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smzdm/Documents/cccode/zsq/"/>
    </mc:Choice>
  </mc:AlternateContent>
  <xr:revisionPtr revIDLastSave="0" documentId="13_ncr:1_{6E259483-1C03-4C48-923D-12AFD91B00DC}" xr6:coauthVersionLast="45" xr6:coauthVersionMax="45" xr10:uidLastSave="{00000000-0000-0000-0000-000000000000}"/>
  <bookViews>
    <workbookView xWindow="1600" yWindow="460" windowWidth="28800" windowHeight="16480" xr2:uid="{00000000-000D-0000-FFFF-FFFF00000000}"/>
  </bookViews>
  <sheets>
    <sheet name="Sheet1" sheetId="1" r:id="rId1"/>
  </sheets>
  <definedNames>
    <definedName name="_xlnm._FilterDatabase" localSheetId="0" hidden="1">Sheet1!$A$1:$L$13209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2" i="1"/>
  <c r="F13209" i="1"/>
  <c r="B13209" i="1"/>
  <c r="F13208" i="1"/>
  <c r="B13208" i="1"/>
  <c r="F13207" i="1"/>
  <c r="B13207" i="1"/>
  <c r="F13206" i="1"/>
  <c r="B13206" i="1"/>
  <c r="F13205" i="1"/>
  <c r="B13205" i="1"/>
  <c r="F13204" i="1"/>
  <c r="B13204" i="1"/>
  <c r="F13203" i="1"/>
  <c r="B13203" i="1"/>
  <c r="F13202" i="1"/>
  <c r="B13202" i="1"/>
  <c r="F13201" i="1"/>
  <c r="B13201" i="1"/>
  <c r="F13200" i="1"/>
  <c r="B13200" i="1"/>
  <c r="F13199" i="1"/>
  <c r="B13199" i="1"/>
  <c r="F13198" i="1"/>
  <c r="B13198" i="1"/>
  <c r="F13197" i="1"/>
  <c r="B13197" i="1"/>
  <c r="F13196" i="1"/>
  <c r="B13196" i="1"/>
  <c r="F13195" i="1"/>
  <c r="B13195" i="1"/>
  <c r="F13194" i="1"/>
  <c r="B13194" i="1"/>
  <c r="F13193" i="1"/>
  <c r="B13193" i="1"/>
  <c r="F13192" i="1"/>
  <c r="B13192" i="1"/>
  <c r="F13191" i="1"/>
  <c r="B13191" i="1"/>
  <c r="F13190" i="1"/>
  <c r="B13190" i="1"/>
  <c r="F13189" i="1"/>
  <c r="B13189" i="1"/>
  <c r="F13188" i="1"/>
  <c r="B13188" i="1"/>
  <c r="F13187" i="1"/>
  <c r="B13187" i="1"/>
  <c r="F13186" i="1"/>
  <c r="B13186" i="1"/>
  <c r="F13185" i="1"/>
  <c r="B13185" i="1"/>
  <c r="F13184" i="1"/>
  <c r="B13184" i="1"/>
  <c r="F13183" i="1"/>
  <c r="B13183" i="1"/>
  <c r="F13182" i="1"/>
  <c r="B13182" i="1"/>
  <c r="F13181" i="1"/>
  <c r="B13181" i="1"/>
  <c r="F13180" i="1"/>
  <c r="B13180" i="1"/>
  <c r="F13179" i="1"/>
  <c r="B13179" i="1"/>
  <c r="F13178" i="1"/>
  <c r="B13178" i="1"/>
  <c r="F13177" i="1"/>
  <c r="B13177" i="1"/>
  <c r="F13176" i="1"/>
  <c r="B13176" i="1"/>
  <c r="F13175" i="1"/>
  <c r="B13175" i="1"/>
  <c r="F13174" i="1"/>
  <c r="B13174" i="1"/>
  <c r="F13173" i="1"/>
  <c r="B13173" i="1"/>
  <c r="F13172" i="1"/>
  <c r="B13172" i="1"/>
  <c r="F13171" i="1"/>
  <c r="B13171" i="1"/>
  <c r="F13170" i="1"/>
  <c r="B13170" i="1"/>
  <c r="F13169" i="1"/>
  <c r="B13169" i="1"/>
  <c r="F13168" i="1"/>
  <c r="B13168" i="1"/>
  <c r="F13167" i="1"/>
  <c r="B13167" i="1"/>
  <c r="F13166" i="1"/>
  <c r="B13166" i="1"/>
  <c r="F13165" i="1"/>
  <c r="B13165" i="1"/>
  <c r="F13164" i="1"/>
  <c r="B13164" i="1"/>
  <c r="F13163" i="1"/>
  <c r="B13163" i="1"/>
  <c r="F13162" i="1"/>
  <c r="B13162" i="1"/>
  <c r="F13161" i="1"/>
  <c r="B13161" i="1"/>
  <c r="F13160" i="1"/>
  <c r="B13160" i="1"/>
  <c r="F13159" i="1"/>
  <c r="B13159" i="1"/>
  <c r="F13158" i="1"/>
  <c r="B13158" i="1"/>
  <c r="F13157" i="1"/>
  <c r="B13157" i="1"/>
  <c r="F13156" i="1"/>
  <c r="B13156" i="1"/>
  <c r="F13155" i="1"/>
  <c r="B13155" i="1"/>
  <c r="F13154" i="1"/>
  <c r="B13154" i="1"/>
  <c r="F13153" i="1"/>
  <c r="B13153" i="1"/>
  <c r="F13152" i="1"/>
  <c r="B13152" i="1"/>
  <c r="F13151" i="1"/>
  <c r="B13151" i="1"/>
  <c r="F13150" i="1"/>
  <c r="B13150" i="1"/>
  <c r="F13149" i="1"/>
  <c r="B13149" i="1"/>
  <c r="F13148" i="1"/>
  <c r="B13148" i="1"/>
  <c r="F13147" i="1"/>
  <c r="B13147" i="1"/>
  <c r="F13146" i="1"/>
  <c r="B13146" i="1"/>
  <c r="F13145" i="1"/>
  <c r="B13145" i="1"/>
  <c r="F13144" i="1"/>
  <c r="B13144" i="1"/>
  <c r="F13143" i="1"/>
  <c r="B13143" i="1"/>
  <c r="F13142" i="1"/>
  <c r="B13142" i="1"/>
  <c r="F13141" i="1"/>
  <c r="B13141" i="1"/>
  <c r="F13140" i="1"/>
  <c r="B13140" i="1"/>
  <c r="F13139" i="1"/>
  <c r="B13139" i="1"/>
  <c r="F13138" i="1"/>
  <c r="B13138" i="1"/>
  <c r="F13137" i="1"/>
  <c r="B13137" i="1"/>
  <c r="F13136" i="1"/>
  <c r="B13136" i="1"/>
  <c r="F13135" i="1"/>
  <c r="B13135" i="1"/>
  <c r="F13134" i="1"/>
  <c r="B13134" i="1"/>
  <c r="F13133" i="1"/>
  <c r="B13133" i="1"/>
  <c r="F13132" i="1"/>
  <c r="B13132" i="1"/>
  <c r="F13131" i="1"/>
  <c r="B13131" i="1"/>
  <c r="F13130" i="1"/>
  <c r="B13130" i="1"/>
  <c r="F13129" i="1"/>
  <c r="B13129" i="1"/>
  <c r="F13128" i="1"/>
  <c r="B13128" i="1"/>
  <c r="F13127" i="1"/>
  <c r="B13127" i="1"/>
  <c r="F13126" i="1"/>
  <c r="B13126" i="1"/>
  <c r="F13125" i="1"/>
  <c r="B13125" i="1"/>
  <c r="F13124" i="1"/>
  <c r="B13124" i="1"/>
  <c r="F13123" i="1"/>
  <c r="B13123" i="1"/>
  <c r="F13122" i="1"/>
  <c r="B13122" i="1"/>
  <c r="F13121" i="1"/>
  <c r="B13121" i="1"/>
  <c r="F13120" i="1"/>
  <c r="B13120" i="1"/>
  <c r="F13119" i="1"/>
  <c r="B13119" i="1"/>
  <c r="F13118" i="1"/>
  <c r="B13118" i="1"/>
  <c r="F13117" i="1"/>
  <c r="B13117" i="1"/>
  <c r="F13116" i="1"/>
  <c r="B13116" i="1"/>
  <c r="F13115" i="1"/>
  <c r="B13115" i="1"/>
  <c r="F13114" i="1"/>
  <c r="B13114" i="1"/>
  <c r="F13113" i="1"/>
  <c r="B13113" i="1"/>
  <c r="F13112" i="1"/>
  <c r="B13112" i="1"/>
  <c r="F13111" i="1"/>
  <c r="B13111" i="1"/>
  <c r="F13110" i="1"/>
  <c r="B13110" i="1"/>
  <c r="F13109" i="1"/>
  <c r="B13109" i="1"/>
  <c r="F13108" i="1"/>
  <c r="B13108" i="1"/>
  <c r="F13107" i="1"/>
  <c r="B13107" i="1"/>
  <c r="F13106" i="1"/>
  <c r="B13106" i="1"/>
  <c r="F13105" i="1"/>
  <c r="B13105" i="1"/>
  <c r="F13104" i="1"/>
  <c r="B13104" i="1"/>
  <c r="F13103" i="1"/>
  <c r="B13103" i="1"/>
  <c r="F13102" i="1"/>
  <c r="B13102" i="1"/>
  <c r="F13101" i="1"/>
  <c r="B13101" i="1"/>
  <c r="F13100" i="1"/>
  <c r="B13100" i="1"/>
  <c r="F13099" i="1"/>
  <c r="B13099" i="1"/>
  <c r="F13098" i="1"/>
  <c r="B13098" i="1"/>
  <c r="F13097" i="1"/>
  <c r="B13097" i="1"/>
  <c r="F13096" i="1"/>
  <c r="B13096" i="1"/>
  <c r="F13095" i="1"/>
  <c r="B13095" i="1"/>
  <c r="F13094" i="1"/>
  <c r="B13094" i="1"/>
  <c r="F13093" i="1"/>
  <c r="B13093" i="1"/>
  <c r="F13092" i="1"/>
  <c r="B13092" i="1"/>
  <c r="F13091" i="1"/>
  <c r="B13091" i="1"/>
  <c r="F13090" i="1"/>
  <c r="B13090" i="1"/>
  <c r="F13089" i="1"/>
  <c r="B13089" i="1"/>
  <c r="F13088" i="1"/>
  <c r="B13088" i="1"/>
  <c r="F13087" i="1"/>
  <c r="B13087" i="1"/>
  <c r="F13086" i="1"/>
  <c r="B13086" i="1"/>
  <c r="F13085" i="1"/>
  <c r="B13085" i="1"/>
  <c r="F13084" i="1"/>
  <c r="B13084" i="1"/>
  <c r="F13083" i="1"/>
  <c r="B13083" i="1"/>
  <c r="F13082" i="1"/>
  <c r="B13082" i="1"/>
  <c r="F13081" i="1"/>
  <c r="B13081" i="1"/>
  <c r="F13080" i="1"/>
  <c r="B13080" i="1"/>
  <c r="F13079" i="1"/>
  <c r="B13079" i="1"/>
  <c r="F13078" i="1"/>
  <c r="B13078" i="1"/>
  <c r="F13077" i="1"/>
  <c r="B13077" i="1"/>
  <c r="F13076" i="1"/>
  <c r="B13076" i="1"/>
  <c r="F13075" i="1"/>
  <c r="B13075" i="1"/>
  <c r="F13074" i="1"/>
  <c r="B13074" i="1"/>
  <c r="F13073" i="1"/>
  <c r="B13073" i="1"/>
  <c r="F13072" i="1"/>
  <c r="B13072" i="1"/>
  <c r="F13071" i="1"/>
  <c r="B13071" i="1"/>
  <c r="F13070" i="1"/>
  <c r="B13070" i="1"/>
  <c r="F13069" i="1"/>
  <c r="B13069" i="1"/>
  <c r="F13068" i="1"/>
  <c r="B13068" i="1"/>
  <c r="F13067" i="1"/>
  <c r="B13067" i="1"/>
  <c r="F13066" i="1"/>
  <c r="B13066" i="1"/>
  <c r="F13065" i="1"/>
  <c r="B13065" i="1"/>
  <c r="F13064" i="1"/>
  <c r="B13064" i="1"/>
  <c r="F13063" i="1"/>
  <c r="B13063" i="1"/>
  <c r="F13062" i="1"/>
  <c r="B13062" i="1"/>
  <c r="F13061" i="1"/>
  <c r="B13061" i="1"/>
  <c r="F13060" i="1"/>
  <c r="B13060" i="1"/>
  <c r="F13059" i="1"/>
  <c r="B13059" i="1"/>
  <c r="F13058" i="1"/>
  <c r="B13058" i="1"/>
  <c r="F13057" i="1"/>
  <c r="B13057" i="1"/>
  <c r="F13056" i="1"/>
  <c r="B13056" i="1"/>
  <c r="F13055" i="1"/>
  <c r="B13055" i="1"/>
  <c r="F13054" i="1"/>
  <c r="B13054" i="1"/>
  <c r="F13053" i="1"/>
  <c r="B13053" i="1"/>
  <c r="F13052" i="1"/>
  <c r="B13052" i="1"/>
  <c r="F13051" i="1"/>
  <c r="B13051" i="1"/>
  <c r="F13050" i="1"/>
  <c r="B13050" i="1"/>
  <c r="F13049" i="1"/>
  <c r="B13049" i="1"/>
  <c r="F13048" i="1"/>
  <c r="B13048" i="1"/>
  <c r="F13047" i="1"/>
  <c r="B13047" i="1"/>
  <c r="F13046" i="1"/>
  <c r="B13046" i="1"/>
  <c r="F13045" i="1"/>
  <c r="B13045" i="1"/>
  <c r="F13044" i="1"/>
  <c r="B13044" i="1"/>
  <c r="F13043" i="1"/>
  <c r="B13043" i="1"/>
  <c r="F13042" i="1"/>
  <c r="B13042" i="1"/>
  <c r="F13041" i="1"/>
  <c r="B13041" i="1"/>
  <c r="F13040" i="1"/>
  <c r="B13040" i="1"/>
  <c r="F13039" i="1"/>
  <c r="B13039" i="1"/>
  <c r="F13038" i="1"/>
  <c r="B13038" i="1"/>
  <c r="F13037" i="1"/>
  <c r="B13037" i="1"/>
  <c r="F13036" i="1"/>
  <c r="B13036" i="1"/>
  <c r="F13035" i="1"/>
  <c r="B13035" i="1"/>
  <c r="F13034" i="1"/>
  <c r="B13034" i="1"/>
  <c r="F13033" i="1"/>
  <c r="B13033" i="1"/>
  <c r="F13032" i="1"/>
  <c r="B13032" i="1"/>
  <c r="F13031" i="1"/>
  <c r="B13031" i="1"/>
  <c r="F13030" i="1"/>
  <c r="B13030" i="1"/>
  <c r="F13029" i="1"/>
  <c r="B13029" i="1"/>
  <c r="F13028" i="1"/>
  <c r="B13028" i="1"/>
  <c r="F13027" i="1"/>
  <c r="B13027" i="1"/>
  <c r="F13026" i="1"/>
  <c r="B13026" i="1"/>
  <c r="F13025" i="1"/>
  <c r="B13025" i="1"/>
  <c r="F13024" i="1"/>
  <c r="B13024" i="1"/>
  <c r="F13023" i="1"/>
  <c r="B13023" i="1"/>
  <c r="F13022" i="1"/>
  <c r="B13022" i="1"/>
  <c r="F13021" i="1"/>
  <c r="B13021" i="1"/>
  <c r="F13020" i="1"/>
  <c r="B13020" i="1"/>
  <c r="F13019" i="1"/>
  <c r="B13019" i="1"/>
  <c r="F13018" i="1"/>
  <c r="B13018" i="1"/>
  <c r="F13017" i="1"/>
  <c r="B13017" i="1"/>
  <c r="F13016" i="1"/>
  <c r="B13016" i="1"/>
  <c r="F13015" i="1"/>
  <c r="B13015" i="1"/>
  <c r="F13014" i="1"/>
  <c r="B13014" i="1"/>
  <c r="F13013" i="1"/>
  <c r="B13013" i="1"/>
  <c r="F13012" i="1"/>
  <c r="B13012" i="1"/>
  <c r="F13011" i="1"/>
  <c r="B13011" i="1"/>
  <c r="F13010" i="1"/>
  <c r="B13010" i="1"/>
  <c r="F13009" i="1"/>
  <c r="B13009" i="1"/>
  <c r="F13008" i="1"/>
  <c r="B13008" i="1"/>
  <c r="F13007" i="1"/>
  <c r="B13007" i="1"/>
  <c r="F13006" i="1"/>
  <c r="B13006" i="1"/>
  <c r="F13005" i="1"/>
  <c r="B13005" i="1"/>
  <c r="F13004" i="1"/>
  <c r="B13004" i="1"/>
  <c r="F13003" i="1"/>
  <c r="B13003" i="1"/>
  <c r="F13002" i="1"/>
  <c r="B13002" i="1"/>
  <c r="F13001" i="1"/>
  <c r="B13001" i="1"/>
  <c r="F13000" i="1"/>
  <c r="B13000" i="1"/>
  <c r="F12999" i="1"/>
  <c r="B12999" i="1"/>
  <c r="F12998" i="1"/>
  <c r="B12998" i="1"/>
  <c r="F12997" i="1"/>
  <c r="B12997" i="1"/>
  <c r="F12996" i="1"/>
  <c r="B12996" i="1"/>
  <c r="F12995" i="1"/>
  <c r="B12995" i="1"/>
  <c r="F12994" i="1"/>
  <c r="B12994" i="1"/>
  <c r="F12993" i="1"/>
  <c r="B12993" i="1"/>
  <c r="F12992" i="1"/>
  <c r="B12992" i="1"/>
  <c r="F12991" i="1"/>
  <c r="B12991" i="1"/>
  <c r="F12990" i="1"/>
  <c r="B12990" i="1"/>
  <c r="F12989" i="1"/>
  <c r="B12989" i="1"/>
  <c r="F12988" i="1"/>
  <c r="B12988" i="1"/>
  <c r="F12987" i="1"/>
  <c r="B12987" i="1"/>
  <c r="F12986" i="1"/>
  <c r="B12986" i="1"/>
  <c r="F12985" i="1"/>
  <c r="B12985" i="1"/>
  <c r="F12984" i="1"/>
  <c r="B12984" i="1"/>
  <c r="F12983" i="1"/>
  <c r="B12983" i="1"/>
  <c r="F12982" i="1"/>
  <c r="B12982" i="1"/>
  <c r="F12981" i="1"/>
  <c r="B12981" i="1"/>
  <c r="F12980" i="1"/>
  <c r="B12980" i="1"/>
  <c r="F12979" i="1"/>
  <c r="B12979" i="1"/>
  <c r="F12978" i="1"/>
  <c r="B12978" i="1"/>
  <c r="F12977" i="1"/>
  <c r="B12977" i="1"/>
  <c r="F12976" i="1"/>
  <c r="B12976" i="1"/>
  <c r="F12975" i="1"/>
  <c r="B12975" i="1"/>
  <c r="F12974" i="1"/>
  <c r="B12974" i="1"/>
  <c r="F12973" i="1"/>
  <c r="B12973" i="1"/>
  <c r="F12972" i="1"/>
  <c r="B12972" i="1"/>
  <c r="F12971" i="1"/>
  <c r="B12971" i="1"/>
  <c r="F12970" i="1"/>
  <c r="B12970" i="1"/>
  <c r="F12969" i="1"/>
  <c r="B12969" i="1"/>
  <c r="F12968" i="1"/>
  <c r="B12968" i="1"/>
  <c r="F12967" i="1"/>
  <c r="B12967" i="1"/>
  <c r="F12966" i="1"/>
  <c r="B12966" i="1"/>
  <c r="F12965" i="1"/>
  <c r="B12965" i="1"/>
  <c r="F12964" i="1"/>
  <c r="B12964" i="1"/>
  <c r="F12963" i="1"/>
  <c r="B12963" i="1"/>
  <c r="F12962" i="1"/>
  <c r="B12962" i="1"/>
  <c r="F12961" i="1"/>
  <c r="B12961" i="1"/>
  <c r="F12960" i="1"/>
  <c r="B12960" i="1"/>
  <c r="F12959" i="1"/>
  <c r="B12959" i="1"/>
  <c r="F12958" i="1"/>
  <c r="B12958" i="1"/>
  <c r="F12957" i="1"/>
  <c r="B12957" i="1"/>
  <c r="F12956" i="1"/>
  <c r="B12956" i="1"/>
  <c r="F12955" i="1"/>
  <c r="B12955" i="1"/>
  <c r="F12954" i="1"/>
  <c r="B12954" i="1"/>
  <c r="F12953" i="1"/>
  <c r="B12953" i="1"/>
  <c r="F12952" i="1"/>
  <c r="B12952" i="1"/>
  <c r="F12951" i="1"/>
  <c r="B12951" i="1"/>
  <c r="F12950" i="1"/>
  <c r="B12950" i="1"/>
  <c r="F12949" i="1"/>
  <c r="B12949" i="1"/>
  <c r="F12948" i="1"/>
  <c r="B12948" i="1"/>
  <c r="F12947" i="1"/>
  <c r="B12947" i="1"/>
  <c r="F12946" i="1"/>
  <c r="B12946" i="1"/>
  <c r="F12945" i="1"/>
  <c r="B12945" i="1"/>
  <c r="F12944" i="1"/>
  <c r="B12944" i="1"/>
  <c r="F12943" i="1"/>
  <c r="B12943" i="1"/>
  <c r="F12942" i="1"/>
  <c r="B12942" i="1"/>
  <c r="F12941" i="1"/>
  <c r="B12941" i="1"/>
  <c r="F12940" i="1"/>
  <c r="B12940" i="1"/>
  <c r="F12939" i="1"/>
  <c r="B12939" i="1"/>
  <c r="F12938" i="1"/>
  <c r="B12938" i="1"/>
  <c r="F12937" i="1"/>
  <c r="B12937" i="1"/>
  <c r="F12936" i="1"/>
  <c r="B12936" i="1"/>
  <c r="F12935" i="1"/>
  <c r="B12935" i="1"/>
  <c r="F12934" i="1"/>
  <c r="B12934" i="1"/>
  <c r="F12933" i="1"/>
  <c r="B12933" i="1"/>
  <c r="F12932" i="1"/>
  <c r="B12932" i="1"/>
  <c r="F12931" i="1"/>
  <c r="B12931" i="1"/>
  <c r="F12930" i="1"/>
  <c r="B12930" i="1"/>
  <c r="F12929" i="1"/>
  <c r="B12929" i="1"/>
  <c r="F12928" i="1"/>
  <c r="B12928" i="1"/>
  <c r="F12927" i="1"/>
  <c r="B12927" i="1"/>
  <c r="F12926" i="1"/>
  <c r="B12926" i="1"/>
  <c r="F12925" i="1"/>
  <c r="B12925" i="1"/>
  <c r="F12924" i="1"/>
  <c r="B12924" i="1"/>
  <c r="F12923" i="1"/>
  <c r="B12923" i="1"/>
  <c r="F12922" i="1"/>
  <c r="B12922" i="1"/>
  <c r="F12921" i="1"/>
  <c r="B12921" i="1"/>
  <c r="F12920" i="1"/>
  <c r="B12920" i="1"/>
  <c r="F12919" i="1"/>
  <c r="B12919" i="1"/>
  <c r="F12918" i="1"/>
  <c r="B12918" i="1"/>
  <c r="F12917" i="1"/>
  <c r="B12917" i="1"/>
  <c r="F12916" i="1"/>
  <c r="B12916" i="1"/>
  <c r="F12915" i="1"/>
  <c r="B12915" i="1"/>
  <c r="F12914" i="1"/>
  <c r="B12914" i="1"/>
  <c r="F12913" i="1"/>
  <c r="B12913" i="1"/>
  <c r="F12912" i="1"/>
  <c r="B12912" i="1"/>
  <c r="F12911" i="1"/>
  <c r="B12911" i="1"/>
  <c r="F12910" i="1"/>
  <c r="B12910" i="1"/>
  <c r="F12909" i="1"/>
  <c r="B12909" i="1"/>
  <c r="F12908" i="1"/>
  <c r="B12908" i="1"/>
  <c r="F12907" i="1"/>
  <c r="B12907" i="1"/>
  <c r="F12906" i="1"/>
  <c r="B12906" i="1"/>
  <c r="F12905" i="1"/>
  <c r="B12905" i="1"/>
  <c r="F12904" i="1"/>
  <c r="B12904" i="1"/>
  <c r="F12903" i="1"/>
  <c r="B12903" i="1"/>
  <c r="F12902" i="1"/>
  <c r="B12902" i="1"/>
  <c r="F12901" i="1"/>
  <c r="B12901" i="1"/>
  <c r="F12900" i="1"/>
  <c r="B12900" i="1"/>
  <c r="F12899" i="1"/>
  <c r="B12899" i="1"/>
  <c r="F12898" i="1"/>
  <c r="B12898" i="1"/>
  <c r="F12897" i="1"/>
  <c r="B12897" i="1"/>
  <c r="F12896" i="1"/>
  <c r="B12896" i="1"/>
  <c r="F12895" i="1"/>
  <c r="B12895" i="1"/>
  <c r="F12894" i="1"/>
  <c r="B12894" i="1"/>
  <c r="F12893" i="1"/>
  <c r="B12893" i="1"/>
  <c r="F12892" i="1"/>
  <c r="B12892" i="1"/>
  <c r="F12891" i="1"/>
  <c r="B12891" i="1"/>
  <c r="F12890" i="1"/>
  <c r="B12890" i="1"/>
  <c r="F12889" i="1"/>
  <c r="B12889" i="1"/>
  <c r="F12888" i="1"/>
  <c r="B12888" i="1"/>
  <c r="F12887" i="1"/>
  <c r="B12887" i="1"/>
  <c r="F12886" i="1"/>
  <c r="B12886" i="1"/>
  <c r="F12885" i="1"/>
  <c r="B12885" i="1"/>
  <c r="F12884" i="1"/>
  <c r="B12884" i="1"/>
  <c r="F12883" i="1"/>
  <c r="B12883" i="1"/>
  <c r="F12882" i="1"/>
  <c r="B12882" i="1"/>
  <c r="F12881" i="1"/>
  <c r="B12881" i="1"/>
  <c r="F12880" i="1"/>
  <c r="B12880" i="1"/>
  <c r="F12879" i="1"/>
  <c r="B12879" i="1"/>
  <c r="F12878" i="1"/>
  <c r="B12878" i="1"/>
  <c r="F12877" i="1"/>
  <c r="B12877" i="1"/>
  <c r="F12876" i="1"/>
  <c r="B12876" i="1"/>
  <c r="F12875" i="1"/>
  <c r="B12875" i="1"/>
  <c r="F12874" i="1"/>
  <c r="B12874" i="1"/>
  <c r="F12873" i="1"/>
  <c r="B12873" i="1"/>
  <c r="F12872" i="1"/>
  <c r="B12872" i="1"/>
  <c r="F12871" i="1"/>
  <c r="B12871" i="1"/>
  <c r="F12870" i="1"/>
  <c r="B12870" i="1"/>
  <c r="F12869" i="1"/>
  <c r="B12869" i="1"/>
  <c r="F12868" i="1"/>
  <c r="B12868" i="1"/>
  <c r="F12867" i="1"/>
  <c r="B12867" i="1"/>
  <c r="F12866" i="1"/>
  <c r="B12866" i="1"/>
  <c r="F12865" i="1"/>
  <c r="B12865" i="1"/>
  <c r="F12864" i="1"/>
  <c r="B12864" i="1"/>
  <c r="F12863" i="1"/>
  <c r="B12863" i="1"/>
  <c r="F12862" i="1"/>
  <c r="B12862" i="1"/>
  <c r="F12861" i="1"/>
  <c r="B12861" i="1"/>
  <c r="F12860" i="1"/>
  <c r="B12860" i="1"/>
  <c r="F12859" i="1"/>
  <c r="B12859" i="1"/>
  <c r="F12858" i="1"/>
  <c r="B12858" i="1"/>
  <c r="F12857" i="1"/>
  <c r="B12857" i="1"/>
  <c r="F12856" i="1"/>
  <c r="B12856" i="1"/>
  <c r="F12855" i="1"/>
  <c r="B12855" i="1"/>
  <c r="F12854" i="1"/>
  <c r="B12854" i="1"/>
  <c r="F12853" i="1"/>
  <c r="B12853" i="1"/>
  <c r="F12852" i="1"/>
  <c r="B12852" i="1"/>
  <c r="F12851" i="1"/>
  <c r="B12851" i="1"/>
  <c r="F12850" i="1"/>
  <c r="B12850" i="1"/>
  <c r="F12849" i="1"/>
  <c r="B12849" i="1"/>
  <c r="F12848" i="1"/>
  <c r="B12848" i="1"/>
  <c r="F12847" i="1"/>
  <c r="B12847" i="1"/>
  <c r="F12846" i="1"/>
  <c r="B12846" i="1"/>
  <c r="F12845" i="1"/>
  <c r="B12845" i="1"/>
  <c r="F12844" i="1"/>
  <c r="B12844" i="1"/>
  <c r="F12843" i="1"/>
  <c r="B12843" i="1"/>
  <c r="F12842" i="1"/>
  <c r="B12842" i="1"/>
  <c r="F12841" i="1"/>
  <c r="B12841" i="1"/>
  <c r="F12840" i="1"/>
  <c r="B12840" i="1"/>
  <c r="F12839" i="1"/>
  <c r="B12839" i="1"/>
  <c r="F12838" i="1"/>
  <c r="B12838" i="1"/>
  <c r="F12837" i="1"/>
  <c r="B12837" i="1"/>
  <c r="F12836" i="1"/>
  <c r="B12836" i="1"/>
  <c r="F12835" i="1"/>
  <c r="B12835" i="1"/>
  <c r="F12834" i="1"/>
  <c r="B12834" i="1"/>
  <c r="F12833" i="1"/>
  <c r="B12833" i="1"/>
  <c r="F12832" i="1"/>
  <c r="B12832" i="1"/>
  <c r="F12831" i="1"/>
  <c r="B12831" i="1"/>
  <c r="F12830" i="1"/>
  <c r="B12830" i="1"/>
  <c r="F12829" i="1"/>
  <c r="B12829" i="1"/>
  <c r="F12828" i="1"/>
  <c r="B12828" i="1"/>
  <c r="F12827" i="1"/>
  <c r="B12827" i="1"/>
  <c r="F12826" i="1"/>
  <c r="B12826" i="1"/>
  <c r="F12825" i="1"/>
  <c r="B12825" i="1"/>
  <c r="F12824" i="1"/>
  <c r="B12824" i="1"/>
  <c r="F12823" i="1"/>
  <c r="B12823" i="1"/>
  <c r="F12822" i="1"/>
  <c r="B12822" i="1"/>
  <c r="F12821" i="1"/>
  <c r="B12821" i="1"/>
  <c r="F12820" i="1"/>
  <c r="B12820" i="1"/>
  <c r="F12819" i="1"/>
  <c r="B12819" i="1"/>
  <c r="F12818" i="1"/>
  <c r="B12818" i="1"/>
  <c r="F12817" i="1"/>
  <c r="B12817" i="1"/>
  <c r="F12816" i="1"/>
  <c r="B12816" i="1"/>
  <c r="F12815" i="1"/>
  <c r="B12815" i="1"/>
  <c r="F12814" i="1"/>
  <c r="B12814" i="1"/>
  <c r="F12813" i="1"/>
  <c r="B12813" i="1"/>
  <c r="F12812" i="1"/>
  <c r="B12812" i="1"/>
  <c r="F12811" i="1"/>
  <c r="B12811" i="1"/>
  <c r="F12810" i="1"/>
  <c r="B12810" i="1"/>
  <c r="F12809" i="1"/>
  <c r="B12809" i="1"/>
  <c r="F12808" i="1"/>
  <c r="B12808" i="1"/>
  <c r="F12807" i="1"/>
  <c r="B12807" i="1"/>
  <c r="F12806" i="1"/>
  <c r="B12806" i="1"/>
  <c r="F12805" i="1"/>
  <c r="B12805" i="1"/>
  <c r="F12804" i="1"/>
  <c r="B12804" i="1"/>
  <c r="F12803" i="1"/>
  <c r="B12803" i="1"/>
  <c r="F12802" i="1"/>
  <c r="B12802" i="1"/>
  <c r="F12801" i="1"/>
  <c r="B12801" i="1"/>
  <c r="F12800" i="1"/>
  <c r="B12800" i="1"/>
  <c r="F12799" i="1"/>
  <c r="B12799" i="1"/>
  <c r="F12798" i="1"/>
  <c r="B12798" i="1"/>
  <c r="F12797" i="1"/>
  <c r="B12797" i="1"/>
  <c r="F12796" i="1"/>
  <c r="B12796" i="1"/>
  <c r="F12795" i="1"/>
  <c r="B12795" i="1"/>
  <c r="F12794" i="1"/>
  <c r="B12794" i="1"/>
  <c r="F12793" i="1"/>
  <c r="B12793" i="1"/>
  <c r="F12792" i="1"/>
  <c r="B12792" i="1"/>
  <c r="F12791" i="1"/>
  <c r="B12791" i="1"/>
  <c r="F12790" i="1"/>
  <c r="B12790" i="1"/>
  <c r="F12789" i="1"/>
  <c r="B12789" i="1"/>
  <c r="F12788" i="1"/>
  <c r="B12788" i="1"/>
  <c r="F12787" i="1"/>
  <c r="B12787" i="1"/>
  <c r="F12786" i="1"/>
  <c r="B12786" i="1"/>
  <c r="F12785" i="1"/>
  <c r="B12785" i="1"/>
  <c r="F12784" i="1"/>
  <c r="B12784" i="1"/>
  <c r="F12783" i="1"/>
  <c r="B12783" i="1"/>
  <c r="F12782" i="1"/>
  <c r="B12782" i="1"/>
  <c r="F12781" i="1"/>
  <c r="B12781" i="1"/>
  <c r="F12780" i="1"/>
  <c r="B12780" i="1"/>
  <c r="F12779" i="1"/>
  <c r="B12779" i="1"/>
  <c r="F12778" i="1"/>
  <c r="B12778" i="1"/>
  <c r="F12777" i="1"/>
  <c r="B12777" i="1"/>
  <c r="F12776" i="1"/>
  <c r="B12776" i="1"/>
  <c r="F12775" i="1"/>
  <c r="B12775" i="1"/>
  <c r="F12774" i="1"/>
  <c r="B12774" i="1"/>
  <c r="F12773" i="1"/>
  <c r="B12773" i="1"/>
  <c r="F12772" i="1"/>
  <c r="B12772" i="1"/>
  <c r="F12771" i="1"/>
  <c r="B12771" i="1"/>
  <c r="F12770" i="1"/>
  <c r="B12770" i="1"/>
  <c r="F12769" i="1"/>
  <c r="B12769" i="1"/>
  <c r="F12768" i="1"/>
  <c r="B12768" i="1"/>
  <c r="F12767" i="1"/>
  <c r="B12767" i="1"/>
  <c r="F12766" i="1"/>
  <c r="B12766" i="1"/>
  <c r="F12765" i="1"/>
  <c r="B12765" i="1"/>
  <c r="F12764" i="1"/>
  <c r="B12764" i="1"/>
  <c r="F12763" i="1"/>
  <c r="B12763" i="1"/>
  <c r="F12762" i="1"/>
  <c r="B12762" i="1"/>
  <c r="F12761" i="1"/>
  <c r="B12761" i="1"/>
  <c r="F12760" i="1"/>
  <c r="B12760" i="1"/>
  <c r="F12759" i="1"/>
  <c r="B12759" i="1"/>
  <c r="F12758" i="1"/>
  <c r="B12758" i="1"/>
  <c r="F12757" i="1"/>
  <c r="B12757" i="1"/>
  <c r="F12756" i="1"/>
  <c r="B12756" i="1"/>
  <c r="F12755" i="1"/>
  <c r="B12755" i="1"/>
  <c r="F12754" i="1"/>
  <c r="B12754" i="1"/>
  <c r="F12753" i="1"/>
  <c r="B12753" i="1"/>
  <c r="F12752" i="1"/>
  <c r="B12752" i="1"/>
  <c r="F12751" i="1"/>
  <c r="B12751" i="1"/>
  <c r="F12750" i="1"/>
  <c r="B12750" i="1"/>
  <c r="F12749" i="1"/>
  <c r="B12749" i="1"/>
  <c r="F12748" i="1"/>
  <c r="B12748" i="1"/>
  <c r="F12747" i="1"/>
  <c r="B12747" i="1"/>
  <c r="F12746" i="1"/>
  <c r="B12746" i="1"/>
  <c r="F12745" i="1"/>
  <c r="B12745" i="1"/>
  <c r="F12744" i="1"/>
  <c r="B12744" i="1"/>
  <c r="F12743" i="1"/>
  <c r="B12743" i="1"/>
  <c r="F12742" i="1"/>
  <c r="B12742" i="1"/>
  <c r="F12741" i="1"/>
  <c r="B12741" i="1"/>
  <c r="F12740" i="1"/>
  <c r="B12740" i="1"/>
  <c r="F12739" i="1"/>
  <c r="B12739" i="1"/>
  <c r="F12738" i="1"/>
  <c r="B12738" i="1"/>
  <c r="F12737" i="1"/>
  <c r="B12737" i="1"/>
  <c r="F12736" i="1"/>
  <c r="B12736" i="1"/>
  <c r="F12735" i="1"/>
  <c r="B12735" i="1"/>
  <c r="F12734" i="1"/>
  <c r="B12734" i="1"/>
  <c r="F12733" i="1"/>
  <c r="B12733" i="1"/>
  <c r="F12732" i="1"/>
  <c r="B12732" i="1"/>
  <c r="F12731" i="1"/>
  <c r="B12731" i="1"/>
  <c r="F12730" i="1"/>
  <c r="B12730" i="1"/>
  <c r="F12729" i="1"/>
  <c r="B12729" i="1"/>
  <c r="F12728" i="1"/>
  <c r="B12728" i="1"/>
  <c r="F12727" i="1"/>
  <c r="B12727" i="1"/>
  <c r="F12726" i="1"/>
  <c r="B12726" i="1"/>
  <c r="F12725" i="1"/>
  <c r="B12725" i="1"/>
  <c r="F12724" i="1"/>
  <c r="B12724" i="1"/>
  <c r="F12723" i="1"/>
  <c r="B12723" i="1"/>
  <c r="F12722" i="1"/>
  <c r="B12722" i="1"/>
  <c r="F12721" i="1"/>
  <c r="B12721" i="1"/>
  <c r="F12720" i="1"/>
  <c r="B12720" i="1"/>
  <c r="F12719" i="1"/>
  <c r="B12719" i="1"/>
  <c r="F12718" i="1"/>
  <c r="B12718" i="1"/>
  <c r="F12717" i="1"/>
  <c r="B12717" i="1"/>
  <c r="F12716" i="1"/>
  <c r="B12716" i="1"/>
  <c r="F12715" i="1"/>
  <c r="B12715" i="1"/>
  <c r="F12714" i="1"/>
  <c r="B12714" i="1"/>
  <c r="F12713" i="1"/>
  <c r="B12713" i="1"/>
  <c r="F12712" i="1"/>
  <c r="B12712" i="1"/>
  <c r="F12711" i="1"/>
  <c r="B12711" i="1"/>
  <c r="F12710" i="1"/>
  <c r="B12710" i="1"/>
  <c r="F12709" i="1"/>
  <c r="B12709" i="1"/>
  <c r="F12708" i="1"/>
  <c r="B12708" i="1"/>
  <c r="F12707" i="1"/>
  <c r="B12707" i="1"/>
  <c r="F12706" i="1"/>
  <c r="B12706" i="1"/>
  <c r="F12705" i="1"/>
  <c r="B12705" i="1"/>
  <c r="F12704" i="1"/>
  <c r="B12704" i="1"/>
  <c r="F12703" i="1"/>
  <c r="B12703" i="1"/>
  <c r="F12702" i="1"/>
  <c r="B12702" i="1"/>
  <c r="F12701" i="1"/>
  <c r="B12701" i="1"/>
  <c r="F12700" i="1"/>
  <c r="B12700" i="1"/>
  <c r="F12699" i="1"/>
  <c r="B12699" i="1"/>
  <c r="F12698" i="1"/>
  <c r="B12698" i="1"/>
  <c r="F12697" i="1"/>
  <c r="B12697" i="1"/>
  <c r="F12696" i="1"/>
  <c r="B12696" i="1"/>
  <c r="F12695" i="1"/>
  <c r="B12695" i="1"/>
  <c r="F12694" i="1"/>
  <c r="B12694" i="1"/>
  <c r="F12693" i="1"/>
  <c r="B12693" i="1"/>
  <c r="F12692" i="1"/>
  <c r="B12692" i="1"/>
  <c r="F12691" i="1"/>
  <c r="B12691" i="1"/>
  <c r="F12690" i="1"/>
  <c r="B12690" i="1"/>
  <c r="F12689" i="1"/>
  <c r="B12689" i="1"/>
  <c r="F12688" i="1"/>
  <c r="B12688" i="1"/>
  <c r="F12687" i="1"/>
  <c r="B12687" i="1"/>
  <c r="F12686" i="1"/>
  <c r="B12686" i="1"/>
  <c r="F12685" i="1"/>
  <c r="B12685" i="1"/>
  <c r="F12684" i="1"/>
  <c r="B12684" i="1"/>
  <c r="F12683" i="1"/>
  <c r="B12683" i="1"/>
  <c r="F12682" i="1"/>
  <c r="B12682" i="1"/>
  <c r="F12681" i="1"/>
  <c r="B12681" i="1"/>
  <c r="F12680" i="1"/>
  <c r="B12680" i="1"/>
  <c r="F12679" i="1"/>
  <c r="B12679" i="1"/>
  <c r="F12678" i="1"/>
  <c r="B12678" i="1"/>
  <c r="F12677" i="1"/>
  <c r="B12677" i="1"/>
  <c r="F12676" i="1"/>
  <c r="B12676" i="1"/>
  <c r="F12675" i="1"/>
  <c r="B12675" i="1"/>
  <c r="F12674" i="1"/>
  <c r="B12674" i="1"/>
  <c r="F12673" i="1"/>
  <c r="B12673" i="1"/>
  <c r="F12672" i="1"/>
  <c r="B12672" i="1"/>
  <c r="F12671" i="1"/>
  <c r="B12671" i="1"/>
  <c r="F12670" i="1"/>
  <c r="B12670" i="1"/>
  <c r="F12669" i="1"/>
  <c r="B12669" i="1"/>
  <c r="F12668" i="1"/>
  <c r="B12668" i="1"/>
  <c r="F12667" i="1"/>
  <c r="B12667" i="1"/>
  <c r="F12666" i="1"/>
  <c r="B12666" i="1"/>
  <c r="F12665" i="1"/>
  <c r="B12665" i="1"/>
  <c r="F12664" i="1"/>
  <c r="B12664" i="1"/>
  <c r="F12663" i="1"/>
  <c r="B12663" i="1"/>
  <c r="F12662" i="1"/>
  <c r="B12662" i="1"/>
  <c r="F12661" i="1"/>
  <c r="B12661" i="1"/>
  <c r="F12660" i="1"/>
  <c r="B12660" i="1"/>
  <c r="F12659" i="1"/>
  <c r="B12659" i="1"/>
  <c r="F12658" i="1"/>
  <c r="B12658" i="1"/>
  <c r="F12657" i="1"/>
  <c r="B12657" i="1"/>
  <c r="F12656" i="1"/>
  <c r="B12656" i="1"/>
  <c r="F12655" i="1"/>
  <c r="B12655" i="1"/>
  <c r="F12654" i="1"/>
  <c r="B12654" i="1"/>
  <c r="F12653" i="1"/>
  <c r="B12653" i="1"/>
  <c r="F12652" i="1"/>
  <c r="B12652" i="1"/>
  <c r="F12651" i="1"/>
  <c r="B12651" i="1"/>
  <c r="F12650" i="1"/>
  <c r="B12650" i="1"/>
  <c r="F12649" i="1"/>
  <c r="B12649" i="1"/>
  <c r="F12648" i="1"/>
  <c r="B12648" i="1"/>
  <c r="F12647" i="1"/>
  <c r="B12647" i="1"/>
  <c r="F12646" i="1"/>
  <c r="B12646" i="1"/>
  <c r="F12645" i="1"/>
  <c r="B12645" i="1"/>
  <c r="F12644" i="1"/>
  <c r="B12644" i="1"/>
  <c r="F12643" i="1"/>
  <c r="B12643" i="1"/>
  <c r="F12642" i="1"/>
  <c r="B12642" i="1"/>
  <c r="F12641" i="1"/>
  <c r="B12641" i="1"/>
  <c r="F12640" i="1"/>
  <c r="B12640" i="1"/>
  <c r="F12639" i="1"/>
  <c r="B12639" i="1"/>
  <c r="F12638" i="1"/>
  <c r="B12638" i="1"/>
  <c r="F12637" i="1"/>
  <c r="B12637" i="1"/>
  <c r="F12636" i="1"/>
  <c r="B12636" i="1"/>
  <c r="F12635" i="1"/>
  <c r="B12635" i="1"/>
  <c r="F12634" i="1"/>
  <c r="B12634" i="1"/>
  <c r="F12633" i="1"/>
  <c r="B12633" i="1"/>
  <c r="F12632" i="1"/>
  <c r="B12632" i="1"/>
  <c r="F12631" i="1"/>
  <c r="B12631" i="1"/>
  <c r="F12630" i="1"/>
  <c r="B12630" i="1"/>
  <c r="F12629" i="1"/>
  <c r="B12629" i="1"/>
  <c r="F12628" i="1"/>
  <c r="B12628" i="1"/>
  <c r="F12627" i="1"/>
  <c r="B12627" i="1"/>
  <c r="F12626" i="1"/>
  <c r="B12626" i="1"/>
  <c r="F12625" i="1"/>
  <c r="B12625" i="1"/>
  <c r="F12624" i="1"/>
  <c r="B12624" i="1"/>
  <c r="F12623" i="1"/>
  <c r="B12623" i="1"/>
  <c r="F12622" i="1"/>
  <c r="B12622" i="1"/>
  <c r="F12621" i="1"/>
  <c r="B12621" i="1"/>
  <c r="F12620" i="1"/>
  <c r="B12620" i="1"/>
  <c r="F12619" i="1"/>
  <c r="B12619" i="1"/>
  <c r="F12618" i="1"/>
  <c r="B12618" i="1"/>
  <c r="F12617" i="1"/>
  <c r="B12617" i="1"/>
  <c r="F12616" i="1"/>
  <c r="B12616" i="1"/>
  <c r="F12615" i="1"/>
  <c r="B12615" i="1"/>
  <c r="F12614" i="1"/>
  <c r="B12614" i="1"/>
  <c r="F12613" i="1"/>
  <c r="B12613" i="1"/>
  <c r="F12612" i="1"/>
  <c r="B12612" i="1"/>
  <c r="F12611" i="1"/>
  <c r="B12611" i="1"/>
  <c r="F12610" i="1"/>
  <c r="B12610" i="1"/>
  <c r="F12609" i="1"/>
  <c r="B12609" i="1"/>
  <c r="F12608" i="1"/>
  <c r="B12608" i="1"/>
  <c r="F12607" i="1"/>
  <c r="B12607" i="1"/>
  <c r="F12606" i="1"/>
  <c r="B12606" i="1"/>
  <c r="F12605" i="1"/>
  <c r="B12605" i="1"/>
  <c r="F12604" i="1"/>
  <c r="B12604" i="1"/>
  <c r="F12603" i="1"/>
  <c r="B12603" i="1"/>
  <c r="F12602" i="1"/>
  <c r="B12602" i="1"/>
  <c r="F12601" i="1"/>
  <c r="B12601" i="1"/>
  <c r="F12600" i="1"/>
  <c r="B12600" i="1"/>
  <c r="F12599" i="1"/>
  <c r="B12599" i="1"/>
  <c r="F12598" i="1"/>
  <c r="B12598" i="1"/>
  <c r="F12597" i="1"/>
  <c r="B12597" i="1"/>
  <c r="F12596" i="1"/>
  <c r="B12596" i="1"/>
  <c r="F12595" i="1"/>
  <c r="B12595" i="1"/>
  <c r="F12594" i="1"/>
  <c r="B12594" i="1"/>
  <c r="F12593" i="1"/>
  <c r="B12593" i="1"/>
  <c r="F12592" i="1"/>
  <c r="B12592" i="1"/>
  <c r="F12591" i="1"/>
  <c r="B12591" i="1"/>
  <c r="F12590" i="1"/>
  <c r="B12590" i="1"/>
  <c r="F12589" i="1"/>
  <c r="B12589" i="1"/>
  <c r="F12588" i="1"/>
  <c r="B12588" i="1"/>
  <c r="F12587" i="1"/>
  <c r="B12587" i="1"/>
  <c r="F12586" i="1"/>
  <c r="B12586" i="1"/>
  <c r="F12585" i="1"/>
  <c r="B12585" i="1"/>
  <c r="F12584" i="1"/>
  <c r="B12584" i="1"/>
  <c r="F12583" i="1"/>
  <c r="B12583" i="1"/>
  <c r="F12582" i="1"/>
  <c r="B12582" i="1"/>
  <c r="F12581" i="1"/>
  <c r="B12581" i="1"/>
  <c r="F12580" i="1"/>
  <c r="B12580" i="1"/>
  <c r="F12579" i="1"/>
  <c r="B12579" i="1"/>
  <c r="F12578" i="1"/>
  <c r="B12578" i="1"/>
  <c r="F12577" i="1"/>
  <c r="B12577" i="1"/>
  <c r="F12576" i="1"/>
  <c r="B12576" i="1"/>
  <c r="F12575" i="1"/>
  <c r="B12575" i="1"/>
  <c r="F12574" i="1"/>
  <c r="B12574" i="1"/>
  <c r="F12573" i="1"/>
  <c r="B12573" i="1"/>
  <c r="F12572" i="1"/>
  <c r="B12572" i="1"/>
  <c r="F12571" i="1"/>
  <c r="B12571" i="1"/>
  <c r="F12570" i="1"/>
  <c r="B12570" i="1"/>
  <c r="F12569" i="1"/>
  <c r="B12569" i="1"/>
  <c r="F12568" i="1"/>
  <c r="B12568" i="1"/>
  <c r="F12567" i="1"/>
  <c r="B12567" i="1"/>
  <c r="F12566" i="1"/>
  <c r="B12566" i="1"/>
  <c r="F12565" i="1"/>
  <c r="B12565" i="1"/>
  <c r="F12564" i="1"/>
  <c r="B12564" i="1"/>
  <c r="F12563" i="1"/>
  <c r="B12563" i="1"/>
  <c r="F12562" i="1"/>
  <c r="B12562" i="1"/>
  <c r="F12561" i="1"/>
  <c r="B12561" i="1"/>
  <c r="F12560" i="1"/>
  <c r="B12560" i="1"/>
  <c r="F12559" i="1"/>
  <c r="B12559" i="1"/>
  <c r="F12558" i="1"/>
  <c r="B12558" i="1"/>
  <c r="F12557" i="1"/>
  <c r="B12557" i="1"/>
  <c r="F12556" i="1"/>
  <c r="B12556" i="1"/>
  <c r="F12555" i="1"/>
  <c r="B12555" i="1"/>
  <c r="F12554" i="1"/>
  <c r="B12554" i="1"/>
  <c r="F12553" i="1"/>
  <c r="B12553" i="1"/>
  <c r="F12552" i="1"/>
  <c r="B12552" i="1"/>
  <c r="F12551" i="1"/>
  <c r="B12551" i="1"/>
  <c r="F12550" i="1"/>
  <c r="B12550" i="1"/>
  <c r="F12549" i="1"/>
  <c r="B12549" i="1"/>
  <c r="F12548" i="1"/>
  <c r="B12548" i="1"/>
  <c r="F12547" i="1"/>
  <c r="B12547" i="1"/>
  <c r="F12546" i="1"/>
  <c r="B12546" i="1"/>
  <c r="F12545" i="1"/>
  <c r="B12545" i="1"/>
  <c r="F12544" i="1"/>
  <c r="B12544" i="1"/>
  <c r="F12543" i="1"/>
  <c r="B12543" i="1"/>
  <c r="F12542" i="1"/>
  <c r="B12542" i="1"/>
  <c r="F12541" i="1"/>
  <c r="B12541" i="1"/>
  <c r="F12540" i="1"/>
  <c r="B12540" i="1"/>
  <c r="F12539" i="1"/>
  <c r="B12539" i="1"/>
  <c r="F12538" i="1"/>
  <c r="B12538" i="1"/>
  <c r="F12537" i="1"/>
  <c r="B12537" i="1"/>
  <c r="F12536" i="1"/>
  <c r="B12536" i="1"/>
  <c r="F12535" i="1"/>
  <c r="B12535" i="1"/>
  <c r="F12534" i="1"/>
  <c r="B12534" i="1"/>
  <c r="F12533" i="1"/>
  <c r="B12533" i="1"/>
  <c r="F12532" i="1"/>
  <c r="B12532" i="1"/>
  <c r="F12531" i="1"/>
  <c r="B12531" i="1"/>
  <c r="F12530" i="1"/>
  <c r="B12530" i="1"/>
  <c r="F12529" i="1"/>
  <c r="B12529" i="1"/>
  <c r="F12528" i="1"/>
  <c r="B12528" i="1"/>
  <c r="F12527" i="1"/>
  <c r="B12527" i="1"/>
  <c r="F12526" i="1"/>
  <c r="B12526" i="1"/>
  <c r="F12525" i="1"/>
  <c r="B12525" i="1"/>
  <c r="F12524" i="1"/>
  <c r="B12524" i="1"/>
  <c r="F12523" i="1"/>
  <c r="B12523" i="1"/>
  <c r="F12522" i="1"/>
  <c r="B12522" i="1"/>
  <c r="F12521" i="1"/>
  <c r="B12521" i="1"/>
  <c r="F12520" i="1"/>
  <c r="B12520" i="1"/>
  <c r="F12519" i="1"/>
  <c r="B12519" i="1"/>
  <c r="F12518" i="1"/>
  <c r="B12518" i="1"/>
  <c r="F12517" i="1"/>
  <c r="B12517" i="1"/>
  <c r="F12516" i="1"/>
  <c r="B12516" i="1"/>
  <c r="F12515" i="1"/>
  <c r="B12515" i="1"/>
  <c r="F12514" i="1"/>
  <c r="B12514" i="1"/>
  <c r="F12513" i="1"/>
  <c r="B12513" i="1"/>
  <c r="F12512" i="1"/>
  <c r="B12512" i="1"/>
  <c r="F12511" i="1"/>
  <c r="B12511" i="1"/>
  <c r="F12510" i="1"/>
  <c r="B12510" i="1"/>
  <c r="F12509" i="1"/>
  <c r="B12509" i="1"/>
  <c r="F12508" i="1"/>
  <c r="B12508" i="1"/>
  <c r="F12507" i="1"/>
  <c r="B12507" i="1"/>
  <c r="F12506" i="1"/>
  <c r="B12506" i="1"/>
  <c r="F12505" i="1"/>
  <c r="B12505" i="1"/>
  <c r="F12504" i="1"/>
  <c r="B12504" i="1"/>
  <c r="F12503" i="1"/>
  <c r="B12503" i="1"/>
  <c r="F12502" i="1"/>
  <c r="B12502" i="1"/>
  <c r="F12501" i="1"/>
  <c r="B12501" i="1"/>
  <c r="F12500" i="1"/>
  <c r="B12500" i="1"/>
  <c r="F12499" i="1"/>
  <c r="B12499" i="1"/>
  <c r="F12498" i="1"/>
  <c r="B12498" i="1"/>
  <c r="F12497" i="1"/>
  <c r="B12497" i="1"/>
  <c r="F12496" i="1"/>
  <c r="B12496" i="1"/>
  <c r="F12495" i="1"/>
  <c r="B12495" i="1"/>
  <c r="F12494" i="1"/>
  <c r="B12494" i="1"/>
  <c r="F12493" i="1"/>
  <c r="B12493" i="1"/>
  <c r="F12492" i="1"/>
  <c r="B12492" i="1"/>
  <c r="F12491" i="1"/>
  <c r="B12491" i="1"/>
  <c r="F12490" i="1"/>
  <c r="B12490" i="1"/>
  <c r="F12489" i="1"/>
  <c r="B12489" i="1"/>
  <c r="F12488" i="1"/>
  <c r="B12488" i="1"/>
  <c r="F12487" i="1"/>
  <c r="B12487" i="1"/>
  <c r="F12486" i="1"/>
  <c r="B12486" i="1"/>
  <c r="F12485" i="1"/>
  <c r="B12485" i="1"/>
  <c r="F12484" i="1"/>
  <c r="B12484" i="1"/>
  <c r="F12483" i="1"/>
  <c r="B12483" i="1"/>
  <c r="F12482" i="1"/>
  <c r="B12482" i="1"/>
  <c r="F12481" i="1"/>
  <c r="B12481" i="1"/>
  <c r="F12480" i="1"/>
  <c r="B12480" i="1"/>
  <c r="F12479" i="1"/>
  <c r="B12479" i="1"/>
  <c r="F12478" i="1"/>
  <c r="B12478" i="1"/>
  <c r="F12477" i="1"/>
  <c r="B12477" i="1"/>
  <c r="F12476" i="1"/>
  <c r="B12476" i="1"/>
  <c r="F12475" i="1"/>
  <c r="B12475" i="1"/>
  <c r="F12474" i="1"/>
  <c r="B12474" i="1"/>
  <c r="F12473" i="1"/>
  <c r="B12473" i="1"/>
  <c r="F12472" i="1"/>
  <c r="B12472" i="1"/>
  <c r="F12471" i="1"/>
  <c r="B12471" i="1"/>
  <c r="F12470" i="1"/>
  <c r="B12470" i="1"/>
  <c r="F12469" i="1"/>
  <c r="B12469" i="1"/>
  <c r="F12468" i="1"/>
  <c r="B12468" i="1"/>
  <c r="F12467" i="1"/>
  <c r="B12467" i="1"/>
  <c r="F12466" i="1"/>
  <c r="B12466" i="1"/>
  <c r="F12465" i="1"/>
  <c r="B12465" i="1"/>
  <c r="F12464" i="1"/>
  <c r="B12464" i="1"/>
  <c r="F12463" i="1"/>
  <c r="B12463" i="1"/>
  <c r="F12462" i="1"/>
  <c r="B12462" i="1"/>
  <c r="F12461" i="1"/>
  <c r="B12461" i="1"/>
  <c r="F12460" i="1"/>
  <c r="B12460" i="1"/>
  <c r="F12459" i="1"/>
  <c r="B12459" i="1"/>
  <c r="F12458" i="1"/>
  <c r="B12458" i="1"/>
  <c r="F12457" i="1"/>
  <c r="B12457" i="1"/>
  <c r="F12456" i="1"/>
  <c r="B12456" i="1"/>
  <c r="F12455" i="1"/>
  <c r="B12455" i="1"/>
  <c r="F12454" i="1"/>
  <c r="B12454" i="1"/>
  <c r="F12453" i="1"/>
  <c r="B12453" i="1"/>
  <c r="F12452" i="1"/>
  <c r="B12452" i="1"/>
  <c r="F12451" i="1"/>
  <c r="B12451" i="1"/>
  <c r="F12450" i="1"/>
  <c r="B12450" i="1"/>
  <c r="F12449" i="1"/>
  <c r="B12449" i="1"/>
  <c r="F12448" i="1"/>
  <c r="B12448" i="1"/>
  <c r="F12447" i="1"/>
  <c r="B12447" i="1"/>
  <c r="F12446" i="1"/>
  <c r="B12446" i="1"/>
  <c r="F12445" i="1"/>
  <c r="B12445" i="1"/>
  <c r="F12444" i="1"/>
  <c r="B12444" i="1"/>
  <c r="F12443" i="1"/>
  <c r="B12443" i="1"/>
  <c r="F12442" i="1"/>
  <c r="B12442" i="1"/>
  <c r="F12441" i="1"/>
  <c r="B12441" i="1"/>
  <c r="F12440" i="1"/>
  <c r="B12440" i="1"/>
  <c r="F12439" i="1"/>
  <c r="B12439" i="1"/>
  <c r="F12438" i="1"/>
  <c r="B12438" i="1"/>
  <c r="F12437" i="1"/>
  <c r="B12437" i="1"/>
  <c r="F12436" i="1"/>
  <c r="B12436" i="1"/>
  <c r="F12435" i="1"/>
  <c r="B12435" i="1"/>
  <c r="F12434" i="1"/>
  <c r="B12434" i="1"/>
  <c r="F12433" i="1"/>
  <c r="B12433" i="1"/>
  <c r="F12432" i="1"/>
  <c r="B12432" i="1"/>
  <c r="F12431" i="1"/>
  <c r="B12431" i="1"/>
  <c r="F12430" i="1"/>
  <c r="B12430" i="1"/>
  <c r="F12429" i="1"/>
  <c r="B12429" i="1"/>
  <c r="F12428" i="1"/>
  <c r="B12428" i="1"/>
  <c r="F12427" i="1"/>
  <c r="B12427" i="1"/>
  <c r="F12426" i="1"/>
  <c r="B12426" i="1"/>
  <c r="F12425" i="1"/>
  <c r="B12425" i="1"/>
  <c r="F12424" i="1"/>
  <c r="B12424" i="1"/>
  <c r="F12423" i="1"/>
  <c r="B12423" i="1"/>
  <c r="F12422" i="1"/>
  <c r="B12422" i="1"/>
  <c r="F12421" i="1"/>
  <c r="B12421" i="1"/>
  <c r="F12420" i="1"/>
  <c r="B12420" i="1"/>
  <c r="F12419" i="1"/>
  <c r="B12419" i="1"/>
  <c r="F12418" i="1"/>
  <c r="B12418" i="1"/>
  <c r="F12417" i="1"/>
  <c r="B12417" i="1"/>
  <c r="F12416" i="1"/>
  <c r="B12416" i="1"/>
  <c r="F12415" i="1"/>
  <c r="B12415" i="1"/>
  <c r="F12414" i="1"/>
  <c r="B12414" i="1"/>
  <c r="F12413" i="1"/>
  <c r="B12413" i="1"/>
  <c r="F12412" i="1"/>
  <c r="B12412" i="1"/>
  <c r="F12411" i="1"/>
  <c r="B12411" i="1"/>
  <c r="F12410" i="1"/>
  <c r="B12410" i="1"/>
  <c r="F12409" i="1"/>
  <c r="B12409" i="1"/>
  <c r="F12408" i="1"/>
  <c r="B12408" i="1"/>
  <c r="F12407" i="1"/>
  <c r="B12407" i="1"/>
  <c r="F12406" i="1"/>
  <c r="B12406" i="1"/>
  <c r="F12405" i="1"/>
  <c r="B12405" i="1"/>
  <c r="F12404" i="1"/>
  <c r="B12404" i="1"/>
  <c r="F12403" i="1"/>
  <c r="B12403" i="1"/>
  <c r="F12402" i="1"/>
  <c r="B12402" i="1"/>
  <c r="F12401" i="1"/>
  <c r="B12401" i="1"/>
  <c r="F12400" i="1"/>
  <c r="B12400" i="1"/>
  <c r="F12399" i="1"/>
  <c r="B12399" i="1"/>
  <c r="F12398" i="1"/>
  <c r="B12398" i="1"/>
  <c r="F12397" i="1"/>
  <c r="B12397" i="1"/>
  <c r="F12396" i="1"/>
  <c r="B12396" i="1"/>
  <c r="F12395" i="1"/>
  <c r="B12395" i="1"/>
  <c r="F12394" i="1"/>
  <c r="B12394" i="1"/>
  <c r="F12393" i="1"/>
  <c r="B12393" i="1"/>
  <c r="F12392" i="1"/>
  <c r="B12392" i="1"/>
  <c r="F12391" i="1"/>
  <c r="B12391" i="1"/>
  <c r="F12390" i="1"/>
  <c r="B12390" i="1"/>
  <c r="F12389" i="1"/>
  <c r="B12389" i="1"/>
  <c r="F12388" i="1"/>
  <c r="B12388" i="1"/>
  <c r="F12387" i="1"/>
  <c r="B12387" i="1"/>
  <c r="F12386" i="1"/>
  <c r="B12386" i="1"/>
  <c r="F12385" i="1"/>
  <c r="B12385" i="1"/>
  <c r="F12384" i="1"/>
  <c r="B12384" i="1"/>
  <c r="F12383" i="1"/>
  <c r="B12383" i="1"/>
  <c r="F12382" i="1"/>
  <c r="B12382" i="1"/>
  <c r="F12381" i="1"/>
  <c r="B12381" i="1"/>
  <c r="F12380" i="1"/>
  <c r="B12380" i="1"/>
  <c r="F12379" i="1"/>
  <c r="B12379" i="1"/>
  <c r="F12378" i="1"/>
  <c r="B12378" i="1"/>
  <c r="F12377" i="1"/>
  <c r="B12377" i="1"/>
  <c r="F12376" i="1"/>
  <c r="B12376" i="1"/>
  <c r="F12375" i="1"/>
  <c r="B12375" i="1"/>
  <c r="F12374" i="1"/>
  <c r="B12374" i="1"/>
  <c r="F12373" i="1"/>
  <c r="B12373" i="1"/>
  <c r="F12372" i="1"/>
  <c r="B12372" i="1"/>
  <c r="F12371" i="1"/>
  <c r="B12371" i="1"/>
  <c r="F12370" i="1"/>
  <c r="B12370" i="1"/>
  <c r="F12369" i="1"/>
  <c r="B12369" i="1"/>
  <c r="F12368" i="1"/>
  <c r="B12368" i="1"/>
  <c r="F12367" i="1"/>
  <c r="B12367" i="1"/>
  <c r="F12366" i="1"/>
  <c r="B12366" i="1"/>
  <c r="F12365" i="1"/>
  <c r="B12365" i="1"/>
  <c r="F12364" i="1"/>
  <c r="B12364" i="1"/>
  <c r="F12363" i="1"/>
  <c r="B12363" i="1"/>
  <c r="F12362" i="1"/>
  <c r="B12362" i="1"/>
  <c r="F12361" i="1"/>
  <c r="B12361" i="1"/>
  <c r="F12360" i="1"/>
  <c r="B12360" i="1"/>
  <c r="F12359" i="1"/>
  <c r="B12359" i="1"/>
  <c r="F12358" i="1"/>
  <c r="B12358" i="1"/>
  <c r="F12357" i="1"/>
  <c r="B12357" i="1"/>
  <c r="F12356" i="1"/>
  <c r="B12356" i="1"/>
  <c r="F12355" i="1"/>
  <c r="B12355" i="1"/>
  <c r="F12354" i="1"/>
  <c r="B12354" i="1"/>
  <c r="F12353" i="1"/>
  <c r="B12353" i="1"/>
  <c r="F12352" i="1"/>
  <c r="B12352" i="1"/>
  <c r="F12351" i="1"/>
  <c r="B12351" i="1"/>
  <c r="F12350" i="1"/>
  <c r="B12350" i="1"/>
  <c r="F12349" i="1"/>
  <c r="B12349" i="1"/>
  <c r="F12348" i="1"/>
  <c r="B12348" i="1"/>
  <c r="F12347" i="1"/>
  <c r="B12347" i="1"/>
  <c r="F12346" i="1"/>
  <c r="B12346" i="1"/>
  <c r="F12345" i="1"/>
  <c r="B12345" i="1"/>
  <c r="F12344" i="1"/>
  <c r="B12344" i="1"/>
  <c r="F12343" i="1"/>
  <c r="B12343" i="1"/>
  <c r="F12342" i="1"/>
  <c r="B12342" i="1"/>
  <c r="F12341" i="1"/>
  <c r="B12341" i="1"/>
  <c r="F12340" i="1"/>
  <c r="B12340" i="1"/>
  <c r="F12339" i="1"/>
  <c r="B12339" i="1"/>
  <c r="F12338" i="1"/>
  <c r="B12338" i="1"/>
  <c r="F12337" i="1"/>
  <c r="B12337" i="1"/>
  <c r="F12336" i="1"/>
  <c r="B12336" i="1"/>
  <c r="F12335" i="1"/>
  <c r="B12335" i="1"/>
  <c r="F12334" i="1"/>
  <c r="B12334" i="1"/>
  <c r="F12333" i="1"/>
  <c r="B12333" i="1"/>
  <c r="F12332" i="1"/>
  <c r="B12332" i="1"/>
  <c r="F12331" i="1"/>
  <c r="B12331" i="1"/>
  <c r="F12330" i="1"/>
  <c r="B12330" i="1"/>
  <c r="F12329" i="1"/>
  <c r="B12329" i="1"/>
  <c r="F12328" i="1"/>
  <c r="B12328" i="1"/>
  <c r="F12327" i="1"/>
  <c r="B12327" i="1"/>
  <c r="F12326" i="1"/>
  <c r="B12326" i="1"/>
  <c r="F12325" i="1"/>
  <c r="B12325" i="1"/>
  <c r="F12324" i="1"/>
  <c r="B12324" i="1"/>
  <c r="F12323" i="1"/>
  <c r="B12323" i="1"/>
  <c r="F12322" i="1"/>
  <c r="B12322" i="1"/>
  <c r="F12321" i="1"/>
  <c r="B12321" i="1"/>
  <c r="F12320" i="1"/>
  <c r="B12320" i="1"/>
  <c r="F12319" i="1"/>
  <c r="B12319" i="1"/>
  <c r="F12318" i="1"/>
  <c r="B12318" i="1"/>
  <c r="F12317" i="1"/>
  <c r="B12317" i="1"/>
  <c r="F12316" i="1"/>
  <c r="B12316" i="1"/>
  <c r="F12315" i="1"/>
  <c r="B12315" i="1"/>
  <c r="F12314" i="1"/>
  <c r="B12314" i="1"/>
  <c r="F12313" i="1"/>
  <c r="B12313" i="1"/>
  <c r="F12312" i="1"/>
  <c r="B12312" i="1"/>
  <c r="F12311" i="1"/>
  <c r="B12311" i="1"/>
  <c r="F12310" i="1"/>
  <c r="B12310" i="1"/>
  <c r="F12309" i="1"/>
  <c r="B12309" i="1"/>
  <c r="F12308" i="1"/>
  <c r="B12308" i="1"/>
  <c r="F12307" i="1"/>
  <c r="B12307" i="1"/>
  <c r="F12306" i="1"/>
  <c r="B12306" i="1"/>
  <c r="F12305" i="1"/>
  <c r="B12305" i="1"/>
  <c r="F12304" i="1"/>
  <c r="B12304" i="1"/>
  <c r="F12303" i="1"/>
  <c r="B12303" i="1"/>
  <c r="F12302" i="1"/>
  <c r="B12302" i="1"/>
  <c r="F12301" i="1"/>
  <c r="B12301" i="1"/>
  <c r="F12300" i="1"/>
  <c r="B12300" i="1"/>
  <c r="F12299" i="1"/>
  <c r="B12299" i="1"/>
  <c r="F12298" i="1"/>
  <c r="B12298" i="1"/>
  <c r="F12297" i="1"/>
  <c r="B12297" i="1"/>
  <c r="F12296" i="1"/>
  <c r="B12296" i="1"/>
  <c r="F12295" i="1"/>
  <c r="B12295" i="1"/>
  <c r="F12294" i="1"/>
  <c r="B12294" i="1"/>
  <c r="F12293" i="1"/>
  <c r="B12293" i="1"/>
  <c r="F12292" i="1"/>
  <c r="B12292" i="1"/>
  <c r="F12291" i="1"/>
  <c r="B12291" i="1"/>
  <c r="F12290" i="1"/>
  <c r="B12290" i="1"/>
  <c r="F12289" i="1"/>
  <c r="B12289" i="1"/>
  <c r="F12288" i="1"/>
  <c r="B12288" i="1"/>
  <c r="F12287" i="1"/>
  <c r="B12287" i="1"/>
  <c r="F12286" i="1"/>
  <c r="B12286" i="1"/>
  <c r="F12285" i="1"/>
  <c r="B12285" i="1"/>
  <c r="F12284" i="1"/>
  <c r="B12284" i="1"/>
  <c r="F12283" i="1"/>
  <c r="B12283" i="1"/>
  <c r="F12282" i="1"/>
  <c r="B12282" i="1"/>
  <c r="F12281" i="1"/>
  <c r="B12281" i="1"/>
  <c r="F12280" i="1"/>
  <c r="B12280" i="1"/>
  <c r="F12279" i="1"/>
  <c r="B12279" i="1"/>
  <c r="F12278" i="1"/>
  <c r="B12278" i="1"/>
  <c r="F12277" i="1"/>
  <c r="B12277" i="1"/>
  <c r="F12276" i="1"/>
  <c r="B12276" i="1"/>
  <c r="F12275" i="1"/>
  <c r="B12275" i="1"/>
  <c r="F12274" i="1"/>
  <c r="B12274" i="1"/>
  <c r="F12273" i="1"/>
  <c r="B12273" i="1"/>
  <c r="F12272" i="1"/>
  <c r="B12272" i="1"/>
  <c r="F12271" i="1"/>
  <c r="B12271" i="1"/>
  <c r="F12270" i="1"/>
  <c r="B12270" i="1"/>
  <c r="F12269" i="1"/>
  <c r="B12269" i="1"/>
  <c r="F12268" i="1"/>
  <c r="B12268" i="1"/>
  <c r="F12267" i="1"/>
  <c r="B12267" i="1"/>
  <c r="F12266" i="1"/>
  <c r="B12266" i="1"/>
  <c r="F12265" i="1"/>
  <c r="B12265" i="1"/>
  <c r="F12264" i="1"/>
  <c r="B12264" i="1"/>
  <c r="F12263" i="1"/>
  <c r="B12263" i="1"/>
  <c r="F12262" i="1"/>
  <c r="B12262" i="1"/>
  <c r="F12261" i="1"/>
  <c r="B12261" i="1"/>
  <c r="F12260" i="1"/>
  <c r="B12260" i="1"/>
  <c r="F12259" i="1"/>
  <c r="B12259" i="1"/>
  <c r="F12258" i="1"/>
  <c r="B12258" i="1"/>
  <c r="F12257" i="1"/>
  <c r="B12257" i="1"/>
  <c r="F12256" i="1"/>
  <c r="B12256" i="1"/>
  <c r="F12255" i="1"/>
  <c r="B12255" i="1"/>
  <c r="F12254" i="1"/>
  <c r="B12254" i="1"/>
  <c r="F12253" i="1"/>
  <c r="B12253" i="1"/>
  <c r="F12252" i="1"/>
  <c r="B12252" i="1"/>
  <c r="F12251" i="1"/>
  <c r="B12251" i="1"/>
  <c r="F12250" i="1"/>
  <c r="B12250" i="1"/>
  <c r="F12249" i="1"/>
  <c r="B12249" i="1"/>
  <c r="F12248" i="1"/>
  <c r="B12248" i="1"/>
  <c r="F12247" i="1"/>
  <c r="B12247" i="1"/>
  <c r="F12246" i="1"/>
  <c r="B12246" i="1"/>
  <c r="F12245" i="1"/>
  <c r="B12245" i="1"/>
  <c r="F12244" i="1"/>
  <c r="B12244" i="1"/>
  <c r="F12243" i="1"/>
  <c r="B12243" i="1"/>
  <c r="F12242" i="1"/>
  <c r="B12242" i="1"/>
  <c r="F12241" i="1"/>
  <c r="B12241" i="1"/>
  <c r="F12240" i="1"/>
  <c r="B12240" i="1"/>
  <c r="F12239" i="1"/>
  <c r="B12239" i="1"/>
  <c r="F12238" i="1"/>
  <c r="B12238" i="1"/>
  <c r="F12237" i="1"/>
  <c r="B12237" i="1"/>
  <c r="F12236" i="1"/>
  <c r="B12236" i="1"/>
  <c r="F12235" i="1"/>
  <c r="B12235" i="1"/>
  <c r="F12234" i="1"/>
  <c r="B12234" i="1"/>
  <c r="F12233" i="1"/>
  <c r="B12233" i="1"/>
  <c r="F12232" i="1"/>
  <c r="B12232" i="1"/>
  <c r="F12231" i="1"/>
  <c r="B12231" i="1"/>
  <c r="F12230" i="1"/>
  <c r="B12230" i="1"/>
  <c r="F12229" i="1"/>
  <c r="B12229" i="1"/>
  <c r="F12228" i="1"/>
  <c r="B12228" i="1"/>
  <c r="F12227" i="1"/>
  <c r="B12227" i="1"/>
  <c r="F12226" i="1"/>
  <c r="B12226" i="1"/>
  <c r="F12225" i="1"/>
  <c r="B12225" i="1"/>
  <c r="F12224" i="1"/>
  <c r="B12224" i="1"/>
  <c r="F12223" i="1"/>
  <c r="B12223" i="1"/>
  <c r="F12222" i="1"/>
  <c r="B12222" i="1"/>
  <c r="F12221" i="1"/>
  <c r="B12221" i="1"/>
  <c r="F12220" i="1"/>
  <c r="B12220" i="1"/>
  <c r="F12219" i="1"/>
  <c r="B12219" i="1"/>
  <c r="F12218" i="1"/>
  <c r="B12218" i="1"/>
  <c r="F12217" i="1"/>
  <c r="B12217" i="1"/>
  <c r="F12216" i="1"/>
  <c r="B12216" i="1"/>
  <c r="F12215" i="1"/>
  <c r="B12215" i="1"/>
  <c r="F12214" i="1"/>
  <c r="B12214" i="1"/>
  <c r="F12213" i="1"/>
  <c r="B12213" i="1"/>
  <c r="F12212" i="1"/>
  <c r="B12212" i="1"/>
  <c r="F12211" i="1"/>
  <c r="B12211" i="1"/>
  <c r="F12210" i="1"/>
  <c r="B12210" i="1"/>
  <c r="F12209" i="1"/>
  <c r="B12209" i="1"/>
  <c r="F12208" i="1"/>
  <c r="B12208" i="1"/>
  <c r="F12207" i="1"/>
  <c r="B12207" i="1"/>
  <c r="F12206" i="1"/>
  <c r="B12206" i="1"/>
  <c r="F12205" i="1"/>
  <c r="B12205" i="1"/>
  <c r="F12204" i="1"/>
  <c r="B12204" i="1"/>
  <c r="F12203" i="1"/>
  <c r="B12203" i="1"/>
  <c r="F12202" i="1"/>
  <c r="B12202" i="1"/>
  <c r="F12201" i="1"/>
  <c r="B12201" i="1"/>
  <c r="F12200" i="1"/>
  <c r="B12200" i="1"/>
  <c r="F12199" i="1"/>
  <c r="B12199" i="1"/>
  <c r="F12198" i="1"/>
  <c r="B12198" i="1"/>
  <c r="F12197" i="1"/>
  <c r="B12197" i="1"/>
  <c r="F12196" i="1"/>
  <c r="B12196" i="1"/>
  <c r="F12195" i="1"/>
  <c r="B12195" i="1"/>
  <c r="F12194" i="1"/>
  <c r="B12194" i="1"/>
  <c r="F12193" i="1"/>
  <c r="B12193" i="1"/>
  <c r="F12192" i="1"/>
  <c r="B12192" i="1"/>
  <c r="F12191" i="1"/>
  <c r="B12191" i="1"/>
  <c r="F12190" i="1"/>
  <c r="B12190" i="1"/>
  <c r="F12189" i="1"/>
  <c r="B12189" i="1"/>
  <c r="F12188" i="1"/>
  <c r="B12188" i="1"/>
  <c r="F12187" i="1"/>
  <c r="B12187" i="1"/>
  <c r="F12186" i="1"/>
  <c r="B12186" i="1"/>
  <c r="F12185" i="1"/>
  <c r="B12185" i="1"/>
  <c r="F12184" i="1"/>
  <c r="B12184" i="1"/>
  <c r="F12183" i="1"/>
  <c r="B12183" i="1"/>
  <c r="F12182" i="1"/>
  <c r="B12182" i="1"/>
  <c r="F12181" i="1"/>
  <c r="B12181" i="1"/>
  <c r="F12180" i="1"/>
  <c r="B12180" i="1"/>
  <c r="F12179" i="1"/>
  <c r="B12179" i="1"/>
  <c r="F12178" i="1"/>
  <c r="B12178" i="1"/>
  <c r="F12177" i="1"/>
  <c r="B12177" i="1"/>
  <c r="F12176" i="1"/>
  <c r="B12176" i="1"/>
  <c r="F12175" i="1"/>
  <c r="B12175" i="1"/>
  <c r="F12174" i="1"/>
  <c r="B12174" i="1"/>
  <c r="F12173" i="1"/>
  <c r="B12173" i="1"/>
  <c r="F12172" i="1"/>
  <c r="B12172" i="1"/>
  <c r="F12171" i="1"/>
  <c r="B12171" i="1"/>
  <c r="F12170" i="1"/>
  <c r="B12170" i="1"/>
  <c r="F12169" i="1"/>
  <c r="B12169" i="1"/>
  <c r="F12168" i="1"/>
  <c r="B12168" i="1"/>
  <c r="F12167" i="1"/>
  <c r="B12167" i="1"/>
  <c r="F12166" i="1"/>
  <c r="B12166" i="1"/>
  <c r="F12165" i="1"/>
  <c r="B12165" i="1"/>
  <c r="F12164" i="1"/>
  <c r="B12164" i="1"/>
  <c r="F12163" i="1"/>
  <c r="B12163" i="1"/>
  <c r="F12162" i="1"/>
  <c r="B12162" i="1"/>
  <c r="F12161" i="1"/>
  <c r="B12161" i="1"/>
  <c r="F12160" i="1"/>
  <c r="B12160" i="1"/>
  <c r="F12159" i="1"/>
  <c r="B12159" i="1"/>
  <c r="F12158" i="1"/>
  <c r="B12158" i="1"/>
  <c r="F12157" i="1"/>
  <c r="B12157" i="1"/>
  <c r="F12156" i="1"/>
  <c r="B12156" i="1"/>
  <c r="F12155" i="1"/>
  <c r="B12155" i="1"/>
  <c r="F12154" i="1"/>
  <c r="B12154" i="1"/>
  <c r="F12153" i="1"/>
  <c r="B12153" i="1"/>
  <c r="F12152" i="1"/>
  <c r="B12152" i="1"/>
  <c r="F12151" i="1"/>
  <c r="B12151" i="1"/>
  <c r="F12150" i="1"/>
  <c r="B12150" i="1"/>
  <c r="F12149" i="1"/>
  <c r="B12149" i="1"/>
  <c r="F12148" i="1"/>
  <c r="B12148" i="1"/>
  <c r="F12147" i="1"/>
  <c r="B12147" i="1"/>
  <c r="F12146" i="1"/>
  <c r="B12146" i="1"/>
  <c r="F12145" i="1"/>
  <c r="B12145" i="1"/>
  <c r="F12144" i="1"/>
  <c r="B12144" i="1"/>
  <c r="F12143" i="1"/>
  <c r="B12143" i="1"/>
  <c r="F12142" i="1"/>
  <c r="B12142" i="1"/>
  <c r="F12141" i="1"/>
  <c r="B12141" i="1"/>
  <c r="F12140" i="1"/>
  <c r="B12140" i="1"/>
  <c r="F12139" i="1"/>
  <c r="B12139" i="1"/>
  <c r="F12138" i="1"/>
  <c r="B12138" i="1"/>
  <c r="F12137" i="1"/>
  <c r="B12137" i="1"/>
  <c r="F12136" i="1"/>
  <c r="B12136" i="1"/>
  <c r="F12135" i="1"/>
  <c r="B12135" i="1"/>
  <c r="F12134" i="1"/>
  <c r="B12134" i="1"/>
  <c r="F12133" i="1"/>
  <c r="B12133" i="1"/>
  <c r="F12132" i="1"/>
  <c r="B12132" i="1"/>
  <c r="F12131" i="1"/>
  <c r="B12131" i="1"/>
  <c r="F12130" i="1"/>
  <c r="B12130" i="1"/>
  <c r="F12129" i="1"/>
  <c r="B12129" i="1"/>
  <c r="F12128" i="1"/>
  <c r="B12128" i="1"/>
  <c r="F12127" i="1"/>
  <c r="B12127" i="1"/>
  <c r="F12126" i="1"/>
  <c r="B12126" i="1"/>
  <c r="F12125" i="1"/>
  <c r="B12125" i="1"/>
  <c r="F12124" i="1"/>
  <c r="B12124" i="1"/>
  <c r="F12123" i="1"/>
  <c r="B12123" i="1"/>
  <c r="F12122" i="1"/>
  <c r="B12122" i="1"/>
  <c r="F12121" i="1"/>
  <c r="B12121" i="1"/>
  <c r="F12120" i="1"/>
  <c r="B12120" i="1"/>
  <c r="F12119" i="1"/>
  <c r="B12119" i="1"/>
  <c r="F12118" i="1"/>
  <c r="B12118" i="1"/>
  <c r="F12117" i="1"/>
  <c r="B12117" i="1"/>
  <c r="F12116" i="1"/>
  <c r="B12116" i="1"/>
  <c r="F12115" i="1"/>
  <c r="B12115" i="1"/>
  <c r="F12114" i="1"/>
  <c r="B12114" i="1"/>
  <c r="F12113" i="1"/>
  <c r="B12113" i="1"/>
  <c r="F12112" i="1"/>
  <c r="B12112" i="1"/>
  <c r="F12111" i="1"/>
  <c r="B12111" i="1"/>
  <c r="F12110" i="1"/>
  <c r="B12110" i="1"/>
  <c r="F12109" i="1"/>
  <c r="B12109" i="1"/>
  <c r="F12108" i="1"/>
  <c r="B12108" i="1"/>
  <c r="F12107" i="1"/>
  <c r="B12107" i="1"/>
  <c r="F12106" i="1"/>
  <c r="B12106" i="1"/>
  <c r="F12105" i="1"/>
  <c r="B12105" i="1"/>
  <c r="F12104" i="1"/>
  <c r="B12104" i="1"/>
  <c r="F12103" i="1"/>
  <c r="B12103" i="1"/>
  <c r="F12102" i="1"/>
  <c r="B12102" i="1"/>
  <c r="F12101" i="1"/>
  <c r="B12101" i="1"/>
  <c r="F12100" i="1"/>
  <c r="B12100" i="1"/>
  <c r="F12099" i="1"/>
  <c r="B12099" i="1"/>
  <c r="F12098" i="1"/>
  <c r="B12098" i="1"/>
  <c r="F12097" i="1"/>
  <c r="B12097" i="1"/>
  <c r="F12096" i="1"/>
  <c r="B12096" i="1"/>
  <c r="F12095" i="1"/>
  <c r="B12095" i="1"/>
  <c r="F12094" i="1"/>
  <c r="B12094" i="1"/>
  <c r="F12093" i="1"/>
  <c r="B12093" i="1"/>
  <c r="F12092" i="1"/>
  <c r="B12092" i="1"/>
  <c r="F12091" i="1"/>
  <c r="B12091" i="1"/>
  <c r="F12090" i="1"/>
  <c r="B12090" i="1"/>
  <c r="F12089" i="1"/>
  <c r="B12089" i="1"/>
  <c r="F12088" i="1"/>
  <c r="B12088" i="1"/>
  <c r="F12087" i="1"/>
  <c r="B12087" i="1"/>
  <c r="F12086" i="1"/>
  <c r="B12086" i="1"/>
  <c r="F12085" i="1"/>
  <c r="B12085" i="1"/>
  <c r="F12084" i="1"/>
  <c r="B12084" i="1"/>
  <c r="F12083" i="1"/>
  <c r="B12083" i="1"/>
  <c r="F12082" i="1"/>
  <c r="B12082" i="1"/>
  <c r="F12081" i="1"/>
  <c r="B12081" i="1"/>
  <c r="F12080" i="1"/>
  <c r="B12080" i="1"/>
  <c r="F12079" i="1"/>
  <c r="B12079" i="1"/>
  <c r="F12078" i="1"/>
  <c r="B12078" i="1"/>
  <c r="F12077" i="1"/>
  <c r="B12077" i="1"/>
  <c r="F12076" i="1"/>
  <c r="B12076" i="1"/>
  <c r="F12075" i="1"/>
  <c r="B12075" i="1"/>
  <c r="F12074" i="1"/>
  <c r="B12074" i="1"/>
  <c r="F12073" i="1"/>
  <c r="B12073" i="1"/>
  <c r="F12072" i="1"/>
  <c r="B12072" i="1"/>
  <c r="F12071" i="1"/>
  <c r="B12071" i="1"/>
  <c r="F12070" i="1"/>
  <c r="B12070" i="1"/>
  <c r="F12069" i="1"/>
  <c r="B12069" i="1"/>
  <c r="F12068" i="1"/>
  <c r="B12068" i="1"/>
  <c r="F12067" i="1"/>
  <c r="B12067" i="1"/>
  <c r="F12066" i="1"/>
  <c r="B12066" i="1"/>
  <c r="F12065" i="1"/>
  <c r="B12065" i="1"/>
  <c r="F12064" i="1"/>
  <c r="B12064" i="1"/>
  <c r="F12063" i="1"/>
  <c r="B12063" i="1"/>
  <c r="F12062" i="1"/>
  <c r="B12062" i="1"/>
  <c r="F12061" i="1"/>
  <c r="B12061" i="1"/>
  <c r="F12060" i="1"/>
  <c r="B12060" i="1"/>
  <c r="F12059" i="1"/>
  <c r="B12059" i="1"/>
  <c r="F12058" i="1"/>
  <c r="B12058" i="1"/>
  <c r="F12057" i="1"/>
  <c r="B12057" i="1"/>
  <c r="F12056" i="1"/>
  <c r="B12056" i="1"/>
  <c r="F12055" i="1"/>
  <c r="B12055" i="1"/>
  <c r="F12054" i="1"/>
  <c r="B12054" i="1"/>
  <c r="F12053" i="1"/>
  <c r="B12053" i="1"/>
  <c r="F12052" i="1"/>
  <c r="B12052" i="1"/>
  <c r="F12051" i="1"/>
  <c r="B12051" i="1"/>
  <c r="F12050" i="1"/>
  <c r="B12050" i="1"/>
  <c r="F12049" i="1"/>
  <c r="B12049" i="1"/>
  <c r="F12048" i="1"/>
  <c r="B12048" i="1"/>
  <c r="F12047" i="1"/>
  <c r="B12047" i="1"/>
  <c r="F12046" i="1"/>
  <c r="B12046" i="1"/>
  <c r="F12045" i="1"/>
  <c r="B12045" i="1"/>
  <c r="F12044" i="1"/>
  <c r="B12044" i="1"/>
  <c r="F12043" i="1"/>
  <c r="B12043" i="1"/>
  <c r="F12042" i="1"/>
  <c r="B12042" i="1"/>
  <c r="F12041" i="1"/>
  <c r="B12041" i="1"/>
  <c r="F12040" i="1"/>
  <c r="B12040" i="1"/>
  <c r="F12039" i="1"/>
  <c r="B12039" i="1"/>
  <c r="F12038" i="1"/>
  <c r="B12038" i="1"/>
  <c r="F12037" i="1"/>
  <c r="B12037" i="1"/>
  <c r="F12036" i="1"/>
  <c r="B12036" i="1"/>
  <c r="F12035" i="1"/>
  <c r="B12035" i="1"/>
  <c r="F12034" i="1"/>
  <c r="B12034" i="1"/>
  <c r="F12033" i="1"/>
  <c r="B12033" i="1"/>
  <c r="F12032" i="1"/>
  <c r="B12032" i="1"/>
  <c r="F12031" i="1"/>
  <c r="B12031" i="1"/>
  <c r="F12030" i="1"/>
  <c r="B12030" i="1"/>
  <c r="F12029" i="1"/>
  <c r="B12029" i="1"/>
  <c r="F12028" i="1"/>
  <c r="B12028" i="1"/>
  <c r="F12027" i="1"/>
  <c r="B12027" i="1"/>
  <c r="F12026" i="1"/>
  <c r="B12026" i="1"/>
  <c r="F12025" i="1"/>
  <c r="B12025" i="1"/>
  <c r="F12024" i="1"/>
  <c r="B12024" i="1"/>
  <c r="F12023" i="1"/>
  <c r="B12023" i="1"/>
  <c r="F12022" i="1"/>
  <c r="B12022" i="1"/>
  <c r="F12021" i="1"/>
  <c r="B12021" i="1"/>
  <c r="F12020" i="1"/>
  <c r="B12020" i="1"/>
  <c r="F12019" i="1"/>
  <c r="B12019" i="1"/>
  <c r="F12018" i="1"/>
  <c r="B12018" i="1"/>
  <c r="F12017" i="1"/>
  <c r="B12017" i="1"/>
  <c r="F12016" i="1"/>
  <c r="B12016" i="1"/>
  <c r="F12015" i="1"/>
  <c r="B12015" i="1"/>
  <c r="F12014" i="1"/>
  <c r="B12014" i="1"/>
  <c r="F12013" i="1"/>
  <c r="B12013" i="1"/>
  <c r="F12012" i="1"/>
  <c r="B12012" i="1"/>
  <c r="F12011" i="1"/>
  <c r="B12011" i="1"/>
  <c r="F12010" i="1"/>
  <c r="B12010" i="1"/>
  <c r="F12009" i="1"/>
  <c r="B12009" i="1"/>
  <c r="F12008" i="1"/>
  <c r="B12008" i="1"/>
  <c r="F12007" i="1"/>
  <c r="B12007" i="1"/>
  <c r="F12006" i="1"/>
  <c r="B12006" i="1"/>
  <c r="F12005" i="1"/>
  <c r="B12005" i="1"/>
  <c r="F12004" i="1"/>
  <c r="B12004" i="1"/>
  <c r="F12003" i="1"/>
  <c r="B12003" i="1"/>
  <c r="F12002" i="1"/>
  <c r="B12002" i="1"/>
  <c r="F12001" i="1"/>
  <c r="B12001" i="1"/>
  <c r="F12000" i="1"/>
  <c r="B12000" i="1"/>
  <c r="F11999" i="1"/>
  <c r="B11999" i="1"/>
  <c r="F11998" i="1"/>
  <c r="B11998" i="1"/>
  <c r="F11997" i="1"/>
  <c r="B11997" i="1"/>
  <c r="F11996" i="1"/>
  <c r="B11996" i="1"/>
  <c r="F11995" i="1"/>
  <c r="B11995" i="1"/>
  <c r="F11994" i="1"/>
  <c r="B11994" i="1"/>
  <c r="F11993" i="1"/>
  <c r="B11993" i="1"/>
  <c r="F11992" i="1"/>
  <c r="B11992" i="1"/>
  <c r="F11991" i="1"/>
  <c r="B11991" i="1"/>
  <c r="F11990" i="1"/>
  <c r="B11990" i="1"/>
  <c r="F11989" i="1"/>
  <c r="B11989" i="1"/>
  <c r="F11988" i="1"/>
  <c r="B11988" i="1"/>
  <c r="F11987" i="1"/>
  <c r="B11987" i="1"/>
  <c r="F11986" i="1"/>
  <c r="B11986" i="1"/>
  <c r="F11985" i="1"/>
  <c r="B11985" i="1"/>
  <c r="F11984" i="1"/>
  <c r="B11984" i="1"/>
  <c r="F11983" i="1"/>
  <c r="B11983" i="1"/>
  <c r="F11982" i="1"/>
  <c r="B11982" i="1"/>
  <c r="F11981" i="1"/>
  <c r="B11981" i="1"/>
  <c r="F11980" i="1"/>
  <c r="B11980" i="1"/>
  <c r="F11979" i="1"/>
  <c r="B11979" i="1"/>
  <c r="F11978" i="1"/>
  <c r="B11978" i="1"/>
  <c r="F11977" i="1"/>
  <c r="B11977" i="1"/>
  <c r="F11976" i="1"/>
  <c r="B11976" i="1"/>
  <c r="F11975" i="1"/>
  <c r="B11975" i="1"/>
  <c r="F11974" i="1"/>
  <c r="B11974" i="1"/>
  <c r="F11973" i="1"/>
  <c r="B11973" i="1"/>
  <c r="F11972" i="1"/>
  <c r="B11972" i="1"/>
  <c r="F11971" i="1"/>
  <c r="B11971" i="1"/>
  <c r="F11970" i="1"/>
  <c r="B11970" i="1"/>
  <c r="F11969" i="1"/>
  <c r="B11969" i="1"/>
  <c r="F11968" i="1"/>
  <c r="B11968" i="1"/>
  <c r="F11967" i="1"/>
  <c r="B11967" i="1"/>
  <c r="F11966" i="1"/>
  <c r="B11966" i="1"/>
  <c r="F11965" i="1"/>
  <c r="B11965" i="1"/>
  <c r="F11964" i="1"/>
  <c r="B11964" i="1"/>
  <c r="F11963" i="1"/>
  <c r="B11963" i="1"/>
  <c r="F11962" i="1"/>
  <c r="B11962" i="1"/>
  <c r="F11961" i="1"/>
  <c r="B11961" i="1"/>
  <c r="F11960" i="1"/>
  <c r="B11960" i="1"/>
  <c r="F11959" i="1"/>
  <c r="B11959" i="1"/>
  <c r="F11958" i="1"/>
  <c r="B11958" i="1"/>
  <c r="F11957" i="1"/>
  <c r="B11957" i="1"/>
  <c r="F11956" i="1"/>
  <c r="B11956" i="1"/>
  <c r="F11955" i="1"/>
  <c r="B11955" i="1"/>
  <c r="F11954" i="1"/>
  <c r="B11954" i="1"/>
  <c r="F11953" i="1"/>
  <c r="B11953" i="1"/>
  <c r="F11952" i="1"/>
  <c r="B11952" i="1"/>
  <c r="F11951" i="1"/>
  <c r="B11951" i="1"/>
  <c r="F11950" i="1"/>
  <c r="B11950" i="1"/>
  <c r="F11949" i="1"/>
  <c r="B11949" i="1"/>
  <c r="F11948" i="1"/>
  <c r="B11948" i="1"/>
  <c r="F11947" i="1"/>
  <c r="B11947" i="1"/>
  <c r="F11946" i="1"/>
  <c r="B11946" i="1"/>
  <c r="F11945" i="1"/>
  <c r="B11945" i="1"/>
  <c r="F11944" i="1"/>
  <c r="B11944" i="1"/>
  <c r="F11943" i="1"/>
  <c r="B11943" i="1"/>
  <c r="F11942" i="1"/>
  <c r="B11942" i="1"/>
  <c r="F11941" i="1"/>
  <c r="B11941" i="1"/>
  <c r="F11940" i="1"/>
  <c r="B11940" i="1"/>
  <c r="F11939" i="1"/>
  <c r="B11939" i="1"/>
  <c r="F11938" i="1"/>
  <c r="B11938" i="1"/>
  <c r="F11937" i="1"/>
  <c r="B11937" i="1"/>
  <c r="F11936" i="1"/>
  <c r="B11936" i="1"/>
  <c r="F11935" i="1"/>
  <c r="B11935" i="1"/>
  <c r="F11934" i="1"/>
  <c r="B11934" i="1"/>
  <c r="F11933" i="1"/>
  <c r="B11933" i="1"/>
  <c r="F11932" i="1"/>
  <c r="B11932" i="1"/>
  <c r="F11931" i="1"/>
  <c r="B11931" i="1"/>
  <c r="F11930" i="1"/>
  <c r="B11930" i="1"/>
  <c r="F11929" i="1"/>
  <c r="B11929" i="1"/>
  <c r="F11928" i="1"/>
  <c r="B11928" i="1"/>
  <c r="F11927" i="1"/>
  <c r="B11927" i="1"/>
  <c r="F11926" i="1"/>
  <c r="B11926" i="1"/>
  <c r="F11925" i="1"/>
  <c r="B11925" i="1"/>
  <c r="F11924" i="1"/>
  <c r="B11924" i="1"/>
  <c r="F11923" i="1"/>
  <c r="B11923" i="1"/>
  <c r="F11922" i="1"/>
  <c r="B11922" i="1"/>
  <c r="F11921" i="1"/>
  <c r="B11921" i="1"/>
  <c r="F11920" i="1"/>
  <c r="B11920" i="1"/>
  <c r="F11919" i="1"/>
  <c r="B11919" i="1"/>
  <c r="F11918" i="1"/>
  <c r="B11918" i="1"/>
  <c r="F11917" i="1"/>
  <c r="B11917" i="1"/>
  <c r="F11916" i="1"/>
  <c r="B11916" i="1"/>
  <c r="F11915" i="1"/>
  <c r="B11915" i="1"/>
  <c r="F11914" i="1"/>
  <c r="B11914" i="1"/>
  <c r="F11913" i="1"/>
  <c r="B11913" i="1"/>
  <c r="F11912" i="1"/>
  <c r="B11912" i="1"/>
  <c r="F11911" i="1"/>
  <c r="B11911" i="1"/>
  <c r="F11910" i="1"/>
  <c r="B11910" i="1"/>
  <c r="F11909" i="1"/>
  <c r="B11909" i="1"/>
  <c r="F11908" i="1"/>
  <c r="B11908" i="1"/>
  <c r="F11907" i="1"/>
  <c r="B11907" i="1"/>
  <c r="F11906" i="1"/>
  <c r="B11906" i="1"/>
  <c r="F11905" i="1"/>
  <c r="B11905" i="1"/>
  <c r="F11904" i="1"/>
  <c r="B11904" i="1"/>
  <c r="F11903" i="1"/>
  <c r="B11903" i="1"/>
  <c r="F11902" i="1"/>
  <c r="B11902" i="1"/>
  <c r="F11901" i="1"/>
  <c r="B11901" i="1"/>
  <c r="F11900" i="1"/>
  <c r="B11900" i="1"/>
  <c r="F11899" i="1"/>
  <c r="B11899" i="1"/>
  <c r="F11898" i="1"/>
  <c r="B11898" i="1"/>
  <c r="F11897" i="1"/>
  <c r="B11897" i="1"/>
  <c r="F11896" i="1"/>
  <c r="B11896" i="1"/>
  <c r="F11895" i="1"/>
  <c r="B11895" i="1"/>
  <c r="F11894" i="1"/>
  <c r="B11894" i="1"/>
  <c r="F11893" i="1"/>
  <c r="B11893" i="1"/>
  <c r="F11892" i="1"/>
  <c r="B11892" i="1"/>
  <c r="F11891" i="1"/>
  <c r="B11891" i="1"/>
  <c r="F11890" i="1"/>
  <c r="B11890" i="1"/>
  <c r="F11889" i="1"/>
  <c r="B11889" i="1"/>
  <c r="F11888" i="1"/>
  <c r="B11888" i="1"/>
  <c r="F11887" i="1"/>
  <c r="B11887" i="1"/>
  <c r="F11886" i="1"/>
  <c r="B11886" i="1"/>
  <c r="F11885" i="1"/>
  <c r="B11885" i="1"/>
  <c r="F11884" i="1"/>
  <c r="B11884" i="1"/>
  <c r="F11883" i="1"/>
  <c r="B11883" i="1"/>
  <c r="F11882" i="1"/>
  <c r="B11882" i="1"/>
  <c r="F11881" i="1"/>
  <c r="B11881" i="1"/>
  <c r="F11880" i="1"/>
  <c r="B11880" i="1"/>
  <c r="F11879" i="1"/>
  <c r="B11879" i="1"/>
  <c r="F11878" i="1"/>
  <c r="B11878" i="1"/>
  <c r="F11877" i="1"/>
  <c r="B11877" i="1"/>
  <c r="F11876" i="1"/>
  <c r="B11876" i="1"/>
  <c r="F11875" i="1"/>
  <c r="B11875" i="1"/>
  <c r="F11874" i="1"/>
  <c r="B11874" i="1"/>
  <c r="F11873" i="1"/>
  <c r="B11873" i="1"/>
  <c r="F11872" i="1"/>
  <c r="B11872" i="1"/>
  <c r="F11871" i="1"/>
  <c r="B11871" i="1"/>
  <c r="F11870" i="1"/>
  <c r="B11870" i="1"/>
  <c r="F11869" i="1"/>
  <c r="B11869" i="1"/>
  <c r="F11868" i="1"/>
  <c r="B11868" i="1"/>
  <c r="F11867" i="1"/>
  <c r="B11867" i="1"/>
  <c r="F11866" i="1"/>
  <c r="B11866" i="1"/>
  <c r="F11865" i="1"/>
  <c r="B11865" i="1"/>
  <c r="F11864" i="1"/>
  <c r="B11864" i="1"/>
  <c r="F11863" i="1"/>
  <c r="B11863" i="1"/>
  <c r="F11862" i="1"/>
  <c r="B11862" i="1"/>
  <c r="F11861" i="1"/>
  <c r="B11861" i="1"/>
  <c r="F11860" i="1"/>
  <c r="B11860" i="1"/>
  <c r="F11859" i="1"/>
  <c r="B11859" i="1"/>
  <c r="F11858" i="1"/>
  <c r="B11858" i="1"/>
  <c r="F11857" i="1"/>
  <c r="B11857" i="1"/>
  <c r="F11856" i="1"/>
  <c r="B11856" i="1"/>
  <c r="F11855" i="1"/>
  <c r="B11855" i="1"/>
  <c r="F11854" i="1"/>
  <c r="B11854" i="1"/>
  <c r="F11853" i="1"/>
  <c r="B11853" i="1"/>
  <c r="F11852" i="1"/>
  <c r="B11852" i="1"/>
  <c r="F11851" i="1"/>
  <c r="B11851" i="1"/>
  <c r="F11850" i="1"/>
  <c r="B11850" i="1"/>
  <c r="F11849" i="1"/>
  <c r="B11849" i="1"/>
  <c r="F11848" i="1"/>
  <c r="B11848" i="1"/>
  <c r="F11847" i="1"/>
  <c r="B11847" i="1"/>
  <c r="F11846" i="1"/>
  <c r="B11846" i="1"/>
  <c r="F11845" i="1"/>
  <c r="B11845" i="1"/>
  <c r="F11844" i="1"/>
  <c r="B11844" i="1"/>
  <c r="F11843" i="1"/>
  <c r="B11843" i="1"/>
  <c r="F11842" i="1"/>
  <c r="B11842" i="1"/>
  <c r="F11841" i="1"/>
  <c r="B11841" i="1"/>
  <c r="F11840" i="1"/>
  <c r="B11840" i="1"/>
  <c r="F11839" i="1"/>
  <c r="B11839" i="1"/>
  <c r="F11838" i="1"/>
  <c r="B11838" i="1"/>
  <c r="F11837" i="1"/>
  <c r="B11837" i="1"/>
  <c r="F11836" i="1"/>
  <c r="B11836" i="1"/>
  <c r="F11835" i="1"/>
  <c r="B11835" i="1"/>
  <c r="F11834" i="1"/>
  <c r="B11834" i="1"/>
  <c r="F11833" i="1"/>
  <c r="B11833" i="1"/>
  <c r="F11832" i="1"/>
  <c r="B11832" i="1"/>
  <c r="F11831" i="1"/>
  <c r="B11831" i="1"/>
  <c r="F11830" i="1"/>
  <c r="B11830" i="1"/>
  <c r="F11829" i="1"/>
  <c r="B11829" i="1"/>
  <c r="F11828" i="1"/>
  <c r="B11828" i="1"/>
  <c r="F11827" i="1"/>
  <c r="B11827" i="1"/>
  <c r="F11826" i="1"/>
  <c r="B11826" i="1"/>
  <c r="F11825" i="1"/>
  <c r="B11825" i="1"/>
  <c r="F11824" i="1"/>
  <c r="B11824" i="1"/>
  <c r="F11823" i="1"/>
  <c r="B11823" i="1"/>
  <c r="F11822" i="1"/>
  <c r="B11822" i="1"/>
  <c r="F11821" i="1"/>
  <c r="B11821" i="1"/>
  <c r="F11820" i="1"/>
  <c r="B11820" i="1"/>
  <c r="F11819" i="1"/>
  <c r="B11819" i="1"/>
  <c r="F11818" i="1"/>
  <c r="B11818" i="1"/>
  <c r="F11817" i="1"/>
  <c r="B11817" i="1"/>
  <c r="F11816" i="1"/>
  <c r="B11816" i="1"/>
  <c r="F11815" i="1"/>
  <c r="B11815" i="1"/>
  <c r="F11814" i="1"/>
  <c r="B11814" i="1"/>
  <c r="F11813" i="1"/>
  <c r="B11813" i="1"/>
  <c r="F11812" i="1"/>
  <c r="B11812" i="1"/>
  <c r="F11811" i="1"/>
  <c r="B11811" i="1"/>
  <c r="F11810" i="1"/>
  <c r="B11810" i="1"/>
  <c r="F11809" i="1"/>
  <c r="B11809" i="1"/>
  <c r="F11808" i="1"/>
  <c r="B11808" i="1"/>
  <c r="F11807" i="1"/>
  <c r="B11807" i="1"/>
  <c r="F11806" i="1"/>
  <c r="B11806" i="1"/>
  <c r="F11805" i="1"/>
  <c r="B11805" i="1"/>
  <c r="F11804" i="1"/>
  <c r="B11804" i="1"/>
  <c r="F11803" i="1"/>
  <c r="B11803" i="1"/>
  <c r="F11802" i="1"/>
  <c r="B11802" i="1"/>
  <c r="F11801" i="1"/>
  <c r="B11801" i="1"/>
  <c r="F11800" i="1"/>
  <c r="B11800" i="1"/>
  <c r="F11799" i="1"/>
  <c r="B11799" i="1"/>
  <c r="F11798" i="1"/>
  <c r="B11798" i="1"/>
  <c r="F11797" i="1"/>
  <c r="B11797" i="1"/>
  <c r="F11796" i="1"/>
  <c r="B11796" i="1"/>
  <c r="F11795" i="1"/>
  <c r="B11795" i="1"/>
  <c r="F11794" i="1"/>
  <c r="B11794" i="1"/>
  <c r="F11793" i="1"/>
  <c r="B11793" i="1"/>
  <c r="F11792" i="1"/>
  <c r="B11792" i="1"/>
  <c r="F11791" i="1"/>
  <c r="B11791" i="1"/>
  <c r="F11790" i="1"/>
  <c r="B11790" i="1"/>
  <c r="F11789" i="1"/>
  <c r="B11789" i="1"/>
  <c r="F11788" i="1"/>
  <c r="B11788" i="1"/>
  <c r="F11787" i="1"/>
  <c r="B11787" i="1"/>
  <c r="F11786" i="1"/>
  <c r="B11786" i="1"/>
  <c r="F11785" i="1"/>
  <c r="B11785" i="1"/>
  <c r="F11784" i="1"/>
  <c r="B11784" i="1"/>
  <c r="F11783" i="1"/>
  <c r="B11783" i="1"/>
  <c r="F11782" i="1"/>
  <c r="B11782" i="1"/>
  <c r="F11781" i="1"/>
  <c r="B11781" i="1"/>
  <c r="F11780" i="1"/>
  <c r="B11780" i="1"/>
  <c r="F11779" i="1"/>
  <c r="B11779" i="1"/>
  <c r="F11778" i="1"/>
  <c r="B11778" i="1"/>
  <c r="F11777" i="1"/>
  <c r="B11777" i="1"/>
  <c r="F11776" i="1"/>
  <c r="B11776" i="1"/>
  <c r="F11775" i="1"/>
  <c r="B11775" i="1"/>
  <c r="F11774" i="1"/>
  <c r="B11774" i="1"/>
  <c r="F11773" i="1"/>
  <c r="B11773" i="1"/>
  <c r="F11772" i="1"/>
  <c r="B11772" i="1"/>
  <c r="F11771" i="1"/>
  <c r="B11771" i="1"/>
  <c r="F11770" i="1"/>
  <c r="B11770" i="1"/>
  <c r="F11769" i="1"/>
  <c r="B11769" i="1"/>
  <c r="F11768" i="1"/>
  <c r="B11768" i="1"/>
  <c r="F11767" i="1"/>
  <c r="B11767" i="1"/>
  <c r="F11766" i="1"/>
  <c r="B11766" i="1"/>
  <c r="F11765" i="1"/>
  <c r="B11765" i="1"/>
  <c r="F11764" i="1"/>
  <c r="B11764" i="1"/>
  <c r="F11763" i="1"/>
  <c r="B11763" i="1"/>
  <c r="F11762" i="1"/>
  <c r="B11762" i="1"/>
  <c r="F11761" i="1"/>
  <c r="B11761" i="1"/>
  <c r="F11760" i="1"/>
  <c r="B11760" i="1"/>
  <c r="F11759" i="1"/>
  <c r="B11759" i="1"/>
  <c r="F11758" i="1"/>
  <c r="B11758" i="1"/>
  <c r="F11757" i="1"/>
  <c r="B11757" i="1"/>
  <c r="F11756" i="1"/>
  <c r="B11756" i="1"/>
  <c r="F11755" i="1"/>
  <c r="B11755" i="1"/>
  <c r="F11754" i="1"/>
  <c r="B11754" i="1"/>
  <c r="F11753" i="1"/>
  <c r="B11753" i="1"/>
  <c r="F11752" i="1"/>
  <c r="B11752" i="1"/>
  <c r="F11751" i="1"/>
  <c r="B11751" i="1"/>
  <c r="F11750" i="1"/>
  <c r="B11750" i="1"/>
  <c r="F11749" i="1"/>
  <c r="B11749" i="1"/>
  <c r="F11748" i="1"/>
  <c r="B11748" i="1"/>
  <c r="F11747" i="1"/>
  <c r="B11747" i="1"/>
  <c r="F11746" i="1"/>
  <c r="B11746" i="1"/>
  <c r="F11745" i="1"/>
  <c r="B11745" i="1"/>
  <c r="F11744" i="1"/>
  <c r="B11744" i="1"/>
  <c r="F11743" i="1"/>
  <c r="B11743" i="1"/>
  <c r="F11742" i="1"/>
  <c r="B11742" i="1"/>
  <c r="F11741" i="1"/>
  <c r="B11741" i="1"/>
  <c r="F11740" i="1"/>
  <c r="B11740" i="1"/>
  <c r="F11739" i="1"/>
  <c r="B11739" i="1"/>
  <c r="F11738" i="1"/>
  <c r="B11738" i="1"/>
  <c r="F11737" i="1"/>
  <c r="B11737" i="1"/>
  <c r="F11736" i="1"/>
  <c r="B11736" i="1"/>
  <c r="F11735" i="1"/>
  <c r="B11735" i="1"/>
  <c r="F11734" i="1"/>
  <c r="B11734" i="1"/>
  <c r="F11733" i="1"/>
  <c r="B11733" i="1"/>
  <c r="F11732" i="1"/>
  <c r="B11732" i="1"/>
  <c r="F11731" i="1"/>
  <c r="B11731" i="1"/>
  <c r="F11730" i="1"/>
  <c r="B11730" i="1"/>
  <c r="F11729" i="1"/>
  <c r="B11729" i="1"/>
  <c r="F11728" i="1"/>
  <c r="B11728" i="1"/>
  <c r="F11727" i="1"/>
  <c r="B11727" i="1"/>
  <c r="F11726" i="1"/>
  <c r="B11726" i="1"/>
  <c r="F11725" i="1"/>
  <c r="B11725" i="1"/>
  <c r="F11724" i="1"/>
  <c r="B11724" i="1"/>
  <c r="F11723" i="1"/>
  <c r="B11723" i="1"/>
  <c r="F11722" i="1"/>
  <c r="B11722" i="1"/>
  <c r="F11721" i="1"/>
  <c r="B11721" i="1"/>
  <c r="F11720" i="1"/>
  <c r="B11720" i="1"/>
  <c r="F11719" i="1"/>
  <c r="B11719" i="1"/>
  <c r="F11718" i="1"/>
  <c r="B11718" i="1"/>
  <c r="F11717" i="1"/>
  <c r="B11717" i="1"/>
  <c r="F11716" i="1"/>
  <c r="B11716" i="1"/>
  <c r="F11715" i="1"/>
  <c r="B11715" i="1"/>
  <c r="F11714" i="1"/>
  <c r="B11714" i="1"/>
  <c r="F11713" i="1"/>
  <c r="B11713" i="1"/>
  <c r="F11712" i="1"/>
  <c r="B11712" i="1"/>
  <c r="F11711" i="1"/>
  <c r="B11711" i="1"/>
  <c r="F11710" i="1"/>
  <c r="B11710" i="1"/>
  <c r="F11709" i="1"/>
  <c r="B11709" i="1"/>
  <c r="F11708" i="1"/>
  <c r="B11708" i="1"/>
  <c r="F11707" i="1"/>
  <c r="B11707" i="1"/>
  <c r="F11706" i="1"/>
  <c r="B11706" i="1"/>
  <c r="F11705" i="1"/>
  <c r="B11705" i="1"/>
  <c r="F11704" i="1"/>
  <c r="B11704" i="1"/>
  <c r="F11703" i="1"/>
  <c r="B11703" i="1"/>
  <c r="F11702" i="1"/>
  <c r="B11702" i="1"/>
  <c r="F11701" i="1"/>
  <c r="B11701" i="1"/>
  <c r="F11700" i="1"/>
  <c r="B11700" i="1"/>
  <c r="F11699" i="1"/>
  <c r="B11699" i="1"/>
  <c r="F11698" i="1"/>
  <c r="B11698" i="1"/>
  <c r="F11697" i="1"/>
  <c r="B11697" i="1"/>
  <c r="F11696" i="1"/>
  <c r="B11696" i="1"/>
  <c r="F11695" i="1"/>
  <c r="B11695" i="1"/>
  <c r="F11694" i="1"/>
  <c r="B11694" i="1"/>
  <c r="F11693" i="1"/>
  <c r="B11693" i="1"/>
  <c r="F11692" i="1"/>
  <c r="B11692" i="1"/>
  <c r="F11691" i="1"/>
  <c r="B11691" i="1"/>
  <c r="F11690" i="1"/>
  <c r="B11690" i="1"/>
  <c r="F11689" i="1"/>
  <c r="B11689" i="1"/>
  <c r="F11688" i="1"/>
  <c r="B11688" i="1"/>
  <c r="F11687" i="1"/>
  <c r="B11687" i="1"/>
  <c r="F11686" i="1"/>
  <c r="B11686" i="1"/>
  <c r="F11685" i="1"/>
  <c r="B11685" i="1"/>
  <c r="F11684" i="1"/>
  <c r="B11684" i="1"/>
  <c r="F11683" i="1"/>
  <c r="B11683" i="1"/>
  <c r="F11682" i="1"/>
  <c r="B11682" i="1"/>
  <c r="F11681" i="1"/>
  <c r="B11681" i="1"/>
  <c r="F11680" i="1"/>
  <c r="B11680" i="1"/>
  <c r="F11679" i="1"/>
  <c r="B11679" i="1"/>
  <c r="F11678" i="1"/>
  <c r="B11678" i="1"/>
  <c r="F11677" i="1"/>
  <c r="B11677" i="1"/>
  <c r="F11676" i="1"/>
  <c r="B11676" i="1"/>
  <c r="F11675" i="1"/>
  <c r="B11675" i="1"/>
  <c r="F11674" i="1"/>
  <c r="B11674" i="1"/>
  <c r="F11673" i="1"/>
  <c r="B11673" i="1"/>
  <c r="F11672" i="1"/>
  <c r="B11672" i="1"/>
  <c r="F11671" i="1"/>
  <c r="B11671" i="1"/>
  <c r="F11670" i="1"/>
  <c r="B11670" i="1"/>
  <c r="F11669" i="1"/>
  <c r="B11669" i="1"/>
  <c r="F11668" i="1"/>
  <c r="B11668" i="1"/>
  <c r="F11667" i="1"/>
  <c r="B11667" i="1"/>
  <c r="F11666" i="1"/>
  <c r="B11666" i="1"/>
  <c r="F11665" i="1"/>
  <c r="B11665" i="1"/>
  <c r="F11664" i="1"/>
  <c r="B11664" i="1"/>
  <c r="F11663" i="1"/>
  <c r="B11663" i="1"/>
  <c r="F11662" i="1"/>
  <c r="B11662" i="1"/>
  <c r="F11661" i="1"/>
  <c r="B11661" i="1"/>
  <c r="F11660" i="1"/>
  <c r="B11660" i="1"/>
  <c r="F11659" i="1"/>
  <c r="B11659" i="1"/>
  <c r="F11658" i="1"/>
  <c r="B11658" i="1"/>
  <c r="F11657" i="1"/>
  <c r="B11657" i="1"/>
  <c r="F11656" i="1"/>
  <c r="B11656" i="1"/>
  <c r="F11655" i="1"/>
  <c r="B11655" i="1"/>
  <c r="F11654" i="1"/>
  <c r="B11654" i="1"/>
  <c r="F11653" i="1"/>
  <c r="B11653" i="1"/>
  <c r="F11652" i="1"/>
  <c r="B11652" i="1"/>
  <c r="F11651" i="1"/>
  <c r="B11651" i="1"/>
  <c r="F11650" i="1"/>
  <c r="B11650" i="1"/>
  <c r="F11649" i="1"/>
  <c r="B11649" i="1"/>
  <c r="F11648" i="1"/>
  <c r="B11648" i="1"/>
  <c r="F11647" i="1"/>
  <c r="B11647" i="1"/>
  <c r="F11646" i="1"/>
  <c r="B11646" i="1"/>
  <c r="F11645" i="1"/>
  <c r="B11645" i="1"/>
  <c r="F11644" i="1"/>
  <c r="B11644" i="1"/>
  <c r="F11643" i="1"/>
  <c r="B11643" i="1"/>
  <c r="F11642" i="1"/>
  <c r="B11642" i="1"/>
  <c r="F11641" i="1"/>
  <c r="B11641" i="1"/>
  <c r="F11640" i="1"/>
  <c r="B11640" i="1"/>
  <c r="F11639" i="1"/>
  <c r="B11639" i="1"/>
  <c r="F11638" i="1"/>
  <c r="B11638" i="1"/>
  <c r="F11637" i="1"/>
  <c r="B11637" i="1"/>
  <c r="F11636" i="1"/>
  <c r="B11636" i="1"/>
  <c r="F11635" i="1"/>
  <c r="B11635" i="1"/>
  <c r="F11634" i="1"/>
  <c r="B11634" i="1"/>
  <c r="F11633" i="1"/>
  <c r="B11633" i="1"/>
  <c r="F11632" i="1"/>
  <c r="B11632" i="1"/>
  <c r="F11631" i="1"/>
  <c r="B11631" i="1"/>
  <c r="F11630" i="1"/>
  <c r="B11630" i="1"/>
  <c r="F11629" i="1"/>
  <c r="B11629" i="1"/>
  <c r="F11628" i="1"/>
  <c r="B11628" i="1"/>
  <c r="F11627" i="1"/>
  <c r="B11627" i="1"/>
  <c r="F11626" i="1"/>
  <c r="B11626" i="1"/>
  <c r="F11625" i="1"/>
  <c r="B11625" i="1"/>
  <c r="F11624" i="1"/>
  <c r="B11624" i="1"/>
  <c r="F11623" i="1"/>
  <c r="B11623" i="1"/>
  <c r="F11622" i="1"/>
  <c r="B11622" i="1"/>
  <c r="F11621" i="1"/>
  <c r="B11621" i="1"/>
  <c r="F11620" i="1"/>
  <c r="B11620" i="1"/>
  <c r="F11619" i="1"/>
  <c r="B11619" i="1"/>
  <c r="F11618" i="1"/>
  <c r="B11618" i="1"/>
  <c r="F11617" i="1"/>
  <c r="B11617" i="1"/>
  <c r="F11616" i="1"/>
  <c r="B11616" i="1"/>
  <c r="F11615" i="1"/>
  <c r="B11615" i="1"/>
  <c r="F11614" i="1"/>
  <c r="B11614" i="1"/>
  <c r="F11613" i="1"/>
  <c r="B11613" i="1"/>
  <c r="F11612" i="1"/>
  <c r="B11612" i="1"/>
  <c r="F11611" i="1"/>
  <c r="B11611" i="1"/>
  <c r="F11610" i="1"/>
  <c r="B11610" i="1"/>
  <c r="F11609" i="1"/>
  <c r="B11609" i="1"/>
  <c r="F11608" i="1"/>
  <c r="B11608" i="1"/>
  <c r="F11607" i="1"/>
  <c r="B11607" i="1"/>
  <c r="F11606" i="1"/>
  <c r="B11606" i="1"/>
  <c r="F11605" i="1"/>
  <c r="B11605" i="1"/>
  <c r="F11604" i="1"/>
  <c r="B11604" i="1"/>
  <c r="F11603" i="1"/>
  <c r="B11603" i="1"/>
  <c r="F11602" i="1"/>
  <c r="B11602" i="1"/>
  <c r="F11601" i="1"/>
  <c r="B11601" i="1"/>
  <c r="F11600" i="1"/>
  <c r="B11600" i="1"/>
  <c r="F11599" i="1"/>
  <c r="B11599" i="1"/>
  <c r="F11598" i="1"/>
  <c r="B11598" i="1"/>
  <c r="F11597" i="1"/>
  <c r="B11597" i="1"/>
  <c r="F11596" i="1"/>
  <c r="B11596" i="1"/>
  <c r="F11595" i="1"/>
  <c r="B11595" i="1"/>
  <c r="F11594" i="1"/>
  <c r="B11594" i="1"/>
  <c r="F11593" i="1"/>
  <c r="B11593" i="1"/>
  <c r="F11592" i="1"/>
  <c r="B11592" i="1"/>
  <c r="F11591" i="1"/>
  <c r="B11591" i="1"/>
  <c r="F11590" i="1"/>
  <c r="B11590" i="1"/>
  <c r="F11589" i="1"/>
  <c r="B11589" i="1"/>
  <c r="F11588" i="1"/>
  <c r="B11588" i="1"/>
  <c r="F11587" i="1"/>
  <c r="B11587" i="1"/>
  <c r="F11586" i="1"/>
  <c r="B11586" i="1"/>
  <c r="F11585" i="1"/>
  <c r="B11585" i="1"/>
  <c r="F11584" i="1"/>
  <c r="B11584" i="1"/>
  <c r="F11583" i="1"/>
  <c r="B11583" i="1"/>
  <c r="F11582" i="1"/>
  <c r="B11582" i="1"/>
  <c r="F11581" i="1"/>
  <c r="B11581" i="1"/>
  <c r="F11580" i="1"/>
  <c r="B11580" i="1"/>
  <c r="F11579" i="1"/>
  <c r="B11579" i="1"/>
  <c r="F11578" i="1"/>
  <c r="B11578" i="1"/>
  <c r="F11577" i="1"/>
  <c r="B11577" i="1"/>
  <c r="F11576" i="1"/>
  <c r="B11576" i="1"/>
  <c r="F11575" i="1"/>
  <c r="B11575" i="1"/>
  <c r="F11574" i="1"/>
  <c r="B11574" i="1"/>
  <c r="F11573" i="1"/>
  <c r="B11573" i="1"/>
  <c r="F11572" i="1"/>
  <c r="B11572" i="1"/>
  <c r="F11571" i="1"/>
  <c r="B11571" i="1"/>
  <c r="F11570" i="1"/>
  <c r="B11570" i="1"/>
  <c r="F11569" i="1"/>
  <c r="B11569" i="1"/>
  <c r="F11568" i="1"/>
  <c r="B11568" i="1"/>
  <c r="F11567" i="1"/>
  <c r="B11567" i="1"/>
  <c r="F11566" i="1"/>
  <c r="B11566" i="1"/>
  <c r="F11565" i="1"/>
  <c r="B11565" i="1"/>
  <c r="F11564" i="1"/>
  <c r="B11564" i="1"/>
  <c r="F11563" i="1"/>
  <c r="B11563" i="1"/>
  <c r="F11562" i="1"/>
  <c r="B11562" i="1"/>
  <c r="F11561" i="1"/>
  <c r="B11561" i="1"/>
  <c r="F11560" i="1"/>
  <c r="B11560" i="1"/>
  <c r="F11559" i="1"/>
  <c r="B11559" i="1"/>
  <c r="F11558" i="1"/>
  <c r="B11558" i="1"/>
  <c r="F11557" i="1"/>
  <c r="B11557" i="1"/>
  <c r="F11556" i="1"/>
  <c r="B11556" i="1"/>
  <c r="F11555" i="1"/>
  <c r="B11555" i="1"/>
  <c r="F11554" i="1"/>
  <c r="B11554" i="1"/>
  <c r="F11553" i="1"/>
  <c r="B11553" i="1"/>
  <c r="F11552" i="1"/>
  <c r="B11552" i="1"/>
  <c r="F11551" i="1"/>
  <c r="B11551" i="1"/>
  <c r="F11550" i="1"/>
  <c r="B11550" i="1"/>
  <c r="F11549" i="1"/>
  <c r="F11548" i="1"/>
  <c r="F11547" i="1"/>
  <c r="B11547" i="1"/>
  <c r="F11546" i="1"/>
  <c r="B11546" i="1"/>
  <c r="F11545" i="1"/>
  <c r="B11545" i="1"/>
  <c r="F11544" i="1"/>
  <c r="B11544" i="1"/>
  <c r="F11543" i="1"/>
  <c r="B11543" i="1"/>
  <c r="F11542" i="1"/>
  <c r="B11542" i="1"/>
  <c r="F11541" i="1"/>
  <c r="B11541" i="1"/>
  <c r="F11540" i="1"/>
  <c r="B11540" i="1"/>
  <c r="F11539" i="1"/>
  <c r="B11539" i="1"/>
  <c r="F11538" i="1"/>
  <c r="B11538" i="1"/>
  <c r="F11537" i="1"/>
  <c r="B11537" i="1"/>
  <c r="F11536" i="1"/>
  <c r="B11536" i="1"/>
  <c r="F11535" i="1"/>
  <c r="B11535" i="1"/>
  <c r="F11534" i="1"/>
  <c r="B11534" i="1"/>
  <c r="F11533" i="1"/>
  <c r="B11533" i="1"/>
  <c r="F11532" i="1"/>
  <c r="B11532" i="1"/>
  <c r="F11531" i="1"/>
  <c r="B11531" i="1"/>
  <c r="F11530" i="1"/>
  <c r="B11530" i="1"/>
  <c r="F11529" i="1"/>
  <c r="B11529" i="1"/>
  <c r="F11528" i="1"/>
  <c r="B11528" i="1"/>
  <c r="F11527" i="1"/>
  <c r="B11527" i="1"/>
  <c r="F11526" i="1"/>
  <c r="B11526" i="1"/>
  <c r="F11525" i="1"/>
  <c r="B11525" i="1"/>
  <c r="F11524" i="1"/>
  <c r="B11524" i="1"/>
  <c r="F11523" i="1"/>
  <c r="B11523" i="1"/>
  <c r="F11522" i="1"/>
  <c r="B11522" i="1"/>
  <c r="F11521" i="1"/>
  <c r="B11521" i="1"/>
  <c r="F11520" i="1"/>
  <c r="B11520" i="1"/>
  <c r="F11519" i="1"/>
  <c r="B11519" i="1"/>
  <c r="F11518" i="1"/>
  <c r="B11518" i="1"/>
  <c r="F11517" i="1"/>
  <c r="B11517" i="1"/>
  <c r="F11516" i="1"/>
  <c r="B11516" i="1"/>
  <c r="F11515" i="1"/>
  <c r="B11515" i="1"/>
  <c r="F11514" i="1"/>
  <c r="B11514" i="1"/>
  <c r="F11513" i="1"/>
  <c r="B11513" i="1"/>
  <c r="F11512" i="1"/>
  <c r="B11512" i="1"/>
  <c r="F11511" i="1"/>
  <c r="B11511" i="1"/>
  <c r="F11510" i="1"/>
  <c r="B11510" i="1"/>
  <c r="F11509" i="1"/>
  <c r="B11509" i="1"/>
  <c r="F11508" i="1"/>
  <c r="B11508" i="1"/>
  <c r="F11507" i="1"/>
  <c r="B11507" i="1"/>
  <c r="F11506" i="1"/>
  <c r="B11506" i="1"/>
  <c r="F11505" i="1"/>
  <c r="B11505" i="1"/>
  <c r="F11504" i="1"/>
  <c r="B11504" i="1"/>
  <c r="F11503" i="1"/>
  <c r="B11503" i="1"/>
  <c r="F11502" i="1"/>
  <c r="B11502" i="1"/>
  <c r="F11501" i="1"/>
  <c r="B11501" i="1"/>
  <c r="F11500" i="1"/>
  <c r="B11500" i="1"/>
  <c r="F11499" i="1"/>
  <c r="B11499" i="1"/>
  <c r="F11498" i="1"/>
  <c r="B11498" i="1"/>
  <c r="F11497" i="1"/>
  <c r="B11497" i="1"/>
  <c r="F11496" i="1"/>
  <c r="B11496" i="1"/>
  <c r="F11495" i="1"/>
  <c r="B11495" i="1"/>
  <c r="F11494" i="1"/>
  <c r="B11494" i="1"/>
  <c r="F11493" i="1"/>
  <c r="B11493" i="1"/>
  <c r="F11492" i="1"/>
  <c r="B11492" i="1"/>
  <c r="F11491" i="1"/>
  <c r="B11491" i="1"/>
  <c r="F11490" i="1"/>
  <c r="B11490" i="1"/>
  <c r="F11489" i="1"/>
  <c r="B11489" i="1"/>
  <c r="F11488" i="1"/>
  <c r="B11488" i="1"/>
  <c r="F11487" i="1"/>
  <c r="B11487" i="1"/>
  <c r="F11486" i="1"/>
  <c r="B11486" i="1"/>
  <c r="F11485" i="1"/>
  <c r="B11485" i="1"/>
  <c r="F11484" i="1"/>
  <c r="B11484" i="1"/>
  <c r="F11483" i="1"/>
  <c r="B11483" i="1"/>
  <c r="F11482" i="1"/>
  <c r="B11482" i="1"/>
  <c r="F11481" i="1"/>
  <c r="B11481" i="1"/>
  <c r="F11480" i="1"/>
  <c r="B11480" i="1"/>
  <c r="F11479" i="1"/>
  <c r="B11479" i="1"/>
  <c r="F11478" i="1"/>
  <c r="B11478" i="1"/>
  <c r="F11477" i="1"/>
  <c r="B11477" i="1"/>
  <c r="F11476" i="1"/>
  <c r="B11476" i="1"/>
  <c r="F11475" i="1"/>
  <c r="B11475" i="1"/>
  <c r="F11474" i="1"/>
  <c r="B11474" i="1"/>
  <c r="F11473" i="1"/>
  <c r="B11473" i="1"/>
  <c r="F11472" i="1"/>
  <c r="B11472" i="1"/>
  <c r="F11471" i="1"/>
  <c r="B11471" i="1"/>
  <c r="F11470" i="1"/>
  <c r="B11470" i="1"/>
  <c r="F11469" i="1"/>
  <c r="B11469" i="1"/>
  <c r="F11468" i="1"/>
  <c r="B11468" i="1"/>
  <c r="F11467" i="1"/>
  <c r="B11467" i="1"/>
  <c r="F11466" i="1"/>
  <c r="B11466" i="1"/>
  <c r="F11465" i="1"/>
  <c r="B11465" i="1"/>
  <c r="F11464" i="1"/>
  <c r="B11464" i="1"/>
  <c r="F11463" i="1"/>
  <c r="B11463" i="1"/>
  <c r="F11462" i="1"/>
  <c r="B11462" i="1"/>
  <c r="F11461" i="1"/>
  <c r="B11461" i="1"/>
  <c r="F11460" i="1"/>
  <c r="B11460" i="1"/>
  <c r="F11459" i="1"/>
  <c r="B11459" i="1"/>
  <c r="F11458" i="1"/>
  <c r="B11458" i="1"/>
  <c r="F11457" i="1"/>
  <c r="B11457" i="1"/>
  <c r="F11456" i="1"/>
  <c r="B11456" i="1"/>
  <c r="F11455" i="1"/>
  <c r="B11455" i="1"/>
  <c r="F11454" i="1"/>
  <c r="B11454" i="1"/>
  <c r="F11453" i="1"/>
  <c r="B11453" i="1"/>
  <c r="F11452" i="1"/>
  <c r="B11452" i="1"/>
  <c r="F11451" i="1"/>
  <c r="B11451" i="1"/>
  <c r="F11450" i="1"/>
  <c r="B11450" i="1"/>
  <c r="F11449" i="1"/>
  <c r="B11449" i="1"/>
  <c r="F11448" i="1"/>
  <c r="B11448" i="1"/>
  <c r="F11447" i="1"/>
  <c r="B11447" i="1"/>
  <c r="F11446" i="1"/>
  <c r="B11446" i="1"/>
  <c r="F11445" i="1"/>
  <c r="B11445" i="1"/>
  <c r="F11444" i="1"/>
  <c r="B11444" i="1"/>
  <c r="F11443" i="1"/>
  <c r="B11443" i="1"/>
  <c r="F11442" i="1"/>
  <c r="B11442" i="1"/>
  <c r="F11441" i="1"/>
  <c r="B11441" i="1"/>
  <c r="F11440" i="1"/>
  <c r="B11440" i="1"/>
  <c r="F11439" i="1"/>
  <c r="B11439" i="1"/>
  <c r="F11438" i="1"/>
  <c r="B11438" i="1"/>
  <c r="F11437" i="1"/>
  <c r="B11437" i="1"/>
  <c r="F11436" i="1"/>
  <c r="B11436" i="1"/>
  <c r="F11435" i="1"/>
  <c r="B11435" i="1"/>
  <c r="F11434" i="1"/>
  <c r="B11434" i="1"/>
  <c r="F11433" i="1"/>
  <c r="B11433" i="1"/>
  <c r="F11432" i="1"/>
  <c r="B11432" i="1"/>
  <c r="F11431" i="1"/>
  <c r="B11431" i="1"/>
  <c r="F11430" i="1"/>
  <c r="B11430" i="1"/>
  <c r="F11429" i="1"/>
  <c r="B11429" i="1"/>
  <c r="F11428" i="1"/>
  <c r="B11428" i="1"/>
  <c r="F11427" i="1"/>
  <c r="B11427" i="1"/>
  <c r="F11426" i="1"/>
  <c r="B11426" i="1"/>
  <c r="F11425" i="1"/>
  <c r="B11425" i="1"/>
  <c r="F11424" i="1"/>
  <c r="B11424" i="1"/>
  <c r="F11423" i="1"/>
  <c r="B11423" i="1"/>
  <c r="F11422" i="1"/>
  <c r="B11422" i="1"/>
  <c r="F11421" i="1"/>
  <c r="B11421" i="1"/>
  <c r="F11420" i="1"/>
  <c r="B11420" i="1"/>
  <c r="F11419" i="1"/>
  <c r="B11419" i="1"/>
  <c r="F11418" i="1"/>
  <c r="B11418" i="1"/>
  <c r="F11417" i="1"/>
  <c r="B11417" i="1"/>
  <c r="F11416" i="1"/>
  <c r="B11416" i="1"/>
  <c r="F11415" i="1"/>
  <c r="B11415" i="1"/>
  <c r="F11414" i="1"/>
  <c r="B11414" i="1"/>
  <c r="F11413" i="1"/>
  <c r="B11413" i="1"/>
  <c r="F11412" i="1"/>
  <c r="B11412" i="1"/>
  <c r="F11411" i="1"/>
  <c r="B11411" i="1"/>
  <c r="F11410" i="1"/>
  <c r="B11410" i="1"/>
  <c r="F11409" i="1"/>
  <c r="B11409" i="1"/>
  <c r="F11408" i="1"/>
  <c r="B11408" i="1"/>
  <c r="F11407" i="1"/>
  <c r="B11407" i="1"/>
  <c r="F11406" i="1"/>
  <c r="B11406" i="1"/>
  <c r="F11405" i="1"/>
  <c r="B11405" i="1"/>
  <c r="F11404" i="1"/>
  <c r="B11404" i="1"/>
  <c r="F11403" i="1"/>
  <c r="B11403" i="1"/>
  <c r="F11402" i="1"/>
  <c r="B11402" i="1"/>
  <c r="F11401" i="1"/>
  <c r="B11401" i="1"/>
  <c r="F11400" i="1"/>
  <c r="B11400" i="1"/>
  <c r="F11399" i="1"/>
  <c r="B11399" i="1"/>
  <c r="F11398" i="1"/>
  <c r="B11398" i="1"/>
  <c r="F11397" i="1"/>
  <c r="B11397" i="1"/>
  <c r="F11396" i="1"/>
  <c r="B11396" i="1"/>
  <c r="F11395" i="1"/>
  <c r="B11395" i="1"/>
  <c r="F11394" i="1"/>
  <c r="B11394" i="1"/>
  <c r="F11393" i="1"/>
  <c r="B11393" i="1"/>
  <c r="F11392" i="1"/>
  <c r="B11392" i="1"/>
  <c r="F11391" i="1"/>
  <c r="B11391" i="1"/>
  <c r="F11390" i="1"/>
  <c r="B11390" i="1"/>
  <c r="F11389" i="1"/>
  <c r="B11389" i="1"/>
  <c r="F11388" i="1"/>
  <c r="B11388" i="1"/>
  <c r="F11387" i="1"/>
  <c r="B11387" i="1"/>
  <c r="F11386" i="1"/>
  <c r="B11386" i="1"/>
  <c r="F11385" i="1"/>
  <c r="B11385" i="1"/>
  <c r="F11384" i="1"/>
  <c r="B11384" i="1"/>
  <c r="F11383" i="1"/>
  <c r="B11383" i="1"/>
  <c r="F11382" i="1"/>
  <c r="B11382" i="1"/>
  <c r="F11381" i="1"/>
  <c r="B11381" i="1"/>
  <c r="F11380" i="1"/>
  <c r="B11380" i="1"/>
  <c r="F11379" i="1"/>
  <c r="B11379" i="1"/>
  <c r="F11378" i="1"/>
  <c r="B11378" i="1"/>
  <c r="F11377" i="1"/>
  <c r="B11377" i="1"/>
  <c r="F11376" i="1"/>
  <c r="B11376" i="1"/>
  <c r="F11375" i="1"/>
  <c r="B11375" i="1"/>
  <c r="F11374" i="1"/>
  <c r="B11374" i="1"/>
  <c r="F11373" i="1"/>
  <c r="B11373" i="1"/>
  <c r="F11372" i="1"/>
  <c r="B11372" i="1"/>
  <c r="F11371" i="1"/>
  <c r="B11371" i="1"/>
  <c r="F11370" i="1"/>
  <c r="B11370" i="1"/>
  <c r="F11369" i="1"/>
  <c r="B11369" i="1"/>
  <c r="F11368" i="1"/>
  <c r="B11368" i="1"/>
  <c r="F11367" i="1"/>
  <c r="B11367" i="1"/>
  <c r="F11366" i="1"/>
  <c r="B11366" i="1"/>
  <c r="F11365" i="1"/>
  <c r="B11365" i="1"/>
  <c r="F11364" i="1"/>
  <c r="B11364" i="1"/>
  <c r="F11363" i="1"/>
  <c r="B11363" i="1"/>
  <c r="F11362" i="1"/>
  <c r="B11362" i="1"/>
  <c r="F11361" i="1"/>
  <c r="B11361" i="1"/>
  <c r="F11360" i="1"/>
  <c r="B11360" i="1"/>
  <c r="F11359" i="1"/>
  <c r="B11359" i="1"/>
  <c r="F11358" i="1"/>
  <c r="B11358" i="1"/>
  <c r="F11357" i="1"/>
  <c r="B11357" i="1"/>
  <c r="F11356" i="1"/>
  <c r="B11356" i="1"/>
  <c r="F11355" i="1"/>
  <c r="B11355" i="1"/>
  <c r="F11354" i="1"/>
  <c r="B11354" i="1"/>
  <c r="F11353" i="1"/>
  <c r="B11353" i="1"/>
  <c r="F11352" i="1"/>
  <c r="B11352" i="1"/>
  <c r="F11351" i="1"/>
  <c r="B11351" i="1"/>
  <c r="F11350" i="1"/>
  <c r="B11350" i="1"/>
  <c r="F11349" i="1"/>
  <c r="B11349" i="1"/>
  <c r="F11348" i="1"/>
  <c r="B11348" i="1"/>
  <c r="F11347" i="1"/>
  <c r="B11347" i="1"/>
  <c r="F11346" i="1"/>
  <c r="B11346" i="1"/>
  <c r="F11345" i="1"/>
  <c r="B11345" i="1"/>
  <c r="F11344" i="1"/>
  <c r="B11344" i="1"/>
  <c r="F11343" i="1"/>
  <c r="B11343" i="1"/>
  <c r="F11342" i="1"/>
  <c r="B11342" i="1"/>
  <c r="F11341" i="1"/>
  <c r="B11341" i="1"/>
  <c r="F11340" i="1"/>
  <c r="B11340" i="1"/>
  <c r="F11339" i="1"/>
  <c r="B11339" i="1"/>
  <c r="F11338" i="1"/>
  <c r="B11338" i="1"/>
  <c r="F11337" i="1"/>
  <c r="B11337" i="1"/>
  <c r="F11336" i="1"/>
  <c r="B11336" i="1"/>
  <c r="F11335" i="1"/>
  <c r="B11335" i="1"/>
  <c r="F11334" i="1"/>
  <c r="B11334" i="1"/>
  <c r="F11333" i="1"/>
  <c r="B11333" i="1"/>
  <c r="F11332" i="1"/>
  <c r="B11332" i="1"/>
  <c r="F11331" i="1"/>
  <c r="B11331" i="1"/>
  <c r="F11330" i="1"/>
  <c r="B11330" i="1"/>
  <c r="F11329" i="1"/>
  <c r="B11329" i="1"/>
  <c r="F11328" i="1"/>
  <c r="B11328" i="1"/>
  <c r="F11327" i="1"/>
  <c r="B11327" i="1"/>
  <c r="F11326" i="1"/>
  <c r="B11326" i="1"/>
  <c r="F11325" i="1"/>
  <c r="B11325" i="1"/>
  <c r="F11324" i="1"/>
  <c r="B11324" i="1"/>
  <c r="F11323" i="1"/>
  <c r="B11323" i="1"/>
  <c r="F11322" i="1"/>
  <c r="B11322" i="1"/>
  <c r="F11321" i="1"/>
  <c r="B11321" i="1"/>
  <c r="F11320" i="1"/>
  <c r="B11320" i="1"/>
  <c r="F11319" i="1"/>
  <c r="B11319" i="1"/>
  <c r="F11318" i="1"/>
  <c r="B11318" i="1"/>
  <c r="F11317" i="1"/>
  <c r="B11317" i="1"/>
  <c r="F11316" i="1"/>
  <c r="B11316" i="1"/>
  <c r="F11315" i="1"/>
  <c r="B11315" i="1"/>
  <c r="F11314" i="1"/>
  <c r="B11314" i="1"/>
  <c r="F11313" i="1"/>
  <c r="B11313" i="1"/>
  <c r="F11312" i="1"/>
  <c r="B11312" i="1"/>
  <c r="F11311" i="1"/>
  <c r="B11311" i="1"/>
  <c r="F11310" i="1"/>
  <c r="B11310" i="1"/>
  <c r="F11309" i="1"/>
  <c r="B11309" i="1"/>
  <c r="F11308" i="1"/>
  <c r="B11308" i="1"/>
  <c r="F11307" i="1"/>
  <c r="B11307" i="1"/>
  <c r="F11306" i="1"/>
  <c r="B11306" i="1"/>
  <c r="F11305" i="1"/>
  <c r="B11305" i="1"/>
  <c r="F11304" i="1"/>
  <c r="B11304" i="1"/>
  <c r="F11303" i="1"/>
  <c r="B11303" i="1"/>
  <c r="F11302" i="1"/>
  <c r="B11302" i="1"/>
  <c r="F11301" i="1"/>
  <c r="B11301" i="1"/>
  <c r="F11300" i="1"/>
  <c r="B11300" i="1"/>
  <c r="F11299" i="1"/>
  <c r="B11299" i="1"/>
  <c r="F11298" i="1"/>
  <c r="B11298" i="1"/>
  <c r="F11297" i="1"/>
  <c r="B11297" i="1"/>
  <c r="F11296" i="1"/>
  <c r="B11296" i="1"/>
  <c r="F11295" i="1"/>
  <c r="B11295" i="1"/>
  <c r="F11294" i="1"/>
  <c r="B11294" i="1"/>
  <c r="F11293" i="1"/>
  <c r="B11293" i="1"/>
  <c r="F11292" i="1"/>
  <c r="B11292" i="1"/>
  <c r="F11291" i="1"/>
  <c r="B11291" i="1"/>
  <c r="F11290" i="1"/>
  <c r="B11290" i="1"/>
  <c r="F11289" i="1"/>
  <c r="B11289" i="1"/>
  <c r="F11288" i="1"/>
  <c r="B11288" i="1"/>
  <c r="F11287" i="1"/>
  <c r="B11287" i="1"/>
  <c r="F11286" i="1"/>
  <c r="B11286" i="1"/>
  <c r="F11285" i="1"/>
  <c r="B11285" i="1"/>
  <c r="F11284" i="1"/>
  <c r="B11284" i="1"/>
  <c r="F11283" i="1"/>
  <c r="B11283" i="1"/>
  <c r="F11282" i="1"/>
  <c r="B11282" i="1"/>
  <c r="F11281" i="1"/>
  <c r="B11281" i="1"/>
  <c r="F11280" i="1"/>
  <c r="B11280" i="1"/>
  <c r="F11279" i="1"/>
  <c r="B11279" i="1"/>
  <c r="F11278" i="1"/>
  <c r="B11278" i="1"/>
  <c r="F11277" i="1"/>
  <c r="B11277" i="1"/>
  <c r="F11276" i="1"/>
  <c r="B11276" i="1"/>
  <c r="F11275" i="1"/>
  <c r="B11275" i="1"/>
  <c r="F11274" i="1"/>
  <c r="B11274" i="1"/>
  <c r="F11273" i="1"/>
  <c r="B11273" i="1"/>
  <c r="F11272" i="1"/>
  <c r="B11272" i="1"/>
  <c r="F11271" i="1"/>
  <c r="B11271" i="1"/>
  <c r="F11270" i="1"/>
  <c r="B11270" i="1"/>
  <c r="F11269" i="1"/>
  <c r="B11269" i="1"/>
  <c r="F11268" i="1"/>
  <c r="B11268" i="1"/>
  <c r="F11267" i="1"/>
  <c r="B11267" i="1"/>
  <c r="F11266" i="1"/>
  <c r="B11266" i="1"/>
  <c r="F11265" i="1"/>
  <c r="B11265" i="1"/>
  <c r="F11264" i="1"/>
  <c r="B11264" i="1"/>
  <c r="F11263" i="1"/>
  <c r="B11263" i="1"/>
  <c r="F11262" i="1"/>
  <c r="B11262" i="1"/>
  <c r="F11261" i="1"/>
  <c r="B11261" i="1"/>
  <c r="F11260" i="1"/>
  <c r="B11260" i="1"/>
  <c r="F11259" i="1"/>
  <c r="B11259" i="1"/>
  <c r="F11258" i="1"/>
  <c r="B11258" i="1"/>
  <c r="F11257" i="1"/>
  <c r="B11257" i="1"/>
  <c r="F11256" i="1"/>
  <c r="B11256" i="1"/>
  <c r="F11255" i="1"/>
  <c r="B11255" i="1"/>
  <c r="F11254" i="1"/>
  <c r="B11254" i="1"/>
  <c r="F11253" i="1"/>
  <c r="B11253" i="1"/>
  <c r="F11252" i="1"/>
  <c r="B11252" i="1"/>
  <c r="F11251" i="1"/>
  <c r="B11251" i="1"/>
  <c r="F11250" i="1"/>
  <c r="B11250" i="1"/>
  <c r="F11249" i="1"/>
  <c r="B11249" i="1"/>
  <c r="F11248" i="1"/>
  <c r="B11248" i="1"/>
  <c r="F11247" i="1"/>
  <c r="B11247" i="1"/>
  <c r="F11246" i="1"/>
  <c r="B11246" i="1"/>
  <c r="F11245" i="1"/>
  <c r="B11245" i="1"/>
  <c r="F11244" i="1"/>
  <c r="B11244" i="1"/>
  <c r="F11243" i="1"/>
  <c r="B11243" i="1"/>
  <c r="F11242" i="1"/>
  <c r="B11242" i="1"/>
  <c r="F11241" i="1"/>
  <c r="B11241" i="1"/>
  <c r="F11240" i="1"/>
  <c r="B11240" i="1"/>
  <c r="F11239" i="1"/>
  <c r="B11239" i="1"/>
  <c r="F11238" i="1"/>
  <c r="B11238" i="1"/>
  <c r="F11237" i="1"/>
  <c r="B11237" i="1"/>
  <c r="F11236" i="1"/>
  <c r="B11236" i="1"/>
  <c r="F11235" i="1"/>
  <c r="B11235" i="1"/>
  <c r="F11234" i="1"/>
  <c r="B11234" i="1"/>
  <c r="F11233" i="1"/>
  <c r="B11233" i="1"/>
  <c r="F11232" i="1"/>
  <c r="B11232" i="1"/>
  <c r="F11231" i="1"/>
  <c r="B11231" i="1"/>
  <c r="F11230" i="1"/>
  <c r="B11230" i="1"/>
  <c r="F11229" i="1"/>
  <c r="B11229" i="1"/>
  <c r="F11228" i="1"/>
  <c r="B11228" i="1"/>
  <c r="F11227" i="1"/>
  <c r="B11227" i="1"/>
  <c r="F11226" i="1"/>
  <c r="B11226" i="1"/>
  <c r="F11225" i="1"/>
  <c r="B11225" i="1"/>
  <c r="F11224" i="1"/>
  <c r="B11224" i="1"/>
  <c r="F11223" i="1"/>
  <c r="B11223" i="1"/>
  <c r="F11222" i="1"/>
  <c r="B11222" i="1"/>
  <c r="F11221" i="1"/>
  <c r="B11221" i="1"/>
  <c r="F11220" i="1"/>
  <c r="B11220" i="1"/>
  <c r="F11219" i="1"/>
  <c r="B11219" i="1"/>
  <c r="F11218" i="1"/>
  <c r="B11218" i="1"/>
  <c r="F11217" i="1"/>
  <c r="B11217" i="1"/>
  <c r="F11216" i="1"/>
  <c r="B11216" i="1"/>
  <c r="F11215" i="1"/>
  <c r="B11215" i="1"/>
  <c r="F11214" i="1"/>
  <c r="B11214" i="1"/>
  <c r="F11213" i="1"/>
  <c r="B11213" i="1"/>
  <c r="F11212" i="1"/>
  <c r="B11212" i="1"/>
  <c r="F11211" i="1"/>
  <c r="B11211" i="1"/>
  <c r="F11210" i="1"/>
  <c r="B11210" i="1"/>
  <c r="F11209" i="1"/>
  <c r="B11209" i="1"/>
  <c r="F11208" i="1"/>
  <c r="B11208" i="1"/>
  <c r="F11207" i="1"/>
  <c r="B11207" i="1"/>
  <c r="F11206" i="1"/>
  <c r="B11206" i="1"/>
  <c r="F11205" i="1"/>
  <c r="B11205" i="1"/>
  <c r="F11204" i="1"/>
  <c r="B11204" i="1"/>
  <c r="F11203" i="1"/>
  <c r="B11203" i="1"/>
  <c r="F11202" i="1"/>
  <c r="B11202" i="1"/>
  <c r="F11201" i="1"/>
  <c r="B11201" i="1"/>
  <c r="F11200" i="1"/>
  <c r="B11200" i="1"/>
  <c r="F11199" i="1"/>
  <c r="B11199" i="1"/>
  <c r="F11198" i="1"/>
  <c r="B11198" i="1"/>
  <c r="F11197" i="1"/>
  <c r="B11197" i="1"/>
  <c r="F11196" i="1"/>
  <c r="B11196" i="1"/>
  <c r="F11195" i="1"/>
  <c r="B11195" i="1"/>
  <c r="F11194" i="1"/>
  <c r="B11194" i="1"/>
  <c r="F11193" i="1"/>
  <c r="B11193" i="1"/>
  <c r="F11192" i="1"/>
  <c r="B11192" i="1"/>
  <c r="F11191" i="1"/>
  <c r="B11191" i="1"/>
  <c r="F11190" i="1"/>
  <c r="B11190" i="1"/>
  <c r="F11189" i="1"/>
  <c r="B11189" i="1"/>
  <c r="F11188" i="1"/>
  <c r="B11188" i="1"/>
  <c r="F11187" i="1"/>
  <c r="B11187" i="1"/>
  <c r="F11186" i="1"/>
  <c r="B11186" i="1"/>
  <c r="F11185" i="1"/>
  <c r="B11185" i="1"/>
  <c r="F11184" i="1"/>
  <c r="B11184" i="1"/>
  <c r="F11183" i="1"/>
  <c r="B11183" i="1"/>
  <c r="F11182" i="1"/>
  <c r="B11182" i="1"/>
  <c r="F11181" i="1"/>
  <c r="B11181" i="1"/>
  <c r="F11180" i="1"/>
  <c r="B11180" i="1"/>
  <c r="F11179" i="1"/>
  <c r="B11179" i="1"/>
  <c r="F11178" i="1"/>
  <c r="B11178" i="1"/>
  <c r="F11177" i="1"/>
  <c r="B11177" i="1"/>
  <c r="F11176" i="1"/>
  <c r="B11176" i="1"/>
  <c r="F11175" i="1"/>
  <c r="B11175" i="1"/>
  <c r="F11174" i="1"/>
  <c r="B11174" i="1"/>
  <c r="F11173" i="1"/>
  <c r="B11173" i="1"/>
  <c r="F11172" i="1"/>
  <c r="B11172" i="1"/>
  <c r="F11171" i="1"/>
  <c r="B11171" i="1"/>
  <c r="F11170" i="1"/>
  <c r="B11170" i="1"/>
  <c r="F11169" i="1"/>
  <c r="B11169" i="1"/>
  <c r="F11168" i="1"/>
  <c r="B11168" i="1"/>
  <c r="F11167" i="1"/>
  <c r="B11167" i="1"/>
  <c r="F11166" i="1"/>
  <c r="B11166" i="1"/>
  <c r="F11165" i="1"/>
  <c r="B11165" i="1"/>
  <c r="F11164" i="1"/>
  <c r="B11164" i="1"/>
  <c r="F11163" i="1"/>
  <c r="B11163" i="1"/>
  <c r="F11162" i="1"/>
  <c r="B11162" i="1"/>
  <c r="F11161" i="1"/>
  <c r="B11161" i="1"/>
  <c r="F11160" i="1"/>
  <c r="B11160" i="1"/>
  <c r="F11159" i="1"/>
  <c r="B11159" i="1"/>
  <c r="F11158" i="1"/>
  <c r="B11158" i="1"/>
  <c r="F11157" i="1"/>
  <c r="B11157" i="1"/>
  <c r="F11156" i="1"/>
  <c r="B11156" i="1"/>
  <c r="F11155" i="1"/>
  <c r="B11155" i="1"/>
  <c r="F11154" i="1"/>
  <c r="B11154" i="1"/>
  <c r="F11153" i="1"/>
  <c r="B11153" i="1"/>
  <c r="F11152" i="1"/>
  <c r="B11152" i="1"/>
  <c r="F11151" i="1"/>
  <c r="B11151" i="1"/>
  <c r="F11150" i="1"/>
  <c r="B11150" i="1"/>
  <c r="F11149" i="1"/>
  <c r="B11149" i="1"/>
  <c r="F11148" i="1"/>
  <c r="B11148" i="1"/>
  <c r="F11147" i="1"/>
  <c r="B11147" i="1"/>
  <c r="F11146" i="1"/>
  <c r="B11146" i="1"/>
  <c r="F11145" i="1"/>
  <c r="B11145" i="1"/>
  <c r="F11144" i="1"/>
  <c r="B11144" i="1"/>
  <c r="F11143" i="1"/>
  <c r="B11143" i="1"/>
  <c r="F11142" i="1"/>
  <c r="B11142" i="1"/>
  <c r="F11141" i="1"/>
  <c r="B11141" i="1"/>
  <c r="F11140" i="1"/>
  <c r="B11140" i="1"/>
  <c r="F11139" i="1"/>
  <c r="B11139" i="1"/>
  <c r="F11138" i="1"/>
  <c r="B11138" i="1"/>
  <c r="F11137" i="1"/>
  <c r="B11137" i="1"/>
  <c r="F11136" i="1"/>
  <c r="B11136" i="1"/>
  <c r="F11135" i="1"/>
  <c r="B11135" i="1"/>
  <c r="F11134" i="1"/>
  <c r="B11134" i="1"/>
  <c r="F11133" i="1"/>
  <c r="B11133" i="1"/>
  <c r="F11132" i="1"/>
  <c r="B11132" i="1"/>
  <c r="F11131" i="1"/>
  <c r="B11131" i="1"/>
  <c r="F11130" i="1"/>
  <c r="B11130" i="1"/>
  <c r="F11129" i="1"/>
  <c r="B11129" i="1"/>
  <c r="F11128" i="1"/>
  <c r="B11128" i="1"/>
  <c r="F11127" i="1"/>
  <c r="B11127" i="1"/>
  <c r="F11126" i="1"/>
  <c r="B11126" i="1"/>
  <c r="F11125" i="1"/>
  <c r="B11125" i="1"/>
  <c r="F11124" i="1"/>
  <c r="B11124" i="1"/>
  <c r="F11123" i="1"/>
  <c r="B11123" i="1"/>
  <c r="F11122" i="1"/>
  <c r="B11122" i="1"/>
  <c r="F11121" i="1"/>
  <c r="B11121" i="1"/>
  <c r="F11120" i="1"/>
  <c r="B11120" i="1"/>
  <c r="F11119" i="1"/>
  <c r="B11119" i="1"/>
  <c r="F11118" i="1"/>
  <c r="B11118" i="1"/>
  <c r="F11117" i="1"/>
  <c r="B11117" i="1"/>
  <c r="F11116" i="1"/>
  <c r="B11116" i="1"/>
  <c r="F11115" i="1"/>
  <c r="B11115" i="1"/>
  <c r="F11114" i="1"/>
  <c r="B11114" i="1"/>
  <c r="F11113" i="1"/>
  <c r="B11113" i="1"/>
  <c r="F11112" i="1"/>
  <c r="B11112" i="1"/>
  <c r="F11111" i="1"/>
  <c r="B11111" i="1"/>
  <c r="F11110" i="1"/>
  <c r="B11110" i="1"/>
  <c r="F11109" i="1"/>
  <c r="B11109" i="1"/>
  <c r="F11108" i="1"/>
  <c r="B11108" i="1"/>
  <c r="F11107" i="1"/>
  <c r="B11107" i="1"/>
  <c r="F11106" i="1"/>
  <c r="B11106" i="1"/>
  <c r="F11105" i="1"/>
  <c r="B11105" i="1"/>
  <c r="F11104" i="1"/>
  <c r="B11104" i="1"/>
  <c r="F11103" i="1"/>
  <c r="B11103" i="1"/>
  <c r="F11102" i="1"/>
  <c r="B11102" i="1"/>
  <c r="F11101" i="1"/>
  <c r="B11101" i="1"/>
  <c r="F11100" i="1"/>
  <c r="B11100" i="1"/>
  <c r="F11099" i="1"/>
  <c r="B11099" i="1"/>
  <c r="F11098" i="1"/>
  <c r="B11098" i="1"/>
  <c r="F11097" i="1"/>
  <c r="B11097" i="1"/>
  <c r="F11096" i="1"/>
  <c r="B11096" i="1"/>
  <c r="F11095" i="1"/>
  <c r="B11095" i="1"/>
  <c r="F11094" i="1"/>
  <c r="B11094" i="1"/>
  <c r="F11093" i="1"/>
  <c r="B11093" i="1"/>
  <c r="F11092" i="1"/>
  <c r="B11092" i="1"/>
  <c r="F11091" i="1"/>
  <c r="B11091" i="1"/>
  <c r="F11090" i="1"/>
  <c r="B11090" i="1"/>
  <c r="F11089" i="1"/>
  <c r="B11089" i="1"/>
  <c r="F11088" i="1"/>
  <c r="B11088" i="1"/>
  <c r="F11087" i="1"/>
  <c r="B11087" i="1"/>
  <c r="F11086" i="1"/>
  <c r="B11086" i="1"/>
  <c r="F11085" i="1"/>
  <c r="B11085" i="1"/>
  <c r="F11084" i="1"/>
  <c r="B11084" i="1"/>
  <c r="F11083" i="1"/>
  <c r="B11083" i="1"/>
  <c r="F11082" i="1"/>
  <c r="B11082" i="1"/>
  <c r="F11081" i="1"/>
  <c r="B11081" i="1"/>
  <c r="F11080" i="1"/>
  <c r="B11080" i="1"/>
  <c r="F11079" i="1"/>
  <c r="B11079" i="1"/>
  <c r="F11078" i="1"/>
  <c r="B11078" i="1"/>
  <c r="F11077" i="1"/>
  <c r="B11077" i="1"/>
  <c r="F11076" i="1"/>
  <c r="B11076" i="1"/>
  <c r="F11075" i="1"/>
  <c r="B11075" i="1"/>
  <c r="F11074" i="1"/>
  <c r="B11074" i="1"/>
  <c r="F11073" i="1"/>
  <c r="B11073" i="1"/>
  <c r="F11072" i="1"/>
  <c r="B11072" i="1"/>
  <c r="F11071" i="1"/>
  <c r="B11071" i="1"/>
  <c r="F11070" i="1"/>
  <c r="B11070" i="1"/>
  <c r="F11069" i="1"/>
  <c r="B11069" i="1"/>
  <c r="F11068" i="1"/>
  <c r="B11068" i="1"/>
  <c r="F11067" i="1"/>
  <c r="B11067" i="1"/>
  <c r="F11066" i="1"/>
  <c r="B11066" i="1"/>
  <c r="F11065" i="1"/>
  <c r="B11065" i="1"/>
  <c r="F11064" i="1"/>
  <c r="B11064" i="1"/>
  <c r="F11063" i="1"/>
  <c r="B11063" i="1"/>
  <c r="F11062" i="1"/>
  <c r="B11062" i="1"/>
  <c r="F11061" i="1"/>
  <c r="B11061" i="1"/>
  <c r="F11060" i="1"/>
  <c r="B11060" i="1"/>
  <c r="F11059" i="1"/>
  <c r="B11059" i="1"/>
  <c r="F11058" i="1"/>
  <c r="B11058" i="1"/>
  <c r="F11057" i="1"/>
  <c r="B11057" i="1"/>
  <c r="F11056" i="1"/>
  <c r="B11056" i="1"/>
  <c r="F11055" i="1"/>
  <c r="B11055" i="1"/>
  <c r="F11054" i="1"/>
  <c r="B11054" i="1"/>
  <c r="F11053" i="1"/>
  <c r="B11053" i="1"/>
  <c r="F11052" i="1"/>
  <c r="B11052" i="1"/>
  <c r="F11051" i="1"/>
  <c r="B11051" i="1"/>
  <c r="F11050" i="1"/>
  <c r="B11050" i="1"/>
  <c r="F11049" i="1"/>
  <c r="B11049" i="1"/>
  <c r="F11048" i="1"/>
  <c r="B11048" i="1"/>
  <c r="F11047" i="1"/>
  <c r="B11047" i="1"/>
  <c r="F11046" i="1"/>
  <c r="B11046" i="1"/>
  <c r="F11045" i="1"/>
  <c r="B11045" i="1"/>
  <c r="F11044" i="1"/>
  <c r="B11044" i="1"/>
  <c r="F11043" i="1"/>
  <c r="B11043" i="1"/>
  <c r="F11042" i="1"/>
  <c r="B11042" i="1"/>
  <c r="F11041" i="1"/>
  <c r="B11041" i="1"/>
  <c r="F11040" i="1"/>
  <c r="B11040" i="1"/>
  <c r="F11039" i="1"/>
  <c r="B11039" i="1"/>
  <c r="F11038" i="1"/>
  <c r="B11038" i="1"/>
  <c r="F11037" i="1"/>
  <c r="B11037" i="1"/>
  <c r="F11036" i="1"/>
  <c r="B11036" i="1"/>
  <c r="F11035" i="1"/>
  <c r="B11035" i="1"/>
  <c r="F11034" i="1"/>
  <c r="B11034" i="1"/>
  <c r="F11033" i="1"/>
  <c r="B11033" i="1"/>
  <c r="F11032" i="1"/>
  <c r="B11032" i="1"/>
  <c r="F11031" i="1"/>
  <c r="B11031" i="1"/>
  <c r="F11030" i="1"/>
  <c r="B11030" i="1"/>
  <c r="F11029" i="1"/>
  <c r="B11029" i="1"/>
  <c r="F11028" i="1"/>
  <c r="B11028" i="1"/>
  <c r="F11027" i="1"/>
  <c r="B11027" i="1"/>
  <c r="F11026" i="1"/>
  <c r="B11026" i="1"/>
  <c r="F11025" i="1"/>
  <c r="B11025" i="1"/>
  <c r="F11024" i="1"/>
  <c r="B11024" i="1"/>
  <c r="F11023" i="1"/>
  <c r="B11023" i="1"/>
  <c r="F11022" i="1"/>
  <c r="B11022" i="1"/>
  <c r="F11021" i="1"/>
  <c r="B11021" i="1"/>
  <c r="F11020" i="1"/>
  <c r="B11020" i="1"/>
  <c r="F11019" i="1"/>
  <c r="B11019" i="1"/>
  <c r="F11018" i="1"/>
  <c r="B11018" i="1"/>
  <c r="F11017" i="1"/>
  <c r="B11017" i="1"/>
  <c r="F11016" i="1"/>
  <c r="B11016" i="1"/>
  <c r="F11015" i="1"/>
  <c r="B11015" i="1"/>
  <c r="F11014" i="1"/>
  <c r="B11014" i="1"/>
  <c r="F11013" i="1"/>
  <c r="B11013" i="1"/>
  <c r="F11012" i="1"/>
  <c r="B11012" i="1"/>
  <c r="F11011" i="1"/>
  <c r="B11011" i="1"/>
  <c r="F11010" i="1"/>
  <c r="B11010" i="1"/>
  <c r="F11009" i="1"/>
  <c r="B11009" i="1"/>
  <c r="F11008" i="1"/>
  <c r="B11008" i="1"/>
  <c r="F11007" i="1"/>
  <c r="B11007" i="1"/>
  <c r="F11006" i="1"/>
  <c r="B11006" i="1"/>
  <c r="F11005" i="1"/>
  <c r="B11005" i="1"/>
  <c r="F11004" i="1"/>
  <c r="B11004" i="1"/>
  <c r="F11003" i="1"/>
  <c r="B11003" i="1"/>
  <c r="F11002" i="1"/>
  <c r="B11002" i="1"/>
  <c r="F11001" i="1"/>
  <c r="B11001" i="1"/>
  <c r="F11000" i="1"/>
  <c r="B11000" i="1"/>
  <c r="F10999" i="1"/>
  <c r="B10999" i="1"/>
  <c r="F10998" i="1"/>
  <c r="B10998" i="1"/>
  <c r="F10997" i="1"/>
  <c r="B10997" i="1"/>
  <c r="F10996" i="1"/>
  <c r="B10996" i="1"/>
  <c r="F10995" i="1"/>
  <c r="B10995" i="1"/>
  <c r="F10994" i="1"/>
  <c r="B10994" i="1"/>
  <c r="F10993" i="1"/>
  <c r="B10993" i="1"/>
  <c r="F10992" i="1"/>
  <c r="B10992" i="1"/>
  <c r="F10991" i="1"/>
  <c r="B10991" i="1"/>
  <c r="F10990" i="1"/>
  <c r="B10990" i="1"/>
  <c r="F10989" i="1"/>
  <c r="B10989" i="1"/>
  <c r="F10988" i="1"/>
  <c r="B10988" i="1"/>
  <c r="F10987" i="1"/>
  <c r="B10987" i="1"/>
  <c r="F10986" i="1"/>
  <c r="B10986" i="1"/>
  <c r="F10985" i="1"/>
  <c r="B10985" i="1"/>
  <c r="F10984" i="1"/>
  <c r="B10984" i="1"/>
  <c r="F10983" i="1"/>
  <c r="B10983" i="1"/>
  <c r="F10982" i="1"/>
  <c r="B10982" i="1"/>
  <c r="F10981" i="1"/>
  <c r="B10981" i="1"/>
  <c r="F10980" i="1"/>
  <c r="B10980" i="1"/>
  <c r="F10979" i="1"/>
  <c r="B10979" i="1"/>
  <c r="F10978" i="1"/>
  <c r="B10978" i="1"/>
  <c r="F10977" i="1"/>
  <c r="B10977" i="1"/>
  <c r="F10976" i="1"/>
  <c r="B10976" i="1"/>
  <c r="F10975" i="1"/>
  <c r="B10975" i="1"/>
  <c r="F10974" i="1"/>
  <c r="B10974" i="1"/>
  <c r="F10973" i="1"/>
  <c r="B10973" i="1"/>
  <c r="F10972" i="1"/>
  <c r="B10972" i="1"/>
  <c r="F10971" i="1"/>
  <c r="B10971" i="1"/>
  <c r="F10970" i="1"/>
  <c r="B10970" i="1"/>
  <c r="F10969" i="1"/>
  <c r="B10969" i="1"/>
  <c r="F10968" i="1"/>
  <c r="B10968" i="1"/>
  <c r="F10967" i="1"/>
  <c r="B10967" i="1"/>
  <c r="F10966" i="1"/>
  <c r="B10966" i="1"/>
  <c r="F10965" i="1"/>
  <c r="B10965" i="1"/>
  <c r="F10964" i="1"/>
  <c r="B10964" i="1"/>
  <c r="F10963" i="1"/>
  <c r="B10963" i="1"/>
  <c r="F10962" i="1"/>
  <c r="B10962" i="1"/>
  <c r="F10961" i="1"/>
  <c r="B10961" i="1"/>
  <c r="F10960" i="1"/>
  <c r="B10960" i="1"/>
  <c r="F10959" i="1"/>
  <c r="B10959" i="1"/>
  <c r="F10958" i="1"/>
  <c r="B10958" i="1"/>
  <c r="F10957" i="1"/>
  <c r="B10957" i="1"/>
  <c r="F10956" i="1"/>
  <c r="B10956" i="1"/>
  <c r="F10955" i="1"/>
  <c r="B10955" i="1"/>
  <c r="F10954" i="1"/>
  <c r="B10954" i="1"/>
  <c r="F10953" i="1"/>
  <c r="B10953" i="1"/>
  <c r="F10952" i="1"/>
  <c r="B10952" i="1"/>
  <c r="F10951" i="1"/>
  <c r="B10951" i="1"/>
  <c r="F10950" i="1"/>
  <c r="B10950" i="1"/>
  <c r="F10949" i="1"/>
  <c r="B10949" i="1"/>
  <c r="F10948" i="1"/>
  <c r="B10948" i="1"/>
  <c r="F10947" i="1"/>
  <c r="B10947" i="1"/>
  <c r="F10946" i="1"/>
  <c r="B10946" i="1"/>
  <c r="F10945" i="1"/>
  <c r="B10945" i="1"/>
  <c r="F10944" i="1"/>
  <c r="B10944" i="1"/>
  <c r="F10943" i="1"/>
  <c r="B10943" i="1"/>
  <c r="F10942" i="1"/>
  <c r="B10942" i="1"/>
  <c r="F10941" i="1"/>
  <c r="B10941" i="1"/>
  <c r="F10940" i="1"/>
  <c r="B10940" i="1"/>
  <c r="F10939" i="1"/>
  <c r="B10939" i="1"/>
  <c r="F10938" i="1"/>
  <c r="B10938" i="1"/>
  <c r="F10937" i="1"/>
  <c r="B10937" i="1"/>
  <c r="F10936" i="1"/>
  <c r="B10936" i="1"/>
  <c r="F10935" i="1"/>
  <c r="B10935" i="1"/>
  <c r="F10934" i="1"/>
  <c r="B10934" i="1"/>
  <c r="F10933" i="1"/>
  <c r="B10933" i="1"/>
  <c r="F10932" i="1"/>
  <c r="B10932" i="1"/>
  <c r="F10931" i="1"/>
  <c r="B10931" i="1"/>
  <c r="F10930" i="1"/>
  <c r="B10930" i="1"/>
  <c r="F10929" i="1"/>
  <c r="B10929" i="1"/>
  <c r="F10928" i="1"/>
  <c r="B10928" i="1"/>
  <c r="F10927" i="1"/>
  <c r="B10927" i="1"/>
  <c r="F10926" i="1"/>
  <c r="B10926" i="1"/>
  <c r="F10925" i="1"/>
  <c r="B10925" i="1"/>
  <c r="F10924" i="1"/>
  <c r="B10924" i="1"/>
  <c r="F10923" i="1"/>
  <c r="B10923" i="1"/>
  <c r="F10922" i="1"/>
  <c r="B10922" i="1"/>
  <c r="F10921" i="1"/>
  <c r="B10921" i="1"/>
  <c r="F10920" i="1"/>
  <c r="B10920" i="1"/>
  <c r="F10919" i="1"/>
  <c r="B10919" i="1"/>
  <c r="F10918" i="1"/>
  <c r="B10918" i="1"/>
  <c r="F10917" i="1"/>
  <c r="B10917" i="1"/>
  <c r="F10916" i="1"/>
  <c r="B10916" i="1"/>
  <c r="F10915" i="1"/>
  <c r="B10915" i="1"/>
  <c r="F10914" i="1"/>
  <c r="B10914" i="1"/>
  <c r="F10913" i="1"/>
  <c r="B10913" i="1"/>
  <c r="F10912" i="1"/>
  <c r="B10912" i="1"/>
  <c r="F10911" i="1"/>
  <c r="B10911" i="1"/>
  <c r="F10910" i="1"/>
  <c r="B10910" i="1"/>
  <c r="F10909" i="1"/>
  <c r="B10909" i="1"/>
  <c r="F10908" i="1"/>
  <c r="B10908" i="1"/>
  <c r="F10907" i="1"/>
  <c r="B10907" i="1"/>
  <c r="F10906" i="1"/>
  <c r="B10906" i="1"/>
  <c r="F10905" i="1"/>
  <c r="B10905" i="1"/>
  <c r="F10904" i="1"/>
  <c r="B10904" i="1"/>
  <c r="F10903" i="1"/>
  <c r="B10903" i="1"/>
  <c r="F10902" i="1"/>
  <c r="B10902" i="1"/>
  <c r="F10901" i="1"/>
  <c r="B10901" i="1"/>
  <c r="F10900" i="1"/>
  <c r="B10900" i="1"/>
  <c r="F10899" i="1"/>
  <c r="B10899" i="1"/>
  <c r="F10898" i="1"/>
  <c r="B10898" i="1"/>
  <c r="F10897" i="1"/>
  <c r="B10897" i="1"/>
  <c r="F10896" i="1"/>
  <c r="B10896" i="1"/>
  <c r="F10895" i="1"/>
  <c r="B10895" i="1"/>
  <c r="F10894" i="1"/>
  <c r="B10894" i="1"/>
  <c r="F10893" i="1"/>
  <c r="B10893" i="1"/>
  <c r="F10892" i="1"/>
  <c r="B10892" i="1"/>
  <c r="F10891" i="1"/>
  <c r="B10891" i="1"/>
  <c r="F10890" i="1"/>
  <c r="B10890" i="1"/>
  <c r="F10889" i="1"/>
  <c r="B10889" i="1"/>
  <c r="F10888" i="1"/>
  <c r="B10888" i="1"/>
  <c r="F10887" i="1"/>
  <c r="B10887" i="1"/>
  <c r="F10886" i="1"/>
  <c r="B10886" i="1"/>
  <c r="F10885" i="1"/>
  <c r="B10885" i="1"/>
  <c r="F10884" i="1"/>
  <c r="B10884" i="1"/>
  <c r="F10883" i="1"/>
  <c r="B10883" i="1"/>
  <c r="F10882" i="1"/>
  <c r="B10882" i="1"/>
  <c r="F10881" i="1"/>
  <c r="B10881" i="1"/>
  <c r="F10880" i="1"/>
  <c r="B10880" i="1"/>
  <c r="F10879" i="1"/>
  <c r="B10879" i="1"/>
  <c r="F10878" i="1"/>
  <c r="B10878" i="1"/>
  <c r="F10877" i="1"/>
  <c r="B10877" i="1"/>
  <c r="F10876" i="1"/>
  <c r="B10876" i="1"/>
  <c r="F10875" i="1"/>
  <c r="B10875" i="1"/>
  <c r="F10874" i="1"/>
  <c r="B10874" i="1"/>
  <c r="F10873" i="1"/>
  <c r="B10873" i="1"/>
  <c r="F10872" i="1"/>
  <c r="B10872" i="1"/>
  <c r="F10871" i="1"/>
  <c r="B10871" i="1"/>
  <c r="F10870" i="1"/>
  <c r="B10870" i="1"/>
  <c r="F10869" i="1"/>
  <c r="B10869" i="1"/>
  <c r="F10868" i="1"/>
  <c r="B10868" i="1"/>
  <c r="F10867" i="1"/>
  <c r="B10867" i="1"/>
  <c r="F10866" i="1"/>
  <c r="B10866" i="1"/>
  <c r="F10865" i="1"/>
  <c r="B10865" i="1"/>
  <c r="F10864" i="1"/>
  <c r="B10864" i="1"/>
  <c r="F10863" i="1"/>
  <c r="B10863" i="1"/>
  <c r="F10862" i="1"/>
  <c r="B10862" i="1"/>
  <c r="F10861" i="1"/>
  <c r="B10861" i="1"/>
  <c r="F10860" i="1"/>
  <c r="B10860" i="1"/>
  <c r="F10859" i="1"/>
  <c r="B10859" i="1"/>
  <c r="F10858" i="1"/>
  <c r="B10858" i="1"/>
  <c r="F10857" i="1"/>
  <c r="B10857" i="1"/>
  <c r="F10856" i="1"/>
  <c r="B10856" i="1"/>
  <c r="F10855" i="1"/>
  <c r="B10855" i="1"/>
  <c r="F10854" i="1"/>
  <c r="B10854" i="1"/>
  <c r="F10853" i="1"/>
  <c r="B10853" i="1"/>
  <c r="F10852" i="1"/>
  <c r="B10852" i="1"/>
  <c r="F10851" i="1"/>
  <c r="B10851" i="1"/>
  <c r="F10850" i="1"/>
  <c r="B10850" i="1"/>
  <c r="F10849" i="1"/>
  <c r="B10849" i="1"/>
  <c r="F10848" i="1"/>
  <c r="B10848" i="1"/>
  <c r="F10847" i="1"/>
  <c r="B10847" i="1"/>
  <c r="F10846" i="1"/>
  <c r="B10846" i="1"/>
  <c r="F10845" i="1"/>
  <c r="B10845" i="1"/>
  <c r="F10844" i="1"/>
  <c r="B10844" i="1"/>
  <c r="F10843" i="1"/>
  <c r="B10843" i="1"/>
  <c r="F10842" i="1"/>
  <c r="B10842" i="1"/>
  <c r="F10841" i="1"/>
  <c r="B10841" i="1"/>
  <c r="F10840" i="1"/>
  <c r="B10840" i="1"/>
  <c r="F10839" i="1"/>
  <c r="B10839" i="1"/>
  <c r="F10838" i="1"/>
  <c r="B10838" i="1"/>
  <c r="F10837" i="1"/>
  <c r="B10837" i="1"/>
  <c r="F10836" i="1"/>
  <c r="B10836" i="1"/>
  <c r="F10835" i="1"/>
  <c r="B10835" i="1"/>
  <c r="F10834" i="1"/>
  <c r="B10834" i="1"/>
  <c r="F10833" i="1"/>
  <c r="B10833" i="1"/>
  <c r="F10832" i="1"/>
  <c r="B10832" i="1"/>
  <c r="F10831" i="1"/>
  <c r="B10831" i="1"/>
  <c r="F10830" i="1"/>
  <c r="B10830" i="1"/>
  <c r="F10829" i="1"/>
  <c r="B10829" i="1"/>
  <c r="F10828" i="1"/>
  <c r="B10828" i="1"/>
  <c r="F10827" i="1"/>
  <c r="B10827" i="1"/>
  <c r="F10826" i="1"/>
  <c r="B10826" i="1"/>
  <c r="F10825" i="1"/>
  <c r="B10825" i="1"/>
  <c r="F10824" i="1"/>
  <c r="B10824" i="1"/>
  <c r="F10823" i="1"/>
  <c r="B10823" i="1"/>
  <c r="F10822" i="1"/>
  <c r="B10822" i="1"/>
  <c r="F10821" i="1"/>
  <c r="B10821" i="1"/>
  <c r="F10820" i="1"/>
  <c r="B10820" i="1"/>
  <c r="F10819" i="1"/>
  <c r="B10819" i="1"/>
  <c r="F10818" i="1"/>
  <c r="B10818" i="1"/>
  <c r="F10817" i="1"/>
  <c r="B10817" i="1"/>
  <c r="F10816" i="1"/>
  <c r="B10816" i="1"/>
  <c r="F10815" i="1"/>
  <c r="B10815" i="1"/>
  <c r="F10814" i="1"/>
  <c r="B10814" i="1"/>
  <c r="F10813" i="1"/>
  <c r="B10813" i="1"/>
  <c r="F10812" i="1"/>
  <c r="B10812" i="1"/>
  <c r="F10811" i="1"/>
  <c r="B10811" i="1"/>
  <c r="F10810" i="1"/>
  <c r="B10810" i="1"/>
  <c r="F10809" i="1"/>
  <c r="B10809" i="1"/>
  <c r="F10808" i="1"/>
  <c r="B10808" i="1"/>
  <c r="F10807" i="1"/>
  <c r="B10807" i="1"/>
  <c r="F10806" i="1"/>
  <c r="B10806" i="1"/>
  <c r="F10805" i="1"/>
  <c r="B10805" i="1"/>
  <c r="F10804" i="1"/>
  <c r="B10804" i="1"/>
  <c r="F10803" i="1"/>
  <c r="B10803" i="1"/>
  <c r="F10802" i="1"/>
  <c r="B10802" i="1"/>
  <c r="F10801" i="1"/>
  <c r="B10801" i="1"/>
  <c r="F10800" i="1"/>
  <c r="B10800" i="1"/>
  <c r="F10799" i="1"/>
  <c r="B10799" i="1"/>
  <c r="F10798" i="1"/>
  <c r="B10798" i="1"/>
  <c r="F10797" i="1"/>
  <c r="B10797" i="1"/>
  <c r="F10796" i="1"/>
  <c r="B10796" i="1"/>
  <c r="F10795" i="1"/>
  <c r="B10795" i="1"/>
  <c r="F10794" i="1"/>
  <c r="B10794" i="1"/>
  <c r="F10793" i="1"/>
  <c r="B10793" i="1"/>
  <c r="F10792" i="1"/>
  <c r="B10792" i="1"/>
  <c r="F10791" i="1"/>
  <c r="B10791" i="1"/>
  <c r="F10790" i="1"/>
  <c r="B10790" i="1"/>
  <c r="F10789" i="1"/>
  <c r="B10789" i="1"/>
  <c r="F10788" i="1"/>
  <c r="B10788" i="1"/>
  <c r="F10787" i="1"/>
  <c r="B10787" i="1"/>
  <c r="F10786" i="1"/>
  <c r="B10786" i="1"/>
  <c r="F10785" i="1"/>
  <c r="B10785" i="1"/>
  <c r="F10784" i="1"/>
  <c r="B10784" i="1"/>
  <c r="F10783" i="1"/>
  <c r="B10783" i="1"/>
  <c r="F10782" i="1"/>
  <c r="B10782" i="1"/>
  <c r="F10781" i="1"/>
  <c r="B10781" i="1"/>
  <c r="F10780" i="1"/>
  <c r="B10780" i="1"/>
  <c r="F10779" i="1"/>
  <c r="B10779" i="1"/>
  <c r="F10778" i="1"/>
  <c r="B10778" i="1"/>
  <c r="F10777" i="1"/>
  <c r="B10777" i="1"/>
  <c r="F10776" i="1"/>
  <c r="B10776" i="1"/>
  <c r="F10775" i="1"/>
  <c r="B10775" i="1"/>
  <c r="F10774" i="1"/>
  <c r="B10774" i="1"/>
  <c r="F10773" i="1"/>
  <c r="B10773" i="1"/>
  <c r="F10772" i="1"/>
  <c r="B10772" i="1"/>
  <c r="F10771" i="1"/>
  <c r="B10771" i="1"/>
  <c r="F10770" i="1"/>
  <c r="B10770" i="1"/>
  <c r="F10769" i="1"/>
  <c r="B10769" i="1"/>
  <c r="F10768" i="1"/>
  <c r="B10768" i="1"/>
  <c r="F10767" i="1"/>
  <c r="B10767" i="1"/>
  <c r="F10766" i="1"/>
  <c r="B10766" i="1"/>
  <c r="F10765" i="1"/>
  <c r="B10765" i="1"/>
  <c r="F10764" i="1"/>
  <c r="B10764" i="1"/>
  <c r="F10763" i="1"/>
  <c r="B10763" i="1"/>
  <c r="F10762" i="1"/>
  <c r="B10762" i="1"/>
  <c r="F10761" i="1"/>
  <c r="B10761" i="1"/>
  <c r="F10760" i="1"/>
  <c r="B10760" i="1"/>
  <c r="F10759" i="1"/>
  <c r="B10759" i="1"/>
  <c r="F10758" i="1"/>
  <c r="B10758" i="1"/>
  <c r="F10757" i="1"/>
  <c r="B10757" i="1"/>
  <c r="F10756" i="1"/>
  <c r="B10756" i="1"/>
  <c r="F10755" i="1"/>
  <c r="B10755" i="1"/>
  <c r="F10754" i="1"/>
  <c r="B10754" i="1"/>
  <c r="F10753" i="1"/>
  <c r="B10753" i="1"/>
  <c r="F10752" i="1"/>
  <c r="B10752" i="1"/>
  <c r="F10751" i="1"/>
  <c r="B10751" i="1"/>
  <c r="F10750" i="1"/>
  <c r="B10750" i="1"/>
  <c r="F10749" i="1"/>
  <c r="B10749" i="1"/>
  <c r="F10748" i="1"/>
  <c r="B10748" i="1"/>
  <c r="F10747" i="1"/>
  <c r="B10747" i="1"/>
  <c r="F10746" i="1"/>
  <c r="B10746" i="1"/>
  <c r="F10745" i="1"/>
  <c r="B10745" i="1"/>
  <c r="F10744" i="1"/>
  <c r="B10744" i="1"/>
  <c r="F10743" i="1"/>
  <c r="B10743" i="1"/>
  <c r="F10742" i="1"/>
  <c r="B10742" i="1"/>
  <c r="F10741" i="1"/>
  <c r="B10741" i="1"/>
  <c r="F10740" i="1"/>
  <c r="B10740" i="1"/>
  <c r="F10739" i="1"/>
  <c r="B10739" i="1"/>
  <c r="F10738" i="1"/>
  <c r="B10738" i="1"/>
  <c r="F10737" i="1"/>
  <c r="B10737" i="1"/>
  <c r="F10736" i="1"/>
  <c r="B10736" i="1"/>
  <c r="F10735" i="1"/>
  <c r="B10735" i="1"/>
  <c r="F10734" i="1"/>
  <c r="B10734" i="1"/>
  <c r="F10733" i="1"/>
  <c r="B10733" i="1"/>
  <c r="F10732" i="1"/>
  <c r="B10732" i="1"/>
  <c r="F10731" i="1"/>
  <c r="B10731" i="1"/>
  <c r="F10730" i="1"/>
  <c r="B10730" i="1"/>
  <c r="F10729" i="1"/>
  <c r="B10729" i="1"/>
  <c r="F10728" i="1"/>
  <c r="B10728" i="1"/>
  <c r="F10727" i="1"/>
  <c r="B10727" i="1"/>
  <c r="F10726" i="1"/>
  <c r="B10726" i="1"/>
  <c r="F10725" i="1"/>
  <c r="B10725" i="1"/>
  <c r="F10724" i="1"/>
  <c r="B10724" i="1"/>
  <c r="F10723" i="1"/>
  <c r="B10723" i="1"/>
  <c r="F10722" i="1"/>
  <c r="B10722" i="1"/>
  <c r="F10721" i="1"/>
  <c r="B10721" i="1"/>
  <c r="F10720" i="1"/>
  <c r="B10720" i="1"/>
  <c r="F10719" i="1"/>
  <c r="B10719" i="1"/>
  <c r="F10718" i="1"/>
  <c r="B10718" i="1"/>
  <c r="F10717" i="1"/>
  <c r="B10717" i="1"/>
  <c r="F10716" i="1"/>
  <c r="B10716" i="1"/>
  <c r="F10715" i="1"/>
  <c r="B10715" i="1"/>
  <c r="F10714" i="1"/>
  <c r="B10714" i="1"/>
  <c r="F10713" i="1"/>
  <c r="B10713" i="1"/>
  <c r="F10712" i="1"/>
  <c r="B10712" i="1"/>
  <c r="F10711" i="1"/>
  <c r="B10711" i="1"/>
  <c r="F10710" i="1"/>
  <c r="B10710" i="1"/>
  <c r="F10709" i="1"/>
  <c r="B10709" i="1"/>
  <c r="F10708" i="1"/>
  <c r="B10708" i="1"/>
  <c r="F10707" i="1"/>
  <c r="B10707" i="1"/>
  <c r="F10706" i="1"/>
  <c r="B10706" i="1"/>
  <c r="F10705" i="1"/>
  <c r="B10705" i="1"/>
  <c r="F10704" i="1"/>
  <c r="B10704" i="1"/>
  <c r="F10703" i="1"/>
  <c r="B10703" i="1"/>
  <c r="F10702" i="1"/>
  <c r="B10702" i="1"/>
  <c r="F10701" i="1"/>
  <c r="B10701" i="1"/>
  <c r="F10700" i="1"/>
  <c r="B10700" i="1"/>
  <c r="F10699" i="1"/>
  <c r="B10699" i="1"/>
  <c r="F10698" i="1"/>
  <c r="B10698" i="1"/>
  <c r="F10697" i="1"/>
  <c r="B10697" i="1"/>
  <c r="F10696" i="1"/>
  <c r="B10696" i="1"/>
  <c r="F10695" i="1"/>
  <c r="B10695" i="1"/>
  <c r="F10694" i="1"/>
  <c r="B10694" i="1"/>
  <c r="F10693" i="1"/>
  <c r="B10693" i="1"/>
  <c r="F10692" i="1"/>
  <c r="B10692" i="1"/>
  <c r="F10691" i="1"/>
  <c r="B10691" i="1"/>
  <c r="F10690" i="1"/>
  <c r="B10690" i="1"/>
  <c r="F10689" i="1"/>
  <c r="B10689" i="1"/>
  <c r="F10688" i="1"/>
  <c r="B10688" i="1"/>
  <c r="F10687" i="1"/>
  <c r="B10687" i="1"/>
  <c r="F10686" i="1"/>
  <c r="B10686" i="1"/>
  <c r="F10685" i="1"/>
  <c r="B10685" i="1"/>
  <c r="F10684" i="1"/>
  <c r="B10684" i="1"/>
  <c r="F10683" i="1"/>
  <c r="B10683" i="1"/>
  <c r="F10682" i="1"/>
  <c r="B10682" i="1"/>
  <c r="F10681" i="1"/>
  <c r="B10681" i="1"/>
  <c r="F10680" i="1"/>
  <c r="B10680" i="1"/>
  <c r="F10679" i="1"/>
  <c r="B10679" i="1"/>
  <c r="F10678" i="1"/>
  <c r="B10678" i="1"/>
  <c r="F10677" i="1"/>
  <c r="B10677" i="1"/>
  <c r="F10676" i="1"/>
  <c r="B10676" i="1"/>
  <c r="F10675" i="1"/>
  <c r="B10675" i="1"/>
  <c r="F10674" i="1"/>
  <c r="B10674" i="1"/>
  <c r="F10673" i="1"/>
  <c r="B10673" i="1"/>
  <c r="F10672" i="1"/>
  <c r="B10672" i="1"/>
  <c r="F10671" i="1"/>
  <c r="B10671" i="1"/>
  <c r="F10670" i="1"/>
  <c r="B10670" i="1"/>
  <c r="F10669" i="1"/>
  <c r="B10669" i="1"/>
  <c r="F10668" i="1"/>
  <c r="B10668" i="1"/>
  <c r="F10667" i="1"/>
  <c r="B10667" i="1"/>
  <c r="F10666" i="1"/>
  <c r="B10666" i="1"/>
  <c r="F10665" i="1"/>
  <c r="B10665" i="1"/>
  <c r="F10664" i="1"/>
  <c r="B10664" i="1"/>
  <c r="F10663" i="1"/>
  <c r="B10663" i="1"/>
  <c r="F10662" i="1"/>
  <c r="B10662" i="1"/>
  <c r="F10661" i="1"/>
  <c r="B10661" i="1"/>
  <c r="F10660" i="1"/>
  <c r="B10660" i="1"/>
  <c r="F10659" i="1"/>
  <c r="B10659" i="1"/>
  <c r="F10658" i="1"/>
  <c r="B10658" i="1"/>
  <c r="F10657" i="1"/>
  <c r="B10657" i="1"/>
  <c r="F10656" i="1"/>
  <c r="B10656" i="1"/>
  <c r="F10655" i="1"/>
  <c r="B10655" i="1"/>
  <c r="F10654" i="1"/>
  <c r="B10654" i="1"/>
  <c r="F10653" i="1"/>
  <c r="B10653" i="1"/>
  <c r="F10652" i="1"/>
  <c r="B10652" i="1"/>
  <c r="F10651" i="1"/>
  <c r="B10651" i="1"/>
  <c r="F10650" i="1"/>
  <c r="B10650" i="1"/>
  <c r="F10649" i="1"/>
  <c r="B10649" i="1"/>
  <c r="F10648" i="1"/>
  <c r="B10648" i="1"/>
  <c r="F10647" i="1"/>
  <c r="B10647" i="1"/>
  <c r="F10646" i="1"/>
  <c r="B10646" i="1"/>
  <c r="F10645" i="1"/>
  <c r="B10645" i="1"/>
  <c r="F10644" i="1"/>
  <c r="B10644" i="1"/>
  <c r="F10643" i="1"/>
  <c r="B10643" i="1"/>
  <c r="F10642" i="1"/>
  <c r="B10642" i="1"/>
  <c r="F10641" i="1"/>
  <c r="B10641" i="1"/>
  <c r="F10640" i="1"/>
  <c r="B10640" i="1"/>
  <c r="F10639" i="1"/>
  <c r="B10639" i="1"/>
  <c r="F10638" i="1"/>
  <c r="B10638" i="1"/>
  <c r="F10637" i="1"/>
  <c r="B10637" i="1"/>
  <c r="F10636" i="1"/>
  <c r="B10636" i="1"/>
  <c r="F10635" i="1"/>
  <c r="B10635" i="1"/>
  <c r="F10634" i="1"/>
  <c r="B10634" i="1"/>
  <c r="F10633" i="1"/>
  <c r="B10633" i="1"/>
  <c r="F10632" i="1"/>
  <c r="B10632" i="1"/>
  <c r="F10631" i="1"/>
  <c r="B10631" i="1"/>
  <c r="F10630" i="1"/>
  <c r="B10630" i="1"/>
  <c r="F10629" i="1"/>
  <c r="B10629" i="1"/>
  <c r="F10628" i="1"/>
  <c r="B10628" i="1"/>
  <c r="F10627" i="1"/>
  <c r="B10627" i="1"/>
  <c r="F10626" i="1"/>
  <c r="B10626" i="1"/>
  <c r="F10625" i="1"/>
  <c r="B10625" i="1"/>
  <c r="F10624" i="1"/>
  <c r="B10624" i="1"/>
  <c r="F10623" i="1"/>
  <c r="B10623" i="1"/>
  <c r="F10622" i="1"/>
  <c r="B10622" i="1"/>
  <c r="F10621" i="1"/>
  <c r="B10621" i="1"/>
  <c r="F10620" i="1"/>
  <c r="B10620" i="1"/>
  <c r="F10619" i="1"/>
  <c r="B10619" i="1"/>
  <c r="F10618" i="1"/>
  <c r="B10618" i="1"/>
  <c r="F10617" i="1"/>
  <c r="B10617" i="1"/>
  <c r="F10616" i="1"/>
  <c r="B10616" i="1"/>
  <c r="F10615" i="1"/>
  <c r="B10615" i="1"/>
  <c r="F10614" i="1"/>
  <c r="B10614" i="1"/>
  <c r="F10613" i="1"/>
  <c r="B10613" i="1"/>
  <c r="F10612" i="1"/>
  <c r="B10612" i="1"/>
  <c r="F10611" i="1"/>
  <c r="B10611" i="1"/>
  <c r="F10610" i="1"/>
  <c r="B10610" i="1"/>
  <c r="F10609" i="1"/>
  <c r="B10609" i="1"/>
  <c r="F10608" i="1"/>
  <c r="B10608" i="1"/>
  <c r="F10607" i="1"/>
  <c r="B10607" i="1"/>
  <c r="F10606" i="1"/>
  <c r="B10606" i="1"/>
  <c r="F10605" i="1"/>
  <c r="B10605" i="1"/>
  <c r="F10604" i="1"/>
  <c r="B10604" i="1"/>
  <c r="F10603" i="1"/>
  <c r="B10603" i="1"/>
  <c r="F10602" i="1"/>
  <c r="B10602" i="1"/>
  <c r="F10601" i="1"/>
  <c r="B10601" i="1"/>
  <c r="F10600" i="1"/>
  <c r="B10600" i="1"/>
  <c r="F10599" i="1"/>
  <c r="B10599" i="1"/>
  <c r="F10598" i="1"/>
  <c r="B10598" i="1"/>
  <c r="F10597" i="1"/>
  <c r="B10597" i="1"/>
  <c r="F10596" i="1"/>
  <c r="B10596" i="1"/>
  <c r="F10595" i="1"/>
  <c r="B10595" i="1"/>
  <c r="F10594" i="1"/>
  <c r="B10594" i="1"/>
  <c r="F10593" i="1"/>
  <c r="B10593" i="1"/>
  <c r="F10592" i="1"/>
  <c r="B10592" i="1"/>
  <c r="F10591" i="1"/>
  <c r="B10591" i="1"/>
  <c r="F10590" i="1"/>
  <c r="B10590" i="1"/>
  <c r="F10589" i="1"/>
  <c r="B10589" i="1"/>
  <c r="F10588" i="1"/>
  <c r="B10588" i="1"/>
  <c r="F10587" i="1"/>
  <c r="B10587" i="1"/>
  <c r="F10586" i="1"/>
  <c r="B10586" i="1"/>
  <c r="F10585" i="1"/>
  <c r="B10585" i="1"/>
  <c r="F10584" i="1"/>
  <c r="F10583" i="1"/>
  <c r="B10583" i="1"/>
  <c r="F10582" i="1"/>
  <c r="B10582" i="1"/>
  <c r="F10581" i="1"/>
  <c r="B10581" i="1"/>
  <c r="F10580" i="1"/>
  <c r="B10580" i="1"/>
  <c r="F10579" i="1"/>
  <c r="B10579" i="1"/>
  <c r="F10578" i="1"/>
  <c r="B10578" i="1"/>
  <c r="F10577" i="1"/>
  <c r="B10577" i="1"/>
  <c r="F10576" i="1"/>
  <c r="B10576" i="1"/>
  <c r="F10575" i="1"/>
  <c r="B10575" i="1"/>
  <c r="F10574" i="1"/>
  <c r="B10574" i="1"/>
  <c r="F10573" i="1"/>
  <c r="B10573" i="1"/>
  <c r="F10572" i="1"/>
  <c r="B10572" i="1"/>
  <c r="F10571" i="1"/>
  <c r="B10571" i="1"/>
  <c r="F10570" i="1"/>
  <c r="B10570" i="1"/>
  <c r="F10569" i="1"/>
  <c r="B10569" i="1"/>
  <c r="F10568" i="1"/>
  <c r="B10568" i="1"/>
  <c r="F10567" i="1"/>
  <c r="B10567" i="1"/>
  <c r="F10566" i="1"/>
  <c r="B10566" i="1"/>
  <c r="F10565" i="1"/>
  <c r="B10565" i="1"/>
  <c r="F10564" i="1"/>
  <c r="B10564" i="1"/>
  <c r="F10563" i="1"/>
  <c r="B10563" i="1"/>
  <c r="F10562" i="1"/>
  <c r="B10562" i="1"/>
  <c r="F10561" i="1"/>
  <c r="B10561" i="1"/>
  <c r="F10560" i="1"/>
  <c r="B10560" i="1"/>
  <c r="F10559" i="1"/>
  <c r="B10559" i="1"/>
  <c r="F10558" i="1"/>
  <c r="B10558" i="1"/>
  <c r="F10557" i="1"/>
  <c r="B10557" i="1"/>
  <c r="F10556" i="1"/>
  <c r="B10556" i="1"/>
  <c r="F10555" i="1"/>
  <c r="B10555" i="1"/>
  <c r="F10554" i="1"/>
  <c r="B10554" i="1"/>
  <c r="F10553" i="1"/>
  <c r="B10553" i="1"/>
  <c r="F10552" i="1"/>
  <c r="B10552" i="1"/>
  <c r="F10551" i="1"/>
  <c r="B10551" i="1"/>
  <c r="F10550" i="1"/>
  <c r="B10550" i="1"/>
  <c r="F10549" i="1"/>
  <c r="B10549" i="1"/>
  <c r="F10548" i="1"/>
  <c r="B10548" i="1"/>
  <c r="F10547" i="1"/>
  <c r="B10547" i="1"/>
  <c r="F10546" i="1"/>
  <c r="B10546" i="1"/>
  <c r="F10545" i="1"/>
  <c r="B10545" i="1"/>
  <c r="F10544" i="1"/>
  <c r="B10544" i="1"/>
  <c r="F10543" i="1"/>
  <c r="B10543" i="1"/>
  <c r="F10542" i="1"/>
  <c r="B10542" i="1"/>
  <c r="F10541" i="1"/>
  <c r="B10541" i="1"/>
  <c r="F10540" i="1"/>
  <c r="B10540" i="1"/>
  <c r="F10539" i="1"/>
  <c r="B10539" i="1"/>
  <c r="F10538" i="1"/>
  <c r="B10538" i="1"/>
  <c r="F10537" i="1"/>
  <c r="B10537" i="1"/>
  <c r="F10536" i="1"/>
  <c r="B10536" i="1"/>
  <c r="F10535" i="1"/>
  <c r="B10535" i="1"/>
  <c r="F10534" i="1"/>
  <c r="B10534" i="1"/>
  <c r="F10533" i="1"/>
  <c r="B10533" i="1"/>
  <c r="F10532" i="1"/>
  <c r="B10532" i="1"/>
  <c r="F10531" i="1"/>
  <c r="B10531" i="1"/>
  <c r="F10530" i="1"/>
  <c r="B10530" i="1"/>
  <c r="F10529" i="1"/>
  <c r="B10529" i="1"/>
  <c r="F10528" i="1"/>
  <c r="B10528" i="1"/>
  <c r="F10527" i="1"/>
  <c r="B10527" i="1"/>
  <c r="F10526" i="1"/>
  <c r="B10526" i="1"/>
  <c r="F10525" i="1"/>
  <c r="B10525" i="1"/>
  <c r="F10524" i="1"/>
  <c r="B10524" i="1"/>
  <c r="F10523" i="1"/>
  <c r="B10523" i="1"/>
  <c r="F10522" i="1"/>
  <c r="B10522" i="1"/>
  <c r="F10521" i="1"/>
  <c r="B10521" i="1"/>
  <c r="F10520" i="1"/>
  <c r="B10520" i="1"/>
  <c r="F10519" i="1"/>
  <c r="B10519" i="1"/>
  <c r="F10518" i="1"/>
  <c r="B10518" i="1"/>
  <c r="F10517" i="1"/>
  <c r="B10517" i="1"/>
  <c r="F10516" i="1"/>
  <c r="B10516" i="1"/>
  <c r="F10515" i="1"/>
  <c r="B10515" i="1"/>
  <c r="F10514" i="1"/>
  <c r="B10514" i="1"/>
  <c r="F10513" i="1"/>
  <c r="B10513" i="1"/>
  <c r="F10512" i="1"/>
  <c r="B10512" i="1"/>
  <c r="F10511" i="1"/>
  <c r="B10511" i="1"/>
  <c r="F10510" i="1"/>
  <c r="B10510" i="1"/>
  <c r="F10509" i="1"/>
  <c r="B10509" i="1"/>
  <c r="F10508" i="1"/>
  <c r="B10508" i="1"/>
  <c r="F10507" i="1"/>
  <c r="B10507" i="1"/>
  <c r="F10506" i="1"/>
  <c r="B10506" i="1"/>
  <c r="F10505" i="1"/>
  <c r="B10505" i="1"/>
  <c r="F10504" i="1"/>
  <c r="B10504" i="1"/>
  <c r="F10503" i="1"/>
  <c r="B10503" i="1"/>
  <c r="F10502" i="1"/>
  <c r="B10502" i="1"/>
  <c r="F10501" i="1"/>
  <c r="B10501" i="1"/>
  <c r="F10500" i="1"/>
  <c r="B10500" i="1"/>
  <c r="F10499" i="1"/>
  <c r="B10499" i="1"/>
  <c r="F10498" i="1"/>
  <c r="B10498" i="1"/>
  <c r="F10497" i="1"/>
  <c r="B10497" i="1"/>
  <c r="F10496" i="1"/>
  <c r="B10496" i="1"/>
  <c r="F10495" i="1"/>
  <c r="B10495" i="1"/>
  <c r="F10494" i="1"/>
  <c r="B10494" i="1"/>
  <c r="F10493" i="1"/>
  <c r="B10493" i="1"/>
  <c r="F10492" i="1"/>
  <c r="B10492" i="1"/>
  <c r="F10491" i="1"/>
  <c r="B10491" i="1"/>
  <c r="F10490" i="1"/>
  <c r="B10490" i="1"/>
  <c r="F10489" i="1"/>
  <c r="B10489" i="1"/>
  <c r="F10488" i="1"/>
  <c r="B10488" i="1"/>
  <c r="F10487" i="1"/>
  <c r="B10487" i="1"/>
  <c r="F10486" i="1"/>
  <c r="B10486" i="1"/>
  <c r="F10485" i="1"/>
  <c r="B10485" i="1"/>
  <c r="F10484" i="1"/>
  <c r="B10484" i="1"/>
  <c r="F10483" i="1"/>
  <c r="B10483" i="1"/>
  <c r="F10482" i="1"/>
  <c r="B10482" i="1"/>
  <c r="F10481" i="1"/>
  <c r="B10481" i="1"/>
  <c r="F10480" i="1"/>
  <c r="B10480" i="1"/>
  <c r="F10479" i="1"/>
  <c r="B10479" i="1"/>
  <c r="F10478" i="1"/>
  <c r="B10478" i="1"/>
  <c r="F10477" i="1"/>
  <c r="B10477" i="1"/>
  <c r="F10476" i="1"/>
  <c r="B10476" i="1"/>
  <c r="F10475" i="1"/>
  <c r="B10475" i="1"/>
  <c r="F10474" i="1"/>
  <c r="B10474" i="1"/>
  <c r="F10473" i="1"/>
  <c r="B10473" i="1"/>
  <c r="F10472" i="1"/>
  <c r="B10472" i="1"/>
  <c r="F10471" i="1"/>
  <c r="B10471" i="1"/>
  <c r="F10470" i="1"/>
  <c r="B10470" i="1"/>
  <c r="F10469" i="1"/>
  <c r="B10469" i="1"/>
  <c r="F10468" i="1"/>
  <c r="B10468" i="1"/>
  <c r="F10467" i="1"/>
  <c r="B10467" i="1"/>
  <c r="F10466" i="1"/>
  <c r="B10466" i="1"/>
  <c r="F10465" i="1"/>
  <c r="B10465" i="1"/>
  <c r="F10464" i="1"/>
  <c r="B10464" i="1"/>
  <c r="F10463" i="1"/>
  <c r="B10463" i="1"/>
  <c r="F10462" i="1"/>
  <c r="B10462" i="1"/>
  <c r="F10461" i="1"/>
  <c r="B10461" i="1"/>
  <c r="F10460" i="1"/>
  <c r="B10460" i="1"/>
  <c r="F10459" i="1"/>
  <c r="B10459" i="1"/>
  <c r="F10458" i="1"/>
  <c r="B10458" i="1"/>
  <c r="F10457" i="1"/>
  <c r="B10457" i="1"/>
  <c r="F10456" i="1"/>
  <c r="B10456" i="1"/>
  <c r="F10455" i="1"/>
  <c r="B10455" i="1"/>
  <c r="F10454" i="1"/>
  <c r="B10454" i="1"/>
  <c r="F10453" i="1"/>
  <c r="B10453" i="1"/>
  <c r="F10452" i="1"/>
  <c r="B10452" i="1"/>
  <c r="F10451" i="1"/>
  <c r="B10451" i="1"/>
  <c r="F10450" i="1"/>
  <c r="B10450" i="1"/>
  <c r="F10449" i="1"/>
  <c r="B10449" i="1"/>
  <c r="F10448" i="1"/>
  <c r="B10448" i="1"/>
  <c r="F10447" i="1"/>
  <c r="B10447" i="1"/>
  <c r="F10446" i="1"/>
  <c r="B10446" i="1"/>
  <c r="F10445" i="1"/>
  <c r="B10445" i="1"/>
  <c r="F10444" i="1"/>
  <c r="B10444" i="1"/>
  <c r="F10443" i="1"/>
  <c r="B10443" i="1"/>
  <c r="F10442" i="1"/>
  <c r="B10442" i="1"/>
  <c r="F10441" i="1"/>
  <c r="B10441" i="1"/>
  <c r="F10440" i="1"/>
  <c r="B10440" i="1"/>
  <c r="F10439" i="1"/>
  <c r="B10439" i="1"/>
  <c r="F10438" i="1"/>
  <c r="B10438" i="1"/>
  <c r="F10437" i="1"/>
  <c r="B10437" i="1"/>
  <c r="F10436" i="1"/>
  <c r="B10436" i="1"/>
  <c r="F10435" i="1"/>
  <c r="B10435" i="1"/>
  <c r="F10434" i="1"/>
  <c r="B10434" i="1"/>
  <c r="F10433" i="1"/>
  <c r="B10433" i="1"/>
  <c r="F10432" i="1"/>
  <c r="B10432" i="1"/>
  <c r="F10431" i="1"/>
  <c r="B10431" i="1"/>
  <c r="F10430" i="1"/>
  <c r="B10430" i="1"/>
  <c r="F10429" i="1"/>
  <c r="B10429" i="1"/>
  <c r="F10428" i="1"/>
  <c r="B10428" i="1"/>
  <c r="F10427" i="1"/>
  <c r="B10427" i="1"/>
  <c r="F10426" i="1"/>
  <c r="B10426" i="1"/>
  <c r="F10425" i="1"/>
  <c r="B10425" i="1"/>
  <c r="F10424" i="1"/>
  <c r="B10424" i="1"/>
  <c r="F10423" i="1"/>
  <c r="B10423" i="1"/>
  <c r="F10422" i="1"/>
  <c r="B10422" i="1"/>
  <c r="F10421" i="1"/>
  <c r="B10421" i="1"/>
  <c r="F10420" i="1"/>
  <c r="B10420" i="1"/>
  <c r="F10419" i="1"/>
  <c r="B10419" i="1"/>
  <c r="F10418" i="1"/>
  <c r="B10418" i="1"/>
  <c r="F10417" i="1"/>
  <c r="B10417" i="1"/>
  <c r="F10416" i="1"/>
  <c r="B10416" i="1"/>
  <c r="F10415" i="1"/>
  <c r="B10415" i="1"/>
  <c r="F10414" i="1"/>
  <c r="B10414" i="1"/>
  <c r="F10413" i="1"/>
  <c r="B10413" i="1"/>
  <c r="F10412" i="1"/>
  <c r="B10412" i="1"/>
  <c r="F10411" i="1"/>
  <c r="B10411" i="1"/>
  <c r="F10410" i="1"/>
  <c r="B10410" i="1"/>
  <c r="F10409" i="1"/>
  <c r="B10409" i="1"/>
  <c r="F10408" i="1"/>
  <c r="B10408" i="1"/>
  <c r="F10407" i="1"/>
  <c r="B10407" i="1"/>
  <c r="F10406" i="1"/>
  <c r="B10406" i="1"/>
  <c r="F10405" i="1"/>
  <c r="B10405" i="1"/>
  <c r="F10404" i="1"/>
  <c r="B10404" i="1"/>
  <c r="F10403" i="1"/>
  <c r="B10403" i="1"/>
  <c r="F10402" i="1"/>
  <c r="B10402" i="1"/>
  <c r="F10401" i="1"/>
  <c r="B10401" i="1"/>
  <c r="F10400" i="1"/>
  <c r="B10400" i="1"/>
  <c r="F10399" i="1"/>
  <c r="B10399" i="1"/>
  <c r="F10398" i="1"/>
  <c r="B10398" i="1"/>
  <c r="F10397" i="1"/>
  <c r="B10397" i="1"/>
  <c r="F10396" i="1"/>
  <c r="B10396" i="1"/>
  <c r="F10395" i="1"/>
  <c r="B10395" i="1"/>
  <c r="F10394" i="1"/>
  <c r="B10394" i="1"/>
  <c r="F10393" i="1"/>
  <c r="B10393" i="1"/>
  <c r="F10392" i="1"/>
  <c r="B10392" i="1"/>
  <c r="F10391" i="1"/>
  <c r="B10391" i="1"/>
  <c r="F10390" i="1"/>
  <c r="B10390" i="1"/>
  <c r="F10389" i="1"/>
  <c r="B10389" i="1"/>
  <c r="F10388" i="1"/>
  <c r="B10388" i="1"/>
  <c r="F10387" i="1"/>
  <c r="B10387" i="1"/>
  <c r="F10386" i="1"/>
  <c r="B10386" i="1"/>
  <c r="F10385" i="1"/>
  <c r="B10385" i="1"/>
  <c r="F10384" i="1"/>
  <c r="B10384" i="1"/>
  <c r="F10383" i="1"/>
  <c r="B10383" i="1"/>
  <c r="F10382" i="1"/>
  <c r="B10382" i="1"/>
  <c r="F10381" i="1"/>
  <c r="B10381" i="1"/>
  <c r="F10380" i="1"/>
  <c r="B10380" i="1"/>
  <c r="F10379" i="1"/>
  <c r="B10379" i="1"/>
  <c r="F10378" i="1"/>
  <c r="B10378" i="1"/>
  <c r="F10377" i="1"/>
  <c r="B10377" i="1"/>
  <c r="F10376" i="1"/>
  <c r="B10376" i="1"/>
  <c r="F10375" i="1"/>
  <c r="B10375" i="1"/>
  <c r="F10374" i="1"/>
  <c r="B10374" i="1"/>
  <c r="F10373" i="1"/>
  <c r="B10373" i="1"/>
  <c r="F10372" i="1"/>
  <c r="B10372" i="1"/>
  <c r="F10371" i="1"/>
  <c r="B10371" i="1"/>
  <c r="F10370" i="1"/>
  <c r="B10370" i="1"/>
  <c r="F10369" i="1"/>
  <c r="B10369" i="1"/>
  <c r="F10368" i="1"/>
  <c r="B10368" i="1"/>
  <c r="F10367" i="1"/>
  <c r="B10367" i="1"/>
  <c r="F10366" i="1"/>
  <c r="B10366" i="1"/>
  <c r="F10365" i="1"/>
  <c r="B10365" i="1"/>
  <c r="F10364" i="1"/>
  <c r="B10364" i="1"/>
  <c r="F10363" i="1"/>
  <c r="B10363" i="1"/>
  <c r="F10362" i="1"/>
  <c r="B10362" i="1"/>
  <c r="F10361" i="1"/>
  <c r="B10361" i="1"/>
  <c r="F10360" i="1"/>
  <c r="B10360" i="1"/>
  <c r="F10359" i="1"/>
  <c r="B10359" i="1"/>
  <c r="F10358" i="1"/>
  <c r="B10358" i="1"/>
  <c r="F10357" i="1"/>
  <c r="B10357" i="1"/>
  <c r="F10356" i="1"/>
  <c r="B10356" i="1"/>
  <c r="F10355" i="1"/>
  <c r="B10355" i="1"/>
  <c r="F10354" i="1"/>
  <c r="B10354" i="1"/>
  <c r="F10353" i="1"/>
  <c r="B10353" i="1"/>
  <c r="F10352" i="1"/>
  <c r="B10352" i="1"/>
  <c r="F10351" i="1"/>
  <c r="B10351" i="1"/>
  <c r="F10350" i="1"/>
  <c r="B10350" i="1"/>
  <c r="F10349" i="1"/>
  <c r="B10349" i="1"/>
  <c r="F10348" i="1"/>
  <c r="B10348" i="1"/>
  <c r="F10347" i="1"/>
  <c r="B10347" i="1"/>
  <c r="F10346" i="1"/>
  <c r="B10346" i="1"/>
  <c r="F10345" i="1"/>
  <c r="B10345" i="1"/>
  <c r="F10344" i="1"/>
  <c r="B10344" i="1"/>
  <c r="F10343" i="1"/>
  <c r="B10343" i="1"/>
  <c r="F10342" i="1"/>
  <c r="B10342" i="1"/>
  <c r="F10341" i="1"/>
  <c r="B10341" i="1"/>
  <c r="F10340" i="1"/>
  <c r="B10340" i="1"/>
  <c r="F10339" i="1"/>
  <c r="B10339" i="1"/>
  <c r="F10338" i="1"/>
  <c r="B10338" i="1"/>
  <c r="F10337" i="1"/>
  <c r="B10337" i="1"/>
  <c r="F10336" i="1"/>
  <c r="B10336" i="1"/>
  <c r="F10335" i="1"/>
  <c r="B10335" i="1"/>
  <c r="F10334" i="1"/>
  <c r="B10334" i="1"/>
  <c r="F10333" i="1"/>
  <c r="B10333" i="1"/>
  <c r="F10332" i="1"/>
  <c r="B10332" i="1"/>
  <c r="F10331" i="1"/>
  <c r="B10331" i="1"/>
  <c r="F10330" i="1"/>
  <c r="B10330" i="1"/>
  <c r="F10329" i="1"/>
  <c r="B10329" i="1"/>
  <c r="F10328" i="1"/>
  <c r="B10328" i="1"/>
  <c r="F10327" i="1"/>
  <c r="B10327" i="1"/>
  <c r="F10326" i="1"/>
  <c r="B10326" i="1"/>
  <c r="F10325" i="1"/>
  <c r="B10325" i="1"/>
  <c r="F10324" i="1"/>
  <c r="B10324" i="1"/>
  <c r="F10323" i="1"/>
  <c r="B10323" i="1"/>
  <c r="F10322" i="1"/>
  <c r="B10322" i="1"/>
  <c r="F10321" i="1"/>
  <c r="B10321" i="1"/>
  <c r="F10320" i="1"/>
  <c r="B10320" i="1"/>
  <c r="F10319" i="1"/>
  <c r="B10319" i="1"/>
  <c r="F10318" i="1"/>
  <c r="B10318" i="1"/>
  <c r="F10317" i="1"/>
  <c r="B10317" i="1"/>
  <c r="F10316" i="1"/>
  <c r="B10316" i="1"/>
  <c r="F10315" i="1"/>
  <c r="B10315" i="1"/>
  <c r="F10314" i="1"/>
  <c r="B10314" i="1"/>
  <c r="F10313" i="1"/>
  <c r="B10313" i="1"/>
  <c r="F10312" i="1"/>
  <c r="B10312" i="1"/>
  <c r="F10311" i="1"/>
  <c r="B10311" i="1"/>
  <c r="F10310" i="1"/>
  <c r="B10310" i="1"/>
  <c r="F10309" i="1"/>
  <c r="B10309" i="1"/>
  <c r="F10308" i="1"/>
  <c r="B10308" i="1"/>
  <c r="F10307" i="1"/>
  <c r="B10307" i="1"/>
  <c r="F10306" i="1"/>
  <c r="B10306" i="1"/>
  <c r="F10305" i="1"/>
  <c r="B10305" i="1"/>
  <c r="F10304" i="1"/>
  <c r="B10304" i="1"/>
  <c r="F10303" i="1"/>
  <c r="B10303" i="1"/>
  <c r="F10302" i="1"/>
  <c r="B10302" i="1"/>
  <c r="F10301" i="1"/>
  <c r="B10301" i="1"/>
  <c r="F10300" i="1"/>
  <c r="B10300" i="1"/>
  <c r="F10299" i="1"/>
  <c r="B10299" i="1"/>
  <c r="F10298" i="1"/>
  <c r="B10298" i="1"/>
  <c r="F10297" i="1"/>
  <c r="B10297" i="1"/>
  <c r="F10296" i="1"/>
  <c r="B10296" i="1"/>
  <c r="F10295" i="1"/>
  <c r="B10295" i="1"/>
  <c r="F10294" i="1"/>
  <c r="B10294" i="1"/>
  <c r="F10293" i="1"/>
  <c r="B10293" i="1"/>
  <c r="F10292" i="1"/>
  <c r="B10292" i="1"/>
  <c r="F10291" i="1"/>
  <c r="B10291" i="1"/>
  <c r="F10290" i="1"/>
  <c r="B10290" i="1"/>
  <c r="F10289" i="1"/>
  <c r="B10289" i="1"/>
  <c r="F10288" i="1"/>
  <c r="B10288" i="1"/>
  <c r="F10287" i="1"/>
  <c r="B10287" i="1"/>
  <c r="F10286" i="1"/>
  <c r="B10286" i="1"/>
  <c r="F10285" i="1"/>
  <c r="B10285" i="1"/>
  <c r="F10284" i="1"/>
  <c r="B10284" i="1"/>
  <c r="F10283" i="1"/>
  <c r="B10283" i="1"/>
  <c r="F10282" i="1"/>
  <c r="B10282" i="1"/>
  <c r="F10281" i="1"/>
  <c r="B10281" i="1"/>
  <c r="F10280" i="1"/>
  <c r="B10280" i="1"/>
  <c r="F10279" i="1"/>
  <c r="B10279" i="1"/>
  <c r="F10278" i="1"/>
  <c r="B10278" i="1"/>
  <c r="F10277" i="1"/>
  <c r="B10277" i="1"/>
  <c r="F10276" i="1"/>
  <c r="B10276" i="1"/>
  <c r="F10275" i="1"/>
  <c r="B10275" i="1"/>
  <c r="F10274" i="1"/>
  <c r="B10274" i="1"/>
  <c r="F10273" i="1"/>
  <c r="B10273" i="1"/>
  <c r="F10272" i="1"/>
  <c r="B10272" i="1"/>
  <c r="F10271" i="1"/>
  <c r="B10271" i="1"/>
  <c r="F10270" i="1"/>
  <c r="B10270" i="1"/>
  <c r="F10269" i="1"/>
  <c r="B10269" i="1"/>
  <c r="F10268" i="1"/>
  <c r="B10268" i="1"/>
  <c r="F10267" i="1"/>
  <c r="B10267" i="1"/>
  <c r="F10266" i="1"/>
  <c r="B10266" i="1"/>
  <c r="F10265" i="1"/>
  <c r="B10265" i="1"/>
  <c r="F10264" i="1"/>
  <c r="B10264" i="1"/>
  <c r="F10263" i="1"/>
  <c r="B10263" i="1"/>
  <c r="F10262" i="1"/>
  <c r="B10262" i="1"/>
  <c r="F10261" i="1"/>
  <c r="B10261" i="1"/>
  <c r="F10260" i="1"/>
  <c r="B10260" i="1"/>
  <c r="F10259" i="1"/>
  <c r="B10259" i="1"/>
  <c r="F10258" i="1"/>
  <c r="B10258" i="1"/>
  <c r="F10257" i="1"/>
  <c r="B10257" i="1"/>
  <c r="F10256" i="1"/>
  <c r="B10256" i="1"/>
  <c r="F10255" i="1"/>
  <c r="B10255" i="1"/>
  <c r="F10254" i="1"/>
  <c r="B10254" i="1"/>
  <c r="F10253" i="1"/>
  <c r="B10253" i="1"/>
  <c r="F10252" i="1"/>
  <c r="B10252" i="1"/>
  <c r="F10251" i="1"/>
  <c r="B10251" i="1"/>
  <c r="F10250" i="1"/>
  <c r="B10250" i="1"/>
  <c r="F10249" i="1"/>
  <c r="B10249" i="1"/>
  <c r="F10248" i="1"/>
  <c r="B10248" i="1"/>
  <c r="F10247" i="1"/>
  <c r="B10247" i="1"/>
  <c r="F10246" i="1"/>
  <c r="B10246" i="1"/>
  <c r="F10245" i="1"/>
  <c r="B10245" i="1"/>
  <c r="F10244" i="1"/>
  <c r="B10244" i="1"/>
  <c r="F10243" i="1"/>
  <c r="B10243" i="1"/>
  <c r="F10242" i="1"/>
  <c r="B10242" i="1"/>
  <c r="F10241" i="1"/>
  <c r="B10241" i="1"/>
  <c r="F10240" i="1"/>
  <c r="B10240" i="1"/>
  <c r="F10239" i="1"/>
  <c r="B10239" i="1"/>
  <c r="F10238" i="1"/>
  <c r="B10238" i="1"/>
  <c r="F10237" i="1"/>
  <c r="B10237" i="1"/>
  <c r="F10236" i="1"/>
  <c r="B10236" i="1"/>
  <c r="F10235" i="1"/>
  <c r="B10235" i="1"/>
  <c r="F10234" i="1"/>
  <c r="B10234" i="1"/>
  <c r="F10233" i="1"/>
  <c r="B10233" i="1"/>
  <c r="F10232" i="1"/>
  <c r="B10232" i="1"/>
  <c r="F10231" i="1"/>
  <c r="B10231" i="1"/>
  <c r="F10230" i="1"/>
  <c r="B10230" i="1"/>
  <c r="F10229" i="1"/>
  <c r="B10229" i="1"/>
  <c r="F10228" i="1"/>
  <c r="B10228" i="1"/>
  <c r="F10227" i="1"/>
  <c r="B10227" i="1"/>
  <c r="F10226" i="1"/>
  <c r="B10226" i="1"/>
  <c r="F10225" i="1"/>
  <c r="B10225" i="1"/>
  <c r="F10224" i="1"/>
  <c r="B10224" i="1"/>
  <c r="F10223" i="1"/>
  <c r="B10223" i="1"/>
  <c r="F10222" i="1"/>
  <c r="B10222" i="1"/>
  <c r="F10221" i="1"/>
  <c r="B10221" i="1"/>
  <c r="F10220" i="1"/>
  <c r="B10220" i="1"/>
  <c r="F10219" i="1"/>
  <c r="B10219" i="1"/>
  <c r="F10218" i="1"/>
  <c r="B10218" i="1"/>
  <c r="F10217" i="1"/>
  <c r="B10217" i="1"/>
  <c r="F10216" i="1"/>
  <c r="B10216" i="1"/>
  <c r="F10215" i="1"/>
  <c r="B10215" i="1"/>
  <c r="F10214" i="1"/>
  <c r="B10214" i="1"/>
  <c r="F10213" i="1"/>
  <c r="B10213" i="1"/>
  <c r="F10212" i="1"/>
  <c r="B10212" i="1"/>
  <c r="F10211" i="1"/>
  <c r="B10211" i="1"/>
  <c r="F10210" i="1"/>
  <c r="B10210" i="1"/>
  <c r="F10209" i="1"/>
  <c r="B10209" i="1"/>
  <c r="F10208" i="1"/>
  <c r="B10208" i="1"/>
  <c r="F10207" i="1"/>
  <c r="B10207" i="1"/>
  <c r="F10206" i="1"/>
  <c r="B10206" i="1"/>
  <c r="F10205" i="1"/>
  <c r="B10205" i="1"/>
  <c r="F10204" i="1"/>
  <c r="B10204" i="1"/>
  <c r="F10203" i="1"/>
  <c r="B10203" i="1"/>
  <c r="F10202" i="1"/>
  <c r="B10202" i="1"/>
  <c r="F10201" i="1"/>
  <c r="B10201" i="1"/>
  <c r="F10200" i="1"/>
  <c r="B10200" i="1"/>
  <c r="F10199" i="1"/>
  <c r="B10199" i="1"/>
  <c r="F10198" i="1"/>
  <c r="B10198" i="1"/>
  <c r="F10197" i="1"/>
  <c r="B10197" i="1"/>
  <c r="F10196" i="1"/>
  <c r="B10196" i="1"/>
  <c r="F10195" i="1"/>
  <c r="B10195" i="1"/>
  <c r="F10194" i="1"/>
  <c r="B10194" i="1"/>
  <c r="F10193" i="1"/>
  <c r="B10193" i="1"/>
  <c r="F10192" i="1"/>
  <c r="B10192" i="1"/>
  <c r="F10191" i="1"/>
  <c r="B10191" i="1"/>
  <c r="F10190" i="1"/>
  <c r="B10190" i="1"/>
  <c r="F10189" i="1"/>
  <c r="B10189" i="1"/>
  <c r="F10188" i="1"/>
  <c r="B10188" i="1"/>
  <c r="F10187" i="1"/>
  <c r="B10187" i="1"/>
  <c r="F10186" i="1"/>
  <c r="B10186" i="1"/>
  <c r="F10185" i="1"/>
  <c r="B10185" i="1"/>
  <c r="F10184" i="1"/>
  <c r="B10184" i="1"/>
  <c r="F10183" i="1"/>
  <c r="B10183" i="1"/>
  <c r="F10182" i="1"/>
  <c r="B10182" i="1"/>
  <c r="F10181" i="1"/>
  <c r="B10181" i="1"/>
  <c r="F10180" i="1"/>
  <c r="B10180" i="1"/>
  <c r="F10179" i="1"/>
  <c r="B10179" i="1"/>
  <c r="F10178" i="1"/>
  <c r="B10178" i="1"/>
  <c r="F10177" i="1"/>
  <c r="B10177" i="1"/>
  <c r="F10176" i="1"/>
  <c r="B10176" i="1"/>
  <c r="F10175" i="1"/>
  <c r="B10175" i="1"/>
  <c r="F10174" i="1"/>
  <c r="B10174" i="1"/>
  <c r="F10173" i="1"/>
  <c r="B10173" i="1"/>
  <c r="F10172" i="1"/>
  <c r="B10172" i="1"/>
  <c r="F10171" i="1"/>
  <c r="B10171" i="1"/>
  <c r="F10170" i="1"/>
  <c r="B10170" i="1"/>
  <c r="F10169" i="1"/>
  <c r="B10169" i="1"/>
  <c r="F10168" i="1"/>
  <c r="B10168" i="1"/>
  <c r="F10167" i="1"/>
  <c r="B10167" i="1"/>
  <c r="F10166" i="1"/>
  <c r="B10166" i="1"/>
  <c r="F10165" i="1"/>
  <c r="B10165" i="1"/>
  <c r="F10164" i="1"/>
  <c r="B10164" i="1"/>
  <c r="F10163" i="1"/>
  <c r="B10163" i="1"/>
  <c r="F10162" i="1"/>
  <c r="B10162" i="1"/>
  <c r="F10161" i="1"/>
  <c r="B10161" i="1"/>
  <c r="F10160" i="1"/>
  <c r="B10160" i="1"/>
  <c r="F10159" i="1"/>
  <c r="B10159" i="1"/>
  <c r="F10158" i="1"/>
  <c r="B10158" i="1"/>
  <c r="F10157" i="1"/>
  <c r="B10157" i="1"/>
  <c r="F10156" i="1"/>
  <c r="B10156" i="1"/>
  <c r="F10155" i="1"/>
  <c r="B10155" i="1"/>
  <c r="F10154" i="1"/>
  <c r="B10154" i="1"/>
  <c r="F10153" i="1"/>
  <c r="B10153" i="1"/>
  <c r="F10152" i="1"/>
  <c r="B10152" i="1"/>
  <c r="F10151" i="1"/>
  <c r="B10151" i="1"/>
  <c r="F10150" i="1"/>
  <c r="B10150" i="1"/>
  <c r="F10149" i="1"/>
  <c r="B10149" i="1"/>
  <c r="F10148" i="1"/>
  <c r="B10148" i="1"/>
  <c r="F10147" i="1"/>
  <c r="B10147" i="1"/>
  <c r="F10146" i="1"/>
  <c r="B10146" i="1"/>
  <c r="F10145" i="1"/>
  <c r="B10145" i="1"/>
  <c r="F10144" i="1"/>
  <c r="B10144" i="1"/>
  <c r="F10143" i="1"/>
  <c r="B10143" i="1"/>
  <c r="F10142" i="1"/>
  <c r="B10142" i="1"/>
  <c r="F10141" i="1"/>
  <c r="B10141" i="1"/>
  <c r="F10140" i="1"/>
  <c r="B10140" i="1"/>
  <c r="F10139" i="1"/>
  <c r="B10139" i="1"/>
  <c r="F10138" i="1"/>
  <c r="B10138" i="1"/>
  <c r="F10137" i="1"/>
  <c r="B10137" i="1"/>
  <c r="F10136" i="1"/>
  <c r="B10136" i="1"/>
  <c r="F10135" i="1"/>
  <c r="B10135" i="1"/>
  <c r="F10134" i="1"/>
  <c r="B10134" i="1"/>
  <c r="F10133" i="1"/>
  <c r="B10133" i="1"/>
  <c r="F10132" i="1"/>
  <c r="B10132" i="1"/>
  <c r="F10131" i="1"/>
  <c r="B10131" i="1"/>
  <c r="F10130" i="1"/>
  <c r="B10130" i="1"/>
  <c r="F10129" i="1"/>
  <c r="B10129" i="1"/>
  <c r="F10128" i="1"/>
  <c r="B10128" i="1"/>
  <c r="F10127" i="1"/>
  <c r="B10127" i="1"/>
  <c r="F10126" i="1"/>
  <c r="B10126" i="1"/>
  <c r="F10125" i="1"/>
  <c r="B10125" i="1"/>
  <c r="F10124" i="1"/>
  <c r="B10124" i="1"/>
  <c r="F10123" i="1"/>
  <c r="B10123" i="1"/>
  <c r="F10122" i="1"/>
  <c r="B10122" i="1"/>
  <c r="F10121" i="1"/>
  <c r="B10121" i="1"/>
  <c r="F10120" i="1"/>
  <c r="B10120" i="1"/>
  <c r="F10119" i="1"/>
  <c r="B10119" i="1"/>
  <c r="F10118" i="1"/>
  <c r="B10118" i="1"/>
  <c r="F10117" i="1"/>
  <c r="B10117" i="1"/>
  <c r="F10116" i="1"/>
  <c r="B10116" i="1"/>
  <c r="F10115" i="1"/>
  <c r="B10115" i="1"/>
  <c r="F10114" i="1"/>
  <c r="B10114" i="1"/>
  <c r="F10113" i="1"/>
  <c r="B10113" i="1"/>
  <c r="F10112" i="1"/>
  <c r="B10112" i="1"/>
  <c r="F10111" i="1"/>
  <c r="B10111" i="1"/>
  <c r="F10110" i="1"/>
  <c r="B10110" i="1"/>
  <c r="F10109" i="1"/>
  <c r="B10109" i="1"/>
  <c r="F10108" i="1"/>
  <c r="B10108" i="1"/>
  <c r="F10107" i="1"/>
  <c r="B10107" i="1"/>
  <c r="F10106" i="1"/>
  <c r="B10106" i="1"/>
  <c r="F10105" i="1"/>
  <c r="B10105" i="1"/>
  <c r="F10104" i="1"/>
  <c r="B10104" i="1"/>
  <c r="F10103" i="1"/>
  <c r="B10103" i="1"/>
  <c r="F10102" i="1"/>
  <c r="B10102" i="1"/>
  <c r="F10101" i="1"/>
  <c r="B10101" i="1"/>
  <c r="F10100" i="1"/>
  <c r="B10100" i="1"/>
  <c r="F10099" i="1"/>
  <c r="B10099" i="1"/>
  <c r="F10098" i="1"/>
  <c r="B10098" i="1"/>
  <c r="F10097" i="1"/>
  <c r="B10097" i="1"/>
  <c r="F10096" i="1"/>
  <c r="B10096" i="1"/>
  <c r="F10095" i="1"/>
  <c r="B10095" i="1"/>
  <c r="F10094" i="1"/>
  <c r="B10094" i="1"/>
  <c r="F10093" i="1"/>
  <c r="B10093" i="1"/>
  <c r="F10092" i="1"/>
  <c r="B10092" i="1"/>
  <c r="F10091" i="1"/>
  <c r="B10091" i="1"/>
  <c r="F10090" i="1"/>
  <c r="B10090" i="1"/>
  <c r="F10089" i="1"/>
  <c r="B10089" i="1"/>
  <c r="F10088" i="1"/>
  <c r="B10088" i="1"/>
  <c r="F10087" i="1"/>
  <c r="B10087" i="1"/>
  <c r="F10086" i="1"/>
  <c r="B10086" i="1"/>
  <c r="F10085" i="1"/>
  <c r="B10085" i="1"/>
  <c r="F10084" i="1"/>
  <c r="B10084" i="1"/>
  <c r="F10083" i="1"/>
  <c r="B10083" i="1"/>
  <c r="F10082" i="1"/>
  <c r="B10082" i="1"/>
  <c r="F10081" i="1"/>
  <c r="B10081" i="1"/>
  <c r="F10080" i="1"/>
  <c r="B10080" i="1"/>
  <c r="F10079" i="1"/>
  <c r="B10079" i="1"/>
  <c r="F10078" i="1"/>
  <c r="B10078" i="1"/>
  <c r="F10077" i="1"/>
  <c r="B10077" i="1"/>
  <c r="F10076" i="1"/>
  <c r="B10076" i="1"/>
  <c r="F10075" i="1"/>
  <c r="B10075" i="1"/>
  <c r="F10074" i="1"/>
  <c r="B10074" i="1"/>
  <c r="F10073" i="1"/>
  <c r="B10073" i="1"/>
  <c r="F10072" i="1"/>
  <c r="B10072" i="1"/>
  <c r="F10071" i="1"/>
  <c r="B10071" i="1"/>
  <c r="F10070" i="1"/>
  <c r="B10070" i="1"/>
  <c r="F10069" i="1"/>
  <c r="B10069" i="1"/>
  <c r="F10068" i="1"/>
  <c r="B10068" i="1"/>
  <c r="F10067" i="1"/>
  <c r="B10067" i="1"/>
  <c r="F10066" i="1"/>
  <c r="B10066" i="1"/>
  <c r="F10065" i="1"/>
  <c r="B10065" i="1"/>
  <c r="F10064" i="1"/>
  <c r="B10064" i="1"/>
  <c r="F10063" i="1"/>
  <c r="B10063" i="1"/>
  <c r="F10062" i="1"/>
  <c r="B10062" i="1"/>
  <c r="F10061" i="1"/>
  <c r="B10061" i="1"/>
  <c r="F10060" i="1"/>
  <c r="B10060" i="1"/>
  <c r="F10059" i="1"/>
  <c r="B10059" i="1"/>
  <c r="F10058" i="1"/>
  <c r="B10058" i="1"/>
  <c r="F10057" i="1"/>
  <c r="B10057" i="1"/>
  <c r="F10056" i="1"/>
  <c r="B10056" i="1"/>
  <c r="F10055" i="1"/>
  <c r="B10055" i="1"/>
  <c r="F10054" i="1"/>
  <c r="B10054" i="1"/>
  <c r="F10053" i="1"/>
  <c r="B10053" i="1"/>
  <c r="F10052" i="1"/>
  <c r="B10052" i="1"/>
  <c r="F10051" i="1"/>
  <c r="B10051" i="1"/>
  <c r="F10050" i="1"/>
  <c r="B10050" i="1"/>
  <c r="F10049" i="1"/>
  <c r="B10049" i="1"/>
  <c r="F10048" i="1"/>
  <c r="B10048" i="1"/>
  <c r="F10047" i="1"/>
  <c r="B10047" i="1"/>
  <c r="F10046" i="1"/>
  <c r="B10046" i="1"/>
  <c r="F10045" i="1"/>
  <c r="B10045" i="1"/>
  <c r="F10044" i="1"/>
  <c r="B10044" i="1"/>
  <c r="F10043" i="1"/>
  <c r="B10043" i="1"/>
  <c r="F10042" i="1"/>
  <c r="B10042" i="1"/>
  <c r="F10041" i="1"/>
  <c r="B10041" i="1"/>
  <c r="F10040" i="1"/>
  <c r="B10040" i="1"/>
  <c r="F10039" i="1"/>
  <c r="B10039" i="1"/>
  <c r="F10038" i="1"/>
  <c r="B10038" i="1"/>
  <c r="F10037" i="1"/>
  <c r="B10037" i="1"/>
  <c r="F10036" i="1"/>
  <c r="B10036" i="1"/>
  <c r="F10035" i="1"/>
  <c r="B10035" i="1"/>
  <c r="F10034" i="1"/>
  <c r="B10034" i="1"/>
  <c r="F10033" i="1"/>
  <c r="B10033" i="1"/>
  <c r="F10032" i="1"/>
  <c r="B10032" i="1"/>
  <c r="F10031" i="1"/>
  <c r="B10031" i="1"/>
  <c r="F10030" i="1"/>
  <c r="B10030" i="1"/>
  <c r="F10029" i="1"/>
  <c r="B10029" i="1"/>
  <c r="F10028" i="1"/>
  <c r="B10028" i="1"/>
  <c r="F10027" i="1"/>
  <c r="B10027" i="1"/>
  <c r="F10026" i="1"/>
  <c r="B10026" i="1"/>
  <c r="F10025" i="1"/>
  <c r="B10025" i="1"/>
  <c r="F10024" i="1"/>
  <c r="B10024" i="1"/>
  <c r="F10023" i="1"/>
  <c r="B10023" i="1"/>
  <c r="F10022" i="1"/>
  <c r="B10022" i="1"/>
  <c r="F10021" i="1"/>
  <c r="B10021" i="1"/>
  <c r="F10020" i="1"/>
  <c r="B10020" i="1"/>
  <c r="F10019" i="1"/>
  <c r="B10019" i="1"/>
  <c r="F10018" i="1"/>
  <c r="B10018" i="1"/>
  <c r="F10017" i="1"/>
  <c r="B10017" i="1"/>
  <c r="F10016" i="1"/>
  <c r="B10016" i="1"/>
  <c r="F10015" i="1"/>
  <c r="B10015" i="1"/>
  <c r="F10014" i="1"/>
  <c r="B10014" i="1"/>
  <c r="F10013" i="1"/>
  <c r="B10013" i="1"/>
  <c r="F10012" i="1"/>
  <c r="B10012" i="1"/>
  <c r="F10011" i="1"/>
  <c r="B10011" i="1"/>
  <c r="F10010" i="1"/>
  <c r="B10010" i="1"/>
  <c r="F10009" i="1"/>
  <c r="B10009" i="1"/>
  <c r="F10008" i="1"/>
  <c r="B10008" i="1"/>
  <c r="F10007" i="1"/>
  <c r="B10007" i="1"/>
  <c r="F10006" i="1"/>
  <c r="B10006" i="1"/>
  <c r="F10005" i="1"/>
  <c r="B10005" i="1"/>
  <c r="F10004" i="1"/>
  <c r="B10004" i="1"/>
  <c r="F10003" i="1"/>
  <c r="B10003" i="1"/>
  <c r="F10002" i="1"/>
  <c r="B10002" i="1"/>
  <c r="F10001" i="1"/>
  <c r="B10001" i="1"/>
  <c r="F10000" i="1"/>
  <c r="B10000" i="1"/>
  <c r="F9999" i="1"/>
  <c r="B9999" i="1"/>
  <c r="F9998" i="1"/>
  <c r="B9998" i="1"/>
  <c r="F9997" i="1"/>
  <c r="B9997" i="1"/>
  <c r="F9996" i="1"/>
  <c r="B9996" i="1"/>
  <c r="F9995" i="1"/>
  <c r="B9995" i="1"/>
  <c r="F9994" i="1"/>
  <c r="B9994" i="1"/>
  <c r="F9993" i="1"/>
  <c r="B9993" i="1"/>
  <c r="F9992" i="1"/>
  <c r="B9992" i="1"/>
  <c r="F9991" i="1"/>
  <c r="B9991" i="1"/>
  <c r="F9990" i="1"/>
  <c r="B9990" i="1"/>
  <c r="F9989" i="1"/>
  <c r="B9989" i="1"/>
  <c r="F9988" i="1"/>
  <c r="B9988" i="1"/>
  <c r="F9987" i="1"/>
  <c r="B9987" i="1"/>
  <c r="F9986" i="1"/>
  <c r="B9986" i="1"/>
  <c r="F9985" i="1"/>
  <c r="B9985" i="1"/>
  <c r="F9984" i="1"/>
  <c r="B9984" i="1"/>
  <c r="F9983" i="1"/>
  <c r="B9983" i="1"/>
  <c r="F9982" i="1"/>
  <c r="B9982" i="1"/>
  <c r="F9981" i="1"/>
  <c r="B9981" i="1"/>
  <c r="F9980" i="1"/>
  <c r="B9980" i="1"/>
  <c r="F9979" i="1"/>
  <c r="B9979" i="1"/>
  <c r="F9978" i="1"/>
  <c r="B9978" i="1"/>
  <c r="F9977" i="1"/>
  <c r="B9977" i="1"/>
  <c r="F9976" i="1"/>
  <c r="B9976" i="1"/>
  <c r="F9975" i="1"/>
  <c r="B9975" i="1"/>
  <c r="F9974" i="1"/>
  <c r="B9974" i="1"/>
  <c r="F9973" i="1"/>
  <c r="B9973" i="1"/>
  <c r="F9972" i="1"/>
  <c r="B9972" i="1"/>
  <c r="F9971" i="1"/>
  <c r="B9971" i="1"/>
  <c r="F9970" i="1"/>
  <c r="B9970" i="1"/>
  <c r="F9969" i="1"/>
  <c r="B9969" i="1"/>
  <c r="F9968" i="1"/>
  <c r="B9968" i="1"/>
  <c r="F9967" i="1"/>
  <c r="B9967" i="1"/>
  <c r="F9966" i="1"/>
  <c r="B9966" i="1"/>
  <c r="F9965" i="1"/>
  <c r="B9965" i="1"/>
  <c r="F9964" i="1"/>
  <c r="B9964" i="1"/>
  <c r="F9963" i="1"/>
  <c r="B9963" i="1"/>
  <c r="F9962" i="1"/>
  <c r="B9962" i="1"/>
  <c r="F9961" i="1"/>
  <c r="B9961" i="1"/>
  <c r="F9960" i="1"/>
  <c r="B9960" i="1"/>
  <c r="F9959" i="1"/>
  <c r="B9959" i="1"/>
  <c r="F9958" i="1"/>
  <c r="B9958" i="1"/>
  <c r="F9957" i="1"/>
  <c r="B9957" i="1"/>
  <c r="F9956" i="1"/>
  <c r="B9956" i="1"/>
  <c r="F9955" i="1"/>
  <c r="B9955" i="1"/>
  <c r="F9954" i="1"/>
  <c r="B9954" i="1"/>
  <c r="F9953" i="1"/>
  <c r="B9953" i="1"/>
  <c r="F9952" i="1"/>
  <c r="B9952" i="1"/>
  <c r="F9951" i="1"/>
  <c r="B9951" i="1"/>
  <c r="F9950" i="1"/>
  <c r="B9950" i="1"/>
  <c r="F9949" i="1"/>
  <c r="B9949" i="1"/>
  <c r="F9948" i="1"/>
  <c r="B9948" i="1"/>
  <c r="F9947" i="1"/>
  <c r="B9947" i="1"/>
  <c r="F9946" i="1"/>
  <c r="B9946" i="1"/>
  <c r="F9945" i="1"/>
  <c r="B9945" i="1"/>
  <c r="F9944" i="1"/>
  <c r="B9944" i="1"/>
  <c r="F9943" i="1"/>
  <c r="B9943" i="1"/>
  <c r="F9942" i="1"/>
  <c r="B9942" i="1"/>
  <c r="F9941" i="1"/>
  <c r="B9941" i="1"/>
  <c r="F9940" i="1"/>
  <c r="B9940" i="1"/>
  <c r="F9939" i="1"/>
  <c r="B9939" i="1"/>
  <c r="F9938" i="1"/>
  <c r="B9938" i="1"/>
  <c r="F9937" i="1"/>
  <c r="B9937" i="1"/>
  <c r="F9936" i="1"/>
  <c r="B9936" i="1"/>
  <c r="F9935" i="1"/>
  <c r="B9935" i="1"/>
  <c r="F9934" i="1"/>
  <c r="B9934" i="1"/>
  <c r="F9933" i="1"/>
  <c r="B9933" i="1"/>
  <c r="F9932" i="1"/>
  <c r="B9932" i="1"/>
  <c r="F9931" i="1"/>
  <c r="B9931" i="1"/>
  <c r="F9930" i="1"/>
  <c r="B9930" i="1"/>
  <c r="F9929" i="1"/>
  <c r="B9929" i="1"/>
  <c r="F9928" i="1"/>
  <c r="B9928" i="1"/>
  <c r="F9927" i="1"/>
  <c r="B9927" i="1"/>
  <c r="F9926" i="1"/>
  <c r="B9926" i="1"/>
  <c r="F9925" i="1"/>
  <c r="B9925" i="1"/>
  <c r="F9924" i="1"/>
  <c r="B9924" i="1"/>
  <c r="F9923" i="1"/>
  <c r="B9923" i="1"/>
  <c r="F9922" i="1"/>
  <c r="B9922" i="1"/>
  <c r="F9921" i="1"/>
  <c r="B9921" i="1"/>
  <c r="F9920" i="1"/>
  <c r="B9920" i="1"/>
  <c r="F9919" i="1"/>
  <c r="B9919" i="1"/>
  <c r="F9918" i="1"/>
  <c r="B9918" i="1"/>
  <c r="F9917" i="1"/>
  <c r="B9917" i="1"/>
  <c r="F9916" i="1"/>
  <c r="B9916" i="1"/>
  <c r="F9915" i="1"/>
  <c r="B9915" i="1"/>
  <c r="F9914" i="1"/>
  <c r="B9914" i="1"/>
  <c r="F9913" i="1"/>
  <c r="B9913" i="1"/>
  <c r="F9912" i="1"/>
  <c r="B9912" i="1"/>
  <c r="F9911" i="1"/>
  <c r="B9911" i="1"/>
  <c r="F9910" i="1"/>
  <c r="B9910" i="1"/>
  <c r="F9909" i="1"/>
  <c r="B9909" i="1"/>
  <c r="F9908" i="1"/>
  <c r="B9908" i="1"/>
  <c r="F9907" i="1"/>
  <c r="B9907" i="1"/>
  <c r="F9906" i="1"/>
  <c r="B9906" i="1"/>
  <c r="F9905" i="1"/>
  <c r="B9905" i="1"/>
  <c r="F9904" i="1"/>
  <c r="B9904" i="1"/>
  <c r="F9903" i="1"/>
  <c r="B9903" i="1"/>
  <c r="F9902" i="1"/>
  <c r="B9902" i="1"/>
  <c r="F9901" i="1"/>
  <c r="B9901" i="1"/>
  <c r="F9900" i="1"/>
  <c r="B9900" i="1"/>
  <c r="F9899" i="1"/>
  <c r="B9899" i="1"/>
  <c r="F9898" i="1"/>
  <c r="B9898" i="1"/>
  <c r="F9897" i="1"/>
  <c r="B9897" i="1"/>
  <c r="F9896" i="1"/>
  <c r="B9896" i="1"/>
  <c r="F9895" i="1"/>
  <c r="B9895" i="1"/>
  <c r="F9894" i="1"/>
  <c r="B9894" i="1"/>
  <c r="F9893" i="1"/>
  <c r="B9893" i="1"/>
  <c r="F9892" i="1"/>
  <c r="B9892" i="1"/>
  <c r="F9891" i="1"/>
  <c r="B9891" i="1"/>
  <c r="F9890" i="1"/>
  <c r="B9890" i="1"/>
  <c r="F9889" i="1"/>
  <c r="B9889" i="1"/>
  <c r="F9888" i="1"/>
  <c r="B9888" i="1"/>
  <c r="F9887" i="1"/>
  <c r="B9887" i="1"/>
  <c r="F9886" i="1"/>
  <c r="B9886" i="1"/>
  <c r="F9885" i="1"/>
  <c r="B9885" i="1"/>
  <c r="F9884" i="1"/>
  <c r="B9884" i="1"/>
  <c r="F9883" i="1"/>
  <c r="B9883" i="1"/>
  <c r="F9882" i="1"/>
  <c r="B9882" i="1"/>
  <c r="F9881" i="1"/>
  <c r="B9881" i="1"/>
  <c r="F9880" i="1"/>
  <c r="B9880" i="1"/>
  <c r="F9879" i="1"/>
  <c r="B9879" i="1"/>
  <c r="F9878" i="1"/>
  <c r="B9878" i="1"/>
  <c r="F9877" i="1"/>
  <c r="B9877" i="1"/>
  <c r="F9876" i="1"/>
  <c r="B9876" i="1"/>
  <c r="F9875" i="1"/>
  <c r="B9875" i="1"/>
  <c r="F9874" i="1"/>
  <c r="B9874" i="1"/>
  <c r="F9873" i="1"/>
  <c r="B9873" i="1"/>
  <c r="F9872" i="1"/>
  <c r="B9872" i="1"/>
  <c r="F9871" i="1"/>
  <c r="B9871" i="1"/>
  <c r="F9870" i="1"/>
  <c r="B9870" i="1"/>
  <c r="F9869" i="1"/>
  <c r="B9869" i="1"/>
  <c r="F9868" i="1"/>
  <c r="B9868" i="1"/>
  <c r="F9867" i="1"/>
  <c r="B9867" i="1"/>
  <c r="F9866" i="1"/>
  <c r="B9866" i="1"/>
  <c r="F9865" i="1"/>
  <c r="B9865" i="1"/>
  <c r="F9864" i="1"/>
  <c r="B9864" i="1"/>
  <c r="F9863" i="1"/>
  <c r="B9863" i="1"/>
  <c r="F9862" i="1"/>
  <c r="B9862" i="1"/>
  <c r="F9861" i="1"/>
  <c r="B9861" i="1"/>
  <c r="F9860" i="1"/>
  <c r="B9860" i="1"/>
  <c r="F9859" i="1"/>
  <c r="B9859" i="1"/>
  <c r="F9858" i="1"/>
  <c r="B9858" i="1"/>
  <c r="F9857" i="1"/>
  <c r="B9857" i="1"/>
  <c r="F9856" i="1"/>
  <c r="B9856" i="1"/>
  <c r="F9855" i="1"/>
  <c r="B9855" i="1"/>
  <c r="F9854" i="1"/>
  <c r="B9854" i="1"/>
  <c r="F9853" i="1"/>
  <c r="B9853" i="1"/>
  <c r="F9852" i="1"/>
  <c r="B9852" i="1"/>
  <c r="F9851" i="1"/>
  <c r="B9851" i="1"/>
  <c r="F9850" i="1"/>
  <c r="B9850" i="1"/>
  <c r="F9849" i="1"/>
  <c r="B9849" i="1"/>
  <c r="F9848" i="1"/>
  <c r="B9848" i="1"/>
  <c r="F9847" i="1"/>
  <c r="B9847" i="1"/>
  <c r="F9846" i="1"/>
  <c r="B9846" i="1"/>
  <c r="F9845" i="1"/>
  <c r="B9845" i="1"/>
  <c r="F9844" i="1"/>
  <c r="B9844" i="1"/>
  <c r="F9843" i="1"/>
  <c r="B9843" i="1"/>
  <c r="F9842" i="1"/>
  <c r="B9842" i="1"/>
  <c r="F9841" i="1"/>
  <c r="B9841" i="1"/>
  <c r="F9840" i="1"/>
  <c r="B9840" i="1"/>
  <c r="F9839" i="1"/>
  <c r="B9839" i="1"/>
  <c r="F9838" i="1"/>
  <c r="B9838" i="1"/>
  <c r="F9837" i="1"/>
  <c r="B9837" i="1"/>
  <c r="F9836" i="1"/>
  <c r="B9836" i="1"/>
  <c r="F9835" i="1"/>
  <c r="B9835" i="1"/>
  <c r="F9834" i="1"/>
  <c r="B9834" i="1"/>
  <c r="F9833" i="1"/>
  <c r="B9833" i="1"/>
  <c r="F9832" i="1"/>
  <c r="B9832" i="1"/>
  <c r="F9831" i="1"/>
  <c r="B9831" i="1"/>
  <c r="F9830" i="1"/>
  <c r="B9830" i="1"/>
  <c r="F9829" i="1"/>
  <c r="B9829" i="1"/>
  <c r="F9828" i="1"/>
  <c r="B9828" i="1"/>
  <c r="F9827" i="1"/>
  <c r="B9827" i="1"/>
  <c r="F9826" i="1"/>
  <c r="B9826" i="1"/>
  <c r="F9825" i="1"/>
  <c r="B9825" i="1"/>
  <c r="F9824" i="1"/>
  <c r="B9824" i="1"/>
  <c r="F9823" i="1"/>
  <c r="B9823" i="1"/>
  <c r="F9822" i="1"/>
  <c r="B9822" i="1"/>
  <c r="F9821" i="1"/>
  <c r="B9821" i="1"/>
  <c r="F9820" i="1"/>
  <c r="B9820" i="1"/>
  <c r="F9819" i="1"/>
  <c r="B9819" i="1"/>
  <c r="F9818" i="1"/>
  <c r="B9818" i="1"/>
  <c r="F9817" i="1"/>
  <c r="B9817" i="1"/>
  <c r="F9816" i="1"/>
  <c r="B9816" i="1"/>
  <c r="F9815" i="1"/>
  <c r="B9815" i="1"/>
  <c r="F9814" i="1"/>
  <c r="B9814" i="1"/>
  <c r="F9813" i="1"/>
  <c r="B9813" i="1"/>
  <c r="F9812" i="1"/>
  <c r="B9812" i="1"/>
  <c r="F9811" i="1"/>
  <c r="B9811" i="1"/>
  <c r="F9810" i="1"/>
  <c r="B9810" i="1"/>
  <c r="F9809" i="1"/>
  <c r="B9809" i="1"/>
  <c r="F9808" i="1"/>
  <c r="B9808" i="1"/>
  <c r="F9807" i="1"/>
  <c r="B9807" i="1"/>
  <c r="F9806" i="1"/>
  <c r="B9806" i="1"/>
  <c r="F9805" i="1"/>
  <c r="B9805" i="1"/>
  <c r="F9804" i="1"/>
  <c r="B9804" i="1"/>
  <c r="F9803" i="1"/>
  <c r="B9803" i="1"/>
  <c r="F9802" i="1"/>
  <c r="B9802" i="1"/>
  <c r="F9801" i="1"/>
  <c r="B9801" i="1"/>
  <c r="F9800" i="1"/>
  <c r="B9800" i="1"/>
  <c r="F9799" i="1"/>
  <c r="B9799" i="1"/>
  <c r="F9798" i="1"/>
  <c r="B9798" i="1"/>
  <c r="F9797" i="1"/>
  <c r="B9797" i="1"/>
  <c r="F9796" i="1"/>
  <c r="B9796" i="1"/>
  <c r="F9795" i="1"/>
  <c r="B9795" i="1"/>
  <c r="F9794" i="1"/>
  <c r="B9794" i="1"/>
  <c r="F9793" i="1"/>
  <c r="B9793" i="1"/>
  <c r="F9792" i="1"/>
  <c r="B9792" i="1"/>
  <c r="F9791" i="1"/>
  <c r="B9791" i="1"/>
  <c r="F9790" i="1"/>
  <c r="B9790" i="1"/>
  <c r="F9789" i="1"/>
  <c r="B9789" i="1"/>
  <c r="F9788" i="1"/>
  <c r="B9788" i="1"/>
  <c r="F9787" i="1"/>
  <c r="B9787" i="1"/>
  <c r="F9786" i="1"/>
  <c r="B9786" i="1"/>
  <c r="F9785" i="1"/>
  <c r="B9785" i="1"/>
  <c r="F9784" i="1"/>
  <c r="B9784" i="1"/>
  <c r="F9783" i="1"/>
  <c r="B9783" i="1"/>
  <c r="F9782" i="1"/>
  <c r="B9782" i="1"/>
  <c r="F9781" i="1"/>
  <c r="B9781" i="1"/>
  <c r="F9780" i="1"/>
  <c r="B9780" i="1"/>
  <c r="F9779" i="1"/>
  <c r="B9779" i="1"/>
  <c r="F9778" i="1"/>
  <c r="B9778" i="1"/>
  <c r="F9777" i="1"/>
  <c r="B9777" i="1"/>
  <c r="F9776" i="1"/>
  <c r="B9776" i="1"/>
  <c r="F9775" i="1"/>
  <c r="B9775" i="1"/>
  <c r="F9774" i="1"/>
  <c r="B9774" i="1"/>
  <c r="F9773" i="1"/>
  <c r="B9773" i="1"/>
  <c r="F9772" i="1"/>
  <c r="B9772" i="1"/>
  <c r="F9771" i="1"/>
  <c r="B9771" i="1"/>
  <c r="F9770" i="1"/>
  <c r="B9770" i="1"/>
  <c r="F9769" i="1"/>
  <c r="B9769" i="1"/>
  <c r="F9768" i="1"/>
  <c r="B9768" i="1"/>
  <c r="F9767" i="1"/>
  <c r="B9767" i="1"/>
  <c r="F9766" i="1"/>
  <c r="B9766" i="1"/>
  <c r="F9765" i="1"/>
  <c r="B9765" i="1"/>
  <c r="F9764" i="1"/>
  <c r="B9764" i="1"/>
  <c r="F9763" i="1"/>
  <c r="B9763" i="1"/>
  <c r="F9762" i="1"/>
  <c r="B9762" i="1"/>
  <c r="F9761" i="1"/>
  <c r="B9761" i="1"/>
  <c r="F9760" i="1"/>
  <c r="B9760" i="1"/>
  <c r="F9759" i="1"/>
  <c r="B9759" i="1"/>
  <c r="F9758" i="1"/>
  <c r="B9758" i="1"/>
  <c r="F9757" i="1"/>
  <c r="B9757" i="1"/>
  <c r="F9756" i="1"/>
  <c r="B9756" i="1"/>
  <c r="F9755" i="1"/>
  <c r="B9755" i="1"/>
  <c r="F9754" i="1"/>
  <c r="B9754" i="1"/>
  <c r="F9753" i="1"/>
  <c r="B9753" i="1"/>
  <c r="F9752" i="1"/>
  <c r="B9752" i="1"/>
  <c r="F9751" i="1"/>
  <c r="B9751" i="1"/>
  <c r="F9750" i="1"/>
  <c r="B9750" i="1"/>
  <c r="F9749" i="1"/>
  <c r="B9749" i="1"/>
  <c r="F9748" i="1"/>
  <c r="B9748" i="1"/>
  <c r="F9747" i="1"/>
  <c r="B9747" i="1"/>
  <c r="F9746" i="1"/>
  <c r="B9746" i="1"/>
  <c r="F9745" i="1"/>
  <c r="B9745" i="1"/>
  <c r="F9744" i="1"/>
  <c r="B9744" i="1"/>
  <c r="F9743" i="1"/>
  <c r="B9743" i="1"/>
  <c r="F9742" i="1"/>
  <c r="B9742" i="1"/>
  <c r="F9741" i="1"/>
  <c r="B9741" i="1"/>
  <c r="F9740" i="1"/>
  <c r="B9740" i="1"/>
  <c r="F9739" i="1"/>
  <c r="B9739" i="1"/>
  <c r="F9738" i="1"/>
  <c r="B9738" i="1"/>
  <c r="F9737" i="1"/>
  <c r="B9737" i="1"/>
  <c r="F9736" i="1"/>
  <c r="B9736" i="1"/>
  <c r="F9735" i="1"/>
  <c r="B9735" i="1"/>
  <c r="F9734" i="1"/>
  <c r="B9734" i="1"/>
  <c r="F9733" i="1"/>
  <c r="B9733" i="1"/>
  <c r="F9732" i="1"/>
  <c r="B9732" i="1"/>
  <c r="F9731" i="1"/>
  <c r="B9731" i="1"/>
  <c r="F9730" i="1"/>
  <c r="B9730" i="1"/>
  <c r="F9729" i="1"/>
  <c r="B9729" i="1"/>
  <c r="F9728" i="1"/>
  <c r="B9728" i="1"/>
  <c r="F9727" i="1"/>
  <c r="B9727" i="1"/>
  <c r="F9726" i="1"/>
  <c r="B9726" i="1"/>
  <c r="F9725" i="1"/>
  <c r="B9725" i="1"/>
  <c r="F9724" i="1"/>
  <c r="B9724" i="1"/>
  <c r="F9723" i="1"/>
  <c r="B9723" i="1"/>
  <c r="F9722" i="1"/>
  <c r="B9722" i="1"/>
  <c r="F9721" i="1"/>
  <c r="B9721" i="1"/>
  <c r="F9720" i="1"/>
  <c r="B9720" i="1"/>
  <c r="F9719" i="1"/>
  <c r="B9719" i="1"/>
  <c r="F9718" i="1"/>
  <c r="B9718" i="1"/>
  <c r="F9717" i="1"/>
  <c r="B9717" i="1"/>
  <c r="F9716" i="1"/>
  <c r="B9716" i="1"/>
  <c r="F9715" i="1"/>
  <c r="B9715" i="1"/>
  <c r="F9714" i="1"/>
  <c r="B9714" i="1"/>
  <c r="F9713" i="1"/>
  <c r="B9713" i="1"/>
  <c r="F9712" i="1"/>
  <c r="B9712" i="1"/>
  <c r="F9711" i="1"/>
  <c r="B9711" i="1"/>
  <c r="F9710" i="1"/>
  <c r="B9710" i="1"/>
  <c r="F9709" i="1"/>
  <c r="B9709" i="1"/>
  <c r="F9708" i="1"/>
  <c r="B9708" i="1"/>
  <c r="F9707" i="1"/>
  <c r="B9707" i="1"/>
  <c r="F9706" i="1"/>
  <c r="B9706" i="1"/>
  <c r="F9705" i="1"/>
  <c r="B9705" i="1"/>
  <c r="F9704" i="1"/>
  <c r="B9704" i="1"/>
  <c r="F9703" i="1"/>
  <c r="B9703" i="1"/>
  <c r="F9702" i="1"/>
  <c r="B9702" i="1"/>
  <c r="F9701" i="1"/>
  <c r="B9701" i="1"/>
  <c r="F9700" i="1"/>
  <c r="B9700" i="1"/>
  <c r="F9699" i="1"/>
  <c r="B9699" i="1"/>
  <c r="F9698" i="1"/>
  <c r="B9698" i="1"/>
  <c r="F9697" i="1"/>
  <c r="B9697" i="1"/>
  <c r="F9696" i="1"/>
  <c r="B9696" i="1"/>
  <c r="F9695" i="1"/>
  <c r="B9695" i="1"/>
  <c r="F9694" i="1"/>
  <c r="B9694" i="1"/>
  <c r="F9693" i="1"/>
  <c r="B9693" i="1"/>
  <c r="F9692" i="1"/>
  <c r="B9692" i="1"/>
  <c r="F9691" i="1"/>
  <c r="B9691" i="1"/>
  <c r="F9690" i="1"/>
  <c r="B9690" i="1"/>
  <c r="F9689" i="1"/>
  <c r="B9689" i="1"/>
  <c r="F9688" i="1"/>
  <c r="B9688" i="1"/>
  <c r="F9687" i="1"/>
  <c r="B9687" i="1"/>
  <c r="F9686" i="1"/>
  <c r="B9686" i="1"/>
  <c r="F9685" i="1"/>
  <c r="B9685" i="1"/>
  <c r="F9684" i="1"/>
  <c r="B9684" i="1"/>
  <c r="F9683" i="1"/>
  <c r="B9683" i="1"/>
  <c r="F9682" i="1"/>
  <c r="B9682" i="1"/>
  <c r="F9681" i="1"/>
  <c r="B9681" i="1"/>
  <c r="F9680" i="1"/>
  <c r="B9680" i="1"/>
  <c r="F9679" i="1"/>
  <c r="B9679" i="1"/>
  <c r="F9678" i="1"/>
  <c r="B9678" i="1"/>
  <c r="F9677" i="1"/>
  <c r="B9677" i="1"/>
  <c r="F9676" i="1"/>
  <c r="B9676" i="1"/>
  <c r="F9675" i="1"/>
  <c r="B9675" i="1"/>
  <c r="F9674" i="1"/>
  <c r="B9674" i="1"/>
  <c r="F9673" i="1"/>
  <c r="B9673" i="1"/>
  <c r="F9672" i="1"/>
  <c r="B9672" i="1"/>
  <c r="F9671" i="1"/>
  <c r="B9671" i="1"/>
  <c r="F9670" i="1"/>
  <c r="B9670" i="1"/>
  <c r="F9669" i="1"/>
  <c r="B9669" i="1"/>
  <c r="F9668" i="1"/>
  <c r="B9668" i="1"/>
  <c r="F9667" i="1"/>
  <c r="B9667" i="1"/>
  <c r="F9666" i="1"/>
  <c r="B9666" i="1"/>
  <c r="F9665" i="1"/>
  <c r="B9665" i="1"/>
  <c r="F9664" i="1"/>
  <c r="B9664" i="1"/>
  <c r="F9663" i="1"/>
  <c r="B9663" i="1"/>
  <c r="F9662" i="1"/>
  <c r="B9662" i="1"/>
  <c r="F9661" i="1"/>
  <c r="B9661" i="1"/>
  <c r="F9660" i="1"/>
  <c r="B9660" i="1"/>
  <c r="F9659" i="1"/>
  <c r="B9659" i="1"/>
  <c r="F9658" i="1"/>
  <c r="B9658" i="1"/>
  <c r="F9657" i="1"/>
  <c r="B9657" i="1"/>
  <c r="F9656" i="1"/>
  <c r="B9656" i="1"/>
  <c r="F9655" i="1"/>
  <c r="B9655" i="1"/>
  <c r="F9654" i="1"/>
  <c r="B9654" i="1"/>
  <c r="F9653" i="1"/>
  <c r="B9653" i="1"/>
  <c r="F9652" i="1"/>
  <c r="B9652" i="1"/>
  <c r="F9651" i="1"/>
  <c r="B9651" i="1"/>
  <c r="F9650" i="1"/>
  <c r="B9650" i="1"/>
  <c r="F9649" i="1"/>
  <c r="B9649" i="1"/>
  <c r="F9648" i="1"/>
  <c r="B9648" i="1"/>
  <c r="F9647" i="1"/>
  <c r="B9647" i="1"/>
  <c r="F9646" i="1"/>
  <c r="B9646" i="1"/>
  <c r="F9645" i="1"/>
  <c r="B9645" i="1"/>
  <c r="F9644" i="1"/>
  <c r="B9644" i="1"/>
  <c r="F9643" i="1"/>
  <c r="B9643" i="1"/>
  <c r="F9642" i="1"/>
  <c r="B9642" i="1"/>
  <c r="F9641" i="1"/>
  <c r="B9641" i="1"/>
  <c r="F9640" i="1"/>
  <c r="B9640" i="1"/>
  <c r="F9639" i="1"/>
  <c r="B9639" i="1"/>
  <c r="F9638" i="1"/>
  <c r="B9638" i="1"/>
  <c r="F9637" i="1"/>
  <c r="B9637" i="1"/>
  <c r="F9636" i="1"/>
  <c r="B9636" i="1"/>
  <c r="F9635" i="1"/>
  <c r="B9635" i="1"/>
  <c r="F9634" i="1"/>
  <c r="B9634" i="1"/>
  <c r="F9633" i="1"/>
  <c r="B9633" i="1"/>
  <c r="F9632" i="1"/>
  <c r="B9632" i="1"/>
  <c r="F9631" i="1"/>
  <c r="B9631" i="1"/>
  <c r="F9630" i="1"/>
  <c r="B9630" i="1"/>
  <c r="F9629" i="1"/>
  <c r="B9629" i="1"/>
  <c r="F9628" i="1"/>
  <c r="B9628" i="1"/>
  <c r="F9627" i="1"/>
  <c r="B9627" i="1"/>
  <c r="F9626" i="1"/>
  <c r="B9626" i="1"/>
  <c r="F9625" i="1"/>
  <c r="B9625" i="1"/>
  <c r="F9624" i="1"/>
  <c r="B9624" i="1"/>
  <c r="F9623" i="1"/>
  <c r="B9623" i="1"/>
  <c r="F9622" i="1"/>
  <c r="B9622" i="1"/>
  <c r="F9621" i="1"/>
  <c r="B9621" i="1"/>
  <c r="F9620" i="1"/>
  <c r="B9620" i="1"/>
  <c r="F9619" i="1"/>
  <c r="B9619" i="1"/>
  <c r="F9618" i="1"/>
  <c r="B9618" i="1"/>
  <c r="F9617" i="1"/>
  <c r="B9617" i="1"/>
  <c r="F9616" i="1"/>
  <c r="B9616" i="1"/>
  <c r="F9615" i="1"/>
  <c r="B9615" i="1"/>
  <c r="F9614" i="1"/>
  <c r="B9614" i="1"/>
  <c r="F9613" i="1"/>
  <c r="B9613" i="1"/>
  <c r="F9612" i="1"/>
  <c r="B9612" i="1"/>
  <c r="F9611" i="1"/>
  <c r="B9611" i="1"/>
  <c r="F9610" i="1"/>
  <c r="B9610" i="1"/>
  <c r="F9609" i="1"/>
  <c r="B9609" i="1"/>
  <c r="F9608" i="1"/>
  <c r="B9608" i="1"/>
  <c r="F9607" i="1"/>
  <c r="B9607" i="1"/>
  <c r="F9606" i="1"/>
  <c r="B9606" i="1"/>
  <c r="F9605" i="1"/>
  <c r="B9605" i="1"/>
  <c r="F9604" i="1"/>
  <c r="B9604" i="1"/>
  <c r="F9603" i="1"/>
  <c r="B9603" i="1"/>
  <c r="F9602" i="1"/>
  <c r="B9602" i="1"/>
  <c r="F9601" i="1"/>
  <c r="B9601" i="1"/>
  <c r="F9600" i="1"/>
  <c r="B9600" i="1"/>
  <c r="F9599" i="1"/>
  <c r="B9599" i="1"/>
  <c r="F9598" i="1"/>
  <c r="B9598" i="1"/>
  <c r="F9597" i="1"/>
  <c r="B9597" i="1"/>
  <c r="F9596" i="1"/>
  <c r="B9596" i="1"/>
  <c r="F9595" i="1"/>
  <c r="B9595" i="1"/>
  <c r="F9594" i="1"/>
  <c r="B9594" i="1"/>
  <c r="F9593" i="1"/>
  <c r="B9593" i="1"/>
  <c r="F9592" i="1"/>
  <c r="B9592" i="1"/>
  <c r="F9591" i="1"/>
  <c r="B9591" i="1"/>
  <c r="F9590" i="1"/>
  <c r="B9590" i="1"/>
  <c r="F9589" i="1"/>
  <c r="B9589" i="1"/>
  <c r="F9588" i="1"/>
  <c r="B9588" i="1"/>
  <c r="F9587" i="1"/>
  <c r="B9587" i="1"/>
  <c r="F9586" i="1"/>
  <c r="B9586" i="1"/>
  <c r="F9585" i="1"/>
  <c r="B9585" i="1"/>
  <c r="F9584" i="1"/>
  <c r="B9584" i="1"/>
  <c r="F9583" i="1"/>
  <c r="B9583" i="1"/>
  <c r="F9582" i="1"/>
  <c r="B9582" i="1"/>
  <c r="F9581" i="1"/>
  <c r="B9581" i="1"/>
  <c r="F9580" i="1"/>
  <c r="B9580" i="1"/>
  <c r="F9579" i="1"/>
  <c r="B9579" i="1"/>
  <c r="F9578" i="1"/>
  <c r="B9578" i="1"/>
  <c r="F9577" i="1"/>
  <c r="B9577" i="1"/>
  <c r="F9576" i="1"/>
  <c r="B9576" i="1"/>
  <c r="F9575" i="1"/>
  <c r="B9575" i="1"/>
  <c r="F9574" i="1"/>
  <c r="B9574" i="1"/>
  <c r="F9573" i="1"/>
  <c r="B9573" i="1"/>
  <c r="F9572" i="1"/>
  <c r="B9572" i="1"/>
  <c r="F9571" i="1"/>
  <c r="B9571" i="1"/>
  <c r="F9570" i="1"/>
  <c r="B9570" i="1"/>
  <c r="F9569" i="1"/>
  <c r="B9569" i="1"/>
  <c r="F9568" i="1"/>
  <c r="B9568" i="1"/>
  <c r="F9567" i="1"/>
  <c r="B9567" i="1"/>
  <c r="F9566" i="1"/>
  <c r="B9566" i="1"/>
  <c r="F9565" i="1"/>
  <c r="B9565" i="1"/>
  <c r="F9564" i="1"/>
  <c r="B9564" i="1"/>
  <c r="F9563" i="1"/>
  <c r="B9563" i="1"/>
  <c r="F9562" i="1"/>
  <c r="B9562" i="1"/>
  <c r="F9561" i="1"/>
  <c r="B9561" i="1"/>
  <c r="F9560" i="1"/>
  <c r="B9560" i="1"/>
  <c r="F9559" i="1"/>
  <c r="B9559" i="1"/>
  <c r="F9558" i="1"/>
  <c r="B9558" i="1"/>
  <c r="F9557" i="1"/>
  <c r="B9557" i="1"/>
  <c r="F9556" i="1"/>
  <c r="B9556" i="1"/>
  <c r="F9555" i="1"/>
  <c r="B9555" i="1"/>
  <c r="F9554" i="1"/>
  <c r="B9554" i="1"/>
  <c r="F9553" i="1"/>
  <c r="B9553" i="1"/>
  <c r="F9552" i="1"/>
  <c r="B9552" i="1"/>
  <c r="F9551" i="1"/>
  <c r="B9551" i="1"/>
  <c r="F9550" i="1"/>
  <c r="B9550" i="1"/>
  <c r="F9549" i="1"/>
  <c r="B9549" i="1"/>
  <c r="F9548" i="1"/>
  <c r="B9548" i="1"/>
  <c r="F9547" i="1"/>
  <c r="B9547" i="1"/>
  <c r="F9546" i="1"/>
  <c r="B9546" i="1"/>
  <c r="F9545" i="1"/>
  <c r="B9545" i="1"/>
  <c r="F9544" i="1"/>
  <c r="B9544" i="1"/>
  <c r="F9543" i="1"/>
  <c r="B9543" i="1"/>
  <c r="F9542" i="1"/>
  <c r="B9542" i="1"/>
  <c r="F9541" i="1"/>
  <c r="B9541" i="1"/>
  <c r="F9540" i="1"/>
  <c r="B9540" i="1"/>
  <c r="F9539" i="1"/>
  <c r="B9539" i="1"/>
  <c r="F9538" i="1"/>
  <c r="B9538" i="1"/>
  <c r="F9537" i="1"/>
  <c r="B9537" i="1"/>
  <c r="F9536" i="1"/>
  <c r="B9536" i="1"/>
  <c r="F9535" i="1"/>
  <c r="B9535" i="1"/>
  <c r="F9534" i="1"/>
  <c r="B9534" i="1"/>
  <c r="F9533" i="1"/>
  <c r="B9533" i="1"/>
  <c r="F9532" i="1"/>
  <c r="B9532" i="1"/>
  <c r="F9531" i="1"/>
  <c r="B9531" i="1"/>
  <c r="F9530" i="1"/>
  <c r="B9530" i="1"/>
  <c r="F9529" i="1"/>
  <c r="B9529" i="1"/>
  <c r="F9528" i="1"/>
  <c r="B9528" i="1"/>
  <c r="F9527" i="1"/>
  <c r="B9527" i="1"/>
  <c r="F9526" i="1"/>
  <c r="B9526" i="1"/>
  <c r="F9525" i="1"/>
  <c r="B9525" i="1"/>
  <c r="F9524" i="1"/>
  <c r="B9524" i="1"/>
  <c r="F9523" i="1"/>
  <c r="B9523" i="1"/>
  <c r="F9522" i="1"/>
  <c r="B9522" i="1"/>
  <c r="F9521" i="1"/>
  <c r="B9521" i="1"/>
  <c r="F9520" i="1"/>
  <c r="B9520" i="1"/>
  <c r="F9519" i="1"/>
  <c r="B9519" i="1"/>
  <c r="F9518" i="1"/>
  <c r="B9518" i="1"/>
  <c r="F9517" i="1"/>
  <c r="B9517" i="1"/>
  <c r="F9516" i="1"/>
  <c r="B9516" i="1"/>
  <c r="F9515" i="1"/>
  <c r="B9515" i="1"/>
  <c r="F9514" i="1"/>
  <c r="B9514" i="1"/>
  <c r="F9513" i="1"/>
  <c r="B9513" i="1"/>
  <c r="F9512" i="1"/>
  <c r="B9512" i="1"/>
  <c r="F9511" i="1"/>
  <c r="B9511" i="1"/>
  <c r="F9510" i="1"/>
  <c r="B9510" i="1"/>
  <c r="F9509" i="1"/>
  <c r="B9509" i="1"/>
  <c r="F9508" i="1"/>
  <c r="B9508" i="1"/>
  <c r="F9507" i="1"/>
  <c r="B9507" i="1"/>
  <c r="F9506" i="1"/>
  <c r="B9506" i="1"/>
  <c r="F9505" i="1"/>
  <c r="B9505" i="1"/>
  <c r="F9504" i="1"/>
  <c r="B9504" i="1"/>
  <c r="F9503" i="1"/>
  <c r="B9503" i="1"/>
  <c r="F9502" i="1"/>
  <c r="B9502" i="1"/>
  <c r="F9501" i="1"/>
  <c r="B9501" i="1"/>
  <c r="F9500" i="1"/>
  <c r="B9500" i="1"/>
  <c r="F9499" i="1"/>
  <c r="B9499" i="1"/>
  <c r="F9498" i="1"/>
  <c r="B9498" i="1"/>
  <c r="F9497" i="1"/>
  <c r="B9497" i="1"/>
  <c r="F9496" i="1"/>
  <c r="B9496" i="1"/>
  <c r="F9495" i="1"/>
  <c r="B9495" i="1"/>
  <c r="F9494" i="1"/>
  <c r="B9494" i="1"/>
  <c r="F9493" i="1"/>
  <c r="B9493" i="1"/>
  <c r="F9492" i="1"/>
  <c r="B9492" i="1"/>
  <c r="F9491" i="1"/>
  <c r="B9491" i="1"/>
  <c r="F9490" i="1"/>
  <c r="B9490" i="1"/>
  <c r="F9489" i="1"/>
  <c r="B9489" i="1"/>
  <c r="F9488" i="1"/>
  <c r="B9488" i="1"/>
  <c r="F9487" i="1"/>
  <c r="B9487" i="1"/>
  <c r="F9486" i="1"/>
  <c r="B9486" i="1"/>
  <c r="F9485" i="1"/>
  <c r="B9485" i="1"/>
  <c r="F9484" i="1"/>
  <c r="B9484" i="1"/>
  <c r="F9483" i="1"/>
  <c r="B9483" i="1"/>
  <c r="F9482" i="1"/>
  <c r="B9482" i="1"/>
  <c r="F9481" i="1"/>
  <c r="B9481" i="1"/>
  <c r="F9480" i="1"/>
  <c r="B9480" i="1"/>
  <c r="F9479" i="1"/>
  <c r="B9479" i="1"/>
  <c r="F9478" i="1"/>
  <c r="B9478" i="1"/>
  <c r="F9477" i="1"/>
  <c r="B9477" i="1"/>
  <c r="F9476" i="1"/>
  <c r="B9476" i="1"/>
  <c r="F9475" i="1"/>
  <c r="B9475" i="1"/>
  <c r="F9474" i="1"/>
  <c r="B9474" i="1"/>
  <c r="F9473" i="1"/>
  <c r="B9473" i="1"/>
  <c r="F9472" i="1"/>
  <c r="B9472" i="1"/>
  <c r="F9471" i="1"/>
  <c r="B9471" i="1"/>
  <c r="F9470" i="1"/>
  <c r="B9470" i="1"/>
  <c r="F9469" i="1"/>
  <c r="B9469" i="1"/>
  <c r="F9468" i="1"/>
  <c r="B9468" i="1"/>
  <c r="F9467" i="1"/>
  <c r="B9467" i="1"/>
  <c r="F9466" i="1"/>
  <c r="B9466" i="1"/>
  <c r="F9465" i="1"/>
  <c r="B9465" i="1"/>
  <c r="F9464" i="1"/>
  <c r="B9464" i="1"/>
  <c r="F9463" i="1"/>
  <c r="B9463" i="1"/>
  <c r="F9462" i="1"/>
  <c r="B9462" i="1"/>
  <c r="F9461" i="1"/>
  <c r="B9461" i="1"/>
  <c r="F9460" i="1"/>
  <c r="B9460" i="1"/>
  <c r="F9459" i="1"/>
  <c r="B9459" i="1"/>
  <c r="F9458" i="1"/>
  <c r="B9458" i="1"/>
  <c r="F9457" i="1"/>
  <c r="B9457" i="1"/>
  <c r="F9456" i="1"/>
  <c r="B9456" i="1"/>
  <c r="F9455" i="1"/>
  <c r="B9455" i="1"/>
  <c r="F9454" i="1"/>
  <c r="B9454" i="1"/>
  <c r="F9453" i="1"/>
  <c r="B9453" i="1"/>
  <c r="F9452" i="1"/>
  <c r="B9452" i="1"/>
  <c r="F9451" i="1"/>
  <c r="B9451" i="1"/>
  <c r="F9450" i="1"/>
  <c r="B9450" i="1"/>
  <c r="F9449" i="1"/>
  <c r="B9449" i="1"/>
  <c r="F9448" i="1"/>
  <c r="B9448" i="1"/>
  <c r="F9447" i="1"/>
  <c r="B9447" i="1"/>
  <c r="F9446" i="1"/>
  <c r="B9446" i="1"/>
  <c r="F9445" i="1"/>
  <c r="B9445" i="1"/>
  <c r="F9444" i="1"/>
  <c r="B9444" i="1"/>
  <c r="F9443" i="1"/>
  <c r="B9443" i="1"/>
  <c r="F9442" i="1"/>
  <c r="B9442" i="1"/>
  <c r="F9441" i="1"/>
  <c r="B9441" i="1"/>
  <c r="F9440" i="1"/>
  <c r="B9440" i="1"/>
  <c r="F9439" i="1"/>
  <c r="B9439" i="1"/>
  <c r="F9438" i="1"/>
  <c r="B9438" i="1"/>
  <c r="F9437" i="1"/>
  <c r="B9437" i="1"/>
  <c r="F9436" i="1"/>
  <c r="B9436" i="1"/>
  <c r="F9435" i="1"/>
  <c r="B9435" i="1"/>
  <c r="F9434" i="1"/>
  <c r="B9434" i="1"/>
  <c r="F9433" i="1"/>
  <c r="B9433" i="1"/>
  <c r="F9432" i="1"/>
  <c r="B9432" i="1"/>
  <c r="F9431" i="1"/>
  <c r="B9431" i="1"/>
  <c r="F9430" i="1"/>
  <c r="B9430" i="1"/>
  <c r="F9429" i="1"/>
  <c r="B9429" i="1"/>
  <c r="F9428" i="1"/>
  <c r="B9428" i="1"/>
  <c r="F9427" i="1"/>
  <c r="B9427" i="1"/>
  <c r="F9426" i="1"/>
  <c r="B9426" i="1"/>
  <c r="F9425" i="1"/>
  <c r="B9425" i="1"/>
  <c r="F9424" i="1"/>
  <c r="B9424" i="1"/>
  <c r="F9423" i="1"/>
  <c r="B9423" i="1"/>
  <c r="F9422" i="1"/>
  <c r="B9422" i="1"/>
  <c r="F9421" i="1"/>
  <c r="B9421" i="1"/>
  <c r="F9420" i="1"/>
  <c r="B9420" i="1"/>
  <c r="F9419" i="1"/>
  <c r="B9419" i="1"/>
  <c r="F9418" i="1"/>
  <c r="B9418" i="1"/>
  <c r="F9417" i="1"/>
  <c r="B9417" i="1"/>
  <c r="F9416" i="1"/>
  <c r="B9416" i="1"/>
  <c r="F9415" i="1"/>
  <c r="B9415" i="1"/>
  <c r="F9414" i="1"/>
  <c r="B9414" i="1"/>
  <c r="F9413" i="1"/>
  <c r="B9413" i="1"/>
  <c r="F9412" i="1"/>
  <c r="B9412" i="1"/>
  <c r="F9411" i="1"/>
  <c r="B9411" i="1"/>
  <c r="F9410" i="1"/>
  <c r="B9410" i="1"/>
  <c r="F9409" i="1"/>
  <c r="B9409" i="1"/>
  <c r="F9408" i="1"/>
  <c r="B9408" i="1"/>
  <c r="F9407" i="1"/>
  <c r="B9407" i="1"/>
  <c r="F9406" i="1"/>
  <c r="B9406" i="1"/>
  <c r="F9405" i="1"/>
  <c r="B9405" i="1"/>
  <c r="F9404" i="1"/>
  <c r="B9404" i="1"/>
  <c r="F9403" i="1"/>
  <c r="B9403" i="1"/>
  <c r="F9402" i="1"/>
  <c r="B9402" i="1"/>
  <c r="F9401" i="1"/>
  <c r="B9401" i="1"/>
  <c r="F9400" i="1"/>
  <c r="B9400" i="1"/>
  <c r="F9399" i="1"/>
  <c r="B9399" i="1"/>
  <c r="F9398" i="1"/>
  <c r="B9398" i="1"/>
  <c r="F9397" i="1"/>
  <c r="B9397" i="1"/>
  <c r="F9396" i="1"/>
  <c r="B9396" i="1"/>
  <c r="F9395" i="1"/>
  <c r="B9395" i="1"/>
  <c r="F9394" i="1"/>
  <c r="B9394" i="1"/>
  <c r="F9393" i="1"/>
  <c r="B9393" i="1"/>
  <c r="F9392" i="1"/>
  <c r="B9392" i="1"/>
  <c r="F9391" i="1"/>
  <c r="B9391" i="1"/>
  <c r="F9390" i="1"/>
  <c r="B9390" i="1"/>
  <c r="F9389" i="1"/>
  <c r="B9389" i="1"/>
  <c r="F9388" i="1"/>
  <c r="B9388" i="1"/>
  <c r="F9387" i="1"/>
  <c r="B9387" i="1"/>
  <c r="F9386" i="1"/>
  <c r="B9386" i="1"/>
  <c r="F9385" i="1"/>
  <c r="B9385" i="1"/>
  <c r="F9384" i="1"/>
  <c r="B9384" i="1"/>
  <c r="F9383" i="1"/>
  <c r="B9383" i="1"/>
  <c r="F9382" i="1"/>
  <c r="B9382" i="1"/>
  <c r="F9381" i="1"/>
  <c r="B9381" i="1"/>
  <c r="F9380" i="1"/>
  <c r="B9380" i="1"/>
  <c r="F9379" i="1"/>
  <c r="B9379" i="1"/>
  <c r="F9378" i="1"/>
  <c r="B9378" i="1"/>
  <c r="F9377" i="1"/>
  <c r="B9377" i="1"/>
  <c r="F9376" i="1"/>
  <c r="B9376" i="1"/>
  <c r="F9375" i="1"/>
  <c r="B9375" i="1"/>
  <c r="F9374" i="1"/>
  <c r="B9374" i="1"/>
  <c r="F9373" i="1"/>
  <c r="B9373" i="1"/>
  <c r="F9372" i="1"/>
  <c r="B9372" i="1"/>
  <c r="F9371" i="1"/>
  <c r="B9371" i="1"/>
  <c r="F9370" i="1"/>
  <c r="B9370" i="1"/>
  <c r="F9369" i="1"/>
  <c r="B9369" i="1"/>
  <c r="F9368" i="1"/>
  <c r="B9368" i="1"/>
  <c r="F9367" i="1"/>
  <c r="B9367" i="1"/>
  <c r="F9366" i="1"/>
  <c r="B9366" i="1"/>
  <c r="F9365" i="1"/>
  <c r="B9365" i="1"/>
  <c r="F9364" i="1"/>
  <c r="B9364" i="1"/>
  <c r="F9363" i="1"/>
  <c r="B9363" i="1"/>
  <c r="F9362" i="1"/>
  <c r="B9362" i="1"/>
  <c r="F9361" i="1"/>
  <c r="B9361" i="1"/>
  <c r="F9360" i="1"/>
  <c r="B9360" i="1"/>
  <c r="F9359" i="1"/>
  <c r="B9359" i="1"/>
  <c r="F9358" i="1"/>
  <c r="B9358" i="1"/>
  <c r="F9357" i="1"/>
  <c r="B9357" i="1"/>
  <c r="F9356" i="1"/>
  <c r="B9356" i="1"/>
  <c r="F9355" i="1"/>
  <c r="B9355" i="1"/>
  <c r="F9354" i="1"/>
  <c r="B9354" i="1"/>
  <c r="F9353" i="1"/>
  <c r="B9353" i="1"/>
  <c r="F9352" i="1"/>
  <c r="B9352" i="1"/>
  <c r="F9351" i="1"/>
  <c r="B9351" i="1"/>
  <c r="F9350" i="1"/>
  <c r="B9350" i="1"/>
  <c r="F9349" i="1"/>
  <c r="B9349" i="1"/>
  <c r="F9348" i="1"/>
  <c r="B9348" i="1"/>
  <c r="F9347" i="1"/>
  <c r="B9347" i="1"/>
  <c r="F9346" i="1"/>
  <c r="B9346" i="1"/>
  <c r="F9345" i="1"/>
  <c r="B9345" i="1"/>
  <c r="F9344" i="1"/>
  <c r="B9344" i="1"/>
  <c r="F9343" i="1"/>
  <c r="B9343" i="1"/>
  <c r="F9342" i="1"/>
  <c r="B9342" i="1"/>
  <c r="F9341" i="1"/>
  <c r="B9341" i="1"/>
  <c r="F9340" i="1"/>
  <c r="B9340" i="1"/>
  <c r="F9339" i="1"/>
  <c r="B9339" i="1"/>
  <c r="F9338" i="1"/>
  <c r="B9338" i="1"/>
  <c r="F9337" i="1"/>
  <c r="B9337" i="1"/>
  <c r="F9336" i="1"/>
  <c r="B9336" i="1"/>
  <c r="F9335" i="1"/>
  <c r="B9335" i="1"/>
  <c r="F9334" i="1"/>
  <c r="B9334" i="1"/>
  <c r="F9333" i="1"/>
  <c r="B9333" i="1"/>
  <c r="F9332" i="1"/>
  <c r="B9332" i="1"/>
  <c r="F9331" i="1"/>
  <c r="B9331" i="1"/>
  <c r="F9330" i="1"/>
  <c r="B9330" i="1"/>
  <c r="F9329" i="1"/>
  <c r="B9329" i="1"/>
  <c r="F9328" i="1"/>
  <c r="B9328" i="1"/>
  <c r="F9327" i="1"/>
  <c r="B9327" i="1"/>
  <c r="F9326" i="1"/>
  <c r="B9326" i="1"/>
  <c r="F9325" i="1"/>
  <c r="B9325" i="1"/>
  <c r="F9324" i="1"/>
  <c r="B9324" i="1"/>
  <c r="F9323" i="1"/>
  <c r="B9323" i="1"/>
  <c r="F9322" i="1"/>
  <c r="B9322" i="1"/>
  <c r="F9321" i="1"/>
  <c r="B9321" i="1"/>
  <c r="F9320" i="1"/>
  <c r="B9320" i="1"/>
  <c r="F9319" i="1"/>
  <c r="B9319" i="1"/>
  <c r="F9318" i="1"/>
  <c r="B9318" i="1"/>
  <c r="F9317" i="1"/>
  <c r="B9317" i="1"/>
  <c r="F9316" i="1"/>
  <c r="B9316" i="1"/>
  <c r="F9315" i="1"/>
  <c r="B9315" i="1"/>
  <c r="F9314" i="1"/>
  <c r="B9314" i="1"/>
  <c r="F9313" i="1"/>
  <c r="B9313" i="1"/>
  <c r="F9312" i="1"/>
  <c r="B9312" i="1"/>
  <c r="F9311" i="1"/>
  <c r="B9311" i="1"/>
  <c r="F9310" i="1"/>
  <c r="B9310" i="1"/>
  <c r="F9309" i="1"/>
  <c r="B9309" i="1"/>
  <c r="F9308" i="1"/>
  <c r="B9308" i="1"/>
  <c r="F9307" i="1"/>
  <c r="B9307" i="1"/>
  <c r="F9306" i="1"/>
  <c r="B9306" i="1"/>
  <c r="F9305" i="1"/>
  <c r="B9305" i="1"/>
  <c r="F9304" i="1"/>
  <c r="B9304" i="1"/>
  <c r="F9303" i="1"/>
  <c r="B9303" i="1"/>
  <c r="F9302" i="1"/>
  <c r="B9302" i="1"/>
  <c r="F9301" i="1"/>
  <c r="B9301" i="1"/>
  <c r="F9300" i="1"/>
  <c r="B9300" i="1"/>
  <c r="F9299" i="1"/>
  <c r="B9299" i="1"/>
  <c r="F9298" i="1"/>
  <c r="B9298" i="1"/>
  <c r="F9297" i="1"/>
  <c r="B9297" i="1"/>
  <c r="F9296" i="1"/>
  <c r="B9296" i="1"/>
  <c r="F9295" i="1"/>
  <c r="B9295" i="1"/>
  <c r="F9294" i="1"/>
  <c r="B9294" i="1"/>
  <c r="F9293" i="1"/>
  <c r="B9293" i="1"/>
  <c r="F9292" i="1"/>
  <c r="B9292" i="1"/>
  <c r="F9291" i="1"/>
  <c r="B9291" i="1"/>
  <c r="F9290" i="1"/>
  <c r="B9290" i="1"/>
  <c r="F9289" i="1"/>
  <c r="B9289" i="1"/>
  <c r="F9288" i="1"/>
  <c r="B9288" i="1"/>
  <c r="F9287" i="1"/>
  <c r="B9287" i="1"/>
  <c r="F9286" i="1"/>
  <c r="B9286" i="1"/>
  <c r="F9285" i="1"/>
  <c r="B9285" i="1"/>
  <c r="F9284" i="1"/>
  <c r="B9284" i="1"/>
  <c r="F9283" i="1"/>
  <c r="B9283" i="1"/>
  <c r="F9282" i="1"/>
  <c r="B9282" i="1"/>
  <c r="F9281" i="1"/>
  <c r="B9281" i="1"/>
  <c r="F9280" i="1"/>
  <c r="B9280" i="1"/>
  <c r="F9279" i="1"/>
  <c r="B9279" i="1"/>
  <c r="F9278" i="1"/>
  <c r="B9278" i="1"/>
  <c r="F9277" i="1"/>
  <c r="B9277" i="1"/>
  <c r="F9276" i="1"/>
  <c r="B9276" i="1"/>
  <c r="F9275" i="1"/>
  <c r="B9275" i="1"/>
  <c r="F9274" i="1"/>
  <c r="B9274" i="1"/>
  <c r="F9273" i="1"/>
  <c r="B9273" i="1"/>
  <c r="F9272" i="1"/>
  <c r="B9272" i="1"/>
  <c r="F9271" i="1"/>
  <c r="B9271" i="1"/>
  <c r="F9270" i="1"/>
  <c r="B9270" i="1"/>
  <c r="F9269" i="1"/>
  <c r="B9269" i="1"/>
  <c r="F9268" i="1"/>
  <c r="B9268" i="1"/>
  <c r="F9267" i="1"/>
  <c r="B9267" i="1"/>
  <c r="F9266" i="1"/>
  <c r="B9266" i="1"/>
  <c r="F9265" i="1"/>
  <c r="B9265" i="1"/>
  <c r="F9264" i="1"/>
  <c r="B9264" i="1"/>
  <c r="F9263" i="1"/>
  <c r="B9263" i="1"/>
  <c r="F9262" i="1"/>
  <c r="B9262" i="1"/>
  <c r="F9261" i="1"/>
  <c r="B9261" i="1"/>
  <c r="F9260" i="1"/>
  <c r="B9260" i="1"/>
  <c r="F9259" i="1"/>
  <c r="B9259" i="1"/>
  <c r="F9258" i="1"/>
  <c r="B9258" i="1"/>
  <c r="F9257" i="1"/>
  <c r="B9257" i="1"/>
  <c r="F9256" i="1"/>
  <c r="B9256" i="1"/>
  <c r="F9255" i="1"/>
  <c r="B9255" i="1"/>
  <c r="F9254" i="1"/>
  <c r="B9254" i="1"/>
  <c r="F9253" i="1"/>
  <c r="B9253" i="1"/>
  <c r="F9252" i="1"/>
  <c r="B9252" i="1"/>
  <c r="F9251" i="1"/>
  <c r="B9251" i="1"/>
  <c r="F9250" i="1"/>
  <c r="B9250" i="1"/>
  <c r="F9249" i="1"/>
  <c r="B9249" i="1"/>
  <c r="F9248" i="1"/>
  <c r="B9248" i="1"/>
  <c r="F9247" i="1"/>
  <c r="B9247" i="1"/>
  <c r="F9246" i="1"/>
  <c r="B9246" i="1"/>
  <c r="F9245" i="1"/>
  <c r="B9245" i="1"/>
  <c r="F9244" i="1"/>
  <c r="B9244" i="1"/>
  <c r="F9243" i="1"/>
  <c r="B9243" i="1"/>
  <c r="F9242" i="1"/>
  <c r="B9242" i="1"/>
  <c r="F9241" i="1"/>
  <c r="B9241" i="1"/>
  <c r="F9240" i="1"/>
  <c r="B9240" i="1"/>
  <c r="F9239" i="1"/>
  <c r="B9239" i="1"/>
  <c r="F9238" i="1"/>
  <c r="B9238" i="1"/>
  <c r="F9237" i="1"/>
  <c r="B9237" i="1"/>
  <c r="F9236" i="1"/>
  <c r="B9236" i="1"/>
  <c r="F9235" i="1"/>
  <c r="B9235" i="1"/>
  <c r="F9234" i="1"/>
  <c r="B9234" i="1"/>
  <c r="F9233" i="1"/>
  <c r="B9233" i="1"/>
  <c r="F9232" i="1"/>
  <c r="B9232" i="1"/>
  <c r="F9231" i="1"/>
  <c r="B9231" i="1"/>
  <c r="F9230" i="1"/>
  <c r="B9230" i="1"/>
  <c r="F9229" i="1"/>
  <c r="B9229" i="1"/>
  <c r="F9228" i="1"/>
  <c r="B9228" i="1"/>
  <c r="F9227" i="1"/>
  <c r="B9227" i="1"/>
  <c r="F9226" i="1"/>
  <c r="B9226" i="1"/>
  <c r="F9225" i="1"/>
  <c r="B9225" i="1"/>
  <c r="F9224" i="1"/>
  <c r="B9224" i="1"/>
  <c r="F9223" i="1"/>
  <c r="B9223" i="1"/>
  <c r="F9222" i="1"/>
  <c r="B9222" i="1"/>
  <c r="F9221" i="1"/>
  <c r="B9221" i="1"/>
  <c r="F9220" i="1"/>
  <c r="B9220" i="1"/>
  <c r="F9219" i="1"/>
  <c r="B9219" i="1"/>
  <c r="F9218" i="1"/>
  <c r="B9218" i="1"/>
  <c r="F9217" i="1"/>
  <c r="B9217" i="1"/>
  <c r="F9216" i="1"/>
  <c r="B9216" i="1"/>
  <c r="F9215" i="1"/>
  <c r="B9215" i="1"/>
  <c r="F9214" i="1"/>
  <c r="B9214" i="1"/>
  <c r="F9213" i="1"/>
  <c r="B9213" i="1"/>
  <c r="F9212" i="1"/>
  <c r="B9212" i="1"/>
  <c r="F9211" i="1"/>
  <c r="B9211" i="1"/>
  <c r="F9210" i="1"/>
  <c r="B9210" i="1"/>
  <c r="F9209" i="1"/>
  <c r="B9209" i="1"/>
  <c r="F9208" i="1"/>
  <c r="B9208" i="1"/>
  <c r="F9207" i="1"/>
  <c r="B9207" i="1"/>
  <c r="F9206" i="1"/>
  <c r="B9206" i="1"/>
  <c r="F9205" i="1"/>
  <c r="B9205" i="1"/>
  <c r="F9204" i="1"/>
  <c r="B9204" i="1"/>
  <c r="F9203" i="1"/>
  <c r="B9203" i="1"/>
  <c r="F9202" i="1"/>
  <c r="B9202" i="1"/>
  <c r="F9201" i="1"/>
  <c r="B9201" i="1"/>
  <c r="F9200" i="1"/>
  <c r="B9200" i="1"/>
  <c r="F9199" i="1"/>
  <c r="B9199" i="1"/>
  <c r="F9198" i="1"/>
  <c r="B9198" i="1"/>
  <c r="F9197" i="1"/>
  <c r="B9197" i="1"/>
  <c r="F9196" i="1"/>
  <c r="B9196" i="1"/>
  <c r="F9195" i="1"/>
  <c r="B9195" i="1"/>
  <c r="F9194" i="1"/>
  <c r="B9194" i="1"/>
  <c r="F9193" i="1"/>
  <c r="B9193" i="1"/>
  <c r="F9192" i="1"/>
  <c r="B9192" i="1"/>
  <c r="F9191" i="1"/>
  <c r="B9191" i="1"/>
  <c r="F9190" i="1"/>
  <c r="B9190" i="1"/>
  <c r="F9189" i="1"/>
  <c r="B9189" i="1"/>
  <c r="F9188" i="1"/>
  <c r="B9188" i="1"/>
  <c r="F9187" i="1"/>
  <c r="B9187" i="1"/>
  <c r="F9186" i="1"/>
  <c r="B9186" i="1"/>
  <c r="F9185" i="1"/>
  <c r="B9185" i="1"/>
  <c r="F9184" i="1"/>
  <c r="B9184" i="1"/>
  <c r="F9183" i="1"/>
  <c r="B9183" i="1"/>
  <c r="F9182" i="1"/>
  <c r="B9182" i="1"/>
  <c r="F9181" i="1"/>
  <c r="B9181" i="1"/>
  <c r="F9180" i="1"/>
  <c r="B9180" i="1"/>
  <c r="F9179" i="1"/>
  <c r="B9179" i="1"/>
  <c r="F9178" i="1"/>
  <c r="B9178" i="1"/>
  <c r="F9177" i="1"/>
  <c r="B9177" i="1"/>
  <c r="F9176" i="1"/>
  <c r="B9176" i="1"/>
  <c r="F9175" i="1"/>
  <c r="B9175" i="1"/>
  <c r="F9174" i="1"/>
  <c r="B9174" i="1"/>
  <c r="F9173" i="1"/>
  <c r="B9173" i="1"/>
  <c r="F9172" i="1"/>
  <c r="B9172" i="1"/>
  <c r="F9171" i="1"/>
  <c r="B9171" i="1"/>
  <c r="F9170" i="1"/>
  <c r="B9170" i="1"/>
  <c r="F9169" i="1"/>
  <c r="B9169" i="1"/>
  <c r="F9168" i="1"/>
  <c r="B9168" i="1"/>
  <c r="F9167" i="1"/>
  <c r="B9167" i="1"/>
  <c r="F9166" i="1"/>
  <c r="B9166" i="1"/>
  <c r="F9165" i="1"/>
  <c r="B9165" i="1"/>
  <c r="F9164" i="1"/>
  <c r="B9164" i="1"/>
  <c r="F9163" i="1"/>
  <c r="B9163" i="1"/>
  <c r="F9162" i="1"/>
  <c r="B9162" i="1"/>
  <c r="F9161" i="1"/>
  <c r="B9161" i="1"/>
  <c r="F9160" i="1"/>
  <c r="B9160" i="1"/>
  <c r="F9159" i="1"/>
  <c r="B9159" i="1"/>
  <c r="F9158" i="1"/>
  <c r="B9158" i="1"/>
  <c r="F9157" i="1"/>
  <c r="B9157" i="1"/>
  <c r="F9156" i="1"/>
  <c r="B9156" i="1"/>
  <c r="F9155" i="1"/>
  <c r="B9155" i="1"/>
  <c r="F9154" i="1"/>
  <c r="B9154" i="1"/>
  <c r="F9153" i="1"/>
  <c r="B9153" i="1"/>
  <c r="F9152" i="1"/>
  <c r="B9152" i="1"/>
  <c r="F9151" i="1"/>
  <c r="B9151" i="1"/>
  <c r="F9150" i="1"/>
  <c r="B9150" i="1"/>
  <c r="F9149" i="1"/>
  <c r="B9149" i="1"/>
  <c r="F9148" i="1"/>
  <c r="B9148" i="1"/>
  <c r="F9147" i="1"/>
  <c r="B9147" i="1"/>
  <c r="F9146" i="1"/>
  <c r="B9146" i="1"/>
  <c r="F9145" i="1"/>
  <c r="B9145" i="1"/>
  <c r="F9144" i="1"/>
  <c r="B9144" i="1"/>
  <c r="F9143" i="1"/>
  <c r="B9143" i="1"/>
  <c r="F9142" i="1"/>
  <c r="B9142" i="1"/>
  <c r="F9141" i="1"/>
  <c r="B9141" i="1"/>
  <c r="F9140" i="1"/>
  <c r="B9140" i="1"/>
  <c r="F9139" i="1"/>
  <c r="B9139" i="1"/>
  <c r="F9138" i="1"/>
  <c r="B9138" i="1"/>
  <c r="F9137" i="1"/>
  <c r="B9137" i="1"/>
  <c r="F9136" i="1"/>
  <c r="B9136" i="1"/>
  <c r="F9135" i="1"/>
  <c r="B9135" i="1"/>
  <c r="F9134" i="1"/>
  <c r="B9134" i="1"/>
  <c r="F9133" i="1"/>
  <c r="B9133" i="1"/>
  <c r="F9132" i="1"/>
  <c r="B9132" i="1"/>
  <c r="F9131" i="1"/>
  <c r="B9131" i="1"/>
  <c r="F9130" i="1"/>
  <c r="B9130" i="1"/>
  <c r="F9129" i="1"/>
  <c r="B9129" i="1"/>
  <c r="F9128" i="1"/>
  <c r="B9128" i="1"/>
  <c r="F9127" i="1"/>
  <c r="B9127" i="1"/>
  <c r="F9126" i="1"/>
  <c r="B9126" i="1"/>
  <c r="F9125" i="1"/>
  <c r="B9125" i="1"/>
  <c r="F9124" i="1"/>
  <c r="B9124" i="1"/>
  <c r="F9123" i="1"/>
  <c r="B9123" i="1"/>
  <c r="F9122" i="1"/>
  <c r="B9122" i="1"/>
  <c r="F9121" i="1"/>
  <c r="B9121" i="1"/>
  <c r="F9120" i="1"/>
  <c r="B9120" i="1"/>
  <c r="F9119" i="1"/>
  <c r="B9119" i="1"/>
  <c r="F9118" i="1"/>
  <c r="B9118" i="1"/>
  <c r="F9117" i="1"/>
  <c r="B9117" i="1"/>
  <c r="F9116" i="1"/>
  <c r="B9116" i="1"/>
  <c r="F9115" i="1"/>
  <c r="B9115" i="1"/>
  <c r="F9114" i="1"/>
  <c r="B9114" i="1"/>
  <c r="F9113" i="1"/>
  <c r="B9113" i="1"/>
  <c r="F9112" i="1"/>
  <c r="B9112" i="1"/>
  <c r="F9111" i="1"/>
  <c r="B9111" i="1"/>
  <c r="F9110" i="1"/>
  <c r="B9110" i="1"/>
  <c r="F9109" i="1"/>
  <c r="B9109" i="1"/>
  <c r="F9108" i="1"/>
  <c r="B9108" i="1"/>
  <c r="F9107" i="1"/>
  <c r="B9107" i="1"/>
  <c r="F9106" i="1"/>
  <c r="B9106" i="1"/>
  <c r="F9105" i="1"/>
  <c r="B9105" i="1"/>
  <c r="F9104" i="1"/>
  <c r="B9104" i="1"/>
  <c r="F9103" i="1"/>
  <c r="B9103" i="1"/>
  <c r="F9102" i="1"/>
  <c r="B9102" i="1"/>
  <c r="F9101" i="1"/>
  <c r="B9101" i="1"/>
  <c r="F9100" i="1"/>
  <c r="B9100" i="1"/>
  <c r="F9099" i="1"/>
  <c r="B9099" i="1"/>
  <c r="F9098" i="1"/>
  <c r="B9098" i="1"/>
  <c r="F9097" i="1"/>
  <c r="B9097" i="1"/>
  <c r="F9096" i="1"/>
  <c r="B9096" i="1"/>
  <c r="F9095" i="1"/>
  <c r="B9095" i="1"/>
  <c r="F9094" i="1"/>
  <c r="B9094" i="1"/>
  <c r="F9093" i="1"/>
  <c r="B9093" i="1"/>
  <c r="F9092" i="1"/>
  <c r="B9092" i="1"/>
  <c r="F9091" i="1"/>
  <c r="B9091" i="1"/>
  <c r="F9090" i="1"/>
  <c r="B9090" i="1"/>
  <c r="F9089" i="1"/>
  <c r="B9089" i="1"/>
  <c r="F9088" i="1"/>
  <c r="B9088" i="1"/>
  <c r="F9087" i="1"/>
  <c r="B9087" i="1"/>
  <c r="F9086" i="1"/>
  <c r="B9086" i="1"/>
  <c r="F9085" i="1"/>
  <c r="B9085" i="1"/>
  <c r="F9084" i="1"/>
  <c r="B9084" i="1"/>
  <c r="F9083" i="1"/>
  <c r="B9083" i="1"/>
  <c r="F9082" i="1"/>
  <c r="B9082" i="1"/>
  <c r="F9081" i="1"/>
  <c r="B9081" i="1"/>
  <c r="F9080" i="1"/>
  <c r="B9080" i="1"/>
  <c r="F9079" i="1"/>
  <c r="B9079" i="1"/>
  <c r="F9078" i="1"/>
  <c r="B9078" i="1"/>
  <c r="F9077" i="1"/>
  <c r="B9077" i="1"/>
  <c r="F9076" i="1"/>
  <c r="B9076" i="1"/>
  <c r="F9075" i="1"/>
  <c r="B9075" i="1"/>
  <c r="F9074" i="1"/>
  <c r="B9074" i="1"/>
  <c r="F9073" i="1"/>
  <c r="B9073" i="1"/>
  <c r="F9072" i="1"/>
  <c r="B9072" i="1"/>
  <c r="F9071" i="1"/>
  <c r="B9071" i="1"/>
  <c r="F9070" i="1"/>
  <c r="B9070" i="1"/>
  <c r="F9069" i="1"/>
  <c r="B9069" i="1"/>
  <c r="F9068" i="1"/>
  <c r="B9068" i="1"/>
  <c r="F9067" i="1"/>
  <c r="B9067" i="1"/>
  <c r="F9066" i="1"/>
  <c r="B9066" i="1"/>
  <c r="F9065" i="1"/>
  <c r="B9065" i="1"/>
  <c r="F9064" i="1"/>
  <c r="B9064" i="1"/>
  <c r="F9063" i="1"/>
  <c r="B9063" i="1"/>
  <c r="F9062" i="1"/>
  <c r="B9062" i="1"/>
  <c r="F9061" i="1"/>
  <c r="B9061" i="1"/>
  <c r="F9060" i="1"/>
  <c r="B9060" i="1"/>
  <c r="F9059" i="1"/>
  <c r="B9059" i="1"/>
  <c r="F9058" i="1"/>
  <c r="B9058" i="1"/>
  <c r="F9057" i="1"/>
  <c r="B9057" i="1"/>
  <c r="F9056" i="1"/>
  <c r="B9056" i="1"/>
  <c r="F9055" i="1"/>
  <c r="B9055" i="1"/>
  <c r="F9054" i="1"/>
  <c r="B9054" i="1"/>
  <c r="F9053" i="1"/>
  <c r="B9053" i="1"/>
  <c r="F9052" i="1"/>
  <c r="B9052" i="1"/>
  <c r="F9051" i="1"/>
  <c r="B9051" i="1"/>
  <c r="F9050" i="1"/>
  <c r="B9050" i="1"/>
  <c r="F9049" i="1"/>
  <c r="B9049" i="1"/>
  <c r="F9048" i="1"/>
  <c r="B9048" i="1"/>
  <c r="F9047" i="1"/>
  <c r="B9047" i="1"/>
  <c r="F9046" i="1"/>
  <c r="B9046" i="1"/>
  <c r="F9045" i="1"/>
  <c r="B9045" i="1"/>
  <c r="F9044" i="1"/>
  <c r="B9044" i="1"/>
  <c r="F9043" i="1"/>
  <c r="B9043" i="1"/>
  <c r="F9042" i="1"/>
  <c r="B9042" i="1"/>
  <c r="F9041" i="1"/>
  <c r="B9041" i="1"/>
  <c r="F9040" i="1"/>
  <c r="B9040" i="1"/>
  <c r="F9039" i="1"/>
  <c r="B9039" i="1"/>
  <c r="F9038" i="1"/>
  <c r="B9038" i="1"/>
  <c r="F9037" i="1"/>
  <c r="B9037" i="1"/>
  <c r="F9036" i="1"/>
  <c r="B9036" i="1"/>
  <c r="F9035" i="1"/>
  <c r="B9035" i="1"/>
  <c r="F9034" i="1"/>
  <c r="B9034" i="1"/>
  <c r="F9033" i="1"/>
  <c r="B9033" i="1"/>
  <c r="F9032" i="1"/>
  <c r="B9032" i="1"/>
  <c r="F9031" i="1"/>
  <c r="B9031" i="1"/>
  <c r="F9030" i="1"/>
  <c r="B9030" i="1"/>
  <c r="F9029" i="1"/>
  <c r="B9029" i="1"/>
  <c r="F9028" i="1"/>
  <c r="B9028" i="1"/>
  <c r="F9027" i="1"/>
  <c r="B9027" i="1"/>
  <c r="F9026" i="1"/>
  <c r="B9026" i="1"/>
  <c r="F9025" i="1"/>
  <c r="B9025" i="1"/>
  <c r="F9024" i="1"/>
  <c r="B9024" i="1"/>
  <c r="F9023" i="1"/>
  <c r="B9023" i="1"/>
  <c r="F9022" i="1"/>
  <c r="B9022" i="1"/>
  <c r="F9021" i="1"/>
  <c r="B9021" i="1"/>
  <c r="F9020" i="1"/>
  <c r="B9020" i="1"/>
  <c r="F9019" i="1"/>
  <c r="B9019" i="1"/>
  <c r="F9018" i="1"/>
  <c r="B9018" i="1"/>
  <c r="F9017" i="1"/>
  <c r="B9017" i="1"/>
  <c r="F9016" i="1"/>
  <c r="B9016" i="1"/>
  <c r="F9015" i="1"/>
  <c r="B9015" i="1"/>
  <c r="F9014" i="1"/>
  <c r="B9014" i="1"/>
  <c r="F9013" i="1"/>
  <c r="B9013" i="1"/>
  <c r="F9012" i="1"/>
  <c r="B9012" i="1"/>
  <c r="F9011" i="1"/>
  <c r="B9011" i="1"/>
  <c r="F9010" i="1"/>
  <c r="B9010" i="1"/>
  <c r="F9009" i="1"/>
  <c r="B9009" i="1"/>
  <c r="F9008" i="1"/>
  <c r="B9008" i="1"/>
  <c r="F9007" i="1"/>
  <c r="B9007" i="1"/>
  <c r="F9006" i="1"/>
  <c r="B9006" i="1"/>
  <c r="F9005" i="1"/>
  <c r="B9005" i="1"/>
  <c r="F9004" i="1"/>
  <c r="B9004" i="1"/>
  <c r="F9003" i="1"/>
  <c r="B9003" i="1"/>
  <c r="F9002" i="1"/>
  <c r="B9002" i="1"/>
  <c r="F9001" i="1"/>
  <c r="B9001" i="1"/>
  <c r="F9000" i="1"/>
  <c r="B9000" i="1"/>
  <c r="F8999" i="1"/>
  <c r="B8999" i="1"/>
  <c r="F8998" i="1"/>
  <c r="B8998" i="1"/>
  <c r="F8997" i="1"/>
  <c r="B8997" i="1"/>
  <c r="F8996" i="1"/>
  <c r="B8996" i="1"/>
  <c r="F8995" i="1"/>
  <c r="B8995" i="1"/>
  <c r="F8994" i="1"/>
  <c r="B8994" i="1"/>
  <c r="F8993" i="1"/>
  <c r="B8993" i="1"/>
  <c r="F8992" i="1"/>
  <c r="B8992" i="1"/>
  <c r="F8991" i="1"/>
  <c r="B8991" i="1"/>
  <c r="F8990" i="1"/>
  <c r="B8990" i="1"/>
  <c r="F8989" i="1"/>
  <c r="B8989" i="1"/>
  <c r="F8988" i="1"/>
  <c r="B8988" i="1"/>
  <c r="F8987" i="1"/>
  <c r="B8987" i="1"/>
  <c r="F8986" i="1"/>
  <c r="B8986" i="1"/>
  <c r="F8985" i="1"/>
  <c r="B8985" i="1"/>
  <c r="F8984" i="1"/>
  <c r="B8984" i="1"/>
  <c r="F8983" i="1"/>
  <c r="B8983" i="1"/>
  <c r="F8982" i="1"/>
  <c r="B8982" i="1"/>
  <c r="F8981" i="1"/>
  <c r="B8981" i="1"/>
  <c r="F8980" i="1"/>
  <c r="B8980" i="1"/>
  <c r="F8979" i="1"/>
  <c r="B8979" i="1"/>
  <c r="F8978" i="1"/>
  <c r="B8978" i="1"/>
  <c r="F8977" i="1"/>
  <c r="B8977" i="1"/>
  <c r="F8976" i="1"/>
  <c r="B8976" i="1"/>
  <c r="F8975" i="1"/>
  <c r="B8975" i="1"/>
  <c r="F8974" i="1"/>
  <c r="B8974" i="1"/>
  <c r="F8973" i="1"/>
  <c r="B8973" i="1"/>
  <c r="F8972" i="1"/>
  <c r="B8972" i="1"/>
  <c r="F8971" i="1"/>
  <c r="B8971" i="1"/>
  <c r="F8970" i="1"/>
  <c r="B8970" i="1"/>
  <c r="F8969" i="1"/>
  <c r="B8969" i="1"/>
  <c r="F8968" i="1"/>
  <c r="B8968" i="1"/>
  <c r="F8967" i="1"/>
  <c r="B8967" i="1"/>
  <c r="F8966" i="1"/>
  <c r="B8966" i="1"/>
  <c r="F8965" i="1"/>
  <c r="B8965" i="1"/>
  <c r="F8964" i="1"/>
  <c r="B8964" i="1"/>
  <c r="F8963" i="1"/>
  <c r="B8963" i="1"/>
  <c r="F8962" i="1"/>
  <c r="B8962" i="1"/>
  <c r="F8961" i="1"/>
  <c r="B8961" i="1"/>
  <c r="F8960" i="1"/>
  <c r="B8960" i="1"/>
  <c r="F8959" i="1"/>
  <c r="B8959" i="1"/>
  <c r="F8958" i="1"/>
  <c r="B8958" i="1"/>
  <c r="F8957" i="1"/>
  <c r="B8957" i="1"/>
  <c r="F8956" i="1"/>
  <c r="B8956" i="1"/>
  <c r="F8955" i="1"/>
  <c r="B8955" i="1"/>
  <c r="F8954" i="1"/>
  <c r="B8954" i="1"/>
  <c r="F8953" i="1"/>
  <c r="B8953" i="1"/>
  <c r="F8952" i="1"/>
  <c r="B8952" i="1"/>
  <c r="F8951" i="1"/>
  <c r="B8951" i="1"/>
  <c r="F8950" i="1"/>
  <c r="B8950" i="1"/>
  <c r="F8949" i="1"/>
  <c r="B8949" i="1"/>
  <c r="F8948" i="1"/>
  <c r="B8948" i="1"/>
  <c r="F8947" i="1"/>
  <c r="B8947" i="1"/>
  <c r="F8946" i="1"/>
  <c r="B8946" i="1"/>
  <c r="F8945" i="1"/>
  <c r="B8945" i="1"/>
  <c r="F8944" i="1"/>
  <c r="B8944" i="1"/>
  <c r="F8943" i="1"/>
  <c r="B8943" i="1"/>
  <c r="F8942" i="1"/>
  <c r="B8942" i="1"/>
  <c r="F8941" i="1"/>
  <c r="B8941" i="1"/>
  <c r="F8940" i="1"/>
  <c r="B8940" i="1"/>
  <c r="F8939" i="1"/>
  <c r="B8939" i="1"/>
  <c r="F8938" i="1"/>
  <c r="B8938" i="1"/>
  <c r="F8937" i="1"/>
  <c r="B8937" i="1"/>
  <c r="F8936" i="1"/>
  <c r="B8936" i="1"/>
  <c r="F8935" i="1"/>
  <c r="B8935" i="1"/>
  <c r="F8934" i="1"/>
  <c r="B8934" i="1"/>
  <c r="F8933" i="1"/>
  <c r="B8933" i="1"/>
  <c r="F8932" i="1"/>
  <c r="B8932" i="1"/>
  <c r="F8931" i="1"/>
  <c r="B8931" i="1"/>
  <c r="F8930" i="1"/>
  <c r="B8930" i="1"/>
  <c r="F8929" i="1"/>
  <c r="B8929" i="1"/>
  <c r="F8928" i="1"/>
  <c r="B8928" i="1"/>
  <c r="F8927" i="1"/>
  <c r="B8927" i="1"/>
  <c r="F8926" i="1"/>
  <c r="B8926" i="1"/>
  <c r="F8925" i="1"/>
  <c r="B8925" i="1"/>
  <c r="F8924" i="1"/>
  <c r="B8924" i="1"/>
  <c r="F8923" i="1"/>
  <c r="B8923" i="1"/>
  <c r="F8922" i="1"/>
  <c r="B8922" i="1"/>
  <c r="F8921" i="1"/>
  <c r="B8921" i="1"/>
  <c r="F8920" i="1"/>
  <c r="B8920" i="1"/>
  <c r="F8919" i="1"/>
  <c r="B8919" i="1"/>
  <c r="F8918" i="1"/>
  <c r="B8918" i="1"/>
  <c r="F8917" i="1"/>
  <c r="B8917" i="1"/>
  <c r="F8916" i="1"/>
  <c r="B8916" i="1"/>
  <c r="F8915" i="1"/>
  <c r="B8915" i="1"/>
  <c r="F8914" i="1"/>
  <c r="B8914" i="1"/>
  <c r="F8913" i="1"/>
  <c r="B8913" i="1"/>
  <c r="F8912" i="1"/>
  <c r="B8912" i="1"/>
  <c r="F8911" i="1"/>
  <c r="B8911" i="1"/>
  <c r="F8910" i="1"/>
  <c r="B8910" i="1"/>
  <c r="F8909" i="1"/>
  <c r="B8909" i="1"/>
  <c r="F8908" i="1"/>
  <c r="B8908" i="1"/>
  <c r="F8907" i="1"/>
  <c r="B8907" i="1"/>
  <c r="F8906" i="1"/>
  <c r="B8906" i="1"/>
  <c r="F8905" i="1"/>
  <c r="B8905" i="1"/>
  <c r="F8904" i="1"/>
  <c r="B8904" i="1"/>
  <c r="F8903" i="1"/>
  <c r="B8903" i="1"/>
  <c r="F8902" i="1"/>
  <c r="B8902" i="1"/>
  <c r="F8901" i="1"/>
  <c r="B8901" i="1"/>
  <c r="F8900" i="1"/>
  <c r="B8900" i="1"/>
  <c r="F8899" i="1"/>
  <c r="B8899" i="1"/>
  <c r="F8898" i="1"/>
  <c r="B8898" i="1"/>
  <c r="F8897" i="1"/>
  <c r="B8897" i="1"/>
  <c r="F8896" i="1"/>
  <c r="B8896" i="1"/>
  <c r="F8895" i="1"/>
  <c r="B8895" i="1"/>
  <c r="F8894" i="1"/>
  <c r="B8894" i="1"/>
  <c r="F8893" i="1"/>
  <c r="B8893" i="1"/>
  <c r="F8892" i="1"/>
  <c r="B8892" i="1"/>
  <c r="F8891" i="1"/>
  <c r="B8891" i="1"/>
  <c r="F8890" i="1"/>
  <c r="B8890" i="1"/>
  <c r="F8889" i="1"/>
  <c r="B8889" i="1"/>
  <c r="F8888" i="1"/>
  <c r="B8888" i="1"/>
  <c r="F8887" i="1"/>
  <c r="B8887" i="1"/>
  <c r="F8886" i="1"/>
  <c r="B8886" i="1"/>
  <c r="F8885" i="1"/>
  <c r="B8885" i="1"/>
  <c r="F8884" i="1"/>
  <c r="B8884" i="1"/>
  <c r="F8883" i="1"/>
  <c r="B8883" i="1"/>
  <c r="F8882" i="1"/>
  <c r="B8882" i="1"/>
  <c r="F8881" i="1"/>
  <c r="B8881" i="1"/>
  <c r="F8880" i="1"/>
  <c r="B8880" i="1"/>
  <c r="F8879" i="1"/>
  <c r="B8879" i="1"/>
  <c r="F8878" i="1"/>
  <c r="B8878" i="1"/>
  <c r="F8877" i="1"/>
  <c r="B8877" i="1"/>
  <c r="F8876" i="1"/>
  <c r="B8876" i="1"/>
  <c r="F8875" i="1"/>
  <c r="B8875" i="1"/>
  <c r="F8874" i="1"/>
  <c r="B8874" i="1"/>
  <c r="F8873" i="1"/>
  <c r="B8873" i="1"/>
  <c r="F8872" i="1"/>
  <c r="B8872" i="1"/>
  <c r="F8871" i="1"/>
  <c r="B8871" i="1"/>
  <c r="F8870" i="1"/>
  <c r="B8870" i="1"/>
  <c r="F8869" i="1"/>
  <c r="B8869" i="1"/>
  <c r="F8868" i="1"/>
  <c r="B8868" i="1"/>
  <c r="F8867" i="1"/>
  <c r="B8867" i="1"/>
  <c r="F8866" i="1"/>
  <c r="B8866" i="1"/>
  <c r="F8865" i="1"/>
  <c r="B8865" i="1"/>
  <c r="F8864" i="1"/>
  <c r="B8864" i="1"/>
  <c r="F8863" i="1"/>
  <c r="B8863" i="1"/>
  <c r="F8862" i="1"/>
  <c r="B8862" i="1"/>
  <c r="F8861" i="1"/>
  <c r="B8861" i="1"/>
  <c r="F8860" i="1"/>
  <c r="B8860" i="1"/>
  <c r="F8859" i="1"/>
  <c r="B8859" i="1"/>
  <c r="F8858" i="1"/>
  <c r="B8858" i="1"/>
  <c r="F8857" i="1"/>
  <c r="B8857" i="1"/>
  <c r="F8856" i="1"/>
  <c r="B8856" i="1"/>
  <c r="F8855" i="1"/>
  <c r="B8855" i="1"/>
  <c r="F8854" i="1"/>
  <c r="B8854" i="1"/>
  <c r="F8853" i="1"/>
  <c r="B8853" i="1"/>
  <c r="F8852" i="1"/>
  <c r="B8852" i="1"/>
  <c r="F8851" i="1"/>
  <c r="B8851" i="1"/>
  <c r="F8850" i="1"/>
  <c r="B8850" i="1"/>
  <c r="F8849" i="1"/>
  <c r="B8849" i="1"/>
  <c r="F8848" i="1"/>
  <c r="B8848" i="1"/>
  <c r="F8847" i="1"/>
  <c r="B8847" i="1"/>
  <c r="F8846" i="1"/>
  <c r="B8846" i="1"/>
  <c r="F8845" i="1"/>
  <c r="B8845" i="1"/>
  <c r="F8844" i="1"/>
  <c r="B8844" i="1"/>
  <c r="F8843" i="1"/>
  <c r="B8843" i="1"/>
  <c r="F8842" i="1"/>
  <c r="B8842" i="1"/>
  <c r="F8841" i="1"/>
  <c r="B8841" i="1"/>
  <c r="F8840" i="1"/>
  <c r="B8840" i="1"/>
  <c r="F8839" i="1"/>
  <c r="B8839" i="1"/>
  <c r="F8838" i="1"/>
  <c r="B8838" i="1"/>
  <c r="F8837" i="1"/>
  <c r="B8837" i="1"/>
  <c r="F8836" i="1"/>
  <c r="B8836" i="1"/>
  <c r="F8835" i="1"/>
  <c r="B8835" i="1"/>
  <c r="F8834" i="1"/>
  <c r="B8834" i="1"/>
  <c r="F8833" i="1"/>
  <c r="B8833" i="1"/>
  <c r="F8832" i="1"/>
  <c r="B8832" i="1"/>
  <c r="F8831" i="1"/>
  <c r="B8831" i="1"/>
  <c r="F8830" i="1"/>
  <c r="B8830" i="1"/>
  <c r="F8829" i="1"/>
  <c r="B8829" i="1"/>
  <c r="F8828" i="1"/>
  <c r="B8828" i="1"/>
  <c r="F8827" i="1"/>
  <c r="B8827" i="1"/>
  <c r="F8826" i="1"/>
  <c r="B8826" i="1"/>
  <c r="F8825" i="1"/>
  <c r="B8825" i="1"/>
  <c r="F8824" i="1"/>
  <c r="B8824" i="1"/>
  <c r="F8823" i="1"/>
  <c r="B8823" i="1"/>
  <c r="F8822" i="1"/>
  <c r="B8822" i="1"/>
  <c r="F8821" i="1"/>
  <c r="B8821" i="1"/>
  <c r="F8820" i="1"/>
  <c r="B8820" i="1"/>
  <c r="F8819" i="1"/>
  <c r="B8819" i="1"/>
  <c r="F8818" i="1"/>
  <c r="B8818" i="1"/>
  <c r="F8817" i="1"/>
  <c r="B8817" i="1"/>
  <c r="F8816" i="1"/>
  <c r="B8816" i="1"/>
  <c r="F8815" i="1"/>
  <c r="B8815" i="1"/>
  <c r="F8814" i="1"/>
  <c r="B8814" i="1"/>
  <c r="F8813" i="1"/>
  <c r="B8813" i="1"/>
  <c r="F8812" i="1"/>
  <c r="B8812" i="1"/>
  <c r="F8811" i="1"/>
  <c r="B8811" i="1"/>
  <c r="F8810" i="1"/>
  <c r="B8810" i="1"/>
  <c r="F8809" i="1"/>
  <c r="B8809" i="1"/>
  <c r="F8808" i="1"/>
  <c r="B8808" i="1"/>
  <c r="F8807" i="1"/>
  <c r="B8807" i="1"/>
  <c r="F8806" i="1"/>
  <c r="B8806" i="1"/>
  <c r="F8805" i="1"/>
  <c r="B8805" i="1"/>
  <c r="F8804" i="1"/>
  <c r="B8804" i="1"/>
  <c r="F8803" i="1"/>
  <c r="B8803" i="1"/>
  <c r="F8802" i="1"/>
  <c r="B8802" i="1"/>
  <c r="F8801" i="1"/>
  <c r="B8801" i="1"/>
  <c r="F8800" i="1"/>
  <c r="B8800" i="1"/>
  <c r="F8799" i="1"/>
  <c r="B8799" i="1"/>
  <c r="F8798" i="1"/>
  <c r="B8798" i="1"/>
  <c r="F8797" i="1"/>
  <c r="B8797" i="1"/>
  <c r="F8796" i="1"/>
  <c r="B8796" i="1"/>
  <c r="F8795" i="1"/>
  <c r="B8795" i="1"/>
  <c r="F8794" i="1"/>
  <c r="B8794" i="1"/>
  <c r="F8793" i="1"/>
  <c r="B8793" i="1"/>
  <c r="F8792" i="1"/>
  <c r="B8792" i="1"/>
  <c r="F8791" i="1"/>
  <c r="B8791" i="1"/>
  <c r="F8790" i="1"/>
  <c r="B8790" i="1"/>
  <c r="F8789" i="1"/>
  <c r="B8789" i="1"/>
  <c r="F8788" i="1"/>
  <c r="B8788" i="1"/>
  <c r="F8787" i="1"/>
  <c r="B8787" i="1"/>
  <c r="F8786" i="1"/>
  <c r="B8786" i="1"/>
  <c r="F8785" i="1"/>
  <c r="B8785" i="1"/>
  <c r="F8784" i="1"/>
  <c r="B8784" i="1"/>
  <c r="F8783" i="1"/>
  <c r="B8783" i="1"/>
  <c r="F8782" i="1"/>
  <c r="B8782" i="1"/>
  <c r="F8781" i="1"/>
  <c r="B8781" i="1"/>
  <c r="F8780" i="1"/>
  <c r="B8780" i="1"/>
  <c r="F8779" i="1"/>
  <c r="B8779" i="1"/>
  <c r="F8778" i="1"/>
  <c r="B8778" i="1"/>
  <c r="F8777" i="1"/>
  <c r="B8777" i="1"/>
  <c r="F8776" i="1"/>
  <c r="B8776" i="1"/>
  <c r="F8775" i="1"/>
  <c r="B8775" i="1"/>
  <c r="F8774" i="1"/>
  <c r="B8774" i="1"/>
  <c r="F8773" i="1"/>
  <c r="B8773" i="1"/>
  <c r="F8772" i="1"/>
  <c r="B8772" i="1"/>
  <c r="F8771" i="1"/>
  <c r="B8771" i="1"/>
  <c r="F8770" i="1"/>
  <c r="B8770" i="1"/>
  <c r="F8769" i="1"/>
  <c r="B8769" i="1"/>
  <c r="F8768" i="1"/>
  <c r="B8768" i="1"/>
  <c r="F8767" i="1"/>
  <c r="B8767" i="1"/>
  <c r="F8766" i="1"/>
  <c r="B8766" i="1"/>
  <c r="F8765" i="1"/>
  <c r="B8765" i="1"/>
  <c r="F8764" i="1"/>
  <c r="B8764" i="1"/>
  <c r="F8763" i="1"/>
  <c r="B8763" i="1"/>
  <c r="F8762" i="1"/>
  <c r="B8762" i="1"/>
  <c r="F8761" i="1"/>
  <c r="B8761" i="1"/>
  <c r="F8760" i="1"/>
  <c r="B8760" i="1"/>
  <c r="F8759" i="1"/>
  <c r="B8759" i="1"/>
  <c r="F8758" i="1"/>
  <c r="B8758" i="1"/>
  <c r="F8757" i="1"/>
  <c r="B8757" i="1"/>
  <c r="F8756" i="1"/>
  <c r="B8756" i="1"/>
  <c r="F8755" i="1"/>
  <c r="B8755" i="1"/>
  <c r="F8754" i="1"/>
  <c r="B8754" i="1"/>
  <c r="F8753" i="1"/>
  <c r="B8753" i="1"/>
  <c r="F8752" i="1"/>
  <c r="B8752" i="1"/>
  <c r="F8751" i="1"/>
  <c r="B8751" i="1"/>
  <c r="F8750" i="1"/>
  <c r="B8750" i="1"/>
  <c r="F8749" i="1"/>
  <c r="B8749" i="1"/>
  <c r="F8748" i="1"/>
  <c r="B8748" i="1"/>
  <c r="F8747" i="1"/>
  <c r="B8747" i="1"/>
  <c r="F8746" i="1"/>
  <c r="B8746" i="1"/>
  <c r="F8745" i="1"/>
  <c r="B8745" i="1"/>
  <c r="F8744" i="1"/>
  <c r="B8744" i="1"/>
  <c r="F8743" i="1"/>
  <c r="B8743" i="1"/>
  <c r="F8742" i="1"/>
  <c r="B8742" i="1"/>
  <c r="F8741" i="1"/>
  <c r="B8741" i="1"/>
  <c r="F8740" i="1"/>
  <c r="B8740" i="1"/>
  <c r="F8739" i="1"/>
  <c r="B8739" i="1"/>
  <c r="F8738" i="1"/>
  <c r="B8738" i="1"/>
  <c r="F8737" i="1"/>
  <c r="B8737" i="1"/>
  <c r="F8736" i="1"/>
  <c r="B8736" i="1"/>
  <c r="F8735" i="1"/>
  <c r="B8735" i="1"/>
  <c r="F8734" i="1"/>
  <c r="B8734" i="1"/>
  <c r="F8733" i="1"/>
  <c r="B8733" i="1"/>
  <c r="F8732" i="1"/>
  <c r="B8732" i="1"/>
  <c r="F8731" i="1"/>
  <c r="B8731" i="1"/>
  <c r="F8730" i="1"/>
  <c r="B8730" i="1"/>
  <c r="F8729" i="1"/>
  <c r="B8729" i="1"/>
  <c r="F8728" i="1"/>
  <c r="B8728" i="1"/>
  <c r="F8727" i="1"/>
  <c r="B8727" i="1"/>
  <c r="F8726" i="1"/>
  <c r="B8726" i="1"/>
  <c r="F8725" i="1"/>
  <c r="B8725" i="1"/>
  <c r="F8724" i="1"/>
  <c r="B8724" i="1"/>
  <c r="F8723" i="1"/>
  <c r="B8723" i="1"/>
  <c r="F8722" i="1"/>
  <c r="B8722" i="1"/>
  <c r="F8721" i="1"/>
  <c r="B8721" i="1"/>
  <c r="F8720" i="1"/>
  <c r="B8720" i="1"/>
  <c r="F8719" i="1"/>
  <c r="B8719" i="1"/>
  <c r="F8718" i="1"/>
  <c r="B8718" i="1"/>
  <c r="F8717" i="1"/>
  <c r="B8717" i="1"/>
  <c r="F8716" i="1"/>
  <c r="B8716" i="1"/>
  <c r="F8715" i="1"/>
  <c r="B8715" i="1"/>
  <c r="F8714" i="1"/>
  <c r="B8714" i="1"/>
  <c r="F8713" i="1"/>
  <c r="B8713" i="1"/>
  <c r="F8712" i="1"/>
  <c r="B8712" i="1"/>
  <c r="F8711" i="1"/>
  <c r="B8711" i="1"/>
  <c r="F8710" i="1"/>
  <c r="B8710" i="1"/>
  <c r="F8709" i="1"/>
  <c r="B8709" i="1"/>
  <c r="F8708" i="1"/>
  <c r="B8708" i="1"/>
  <c r="F8707" i="1"/>
  <c r="B8707" i="1"/>
  <c r="F8706" i="1"/>
  <c r="B8706" i="1"/>
  <c r="F8705" i="1"/>
  <c r="B8705" i="1"/>
  <c r="F8704" i="1"/>
  <c r="B8704" i="1"/>
  <c r="F8703" i="1"/>
  <c r="B8703" i="1"/>
  <c r="F8702" i="1"/>
  <c r="B8702" i="1"/>
  <c r="F8701" i="1"/>
  <c r="B8701" i="1"/>
  <c r="F8700" i="1"/>
  <c r="B8700" i="1"/>
  <c r="F8699" i="1"/>
  <c r="B8699" i="1"/>
  <c r="F8698" i="1"/>
  <c r="B8698" i="1"/>
  <c r="F8697" i="1"/>
  <c r="B8697" i="1"/>
  <c r="F8696" i="1"/>
  <c r="B8696" i="1"/>
  <c r="F8695" i="1"/>
  <c r="B8695" i="1"/>
  <c r="F8694" i="1"/>
  <c r="B8694" i="1"/>
  <c r="F8693" i="1"/>
  <c r="B8693" i="1"/>
  <c r="F8692" i="1"/>
  <c r="B8692" i="1"/>
  <c r="F8691" i="1"/>
  <c r="B8691" i="1"/>
  <c r="F8690" i="1"/>
  <c r="B8690" i="1"/>
  <c r="F8689" i="1"/>
  <c r="B8689" i="1"/>
  <c r="F8688" i="1"/>
  <c r="B8688" i="1"/>
  <c r="F8687" i="1"/>
  <c r="B8687" i="1"/>
  <c r="F8686" i="1"/>
  <c r="B8686" i="1"/>
  <c r="F8685" i="1"/>
  <c r="B8685" i="1"/>
  <c r="F8684" i="1"/>
  <c r="B8684" i="1"/>
  <c r="F8683" i="1"/>
  <c r="B8683" i="1"/>
  <c r="F8682" i="1"/>
  <c r="B8682" i="1"/>
  <c r="F8681" i="1"/>
  <c r="B8681" i="1"/>
  <c r="F8680" i="1"/>
  <c r="B8680" i="1"/>
  <c r="F8679" i="1"/>
  <c r="B8679" i="1"/>
  <c r="F8678" i="1"/>
  <c r="B8678" i="1"/>
  <c r="F8677" i="1"/>
  <c r="B8677" i="1"/>
  <c r="F8676" i="1"/>
  <c r="B8676" i="1"/>
  <c r="F8675" i="1"/>
  <c r="B8675" i="1"/>
  <c r="F8674" i="1"/>
  <c r="B8674" i="1"/>
  <c r="F8673" i="1"/>
  <c r="B8673" i="1"/>
  <c r="F8672" i="1"/>
  <c r="B8672" i="1"/>
  <c r="F8671" i="1"/>
  <c r="B8671" i="1"/>
  <c r="F8670" i="1"/>
  <c r="B8670" i="1"/>
  <c r="F8669" i="1"/>
  <c r="B8669" i="1"/>
  <c r="F8668" i="1"/>
  <c r="B8668" i="1"/>
  <c r="F8667" i="1"/>
  <c r="B8667" i="1"/>
  <c r="F8666" i="1"/>
  <c r="B8666" i="1"/>
  <c r="F8665" i="1"/>
  <c r="B8665" i="1"/>
  <c r="F8664" i="1"/>
  <c r="B8664" i="1"/>
  <c r="F8663" i="1"/>
  <c r="B8663" i="1"/>
  <c r="F8662" i="1"/>
  <c r="B8662" i="1"/>
  <c r="F8661" i="1"/>
  <c r="B8661" i="1"/>
  <c r="F8660" i="1"/>
  <c r="B8660" i="1"/>
  <c r="F8659" i="1"/>
  <c r="B8659" i="1"/>
  <c r="F8658" i="1"/>
  <c r="B8658" i="1"/>
  <c r="F8657" i="1"/>
  <c r="B8657" i="1"/>
  <c r="F8656" i="1"/>
  <c r="B8656" i="1"/>
  <c r="F8655" i="1"/>
  <c r="B8655" i="1"/>
  <c r="F8654" i="1"/>
  <c r="B8654" i="1"/>
  <c r="F8653" i="1"/>
  <c r="B8653" i="1"/>
  <c r="F8652" i="1"/>
  <c r="B8652" i="1"/>
  <c r="F8651" i="1"/>
  <c r="B8651" i="1"/>
  <c r="F8650" i="1"/>
  <c r="B8650" i="1"/>
  <c r="F8649" i="1"/>
  <c r="B8649" i="1"/>
  <c r="F8648" i="1"/>
  <c r="B8648" i="1"/>
  <c r="F8647" i="1"/>
  <c r="B8647" i="1"/>
  <c r="F8646" i="1"/>
  <c r="B8646" i="1"/>
  <c r="F8645" i="1"/>
  <c r="B8645" i="1"/>
  <c r="F8644" i="1"/>
  <c r="B8644" i="1"/>
  <c r="F8643" i="1"/>
  <c r="B8643" i="1"/>
  <c r="F8642" i="1"/>
  <c r="B8642" i="1"/>
  <c r="F8641" i="1"/>
  <c r="B8641" i="1"/>
  <c r="F8640" i="1"/>
  <c r="B8640" i="1"/>
  <c r="F8639" i="1"/>
  <c r="B8639" i="1"/>
  <c r="F8638" i="1"/>
  <c r="B8638" i="1"/>
  <c r="F8637" i="1"/>
  <c r="B8637" i="1"/>
  <c r="F8636" i="1"/>
  <c r="B8636" i="1"/>
  <c r="F8635" i="1"/>
  <c r="B8635" i="1"/>
  <c r="F8634" i="1"/>
  <c r="B8634" i="1"/>
  <c r="F8633" i="1"/>
  <c r="B8633" i="1"/>
  <c r="F8632" i="1"/>
  <c r="B8632" i="1"/>
  <c r="F8631" i="1"/>
  <c r="B8631" i="1"/>
  <c r="F8630" i="1"/>
  <c r="B8630" i="1"/>
  <c r="F8629" i="1"/>
  <c r="B8629" i="1"/>
  <c r="F8628" i="1"/>
  <c r="B8628" i="1"/>
  <c r="F8627" i="1"/>
  <c r="B8627" i="1"/>
  <c r="F8626" i="1"/>
  <c r="B8626" i="1"/>
  <c r="F8625" i="1"/>
  <c r="B8625" i="1"/>
  <c r="F8624" i="1"/>
  <c r="B8624" i="1"/>
  <c r="F8623" i="1"/>
  <c r="B8623" i="1"/>
  <c r="F8622" i="1"/>
  <c r="B8622" i="1"/>
  <c r="F8621" i="1"/>
  <c r="B8621" i="1"/>
  <c r="F8620" i="1"/>
  <c r="B8620" i="1"/>
  <c r="F8619" i="1"/>
  <c r="B8619" i="1"/>
  <c r="F8618" i="1"/>
  <c r="B8618" i="1"/>
  <c r="F8617" i="1"/>
  <c r="B8617" i="1"/>
  <c r="F8616" i="1"/>
  <c r="B8616" i="1"/>
  <c r="F8615" i="1"/>
  <c r="B8615" i="1"/>
  <c r="F8614" i="1"/>
  <c r="B8614" i="1"/>
  <c r="F8613" i="1"/>
  <c r="B8613" i="1"/>
  <c r="F8612" i="1"/>
  <c r="B8612" i="1"/>
  <c r="F8611" i="1"/>
  <c r="B8611" i="1"/>
  <c r="F8610" i="1"/>
  <c r="B8610" i="1"/>
  <c r="F8609" i="1"/>
  <c r="B8609" i="1"/>
  <c r="F8608" i="1"/>
  <c r="B8608" i="1"/>
  <c r="F8607" i="1"/>
  <c r="B8607" i="1"/>
  <c r="F8606" i="1"/>
  <c r="B8606" i="1"/>
  <c r="F8605" i="1"/>
  <c r="B8605" i="1"/>
  <c r="F8604" i="1"/>
  <c r="B8604" i="1"/>
  <c r="F8603" i="1"/>
  <c r="B8603" i="1"/>
  <c r="F8602" i="1"/>
  <c r="B8602" i="1"/>
  <c r="F8601" i="1"/>
  <c r="B8601" i="1"/>
  <c r="F8600" i="1"/>
  <c r="B8600" i="1"/>
  <c r="F8599" i="1"/>
  <c r="B8599" i="1"/>
  <c r="F8598" i="1"/>
  <c r="B8598" i="1"/>
  <c r="F8597" i="1"/>
  <c r="B8597" i="1"/>
  <c r="F8596" i="1"/>
  <c r="B8596" i="1"/>
  <c r="F8595" i="1"/>
  <c r="B8595" i="1"/>
  <c r="F8594" i="1"/>
  <c r="B8594" i="1"/>
  <c r="F8593" i="1"/>
  <c r="B8593" i="1"/>
  <c r="F8592" i="1"/>
  <c r="B8592" i="1"/>
  <c r="F8591" i="1"/>
  <c r="B8591" i="1"/>
  <c r="F8590" i="1"/>
  <c r="B8590" i="1"/>
  <c r="F8589" i="1"/>
  <c r="B8589" i="1"/>
  <c r="F8588" i="1"/>
  <c r="B8588" i="1"/>
  <c r="F8587" i="1"/>
  <c r="B8587" i="1"/>
  <c r="F8586" i="1"/>
  <c r="B8586" i="1"/>
  <c r="F8585" i="1"/>
  <c r="B8585" i="1"/>
  <c r="F8584" i="1"/>
  <c r="B8584" i="1"/>
  <c r="F8583" i="1"/>
  <c r="B8583" i="1"/>
  <c r="F8582" i="1"/>
  <c r="B8582" i="1"/>
  <c r="F8581" i="1"/>
  <c r="B8581" i="1"/>
  <c r="F8580" i="1"/>
  <c r="B8580" i="1"/>
  <c r="F8579" i="1"/>
  <c r="B8579" i="1"/>
  <c r="F8578" i="1"/>
  <c r="B8578" i="1"/>
  <c r="F8577" i="1"/>
  <c r="B8577" i="1"/>
  <c r="F8576" i="1"/>
  <c r="B8576" i="1"/>
  <c r="F8575" i="1"/>
  <c r="B8575" i="1"/>
  <c r="F8574" i="1"/>
  <c r="B8574" i="1"/>
  <c r="F8573" i="1"/>
  <c r="B8573" i="1"/>
  <c r="F8572" i="1"/>
  <c r="B8572" i="1"/>
  <c r="F8571" i="1"/>
  <c r="B8571" i="1"/>
  <c r="F8570" i="1"/>
  <c r="B8570" i="1"/>
  <c r="F8569" i="1"/>
  <c r="B8569" i="1"/>
  <c r="F8568" i="1"/>
  <c r="B8568" i="1"/>
  <c r="F8567" i="1"/>
  <c r="B8567" i="1"/>
  <c r="F8566" i="1"/>
  <c r="B8566" i="1"/>
  <c r="F8565" i="1"/>
  <c r="B8565" i="1"/>
  <c r="F8564" i="1"/>
  <c r="B8564" i="1"/>
  <c r="F8563" i="1"/>
  <c r="B8563" i="1"/>
  <c r="F8562" i="1"/>
  <c r="B8562" i="1"/>
  <c r="F8561" i="1"/>
  <c r="B8561" i="1"/>
  <c r="F8560" i="1"/>
  <c r="B8560" i="1"/>
  <c r="F8559" i="1"/>
  <c r="B8559" i="1"/>
  <c r="F8558" i="1"/>
  <c r="B8558" i="1"/>
  <c r="F8557" i="1"/>
  <c r="B8557" i="1"/>
  <c r="F8556" i="1"/>
  <c r="B8556" i="1"/>
  <c r="F8555" i="1"/>
  <c r="B8555" i="1"/>
  <c r="F8554" i="1"/>
  <c r="B8554" i="1"/>
  <c r="F8553" i="1"/>
  <c r="B8553" i="1"/>
  <c r="F8552" i="1"/>
  <c r="B8552" i="1"/>
  <c r="F8551" i="1"/>
  <c r="B8551" i="1"/>
  <c r="F8550" i="1"/>
  <c r="B8550" i="1"/>
  <c r="F8549" i="1"/>
  <c r="B8549" i="1"/>
  <c r="F8548" i="1"/>
  <c r="B8548" i="1"/>
  <c r="F8547" i="1"/>
  <c r="B8547" i="1"/>
  <c r="F8546" i="1"/>
  <c r="B8546" i="1"/>
  <c r="F8545" i="1"/>
  <c r="B8545" i="1"/>
  <c r="F8544" i="1"/>
  <c r="B8544" i="1"/>
  <c r="F8543" i="1"/>
  <c r="B8543" i="1"/>
  <c r="F8542" i="1"/>
  <c r="B8542" i="1"/>
  <c r="F8541" i="1"/>
  <c r="B8541" i="1"/>
  <c r="F8540" i="1"/>
  <c r="B8540" i="1"/>
  <c r="F8539" i="1"/>
  <c r="B8539" i="1"/>
  <c r="F8538" i="1"/>
  <c r="B8538" i="1"/>
  <c r="F8537" i="1"/>
  <c r="B8537" i="1"/>
  <c r="F8536" i="1"/>
  <c r="B8536" i="1"/>
  <c r="F8535" i="1"/>
  <c r="B8535" i="1"/>
  <c r="F8534" i="1"/>
  <c r="B8534" i="1"/>
  <c r="F8533" i="1"/>
  <c r="B8533" i="1"/>
  <c r="F8532" i="1"/>
  <c r="B8532" i="1"/>
  <c r="F8531" i="1"/>
  <c r="B8531" i="1"/>
  <c r="F8530" i="1"/>
  <c r="B8530" i="1"/>
  <c r="F8529" i="1"/>
  <c r="B8529" i="1"/>
  <c r="F8528" i="1"/>
  <c r="B8528" i="1"/>
  <c r="F8527" i="1"/>
  <c r="B8527" i="1"/>
  <c r="F8526" i="1"/>
  <c r="B8526" i="1"/>
  <c r="F8525" i="1"/>
  <c r="B8525" i="1"/>
  <c r="F8524" i="1"/>
  <c r="B8524" i="1"/>
  <c r="F8523" i="1"/>
  <c r="B8523" i="1"/>
  <c r="F8522" i="1"/>
  <c r="B8522" i="1"/>
  <c r="F8521" i="1"/>
  <c r="B8521" i="1"/>
  <c r="F8520" i="1"/>
  <c r="B8520" i="1"/>
  <c r="F8519" i="1"/>
  <c r="B8519" i="1"/>
  <c r="F8518" i="1"/>
  <c r="B8518" i="1"/>
  <c r="F8517" i="1"/>
  <c r="B8517" i="1"/>
  <c r="F8516" i="1"/>
  <c r="B8516" i="1"/>
  <c r="F8515" i="1"/>
  <c r="B8515" i="1"/>
  <c r="F8514" i="1"/>
  <c r="B8514" i="1"/>
  <c r="F8513" i="1"/>
  <c r="B8513" i="1"/>
  <c r="F8512" i="1"/>
  <c r="B8512" i="1"/>
  <c r="F8511" i="1"/>
  <c r="B8511" i="1"/>
  <c r="F8510" i="1"/>
  <c r="B8510" i="1"/>
  <c r="F8509" i="1"/>
  <c r="B8509" i="1"/>
  <c r="F8508" i="1"/>
  <c r="B8508" i="1"/>
  <c r="F8507" i="1"/>
  <c r="B8507" i="1"/>
  <c r="F8506" i="1"/>
  <c r="B8506" i="1"/>
  <c r="F8505" i="1"/>
  <c r="B8505" i="1"/>
  <c r="F8504" i="1"/>
  <c r="B8504" i="1"/>
  <c r="F8503" i="1"/>
  <c r="B8503" i="1"/>
  <c r="F8502" i="1"/>
  <c r="B8502" i="1"/>
  <c r="F8501" i="1"/>
  <c r="B8501" i="1"/>
  <c r="F8500" i="1"/>
  <c r="B8500" i="1"/>
  <c r="F8499" i="1"/>
  <c r="B8499" i="1"/>
  <c r="F8498" i="1"/>
  <c r="B8498" i="1"/>
  <c r="F8497" i="1"/>
  <c r="B8497" i="1"/>
  <c r="F8496" i="1"/>
  <c r="B8496" i="1"/>
  <c r="F8495" i="1"/>
  <c r="B8495" i="1"/>
  <c r="F8494" i="1"/>
  <c r="B8494" i="1"/>
  <c r="F8493" i="1"/>
  <c r="B8493" i="1"/>
  <c r="F8492" i="1"/>
  <c r="B8492" i="1"/>
  <c r="F8491" i="1"/>
  <c r="B8491" i="1"/>
  <c r="F8490" i="1"/>
  <c r="B8490" i="1"/>
  <c r="F8489" i="1"/>
  <c r="B8489" i="1"/>
  <c r="F8488" i="1"/>
  <c r="B8488" i="1"/>
  <c r="F8487" i="1"/>
  <c r="B8487" i="1"/>
  <c r="F8486" i="1"/>
  <c r="B8486" i="1"/>
  <c r="F8485" i="1"/>
  <c r="B8485" i="1"/>
  <c r="F8484" i="1"/>
  <c r="B8484" i="1"/>
  <c r="F8483" i="1"/>
  <c r="B8483" i="1"/>
  <c r="F8482" i="1"/>
  <c r="B8482" i="1"/>
  <c r="F8481" i="1"/>
  <c r="B8481" i="1"/>
  <c r="F8480" i="1"/>
  <c r="B8480" i="1"/>
  <c r="F8479" i="1"/>
  <c r="B8479" i="1"/>
  <c r="F8478" i="1"/>
  <c r="B8478" i="1"/>
  <c r="F8477" i="1"/>
  <c r="B8477" i="1"/>
  <c r="F8476" i="1"/>
  <c r="B8476" i="1"/>
  <c r="F8475" i="1"/>
  <c r="B8475" i="1"/>
  <c r="F8474" i="1"/>
  <c r="B8474" i="1"/>
  <c r="F8473" i="1"/>
  <c r="B8473" i="1"/>
  <c r="F8472" i="1"/>
  <c r="B8472" i="1"/>
  <c r="F8471" i="1"/>
  <c r="B8471" i="1"/>
  <c r="F8470" i="1"/>
  <c r="B8470" i="1"/>
  <c r="F8469" i="1"/>
  <c r="B8469" i="1"/>
  <c r="F8468" i="1"/>
  <c r="B8468" i="1"/>
  <c r="F8467" i="1"/>
  <c r="B8467" i="1"/>
  <c r="F8466" i="1"/>
  <c r="B8466" i="1"/>
  <c r="F8465" i="1"/>
  <c r="B8465" i="1"/>
  <c r="F8464" i="1"/>
  <c r="B8464" i="1"/>
  <c r="F8463" i="1"/>
  <c r="B8463" i="1"/>
  <c r="F8462" i="1"/>
  <c r="B8462" i="1"/>
  <c r="F8461" i="1"/>
  <c r="B8461" i="1"/>
  <c r="F8460" i="1"/>
  <c r="B8460" i="1"/>
  <c r="F8459" i="1"/>
  <c r="B8459" i="1"/>
  <c r="F8458" i="1"/>
  <c r="B8458" i="1"/>
  <c r="F8457" i="1"/>
  <c r="B8457" i="1"/>
  <c r="F8456" i="1"/>
  <c r="B8456" i="1"/>
  <c r="F8455" i="1"/>
  <c r="B8455" i="1"/>
  <c r="F8454" i="1"/>
  <c r="B8454" i="1"/>
  <c r="F8453" i="1"/>
  <c r="B8453" i="1"/>
  <c r="F8452" i="1"/>
  <c r="B8452" i="1"/>
  <c r="F8451" i="1"/>
  <c r="B8451" i="1"/>
  <c r="F8450" i="1"/>
  <c r="B8450" i="1"/>
  <c r="F8449" i="1"/>
  <c r="B8449" i="1"/>
  <c r="F8448" i="1"/>
  <c r="B8448" i="1"/>
  <c r="F8447" i="1"/>
  <c r="B8447" i="1"/>
  <c r="F8446" i="1"/>
  <c r="B8446" i="1"/>
  <c r="F8445" i="1"/>
  <c r="B8445" i="1"/>
  <c r="F8444" i="1"/>
  <c r="B8444" i="1"/>
  <c r="F8443" i="1"/>
  <c r="B8443" i="1"/>
  <c r="F8442" i="1"/>
  <c r="B8442" i="1"/>
  <c r="F8441" i="1"/>
  <c r="B8441" i="1"/>
  <c r="F8440" i="1"/>
  <c r="B8440" i="1"/>
  <c r="F8439" i="1"/>
  <c r="B8439" i="1"/>
  <c r="F8438" i="1"/>
  <c r="B8438" i="1"/>
  <c r="F8437" i="1"/>
  <c r="B8437" i="1"/>
  <c r="F8436" i="1"/>
  <c r="B8436" i="1"/>
  <c r="F8435" i="1"/>
  <c r="B8435" i="1"/>
  <c r="F8434" i="1"/>
  <c r="B8434" i="1"/>
  <c r="F8433" i="1"/>
  <c r="B8433" i="1"/>
  <c r="F8432" i="1"/>
  <c r="B8432" i="1"/>
  <c r="F8431" i="1"/>
  <c r="B8431" i="1"/>
  <c r="F8430" i="1"/>
  <c r="B8430" i="1"/>
  <c r="F8429" i="1"/>
  <c r="B8429" i="1"/>
  <c r="F8428" i="1"/>
  <c r="B8428" i="1"/>
  <c r="F8427" i="1"/>
  <c r="B8427" i="1"/>
  <c r="F8426" i="1"/>
  <c r="B8426" i="1"/>
  <c r="F8425" i="1"/>
  <c r="B8425" i="1"/>
  <c r="F8424" i="1"/>
  <c r="B8424" i="1"/>
  <c r="F8423" i="1"/>
  <c r="B8423" i="1"/>
  <c r="F8422" i="1"/>
  <c r="B8422" i="1"/>
  <c r="F8421" i="1"/>
  <c r="B8421" i="1"/>
  <c r="F8420" i="1"/>
  <c r="B8420" i="1"/>
  <c r="F8419" i="1"/>
  <c r="B8419" i="1"/>
  <c r="F8418" i="1"/>
  <c r="B8418" i="1"/>
  <c r="F8417" i="1"/>
  <c r="B8417" i="1"/>
  <c r="F8416" i="1"/>
  <c r="B8416" i="1"/>
  <c r="F8415" i="1"/>
  <c r="B8415" i="1"/>
  <c r="F8414" i="1"/>
  <c r="B8414" i="1"/>
  <c r="F8413" i="1"/>
  <c r="B8413" i="1"/>
  <c r="F8412" i="1"/>
  <c r="B8412" i="1"/>
  <c r="F8411" i="1"/>
  <c r="B8411" i="1"/>
  <c r="F8410" i="1"/>
  <c r="B8410" i="1"/>
  <c r="F8409" i="1"/>
  <c r="B8409" i="1"/>
  <c r="F8408" i="1"/>
  <c r="B8408" i="1"/>
  <c r="F8407" i="1"/>
  <c r="B8407" i="1"/>
  <c r="F8406" i="1"/>
  <c r="B8406" i="1"/>
  <c r="F8405" i="1"/>
  <c r="B8405" i="1"/>
  <c r="F8404" i="1"/>
  <c r="B8404" i="1"/>
  <c r="F8403" i="1"/>
  <c r="B8403" i="1"/>
  <c r="F8402" i="1"/>
  <c r="B8402" i="1"/>
  <c r="F8401" i="1"/>
  <c r="B8401" i="1"/>
  <c r="F8400" i="1"/>
  <c r="B8400" i="1"/>
  <c r="F8399" i="1"/>
  <c r="B8399" i="1"/>
  <c r="F8398" i="1"/>
  <c r="B8398" i="1"/>
  <c r="F8397" i="1"/>
  <c r="B8397" i="1"/>
  <c r="F8396" i="1"/>
  <c r="B8396" i="1"/>
  <c r="F8395" i="1"/>
  <c r="B8395" i="1"/>
  <c r="F8394" i="1"/>
  <c r="B8394" i="1"/>
  <c r="F8393" i="1"/>
  <c r="B8393" i="1"/>
  <c r="F8392" i="1"/>
  <c r="B8392" i="1"/>
  <c r="F8391" i="1"/>
  <c r="B8391" i="1"/>
  <c r="F8390" i="1"/>
  <c r="B8390" i="1"/>
  <c r="F8389" i="1"/>
  <c r="B8389" i="1"/>
  <c r="F8388" i="1"/>
  <c r="B8388" i="1"/>
  <c r="F8387" i="1"/>
  <c r="B8387" i="1"/>
  <c r="F8386" i="1"/>
  <c r="B8386" i="1"/>
  <c r="F8385" i="1"/>
  <c r="B8385" i="1"/>
  <c r="F8384" i="1"/>
  <c r="B8384" i="1"/>
  <c r="F8383" i="1"/>
  <c r="B8383" i="1"/>
  <c r="F8382" i="1"/>
  <c r="B8382" i="1"/>
  <c r="F8381" i="1"/>
  <c r="B8381" i="1"/>
  <c r="F8380" i="1"/>
  <c r="B8380" i="1"/>
  <c r="F8379" i="1"/>
  <c r="B8379" i="1"/>
  <c r="F8378" i="1"/>
  <c r="B8378" i="1"/>
  <c r="F8377" i="1"/>
  <c r="B8377" i="1"/>
  <c r="F8376" i="1"/>
  <c r="B8376" i="1"/>
  <c r="F8375" i="1"/>
  <c r="B8375" i="1"/>
  <c r="F8374" i="1"/>
  <c r="B8374" i="1"/>
  <c r="F8373" i="1"/>
  <c r="B8373" i="1"/>
  <c r="F8372" i="1"/>
  <c r="B8372" i="1"/>
  <c r="F8371" i="1"/>
  <c r="B8371" i="1"/>
  <c r="F8370" i="1"/>
  <c r="B8370" i="1"/>
  <c r="F8369" i="1"/>
  <c r="B8369" i="1"/>
  <c r="F8368" i="1"/>
  <c r="B8368" i="1"/>
  <c r="F8367" i="1"/>
  <c r="B8367" i="1"/>
  <c r="F8366" i="1"/>
  <c r="B8366" i="1"/>
  <c r="F8365" i="1"/>
  <c r="B8365" i="1"/>
  <c r="F8364" i="1"/>
  <c r="B8364" i="1"/>
  <c r="F8363" i="1"/>
  <c r="B8363" i="1"/>
  <c r="F8362" i="1"/>
  <c r="B8362" i="1"/>
  <c r="F8361" i="1"/>
  <c r="B8361" i="1"/>
  <c r="F8360" i="1"/>
  <c r="B8360" i="1"/>
  <c r="F8359" i="1"/>
  <c r="B8359" i="1"/>
  <c r="F8358" i="1"/>
  <c r="B8358" i="1"/>
  <c r="F8357" i="1"/>
  <c r="B8357" i="1"/>
  <c r="F8356" i="1"/>
  <c r="B8356" i="1"/>
  <c r="F8355" i="1"/>
  <c r="B8355" i="1"/>
  <c r="F8354" i="1"/>
  <c r="B8354" i="1"/>
  <c r="F8353" i="1"/>
  <c r="B8353" i="1"/>
  <c r="F8352" i="1"/>
  <c r="B8352" i="1"/>
  <c r="F8351" i="1"/>
  <c r="B8351" i="1"/>
  <c r="F8350" i="1"/>
  <c r="B8350" i="1"/>
  <c r="F8349" i="1"/>
  <c r="B8349" i="1"/>
  <c r="F8348" i="1"/>
  <c r="B8348" i="1"/>
  <c r="F8347" i="1"/>
  <c r="B8347" i="1"/>
  <c r="F8346" i="1"/>
  <c r="B8346" i="1"/>
  <c r="F8345" i="1"/>
  <c r="B8345" i="1"/>
  <c r="F8344" i="1"/>
  <c r="B8344" i="1"/>
  <c r="F8343" i="1"/>
  <c r="B8343" i="1"/>
  <c r="F8342" i="1"/>
  <c r="B8342" i="1"/>
  <c r="F8341" i="1"/>
  <c r="B8341" i="1"/>
  <c r="F8340" i="1"/>
  <c r="B8340" i="1"/>
  <c r="F8339" i="1"/>
  <c r="B8339" i="1"/>
  <c r="F8338" i="1"/>
  <c r="B8338" i="1"/>
  <c r="F8337" i="1"/>
  <c r="B8337" i="1"/>
  <c r="F8336" i="1"/>
  <c r="B8336" i="1"/>
  <c r="F8335" i="1"/>
  <c r="B8335" i="1"/>
  <c r="F8334" i="1"/>
  <c r="B8334" i="1"/>
  <c r="F8333" i="1"/>
  <c r="B8333" i="1"/>
  <c r="F8332" i="1"/>
  <c r="B8332" i="1"/>
  <c r="F8331" i="1"/>
  <c r="B8331" i="1"/>
  <c r="F8330" i="1"/>
  <c r="B8330" i="1"/>
  <c r="F8329" i="1"/>
  <c r="B8329" i="1"/>
  <c r="F8328" i="1"/>
  <c r="B8328" i="1"/>
  <c r="F8327" i="1"/>
  <c r="B8327" i="1"/>
  <c r="F8326" i="1"/>
  <c r="B8326" i="1"/>
  <c r="F8325" i="1"/>
  <c r="B8325" i="1"/>
  <c r="F8324" i="1"/>
  <c r="B8324" i="1"/>
  <c r="F8323" i="1"/>
  <c r="B8323" i="1"/>
  <c r="F8322" i="1"/>
  <c r="B8322" i="1"/>
  <c r="F8321" i="1"/>
  <c r="B8321" i="1"/>
  <c r="F8320" i="1"/>
  <c r="B8320" i="1"/>
  <c r="F8319" i="1"/>
  <c r="B8319" i="1"/>
  <c r="F8318" i="1"/>
  <c r="B8318" i="1"/>
  <c r="F8317" i="1"/>
  <c r="B8317" i="1"/>
  <c r="F8316" i="1"/>
  <c r="B8316" i="1"/>
  <c r="F8315" i="1"/>
  <c r="B8315" i="1"/>
  <c r="F8314" i="1"/>
  <c r="B8314" i="1"/>
  <c r="F8313" i="1"/>
  <c r="B8313" i="1"/>
  <c r="F8312" i="1"/>
  <c r="B8312" i="1"/>
  <c r="F8311" i="1"/>
  <c r="B8311" i="1"/>
  <c r="F8310" i="1"/>
  <c r="B8310" i="1"/>
  <c r="F8309" i="1"/>
  <c r="B8309" i="1"/>
  <c r="F8308" i="1"/>
  <c r="B8308" i="1"/>
  <c r="F8307" i="1"/>
  <c r="B8307" i="1"/>
  <c r="F8306" i="1"/>
  <c r="B8306" i="1"/>
  <c r="F8305" i="1"/>
  <c r="B8305" i="1"/>
  <c r="F8304" i="1"/>
  <c r="B8304" i="1"/>
  <c r="F8303" i="1"/>
  <c r="B8303" i="1"/>
  <c r="F8302" i="1"/>
  <c r="B8302" i="1"/>
  <c r="F8301" i="1"/>
  <c r="B8301" i="1"/>
  <c r="F8300" i="1"/>
  <c r="B8300" i="1"/>
  <c r="F8299" i="1"/>
  <c r="B8299" i="1"/>
  <c r="F8298" i="1"/>
  <c r="B8298" i="1"/>
  <c r="F8297" i="1"/>
  <c r="B8297" i="1"/>
  <c r="F8296" i="1"/>
  <c r="B8296" i="1"/>
  <c r="F8295" i="1"/>
  <c r="B8295" i="1"/>
  <c r="F8294" i="1"/>
  <c r="B8294" i="1"/>
  <c r="F8293" i="1"/>
  <c r="B8293" i="1"/>
  <c r="F8292" i="1"/>
  <c r="B8292" i="1"/>
  <c r="F8291" i="1"/>
  <c r="B8291" i="1"/>
  <c r="F8290" i="1"/>
  <c r="B8290" i="1"/>
  <c r="F8289" i="1"/>
  <c r="B8289" i="1"/>
  <c r="F8288" i="1"/>
  <c r="B8288" i="1"/>
  <c r="F8287" i="1"/>
  <c r="B8287" i="1"/>
  <c r="F8286" i="1"/>
  <c r="B8286" i="1"/>
  <c r="F8285" i="1"/>
  <c r="B8285" i="1"/>
  <c r="F8284" i="1"/>
  <c r="B8284" i="1"/>
  <c r="F8283" i="1"/>
  <c r="B8283" i="1"/>
  <c r="F8282" i="1"/>
  <c r="B8282" i="1"/>
  <c r="F8281" i="1"/>
  <c r="B8281" i="1"/>
  <c r="F8280" i="1"/>
  <c r="B8280" i="1"/>
  <c r="F8279" i="1"/>
  <c r="B8279" i="1"/>
  <c r="F8278" i="1"/>
  <c r="B8278" i="1"/>
  <c r="F8277" i="1"/>
  <c r="B8277" i="1"/>
  <c r="F8276" i="1"/>
  <c r="B8276" i="1"/>
  <c r="F8275" i="1"/>
  <c r="B8275" i="1"/>
  <c r="F8274" i="1"/>
  <c r="B8274" i="1"/>
  <c r="F8273" i="1"/>
  <c r="B8273" i="1"/>
  <c r="F8272" i="1"/>
  <c r="B8272" i="1"/>
  <c r="F8271" i="1"/>
  <c r="B8271" i="1"/>
  <c r="F8270" i="1"/>
  <c r="B8270" i="1"/>
  <c r="F8269" i="1"/>
  <c r="B8269" i="1"/>
  <c r="F8268" i="1"/>
  <c r="B8268" i="1"/>
  <c r="F8267" i="1"/>
  <c r="B8267" i="1"/>
  <c r="F8266" i="1"/>
  <c r="B8266" i="1"/>
  <c r="F8265" i="1"/>
  <c r="B8265" i="1"/>
  <c r="F8264" i="1"/>
  <c r="B8264" i="1"/>
  <c r="F8263" i="1"/>
  <c r="B8263" i="1"/>
  <c r="F8262" i="1"/>
  <c r="B8262" i="1"/>
  <c r="F8261" i="1"/>
  <c r="B8261" i="1"/>
  <c r="F8260" i="1"/>
  <c r="B8260" i="1"/>
  <c r="F8259" i="1"/>
  <c r="B8259" i="1"/>
  <c r="F8258" i="1"/>
  <c r="B8258" i="1"/>
  <c r="F8257" i="1"/>
  <c r="B8257" i="1"/>
  <c r="F8256" i="1"/>
  <c r="B8256" i="1"/>
  <c r="F8255" i="1"/>
  <c r="B8255" i="1"/>
  <c r="F8254" i="1"/>
  <c r="B8254" i="1"/>
  <c r="F8253" i="1"/>
  <c r="B8253" i="1"/>
  <c r="F8252" i="1"/>
  <c r="B8252" i="1"/>
  <c r="F8251" i="1"/>
  <c r="B8251" i="1"/>
  <c r="F8250" i="1"/>
  <c r="B8250" i="1"/>
  <c r="F8249" i="1"/>
  <c r="B8249" i="1"/>
  <c r="F8248" i="1"/>
  <c r="B8248" i="1"/>
  <c r="F8247" i="1"/>
  <c r="B8247" i="1"/>
  <c r="F8246" i="1"/>
  <c r="B8246" i="1"/>
  <c r="F8245" i="1"/>
  <c r="B8245" i="1"/>
  <c r="F8244" i="1"/>
  <c r="B8244" i="1"/>
  <c r="F8243" i="1"/>
  <c r="B8243" i="1"/>
  <c r="F8242" i="1"/>
  <c r="B8242" i="1"/>
  <c r="F8241" i="1"/>
  <c r="B8241" i="1"/>
  <c r="F8240" i="1"/>
  <c r="B8240" i="1"/>
  <c r="F8239" i="1"/>
  <c r="B8239" i="1"/>
  <c r="F8238" i="1"/>
  <c r="B8238" i="1"/>
  <c r="F8237" i="1"/>
  <c r="B8237" i="1"/>
  <c r="F8236" i="1"/>
  <c r="B8236" i="1"/>
  <c r="F8235" i="1"/>
  <c r="B8235" i="1"/>
  <c r="F8234" i="1"/>
  <c r="B8234" i="1"/>
  <c r="F8233" i="1"/>
  <c r="B8233" i="1"/>
  <c r="F8232" i="1"/>
  <c r="B8232" i="1"/>
  <c r="F8231" i="1"/>
  <c r="B8231" i="1"/>
  <c r="F8230" i="1"/>
  <c r="B8230" i="1"/>
  <c r="F8229" i="1"/>
  <c r="B8229" i="1"/>
  <c r="F8228" i="1"/>
  <c r="B8228" i="1"/>
  <c r="F8227" i="1"/>
  <c r="B8227" i="1"/>
  <c r="F8226" i="1"/>
  <c r="B8226" i="1"/>
  <c r="F8225" i="1"/>
  <c r="B8225" i="1"/>
  <c r="F8224" i="1"/>
  <c r="B8224" i="1"/>
  <c r="F8223" i="1"/>
  <c r="B8223" i="1"/>
  <c r="F8222" i="1"/>
  <c r="B8222" i="1"/>
  <c r="F8221" i="1"/>
  <c r="B8221" i="1"/>
  <c r="F8220" i="1"/>
  <c r="B8220" i="1"/>
  <c r="F8219" i="1"/>
  <c r="B8219" i="1"/>
  <c r="F8218" i="1"/>
  <c r="B8218" i="1"/>
  <c r="F8217" i="1"/>
  <c r="B8217" i="1"/>
  <c r="F8216" i="1"/>
  <c r="B8216" i="1"/>
  <c r="F8215" i="1"/>
  <c r="B8215" i="1"/>
  <c r="F8214" i="1"/>
  <c r="B8214" i="1"/>
  <c r="F8213" i="1"/>
  <c r="B8213" i="1"/>
  <c r="F8212" i="1"/>
  <c r="B8212" i="1"/>
  <c r="F8211" i="1"/>
  <c r="B8211" i="1"/>
  <c r="F8210" i="1"/>
  <c r="B8210" i="1"/>
  <c r="F8209" i="1"/>
  <c r="B8209" i="1"/>
  <c r="F8208" i="1"/>
  <c r="B8208" i="1"/>
  <c r="F8207" i="1"/>
  <c r="B8207" i="1"/>
  <c r="F8206" i="1"/>
  <c r="B8206" i="1"/>
  <c r="F8205" i="1"/>
  <c r="B8205" i="1"/>
  <c r="F8204" i="1"/>
  <c r="B8204" i="1"/>
  <c r="F8203" i="1"/>
  <c r="B8203" i="1"/>
  <c r="F8202" i="1"/>
  <c r="B8202" i="1"/>
  <c r="F8201" i="1"/>
  <c r="B8201" i="1"/>
  <c r="F8200" i="1"/>
  <c r="B8200" i="1"/>
  <c r="F8199" i="1"/>
  <c r="B8199" i="1"/>
  <c r="F8198" i="1"/>
  <c r="B8198" i="1"/>
  <c r="F8197" i="1"/>
  <c r="B8197" i="1"/>
  <c r="F8196" i="1"/>
  <c r="B8196" i="1"/>
  <c r="F8195" i="1"/>
  <c r="B8195" i="1"/>
  <c r="F8194" i="1"/>
  <c r="B8194" i="1"/>
  <c r="F8193" i="1"/>
  <c r="B8193" i="1"/>
  <c r="F8192" i="1"/>
  <c r="B8192" i="1"/>
  <c r="F8191" i="1"/>
  <c r="B8191" i="1"/>
  <c r="F8190" i="1"/>
  <c r="B8190" i="1"/>
  <c r="F8189" i="1"/>
  <c r="B8189" i="1"/>
  <c r="F8188" i="1"/>
  <c r="B8188" i="1"/>
  <c r="F8187" i="1"/>
  <c r="B8187" i="1"/>
  <c r="F8186" i="1"/>
  <c r="B8186" i="1"/>
  <c r="F8185" i="1"/>
  <c r="B8185" i="1"/>
  <c r="F8184" i="1"/>
  <c r="B8184" i="1"/>
  <c r="F8183" i="1"/>
  <c r="B8183" i="1"/>
  <c r="F8182" i="1"/>
  <c r="B8182" i="1"/>
  <c r="F8181" i="1"/>
  <c r="B8181" i="1"/>
  <c r="F8180" i="1"/>
  <c r="B8180" i="1"/>
  <c r="F8179" i="1"/>
  <c r="B8179" i="1"/>
  <c r="F8178" i="1"/>
  <c r="B8178" i="1"/>
  <c r="F8177" i="1"/>
  <c r="B8177" i="1"/>
  <c r="F8176" i="1"/>
  <c r="B8176" i="1"/>
  <c r="F8175" i="1"/>
  <c r="B8175" i="1"/>
  <c r="F8174" i="1"/>
  <c r="B8174" i="1"/>
  <c r="F8173" i="1"/>
  <c r="B8173" i="1"/>
  <c r="F8172" i="1"/>
  <c r="B8172" i="1"/>
  <c r="F8171" i="1"/>
  <c r="B8171" i="1"/>
  <c r="F8170" i="1"/>
  <c r="B8170" i="1"/>
  <c r="F8169" i="1"/>
  <c r="B8169" i="1"/>
  <c r="F8168" i="1"/>
  <c r="B8168" i="1"/>
  <c r="F8167" i="1"/>
  <c r="B8167" i="1"/>
  <c r="F8166" i="1"/>
  <c r="B8166" i="1"/>
  <c r="F8165" i="1"/>
  <c r="B8165" i="1"/>
  <c r="F8164" i="1"/>
  <c r="B8164" i="1"/>
  <c r="F8163" i="1"/>
  <c r="B8163" i="1"/>
  <c r="F8162" i="1"/>
  <c r="B8162" i="1"/>
  <c r="F8161" i="1"/>
  <c r="B8161" i="1"/>
  <c r="F8160" i="1"/>
  <c r="B8160" i="1"/>
  <c r="F8159" i="1"/>
  <c r="B8159" i="1"/>
  <c r="F8158" i="1"/>
  <c r="B8158" i="1"/>
  <c r="F8157" i="1"/>
  <c r="B8157" i="1"/>
  <c r="F8156" i="1"/>
  <c r="B8156" i="1"/>
  <c r="F8155" i="1"/>
  <c r="B8155" i="1"/>
  <c r="F8154" i="1"/>
  <c r="B8154" i="1"/>
  <c r="F8153" i="1"/>
  <c r="B8153" i="1"/>
  <c r="F8152" i="1"/>
  <c r="B8152" i="1"/>
  <c r="F8151" i="1"/>
  <c r="B8151" i="1"/>
  <c r="F8150" i="1"/>
  <c r="B8150" i="1"/>
  <c r="F8149" i="1"/>
  <c r="B8149" i="1"/>
  <c r="F8148" i="1"/>
  <c r="B8148" i="1"/>
  <c r="F8147" i="1"/>
  <c r="B8147" i="1"/>
  <c r="F8146" i="1"/>
  <c r="B8146" i="1"/>
  <c r="F8145" i="1"/>
  <c r="B8145" i="1"/>
  <c r="F8144" i="1"/>
  <c r="B8144" i="1"/>
  <c r="F8143" i="1"/>
  <c r="B8143" i="1"/>
  <c r="F8142" i="1"/>
  <c r="B8142" i="1"/>
  <c r="F8141" i="1"/>
  <c r="B8141" i="1"/>
  <c r="F8140" i="1"/>
  <c r="B8140" i="1"/>
  <c r="F8139" i="1"/>
  <c r="B8139" i="1"/>
  <c r="F8138" i="1"/>
  <c r="B8138" i="1"/>
  <c r="F8137" i="1"/>
  <c r="B8137" i="1"/>
  <c r="F8136" i="1"/>
  <c r="B8136" i="1"/>
  <c r="F8135" i="1"/>
  <c r="B8135" i="1"/>
  <c r="F8134" i="1"/>
  <c r="B8134" i="1"/>
  <c r="F8133" i="1"/>
  <c r="B8133" i="1"/>
  <c r="F8132" i="1"/>
  <c r="B8132" i="1"/>
  <c r="F8131" i="1"/>
  <c r="B8131" i="1"/>
  <c r="F8130" i="1"/>
  <c r="B8130" i="1"/>
  <c r="F8129" i="1"/>
  <c r="B8129" i="1"/>
  <c r="F8128" i="1"/>
  <c r="B8128" i="1"/>
  <c r="F8127" i="1"/>
  <c r="B8127" i="1"/>
  <c r="F8126" i="1"/>
  <c r="B8126" i="1"/>
  <c r="F8125" i="1"/>
  <c r="B8125" i="1"/>
  <c r="F8124" i="1"/>
  <c r="B8124" i="1"/>
  <c r="F8123" i="1"/>
  <c r="B8123" i="1"/>
  <c r="F8122" i="1"/>
  <c r="B8122" i="1"/>
  <c r="F8121" i="1"/>
  <c r="B8121" i="1"/>
  <c r="F8120" i="1"/>
  <c r="B8120" i="1"/>
  <c r="F8119" i="1"/>
  <c r="B8119" i="1"/>
  <c r="F8118" i="1"/>
  <c r="B8118" i="1"/>
  <c r="F8117" i="1"/>
  <c r="B8117" i="1"/>
  <c r="F8116" i="1"/>
  <c r="B8116" i="1"/>
  <c r="F8115" i="1"/>
  <c r="B8115" i="1"/>
  <c r="F8114" i="1"/>
  <c r="B8114" i="1"/>
  <c r="F8113" i="1"/>
  <c r="B8113" i="1"/>
  <c r="F8112" i="1"/>
  <c r="B8112" i="1"/>
  <c r="F8111" i="1"/>
  <c r="B8111" i="1"/>
  <c r="F8110" i="1"/>
  <c r="B8110" i="1"/>
  <c r="F8109" i="1"/>
  <c r="B8109" i="1"/>
  <c r="F8108" i="1"/>
  <c r="B8108" i="1"/>
  <c r="F8107" i="1"/>
  <c r="B8107" i="1"/>
  <c r="F8106" i="1"/>
  <c r="B8106" i="1"/>
  <c r="F8105" i="1"/>
  <c r="B8105" i="1"/>
  <c r="F8104" i="1"/>
  <c r="B8104" i="1"/>
  <c r="F8103" i="1"/>
  <c r="B8103" i="1"/>
  <c r="F8102" i="1"/>
  <c r="B8102" i="1"/>
  <c r="F8101" i="1"/>
  <c r="B8101" i="1"/>
  <c r="F8100" i="1"/>
  <c r="B8100" i="1"/>
  <c r="F8099" i="1"/>
  <c r="B8099" i="1"/>
  <c r="F8098" i="1"/>
  <c r="B8098" i="1"/>
  <c r="F8097" i="1"/>
  <c r="B8097" i="1"/>
  <c r="F8096" i="1"/>
  <c r="B8096" i="1"/>
  <c r="F8095" i="1"/>
  <c r="B8095" i="1"/>
  <c r="F8094" i="1"/>
  <c r="B8094" i="1"/>
  <c r="F8093" i="1"/>
  <c r="B8093" i="1"/>
  <c r="F8092" i="1"/>
  <c r="B8092" i="1"/>
  <c r="F8091" i="1"/>
  <c r="B8091" i="1"/>
  <c r="F8090" i="1"/>
  <c r="B8090" i="1"/>
  <c r="F8089" i="1"/>
  <c r="B8089" i="1"/>
  <c r="F8088" i="1"/>
  <c r="B8088" i="1"/>
  <c r="F8087" i="1"/>
  <c r="B8087" i="1"/>
  <c r="F8086" i="1"/>
  <c r="B8086" i="1"/>
  <c r="F8085" i="1"/>
  <c r="B8085" i="1"/>
  <c r="F8084" i="1"/>
  <c r="B8084" i="1"/>
  <c r="F8083" i="1"/>
  <c r="B8083" i="1"/>
  <c r="F8082" i="1"/>
  <c r="B8082" i="1"/>
  <c r="F8081" i="1"/>
  <c r="B8081" i="1"/>
  <c r="F8080" i="1"/>
  <c r="B8080" i="1"/>
  <c r="F8079" i="1"/>
  <c r="B8079" i="1"/>
  <c r="F8078" i="1"/>
  <c r="B8078" i="1"/>
  <c r="F8077" i="1"/>
  <c r="B8077" i="1"/>
  <c r="F8076" i="1"/>
  <c r="B8076" i="1"/>
  <c r="F8075" i="1"/>
  <c r="B8075" i="1"/>
  <c r="F8074" i="1"/>
  <c r="B8074" i="1"/>
  <c r="F8073" i="1"/>
  <c r="B8073" i="1"/>
  <c r="F8072" i="1"/>
  <c r="B8072" i="1"/>
  <c r="F8071" i="1"/>
  <c r="B8071" i="1"/>
  <c r="F8070" i="1"/>
  <c r="B8070" i="1"/>
  <c r="F8069" i="1"/>
  <c r="B8069" i="1"/>
  <c r="F8068" i="1"/>
  <c r="B8068" i="1"/>
  <c r="F8067" i="1"/>
  <c r="B8067" i="1"/>
  <c r="F8066" i="1"/>
  <c r="B8066" i="1"/>
  <c r="F8065" i="1"/>
  <c r="B8065" i="1"/>
  <c r="F8064" i="1"/>
  <c r="B8064" i="1"/>
  <c r="F8063" i="1"/>
  <c r="B8063" i="1"/>
  <c r="F8062" i="1"/>
  <c r="B8062" i="1"/>
  <c r="F8061" i="1"/>
  <c r="B8061" i="1"/>
  <c r="F8060" i="1"/>
  <c r="B8060" i="1"/>
  <c r="F8059" i="1"/>
  <c r="B8059" i="1"/>
  <c r="F8058" i="1"/>
  <c r="B8058" i="1"/>
  <c r="F8057" i="1"/>
  <c r="B8057" i="1"/>
  <c r="F8056" i="1"/>
  <c r="B8056" i="1"/>
  <c r="F8055" i="1"/>
  <c r="B8055" i="1"/>
  <c r="F8054" i="1"/>
  <c r="B8054" i="1"/>
  <c r="F8053" i="1"/>
  <c r="B8053" i="1"/>
  <c r="F8052" i="1"/>
  <c r="B8052" i="1"/>
  <c r="F8051" i="1"/>
  <c r="B8051" i="1"/>
  <c r="F8050" i="1"/>
  <c r="B8050" i="1"/>
  <c r="F8049" i="1"/>
  <c r="B8049" i="1"/>
  <c r="F8048" i="1"/>
  <c r="B8048" i="1"/>
  <c r="F8047" i="1"/>
  <c r="B8047" i="1"/>
  <c r="F8046" i="1"/>
  <c r="B8046" i="1"/>
  <c r="F8045" i="1"/>
  <c r="B8045" i="1"/>
  <c r="F8044" i="1"/>
  <c r="B8044" i="1"/>
  <c r="F8043" i="1"/>
  <c r="B8043" i="1"/>
  <c r="F8042" i="1"/>
  <c r="B8042" i="1"/>
  <c r="F8041" i="1"/>
  <c r="B8041" i="1"/>
  <c r="F8040" i="1"/>
  <c r="B8040" i="1"/>
  <c r="F8039" i="1"/>
  <c r="B8039" i="1"/>
  <c r="F8038" i="1"/>
  <c r="B8038" i="1"/>
  <c r="F8037" i="1"/>
  <c r="B8037" i="1"/>
  <c r="F8036" i="1"/>
  <c r="B8036" i="1"/>
  <c r="F8035" i="1"/>
  <c r="B8035" i="1"/>
  <c r="F8034" i="1"/>
  <c r="B8034" i="1"/>
  <c r="F8033" i="1"/>
  <c r="B8033" i="1"/>
  <c r="F8032" i="1"/>
  <c r="B8032" i="1"/>
  <c r="F8031" i="1"/>
  <c r="B8031" i="1"/>
  <c r="F8030" i="1"/>
  <c r="B8030" i="1"/>
  <c r="F8029" i="1"/>
  <c r="B8029" i="1"/>
  <c r="F8028" i="1"/>
  <c r="B8028" i="1"/>
  <c r="F8027" i="1"/>
  <c r="B8027" i="1"/>
  <c r="F8026" i="1"/>
  <c r="B8026" i="1"/>
  <c r="F8025" i="1"/>
  <c r="B8025" i="1"/>
  <c r="F8024" i="1"/>
  <c r="B8024" i="1"/>
  <c r="F8023" i="1"/>
  <c r="B8023" i="1"/>
  <c r="F8022" i="1"/>
  <c r="B8022" i="1"/>
  <c r="F8021" i="1"/>
  <c r="B8021" i="1"/>
  <c r="F8020" i="1"/>
  <c r="B8020" i="1"/>
  <c r="F8019" i="1"/>
  <c r="B8019" i="1"/>
  <c r="F8018" i="1"/>
  <c r="B8018" i="1"/>
  <c r="F8017" i="1"/>
  <c r="B8017" i="1"/>
  <c r="F8016" i="1"/>
  <c r="B8016" i="1"/>
  <c r="F8015" i="1"/>
  <c r="B8015" i="1"/>
  <c r="F8014" i="1"/>
  <c r="B8014" i="1"/>
  <c r="F8013" i="1"/>
  <c r="B8013" i="1"/>
  <c r="F8012" i="1"/>
  <c r="B8012" i="1"/>
  <c r="F8011" i="1"/>
  <c r="B8011" i="1"/>
  <c r="F8010" i="1"/>
  <c r="B8010" i="1"/>
  <c r="F8009" i="1"/>
  <c r="B8009" i="1"/>
  <c r="F8008" i="1"/>
  <c r="B8008" i="1"/>
  <c r="F8007" i="1"/>
  <c r="B8007" i="1"/>
  <c r="F8006" i="1"/>
  <c r="B8006" i="1"/>
  <c r="F8005" i="1"/>
  <c r="B8005" i="1"/>
  <c r="F8004" i="1"/>
  <c r="B8004" i="1"/>
  <c r="F8003" i="1"/>
  <c r="B8003" i="1"/>
  <c r="F8002" i="1"/>
  <c r="B8002" i="1"/>
  <c r="F8001" i="1"/>
  <c r="B8001" i="1"/>
  <c r="F8000" i="1"/>
  <c r="B8000" i="1"/>
  <c r="F7999" i="1"/>
  <c r="B7999" i="1"/>
  <c r="F7998" i="1"/>
  <c r="B7998" i="1"/>
  <c r="F7997" i="1"/>
  <c r="B7997" i="1"/>
  <c r="F7996" i="1"/>
  <c r="B7996" i="1"/>
  <c r="F7995" i="1"/>
  <c r="B7995" i="1"/>
  <c r="F7994" i="1"/>
  <c r="B7994" i="1"/>
  <c r="F7993" i="1"/>
  <c r="B7993" i="1"/>
  <c r="F7992" i="1"/>
  <c r="B7992" i="1"/>
  <c r="F7991" i="1"/>
  <c r="B7991" i="1"/>
  <c r="F7990" i="1"/>
  <c r="B7990" i="1"/>
  <c r="F7989" i="1"/>
  <c r="B7989" i="1"/>
  <c r="F7988" i="1"/>
  <c r="B7988" i="1"/>
  <c r="F7987" i="1"/>
  <c r="B7987" i="1"/>
  <c r="F7986" i="1"/>
  <c r="B7986" i="1"/>
  <c r="F7985" i="1"/>
  <c r="B7985" i="1"/>
  <c r="F7984" i="1"/>
  <c r="B7984" i="1"/>
  <c r="F7983" i="1"/>
  <c r="B7983" i="1"/>
  <c r="F7982" i="1"/>
  <c r="B7982" i="1"/>
  <c r="F7981" i="1"/>
  <c r="B7981" i="1"/>
  <c r="F7980" i="1"/>
  <c r="B7980" i="1"/>
  <c r="F7979" i="1"/>
  <c r="B7979" i="1"/>
  <c r="F7978" i="1"/>
  <c r="B7978" i="1"/>
  <c r="F7977" i="1"/>
  <c r="B7977" i="1"/>
  <c r="F7976" i="1"/>
  <c r="B7976" i="1"/>
  <c r="F7975" i="1"/>
  <c r="B7975" i="1"/>
  <c r="F7974" i="1"/>
  <c r="B7974" i="1"/>
  <c r="F7973" i="1"/>
  <c r="B7973" i="1"/>
  <c r="F7972" i="1"/>
  <c r="B7972" i="1"/>
  <c r="F7971" i="1"/>
  <c r="B7971" i="1"/>
  <c r="F7970" i="1"/>
  <c r="B7970" i="1"/>
  <c r="F7969" i="1"/>
  <c r="B7969" i="1"/>
  <c r="F7968" i="1"/>
  <c r="B7968" i="1"/>
  <c r="F7967" i="1"/>
  <c r="B7967" i="1"/>
  <c r="F7966" i="1"/>
  <c r="B7966" i="1"/>
  <c r="F7965" i="1"/>
  <c r="B7965" i="1"/>
  <c r="F7964" i="1"/>
  <c r="B7964" i="1"/>
  <c r="F7963" i="1"/>
  <c r="B7963" i="1"/>
  <c r="F7962" i="1"/>
  <c r="B7962" i="1"/>
  <c r="F7961" i="1"/>
  <c r="B7961" i="1"/>
  <c r="F7960" i="1"/>
  <c r="B7960" i="1"/>
  <c r="F7959" i="1"/>
  <c r="B7959" i="1"/>
  <c r="F7958" i="1"/>
  <c r="B7958" i="1"/>
  <c r="F7957" i="1"/>
  <c r="B7957" i="1"/>
  <c r="F7956" i="1"/>
  <c r="B7956" i="1"/>
  <c r="F7955" i="1"/>
  <c r="B7955" i="1"/>
  <c r="F7954" i="1"/>
  <c r="B7954" i="1"/>
  <c r="F7953" i="1"/>
  <c r="B7953" i="1"/>
  <c r="F7952" i="1"/>
  <c r="B7952" i="1"/>
  <c r="F7951" i="1"/>
  <c r="B7951" i="1"/>
  <c r="F7950" i="1"/>
  <c r="B7950" i="1"/>
  <c r="F7949" i="1"/>
  <c r="B7949" i="1"/>
  <c r="F7948" i="1"/>
  <c r="B7948" i="1"/>
  <c r="F7947" i="1"/>
  <c r="B7947" i="1"/>
  <c r="F7946" i="1"/>
  <c r="B7946" i="1"/>
  <c r="F7945" i="1"/>
  <c r="B7945" i="1"/>
  <c r="F7944" i="1"/>
  <c r="B7944" i="1"/>
  <c r="F7943" i="1"/>
  <c r="B7943" i="1"/>
  <c r="F7942" i="1"/>
  <c r="B7942" i="1"/>
  <c r="F7941" i="1"/>
  <c r="B7941" i="1"/>
  <c r="F7940" i="1"/>
  <c r="B7940" i="1"/>
  <c r="F7939" i="1"/>
  <c r="B7939" i="1"/>
  <c r="F7938" i="1"/>
  <c r="B7938" i="1"/>
  <c r="F7937" i="1"/>
  <c r="B7937" i="1"/>
  <c r="F7936" i="1"/>
  <c r="B7936" i="1"/>
  <c r="F7935" i="1"/>
  <c r="B7935" i="1"/>
  <c r="F7934" i="1"/>
  <c r="B7934" i="1"/>
  <c r="F7933" i="1"/>
  <c r="B7933" i="1"/>
  <c r="F7932" i="1"/>
  <c r="B7932" i="1"/>
  <c r="F7931" i="1"/>
  <c r="B7931" i="1"/>
  <c r="F7930" i="1"/>
  <c r="B7930" i="1"/>
  <c r="F7929" i="1"/>
  <c r="B7929" i="1"/>
  <c r="F7928" i="1"/>
  <c r="B7928" i="1"/>
  <c r="F7927" i="1"/>
  <c r="B7927" i="1"/>
  <c r="F7926" i="1"/>
  <c r="B7926" i="1"/>
  <c r="F7925" i="1"/>
  <c r="B7925" i="1"/>
  <c r="F7924" i="1"/>
  <c r="B7924" i="1"/>
  <c r="F7923" i="1"/>
  <c r="B7923" i="1"/>
  <c r="F7922" i="1"/>
  <c r="B7922" i="1"/>
  <c r="F7921" i="1"/>
  <c r="B7921" i="1"/>
  <c r="F7920" i="1"/>
  <c r="B7920" i="1"/>
  <c r="F7919" i="1"/>
  <c r="B7919" i="1"/>
  <c r="F7918" i="1"/>
  <c r="B7918" i="1"/>
  <c r="F7917" i="1"/>
  <c r="B7917" i="1"/>
  <c r="F7916" i="1"/>
  <c r="B7916" i="1"/>
  <c r="F7915" i="1"/>
  <c r="B7915" i="1"/>
  <c r="F7914" i="1"/>
  <c r="B7914" i="1"/>
  <c r="F7913" i="1"/>
  <c r="B7913" i="1"/>
  <c r="F7912" i="1"/>
  <c r="B7912" i="1"/>
  <c r="F7911" i="1"/>
  <c r="B7911" i="1"/>
  <c r="F7910" i="1"/>
  <c r="B7910" i="1"/>
  <c r="F7909" i="1"/>
  <c r="B7909" i="1"/>
  <c r="F7908" i="1"/>
  <c r="B7908" i="1"/>
  <c r="F7907" i="1"/>
  <c r="B7907" i="1"/>
  <c r="F7906" i="1"/>
  <c r="B7906" i="1"/>
  <c r="F7905" i="1"/>
  <c r="B7905" i="1"/>
  <c r="F7904" i="1"/>
  <c r="B7904" i="1"/>
  <c r="F7903" i="1"/>
  <c r="B7903" i="1"/>
  <c r="F7902" i="1"/>
  <c r="B7902" i="1"/>
  <c r="F7901" i="1"/>
  <c r="B7901" i="1"/>
  <c r="F7900" i="1"/>
  <c r="B7900" i="1"/>
  <c r="F7899" i="1"/>
  <c r="B7899" i="1"/>
  <c r="F7898" i="1"/>
  <c r="B7898" i="1"/>
  <c r="F7897" i="1"/>
  <c r="B7897" i="1"/>
  <c r="F7896" i="1"/>
  <c r="B7896" i="1"/>
  <c r="F7895" i="1"/>
  <c r="B7895" i="1"/>
  <c r="F7894" i="1"/>
  <c r="B7894" i="1"/>
  <c r="F7893" i="1"/>
  <c r="B7893" i="1"/>
  <c r="F7892" i="1"/>
  <c r="B7892" i="1"/>
  <c r="F7891" i="1"/>
  <c r="B7891" i="1"/>
  <c r="F7890" i="1"/>
  <c r="B7890" i="1"/>
  <c r="F7889" i="1"/>
  <c r="B7889" i="1"/>
  <c r="F7888" i="1"/>
  <c r="B7888" i="1"/>
  <c r="F7887" i="1"/>
  <c r="B7887" i="1"/>
  <c r="F7886" i="1"/>
  <c r="B7886" i="1"/>
  <c r="F7885" i="1"/>
  <c r="B7885" i="1"/>
  <c r="F7884" i="1"/>
  <c r="B7884" i="1"/>
  <c r="F7883" i="1"/>
  <c r="B7883" i="1"/>
  <c r="F7882" i="1"/>
  <c r="B7882" i="1"/>
  <c r="F7881" i="1"/>
  <c r="B7881" i="1"/>
  <c r="F7880" i="1"/>
  <c r="B7880" i="1"/>
  <c r="F7879" i="1"/>
  <c r="B7879" i="1"/>
  <c r="F7878" i="1"/>
  <c r="B7878" i="1"/>
  <c r="F7877" i="1"/>
  <c r="B7877" i="1"/>
  <c r="F7876" i="1"/>
  <c r="B7876" i="1"/>
  <c r="F7875" i="1"/>
  <c r="B7875" i="1"/>
  <c r="F7874" i="1"/>
  <c r="B7874" i="1"/>
  <c r="F7873" i="1"/>
  <c r="B7873" i="1"/>
  <c r="F7872" i="1"/>
  <c r="B7872" i="1"/>
  <c r="F7871" i="1"/>
  <c r="B7871" i="1"/>
  <c r="F7870" i="1"/>
  <c r="B7870" i="1"/>
  <c r="F7869" i="1"/>
  <c r="B7869" i="1"/>
  <c r="F7868" i="1"/>
  <c r="B7868" i="1"/>
  <c r="F7867" i="1"/>
  <c r="B7867" i="1"/>
  <c r="F7866" i="1"/>
  <c r="B7866" i="1"/>
  <c r="F7865" i="1"/>
  <c r="B7865" i="1"/>
  <c r="F7864" i="1"/>
  <c r="B7864" i="1"/>
  <c r="F7863" i="1"/>
  <c r="B7863" i="1"/>
  <c r="F7862" i="1"/>
  <c r="B7862" i="1"/>
  <c r="F7861" i="1"/>
  <c r="B7861" i="1"/>
  <c r="F7860" i="1"/>
  <c r="B7860" i="1"/>
  <c r="F7859" i="1"/>
  <c r="B7859" i="1"/>
  <c r="F7858" i="1"/>
  <c r="B7858" i="1"/>
  <c r="F7857" i="1"/>
  <c r="B7857" i="1"/>
  <c r="F7856" i="1"/>
  <c r="B7856" i="1"/>
  <c r="F7855" i="1"/>
  <c r="B7855" i="1"/>
  <c r="F7854" i="1"/>
  <c r="B7854" i="1"/>
  <c r="F7853" i="1"/>
  <c r="B7853" i="1"/>
  <c r="F7852" i="1"/>
  <c r="B7852" i="1"/>
  <c r="F7851" i="1"/>
  <c r="B7851" i="1"/>
  <c r="F7850" i="1"/>
  <c r="B7850" i="1"/>
  <c r="F7849" i="1"/>
  <c r="B7849" i="1"/>
  <c r="F7848" i="1"/>
  <c r="B7848" i="1"/>
  <c r="F7847" i="1"/>
  <c r="B7847" i="1"/>
  <c r="F7846" i="1"/>
  <c r="B7846" i="1"/>
  <c r="F7845" i="1"/>
  <c r="B7845" i="1"/>
  <c r="F7844" i="1"/>
  <c r="B7844" i="1"/>
  <c r="F7843" i="1"/>
  <c r="B7843" i="1"/>
  <c r="F7842" i="1"/>
  <c r="B7842" i="1"/>
  <c r="F7841" i="1"/>
  <c r="B7841" i="1"/>
  <c r="F7840" i="1"/>
  <c r="B7840" i="1"/>
  <c r="F7839" i="1"/>
  <c r="B7839" i="1"/>
  <c r="F7838" i="1"/>
  <c r="B7838" i="1"/>
  <c r="F7837" i="1"/>
  <c r="B7837" i="1"/>
  <c r="F7836" i="1"/>
  <c r="B7836" i="1"/>
  <c r="F7835" i="1"/>
  <c r="B7835" i="1"/>
  <c r="F7834" i="1"/>
  <c r="B7834" i="1"/>
  <c r="F7833" i="1"/>
  <c r="B7833" i="1"/>
  <c r="F7832" i="1"/>
  <c r="B7832" i="1"/>
  <c r="F7831" i="1"/>
  <c r="B7831" i="1"/>
  <c r="F7830" i="1"/>
  <c r="B7830" i="1"/>
  <c r="F7829" i="1"/>
  <c r="B7829" i="1"/>
  <c r="F7828" i="1"/>
  <c r="B7828" i="1"/>
  <c r="F7827" i="1"/>
  <c r="B7827" i="1"/>
  <c r="F7826" i="1"/>
  <c r="B7826" i="1"/>
  <c r="F7825" i="1"/>
  <c r="B7825" i="1"/>
  <c r="F7824" i="1"/>
  <c r="B7824" i="1"/>
  <c r="F7823" i="1"/>
  <c r="B7823" i="1"/>
  <c r="F7822" i="1"/>
  <c r="B7822" i="1"/>
  <c r="F7821" i="1"/>
  <c r="B7821" i="1"/>
  <c r="F7820" i="1"/>
  <c r="B7820" i="1"/>
  <c r="F7819" i="1"/>
  <c r="B7819" i="1"/>
  <c r="F7818" i="1"/>
  <c r="B7818" i="1"/>
  <c r="F7817" i="1"/>
  <c r="B7817" i="1"/>
  <c r="F7816" i="1"/>
  <c r="B7816" i="1"/>
  <c r="F7815" i="1"/>
  <c r="B7815" i="1"/>
  <c r="F7814" i="1"/>
  <c r="B7814" i="1"/>
  <c r="F7813" i="1"/>
  <c r="B7813" i="1"/>
  <c r="F7812" i="1"/>
  <c r="B7812" i="1"/>
  <c r="F7811" i="1"/>
  <c r="B7811" i="1"/>
  <c r="F7810" i="1"/>
  <c r="B7810" i="1"/>
  <c r="F7809" i="1"/>
  <c r="B7809" i="1"/>
  <c r="F7808" i="1"/>
  <c r="B7808" i="1"/>
  <c r="F7807" i="1"/>
  <c r="B7807" i="1"/>
  <c r="F7806" i="1"/>
  <c r="B7806" i="1"/>
  <c r="F7805" i="1"/>
  <c r="B7805" i="1"/>
  <c r="F7804" i="1"/>
  <c r="B7804" i="1"/>
  <c r="F7803" i="1"/>
  <c r="B7803" i="1"/>
  <c r="F7802" i="1"/>
  <c r="B7802" i="1"/>
  <c r="F7801" i="1"/>
  <c r="B7801" i="1"/>
  <c r="F7800" i="1"/>
  <c r="B7800" i="1"/>
  <c r="F7799" i="1"/>
  <c r="B7799" i="1"/>
  <c r="F7798" i="1"/>
  <c r="B7798" i="1"/>
  <c r="F7797" i="1"/>
  <c r="B7797" i="1"/>
  <c r="F7796" i="1"/>
  <c r="B7796" i="1"/>
  <c r="F7795" i="1"/>
  <c r="B7795" i="1"/>
  <c r="F7794" i="1"/>
  <c r="B7794" i="1"/>
  <c r="F7793" i="1"/>
  <c r="B7793" i="1"/>
  <c r="F7792" i="1"/>
  <c r="B7792" i="1"/>
  <c r="F7791" i="1"/>
  <c r="B7791" i="1"/>
  <c r="F7790" i="1"/>
  <c r="B7790" i="1"/>
  <c r="F7789" i="1"/>
  <c r="B7789" i="1"/>
  <c r="F7788" i="1"/>
  <c r="B7788" i="1"/>
  <c r="F7787" i="1"/>
  <c r="B7787" i="1"/>
  <c r="F7786" i="1"/>
  <c r="B7786" i="1"/>
  <c r="F7785" i="1"/>
  <c r="B7785" i="1"/>
  <c r="F7784" i="1"/>
  <c r="B7784" i="1"/>
  <c r="F7783" i="1"/>
  <c r="B7783" i="1"/>
  <c r="F7782" i="1"/>
  <c r="B7782" i="1"/>
  <c r="F7781" i="1"/>
  <c r="B7781" i="1"/>
  <c r="F7780" i="1"/>
  <c r="B7780" i="1"/>
  <c r="F7779" i="1"/>
  <c r="B7779" i="1"/>
  <c r="F7778" i="1"/>
  <c r="B7778" i="1"/>
  <c r="F7777" i="1"/>
  <c r="B7777" i="1"/>
  <c r="F7776" i="1"/>
  <c r="B7776" i="1"/>
  <c r="F7775" i="1"/>
  <c r="B7775" i="1"/>
  <c r="F7774" i="1"/>
  <c r="B7774" i="1"/>
  <c r="F7773" i="1"/>
  <c r="B7773" i="1"/>
  <c r="F7772" i="1"/>
  <c r="B7772" i="1"/>
  <c r="F7771" i="1"/>
  <c r="B7771" i="1"/>
  <c r="F7770" i="1"/>
  <c r="B7770" i="1"/>
  <c r="F7769" i="1"/>
  <c r="B7769" i="1"/>
  <c r="F7768" i="1"/>
  <c r="B7768" i="1"/>
  <c r="F7767" i="1"/>
  <c r="B7767" i="1"/>
  <c r="F7766" i="1"/>
  <c r="B7766" i="1"/>
  <c r="F7765" i="1"/>
  <c r="B7765" i="1"/>
  <c r="F7764" i="1"/>
  <c r="B7764" i="1"/>
  <c r="F7763" i="1"/>
  <c r="B7763" i="1"/>
  <c r="F7762" i="1"/>
  <c r="B7762" i="1"/>
  <c r="F7761" i="1"/>
  <c r="B7761" i="1"/>
  <c r="F7760" i="1"/>
  <c r="B7760" i="1"/>
  <c r="F7759" i="1"/>
  <c r="B7759" i="1"/>
  <c r="F7758" i="1"/>
  <c r="B7758" i="1"/>
  <c r="F7757" i="1"/>
  <c r="B7757" i="1"/>
  <c r="F7756" i="1"/>
  <c r="B7756" i="1"/>
  <c r="F7755" i="1"/>
  <c r="B7755" i="1"/>
  <c r="F7754" i="1"/>
  <c r="B7754" i="1"/>
  <c r="F7753" i="1"/>
  <c r="B7753" i="1"/>
  <c r="F7752" i="1"/>
  <c r="B7752" i="1"/>
  <c r="F7751" i="1"/>
  <c r="B7751" i="1"/>
  <c r="F7750" i="1"/>
  <c r="B7750" i="1"/>
  <c r="F7749" i="1"/>
  <c r="B7749" i="1"/>
  <c r="F7748" i="1"/>
  <c r="B7748" i="1"/>
  <c r="F7747" i="1"/>
  <c r="B7747" i="1"/>
  <c r="F7746" i="1"/>
  <c r="B7746" i="1"/>
  <c r="F7745" i="1"/>
  <c r="B7745" i="1"/>
  <c r="F7744" i="1"/>
  <c r="B7744" i="1"/>
  <c r="F7743" i="1"/>
  <c r="B7743" i="1"/>
  <c r="F7742" i="1"/>
  <c r="B7742" i="1"/>
  <c r="F7741" i="1"/>
  <c r="B7741" i="1"/>
  <c r="F7740" i="1"/>
  <c r="B7740" i="1"/>
  <c r="F7739" i="1"/>
  <c r="B7739" i="1"/>
  <c r="F7738" i="1"/>
  <c r="B7738" i="1"/>
  <c r="F7737" i="1"/>
  <c r="B7737" i="1"/>
  <c r="F7736" i="1"/>
  <c r="B7736" i="1"/>
  <c r="F7735" i="1"/>
  <c r="B7735" i="1"/>
  <c r="F7734" i="1"/>
  <c r="B7734" i="1"/>
  <c r="F7733" i="1"/>
  <c r="B7733" i="1"/>
  <c r="F7732" i="1"/>
  <c r="B7732" i="1"/>
  <c r="F7731" i="1"/>
  <c r="B7731" i="1"/>
  <c r="F7730" i="1"/>
  <c r="B7730" i="1"/>
  <c r="F7729" i="1"/>
  <c r="B7729" i="1"/>
  <c r="F7728" i="1"/>
  <c r="B7728" i="1"/>
  <c r="F7727" i="1"/>
  <c r="B7727" i="1"/>
  <c r="F7726" i="1"/>
  <c r="B7726" i="1"/>
  <c r="F7725" i="1"/>
  <c r="B7725" i="1"/>
  <c r="F7724" i="1"/>
  <c r="B7724" i="1"/>
  <c r="F7723" i="1"/>
  <c r="B7723" i="1"/>
  <c r="F7722" i="1"/>
  <c r="B7722" i="1"/>
  <c r="F7721" i="1"/>
  <c r="B7721" i="1"/>
  <c r="F7720" i="1"/>
  <c r="B7720" i="1"/>
  <c r="F7719" i="1"/>
  <c r="B7719" i="1"/>
  <c r="F7718" i="1"/>
  <c r="B7718" i="1"/>
  <c r="F7717" i="1"/>
  <c r="B7717" i="1"/>
  <c r="F7716" i="1"/>
  <c r="B7716" i="1"/>
  <c r="F7715" i="1"/>
  <c r="B7715" i="1"/>
  <c r="F7714" i="1"/>
  <c r="B7714" i="1"/>
  <c r="F7713" i="1"/>
  <c r="B7713" i="1"/>
  <c r="F7712" i="1"/>
  <c r="B7712" i="1"/>
  <c r="F7711" i="1"/>
  <c r="B7711" i="1"/>
  <c r="F7710" i="1"/>
  <c r="B7710" i="1"/>
  <c r="F7709" i="1"/>
  <c r="B7709" i="1"/>
  <c r="F7708" i="1"/>
  <c r="B7708" i="1"/>
  <c r="F7707" i="1"/>
  <c r="B7707" i="1"/>
  <c r="F7706" i="1"/>
  <c r="B7706" i="1"/>
  <c r="F7705" i="1"/>
  <c r="B7705" i="1"/>
  <c r="F7704" i="1"/>
  <c r="B7704" i="1"/>
  <c r="F7703" i="1"/>
  <c r="B7703" i="1"/>
  <c r="F7702" i="1"/>
  <c r="B7702" i="1"/>
  <c r="F7701" i="1"/>
  <c r="B7701" i="1"/>
  <c r="F7700" i="1"/>
  <c r="B7700" i="1"/>
  <c r="F7699" i="1"/>
  <c r="B7699" i="1"/>
  <c r="F7698" i="1"/>
  <c r="B7698" i="1"/>
  <c r="F7697" i="1"/>
  <c r="B7697" i="1"/>
  <c r="F7696" i="1"/>
  <c r="B7696" i="1"/>
  <c r="F7695" i="1"/>
  <c r="B7695" i="1"/>
  <c r="F7694" i="1"/>
  <c r="B7694" i="1"/>
  <c r="F7693" i="1"/>
  <c r="B7693" i="1"/>
  <c r="F7692" i="1"/>
  <c r="B7692" i="1"/>
  <c r="F7691" i="1"/>
  <c r="B7691" i="1"/>
  <c r="F7690" i="1"/>
  <c r="B7690" i="1"/>
  <c r="F7689" i="1"/>
  <c r="B7689" i="1"/>
  <c r="F7688" i="1"/>
  <c r="B7688" i="1"/>
  <c r="F7687" i="1"/>
  <c r="B7687" i="1"/>
  <c r="F7686" i="1"/>
  <c r="B7686" i="1"/>
  <c r="F7685" i="1"/>
  <c r="B7685" i="1"/>
  <c r="F7684" i="1"/>
  <c r="B7684" i="1"/>
  <c r="F7683" i="1"/>
  <c r="B7683" i="1"/>
  <c r="F7682" i="1"/>
  <c r="B7682" i="1"/>
  <c r="F7681" i="1"/>
  <c r="B7681" i="1"/>
  <c r="F7680" i="1"/>
  <c r="B7680" i="1"/>
  <c r="F7679" i="1"/>
  <c r="B7679" i="1"/>
  <c r="F7678" i="1"/>
  <c r="B7678" i="1"/>
  <c r="F7677" i="1"/>
  <c r="B7677" i="1"/>
  <c r="F7676" i="1"/>
  <c r="B7676" i="1"/>
  <c r="F7675" i="1"/>
  <c r="B7675" i="1"/>
  <c r="F7674" i="1"/>
  <c r="B7674" i="1"/>
  <c r="F7673" i="1"/>
  <c r="B7673" i="1"/>
  <c r="F7672" i="1"/>
  <c r="B7672" i="1"/>
  <c r="F7671" i="1"/>
  <c r="B7671" i="1"/>
  <c r="F7670" i="1"/>
  <c r="B7670" i="1"/>
  <c r="F7669" i="1"/>
  <c r="B7669" i="1"/>
  <c r="F7668" i="1"/>
  <c r="B7668" i="1"/>
  <c r="F7667" i="1"/>
  <c r="B7667" i="1"/>
  <c r="F7666" i="1"/>
  <c r="B7666" i="1"/>
  <c r="F7665" i="1"/>
  <c r="B7665" i="1"/>
  <c r="F7664" i="1"/>
  <c r="B7664" i="1"/>
  <c r="F7663" i="1"/>
  <c r="B7663" i="1"/>
  <c r="F7662" i="1"/>
  <c r="B7662" i="1"/>
  <c r="F7661" i="1"/>
  <c r="B7661" i="1"/>
  <c r="F7660" i="1"/>
  <c r="B7660" i="1"/>
  <c r="F7659" i="1"/>
  <c r="B7659" i="1"/>
  <c r="F7658" i="1"/>
  <c r="B7658" i="1"/>
  <c r="F7657" i="1"/>
  <c r="B7657" i="1"/>
  <c r="F7656" i="1"/>
  <c r="B7656" i="1"/>
  <c r="F7655" i="1"/>
  <c r="B7655" i="1"/>
  <c r="F7654" i="1"/>
  <c r="B7654" i="1"/>
  <c r="F7653" i="1"/>
  <c r="B7653" i="1"/>
  <c r="F7652" i="1"/>
  <c r="B7652" i="1"/>
  <c r="F7651" i="1"/>
  <c r="B7651" i="1"/>
  <c r="F7650" i="1"/>
  <c r="B7650" i="1"/>
  <c r="F7649" i="1"/>
  <c r="B7649" i="1"/>
  <c r="F7648" i="1"/>
  <c r="B7648" i="1"/>
  <c r="F7647" i="1"/>
  <c r="B7647" i="1"/>
  <c r="F7646" i="1"/>
  <c r="B7646" i="1"/>
  <c r="F7645" i="1"/>
  <c r="B7645" i="1"/>
  <c r="F7644" i="1"/>
  <c r="B7644" i="1"/>
  <c r="F7643" i="1"/>
  <c r="B7643" i="1"/>
  <c r="F7642" i="1"/>
  <c r="B7642" i="1"/>
  <c r="F7641" i="1"/>
  <c r="B7641" i="1"/>
  <c r="F7640" i="1"/>
  <c r="B7640" i="1"/>
  <c r="F7639" i="1"/>
  <c r="B7639" i="1"/>
  <c r="F7638" i="1"/>
  <c r="B7638" i="1"/>
  <c r="F7637" i="1"/>
  <c r="B7637" i="1"/>
  <c r="F7636" i="1"/>
  <c r="B7636" i="1"/>
  <c r="F7635" i="1"/>
  <c r="B7635" i="1"/>
  <c r="F7634" i="1"/>
  <c r="B7634" i="1"/>
  <c r="F7633" i="1"/>
  <c r="B7633" i="1"/>
  <c r="F7632" i="1"/>
  <c r="B7632" i="1"/>
  <c r="F7631" i="1"/>
  <c r="B7631" i="1"/>
  <c r="F7630" i="1"/>
  <c r="B7630" i="1"/>
  <c r="F7629" i="1"/>
  <c r="B7629" i="1"/>
  <c r="F7628" i="1"/>
  <c r="B7628" i="1"/>
  <c r="F7627" i="1"/>
  <c r="B7627" i="1"/>
  <c r="F7626" i="1"/>
  <c r="B7626" i="1"/>
  <c r="F7625" i="1"/>
  <c r="B7625" i="1"/>
  <c r="F7624" i="1"/>
  <c r="B7624" i="1"/>
  <c r="F7623" i="1"/>
  <c r="B7623" i="1"/>
  <c r="F7622" i="1"/>
  <c r="B7622" i="1"/>
  <c r="F7621" i="1"/>
  <c r="B7621" i="1"/>
  <c r="F7620" i="1"/>
  <c r="B7620" i="1"/>
  <c r="F7619" i="1"/>
  <c r="B7619" i="1"/>
  <c r="F7618" i="1"/>
  <c r="B7618" i="1"/>
  <c r="F7617" i="1"/>
  <c r="B7617" i="1"/>
  <c r="F7616" i="1"/>
  <c r="B7616" i="1"/>
  <c r="F7615" i="1"/>
  <c r="B7615" i="1"/>
  <c r="F7614" i="1"/>
  <c r="B7614" i="1"/>
  <c r="F7613" i="1"/>
  <c r="B7613" i="1"/>
  <c r="F7612" i="1"/>
  <c r="B7612" i="1"/>
  <c r="F7611" i="1"/>
  <c r="B7611" i="1"/>
  <c r="F7610" i="1"/>
  <c r="B7610" i="1"/>
  <c r="F7609" i="1"/>
  <c r="B7609" i="1"/>
  <c r="F7608" i="1"/>
  <c r="B7608" i="1"/>
  <c r="F7607" i="1"/>
  <c r="B7607" i="1"/>
  <c r="F7606" i="1"/>
  <c r="B7606" i="1"/>
  <c r="F7605" i="1"/>
  <c r="B7605" i="1"/>
  <c r="F7604" i="1"/>
  <c r="B7604" i="1"/>
  <c r="F7603" i="1"/>
  <c r="B7603" i="1"/>
  <c r="F7602" i="1"/>
  <c r="B7602" i="1"/>
  <c r="F7601" i="1"/>
  <c r="B7601" i="1"/>
  <c r="F7600" i="1"/>
  <c r="B7600" i="1"/>
  <c r="F7599" i="1"/>
  <c r="B7599" i="1"/>
  <c r="F7598" i="1"/>
  <c r="B7598" i="1"/>
  <c r="F7597" i="1"/>
  <c r="B7597" i="1"/>
  <c r="F7596" i="1"/>
  <c r="B7596" i="1"/>
  <c r="F7595" i="1"/>
  <c r="B7595" i="1"/>
  <c r="F7594" i="1"/>
  <c r="B7594" i="1"/>
  <c r="F7593" i="1"/>
  <c r="B7593" i="1"/>
  <c r="F7592" i="1"/>
  <c r="B7592" i="1"/>
  <c r="F7591" i="1"/>
  <c r="B7591" i="1"/>
  <c r="F7590" i="1"/>
  <c r="B7590" i="1"/>
  <c r="F7589" i="1"/>
  <c r="B7589" i="1"/>
  <c r="F7588" i="1"/>
  <c r="B7588" i="1"/>
  <c r="F7587" i="1"/>
  <c r="B7587" i="1"/>
  <c r="F7586" i="1"/>
  <c r="B7586" i="1"/>
  <c r="F7585" i="1"/>
  <c r="B7585" i="1"/>
  <c r="F7584" i="1"/>
  <c r="B7584" i="1"/>
  <c r="F7583" i="1"/>
  <c r="B7583" i="1"/>
  <c r="F7582" i="1"/>
  <c r="B7582" i="1"/>
  <c r="F7581" i="1"/>
  <c r="B7581" i="1"/>
  <c r="F7580" i="1"/>
  <c r="B7580" i="1"/>
  <c r="F7579" i="1"/>
  <c r="B7579" i="1"/>
  <c r="F7578" i="1"/>
  <c r="B7578" i="1"/>
  <c r="F7577" i="1"/>
  <c r="B7577" i="1"/>
  <c r="F7576" i="1"/>
  <c r="B7576" i="1"/>
  <c r="F7575" i="1"/>
  <c r="B7575" i="1"/>
  <c r="F7574" i="1"/>
  <c r="B7574" i="1"/>
  <c r="F7573" i="1"/>
  <c r="B7573" i="1"/>
  <c r="F7572" i="1"/>
  <c r="B7572" i="1"/>
  <c r="F7571" i="1"/>
  <c r="B7571" i="1"/>
  <c r="F7570" i="1"/>
  <c r="B7570" i="1"/>
  <c r="F7569" i="1"/>
  <c r="B7569" i="1"/>
  <c r="F7568" i="1"/>
  <c r="B7568" i="1"/>
  <c r="F7567" i="1"/>
  <c r="B7567" i="1"/>
  <c r="F7566" i="1"/>
  <c r="B7566" i="1"/>
  <c r="F7565" i="1"/>
  <c r="B7565" i="1"/>
  <c r="F7564" i="1"/>
  <c r="B7564" i="1"/>
  <c r="F7563" i="1"/>
  <c r="B7563" i="1"/>
  <c r="F7562" i="1"/>
  <c r="B7562" i="1"/>
  <c r="F7561" i="1"/>
  <c r="B7561" i="1"/>
  <c r="F7560" i="1"/>
  <c r="B7560" i="1"/>
  <c r="F7559" i="1"/>
  <c r="B7559" i="1"/>
  <c r="F7558" i="1"/>
  <c r="B7558" i="1"/>
  <c r="F7557" i="1"/>
  <c r="B7557" i="1"/>
  <c r="F7556" i="1"/>
  <c r="B7556" i="1"/>
  <c r="F7555" i="1"/>
  <c r="B7555" i="1"/>
  <c r="F7554" i="1"/>
  <c r="B7554" i="1"/>
  <c r="F7553" i="1"/>
  <c r="B7553" i="1"/>
  <c r="F7552" i="1"/>
  <c r="B7552" i="1"/>
  <c r="F7551" i="1"/>
  <c r="B7551" i="1"/>
  <c r="F7550" i="1"/>
  <c r="B7550" i="1"/>
  <c r="F7549" i="1"/>
  <c r="B7549" i="1"/>
  <c r="F7548" i="1"/>
  <c r="B7548" i="1"/>
  <c r="F7547" i="1"/>
  <c r="B7547" i="1"/>
  <c r="F7546" i="1"/>
  <c r="B7546" i="1"/>
  <c r="F7545" i="1"/>
  <c r="B7545" i="1"/>
  <c r="F7544" i="1"/>
  <c r="B7544" i="1"/>
  <c r="F7543" i="1"/>
  <c r="B7543" i="1"/>
  <c r="F7542" i="1"/>
  <c r="B7542" i="1"/>
  <c r="F7541" i="1"/>
  <c r="B7541" i="1"/>
  <c r="F7540" i="1"/>
  <c r="B7540" i="1"/>
  <c r="F7539" i="1"/>
  <c r="B7539" i="1"/>
  <c r="F7538" i="1"/>
  <c r="B7538" i="1"/>
  <c r="F7537" i="1"/>
  <c r="B7537" i="1"/>
  <c r="F7536" i="1"/>
  <c r="B7536" i="1"/>
  <c r="F7535" i="1"/>
  <c r="B7535" i="1"/>
  <c r="F7534" i="1"/>
  <c r="B7534" i="1"/>
  <c r="F7533" i="1"/>
  <c r="B7533" i="1"/>
  <c r="F7532" i="1"/>
  <c r="B7532" i="1"/>
  <c r="F7531" i="1"/>
  <c r="B7531" i="1"/>
  <c r="F7530" i="1"/>
  <c r="B7530" i="1"/>
  <c r="F7529" i="1"/>
  <c r="B7529" i="1"/>
  <c r="F7528" i="1"/>
  <c r="B7528" i="1"/>
  <c r="F7527" i="1"/>
  <c r="B7527" i="1"/>
  <c r="F7526" i="1"/>
  <c r="B7526" i="1"/>
  <c r="F7525" i="1"/>
  <c r="B7525" i="1"/>
  <c r="F7524" i="1"/>
  <c r="B7524" i="1"/>
  <c r="F7523" i="1"/>
  <c r="B7523" i="1"/>
  <c r="F7522" i="1"/>
  <c r="B7522" i="1"/>
  <c r="F7521" i="1"/>
  <c r="B7521" i="1"/>
  <c r="F7520" i="1"/>
  <c r="B7520" i="1"/>
  <c r="F7519" i="1"/>
  <c r="B7519" i="1"/>
  <c r="F7518" i="1"/>
  <c r="B7518" i="1"/>
  <c r="F7517" i="1"/>
  <c r="B7517" i="1"/>
  <c r="F7516" i="1"/>
  <c r="B7516" i="1"/>
  <c r="F7515" i="1"/>
  <c r="B7515" i="1"/>
  <c r="F7514" i="1"/>
  <c r="B7514" i="1"/>
  <c r="F7513" i="1"/>
  <c r="B7513" i="1"/>
  <c r="F7512" i="1"/>
  <c r="B7512" i="1"/>
  <c r="F7511" i="1"/>
  <c r="B7511" i="1"/>
  <c r="F7510" i="1"/>
  <c r="B7510" i="1"/>
  <c r="F7509" i="1"/>
  <c r="B7509" i="1"/>
  <c r="F7508" i="1"/>
  <c r="B7508" i="1"/>
  <c r="F7507" i="1"/>
  <c r="B7507" i="1"/>
  <c r="F7506" i="1"/>
  <c r="B7506" i="1"/>
  <c r="F7505" i="1"/>
  <c r="B7505" i="1"/>
  <c r="F7504" i="1"/>
  <c r="B7504" i="1"/>
  <c r="F7503" i="1"/>
  <c r="B7503" i="1"/>
  <c r="F7502" i="1"/>
  <c r="B7502" i="1"/>
  <c r="F7501" i="1"/>
  <c r="B7501" i="1"/>
  <c r="F7500" i="1"/>
  <c r="B7500" i="1"/>
  <c r="F7499" i="1"/>
  <c r="B7499" i="1"/>
  <c r="F7498" i="1"/>
  <c r="B7498" i="1"/>
  <c r="F7497" i="1"/>
  <c r="B7497" i="1"/>
  <c r="F7496" i="1"/>
  <c r="B7496" i="1"/>
  <c r="F7495" i="1"/>
  <c r="B7495" i="1"/>
  <c r="F7494" i="1"/>
  <c r="B7494" i="1"/>
  <c r="F7493" i="1"/>
  <c r="B7493" i="1"/>
  <c r="F7492" i="1"/>
  <c r="B7492" i="1"/>
  <c r="F7491" i="1"/>
  <c r="B7491" i="1"/>
  <c r="F7490" i="1"/>
  <c r="B7490" i="1"/>
  <c r="F7489" i="1"/>
  <c r="B7489" i="1"/>
  <c r="F7488" i="1"/>
  <c r="B7488" i="1"/>
  <c r="F7487" i="1"/>
  <c r="B7487" i="1"/>
  <c r="F7486" i="1"/>
  <c r="B7486" i="1"/>
  <c r="F7485" i="1"/>
  <c r="B7485" i="1"/>
  <c r="F7484" i="1"/>
  <c r="B7484" i="1"/>
  <c r="F7483" i="1"/>
  <c r="B7483" i="1"/>
  <c r="F7482" i="1"/>
  <c r="B7482" i="1"/>
  <c r="F7481" i="1"/>
  <c r="B7481" i="1"/>
  <c r="F7480" i="1"/>
  <c r="B7480" i="1"/>
  <c r="F7479" i="1"/>
  <c r="B7479" i="1"/>
  <c r="F7478" i="1"/>
  <c r="B7478" i="1"/>
  <c r="F7477" i="1"/>
  <c r="B7477" i="1"/>
  <c r="F7476" i="1"/>
  <c r="B7476" i="1"/>
  <c r="F7475" i="1"/>
  <c r="B7475" i="1"/>
  <c r="F7474" i="1"/>
  <c r="B7474" i="1"/>
  <c r="F7473" i="1"/>
  <c r="B7473" i="1"/>
  <c r="F7472" i="1"/>
  <c r="B7472" i="1"/>
  <c r="F7471" i="1"/>
  <c r="B7471" i="1"/>
  <c r="F7470" i="1"/>
  <c r="B7470" i="1"/>
  <c r="F7469" i="1"/>
  <c r="B7469" i="1"/>
  <c r="F7468" i="1"/>
  <c r="B7468" i="1"/>
  <c r="F7467" i="1"/>
  <c r="B7467" i="1"/>
  <c r="F7466" i="1"/>
  <c r="B7466" i="1"/>
  <c r="F7465" i="1"/>
  <c r="B7465" i="1"/>
  <c r="F7464" i="1"/>
  <c r="B7464" i="1"/>
  <c r="F7463" i="1"/>
  <c r="B7463" i="1"/>
  <c r="F7462" i="1"/>
  <c r="B7462" i="1"/>
  <c r="F7461" i="1"/>
  <c r="B7461" i="1"/>
  <c r="F7460" i="1"/>
  <c r="B7460" i="1"/>
  <c r="F7459" i="1"/>
  <c r="B7459" i="1"/>
  <c r="F7458" i="1"/>
  <c r="B7458" i="1"/>
  <c r="F7457" i="1"/>
  <c r="B7457" i="1"/>
  <c r="F7456" i="1"/>
  <c r="B7456" i="1"/>
  <c r="F7455" i="1"/>
  <c r="B7455" i="1"/>
  <c r="F7454" i="1"/>
  <c r="B7454" i="1"/>
  <c r="F7453" i="1"/>
  <c r="B7453" i="1"/>
  <c r="F7452" i="1"/>
  <c r="B7452" i="1"/>
  <c r="F7451" i="1"/>
  <c r="B7451" i="1"/>
  <c r="F7450" i="1"/>
  <c r="B7450" i="1"/>
  <c r="F7449" i="1"/>
  <c r="B7449" i="1"/>
  <c r="F7448" i="1"/>
  <c r="B7448" i="1"/>
  <c r="F7447" i="1"/>
  <c r="B7447" i="1"/>
  <c r="F7446" i="1"/>
  <c r="B7446" i="1"/>
  <c r="F7445" i="1"/>
  <c r="B7445" i="1"/>
  <c r="F7444" i="1"/>
  <c r="B7444" i="1"/>
  <c r="F7443" i="1"/>
  <c r="B7443" i="1"/>
  <c r="F7442" i="1"/>
  <c r="B7442" i="1"/>
  <c r="F7441" i="1"/>
  <c r="B7441" i="1"/>
  <c r="F7440" i="1"/>
  <c r="B7440" i="1"/>
  <c r="F7439" i="1"/>
  <c r="B7439" i="1"/>
  <c r="F7438" i="1"/>
  <c r="B7438" i="1"/>
  <c r="F7437" i="1"/>
  <c r="B7437" i="1"/>
  <c r="F7436" i="1"/>
  <c r="B7436" i="1"/>
  <c r="F7435" i="1"/>
  <c r="B7435" i="1"/>
  <c r="F7434" i="1"/>
  <c r="B7434" i="1"/>
  <c r="F7433" i="1"/>
  <c r="B7433" i="1"/>
  <c r="F7432" i="1"/>
  <c r="B7432" i="1"/>
  <c r="F7431" i="1"/>
  <c r="B7431" i="1"/>
  <c r="F7430" i="1"/>
  <c r="B7430" i="1"/>
  <c r="F7429" i="1"/>
  <c r="B7429" i="1"/>
  <c r="F7428" i="1"/>
  <c r="B7428" i="1"/>
  <c r="F7427" i="1"/>
  <c r="B7427" i="1"/>
  <c r="F7426" i="1"/>
  <c r="B7426" i="1"/>
  <c r="F7425" i="1"/>
  <c r="B7425" i="1"/>
  <c r="F7424" i="1"/>
  <c r="B7424" i="1"/>
  <c r="F7423" i="1"/>
  <c r="B7423" i="1"/>
  <c r="F7422" i="1"/>
  <c r="B7422" i="1"/>
  <c r="F7421" i="1"/>
  <c r="B7421" i="1"/>
  <c r="F7420" i="1"/>
  <c r="B7420" i="1"/>
  <c r="F7419" i="1"/>
  <c r="B7419" i="1"/>
  <c r="F7418" i="1"/>
  <c r="B7418" i="1"/>
  <c r="F7417" i="1"/>
  <c r="B7417" i="1"/>
  <c r="F7416" i="1"/>
  <c r="B7416" i="1"/>
  <c r="F7415" i="1"/>
  <c r="B7415" i="1"/>
  <c r="F7414" i="1"/>
  <c r="B7414" i="1"/>
  <c r="F7413" i="1"/>
  <c r="B7413" i="1"/>
  <c r="F7412" i="1"/>
  <c r="B7412" i="1"/>
  <c r="F7411" i="1"/>
  <c r="B7411" i="1"/>
  <c r="F7410" i="1"/>
  <c r="B7410" i="1"/>
  <c r="F7409" i="1"/>
  <c r="B7409" i="1"/>
  <c r="F7408" i="1"/>
  <c r="B7408" i="1"/>
  <c r="F7407" i="1"/>
  <c r="B7407" i="1"/>
  <c r="F7406" i="1"/>
  <c r="B7406" i="1"/>
  <c r="F7405" i="1"/>
  <c r="B7405" i="1"/>
  <c r="F7404" i="1"/>
  <c r="B7404" i="1"/>
  <c r="F7403" i="1"/>
  <c r="B7403" i="1"/>
  <c r="F7402" i="1"/>
  <c r="B7402" i="1"/>
  <c r="F7401" i="1"/>
  <c r="B7401" i="1"/>
  <c r="F7400" i="1"/>
  <c r="B7400" i="1"/>
  <c r="F7399" i="1"/>
  <c r="B7399" i="1"/>
  <c r="F7398" i="1"/>
  <c r="F7397" i="1"/>
  <c r="F7396" i="1"/>
  <c r="F7395" i="1"/>
  <c r="B7395" i="1"/>
  <c r="F7394" i="1"/>
  <c r="B7394" i="1"/>
  <c r="F7393" i="1"/>
  <c r="B7393" i="1"/>
  <c r="F7392" i="1"/>
  <c r="B7392" i="1"/>
  <c r="F7391" i="1"/>
  <c r="B7391" i="1"/>
  <c r="F7390" i="1"/>
  <c r="B7390" i="1"/>
  <c r="F7389" i="1"/>
  <c r="B7389" i="1"/>
  <c r="F7388" i="1"/>
  <c r="B7388" i="1"/>
  <c r="F7387" i="1"/>
  <c r="B7387" i="1"/>
  <c r="F7386" i="1"/>
  <c r="B7386" i="1"/>
  <c r="F7385" i="1"/>
  <c r="B7385" i="1"/>
  <c r="F7384" i="1"/>
  <c r="B7384" i="1"/>
  <c r="F7383" i="1"/>
  <c r="B7383" i="1"/>
  <c r="F7382" i="1"/>
  <c r="B7382" i="1"/>
  <c r="F7381" i="1"/>
  <c r="B7381" i="1"/>
  <c r="F7380" i="1"/>
  <c r="B7380" i="1"/>
  <c r="F7379" i="1"/>
  <c r="B7379" i="1"/>
  <c r="F7378" i="1"/>
  <c r="B7378" i="1"/>
  <c r="F7377" i="1"/>
  <c r="B7377" i="1"/>
  <c r="F7376" i="1"/>
  <c r="B7376" i="1"/>
  <c r="F7375" i="1"/>
  <c r="B7375" i="1"/>
  <c r="F7374" i="1"/>
  <c r="B7374" i="1"/>
  <c r="F7373" i="1"/>
  <c r="B7373" i="1"/>
  <c r="F7372" i="1"/>
  <c r="B7372" i="1"/>
  <c r="F7371" i="1"/>
  <c r="B7371" i="1"/>
  <c r="F7370" i="1"/>
  <c r="B7370" i="1"/>
  <c r="F7369" i="1"/>
  <c r="B7369" i="1"/>
  <c r="F7368" i="1"/>
  <c r="B7368" i="1"/>
  <c r="F7367" i="1"/>
  <c r="B7367" i="1"/>
  <c r="F7366" i="1"/>
  <c r="B7366" i="1"/>
  <c r="F7365" i="1"/>
  <c r="B7365" i="1"/>
  <c r="F7364" i="1"/>
  <c r="B7364" i="1"/>
  <c r="F7363" i="1"/>
  <c r="B7363" i="1"/>
  <c r="F7362" i="1"/>
  <c r="B7362" i="1"/>
  <c r="F7361" i="1"/>
  <c r="B7361" i="1"/>
  <c r="F7360" i="1"/>
  <c r="B7360" i="1"/>
  <c r="F7359" i="1"/>
  <c r="B7359" i="1"/>
  <c r="F7358" i="1"/>
  <c r="B7358" i="1"/>
  <c r="F7357" i="1"/>
  <c r="B7357" i="1"/>
  <c r="F7356" i="1"/>
  <c r="B7356" i="1"/>
  <c r="F7355" i="1"/>
  <c r="B7355" i="1"/>
  <c r="F7354" i="1"/>
  <c r="B7354" i="1"/>
  <c r="F7353" i="1"/>
  <c r="B7353" i="1"/>
  <c r="F7352" i="1"/>
  <c r="B7352" i="1"/>
  <c r="F7351" i="1"/>
  <c r="B7351" i="1"/>
  <c r="F7350" i="1"/>
  <c r="B7350" i="1"/>
  <c r="F7349" i="1"/>
  <c r="B7349" i="1"/>
  <c r="F7348" i="1"/>
  <c r="B7348" i="1"/>
  <c r="F7347" i="1"/>
  <c r="B7347" i="1"/>
  <c r="F7346" i="1"/>
  <c r="B7346" i="1"/>
  <c r="F7345" i="1"/>
  <c r="B7345" i="1"/>
  <c r="F7344" i="1"/>
  <c r="B7344" i="1"/>
  <c r="F7343" i="1"/>
  <c r="B7343" i="1"/>
  <c r="F7342" i="1"/>
  <c r="B7342" i="1"/>
  <c r="F7341" i="1"/>
  <c r="B7341" i="1"/>
  <c r="F7340" i="1"/>
  <c r="B7340" i="1"/>
  <c r="F7339" i="1"/>
  <c r="B7339" i="1"/>
  <c r="F7338" i="1"/>
  <c r="B7338" i="1"/>
  <c r="F7337" i="1"/>
  <c r="B7337" i="1"/>
  <c r="F7336" i="1"/>
  <c r="B7336" i="1"/>
  <c r="F7335" i="1"/>
  <c r="B7335" i="1"/>
  <c r="F7334" i="1"/>
  <c r="B7334" i="1"/>
  <c r="F7333" i="1"/>
  <c r="B7333" i="1"/>
  <c r="F7332" i="1"/>
  <c r="B7332" i="1"/>
  <c r="F7331" i="1"/>
  <c r="B7331" i="1"/>
  <c r="F7330" i="1"/>
  <c r="B7330" i="1"/>
  <c r="F7329" i="1"/>
  <c r="B7329" i="1"/>
  <c r="F7328" i="1"/>
  <c r="B7328" i="1"/>
  <c r="F7327" i="1"/>
  <c r="B7327" i="1"/>
  <c r="F7326" i="1"/>
  <c r="B7326" i="1"/>
  <c r="F7325" i="1"/>
  <c r="B7325" i="1"/>
  <c r="F7324" i="1"/>
  <c r="B7324" i="1"/>
  <c r="F7323" i="1"/>
  <c r="B7323" i="1"/>
  <c r="F7322" i="1"/>
  <c r="B7322" i="1"/>
  <c r="F7321" i="1"/>
  <c r="B7321" i="1"/>
  <c r="F7320" i="1"/>
  <c r="B7320" i="1"/>
  <c r="F7319" i="1"/>
  <c r="B7319" i="1"/>
  <c r="F7318" i="1"/>
  <c r="B7318" i="1"/>
  <c r="F7317" i="1"/>
  <c r="B7317" i="1"/>
  <c r="F7316" i="1"/>
  <c r="B7316" i="1"/>
  <c r="F7315" i="1"/>
  <c r="B7315" i="1"/>
  <c r="F7314" i="1"/>
  <c r="B7314" i="1"/>
  <c r="F7313" i="1"/>
  <c r="B7313" i="1"/>
  <c r="F7312" i="1"/>
  <c r="B7312" i="1"/>
  <c r="F7311" i="1"/>
  <c r="B7311" i="1"/>
  <c r="F7310" i="1"/>
  <c r="B7310" i="1"/>
  <c r="F7309" i="1"/>
  <c r="B7309" i="1"/>
  <c r="F7308" i="1"/>
  <c r="B7308" i="1"/>
  <c r="F7307" i="1"/>
  <c r="B7307" i="1"/>
  <c r="F7306" i="1"/>
  <c r="B7306" i="1"/>
  <c r="F7305" i="1"/>
  <c r="B7305" i="1"/>
  <c r="F7304" i="1"/>
  <c r="B7304" i="1"/>
  <c r="F7303" i="1"/>
  <c r="B7303" i="1"/>
  <c r="F7302" i="1"/>
  <c r="B7302" i="1"/>
  <c r="F7301" i="1"/>
  <c r="B7301" i="1"/>
  <c r="F7300" i="1"/>
  <c r="B7300" i="1"/>
  <c r="F7299" i="1"/>
  <c r="B7299" i="1"/>
  <c r="F7298" i="1"/>
  <c r="B7298" i="1"/>
  <c r="F7297" i="1"/>
  <c r="B7297" i="1"/>
  <c r="F7296" i="1"/>
  <c r="B7296" i="1"/>
  <c r="F7295" i="1"/>
  <c r="B7295" i="1"/>
  <c r="F7294" i="1"/>
  <c r="B7294" i="1"/>
  <c r="F7293" i="1"/>
  <c r="B7293" i="1"/>
  <c r="F7292" i="1"/>
  <c r="B7292" i="1"/>
  <c r="F7291" i="1"/>
  <c r="B7291" i="1"/>
  <c r="F7290" i="1"/>
  <c r="B7290" i="1"/>
  <c r="F7289" i="1"/>
  <c r="B7289" i="1"/>
  <c r="F7288" i="1"/>
  <c r="B7288" i="1"/>
  <c r="F7287" i="1"/>
  <c r="B7287" i="1"/>
  <c r="F7286" i="1"/>
  <c r="B7286" i="1"/>
  <c r="F7285" i="1"/>
  <c r="B7285" i="1"/>
  <c r="F7284" i="1"/>
  <c r="B7284" i="1"/>
  <c r="F7283" i="1"/>
  <c r="B7283" i="1"/>
  <c r="F7282" i="1"/>
  <c r="B7282" i="1"/>
  <c r="F7281" i="1"/>
  <c r="B7281" i="1"/>
  <c r="F7280" i="1"/>
  <c r="B7280" i="1"/>
  <c r="F7279" i="1"/>
  <c r="B7279" i="1"/>
  <c r="F7278" i="1"/>
  <c r="B7278" i="1"/>
  <c r="F7277" i="1"/>
  <c r="B7277" i="1"/>
  <c r="F7276" i="1"/>
  <c r="B7276" i="1"/>
  <c r="F7275" i="1"/>
  <c r="B7275" i="1"/>
  <c r="F7274" i="1"/>
  <c r="B7274" i="1"/>
  <c r="F7273" i="1"/>
  <c r="B7273" i="1"/>
  <c r="F7272" i="1"/>
  <c r="B7272" i="1"/>
  <c r="F7271" i="1"/>
  <c r="B7271" i="1"/>
  <c r="F7270" i="1"/>
  <c r="B7270" i="1"/>
  <c r="F7269" i="1"/>
  <c r="B7269" i="1"/>
  <c r="F7268" i="1"/>
  <c r="B7268" i="1"/>
  <c r="F7267" i="1"/>
  <c r="B7267" i="1"/>
  <c r="F7266" i="1"/>
  <c r="B7266" i="1"/>
  <c r="F7265" i="1"/>
  <c r="B7265" i="1"/>
  <c r="F7264" i="1"/>
  <c r="B7264" i="1"/>
  <c r="F7263" i="1"/>
  <c r="B7263" i="1"/>
  <c r="F7262" i="1"/>
  <c r="B7262" i="1"/>
  <c r="F7261" i="1"/>
  <c r="B7261" i="1"/>
  <c r="F7260" i="1"/>
  <c r="B7260" i="1"/>
  <c r="F7259" i="1"/>
  <c r="B7259" i="1"/>
  <c r="F7258" i="1"/>
  <c r="B7258" i="1"/>
  <c r="F7257" i="1"/>
  <c r="B7257" i="1"/>
  <c r="F7256" i="1"/>
  <c r="B7256" i="1"/>
  <c r="F7255" i="1"/>
  <c r="B7255" i="1"/>
  <c r="F7254" i="1"/>
  <c r="B7254" i="1"/>
  <c r="F7253" i="1"/>
  <c r="B7253" i="1"/>
  <c r="F7252" i="1"/>
  <c r="B7252" i="1"/>
  <c r="F7251" i="1"/>
  <c r="B7251" i="1"/>
  <c r="F7250" i="1"/>
  <c r="B7250" i="1"/>
  <c r="F7249" i="1"/>
  <c r="B7249" i="1"/>
  <c r="F7248" i="1"/>
  <c r="B7248" i="1"/>
  <c r="F7247" i="1"/>
  <c r="B7247" i="1"/>
  <c r="F7246" i="1"/>
  <c r="B7246" i="1"/>
  <c r="F7245" i="1"/>
  <c r="B7245" i="1"/>
  <c r="F7244" i="1"/>
  <c r="B7244" i="1"/>
  <c r="F7243" i="1"/>
  <c r="B7243" i="1"/>
  <c r="F7242" i="1"/>
  <c r="B7242" i="1"/>
  <c r="F7241" i="1"/>
  <c r="B7241" i="1"/>
  <c r="F7240" i="1"/>
  <c r="B7240" i="1"/>
  <c r="F7239" i="1"/>
  <c r="B7239" i="1"/>
  <c r="F7238" i="1"/>
  <c r="B7238" i="1"/>
  <c r="F7237" i="1"/>
  <c r="B7237" i="1"/>
  <c r="F7236" i="1"/>
  <c r="B7236" i="1"/>
  <c r="F7235" i="1"/>
  <c r="B7235" i="1"/>
  <c r="F7234" i="1"/>
  <c r="B7234" i="1"/>
  <c r="F7233" i="1"/>
  <c r="B7233" i="1"/>
  <c r="F7232" i="1"/>
  <c r="B7232" i="1"/>
  <c r="F7231" i="1"/>
  <c r="B7231" i="1"/>
  <c r="F7230" i="1"/>
  <c r="B7230" i="1"/>
  <c r="F7229" i="1"/>
  <c r="B7229" i="1"/>
  <c r="F7228" i="1"/>
  <c r="B7228" i="1"/>
  <c r="F7227" i="1"/>
  <c r="B7227" i="1"/>
  <c r="F7226" i="1"/>
  <c r="B7226" i="1"/>
  <c r="F7225" i="1"/>
  <c r="B7225" i="1"/>
  <c r="F7224" i="1"/>
  <c r="B7224" i="1"/>
  <c r="F7223" i="1"/>
  <c r="B7223" i="1"/>
  <c r="F7222" i="1"/>
  <c r="B7222" i="1"/>
  <c r="F7221" i="1"/>
  <c r="B7221" i="1"/>
  <c r="F7220" i="1"/>
  <c r="B7220" i="1"/>
  <c r="F7219" i="1"/>
  <c r="B7219" i="1"/>
  <c r="F7218" i="1"/>
  <c r="B7218" i="1"/>
  <c r="F7217" i="1"/>
  <c r="B7217" i="1"/>
  <c r="F7216" i="1"/>
  <c r="B7216" i="1"/>
  <c r="F7215" i="1"/>
  <c r="B7215" i="1"/>
  <c r="F7214" i="1"/>
  <c r="B7214" i="1"/>
  <c r="F7213" i="1"/>
  <c r="B7213" i="1"/>
  <c r="F7212" i="1"/>
  <c r="B7212" i="1"/>
  <c r="F7211" i="1"/>
  <c r="B7211" i="1"/>
  <c r="F7210" i="1"/>
  <c r="B7210" i="1"/>
  <c r="F7209" i="1"/>
  <c r="B7209" i="1"/>
  <c r="F7208" i="1"/>
  <c r="B7208" i="1"/>
  <c r="F7207" i="1"/>
  <c r="B7207" i="1"/>
  <c r="F7206" i="1"/>
  <c r="B7206" i="1"/>
  <c r="F7205" i="1"/>
  <c r="B7205" i="1"/>
  <c r="F7204" i="1"/>
  <c r="B7204" i="1"/>
  <c r="F7203" i="1"/>
  <c r="B7203" i="1"/>
  <c r="F7202" i="1"/>
  <c r="B7202" i="1"/>
  <c r="F7201" i="1"/>
  <c r="B7201" i="1"/>
  <c r="F7200" i="1"/>
  <c r="B7200" i="1"/>
  <c r="F7199" i="1"/>
  <c r="B7199" i="1"/>
  <c r="F7198" i="1"/>
  <c r="B7198" i="1"/>
  <c r="F7197" i="1"/>
  <c r="B7197" i="1"/>
  <c r="F7196" i="1"/>
  <c r="B7196" i="1"/>
  <c r="F7195" i="1"/>
  <c r="B7195" i="1"/>
  <c r="F7194" i="1"/>
  <c r="B7194" i="1"/>
  <c r="F7193" i="1"/>
  <c r="B7193" i="1"/>
  <c r="F7192" i="1"/>
  <c r="B7192" i="1"/>
  <c r="F7191" i="1"/>
  <c r="B7191" i="1"/>
  <c r="F7190" i="1"/>
  <c r="B7190" i="1"/>
  <c r="F7189" i="1"/>
  <c r="B7189" i="1"/>
  <c r="F7188" i="1"/>
  <c r="B7188" i="1"/>
  <c r="F7187" i="1"/>
  <c r="B7187" i="1"/>
  <c r="F7186" i="1"/>
  <c r="B7186" i="1"/>
  <c r="F7185" i="1"/>
  <c r="B7185" i="1"/>
  <c r="F7184" i="1"/>
  <c r="B7184" i="1"/>
  <c r="F7183" i="1"/>
  <c r="B7183" i="1"/>
  <c r="F7182" i="1"/>
  <c r="B7182" i="1"/>
  <c r="F7181" i="1"/>
  <c r="B7181" i="1"/>
  <c r="F7180" i="1"/>
  <c r="B7180" i="1"/>
  <c r="F7179" i="1"/>
  <c r="B7179" i="1"/>
  <c r="F7178" i="1"/>
  <c r="B7178" i="1"/>
  <c r="F7177" i="1"/>
  <c r="B7177" i="1"/>
  <c r="F7176" i="1"/>
  <c r="B7176" i="1"/>
  <c r="F7175" i="1"/>
  <c r="B7175" i="1"/>
  <c r="F7174" i="1"/>
  <c r="B7174" i="1"/>
  <c r="F7173" i="1"/>
  <c r="B7173" i="1"/>
  <c r="F7172" i="1"/>
  <c r="B7172" i="1"/>
  <c r="F7171" i="1"/>
  <c r="B7171" i="1"/>
  <c r="F7170" i="1"/>
  <c r="B7170" i="1"/>
  <c r="F7169" i="1"/>
  <c r="B7169" i="1"/>
  <c r="F7168" i="1"/>
  <c r="B7168" i="1"/>
  <c r="F7167" i="1"/>
  <c r="B7167" i="1"/>
  <c r="F7166" i="1"/>
  <c r="B7166" i="1"/>
  <c r="F7165" i="1"/>
  <c r="B7165" i="1"/>
  <c r="F7164" i="1"/>
  <c r="B7164" i="1"/>
  <c r="F7163" i="1"/>
  <c r="B7163" i="1"/>
  <c r="F7162" i="1"/>
  <c r="B7162" i="1"/>
  <c r="F7161" i="1"/>
  <c r="B7161" i="1"/>
  <c r="F7160" i="1"/>
  <c r="B7160" i="1"/>
  <c r="F7159" i="1"/>
  <c r="B7159" i="1"/>
  <c r="F7158" i="1"/>
  <c r="B7158" i="1"/>
  <c r="F7157" i="1"/>
  <c r="B7157" i="1"/>
  <c r="F7156" i="1"/>
  <c r="B7156" i="1"/>
  <c r="F7155" i="1"/>
  <c r="B7155" i="1"/>
  <c r="F7154" i="1"/>
  <c r="B7154" i="1"/>
  <c r="F7153" i="1"/>
  <c r="B7153" i="1"/>
  <c r="F7152" i="1"/>
  <c r="B7152" i="1"/>
  <c r="F7151" i="1"/>
  <c r="B7151" i="1"/>
  <c r="F7150" i="1"/>
  <c r="B7150" i="1"/>
  <c r="F7149" i="1"/>
  <c r="B7149" i="1"/>
  <c r="F7148" i="1"/>
  <c r="B7148" i="1"/>
  <c r="F7147" i="1"/>
  <c r="B7147" i="1"/>
  <c r="F7146" i="1"/>
  <c r="B7146" i="1"/>
  <c r="F7145" i="1"/>
  <c r="B7145" i="1"/>
  <c r="F7144" i="1"/>
  <c r="B7144" i="1"/>
  <c r="F7143" i="1"/>
  <c r="B7143" i="1"/>
  <c r="F7142" i="1"/>
  <c r="B7142" i="1"/>
  <c r="F7141" i="1"/>
  <c r="B7141" i="1"/>
  <c r="F7140" i="1"/>
  <c r="B7140" i="1"/>
  <c r="F7139" i="1"/>
  <c r="B7139" i="1"/>
  <c r="F7138" i="1"/>
  <c r="B7138" i="1"/>
  <c r="F7137" i="1"/>
  <c r="B7137" i="1"/>
  <c r="F7136" i="1"/>
  <c r="B7136" i="1"/>
  <c r="F7135" i="1"/>
  <c r="B7135" i="1"/>
  <c r="F7134" i="1"/>
  <c r="B7134" i="1"/>
  <c r="F7133" i="1"/>
  <c r="B7133" i="1"/>
  <c r="F7132" i="1"/>
  <c r="B7132" i="1"/>
  <c r="F7131" i="1"/>
  <c r="B7131" i="1"/>
  <c r="F7130" i="1"/>
  <c r="B7130" i="1"/>
  <c r="F7129" i="1"/>
  <c r="B7129" i="1"/>
  <c r="F7128" i="1"/>
  <c r="B7128" i="1"/>
  <c r="F7127" i="1"/>
  <c r="B7127" i="1"/>
  <c r="F7126" i="1"/>
  <c r="B7126" i="1"/>
  <c r="F7125" i="1"/>
  <c r="B7125" i="1"/>
  <c r="F7124" i="1"/>
  <c r="B7124" i="1"/>
  <c r="F7123" i="1"/>
  <c r="B7123" i="1"/>
  <c r="F7122" i="1"/>
  <c r="B7122" i="1"/>
  <c r="F7121" i="1"/>
  <c r="B7121" i="1"/>
  <c r="F7120" i="1"/>
  <c r="B7120" i="1"/>
  <c r="F7119" i="1"/>
  <c r="B7119" i="1"/>
  <c r="F7118" i="1"/>
  <c r="B7118" i="1"/>
  <c r="F7117" i="1"/>
  <c r="B7117" i="1"/>
  <c r="F7116" i="1"/>
  <c r="B7116" i="1"/>
  <c r="F7115" i="1"/>
  <c r="B7115" i="1"/>
  <c r="F7114" i="1"/>
  <c r="B7114" i="1"/>
  <c r="F7113" i="1"/>
  <c r="B7113" i="1"/>
  <c r="F7112" i="1"/>
  <c r="B7112" i="1"/>
  <c r="F7111" i="1"/>
  <c r="B7111" i="1"/>
  <c r="F7110" i="1"/>
  <c r="B7110" i="1"/>
  <c r="F7109" i="1"/>
  <c r="B7109" i="1"/>
  <c r="F7108" i="1"/>
  <c r="B7108" i="1"/>
  <c r="F7107" i="1"/>
  <c r="B7107" i="1"/>
  <c r="F7106" i="1"/>
  <c r="B7106" i="1"/>
  <c r="F7105" i="1"/>
  <c r="B7105" i="1"/>
  <c r="F7104" i="1"/>
  <c r="B7104" i="1"/>
  <c r="F7103" i="1"/>
  <c r="B7103" i="1"/>
  <c r="F7102" i="1"/>
  <c r="B7102" i="1"/>
  <c r="F7101" i="1"/>
  <c r="B7101" i="1"/>
  <c r="F7100" i="1"/>
  <c r="B7100" i="1"/>
  <c r="F7099" i="1"/>
  <c r="B7099" i="1"/>
  <c r="F7098" i="1"/>
  <c r="B7098" i="1"/>
  <c r="F7097" i="1"/>
  <c r="B7097" i="1"/>
  <c r="F7096" i="1"/>
  <c r="B7096" i="1"/>
  <c r="F7095" i="1"/>
  <c r="B7095" i="1"/>
  <c r="F7094" i="1"/>
  <c r="B7094" i="1"/>
  <c r="F7093" i="1"/>
  <c r="B7093" i="1"/>
  <c r="F7092" i="1"/>
  <c r="B7092" i="1"/>
  <c r="F7091" i="1"/>
  <c r="B7091" i="1"/>
  <c r="F7090" i="1"/>
  <c r="B7090" i="1"/>
  <c r="F7089" i="1"/>
  <c r="B7089" i="1"/>
  <c r="F7088" i="1"/>
  <c r="B7088" i="1"/>
  <c r="F7087" i="1"/>
  <c r="B7087" i="1"/>
  <c r="F7086" i="1"/>
  <c r="B7086" i="1"/>
  <c r="F7085" i="1"/>
  <c r="B7085" i="1"/>
  <c r="F7084" i="1"/>
  <c r="B7084" i="1"/>
  <c r="F7083" i="1"/>
  <c r="B7083" i="1"/>
  <c r="F7082" i="1"/>
  <c r="B7082" i="1"/>
  <c r="F7081" i="1"/>
  <c r="B7081" i="1"/>
  <c r="F7080" i="1"/>
  <c r="B7080" i="1"/>
  <c r="F7079" i="1"/>
  <c r="B7079" i="1"/>
  <c r="F7078" i="1"/>
  <c r="B7078" i="1"/>
  <c r="F7077" i="1"/>
  <c r="B7077" i="1"/>
  <c r="F7076" i="1"/>
  <c r="B7076" i="1"/>
  <c r="F7075" i="1"/>
  <c r="B7075" i="1"/>
  <c r="F7074" i="1"/>
  <c r="B7074" i="1"/>
  <c r="F7073" i="1"/>
  <c r="B7073" i="1"/>
  <c r="F7072" i="1"/>
  <c r="B7072" i="1"/>
  <c r="F7071" i="1"/>
  <c r="B7071" i="1"/>
  <c r="F7070" i="1"/>
  <c r="B7070" i="1"/>
  <c r="F7069" i="1"/>
  <c r="B7069" i="1"/>
  <c r="F7068" i="1"/>
  <c r="B7068" i="1"/>
  <c r="F7067" i="1"/>
  <c r="B7067" i="1"/>
  <c r="F7066" i="1"/>
  <c r="B7066" i="1"/>
  <c r="F7065" i="1"/>
  <c r="B7065" i="1"/>
  <c r="F7064" i="1"/>
  <c r="B7064" i="1"/>
  <c r="F7063" i="1"/>
  <c r="B7063" i="1"/>
  <c r="F7062" i="1"/>
  <c r="B7062" i="1"/>
  <c r="F7061" i="1"/>
  <c r="B7061" i="1"/>
  <c r="F7060" i="1"/>
  <c r="B7060" i="1"/>
  <c r="F7059" i="1"/>
  <c r="B7059" i="1"/>
  <c r="F7058" i="1"/>
  <c r="B7058" i="1"/>
  <c r="F7057" i="1"/>
  <c r="B7057" i="1"/>
  <c r="F7056" i="1"/>
  <c r="B7056" i="1"/>
  <c r="F7055" i="1"/>
  <c r="B7055" i="1"/>
  <c r="F7054" i="1"/>
  <c r="B7054" i="1"/>
  <c r="F7053" i="1"/>
  <c r="B7053" i="1"/>
  <c r="F7052" i="1"/>
  <c r="B7052" i="1"/>
  <c r="F7051" i="1"/>
  <c r="B7051" i="1"/>
  <c r="F7050" i="1"/>
  <c r="B7050" i="1"/>
  <c r="F7049" i="1"/>
  <c r="B7049" i="1"/>
  <c r="F7048" i="1"/>
  <c r="B7048" i="1"/>
  <c r="F7047" i="1"/>
  <c r="B7047" i="1"/>
  <c r="F7046" i="1"/>
  <c r="B7046" i="1"/>
  <c r="F7045" i="1"/>
  <c r="B7045" i="1"/>
  <c r="F7044" i="1"/>
  <c r="B7044" i="1"/>
  <c r="F7043" i="1"/>
  <c r="B7043" i="1"/>
  <c r="F7042" i="1"/>
  <c r="B7042" i="1"/>
  <c r="F7041" i="1"/>
  <c r="B7041" i="1"/>
  <c r="F7040" i="1"/>
  <c r="B7040" i="1"/>
  <c r="F7039" i="1"/>
  <c r="B7039" i="1"/>
  <c r="F7038" i="1"/>
  <c r="B7038" i="1"/>
  <c r="F7037" i="1"/>
  <c r="B7037" i="1"/>
  <c r="F7036" i="1"/>
  <c r="B7036" i="1"/>
  <c r="F7035" i="1"/>
  <c r="B7035" i="1"/>
  <c r="F7034" i="1"/>
  <c r="B7034" i="1"/>
  <c r="F7033" i="1"/>
  <c r="B7033" i="1"/>
  <c r="F7032" i="1"/>
  <c r="B7032" i="1"/>
  <c r="F7031" i="1"/>
  <c r="B7031" i="1"/>
  <c r="F7030" i="1"/>
  <c r="B7030" i="1"/>
  <c r="F7029" i="1"/>
  <c r="B7029" i="1"/>
  <c r="F7028" i="1"/>
  <c r="B7028" i="1"/>
  <c r="F7027" i="1"/>
  <c r="B7027" i="1"/>
  <c r="F7026" i="1"/>
  <c r="B7026" i="1"/>
  <c r="F7025" i="1"/>
  <c r="B7025" i="1"/>
  <c r="F7024" i="1"/>
  <c r="B7024" i="1"/>
  <c r="F7023" i="1"/>
  <c r="B7023" i="1"/>
  <c r="F7022" i="1"/>
  <c r="B7022" i="1"/>
  <c r="F7021" i="1"/>
  <c r="B7021" i="1"/>
  <c r="F7020" i="1"/>
  <c r="B7020" i="1"/>
  <c r="F7019" i="1"/>
  <c r="B7019" i="1"/>
  <c r="F7018" i="1"/>
  <c r="B7018" i="1"/>
  <c r="F7017" i="1"/>
  <c r="B7017" i="1"/>
  <c r="F7016" i="1"/>
  <c r="B7016" i="1"/>
  <c r="F7015" i="1"/>
  <c r="B7015" i="1"/>
  <c r="F7014" i="1"/>
  <c r="B7014" i="1"/>
  <c r="F7013" i="1"/>
  <c r="B7013" i="1"/>
  <c r="F7012" i="1"/>
  <c r="B7012" i="1"/>
  <c r="F7011" i="1"/>
  <c r="B7011" i="1"/>
  <c r="F7010" i="1"/>
  <c r="B7010" i="1"/>
  <c r="F7009" i="1"/>
  <c r="B7009" i="1"/>
  <c r="F7008" i="1"/>
  <c r="B7008" i="1"/>
  <c r="F7007" i="1"/>
  <c r="B7007" i="1"/>
  <c r="F7006" i="1"/>
  <c r="B7006" i="1"/>
  <c r="F7005" i="1"/>
  <c r="B7005" i="1"/>
  <c r="F7004" i="1"/>
  <c r="B7004" i="1"/>
  <c r="F7003" i="1"/>
  <c r="B7003" i="1"/>
  <c r="F7002" i="1"/>
  <c r="B7002" i="1"/>
  <c r="F7001" i="1"/>
  <c r="B7001" i="1"/>
  <c r="F7000" i="1"/>
  <c r="B7000" i="1"/>
  <c r="F6999" i="1"/>
  <c r="B6999" i="1"/>
  <c r="F6998" i="1"/>
  <c r="B6998" i="1"/>
  <c r="F6997" i="1"/>
  <c r="B6997" i="1"/>
  <c r="F6996" i="1"/>
  <c r="B6996" i="1"/>
  <c r="F6995" i="1"/>
  <c r="B6995" i="1"/>
  <c r="F6994" i="1"/>
  <c r="B6994" i="1"/>
  <c r="F6993" i="1"/>
  <c r="B6993" i="1"/>
  <c r="F6992" i="1"/>
  <c r="B6992" i="1"/>
  <c r="F6991" i="1"/>
  <c r="B6991" i="1"/>
  <c r="F6990" i="1"/>
  <c r="B6990" i="1"/>
  <c r="F6989" i="1"/>
  <c r="B6989" i="1"/>
  <c r="F6988" i="1"/>
  <c r="B6988" i="1"/>
  <c r="F6987" i="1"/>
  <c r="B6987" i="1"/>
  <c r="F6986" i="1"/>
  <c r="B6986" i="1"/>
  <c r="F6985" i="1"/>
  <c r="B6985" i="1"/>
  <c r="F6984" i="1"/>
  <c r="B6984" i="1"/>
  <c r="F6983" i="1"/>
  <c r="B6983" i="1"/>
  <c r="F6982" i="1"/>
  <c r="B6982" i="1"/>
  <c r="F6981" i="1"/>
  <c r="B6981" i="1"/>
  <c r="F6980" i="1"/>
  <c r="B6980" i="1"/>
  <c r="F6979" i="1"/>
  <c r="B6979" i="1"/>
  <c r="F6978" i="1"/>
  <c r="B6978" i="1"/>
  <c r="F6977" i="1"/>
  <c r="B6977" i="1"/>
  <c r="F6976" i="1"/>
  <c r="B6976" i="1"/>
  <c r="F6975" i="1"/>
  <c r="B6975" i="1"/>
  <c r="F6974" i="1"/>
  <c r="B6974" i="1"/>
  <c r="F6973" i="1"/>
  <c r="B6973" i="1"/>
  <c r="F6972" i="1"/>
  <c r="B6972" i="1"/>
  <c r="F6971" i="1"/>
  <c r="B6971" i="1"/>
  <c r="F6970" i="1"/>
  <c r="B6970" i="1"/>
  <c r="F6969" i="1"/>
  <c r="B6969" i="1"/>
  <c r="F6968" i="1"/>
  <c r="B6968" i="1"/>
  <c r="F6967" i="1"/>
  <c r="B6967" i="1"/>
  <c r="F6966" i="1"/>
  <c r="B6966" i="1"/>
  <c r="F6965" i="1"/>
  <c r="B6965" i="1"/>
  <c r="F6964" i="1"/>
  <c r="B6964" i="1"/>
  <c r="F6963" i="1"/>
  <c r="B6963" i="1"/>
  <c r="F6962" i="1"/>
  <c r="B6962" i="1"/>
  <c r="F6961" i="1"/>
  <c r="B6961" i="1"/>
  <c r="F6960" i="1"/>
  <c r="B6960" i="1"/>
  <c r="F6959" i="1"/>
  <c r="B6959" i="1"/>
  <c r="F6958" i="1"/>
  <c r="B6958" i="1"/>
  <c r="F6957" i="1"/>
  <c r="B6957" i="1"/>
  <c r="F6956" i="1"/>
  <c r="B6956" i="1"/>
  <c r="F6955" i="1"/>
  <c r="B6955" i="1"/>
  <c r="F6954" i="1"/>
  <c r="B6954" i="1"/>
  <c r="F6953" i="1"/>
  <c r="B6953" i="1"/>
  <c r="F6952" i="1"/>
  <c r="B6952" i="1"/>
  <c r="F6951" i="1"/>
  <c r="B6951" i="1"/>
  <c r="F6950" i="1"/>
  <c r="B6950" i="1"/>
  <c r="F6949" i="1"/>
  <c r="B6949" i="1"/>
  <c r="F6948" i="1"/>
  <c r="B6948" i="1"/>
  <c r="F6947" i="1"/>
  <c r="B6947" i="1"/>
  <c r="F6946" i="1"/>
  <c r="B6946" i="1"/>
  <c r="F6945" i="1"/>
  <c r="B6945" i="1"/>
  <c r="F6944" i="1"/>
  <c r="B6944" i="1"/>
  <c r="F6943" i="1"/>
  <c r="B6943" i="1"/>
  <c r="F6942" i="1"/>
  <c r="B6942" i="1"/>
  <c r="F6941" i="1"/>
  <c r="B6941" i="1"/>
  <c r="F6940" i="1"/>
  <c r="B6940" i="1"/>
  <c r="F6939" i="1"/>
  <c r="B6939" i="1"/>
  <c r="F6938" i="1"/>
  <c r="B6938" i="1"/>
  <c r="F6937" i="1"/>
  <c r="B6937" i="1"/>
  <c r="F6936" i="1"/>
  <c r="B6936" i="1"/>
  <c r="F6935" i="1"/>
  <c r="B6935" i="1"/>
  <c r="F6934" i="1"/>
  <c r="B6934" i="1"/>
  <c r="F6933" i="1"/>
  <c r="B6933" i="1"/>
  <c r="F6932" i="1"/>
  <c r="B6932" i="1"/>
  <c r="F6931" i="1"/>
  <c r="B6931" i="1"/>
  <c r="F6930" i="1"/>
  <c r="B6930" i="1"/>
  <c r="F6929" i="1"/>
  <c r="B6929" i="1"/>
  <c r="F6928" i="1"/>
  <c r="B6928" i="1"/>
  <c r="F6927" i="1"/>
  <c r="B6927" i="1"/>
  <c r="F6926" i="1"/>
  <c r="B6926" i="1"/>
  <c r="F6925" i="1"/>
  <c r="B6925" i="1"/>
  <c r="F6924" i="1"/>
  <c r="B6924" i="1"/>
  <c r="F6923" i="1"/>
  <c r="B6923" i="1"/>
  <c r="F6922" i="1"/>
  <c r="B6922" i="1"/>
  <c r="F6921" i="1"/>
  <c r="B6921" i="1"/>
  <c r="F6920" i="1"/>
  <c r="B6920" i="1"/>
  <c r="F6919" i="1"/>
  <c r="B6919" i="1"/>
  <c r="F6918" i="1"/>
  <c r="B6918" i="1"/>
  <c r="F6917" i="1"/>
  <c r="B6917" i="1"/>
  <c r="F6916" i="1"/>
  <c r="B6916" i="1"/>
  <c r="F6915" i="1"/>
  <c r="B6915" i="1"/>
  <c r="F6914" i="1"/>
  <c r="B6914" i="1"/>
  <c r="F6913" i="1"/>
  <c r="B6913" i="1"/>
  <c r="F6912" i="1"/>
  <c r="B6912" i="1"/>
  <c r="F6911" i="1"/>
  <c r="B6911" i="1"/>
  <c r="F6910" i="1"/>
  <c r="B6910" i="1"/>
  <c r="F6909" i="1"/>
  <c r="B6909" i="1"/>
  <c r="F6908" i="1"/>
  <c r="B6908" i="1"/>
  <c r="F6907" i="1"/>
  <c r="B6907" i="1"/>
  <c r="F6906" i="1"/>
  <c r="B6906" i="1"/>
  <c r="F6905" i="1"/>
  <c r="B6905" i="1"/>
  <c r="F6904" i="1"/>
  <c r="B6904" i="1"/>
  <c r="F6903" i="1"/>
  <c r="B6903" i="1"/>
  <c r="F6902" i="1"/>
  <c r="B6902" i="1"/>
  <c r="F6901" i="1"/>
  <c r="B6901" i="1"/>
  <c r="F6900" i="1"/>
  <c r="B6900" i="1"/>
  <c r="F6899" i="1"/>
  <c r="B6899" i="1"/>
  <c r="F6898" i="1"/>
  <c r="B6898" i="1"/>
  <c r="F6897" i="1"/>
  <c r="B6897" i="1"/>
  <c r="F6896" i="1"/>
  <c r="B6896" i="1"/>
  <c r="F6895" i="1"/>
  <c r="B6895" i="1"/>
  <c r="F6894" i="1"/>
  <c r="B6894" i="1"/>
  <c r="F6893" i="1"/>
  <c r="B6893" i="1"/>
  <c r="F6892" i="1"/>
  <c r="B6892" i="1"/>
  <c r="F6891" i="1"/>
  <c r="B6891" i="1"/>
  <c r="F6890" i="1"/>
  <c r="B6890" i="1"/>
  <c r="F6889" i="1"/>
  <c r="B6889" i="1"/>
  <c r="F6888" i="1"/>
  <c r="B6888" i="1"/>
  <c r="F6887" i="1"/>
  <c r="B6887" i="1"/>
  <c r="F6886" i="1"/>
  <c r="B6886" i="1"/>
  <c r="F6885" i="1"/>
  <c r="B6885" i="1"/>
  <c r="F6884" i="1"/>
  <c r="B6884" i="1"/>
  <c r="F6883" i="1"/>
  <c r="B6883" i="1"/>
  <c r="F6882" i="1"/>
  <c r="B6882" i="1"/>
  <c r="F6881" i="1"/>
  <c r="B6881" i="1"/>
  <c r="F6880" i="1"/>
  <c r="B6880" i="1"/>
  <c r="F6879" i="1"/>
  <c r="B6879" i="1"/>
  <c r="F6878" i="1"/>
  <c r="B6878" i="1"/>
  <c r="F6877" i="1"/>
  <c r="B6877" i="1"/>
  <c r="F6876" i="1"/>
  <c r="B6876" i="1"/>
  <c r="F6875" i="1"/>
  <c r="B6875" i="1"/>
  <c r="F6874" i="1"/>
  <c r="B6874" i="1"/>
  <c r="F6873" i="1"/>
  <c r="B6873" i="1"/>
  <c r="F6872" i="1"/>
  <c r="B6872" i="1"/>
  <c r="F6871" i="1"/>
  <c r="B6871" i="1"/>
  <c r="F6870" i="1"/>
  <c r="B6870" i="1"/>
  <c r="F6869" i="1"/>
  <c r="B6869" i="1"/>
  <c r="F6868" i="1"/>
  <c r="B6868" i="1"/>
  <c r="F6867" i="1"/>
  <c r="B6867" i="1"/>
  <c r="F6866" i="1"/>
  <c r="B6866" i="1"/>
  <c r="F6865" i="1"/>
  <c r="B6865" i="1"/>
  <c r="F6864" i="1"/>
  <c r="B6864" i="1"/>
  <c r="F6863" i="1"/>
  <c r="B6863" i="1"/>
  <c r="F6862" i="1"/>
  <c r="B6862" i="1"/>
  <c r="F6861" i="1"/>
  <c r="B6861" i="1"/>
  <c r="F6860" i="1"/>
  <c r="B6860" i="1"/>
  <c r="F6859" i="1"/>
  <c r="B6859" i="1"/>
  <c r="F6858" i="1"/>
  <c r="B6858" i="1"/>
  <c r="F6857" i="1"/>
  <c r="B6857" i="1"/>
  <c r="F6856" i="1"/>
  <c r="B6856" i="1"/>
  <c r="F6855" i="1"/>
  <c r="B6855" i="1"/>
  <c r="F6854" i="1"/>
  <c r="B6854" i="1"/>
  <c r="F6853" i="1"/>
  <c r="B6853" i="1"/>
  <c r="F6852" i="1"/>
  <c r="B6852" i="1"/>
  <c r="F6851" i="1"/>
  <c r="B6851" i="1"/>
  <c r="F6850" i="1"/>
  <c r="B6850" i="1"/>
  <c r="F6849" i="1"/>
  <c r="B6849" i="1"/>
  <c r="F6848" i="1"/>
  <c r="B6848" i="1"/>
  <c r="F6847" i="1"/>
  <c r="B6847" i="1"/>
  <c r="F6846" i="1"/>
  <c r="B6846" i="1"/>
  <c r="F6845" i="1"/>
  <c r="B6845" i="1"/>
  <c r="F6844" i="1"/>
  <c r="B6844" i="1"/>
  <c r="F6843" i="1"/>
  <c r="B6843" i="1"/>
  <c r="F6842" i="1"/>
  <c r="B6842" i="1"/>
  <c r="F6841" i="1"/>
  <c r="B6841" i="1"/>
  <c r="F6840" i="1"/>
  <c r="B6840" i="1"/>
  <c r="F6839" i="1"/>
  <c r="B6839" i="1"/>
  <c r="F6838" i="1"/>
  <c r="B6838" i="1"/>
  <c r="F6837" i="1"/>
  <c r="B6837" i="1"/>
  <c r="F6836" i="1"/>
  <c r="B6836" i="1"/>
  <c r="F6835" i="1"/>
  <c r="B6835" i="1"/>
  <c r="F6834" i="1"/>
  <c r="B6834" i="1"/>
  <c r="F6833" i="1"/>
  <c r="B6833" i="1"/>
  <c r="F6832" i="1"/>
  <c r="B6832" i="1"/>
  <c r="F6831" i="1"/>
  <c r="B6831" i="1"/>
  <c r="F6830" i="1"/>
  <c r="B6830" i="1"/>
  <c r="F6829" i="1"/>
  <c r="B6829" i="1"/>
  <c r="F6828" i="1"/>
  <c r="B6828" i="1"/>
  <c r="F6827" i="1"/>
  <c r="B6827" i="1"/>
  <c r="F6826" i="1"/>
  <c r="B6826" i="1"/>
  <c r="F6825" i="1"/>
  <c r="B6825" i="1"/>
  <c r="F6824" i="1"/>
  <c r="B6824" i="1"/>
  <c r="F6823" i="1"/>
  <c r="B6823" i="1"/>
  <c r="F6822" i="1"/>
  <c r="B6822" i="1"/>
  <c r="F6821" i="1"/>
  <c r="B6821" i="1"/>
  <c r="F6820" i="1"/>
  <c r="B6820" i="1"/>
  <c r="F6819" i="1"/>
  <c r="B6819" i="1"/>
  <c r="F6818" i="1"/>
  <c r="B6818" i="1"/>
  <c r="F6817" i="1"/>
  <c r="B6817" i="1"/>
  <c r="F6816" i="1"/>
  <c r="B6816" i="1"/>
  <c r="F6815" i="1"/>
  <c r="B6815" i="1"/>
  <c r="F6814" i="1"/>
  <c r="B6814" i="1"/>
  <c r="F6813" i="1"/>
  <c r="B6813" i="1"/>
  <c r="F6812" i="1"/>
  <c r="B6812" i="1"/>
  <c r="F6811" i="1"/>
  <c r="B6811" i="1"/>
  <c r="F6810" i="1"/>
  <c r="B6810" i="1"/>
  <c r="F6809" i="1"/>
  <c r="B6809" i="1"/>
  <c r="F6808" i="1"/>
  <c r="B6808" i="1"/>
  <c r="F6807" i="1"/>
  <c r="B6807" i="1"/>
  <c r="F6806" i="1"/>
  <c r="B6806" i="1"/>
  <c r="F6805" i="1"/>
  <c r="B6805" i="1"/>
  <c r="F6804" i="1"/>
  <c r="B6804" i="1"/>
  <c r="F6803" i="1"/>
  <c r="B6803" i="1"/>
  <c r="F6802" i="1"/>
  <c r="B6802" i="1"/>
  <c r="F6801" i="1"/>
  <c r="B6801" i="1"/>
  <c r="F6800" i="1"/>
  <c r="B6800" i="1"/>
  <c r="F6799" i="1"/>
  <c r="B6799" i="1"/>
  <c r="F6798" i="1"/>
  <c r="B6798" i="1"/>
  <c r="F6797" i="1"/>
  <c r="B6797" i="1"/>
  <c r="F6796" i="1"/>
  <c r="B6796" i="1"/>
  <c r="F6795" i="1"/>
  <c r="B6795" i="1"/>
  <c r="F6794" i="1"/>
  <c r="B6794" i="1"/>
  <c r="F6793" i="1"/>
  <c r="B6793" i="1"/>
  <c r="F6792" i="1"/>
  <c r="B6792" i="1"/>
  <c r="F6791" i="1"/>
  <c r="B6791" i="1"/>
  <c r="F6790" i="1"/>
  <c r="B6790" i="1"/>
  <c r="F6789" i="1"/>
  <c r="B6789" i="1"/>
  <c r="F6788" i="1"/>
  <c r="B6788" i="1"/>
  <c r="F6787" i="1"/>
  <c r="B6787" i="1"/>
  <c r="F6786" i="1"/>
  <c r="B6786" i="1"/>
  <c r="F6785" i="1"/>
  <c r="B6785" i="1"/>
  <c r="F6784" i="1"/>
  <c r="B6784" i="1"/>
  <c r="F6783" i="1"/>
  <c r="B6783" i="1"/>
  <c r="F6782" i="1"/>
  <c r="B6782" i="1"/>
  <c r="F6781" i="1"/>
  <c r="B6781" i="1"/>
  <c r="F6780" i="1"/>
  <c r="B6780" i="1"/>
  <c r="F6779" i="1"/>
  <c r="B6779" i="1"/>
  <c r="F6778" i="1"/>
  <c r="B6778" i="1"/>
  <c r="F6777" i="1"/>
  <c r="B6777" i="1"/>
  <c r="F6776" i="1"/>
  <c r="B6776" i="1"/>
  <c r="F6775" i="1"/>
  <c r="B6775" i="1"/>
  <c r="F6774" i="1"/>
  <c r="B6774" i="1"/>
  <c r="F6773" i="1"/>
  <c r="B6773" i="1"/>
  <c r="F6772" i="1"/>
  <c r="B6772" i="1"/>
  <c r="F6771" i="1"/>
  <c r="B6771" i="1"/>
  <c r="F6770" i="1"/>
  <c r="B6770" i="1"/>
  <c r="F6769" i="1"/>
  <c r="B6769" i="1"/>
  <c r="F6768" i="1"/>
  <c r="B6768" i="1"/>
  <c r="F6767" i="1"/>
  <c r="B6767" i="1"/>
  <c r="F6766" i="1"/>
  <c r="B6766" i="1"/>
  <c r="F6765" i="1"/>
  <c r="B6765" i="1"/>
  <c r="F6764" i="1"/>
  <c r="B6764" i="1"/>
  <c r="F6763" i="1"/>
  <c r="B6763" i="1"/>
  <c r="F6762" i="1"/>
  <c r="B6762" i="1"/>
  <c r="F6761" i="1"/>
  <c r="B6761" i="1"/>
  <c r="F6760" i="1"/>
  <c r="B6760" i="1"/>
  <c r="F6759" i="1"/>
  <c r="B6759" i="1"/>
  <c r="F6758" i="1"/>
  <c r="B6758" i="1"/>
  <c r="F6757" i="1"/>
  <c r="B6757" i="1"/>
  <c r="F6756" i="1"/>
  <c r="B6756" i="1"/>
  <c r="F6755" i="1"/>
  <c r="B6755" i="1"/>
  <c r="F6754" i="1"/>
  <c r="B6754" i="1"/>
  <c r="F6753" i="1"/>
  <c r="B6753" i="1"/>
  <c r="F6752" i="1"/>
  <c r="B6752" i="1"/>
  <c r="F6751" i="1"/>
  <c r="B6751" i="1"/>
  <c r="F6750" i="1"/>
  <c r="B6750" i="1"/>
  <c r="F6749" i="1"/>
  <c r="B6749" i="1"/>
  <c r="F6748" i="1"/>
  <c r="B6748" i="1"/>
  <c r="F6747" i="1"/>
  <c r="B6747" i="1"/>
  <c r="F6746" i="1"/>
  <c r="B6746" i="1"/>
  <c r="F6745" i="1"/>
  <c r="B6745" i="1"/>
  <c r="F6744" i="1"/>
  <c r="B6744" i="1"/>
  <c r="F6743" i="1"/>
  <c r="B6743" i="1"/>
  <c r="F6742" i="1"/>
  <c r="B6742" i="1"/>
  <c r="F6741" i="1"/>
  <c r="B6741" i="1"/>
  <c r="F6740" i="1"/>
  <c r="B6740" i="1"/>
  <c r="F6739" i="1"/>
  <c r="B6739" i="1"/>
  <c r="F6738" i="1"/>
  <c r="B6738" i="1"/>
  <c r="F6737" i="1"/>
  <c r="B6737" i="1"/>
  <c r="F6736" i="1"/>
  <c r="B6736" i="1"/>
  <c r="F6735" i="1"/>
  <c r="B6735" i="1"/>
  <c r="F6734" i="1"/>
  <c r="B6734" i="1"/>
  <c r="F6733" i="1"/>
  <c r="B6733" i="1"/>
  <c r="F6732" i="1"/>
  <c r="B6732" i="1"/>
  <c r="F6731" i="1"/>
  <c r="B6731" i="1"/>
  <c r="F6730" i="1"/>
  <c r="B6730" i="1"/>
  <c r="F6729" i="1"/>
  <c r="B6729" i="1"/>
  <c r="F6728" i="1"/>
  <c r="B6728" i="1"/>
  <c r="F6727" i="1"/>
  <c r="B6727" i="1"/>
  <c r="F6726" i="1"/>
  <c r="B6726" i="1"/>
  <c r="F6725" i="1"/>
  <c r="B6725" i="1"/>
  <c r="F6724" i="1"/>
  <c r="B6724" i="1"/>
  <c r="F6723" i="1"/>
  <c r="B6723" i="1"/>
  <c r="F6722" i="1"/>
  <c r="B6722" i="1"/>
  <c r="F6721" i="1"/>
  <c r="B6721" i="1"/>
  <c r="F6720" i="1"/>
  <c r="B6720" i="1"/>
  <c r="F6719" i="1"/>
  <c r="B6719" i="1"/>
  <c r="F6718" i="1"/>
  <c r="B6718" i="1"/>
  <c r="F6717" i="1"/>
  <c r="B6717" i="1"/>
  <c r="F6716" i="1"/>
  <c r="B6716" i="1"/>
  <c r="F6715" i="1"/>
  <c r="B6715" i="1"/>
  <c r="F6714" i="1"/>
  <c r="B6714" i="1"/>
  <c r="F6713" i="1"/>
  <c r="B6713" i="1"/>
  <c r="F6712" i="1"/>
  <c r="B6712" i="1"/>
  <c r="F6711" i="1"/>
  <c r="B6711" i="1"/>
  <c r="F6710" i="1"/>
  <c r="B6710" i="1"/>
  <c r="F6709" i="1"/>
  <c r="B6709" i="1"/>
  <c r="F6708" i="1"/>
  <c r="B6708" i="1"/>
  <c r="F6707" i="1"/>
  <c r="B6707" i="1"/>
  <c r="F6706" i="1"/>
  <c r="B6706" i="1"/>
  <c r="F6705" i="1"/>
  <c r="B6705" i="1"/>
  <c r="F6704" i="1"/>
  <c r="B6704" i="1"/>
  <c r="F6703" i="1"/>
  <c r="B6703" i="1"/>
  <c r="F6702" i="1"/>
  <c r="B6702" i="1"/>
  <c r="F6701" i="1"/>
  <c r="B6701" i="1"/>
  <c r="F6700" i="1"/>
  <c r="B6700" i="1"/>
  <c r="F6699" i="1"/>
  <c r="B6699" i="1"/>
  <c r="F6698" i="1"/>
  <c r="B6698" i="1"/>
  <c r="F6697" i="1"/>
  <c r="B6697" i="1"/>
  <c r="F6696" i="1"/>
  <c r="B6696" i="1"/>
  <c r="F6695" i="1"/>
  <c r="B6695" i="1"/>
  <c r="F6694" i="1"/>
  <c r="B6694" i="1"/>
  <c r="F6693" i="1"/>
  <c r="B6693" i="1"/>
  <c r="F6692" i="1"/>
  <c r="B6692" i="1"/>
  <c r="F6691" i="1"/>
  <c r="B6691" i="1"/>
  <c r="F6690" i="1"/>
  <c r="B6690" i="1"/>
  <c r="F6689" i="1"/>
  <c r="B6689" i="1"/>
  <c r="F6688" i="1"/>
  <c r="B6688" i="1"/>
  <c r="F6687" i="1"/>
  <c r="B6687" i="1"/>
  <c r="F6686" i="1"/>
  <c r="B6686" i="1"/>
  <c r="F6685" i="1"/>
  <c r="B6685" i="1"/>
  <c r="F6684" i="1"/>
  <c r="B6684" i="1"/>
  <c r="F6683" i="1"/>
  <c r="B6683" i="1"/>
  <c r="F6682" i="1"/>
  <c r="B6682" i="1"/>
  <c r="F6681" i="1"/>
  <c r="B6681" i="1"/>
  <c r="F6680" i="1"/>
  <c r="B6680" i="1"/>
  <c r="F6679" i="1"/>
  <c r="B6679" i="1"/>
  <c r="F6678" i="1"/>
  <c r="B6678" i="1"/>
  <c r="F6677" i="1"/>
  <c r="B6677" i="1"/>
  <c r="F6676" i="1"/>
  <c r="B6676" i="1"/>
  <c r="F6675" i="1"/>
  <c r="B6675" i="1"/>
  <c r="F6674" i="1"/>
  <c r="B6674" i="1"/>
  <c r="F6673" i="1"/>
  <c r="B6673" i="1"/>
  <c r="F6672" i="1"/>
  <c r="B6672" i="1"/>
  <c r="F6671" i="1"/>
  <c r="B6671" i="1"/>
  <c r="F6670" i="1"/>
  <c r="B6670" i="1"/>
  <c r="F6669" i="1"/>
  <c r="B6669" i="1"/>
  <c r="F6668" i="1"/>
  <c r="B6668" i="1"/>
  <c r="F6667" i="1"/>
  <c r="B6667" i="1"/>
  <c r="F6666" i="1"/>
  <c r="B6666" i="1"/>
  <c r="F6665" i="1"/>
  <c r="B6665" i="1"/>
  <c r="F6664" i="1"/>
  <c r="B6664" i="1"/>
  <c r="F6663" i="1"/>
  <c r="B6663" i="1"/>
  <c r="F6662" i="1"/>
  <c r="B6662" i="1"/>
  <c r="F6661" i="1"/>
  <c r="B6661" i="1"/>
  <c r="F6660" i="1"/>
  <c r="B6660" i="1"/>
  <c r="F6659" i="1"/>
  <c r="B6659" i="1"/>
  <c r="F6658" i="1"/>
  <c r="B6658" i="1"/>
  <c r="F6657" i="1"/>
  <c r="B6657" i="1"/>
  <c r="F6656" i="1"/>
  <c r="B6656" i="1"/>
  <c r="F6655" i="1"/>
  <c r="B6655" i="1"/>
  <c r="F6654" i="1"/>
  <c r="B6654" i="1"/>
  <c r="F6653" i="1"/>
  <c r="B6653" i="1"/>
  <c r="F6652" i="1"/>
  <c r="B6652" i="1"/>
  <c r="F6651" i="1"/>
  <c r="B6651" i="1"/>
  <c r="F6650" i="1"/>
  <c r="B6650" i="1"/>
  <c r="F6649" i="1"/>
  <c r="B6649" i="1"/>
  <c r="F6648" i="1"/>
  <c r="B6648" i="1"/>
  <c r="F6647" i="1"/>
  <c r="B6647" i="1"/>
  <c r="F6646" i="1"/>
  <c r="B6646" i="1"/>
  <c r="F6645" i="1"/>
  <c r="B6645" i="1"/>
  <c r="F6644" i="1"/>
  <c r="B6644" i="1"/>
  <c r="F6643" i="1"/>
  <c r="B6643" i="1"/>
  <c r="F6642" i="1"/>
  <c r="B6642" i="1"/>
  <c r="F6641" i="1"/>
  <c r="B6641" i="1"/>
  <c r="F6640" i="1"/>
  <c r="B6640" i="1"/>
  <c r="F6639" i="1"/>
  <c r="B6639" i="1"/>
  <c r="F6638" i="1"/>
  <c r="B6638" i="1"/>
  <c r="F6637" i="1"/>
  <c r="B6637" i="1"/>
  <c r="F6636" i="1"/>
  <c r="B6636" i="1"/>
  <c r="F6635" i="1"/>
  <c r="B6635" i="1"/>
  <c r="F6634" i="1"/>
  <c r="B6634" i="1"/>
  <c r="F6633" i="1"/>
  <c r="B6633" i="1"/>
  <c r="F6632" i="1"/>
  <c r="B6632" i="1"/>
  <c r="F6631" i="1"/>
  <c r="B6631" i="1"/>
  <c r="F6630" i="1"/>
  <c r="B6630" i="1"/>
  <c r="F6629" i="1"/>
  <c r="B6629" i="1"/>
  <c r="F6628" i="1"/>
  <c r="B6628" i="1"/>
  <c r="F6627" i="1"/>
  <c r="B6627" i="1"/>
  <c r="F6626" i="1"/>
  <c r="B6626" i="1"/>
  <c r="F6625" i="1"/>
  <c r="B6625" i="1"/>
  <c r="F6624" i="1"/>
  <c r="B6624" i="1"/>
  <c r="F6623" i="1"/>
  <c r="B6623" i="1"/>
  <c r="F6622" i="1"/>
  <c r="B6622" i="1"/>
  <c r="F6621" i="1"/>
  <c r="B6621" i="1"/>
  <c r="F6620" i="1"/>
  <c r="B6620" i="1"/>
  <c r="F6619" i="1"/>
  <c r="B6619" i="1"/>
  <c r="F6618" i="1"/>
  <c r="B6618" i="1"/>
  <c r="F6617" i="1"/>
  <c r="B6617" i="1"/>
  <c r="F6616" i="1"/>
  <c r="B6616" i="1"/>
  <c r="F6615" i="1"/>
  <c r="B6615" i="1"/>
  <c r="F6614" i="1"/>
  <c r="B6614" i="1"/>
  <c r="F6613" i="1"/>
  <c r="B6613" i="1"/>
  <c r="F6612" i="1"/>
  <c r="B6612" i="1"/>
  <c r="F6611" i="1"/>
  <c r="B6611" i="1"/>
  <c r="F6610" i="1"/>
  <c r="B6610" i="1"/>
  <c r="F6609" i="1"/>
  <c r="B6609" i="1"/>
  <c r="F6608" i="1"/>
  <c r="B6608" i="1"/>
  <c r="F6607" i="1"/>
  <c r="B6607" i="1"/>
  <c r="F6606" i="1"/>
  <c r="B6606" i="1"/>
  <c r="F6605" i="1"/>
  <c r="B6605" i="1"/>
  <c r="F6604" i="1"/>
  <c r="B6604" i="1"/>
  <c r="F6603" i="1"/>
  <c r="B6603" i="1"/>
  <c r="F6602" i="1"/>
  <c r="B6602" i="1"/>
  <c r="F6601" i="1"/>
  <c r="B6601" i="1"/>
  <c r="F6600" i="1"/>
  <c r="B6600" i="1"/>
  <c r="F6599" i="1"/>
  <c r="B6599" i="1"/>
  <c r="F6598" i="1"/>
  <c r="B6598" i="1"/>
  <c r="F6597" i="1"/>
  <c r="B6597" i="1"/>
  <c r="F6596" i="1"/>
  <c r="B6596" i="1"/>
  <c r="F6595" i="1"/>
  <c r="B6595" i="1"/>
  <c r="F6594" i="1"/>
  <c r="B6594" i="1"/>
  <c r="F6593" i="1"/>
  <c r="B6593" i="1"/>
  <c r="F6592" i="1"/>
  <c r="B6592" i="1"/>
  <c r="F6591" i="1"/>
  <c r="B6591" i="1"/>
  <c r="F6590" i="1"/>
  <c r="B6590" i="1"/>
  <c r="F6589" i="1"/>
  <c r="B6589" i="1"/>
  <c r="F6588" i="1"/>
  <c r="B6588" i="1"/>
  <c r="F6587" i="1"/>
  <c r="B6587" i="1"/>
  <c r="F6586" i="1"/>
  <c r="B6586" i="1"/>
  <c r="F6585" i="1"/>
  <c r="B6585" i="1"/>
  <c r="F6584" i="1"/>
  <c r="B6584" i="1"/>
  <c r="F6583" i="1"/>
  <c r="B6583" i="1"/>
  <c r="F6582" i="1"/>
  <c r="B6582" i="1"/>
  <c r="F6581" i="1"/>
  <c r="B6581" i="1"/>
  <c r="F6580" i="1"/>
  <c r="B6580" i="1"/>
  <c r="F6579" i="1"/>
  <c r="B6579" i="1"/>
  <c r="F6578" i="1"/>
  <c r="B6578" i="1"/>
  <c r="F6577" i="1"/>
  <c r="B6577" i="1"/>
  <c r="F6576" i="1"/>
  <c r="B6576" i="1"/>
  <c r="F6575" i="1"/>
  <c r="B6575" i="1"/>
  <c r="F6574" i="1"/>
  <c r="B6574" i="1"/>
  <c r="F6573" i="1"/>
  <c r="B6573" i="1"/>
  <c r="F6572" i="1"/>
  <c r="B6572" i="1"/>
  <c r="F6571" i="1"/>
  <c r="B6571" i="1"/>
  <c r="F6570" i="1"/>
  <c r="B6570" i="1"/>
  <c r="F6569" i="1"/>
  <c r="B6569" i="1"/>
  <c r="F6568" i="1"/>
  <c r="B6568" i="1"/>
  <c r="F6567" i="1"/>
  <c r="B6567" i="1"/>
  <c r="F6566" i="1"/>
  <c r="B6566" i="1"/>
  <c r="F6565" i="1"/>
  <c r="B6565" i="1"/>
  <c r="F6564" i="1"/>
  <c r="B6564" i="1"/>
  <c r="F6563" i="1"/>
  <c r="B6563" i="1"/>
  <c r="F6562" i="1"/>
  <c r="B6562" i="1"/>
  <c r="F6561" i="1"/>
  <c r="B6561" i="1"/>
  <c r="F6560" i="1"/>
  <c r="B6560" i="1"/>
  <c r="F6559" i="1"/>
  <c r="B6559" i="1"/>
  <c r="F6558" i="1"/>
  <c r="B6558" i="1"/>
  <c r="F6557" i="1"/>
  <c r="B6557" i="1"/>
  <c r="F6556" i="1"/>
  <c r="B6556" i="1"/>
  <c r="F6555" i="1"/>
  <c r="B6555" i="1"/>
  <c r="F6554" i="1"/>
  <c r="B6554" i="1"/>
  <c r="F6553" i="1"/>
  <c r="B6553" i="1"/>
  <c r="F6552" i="1"/>
  <c r="B6552" i="1"/>
  <c r="F6551" i="1"/>
  <c r="B6551" i="1"/>
  <c r="F6550" i="1"/>
  <c r="B6550" i="1"/>
  <c r="F6549" i="1"/>
  <c r="B6549" i="1"/>
  <c r="F6548" i="1"/>
  <c r="B6548" i="1"/>
  <c r="F6547" i="1"/>
  <c r="B6547" i="1"/>
  <c r="F6546" i="1"/>
  <c r="B6546" i="1"/>
  <c r="F6545" i="1"/>
  <c r="B6545" i="1"/>
  <c r="F6544" i="1"/>
  <c r="B6544" i="1"/>
  <c r="F6543" i="1"/>
  <c r="B6543" i="1"/>
  <c r="F6542" i="1"/>
  <c r="B6542" i="1"/>
  <c r="F6541" i="1"/>
  <c r="B6541" i="1"/>
  <c r="F6540" i="1"/>
  <c r="B6540" i="1"/>
  <c r="F6539" i="1"/>
  <c r="B6539" i="1"/>
  <c r="F6538" i="1"/>
  <c r="B6538" i="1"/>
  <c r="F6537" i="1"/>
  <c r="B6537" i="1"/>
  <c r="F6536" i="1"/>
  <c r="B6536" i="1"/>
  <c r="F6535" i="1"/>
  <c r="B6535" i="1"/>
  <c r="F6534" i="1"/>
  <c r="B6534" i="1"/>
  <c r="F6533" i="1"/>
  <c r="B6533" i="1"/>
  <c r="F6532" i="1"/>
  <c r="B6532" i="1"/>
  <c r="F6531" i="1"/>
  <c r="B6531" i="1"/>
  <c r="F6530" i="1"/>
  <c r="B6530" i="1"/>
  <c r="F6529" i="1"/>
  <c r="B6529" i="1"/>
  <c r="F6528" i="1"/>
  <c r="B6528" i="1"/>
  <c r="F6527" i="1"/>
  <c r="B6527" i="1"/>
  <c r="F6526" i="1"/>
  <c r="B6526" i="1"/>
  <c r="F6525" i="1"/>
  <c r="B6525" i="1"/>
  <c r="F6524" i="1"/>
  <c r="B6524" i="1"/>
  <c r="F6523" i="1"/>
  <c r="B6523" i="1"/>
  <c r="F6522" i="1"/>
  <c r="B6522" i="1"/>
  <c r="F6521" i="1"/>
  <c r="B6521" i="1"/>
  <c r="F6520" i="1"/>
  <c r="B6520" i="1"/>
  <c r="F6519" i="1"/>
  <c r="B6519" i="1"/>
  <c r="F6518" i="1"/>
  <c r="B6518" i="1"/>
  <c r="F6517" i="1"/>
  <c r="B6517" i="1"/>
  <c r="F6516" i="1"/>
  <c r="B6516" i="1"/>
  <c r="F6515" i="1"/>
  <c r="B6515" i="1"/>
  <c r="F6514" i="1"/>
  <c r="B6514" i="1"/>
  <c r="F6513" i="1"/>
  <c r="B6513" i="1"/>
  <c r="F6512" i="1"/>
  <c r="B6512" i="1"/>
  <c r="F6511" i="1"/>
  <c r="B6511" i="1"/>
  <c r="F6510" i="1"/>
  <c r="B6510" i="1"/>
  <c r="F6509" i="1"/>
  <c r="B6509" i="1"/>
  <c r="F6508" i="1"/>
  <c r="B6508" i="1"/>
  <c r="F6507" i="1"/>
  <c r="B6507" i="1"/>
  <c r="F6506" i="1"/>
  <c r="B6506" i="1"/>
  <c r="F6505" i="1"/>
  <c r="B6505" i="1"/>
  <c r="F6504" i="1"/>
  <c r="B6504" i="1"/>
  <c r="F6503" i="1"/>
  <c r="B6503" i="1"/>
  <c r="F6502" i="1"/>
  <c r="B6502" i="1"/>
  <c r="F6501" i="1"/>
  <c r="B6501" i="1"/>
  <c r="F6500" i="1"/>
  <c r="B6500" i="1"/>
  <c r="F6499" i="1"/>
  <c r="B6499" i="1"/>
  <c r="F6498" i="1"/>
  <c r="B6498" i="1"/>
  <c r="F6497" i="1"/>
  <c r="B6497" i="1"/>
  <c r="F6496" i="1"/>
  <c r="B6496" i="1"/>
  <c r="F6495" i="1"/>
  <c r="B6495" i="1"/>
  <c r="F6494" i="1"/>
  <c r="B6494" i="1"/>
  <c r="F6493" i="1"/>
  <c r="B6493" i="1"/>
  <c r="F6492" i="1"/>
  <c r="B6492" i="1"/>
  <c r="F6491" i="1"/>
  <c r="B6491" i="1"/>
  <c r="F6490" i="1"/>
  <c r="B6490" i="1"/>
  <c r="F6489" i="1"/>
  <c r="B6489" i="1"/>
  <c r="F6488" i="1"/>
  <c r="B6488" i="1"/>
  <c r="F6487" i="1"/>
  <c r="B6487" i="1"/>
  <c r="F6486" i="1"/>
  <c r="B6486" i="1"/>
  <c r="F6485" i="1"/>
  <c r="B6485" i="1"/>
  <c r="F6484" i="1"/>
  <c r="B6484" i="1"/>
  <c r="F6483" i="1"/>
  <c r="B6483" i="1"/>
  <c r="F6482" i="1"/>
  <c r="B6482" i="1"/>
  <c r="F6481" i="1"/>
  <c r="B6481" i="1"/>
  <c r="F6480" i="1"/>
  <c r="B6480" i="1"/>
  <c r="F6479" i="1"/>
  <c r="B6479" i="1"/>
  <c r="F6478" i="1"/>
  <c r="B6478" i="1"/>
  <c r="F6477" i="1"/>
  <c r="B6477" i="1"/>
  <c r="F6476" i="1"/>
  <c r="B6476" i="1"/>
  <c r="F6475" i="1"/>
  <c r="B6475" i="1"/>
  <c r="F6474" i="1"/>
  <c r="B6474" i="1"/>
  <c r="F6473" i="1"/>
  <c r="B6473" i="1"/>
  <c r="F6472" i="1"/>
  <c r="B6472" i="1"/>
  <c r="F6471" i="1"/>
  <c r="B6471" i="1"/>
  <c r="F6470" i="1"/>
  <c r="B6470" i="1"/>
  <c r="F6469" i="1"/>
  <c r="B6469" i="1"/>
  <c r="F6468" i="1"/>
  <c r="B6468" i="1"/>
  <c r="F6467" i="1"/>
  <c r="B6467" i="1"/>
  <c r="F6466" i="1"/>
  <c r="B6466" i="1"/>
  <c r="F6465" i="1"/>
  <c r="B6465" i="1"/>
  <c r="F6464" i="1"/>
  <c r="B6464" i="1"/>
  <c r="F6463" i="1"/>
  <c r="B6463" i="1"/>
  <c r="F6462" i="1"/>
  <c r="B6462" i="1"/>
  <c r="F6461" i="1"/>
  <c r="B6461" i="1"/>
  <c r="F6460" i="1"/>
  <c r="B6460" i="1"/>
  <c r="F6459" i="1"/>
  <c r="B6459" i="1"/>
  <c r="F6458" i="1"/>
  <c r="B6458" i="1"/>
  <c r="F6457" i="1"/>
  <c r="B6457" i="1"/>
  <c r="F6456" i="1"/>
  <c r="B6456" i="1"/>
  <c r="F6455" i="1"/>
  <c r="B6455" i="1"/>
  <c r="F6454" i="1"/>
  <c r="B6454" i="1"/>
  <c r="F6453" i="1"/>
  <c r="B6453" i="1"/>
  <c r="F6452" i="1"/>
  <c r="B6452" i="1"/>
  <c r="F6451" i="1"/>
  <c r="B6451" i="1"/>
  <c r="F6450" i="1"/>
  <c r="B6450" i="1"/>
  <c r="F6449" i="1"/>
  <c r="B6449" i="1"/>
  <c r="F6448" i="1"/>
  <c r="B6448" i="1"/>
  <c r="F6447" i="1"/>
  <c r="B6447" i="1"/>
  <c r="F6446" i="1"/>
  <c r="B6446" i="1"/>
  <c r="F6445" i="1"/>
  <c r="B6445" i="1"/>
  <c r="F6444" i="1"/>
  <c r="B6444" i="1"/>
  <c r="F6443" i="1"/>
  <c r="B6443" i="1"/>
  <c r="F6442" i="1"/>
  <c r="B6442" i="1"/>
  <c r="F6441" i="1"/>
  <c r="B6441" i="1"/>
  <c r="F6440" i="1"/>
  <c r="B6440" i="1"/>
  <c r="F6439" i="1"/>
  <c r="B6439" i="1"/>
  <c r="F6438" i="1"/>
  <c r="B6438" i="1"/>
  <c r="F6437" i="1"/>
  <c r="B6437" i="1"/>
  <c r="F6436" i="1"/>
  <c r="B6436" i="1"/>
  <c r="F6435" i="1"/>
  <c r="B6435" i="1"/>
  <c r="F6434" i="1"/>
  <c r="B6434" i="1"/>
  <c r="F6433" i="1"/>
  <c r="B6433" i="1"/>
  <c r="F6432" i="1"/>
  <c r="B6432" i="1"/>
  <c r="F6431" i="1"/>
  <c r="B6431" i="1"/>
  <c r="F6430" i="1"/>
  <c r="B6430" i="1"/>
  <c r="F6429" i="1"/>
  <c r="B6429" i="1"/>
  <c r="F6428" i="1"/>
  <c r="B6428" i="1"/>
  <c r="F6427" i="1"/>
  <c r="B6427" i="1"/>
  <c r="F6426" i="1"/>
  <c r="B6426" i="1"/>
  <c r="F6425" i="1"/>
  <c r="B6425" i="1"/>
  <c r="F6424" i="1"/>
  <c r="B6424" i="1"/>
  <c r="F6423" i="1"/>
  <c r="B6423" i="1"/>
  <c r="F6422" i="1"/>
  <c r="B6422" i="1"/>
  <c r="F6421" i="1"/>
  <c r="B6421" i="1"/>
  <c r="F6420" i="1"/>
  <c r="B6420" i="1"/>
  <c r="F6419" i="1"/>
  <c r="B6419" i="1"/>
  <c r="F6418" i="1"/>
  <c r="B6418" i="1"/>
  <c r="F6417" i="1"/>
  <c r="B6417" i="1"/>
  <c r="F6416" i="1"/>
  <c r="B6416" i="1"/>
  <c r="F6415" i="1"/>
  <c r="B6415" i="1"/>
  <c r="F6414" i="1"/>
  <c r="B6414" i="1"/>
  <c r="F6413" i="1"/>
  <c r="B6413" i="1"/>
  <c r="F6412" i="1"/>
  <c r="B6412" i="1"/>
  <c r="F6411" i="1"/>
  <c r="B6411" i="1"/>
  <c r="F6410" i="1"/>
  <c r="B6410" i="1"/>
  <c r="F6409" i="1"/>
  <c r="B6409" i="1"/>
  <c r="F6408" i="1"/>
  <c r="B6408" i="1"/>
  <c r="F6407" i="1"/>
  <c r="B6407" i="1"/>
  <c r="F6406" i="1"/>
  <c r="B6406" i="1"/>
  <c r="F6405" i="1"/>
  <c r="B6405" i="1"/>
  <c r="F6404" i="1"/>
  <c r="B6404" i="1"/>
  <c r="F6403" i="1"/>
  <c r="B6403" i="1"/>
  <c r="F6402" i="1"/>
  <c r="B6402" i="1"/>
  <c r="F6401" i="1"/>
  <c r="B6401" i="1"/>
  <c r="F6400" i="1"/>
  <c r="B6400" i="1"/>
  <c r="F6399" i="1"/>
  <c r="B6399" i="1"/>
  <c r="F6398" i="1"/>
  <c r="B6398" i="1"/>
  <c r="F6397" i="1"/>
  <c r="B6397" i="1"/>
  <c r="F6396" i="1"/>
  <c r="B6396" i="1"/>
  <c r="F6395" i="1"/>
  <c r="B6395" i="1"/>
  <c r="F6394" i="1"/>
  <c r="B6394" i="1"/>
  <c r="F6393" i="1"/>
  <c r="B6393" i="1"/>
  <c r="F6392" i="1"/>
  <c r="B6392" i="1"/>
  <c r="F6391" i="1"/>
  <c r="B6391" i="1"/>
  <c r="F6390" i="1"/>
  <c r="B6390" i="1"/>
  <c r="F6389" i="1"/>
  <c r="B6389" i="1"/>
  <c r="F6388" i="1"/>
  <c r="B6388" i="1"/>
  <c r="F6387" i="1"/>
  <c r="B6387" i="1"/>
  <c r="F6386" i="1"/>
  <c r="B6386" i="1"/>
  <c r="F6385" i="1"/>
  <c r="B6385" i="1"/>
  <c r="F6384" i="1"/>
  <c r="B6384" i="1"/>
  <c r="F6383" i="1"/>
  <c r="B6383" i="1"/>
  <c r="F6382" i="1"/>
  <c r="B6382" i="1"/>
  <c r="F6381" i="1"/>
  <c r="B6381" i="1"/>
  <c r="F6380" i="1"/>
  <c r="B6380" i="1"/>
  <c r="F6379" i="1"/>
  <c r="B6379" i="1"/>
  <c r="F6378" i="1"/>
  <c r="B6378" i="1"/>
  <c r="F6377" i="1"/>
  <c r="B6377" i="1"/>
  <c r="F6376" i="1"/>
  <c r="B6376" i="1"/>
  <c r="F6375" i="1"/>
  <c r="B6375" i="1"/>
  <c r="F6374" i="1"/>
  <c r="B6374" i="1"/>
  <c r="F6373" i="1"/>
  <c r="B6373" i="1"/>
  <c r="F6372" i="1"/>
  <c r="B6372" i="1"/>
  <c r="F6371" i="1"/>
  <c r="B6371" i="1"/>
  <c r="F6370" i="1"/>
  <c r="B6370" i="1"/>
  <c r="F6369" i="1"/>
  <c r="B6369" i="1"/>
  <c r="F6368" i="1"/>
  <c r="B6368" i="1"/>
  <c r="F6367" i="1"/>
  <c r="B6367" i="1"/>
  <c r="F6366" i="1"/>
  <c r="B6366" i="1"/>
  <c r="F6365" i="1"/>
  <c r="B6365" i="1"/>
  <c r="F6364" i="1"/>
  <c r="B6364" i="1"/>
  <c r="F6363" i="1"/>
  <c r="B6363" i="1"/>
  <c r="F6362" i="1"/>
  <c r="B6362" i="1"/>
  <c r="F6361" i="1"/>
  <c r="B6361" i="1"/>
  <c r="F6360" i="1"/>
  <c r="B6360" i="1"/>
  <c r="F6359" i="1"/>
  <c r="B6359" i="1"/>
  <c r="F6358" i="1"/>
  <c r="B6358" i="1"/>
  <c r="F6357" i="1"/>
  <c r="B6357" i="1"/>
  <c r="F6356" i="1"/>
  <c r="B6356" i="1"/>
  <c r="F6355" i="1"/>
  <c r="B6355" i="1"/>
  <c r="F6354" i="1"/>
  <c r="B6354" i="1"/>
  <c r="F6353" i="1"/>
  <c r="B6353" i="1"/>
  <c r="F6352" i="1"/>
  <c r="B6352" i="1"/>
  <c r="F6351" i="1"/>
  <c r="F6350" i="1"/>
  <c r="B6350" i="1"/>
  <c r="F6349" i="1"/>
  <c r="B6349" i="1"/>
  <c r="F6348" i="1"/>
  <c r="F6347" i="1"/>
  <c r="B6347" i="1"/>
  <c r="F6346" i="1"/>
  <c r="B6346" i="1"/>
  <c r="F6345" i="1"/>
  <c r="F6344" i="1"/>
  <c r="B6344" i="1"/>
  <c r="F6343" i="1"/>
  <c r="B6343" i="1"/>
  <c r="F6342" i="1"/>
  <c r="B6342" i="1"/>
  <c r="F6341" i="1"/>
  <c r="B6341" i="1"/>
  <c r="F6340" i="1"/>
  <c r="B6340" i="1"/>
  <c r="F6339" i="1"/>
  <c r="B6339" i="1"/>
  <c r="F6338" i="1"/>
  <c r="B6338" i="1"/>
  <c r="F6337" i="1"/>
  <c r="B6337" i="1"/>
  <c r="F6336" i="1"/>
  <c r="B6336" i="1"/>
  <c r="F6335" i="1"/>
  <c r="B6335" i="1"/>
  <c r="F6334" i="1"/>
  <c r="B6334" i="1"/>
  <c r="F6333" i="1"/>
  <c r="B6333" i="1"/>
  <c r="F6332" i="1"/>
  <c r="B6332" i="1"/>
  <c r="F6331" i="1"/>
  <c r="B6331" i="1"/>
  <c r="F6330" i="1"/>
  <c r="B6330" i="1"/>
  <c r="F6329" i="1"/>
  <c r="B6329" i="1"/>
  <c r="F6328" i="1"/>
  <c r="B6328" i="1"/>
  <c r="F6327" i="1"/>
  <c r="B6327" i="1"/>
  <c r="F6326" i="1"/>
  <c r="B6326" i="1"/>
  <c r="F6325" i="1"/>
  <c r="B6325" i="1"/>
  <c r="F6324" i="1"/>
  <c r="B6324" i="1"/>
  <c r="F6323" i="1"/>
  <c r="B6323" i="1"/>
  <c r="F6322" i="1"/>
  <c r="B6322" i="1"/>
  <c r="F6321" i="1"/>
  <c r="B6321" i="1"/>
  <c r="F6320" i="1"/>
  <c r="B6320" i="1"/>
  <c r="F6319" i="1"/>
  <c r="B6319" i="1"/>
  <c r="F6318" i="1"/>
  <c r="B6318" i="1"/>
  <c r="F6317" i="1"/>
  <c r="B6317" i="1"/>
  <c r="F6316" i="1"/>
  <c r="B6316" i="1"/>
  <c r="F6315" i="1"/>
  <c r="B6315" i="1"/>
  <c r="F6314" i="1"/>
  <c r="B6314" i="1"/>
  <c r="F6313" i="1"/>
  <c r="B6313" i="1"/>
  <c r="F6312" i="1"/>
  <c r="B6312" i="1"/>
  <c r="F6311" i="1"/>
  <c r="B6311" i="1"/>
  <c r="F6310" i="1"/>
  <c r="B6310" i="1"/>
  <c r="F6309" i="1"/>
  <c r="B6309" i="1"/>
  <c r="F6308" i="1"/>
  <c r="B6308" i="1"/>
  <c r="F6307" i="1"/>
  <c r="B6307" i="1"/>
  <c r="F6306" i="1"/>
  <c r="B6306" i="1"/>
  <c r="F6305" i="1"/>
  <c r="B6305" i="1"/>
  <c r="F6304" i="1"/>
  <c r="B6304" i="1"/>
  <c r="F6303" i="1"/>
  <c r="B6303" i="1"/>
  <c r="F6302" i="1"/>
  <c r="B6302" i="1"/>
  <c r="F6301" i="1"/>
  <c r="B6301" i="1"/>
  <c r="F6300" i="1"/>
  <c r="B6300" i="1"/>
  <c r="F6299" i="1"/>
  <c r="B6299" i="1"/>
  <c r="F6298" i="1"/>
  <c r="B6298" i="1"/>
  <c r="F6297" i="1"/>
  <c r="B6297" i="1"/>
  <c r="F6296" i="1"/>
  <c r="B6296" i="1"/>
  <c r="F6295" i="1"/>
  <c r="B6295" i="1"/>
  <c r="F6294" i="1"/>
  <c r="B6294" i="1"/>
  <c r="F6293" i="1"/>
  <c r="B6293" i="1"/>
  <c r="F6292" i="1"/>
  <c r="B6292" i="1"/>
  <c r="F6291" i="1"/>
  <c r="B6291" i="1"/>
  <c r="F6290" i="1"/>
  <c r="B6290" i="1"/>
  <c r="F6289" i="1"/>
  <c r="B6289" i="1"/>
  <c r="F6288" i="1"/>
  <c r="B6288" i="1"/>
  <c r="F6287" i="1"/>
  <c r="B6287" i="1"/>
  <c r="F6286" i="1"/>
  <c r="B6286" i="1"/>
  <c r="F6285" i="1"/>
  <c r="B6285" i="1"/>
  <c r="F6284" i="1"/>
  <c r="B6284" i="1"/>
  <c r="F6283" i="1"/>
  <c r="B6283" i="1"/>
  <c r="F6282" i="1"/>
  <c r="B6282" i="1"/>
  <c r="F6281" i="1"/>
  <c r="B6281" i="1"/>
  <c r="F6280" i="1"/>
  <c r="B6280" i="1"/>
  <c r="F6279" i="1"/>
  <c r="B6279" i="1"/>
  <c r="F6278" i="1"/>
  <c r="B6278" i="1"/>
  <c r="F6277" i="1"/>
  <c r="B6277" i="1"/>
  <c r="F6276" i="1"/>
  <c r="B6276" i="1"/>
  <c r="F6275" i="1"/>
  <c r="B6275" i="1"/>
  <c r="F6274" i="1"/>
  <c r="B6274" i="1"/>
  <c r="F6273" i="1"/>
  <c r="B6273" i="1"/>
  <c r="F6272" i="1"/>
  <c r="B6272" i="1"/>
  <c r="F6271" i="1"/>
  <c r="B6271" i="1"/>
  <c r="F6270" i="1"/>
  <c r="B6270" i="1"/>
  <c r="F6269" i="1"/>
  <c r="B6269" i="1"/>
  <c r="F6268" i="1"/>
  <c r="B6268" i="1"/>
  <c r="F6267" i="1"/>
  <c r="B6267" i="1"/>
  <c r="F6266" i="1"/>
  <c r="B6266" i="1"/>
  <c r="F6265" i="1"/>
  <c r="B6265" i="1"/>
  <c r="F6264" i="1"/>
  <c r="B6264" i="1"/>
  <c r="F6263" i="1"/>
  <c r="B6263" i="1"/>
  <c r="F6262" i="1"/>
  <c r="B6262" i="1"/>
  <c r="F6261" i="1"/>
  <c r="B6261" i="1"/>
  <c r="F6260" i="1"/>
  <c r="B6260" i="1"/>
  <c r="F6259" i="1"/>
  <c r="B6259" i="1"/>
  <c r="F6258" i="1"/>
  <c r="B6258" i="1"/>
  <c r="F6257" i="1"/>
  <c r="B6257" i="1"/>
  <c r="F6256" i="1"/>
  <c r="B6256" i="1"/>
  <c r="F6255" i="1"/>
  <c r="B6255" i="1"/>
  <c r="F6254" i="1"/>
  <c r="B6254" i="1"/>
  <c r="F6253" i="1"/>
  <c r="B6253" i="1"/>
  <c r="F6252" i="1"/>
  <c r="B6252" i="1"/>
  <c r="F6251" i="1"/>
  <c r="B6251" i="1"/>
  <c r="F6250" i="1"/>
  <c r="B6250" i="1"/>
  <c r="F6249" i="1"/>
  <c r="B6249" i="1"/>
  <c r="F6248" i="1"/>
  <c r="B6248" i="1"/>
  <c r="F6247" i="1"/>
  <c r="B6247" i="1"/>
  <c r="F6246" i="1"/>
  <c r="B6246" i="1"/>
  <c r="F6245" i="1"/>
  <c r="B6245" i="1"/>
  <c r="F6244" i="1"/>
  <c r="B6244" i="1"/>
  <c r="F6243" i="1"/>
  <c r="B6243" i="1"/>
  <c r="F6242" i="1"/>
  <c r="B6242" i="1"/>
  <c r="F6241" i="1"/>
  <c r="B6241" i="1"/>
  <c r="F6240" i="1"/>
  <c r="B6240" i="1"/>
  <c r="F6239" i="1"/>
  <c r="B6239" i="1"/>
  <c r="F6238" i="1"/>
  <c r="B6238" i="1"/>
  <c r="F6237" i="1"/>
  <c r="B6237" i="1"/>
  <c r="F6236" i="1"/>
  <c r="B6236" i="1"/>
  <c r="F6235" i="1"/>
  <c r="B6235" i="1"/>
  <c r="F6234" i="1"/>
  <c r="B6234" i="1"/>
  <c r="F6233" i="1"/>
  <c r="B6233" i="1"/>
  <c r="F6232" i="1"/>
  <c r="B6232" i="1"/>
  <c r="F6231" i="1"/>
  <c r="B6231" i="1"/>
  <c r="F6230" i="1"/>
  <c r="B6230" i="1"/>
  <c r="F6229" i="1"/>
  <c r="B6229" i="1"/>
  <c r="F6228" i="1"/>
  <c r="B6228" i="1"/>
  <c r="F6227" i="1"/>
  <c r="B6227" i="1"/>
  <c r="F6226" i="1"/>
  <c r="B6226" i="1"/>
  <c r="F6225" i="1"/>
  <c r="B6225" i="1"/>
  <c r="F6224" i="1"/>
  <c r="B6224" i="1"/>
  <c r="F6223" i="1"/>
  <c r="B6223" i="1"/>
  <c r="F6222" i="1"/>
  <c r="B6222" i="1"/>
  <c r="F6221" i="1"/>
  <c r="B6221" i="1"/>
  <c r="F6220" i="1"/>
  <c r="B6220" i="1"/>
  <c r="F6219" i="1"/>
  <c r="B6219" i="1"/>
  <c r="F6218" i="1"/>
  <c r="B6218" i="1"/>
  <c r="F6217" i="1"/>
  <c r="B6217" i="1"/>
  <c r="F6216" i="1"/>
  <c r="B6216" i="1"/>
  <c r="F6215" i="1"/>
  <c r="B6215" i="1"/>
  <c r="F6214" i="1"/>
  <c r="B6214" i="1"/>
  <c r="F6213" i="1"/>
  <c r="B6213" i="1"/>
  <c r="F6212" i="1"/>
  <c r="B6212" i="1"/>
  <c r="F6211" i="1"/>
  <c r="B6211" i="1"/>
  <c r="F6210" i="1"/>
  <c r="B6210" i="1"/>
  <c r="F6209" i="1"/>
  <c r="B6209" i="1"/>
  <c r="F6208" i="1"/>
  <c r="B6208" i="1"/>
  <c r="F6207" i="1"/>
  <c r="B6207" i="1"/>
  <c r="F6206" i="1"/>
  <c r="B6206" i="1"/>
  <c r="F6205" i="1"/>
  <c r="B6205" i="1"/>
  <c r="F6204" i="1"/>
  <c r="B6204" i="1"/>
  <c r="F6203" i="1"/>
  <c r="B6203" i="1"/>
  <c r="F6202" i="1"/>
  <c r="B6202" i="1"/>
  <c r="F6201" i="1"/>
  <c r="B6201" i="1"/>
  <c r="F6200" i="1"/>
  <c r="B6200" i="1"/>
  <c r="F6199" i="1"/>
  <c r="B6199" i="1"/>
  <c r="F6198" i="1"/>
  <c r="B6198" i="1"/>
  <c r="F6197" i="1"/>
  <c r="B6197" i="1"/>
  <c r="F6196" i="1"/>
  <c r="B6196" i="1"/>
  <c r="F6195" i="1"/>
  <c r="B6195" i="1"/>
  <c r="F6194" i="1"/>
  <c r="B6194" i="1"/>
  <c r="F6193" i="1"/>
  <c r="B6193" i="1"/>
  <c r="F6192" i="1"/>
  <c r="B6192" i="1"/>
  <c r="F6191" i="1"/>
  <c r="B6191" i="1"/>
  <c r="F6190" i="1"/>
  <c r="B6190" i="1"/>
  <c r="F6189" i="1"/>
  <c r="B6189" i="1"/>
  <c r="F6188" i="1"/>
  <c r="B6188" i="1"/>
  <c r="F6187" i="1"/>
  <c r="B6187" i="1"/>
  <c r="F6186" i="1"/>
  <c r="B6186" i="1"/>
  <c r="F6185" i="1"/>
  <c r="B6185" i="1"/>
  <c r="F6184" i="1"/>
  <c r="B6184" i="1"/>
  <c r="F6183" i="1"/>
  <c r="B6183" i="1"/>
  <c r="F6182" i="1"/>
  <c r="B6182" i="1"/>
  <c r="F6181" i="1"/>
  <c r="B6181" i="1"/>
  <c r="F6180" i="1"/>
  <c r="B6180" i="1"/>
  <c r="F6179" i="1"/>
  <c r="B6179" i="1"/>
  <c r="F6178" i="1"/>
  <c r="B6178" i="1"/>
  <c r="F6177" i="1"/>
  <c r="B6177" i="1"/>
  <c r="F6176" i="1"/>
  <c r="B6176" i="1"/>
  <c r="F6175" i="1"/>
  <c r="B6175" i="1"/>
  <c r="F6174" i="1"/>
  <c r="B6174" i="1"/>
  <c r="F6173" i="1"/>
  <c r="B6173" i="1"/>
  <c r="F6172" i="1"/>
  <c r="B6172" i="1"/>
  <c r="F6171" i="1"/>
  <c r="B6171" i="1"/>
  <c r="F6170" i="1"/>
  <c r="B6170" i="1"/>
  <c r="F6169" i="1"/>
  <c r="B6169" i="1"/>
  <c r="F6168" i="1"/>
  <c r="B6168" i="1"/>
  <c r="F6167" i="1"/>
  <c r="B6167" i="1"/>
  <c r="F6166" i="1"/>
  <c r="B6166" i="1"/>
  <c r="F6165" i="1"/>
  <c r="B6165" i="1"/>
  <c r="F6164" i="1"/>
  <c r="B6164" i="1"/>
  <c r="F6163" i="1"/>
  <c r="B6163" i="1"/>
  <c r="F6162" i="1"/>
  <c r="B6162" i="1"/>
  <c r="F6161" i="1"/>
  <c r="B6161" i="1"/>
  <c r="F6160" i="1"/>
  <c r="B6160" i="1"/>
  <c r="F6159" i="1"/>
  <c r="B6159" i="1"/>
  <c r="F6158" i="1"/>
  <c r="B6158" i="1"/>
  <c r="F6157" i="1"/>
  <c r="B6157" i="1"/>
  <c r="F6156" i="1"/>
  <c r="B6156" i="1"/>
  <c r="F6155" i="1"/>
  <c r="B6155" i="1"/>
  <c r="F6154" i="1"/>
  <c r="B6154" i="1"/>
  <c r="F6153" i="1"/>
  <c r="B6153" i="1"/>
  <c r="F6152" i="1"/>
  <c r="B6152" i="1"/>
  <c r="F6151" i="1"/>
  <c r="B6151" i="1"/>
  <c r="F6150" i="1"/>
  <c r="B6150" i="1"/>
  <c r="F6149" i="1"/>
  <c r="B6149" i="1"/>
  <c r="F6148" i="1"/>
  <c r="B6148" i="1"/>
  <c r="F6147" i="1"/>
  <c r="B6147" i="1"/>
  <c r="F6146" i="1"/>
  <c r="B6146" i="1"/>
  <c r="F6145" i="1"/>
  <c r="B6145" i="1"/>
  <c r="F6144" i="1"/>
  <c r="B6144" i="1"/>
  <c r="F6143" i="1"/>
  <c r="B6143" i="1"/>
  <c r="F6142" i="1"/>
  <c r="B6142" i="1"/>
  <c r="F6141" i="1"/>
  <c r="B6141" i="1"/>
  <c r="F6140" i="1"/>
  <c r="B6140" i="1"/>
  <c r="F6139" i="1"/>
  <c r="B6139" i="1"/>
  <c r="F6138" i="1"/>
  <c r="B6138" i="1"/>
  <c r="F6137" i="1"/>
  <c r="B6137" i="1"/>
  <c r="F6136" i="1"/>
  <c r="B6136" i="1"/>
  <c r="F6135" i="1"/>
  <c r="B6135" i="1"/>
  <c r="F6134" i="1"/>
  <c r="B6134" i="1"/>
  <c r="F6133" i="1"/>
  <c r="B6133" i="1"/>
  <c r="F6132" i="1"/>
  <c r="B6132" i="1"/>
  <c r="F6131" i="1"/>
  <c r="B6131" i="1"/>
  <c r="F6130" i="1"/>
  <c r="B6130" i="1"/>
  <c r="F6129" i="1"/>
  <c r="B6129" i="1"/>
  <c r="F6128" i="1"/>
  <c r="B6128" i="1"/>
  <c r="F6127" i="1"/>
  <c r="B6127" i="1"/>
  <c r="F6126" i="1"/>
  <c r="B6126" i="1"/>
  <c r="F6125" i="1"/>
  <c r="B6125" i="1"/>
  <c r="F6124" i="1"/>
  <c r="B6124" i="1"/>
  <c r="F6123" i="1"/>
  <c r="B6123" i="1"/>
  <c r="F6122" i="1"/>
  <c r="B6122" i="1"/>
  <c r="F6121" i="1"/>
  <c r="B6121" i="1"/>
  <c r="F6120" i="1"/>
  <c r="B6120" i="1"/>
  <c r="F6119" i="1"/>
  <c r="B6119" i="1"/>
  <c r="F6118" i="1"/>
  <c r="B6118" i="1"/>
  <c r="F6117" i="1"/>
  <c r="B6117" i="1"/>
  <c r="F6116" i="1"/>
  <c r="B6116" i="1"/>
  <c r="F6115" i="1"/>
  <c r="B6115" i="1"/>
  <c r="F6114" i="1"/>
  <c r="B6114" i="1"/>
  <c r="F6113" i="1"/>
  <c r="B6113" i="1"/>
  <c r="F6112" i="1"/>
  <c r="B6112" i="1"/>
  <c r="F6111" i="1"/>
  <c r="B6111" i="1"/>
  <c r="F6110" i="1"/>
  <c r="B6110" i="1"/>
  <c r="F6109" i="1"/>
  <c r="B6109" i="1"/>
  <c r="F6108" i="1"/>
  <c r="B6108" i="1"/>
  <c r="F6107" i="1"/>
  <c r="B6107" i="1"/>
  <c r="F6106" i="1"/>
  <c r="B6106" i="1"/>
  <c r="F6105" i="1"/>
  <c r="B6105" i="1"/>
  <c r="F6104" i="1"/>
  <c r="B6104" i="1"/>
  <c r="F6103" i="1"/>
  <c r="B6103" i="1"/>
  <c r="F6102" i="1"/>
  <c r="B6102" i="1"/>
  <c r="F6101" i="1"/>
  <c r="B6101" i="1"/>
  <c r="F6100" i="1"/>
  <c r="B6100" i="1"/>
  <c r="F6099" i="1"/>
  <c r="B6099" i="1"/>
  <c r="F6098" i="1"/>
  <c r="B6098" i="1"/>
  <c r="F6097" i="1"/>
  <c r="B6097" i="1"/>
  <c r="F6096" i="1"/>
  <c r="B6096" i="1"/>
  <c r="F6095" i="1"/>
  <c r="B6095" i="1"/>
  <c r="F6094" i="1"/>
  <c r="B6094" i="1"/>
  <c r="F6093" i="1"/>
  <c r="B6093" i="1"/>
  <c r="F6092" i="1"/>
  <c r="B6092" i="1"/>
  <c r="F6091" i="1"/>
  <c r="B6091" i="1"/>
  <c r="F6090" i="1"/>
  <c r="B6090" i="1"/>
  <c r="F6089" i="1"/>
  <c r="B6089" i="1"/>
  <c r="F6088" i="1"/>
  <c r="B6088" i="1"/>
  <c r="F6087" i="1"/>
  <c r="B6087" i="1"/>
  <c r="F6086" i="1"/>
  <c r="B6086" i="1"/>
  <c r="F6085" i="1"/>
  <c r="B6085" i="1"/>
  <c r="F6084" i="1"/>
  <c r="B6084" i="1"/>
  <c r="F6083" i="1"/>
  <c r="B6083" i="1"/>
  <c r="F6082" i="1"/>
  <c r="B6082" i="1"/>
  <c r="F6081" i="1"/>
  <c r="B6081" i="1"/>
  <c r="F6080" i="1"/>
  <c r="B6080" i="1"/>
  <c r="F6079" i="1"/>
  <c r="B6079" i="1"/>
  <c r="F6078" i="1"/>
  <c r="B6078" i="1"/>
  <c r="F6077" i="1"/>
  <c r="B6077" i="1"/>
  <c r="F6076" i="1"/>
  <c r="B6076" i="1"/>
  <c r="F6075" i="1"/>
  <c r="B6075" i="1"/>
  <c r="F6074" i="1"/>
  <c r="B6074" i="1"/>
  <c r="F6073" i="1"/>
  <c r="B6073" i="1"/>
  <c r="F6072" i="1"/>
  <c r="B6072" i="1"/>
  <c r="F6071" i="1"/>
  <c r="B6071" i="1"/>
  <c r="F6070" i="1"/>
  <c r="B6070" i="1"/>
  <c r="F6069" i="1"/>
  <c r="B6069" i="1"/>
  <c r="F6068" i="1"/>
  <c r="B6068" i="1"/>
  <c r="F6067" i="1"/>
  <c r="B6067" i="1"/>
  <c r="F6066" i="1"/>
  <c r="B6066" i="1"/>
  <c r="F6065" i="1"/>
  <c r="B6065" i="1"/>
  <c r="F6064" i="1"/>
  <c r="B6064" i="1"/>
  <c r="F6063" i="1"/>
  <c r="B6063" i="1"/>
  <c r="F6062" i="1"/>
  <c r="B6062" i="1"/>
  <c r="F6061" i="1"/>
  <c r="B6061" i="1"/>
  <c r="F6060" i="1"/>
  <c r="B6060" i="1"/>
  <c r="F6059" i="1"/>
  <c r="B6059" i="1"/>
  <c r="F6058" i="1"/>
  <c r="B6058" i="1"/>
  <c r="F6057" i="1"/>
  <c r="B6057" i="1"/>
  <c r="F6056" i="1"/>
  <c r="B6056" i="1"/>
  <c r="F6055" i="1"/>
  <c r="B6055" i="1"/>
  <c r="F6054" i="1"/>
  <c r="B6054" i="1"/>
  <c r="F6053" i="1"/>
  <c r="B6053" i="1"/>
  <c r="F6052" i="1"/>
  <c r="B6052" i="1"/>
  <c r="F6051" i="1"/>
  <c r="B6051" i="1"/>
  <c r="F6050" i="1"/>
  <c r="B6050" i="1"/>
  <c r="F6049" i="1"/>
  <c r="B6049" i="1"/>
  <c r="F6048" i="1"/>
  <c r="B6048" i="1"/>
  <c r="F6047" i="1"/>
  <c r="B6047" i="1"/>
  <c r="F6046" i="1"/>
  <c r="B6046" i="1"/>
  <c r="F6045" i="1"/>
  <c r="B6045" i="1"/>
  <c r="F6044" i="1"/>
  <c r="B6044" i="1"/>
  <c r="F6043" i="1"/>
  <c r="B6043" i="1"/>
  <c r="F6042" i="1"/>
  <c r="B6042" i="1"/>
  <c r="F6041" i="1"/>
  <c r="B6041" i="1"/>
  <c r="F6040" i="1"/>
  <c r="B6040" i="1"/>
  <c r="F6039" i="1"/>
  <c r="B6039" i="1"/>
  <c r="F6038" i="1"/>
  <c r="B6038" i="1"/>
  <c r="F6037" i="1"/>
  <c r="B6037" i="1"/>
  <c r="F6036" i="1"/>
  <c r="B6036" i="1"/>
  <c r="F6035" i="1"/>
  <c r="B6035" i="1"/>
  <c r="F6034" i="1"/>
  <c r="B6034" i="1"/>
  <c r="F6033" i="1"/>
  <c r="B6033" i="1"/>
  <c r="F6032" i="1"/>
  <c r="B6032" i="1"/>
  <c r="F6031" i="1"/>
  <c r="B6031" i="1"/>
  <c r="F6030" i="1"/>
  <c r="B6030" i="1"/>
  <c r="F6029" i="1"/>
  <c r="B6029" i="1"/>
  <c r="F6028" i="1"/>
  <c r="B6028" i="1"/>
  <c r="F6027" i="1"/>
  <c r="B6027" i="1"/>
  <c r="F6026" i="1"/>
  <c r="B6026" i="1"/>
  <c r="F6025" i="1"/>
  <c r="B6025" i="1"/>
  <c r="F6024" i="1"/>
  <c r="B6024" i="1"/>
  <c r="F6023" i="1"/>
  <c r="B6023" i="1"/>
  <c r="F6022" i="1"/>
  <c r="B6022" i="1"/>
  <c r="F6021" i="1"/>
  <c r="B6021" i="1"/>
  <c r="F6020" i="1"/>
  <c r="B6020" i="1"/>
  <c r="F6019" i="1"/>
  <c r="B6019" i="1"/>
  <c r="F6018" i="1"/>
  <c r="B6018" i="1"/>
  <c r="F6017" i="1"/>
  <c r="B6017" i="1"/>
  <c r="F6016" i="1"/>
  <c r="B6016" i="1"/>
  <c r="F6015" i="1"/>
  <c r="B6015" i="1"/>
  <c r="F6014" i="1"/>
  <c r="B6014" i="1"/>
  <c r="F6013" i="1"/>
  <c r="B6013" i="1"/>
  <c r="F6012" i="1"/>
  <c r="B6012" i="1"/>
  <c r="F6011" i="1"/>
  <c r="B6011" i="1"/>
  <c r="F6010" i="1"/>
  <c r="B6010" i="1"/>
  <c r="F6009" i="1"/>
  <c r="B6009" i="1"/>
  <c r="F6008" i="1"/>
  <c r="B6008" i="1"/>
  <c r="F6007" i="1"/>
  <c r="B6007" i="1"/>
  <c r="F6006" i="1"/>
  <c r="B6006" i="1"/>
  <c r="F6005" i="1"/>
  <c r="B6005" i="1"/>
  <c r="F6004" i="1"/>
  <c r="B6004" i="1"/>
  <c r="F6003" i="1"/>
  <c r="B6003" i="1"/>
  <c r="F6002" i="1"/>
  <c r="B6002" i="1"/>
  <c r="F6001" i="1"/>
  <c r="B6001" i="1"/>
  <c r="F6000" i="1"/>
  <c r="B6000" i="1"/>
  <c r="F5999" i="1"/>
  <c r="B5999" i="1"/>
  <c r="F5998" i="1"/>
  <c r="B5998" i="1"/>
  <c r="F5997" i="1"/>
  <c r="B5997" i="1"/>
  <c r="F5996" i="1"/>
  <c r="B5996" i="1"/>
  <c r="F5995" i="1"/>
  <c r="B5995" i="1"/>
  <c r="F5994" i="1"/>
  <c r="B5994" i="1"/>
  <c r="F5993" i="1"/>
  <c r="B5993" i="1"/>
  <c r="F5992" i="1"/>
  <c r="B5992" i="1"/>
  <c r="F5991" i="1"/>
  <c r="B5991" i="1"/>
  <c r="F5990" i="1"/>
  <c r="B5990" i="1"/>
  <c r="F5989" i="1"/>
  <c r="B5989" i="1"/>
  <c r="F5988" i="1"/>
  <c r="B5988" i="1"/>
  <c r="F5987" i="1"/>
  <c r="B5987" i="1"/>
  <c r="F5986" i="1"/>
  <c r="B5986" i="1"/>
  <c r="F5985" i="1"/>
  <c r="B5985" i="1"/>
  <c r="F5984" i="1"/>
  <c r="B5984" i="1"/>
  <c r="F5983" i="1"/>
  <c r="B5983" i="1"/>
  <c r="F5982" i="1"/>
  <c r="B5982" i="1"/>
  <c r="F5981" i="1"/>
  <c r="B5981" i="1"/>
  <c r="F5980" i="1"/>
  <c r="B5980" i="1"/>
  <c r="F5979" i="1"/>
  <c r="B5979" i="1"/>
  <c r="F5978" i="1"/>
  <c r="B5978" i="1"/>
  <c r="F5977" i="1"/>
  <c r="B5977" i="1"/>
  <c r="F5976" i="1"/>
  <c r="B5976" i="1"/>
  <c r="F5975" i="1"/>
  <c r="B5975" i="1"/>
  <c r="F5974" i="1"/>
  <c r="B5974" i="1"/>
  <c r="F5973" i="1"/>
  <c r="B5973" i="1"/>
  <c r="F5972" i="1"/>
  <c r="B5972" i="1"/>
  <c r="F5971" i="1"/>
  <c r="B5971" i="1"/>
  <c r="F5970" i="1"/>
  <c r="B5970" i="1"/>
  <c r="F5969" i="1"/>
  <c r="B5969" i="1"/>
  <c r="F5968" i="1"/>
  <c r="B5968" i="1"/>
  <c r="F5967" i="1"/>
  <c r="B5967" i="1"/>
  <c r="F5966" i="1"/>
  <c r="B5966" i="1"/>
  <c r="F5965" i="1"/>
  <c r="B5965" i="1"/>
  <c r="F5964" i="1"/>
  <c r="B5964" i="1"/>
  <c r="F5963" i="1"/>
  <c r="B5963" i="1"/>
  <c r="F5962" i="1"/>
  <c r="B5962" i="1"/>
  <c r="F5961" i="1"/>
  <c r="B5961" i="1"/>
  <c r="F5960" i="1"/>
  <c r="B5960" i="1"/>
  <c r="F5959" i="1"/>
  <c r="B5959" i="1"/>
  <c r="F5958" i="1"/>
  <c r="B5958" i="1"/>
  <c r="F5957" i="1"/>
  <c r="B5957" i="1"/>
  <c r="F5956" i="1"/>
  <c r="B5956" i="1"/>
  <c r="F5955" i="1"/>
  <c r="B5955" i="1"/>
  <c r="F5954" i="1"/>
  <c r="B5954" i="1"/>
  <c r="F5953" i="1"/>
  <c r="B5953" i="1"/>
  <c r="F5952" i="1"/>
  <c r="B5952" i="1"/>
  <c r="F5951" i="1"/>
  <c r="B5951" i="1"/>
  <c r="F5950" i="1"/>
  <c r="B5950" i="1"/>
  <c r="F5949" i="1"/>
  <c r="B5949" i="1"/>
  <c r="F5948" i="1"/>
  <c r="B5948" i="1"/>
  <c r="F5947" i="1"/>
  <c r="B5947" i="1"/>
  <c r="F5946" i="1"/>
  <c r="B5946" i="1"/>
  <c r="F5945" i="1"/>
  <c r="B5945" i="1"/>
  <c r="F5944" i="1"/>
  <c r="B5944" i="1"/>
  <c r="F5943" i="1"/>
  <c r="B5943" i="1"/>
  <c r="F5942" i="1"/>
  <c r="B5942" i="1"/>
  <c r="F5941" i="1"/>
  <c r="B5941" i="1"/>
  <c r="F5940" i="1"/>
  <c r="B5940" i="1"/>
  <c r="F5939" i="1"/>
  <c r="B5939" i="1"/>
  <c r="F5938" i="1"/>
  <c r="B5938" i="1"/>
  <c r="F5937" i="1"/>
  <c r="B5937" i="1"/>
  <c r="F5936" i="1"/>
  <c r="B5936" i="1"/>
  <c r="F5935" i="1"/>
  <c r="B5935" i="1"/>
  <c r="F5934" i="1"/>
  <c r="B5934" i="1"/>
  <c r="F5933" i="1"/>
  <c r="B5933" i="1"/>
  <c r="F5932" i="1"/>
  <c r="B5932" i="1"/>
  <c r="F5931" i="1"/>
  <c r="B5931" i="1"/>
  <c r="F5930" i="1"/>
  <c r="B5930" i="1"/>
  <c r="F5929" i="1"/>
  <c r="B5929" i="1"/>
  <c r="F5928" i="1"/>
  <c r="B5928" i="1"/>
  <c r="F5927" i="1"/>
  <c r="B5927" i="1"/>
  <c r="F5926" i="1"/>
  <c r="B5926" i="1"/>
  <c r="F5925" i="1"/>
  <c r="B5925" i="1"/>
  <c r="F5924" i="1"/>
  <c r="B5924" i="1"/>
  <c r="F5923" i="1"/>
  <c r="B5923" i="1"/>
  <c r="F5922" i="1"/>
  <c r="B5922" i="1"/>
  <c r="F5921" i="1"/>
  <c r="B5921" i="1"/>
  <c r="F5920" i="1"/>
  <c r="B5920" i="1"/>
  <c r="F5919" i="1"/>
  <c r="B5919" i="1"/>
  <c r="F5918" i="1"/>
  <c r="B5918" i="1"/>
  <c r="F5917" i="1"/>
  <c r="B5917" i="1"/>
  <c r="F5916" i="1"/>
  <c r="B5916" i="1"/>
  <c r="F5915" i="1"/>
  <c r="B5915" i="1"/>
  <c r="F5914" i="1"/>
  <c r="B5914" i="1"/>
  <c r="F5913" i="1"/>
  <c r="B5913" i="1"/>
  <c r="F5912" i="1"/>
  <c r="B5912" i="1"/>
  <c r="F5911" i="1"/>
  <c r="B5911" i="1"/>
  <c r="F5910" i="1"/>
  <c r="B5910" i="1"/>
  <c r="F5909" i="1"/>
  <c r="B5909" i="1"/>
  <c r="F5908" i="1"/>
  <c r="B5908" i="1"/>
  <c r="F5907" i="1"/>
  <c r="B5907" i="1"/>
  <c r="F5906" i="1"/>
  <c r="B5906" i="1"/>
  <c r="F5905" i="1"/>
  <c r="B5905" i="1"/>
  <c r="F5904" i="1"/>
  <c r="B5904" i="1"/>
  <c r="F5903" i="1"/>
  <c r="B5903" i="1"/>
  <c r="F5902" i="1"/>
  <c r="B5902" i="1"/>
  <c r="F5901" i="1"/>
  <c r="B5901" i="1"/>
  <c r="F5900" i="1"/>
  <c r="B5900" i="1"/>
  <c r="F5899" i="1"/>
  <c r="B5899" i="1"/>
  <c r="F5898" i="1"/>
  <c r="B5898" i="1"/>
  <c r="F5897" i="1"/>
  <c r="B5897" i="1"/>
  <c r="F5896" i="1"/>
  <c r="B5896" i="1"/>
  <c r="F5895" i="1"/>
  <c r="B5895" i="1"/>
  <c r="F5894" i="1"/>
  <c r="B5894" i="1"/>
  <c r="F5893" i="1"/>
  <c r="B5893" i="1"/>
  <c r="F5892" i="1"/>
  <c r="B5892" i="1"/>
  <c r="F5891" i="1"/>
  <c r="B5891" i="1"/>
  <c r="F5890" i="1"/>
  <c r="B5890" i="1"/>
  <c r="F5889" i="1"/>
  <c r="B5889" i="1"/>
  <c r="F5888" i="1"/>
  <c r="B5888" i="1"/>
  <c r="F5887" i="1"/>
  <c r="B5887" i="1"/>
  <c r="F5886" i="1"/>
  <c r="B5886" i="1"/>
  <c r="F5885" i="1"/>
  <c r="B5885" i="1"/>
  <c r="F5884" i="1"/>
  <c r="B5884" i="1"/>
  <c r="F5883" i="1"/>
  <c r="B5883" i="1"/>
  <c r="F5882" i="1"/>
  <c r="B5882" i="1"/>
  <c r="F5881" i="1"/>
  <c r="B5881" i="1"/>
  <c r="F5880" i="1"/>
  <c r="B5880" i="1"/>
  <c r="F5879" i="1"/>
  <c r="B5879" i="1"/>
  <c r="F5878" i="1"/>
  <c r="B5878" i="1"/>
  <c r="F5877" i="1"/>
  <c r="B5877" i="1"/>
  <c r="F5876" i="1"/>
  <c r="B5876" i="1"/>
  <c r="F5875" i="1"/>
  <c r="B5875" i="1"/>
  <c r="F5874" i="1"/>
  <c r="B5874" i="1"/>
  <c r="F5873" i="1"/>
  <c r="B5873" i="1"/>
  <c r="F5872" i="1"/>
  <c r="B5872" i="1"/>
  <c r="F5871" i="1"/>
  <c r="B5871" i="1"/>
  <c r="F5870" i="1"/>
  <c r="B5870" i="1"/>
  <c r="F5869" i="1"/>
  <c r="B5869" i="1"/>
  <c r="F5868" i="1"/>
  <c r="B5868" i="1"/>
  <c r="F5867" i="1"/>
  <c r="B5867" i="1"/>
  <c r="F5866" i="1"/>
  <c r="B5866" i="1"/>
  <c r="F5865" i="1"/>
  <c r="B5865" i="1"/>
  <c r="F5864" i="1"/>
  <c r="B5864" i="1"/>
  <c r="F5863" i="1"/>
  <c r="B5863" i="1"/>
  <c r="F5862" i="1"/>
  <c r="B5862" i="1"/>
  <c r="F5861" i="1"/>
  <c r="B5861" i="1"/>
  <c r="F5860" i="1"/>
  <c r="B5860" i="1"/>
  <c r="F5859" i="1"/>
  <c r="B5859" i="1"/>
  <c r="F5858" i="1"/>
  <c r="B5858" i="1"/>
  <c r="F5857" i="1"/>
  <c r="B5857" i="1"/>
  <c r="F5856" i="1"/>
  <c r="B5856" i="1"/>
  <c r="F5855" i="1"/>
  <c r="B5855" i="1"/>
  <c r="F5854" i="1"/>
  <c r="B5854" i="1"/>
  <c r="F5853" i="1"/>
  <c r="B5853" i="1"/>
  <c r="F5852" i="1"/>
  <c r="B5852" i="1"/>
  <c r="F5851" i="1"/>
  <c r="B5851" i="1"/>
  <c r="F5850" i="1"/>
  <c r="B5850" i="1"/>
  <c r="F5849" i="1"/>
  <c r="B5849" i="1"/>
  <c r="F5848" i="1"/>
  <c r="B5848" i="1"/>
  <c r="F5847" i="1"/>
  <c r="B5847" i="1"/>
  <c r="F5846" i="1"/>
  <c r="B5846" i="1"/>
  <c r="F5845" i="1"/>
  <c r="B5845" i="1"/>
  <c r="F5844" i="1"/>
  <c r="B5844" i="1"/>
  <c r="F5843" i="1"/>
  <c r="B5843" i="1"/>
  <c r="F5842" i="1"/>
  <c r="B5842" i="1"/>
  <c r="F5841" i="1"/>
  <c r="B5841" i="1"/>
  <c r="F5840" i="1"/>
  <c r="B5840" i="1"/>
  <c r="F5839" i="1"/>
  <c r="B5839" i="1"/>
  <c r="F5838" i="1"/>
  <c r="B5838" i="1"/>
  <c r="F5837" i="1"/>
  <c r="B5837" i="1"/>
  <c r="F5836" i="1"/>
  <c r="B5836" i="1"/>
  <c r="F5835" i="1"/>
  <c r="B5835" i="1"/>
  <c r="F5834" i="1"/>
  <c r="B5834" i="1"/>
  <c r="F5833" i="1"/>
  <c r="B5833" i="1"/>
  <c r="F5832" i="1"/>
  <c r="B5832" i="1"/>
  <c r="F5831" i="1"/>
  <c r="B5831" i="1"/>
  <c r="F5830" i="1"/>
  <c r="B5830" i="1"/>
  <c r="F5829" i="1"/>
  <c r="B5829" i="1"/>
  <c r="F5828" i="1"/>
  <c r="B5828" i="1"/>
  <c r="F5827" i="1"/>
  <c r="B5827" i="1"/>
  <c r="F5826" i="1"/>
  <c r="B5826" i="1"/>
  <c r="F5825" i="1"/>
  <c r="B5825" i="1"/>
  <c r="F5824" i="1"/>
  <c r="B5824" i="1"/>
  <c r="F5823" i="1"/>
  <c r="B5823" i="1"/>
  <c r="F5822" i="1"/>
  <c r="B5822" i="1"/>
  <c r="F5821" i="1"/>
  <c r="B5821" i="1"/>
  <c r="F5820" i="1"/>
  <c r="B5820" i="1"/>
  <c r="F5819" i="1"/>
  <c r="B5819" i="1"/>
  <c r="F5818" i="1"/>
  <c r="B5818" i="1"/>
  <c r="F5817" i="1"/>
  <c r="B5817" i="1"/>
  <c r="F5816" i="1"/>
  <c r="B5816" i="1"/>
  <c r="F5815" i="1"/>
  <c r="B5815" i="1"/>
  <c r="F5814" i="1"/>
  <c r="B5814" i="1"/>
  <c r="F5813" i="1"/>
  <c r="B5813" i="1"/>
  <c r="F5812" i="1"/>
  <c r="B5812" i="1"/>
  <c r="F5811" i="1"/>
  <c r="B5811" i="1"/>
  <c r="F5810" i="1"/>
  <c r="B5810" i="1"/>
  <c r="F5809" i="1"/>
  <c r="B5809" i="1"/>
  <c r="F5808" i="1"/>
  <c r="B5808" i="1"/>
  <c r="F5807" i="1"/>
  <c r="B5807" i="1"/>
  <c r="F5806" i="1"/>
  <c r="B5806" i="1"/>
  <c r="F5805" i="1"/>
  <c r="B5805" i="1"/>
  <c r="F5804" i="1"/>
  <c r="B5804" i="1"/>
  <c r="F5803" i="1"/>
  <c r="B5803" i="1"/>
  <c r="F5802" i="1"/>
  <c r="B5802" i="1"/>
  <c r="F5801" i="1"/>
  <c r="B5801" i="1"/>
  <c r="F5800" i="1"/>
  <c r="B5800" i="1"/>
  <c r="F5799" i="1"/>
  <c r="B5799" i="1"/>
  <c r="F5798" i="1"/>
  <c r="B5798" i="1"/>
  <c r="F5797" i="1"/>
  <c r="B5797" i="1"/>
  <c r="F5796" i="1"/>
  <c r="B5796" i="1"/>
  <c r="F5795" i="1"/>
  <c r="B5795" i="1"/>
  <c r="F5794" i="1"/>
  <c r="B5794" i="1"/>
  <c r="F5793" i="1"/>
  <c r="B5793" i="1"/>
  <c r="F5792" i="1"/>
  <c r="B5792" i="1"/>
  <c r="F5791" i="1"/>
  <c r="B5791" i="1"/>
  <c r="F5790" i="1"/>
  <c r="B5790" i="1"/>
  <c r="F5789" i="1"/>
  <c r="B5789" i="1"/>
  <c r="F5788" i="1"/>
  <c r="B5788" i="1"/>
  <c r="F5787" i="1"/>
  <c r="B5787" i="1"/>
  <c r="F5786" i="1"/>
  <c r="B5786" i="1"/>
  <c r="F5785" i="1"/>
  <c r="B5785" i="1"/>
  <c r="F5784" i="1"/>
  <c r="B5784" i="1"/>
  <c r="F5783" i="1"/>
  <c r="B5783" i="1"/>
  <c r="F5782" i="1"/>
  <c r="B5782" i="1"/>
  <c r="F5781" i="1"/>
  <c r="B5781" i="1"/>
  <c r="F5780" i="1"/>
  <c r="B5780" i="1"/>
  <c r="F5779" i="1"/>
  <c r="B5779" i="1"/>
  <c r="F5778" i="1"/>
  <c r="B5778" i="1"/>
  <c r="F5777" i="1"/>
  <c r="B5777" i="1"/>
  <c r="F5776" i="1"/>
  <c r="B5776" i="1"/>
  <c r="F5775" i="1"/>
  <c r="B5775" i="1"/>
  <c r="F5774" i="1"/>
  <c r="B5774" i="1"/>
  <c r="F5773" i="1"/>
  <c r="B5773" i="1"/>
  <c r="F5772" i="1"/>
  <c r="B5772" i="1"/>
  <c r="F5771" i="1"/>
  <c r="B5771" i="1"/>
  <c r="F5770" i="1"/>
  <c r="B5770" i="1"/>
  <c r="F5769" i="1"/>
  <c r="B5769" i="1"/>
  <c r="F5768" i="1"/>
  <c r="B5768" i="1"/>
  <c r="F5767" i="1"/>
  <c r="B5767" i="1"/>
  <c r="F5766" i="1"/>
  <c r="B5766" i="1"/>
  <c r="F5765" i="1"/>
  <c r="B5765" i="1"/>
  <c r="F5764" i="1"/>
  <c r="B5764" i="1"/>
  <c r="F5763" i="1"/>
  <c r="B5763" i="1"/>
  <c r="F5762" i="1"/>
  <c r="B5762" i="1"/>
  <c r="F5761" i="1"/>
  <c r="B5761" i="1"/>
  <c r="F5760" i="1"/>
  <c r="B5760" i="1"/>
  <c r="F5759" i="1"/>
  <c r="B5759" i="1"/>
  <c r="F5758" i="1"/>
  <c r="B5758" i="1"/>
  <c r="F5757" i="1"/>
  <c r="B5757" i="1"/>
  <c r="F5756" i="1"/>
  <c r="B5756" i="1"/>
  <c r="F5755" i="1"/>
  <c r="B5755" i="1"/>
  <c r="F5754" i="1"/>
  <c r="B5754" i="1"/>
  <c r="F5753" i="1"/>
  <c r="B5753" i="1"/>
  <c r="F5752" i="1"/>
  <c r="B5752" i="1"/>
  <c r="F5751" i="1"/>
  <c r="B5751" i="1"/>
  <c r="F5750" i="1"/>
  <c r="B5750" i="1"/>
  <c r="F5749" i="1"/>
  <c r="B5749" i="1"/>
  <c r="F5748" i="1"/>
  <c r="B5748" i="1"/>
  <c r="F5747" i="1"/>
  <c r="B5747" i="1"/>
  <c r="F5746" i="1"/>
  <c r="B5746" i="1"/>
  <c r="F5745" i="1"/>
  <c r="B5745" i="1"/>
  <c r="F5744" i="1"/>
  <c r="B5744" i="1"/>
  <c r="F5743" i="1"/>
  <c r="B5743" i="1"/>
  <c r="F5742" i="1"/>
  <c r="B5742" i="1"/>
  <c r="F5741" i="1"/>
  <c r="B5741" i="1"/>
  <c r="F5740" i="1"/>
  <c r="B5740" i="1"/>
  <c r="F5739" i="1"/>
  <c r="B5739" i="1"/>
  <c r="F5738" i="1"/>
  <c r="B5738" i="1"/>
  <c r="F5737" i="1"/>
  <c r="B5737" i="1"/>
  <c r="F5736" i="1"/>
  <c r="B5736" i="1"/>
  <c r="F5735" i="1"/>
  <c r="B5735" i="1"/>
  <c r="F5734" i="1"/>
  <c r="B5734" i="1"/>
  <c r="F5733" i="1"/>
  <c r="B5733" i="1"/>
  <c r="F5732" i="1"/>
  <c r="B5732" i="1"/>
  <c r="F5731" i="1"/>
  <c r="B5731" i="1"/>
  <c r="F5730" i="1"/>
  <c r="B5730" i="1"/>
  <c r="F5729" i="1"/>
  <c r="B5729" i="1"/>
  <c r="F5728" i="1"/>
  <c r="B5728" i="1"/>
  <c r="F5727" i="1"/>
  <c r="B5727" i="1"/>
  <c r="F5726" i="1"/>
  <c r="B5726" i="1"/>
  <c r="F5725" i="1"/>
  <c r="B5725" i="1"/>
  <c r="F5724" i="1"/>
  <c r="B5724" i="1"/>
  <c r="F5723" i="1"/>
  <c r="B5723" i="1"/>
  <c r="F5722" i="1"/>
  <c r="B5722" i="1"/>
  <c r="F5721" i="1"/>
  <c r="B5721" i="1"/>
  <c r="F5720" i="1"/>
  <c r="B5720" i="1"/>
  <c r="F5719" i="1"/>
  <c r="B5719" i="1"/>
  <c r="F5718" i="1"/>
  <c r="B5718" i="1"/>
  <c r="F5717" i="1"/>
  <c r="B5717" i="1"/>
  <c r="F5716" i="1"/>
  <c r="B5716" i="1"/>
  <c r="F5715" i="1"/>
  <c r="B5715" i="1"/>
  <c r="F5714" i="1"/>
  <c r="B5714" i="1"/>
  <c r="F5713" i="1"/>
  <c r="B5713" i="1"/>
  <c r="F5712" i="1"/>
  <c r="B5712" i="1"/>
  <c r="F5711" i="1"/>
  <c r="B5711" i="1"/>
  <c r="F5710" i="1"/>
  <c r="B5710" i="1"/>
  <c r="F5709" i="1"/>
  <c r="B5709" i="1"/>
  <c r="F5708" i="1"/>
  <c r="B5708" i="1"/>
  <c r="F5707" i="1"/>
  <c r="B5707" i="1"/>
  <c r="F5706" i="1"/>
  <c r="B5706" i="1"/>
  <c r="F5705" i="1"/>
  <c r="B5705" i="1"/>
  <c r="F5704" i="1"/>
  <c r="B5704" i="1"/>
  <c r="F5703" i="1"/>
  <c r="B5703" i="1"/>
  <c r="F5702" i="1"/>
  <c r="B5702" i="1"/>
  <c r="F5701" i="1"/>
  <c r="B5701" i="1"/>
  <c r="F5700" i="1"/>
  <c r="B5700" i="1"/>
  <c r="F5699" i="1"/>
  <c r="B5699" i="1"/>
  <c r="F5698" i="1"/>
  <c r="B5698" i="1"/>
  <c r="F5697" i="1"/>
  <c r="B5697" i="1"/>
  <c r="F5696" i="1"/>
  <c r="B5696" i="1"/>
  <c r="F5695" i="1"/>
  <c r="B5695" i="1"/>
  <c r="F5694" i="1"/>
  <c r="B5694" i="1"/>
  <c r="F5693" i="1"/>
  <c r="B5693" i="1"/>
  <c r="F5692" i="1"/>
  <c r="B5692" i="1"/>
  <c r="F5691" i="1"/>
  <c r="B5691" i="1"/>
  <c r="F5690" i="1"/>
  <c r="B5690" i="1"/>
  <c r="F5689" i="1"/>
  <c r="B5689" i="1"/>
  <c r="F5688" i="1"/>
  <c r="B5688" i="1"/>
  <c r="F5687" i="1"/>
  <c r="B5687" i="1"/>
  <c r="F5686" i="1"/>
  <c r="B5686" i="1"/>
  <c r="F5685" i="1"/>
  <c r="B5685" i="1"/>
  <c r="F5684" i="1"/>
  <c r="B5684" i="1"/>
  <c r="F5683" i="1"/>
  <c r="B5683" i="1"/>
  <c r="F5682" i="1"/>
  <c r="B5682" i="1"/>
  <c r="F5681" i="1"/>
  <c r="B5681" i="1"/>
  <c r="F5680" i="1"/>
  <c r="B5680" i="1"/>
  <c r="F5679" i="1"/>
  <c r="B5679" i="1"/>
  <c r="F5678" i="1"/>
  <c r="B5678" i="1"/>
  <c r="F5677" i="1"/>
  <c r="B5677" i="1"/>
  <c r="F5676" i="1"/>
  <c r="B5676" i="1"/>
  <c r="F5675" i="1"/>
  <c r="B5675" i="1"/>
  <c r="F5674" i="1"/>
  <c r="B5674" i="1"/>
  <c r="F5673" i="1"/>
  <c r="B5673" i="1"/>
  <c r="F5672" i="1"/>
  <c r="B5672" i="1"/>
  <c r="F5671" i="1"/>
  <c r="B5671" i="1"/>
  <c r="F5670" i="1"/>
  <c r="B5670" i="1"/>
  <c r="F5669" i="1"/>
  <c r="B5669" i="1"/>
  <c r="F5668" i="1"/>
  <c r="B5668" i="1"/>
  <c r="F5667" i="1"/>
  <c r="B5667" i="1"/>
  <c r="F5666" i="1"/>
  <c r="B5666" i="1"/>
  <c r="F5665" i="1"/>
  <c r="B5665" i="1"/>
  <c r="F5664" i="1"/>
  <c r="B5664" i="1"/>
  <c r="F5663" i="1"/>
  <c r="B5663" i="1"/>
  <c r="F5662" i="1"/>
  <c r="B5662" i="1"/>
  <c r="F5661" i="1"/>
  <c r="B5661" i="1"/>
  <c r="F5660" i="1"/>
  <c r="B5660" i="1"/>
  <c r="F5659" i="1"/>
  <c r="B5659" i="1"/>
  <c r="F5658" i="1"/>
  <c r="B5658" i="1"/>
  <c r="F5657" i="1"/>
  <c r="B5657" i="1"/>
  <c r="F5656" i="1"/>
  <c r="B5656" i="1"/>
  <c r="F5655" i="1"/>
  <c r="B5655" i="1"/>
  <c r="F5654" i="1"/>
  <c r="B5654" i="1"/>
  <c r="F5653" i="1"/>
  <c r="B5653" i="1"/>
  <c r="F5652" i="1"/>
  <c r="B5652" i="1"/>
  <c r="F5651" i="1"/>
  <c r="B5651" i="1"/>
  <c r="F5650" i="1"/>
  <c r="B5650" i="1"/>
  <c r="F5649" i="1"/>
  <c r="B5649" i="1"/>
  <c r="F5648" i="1"/>
  <c r="B5648" i="1"/>
  <c r="F5647" i="1"/>
  <c r="B5647" i="1"/>
  <c r="F5646" i="1"/>
  <c r="B5646" i="1"/>
  <c r="F5645" i="1"/>
  <c r="B5645" i="1"/>
  <c r="F5644" i="1"/>
  <c r="B5644" i="1"/>
  <c r="F5643" i="1"/>
  <c r="B5643" i="1"/>
  <c r="F5642" i="1"/>
  <c r="B5642" i="1"/>
  <c r="F5641" i="1"/>
  <c r="B5641" i="1"/>
  <c r="F5640" i="1"/>
  <c r="B5640" i="1"/>
  <c r="F5639" i="1"/>
  <c r="B5639" i="1"/>
  <c r="F5638" i="1"/>
  <c r="B5638" i="1"/>
  <c r="F5637" i="1"/>
  <c r="B5637" i="1"/>
  <c r="F5636" i="1"/>
  <c r="B5636" i="1"/>
  <c r="F5635" i="1"/>
  <c r="B5635" i="1"/>
  <c r="F5634" i="1"/>
  <c r="B5634" i="1"/>
  <c r="F5633" i="1"/>
  <c r="B5633" i="1"/>
  <c r="F5632" i="1"/>
  <c r="B5632" i="1"/>
  <c r="F5631" i="1"/>
  <c r="B5631" i="1"/>
  <c r="F5630" i="1"/>
  <c r="B5630" i="1"/>
  <c r="F5629" i="1"/>
  <c r="B5629" i="1"/>
  <c r="F5628" i="1"/>
  <c r="B5628" i="1"/>
  <c r="F5627" i="1"/>
  <c r="B5627" i="1"/>
  <c r="F5626" i="1"/>
  <c r="B5626" i="1"/>
  <c r="F5625" i="1"/>
  <c r="B5625" i="1"/>
  <c r="F5624" i="1"/>
  <c r="B5624" i="1"/>
  <c r="F5623" i="1"/>
  <c r="B5623" i="1"/>
  <c r="F5622" i="1"/>
  <c r="B5622" i="1"/>
  <c r="F5621" i="1"/>
  <c r="B5621" i="1"/>
  <c r="F5620" i="1"/>
  <c r="B5620" i="1"/>
  <c r="F5619" i="1"/>
  <c r="B5619" i="1"/>
  <c r="F5618" i="1"/>
  <c r="B5618" i="1"/>
  <c r="F5617" i="1"/>
  <c r="B5617" i="1"/>
  <c r="F5616" i="1"/>
  <c r="B5616" i="1"/>
  <c r="F5615" i="1"/>
  <c r="B5615" i="1"/>
  <c r="F5614" i="1"/>
  <c r="B5614" i="1"/>
  <c r="F5613" i="1"/>
  <c r="B5613" i="1"/>
  <c r="F5612" i="1"/>
  <c r="B5612" i="1"/>
  <c r="F5611" i="1"/>
  <c r="B5611" i="1"/>
  <c r="F5610" i="1"/>
  <c r="B5610" i="1"/>
  <c r="F5609" i="1"/>
  <c r="B5609" i="1"/>
  <c r="F5608" i="1"/>
  <c r="B5608" i="1"/>
  <c r="F5607" i="1"/>
  <c r="B5607" i="1"/>
  <c r="F5606" i="1"/>
  <c r="B5606" i="1"/>
  <c r="F5605" i="1"/>
  <c r="B5605" i="1"/>
  <c r="F5604" i="1"/>
  <c r="B5604" i="1"/>
  <c r="F5603" i="1"/>
  <c r="B5603" i="1"/>
  <c r="F5602" i="1"/>
  <c r="B5602" i="1"/>
  <c r="F5601" i="1"/>
  <c r="B5601" i="1"/>
  <c r="F5600" i="1"/>
  <c r="B5600" i="1"/>
  <c r="F5599" i="1"/>
  <c r="B5599" i="1"/>
  <c r="F5598" i="1"/>
  <c r="B5598" i="1"/>
  <c r="F5597" i="1"/>
  <c r="B5597" i="1"/>
  <c r="F5596" i="1"/>
  <c r="B5596" i="1"/>
  <c r="F5595" i="1"/>
  <c r="B5595" i="1"/>
  <c r="F5594" i="1"/>
  <c r="B5594" i="1"/>
  <c r="F5593" i="1"/>
  <c r="B5593" i="1"/>
  <c r="F5592" i="1"/>
  <c r="B5592" i="1"/>
  <c r="F5591" i="1"/>
  <c r="B5591" i="1"/>
  <c r="F5590" i="1"/>
  <c r="B5590" i="1"/>
  <c r="F5589" i="1"/>
  <c r="B5589" i="1"/>
  <c r="F5588" i="1"/>
  <c r="B5588" i="1"/>
  <c r="F5587" i="1"/>
  <c r="B5587" i="1"/>
  <c r="F5586" i="1"/>
  <c r="B5586" i="1"/>
  <c r="F5585" i="1"/>
  <c r="B5585" i="1"/>
  <c r="F5584" i="1"/>
  <c r="B5584" i="1"/>
  <c r="F5583" i="1"/>
  <c r="B5583" i="1"/>
  <c r="F5582" i="1"/>
  <c r="B5582" i="1"/>
  <c r="F5581" i="1"/>
  <c r="B5581" i="1"/>
  <c r="F5580" i="1"/>
  <c r="B5580" i="1"/>
  <c r="F5579" i="1"/>
  <c r="B5579" i="1"/>
  <c r="F5578" i="1"/>
  <c r="B5578" i="1"/>
  <c r="F5577" i="1"/>
  <c r="B5577" i="1"/>
  <c r="F5576" i="1"/>
  <c r="B5576" i="1"/>
  <c r="F5575" i="1"/>
  <c r="B5575" i="1"/>
  <c r="F5574" i="1"/>
  <c r="B5574" i="1"/>
  <c r="F5573" i="1"/>
  <c r="B5573" i="1"/>
  <c r="F5572" i="1"/>
  <c r="B5572" i="1"/>
  <c r="F5571" i="1"/>
  <c r="B5571" i="1"/>
  <c r="F5570" i="1"/>
  <c r="B5570" i="1"/>
  <c r="F5569" i="1"/>
  <c r="B5569" i="1"/>
  <c r="F5568" i="1"/>
  <c r="B5568" i="1"/>
  <c r="F5567" i="1"/>
  <c r="B5567" i="1"/>
  <c r="F5566" i="1"/>
  <c r="B5566" i="1"/>
  <c r="F5565" i="1"/>
  <c r="B5565" i="1"/>
  <c r="F5564" i="1"/>
  <c r="B5564" i="1"/>
  <c r="F5563" i="1"/>
  <c r="B5563" i="1"/>
  <c r="F5562" i="1"/>
  <c r="B5562" i="1"/>
  <c r="F5561" i="1"/>
  <c r="B5561" i="1"/>
  <c r="F5560" i="1"/>
  <c r="B5560" i="1"/>
  <c r="F5559" i="1"/>
  <c r="B5559" i="1"/>
  <c r="F5558" i="1"/>
  <c r="B5558" i="1"/>
  <c r="F5557" i="1"/>
  <c r="B5557" i="1"/>
  <c r="F5556" i="1"/>
  <c r="B5556" i="1"/>
  <c r="F5555" i="1"/>
  <c r="B5555" i="1"/>
  <c r="F5554" i="1"/>
  <c r="B5554" i="1"/>
  <c r="F5553" i="1"/>
  <c r="B5553" i="1"/>
  <c r="F5552" i="1"/>
  <c r="B5552" i="1"/>
  <c r="F5551" i="1"/>
  <c r="B5551" i="1"/>
  <c r="F5550" i="1"/>
  <c r="B5550" i="1"/>
  <c r="F5549" i="1"/>
  <c r="B5549" i="1"/>
  <c r="F5548" i="1"/>
  <c r="B5548" i="1"/>
  <c r="F5547" i="1"/>
  <c r="B5547" i="1"/>
  <c r="F5546" i="1"/>
  <c r="B5546" i="1"/>
  <c r="F5545" i="1"/>
  <c r="B5545" i="1"/>
  <c r="F5544" i="1"/>
  <c r="B5544" i="1"/>
  <c r="F5543" i="1"/>
  <c r="B5543" i="1"/>
  <c r="F5542" i="1"/>
  <c r="B5542" i="1"/>
  <c r="F5541" i="1"/>
  <c r="B5541" i="1"/>
  <c r="F5540" i="1"/>
  <c r="B5540" i="1"/>
  <c r="F5539" i="1"/>
  <c r="B5539" i="1"/>
  <c r="F5538" i="1"/>
  <c r="B5538" i="1"/>
  <c r="F5537" i="1"/>
  <c r="B5537" i="1"/>
  <c r="F5536" i="1"/>
  <c r="B5536" i="1"/>
  <c r="F5535" i="1"/>
  <c r="B5535" i="1"/>
  <c r="F5534" i="1"/>
  <c r="B5534" i="1"/>
  <c r="F5533" i="1"/>
  <c r="B5533" i="1"/>
  <c r="F5532" i="1"/>
  <c r="B5532" i="1"/>
  <c r="F5531" i="1"/>
  <c r="B5531" i="1"/>
  <c r="F5530" i="1"/>
  <c r="B5530" i="1"/>
  <c r="F5529" i="1"/>
  <c r="B5529" i="1"/>
  <c r="F5528" i="1"/>
  <c r="B5528" i="1"/>
  <c r="F5527" i="1"/>
  <c r="B5527" i="1"/>
  <c r="F5526" i="1"/>
  <c r="B5526" i="1"/>
  <c r="F5525" i="1"/>
  <c r="B5525" i="1"/>
  <c r="F5524" i="1"/>
  <c r="B5524" i="1"/>
  <c r="F5523" i="1"/>
  <c r="B5523" i="1"/>
  <c r="F5522" i="1"/>
  <c r="B5522" i="1"/>
  <c r="F5521" i="1"/>
  <c r="B5521" i="1"/>
  <c r="F5520" i="1"/>
  <c r="B5520" i="1"/>
  <c r="F5519" i="1"/>
  <c r="B5519" i="1"/>
  <c r="F5518" i="1"/>
  <c r="B5518" i="1"/>
  <c r="F5517" i="1"/>
  <c r="B5517" i="1"/>
  <c r="F5516" i="1"/>
  <c r="B5516" i="1"/>
  <c r="F5515" i="1"/>
  <c r="B5515" i="1"/>
  <c r="F5514" i="1"/>
  <c r="B5514" i="1"/>
  <c r="F5513" i="1"/>
  <c r="B5513" i="1"/>
  <c r="F5512" i="1"/>
  <c r="B5512" i="1"/>
  <c r="F5511" i="1"/>
  <c r="B5511" i="1"/>
  <c r="F5510" i="1"/>
  <c r="B5510" i="1"/>
  <c r="F5509" i="1"/>
  <c r="B5509" i="1"/>
  <c r="F5508" i="1"/>
  <c r="B5508" i="1"/>
  <c r="F5507" i="1"/>
  <c r="B5507" i="1"/>
  <c r="F5506" i="1"/>
  <c r="B5506" i="1"/>
  <c r="F5505" i="1"/>
  <c r="B5505" i="1"/>
  <c r="F5504" i="1"/>
  <c r="B5504" i="1"/>
  <c r="F5503" i="1"/>
  <c r="B5503" i="1"/>
  <c r="F5502" i="1"/>
  <c r="B5502" i="1"/>
  <c r="F5501" i="1"/>
  <c r="B5501" i="1"/>
  <c r="F5500" i="1"/>
  <c r="B5500" i="1"/>
  <c r="F5499" i="1"/>
  <c r="B5499" i="1"/>
  <c r="F5498" i="1"/>
  <c r="B5498" i="1"/>
  <c r="F5497" i="1"/>
  <c r="B5497" i="1"/>
  <c r="F5496" i="1"/>
  <c r="B5496" i="1"/>
  <c r="F5495" i="1"/>
  <c r="B5495" i="1"/>
  <c r="F5494" i="1"/>
  <c r="B5494" i="1"/>
  <c r="F5493" i="1"/>
  <c r="B5493" i="1"/>
  <c r="F5492" i="1"/>
  <c r="B5492" i="1"/>
  <c r="F5491" i="1"/>
  <c r="B5491" i="1"/>
  <c r="F5490" i="1"/>
  <c r="B5490" i="1"/>
  <c r="F5489" i="1"/>
  <c r="B5489" i="1"/>
  <c r="F5488" i="1"/>
  <c r="B5488" i="1"/>
  <c r="F5487" i="1"/>
  <c r="B5487" i="1"/>
  <c r="F5486" i="1"/>
  <c r="B5486" i="1"/>
  <c r="F5485" i="1"/>
  <c r="B5485" i="1"/>
  <c r="F5484" i="1"/>
  <c r="B5484" i="1"/>
  <c r="F5483" i="1"/>
  <c r="B5483" i="1"/>
  <c r="F5482" i="1"/>
  <c r="B5482" i="1"/>
  <c r="F5481" i="1"/>
  <c r="B5481" i="1"/>
  <c r="F5480" i="1"/>
  <c r="B5480" i="1"/>
  <c r="F5479" i="1"/>
  <c r="B5479" i="1"/>
  <c r="F5478" i="1"/>
  <c r="B5478" i="1"/>
  <c r="F5477" i="1"/>
  <c r="B5477" i="1"/>
  <c r="F5476" i="1"/>
  <c r="B5476" i="1"/>
  <c r="F5475" i="1"/>
  <c r="B5475" i="1"/>
  <c r="F5474" i="1"/>
  <c r="B5474" i="1"/>
  <c r="F5473" i="1"/>
  <c r="B5473" i="1"/>
  <c r="F5472" i="1"/>
  <c r="B5472" i="1"/>
  <c r="F5471" i="1"/>
  <c r="B5471" i="1"/>
  <c r="F5470" i="1"/>
  <c r="B5470" i="1"/>
  <c r="F5469" i="1"/>
  <c r="B5469" i="1"/>
  <c r="F5468" i="1"/>
  <c r="B5468" i="1"/>
  <c r="F5467" i="1"/>
  <c r="B5467" i="1"/>
  <c r="F5466" i="1"/>
  <c r="B5466" i="1"/>
  <c r="F5465" i="1"/>
  <c r="B5465" i="1"/>
  <c r="F5464" i="1"/>
  <c r="B5464" i="1"/>
  <c r="F5463" i="1"/>
  <c r="B5463" i="1"/>
  <c r="F5462" i="1"/>
  <c r="B5462" i="1"/>
  <c r="F5461" i="1"/>
  <c r="B5461" i="1"/>
  <c r="F5460" i="1"/>
  <c r="B5460" i="1"/>
  <c r="F5459" i="1"/>
  <c r="B5459" i="1"/>
  <c r="F5458" i="1"/>
  <c r="B5458" i="1"/>
  <c r="F5457" i="1"/>
  <c r="B5457" i="1"/>
  <c r="F5456" i="1"/>
  <c r="B5456" i="1"/>
  <c r="F5455" i="1"/>
  <c r="B5455" i="1"/>
  <c r="F5454" i="1"/>
  <c r="B5454" i="1"/>
  <c r="F5453" i="1"/>
  <c r="B5453" i="1"/>
  <c r="F5452" i="1"/>
  <c r="B5452" i="1"/>
  <c r="F5451" i="1"/>
  <c r="B5451" i="1"/>
  <c r="F5450" i="1"/>
  <c r="B5450" i="1"/>
  <c r="F5449" i="1"/>
  <c r="B5449" i="1"/>
  <c r="F5448" i="1"/>
  <c r="B5448" i="1"/>
  <c r="F5447" i="1"/>
  <c r="B5447" i="1"/>
  <c r="F5446" i="1"/>
  <c r="B5446" i="1"/>
  <c r="F5445" i="1"/>
  <c r="B5445" i="1"/>
  <c r="F5444" i="1"/>
  <c r="B5444" i="1"/>
  <c r="F5443" i="1"/>
  <c r="B5443" i="1"/>
  <c r="F5442" i="1"/>
  <c r="B5442" i="1"/>
  <c r="F5441" i="1"/>
  <c r="B5441" i="1"/>
  <c r="F5440" i="1"/>
  <c r="B5440" i="1"/>
  <c r="F5439" i="1"/>
  <c r="B5439" i="1"/>
  <c r="F5438" i="1"/>
  <c r="B5438" i="1"/>
  <c r="F5437" i="1"/>
  <c r="B5437" i="1"/>
  <c r="F5436" i="1"/>
  <c r="B5436" i="1"/>
  <c r="F5435" i="1"/>
  <c r="B5435" i="1"/>
  <c r="F5434" i="1"/>
  <c r="B5434" i="1"/>
  <c r="F5433" i="1"/>
  <c r="B5433" i="1"/>
  <c r="F5432" i="1"/>
  <c r="B5432" i="1"/>
  <c r="F5431" i="1"/>
  <c r="B5431" i="1"/>
  <c r="F5430" i="1"/>
  <c r="B5430" i="1"/>
  <c r="F5429" i="1"/>
  <c r="B5429" i="1"/>
  <c r="F5428" i="1"/>
  <c r="B5428" i="1"/>
  <c r="F5427" i="1"/>
  <c r="B5427" i="1"/>
  <c r="F5426" i="1"/>
  <c r="B5426" i="1"/>
  <c r="F5425" i="1"/>
  <c r="B5425" i="1"/>
  <c r="F5424" i="1"/>
  <c r="B5424" i="1"/>
  <c r="F5423" i="1"/>
  <c r="B5423" i="1"/>
  <c r="F5422" i="1"/>
  <c r="B5422" i="1"/>
  <c r="F5421" i="1"/>
  <c r="B5421" i="1"/>
  <c r="F5420" i="1"/>
  <c r="B5420" i="1"/>
  <c r="F5419" i="1"/>
  <c r="B5419" i="1"/>
  <c r="F5418" i="1"/>
  <c r="B5418" i="1"/>
  <c r="F5417" i="1"/>
  <c r="B5417" i="1"/>
  <c r="F5416" i="1"/>
  <c r="B5416" i="1"/>
  <c r="F5415" i="1"/>
  <c r="B5415" i="1"/>
  <c r="F5414" i="1"/>
  <c r="B5414" i="1"/>
  <c r="F5413" i="1"/>
  <c r="B5413" i="1"/>
  <c r="F5412" i="1"/>
  <c r="B5412" i="1"/>
  <c r="F5411" i="1"/>
  <c r="B5411" i="1"/>
  <c r="F5410" i="1"/>
  <c r="B5410" i="1"/>
  <c r="F5409" i="1"/>
  <c r="B5409" i="1"/>
  <c r="F5408" i="1"/>
  <c r="B5408" i="1"/>
  <c r="F5407" i="1"/>
  <c r="B5407" i="1"/>
  <c r="F5406" i="1"/>
  <c r="B5406" i="1"/>
  <c r="F5405" i="1"/>
  <c r="B5405" i="1"/>
  <c r="F5404" i="1"/>
  <c r="B5404" i="1"/>
  <c r="F5403" i="1"/>
  <c r="B5403" i="1"/>
  <c r="F5402" i="1"/>
  <c r="B5402" i="1"/>
  <c r="F5401" i="1"/>
  <c r="B5401" i="1"/>
  <c r="F5400" i="1"/>
  <c r="B5400" i="1"/>
  <c r="F5399" i="1"/>
  <c r="B5399" i="1"/>
  <c r="F5398" i="1"/>
  <c r="B5398" i="1"/>
  <c r="F5397" i="1"/>
  <c r="B5397" i="1"/>
  <c r="F5396" i="1"/>
  <c r="B5396" i="1"/>
  <c r="F5395" i="1"/>
  <c r="B5395" i="1"/>
  <c r="F5394" i="1"/>
  <c r="B5394" i="1"/>
  <c r="F5393" i="1"/>
  <c r="B5393" i="1"/>
  <c r="F5392" i="1"/>
  <c r="B5392" i="1"/>
  <c r="F5391" i="1"/>
  <c r="B5391" i="1"/>
  <c r="F5390" i="1"/>
  <c r="B5390" i="1"/>
  <c r="F5389" i="1"/>
  <c r="B5389" i="1"/>
  <c r="F5388" i="1"/>
  <c r="B5388" i="1"/>
  <c r="F5387" i="1"/>
  <c r="B5387" i="1"/>
  <c r="F5386" i="1"/>
  <c r="B5386" i="1"/>
  <c r="F5385" i="1"/>
  <c r="B5385" i="1"/>
  <c r="F5384" i="1"/>
  <c r="B5384" i="1"/>
  <c r="F5383" i="1"/>
  <c r="B5383" i="1"/>
  <c r="F5382" i="1"/>
  <c r="B5382" i="1"/>
  <c r="F5381" i="1"/>
  <c r="B5381" i="1"/>
  <c r="F5380" i="1"/>
  <c r="B5380" i="1"/>
  <c r="F5379" i="1"/>
  <c r="B5379" i="1"/>
  <c r="F5378" i="1"/>
  <c r="B5378" i="1"/>
  <c r="F5377" i="1"/>
  <c r="B5377" i="1"/>
  <c r="F5376" i="1"/>
  <c r="B5376" i="1"/>
  <c r="F5375" i="1"/>
  <c r="B5375" i="1"/>
  <c r="F5374" i="1"/>
  <c r="B5374" i="1"/>
  <c r="F5373" i="1"/>
  <c r="B5373" i="1"/>
  <c r="F5372" i="1"/>
  <c r="B5372" i="1"/>
  <c r="F5371" i="1"/>
  <c r="B5371" i="1"/>
  <c r="F5370" i="1"/>
  <c r="B5370" i="1"/>
  <c r="F5369" i="1"/>
  <c r="B5369" i="1"/>
  <c r="F5368" i="1"/>
  <c r="B5368" i="1"/>
  <c r="F5367" i="1"/>
  <c r="B5367" i="1"/>
  <c r="F5366" i="1"/>
  <c r="B5366" i="1"/>
  <c r="F5365" i="1"/>
  <c r="B5365" i="1"/>
  <c r="F5364" i="1"/>
  <c r="B5364" i="1"/>
  <c r="F5363" i="1"/>
  <c r="B5363" i="1"/>
  <c r="F5362" i="1"/>
  <c r="B5362" i="1"/>
  <c r="F5361" i="1"/>
  <c r="B5361" i="1"/>
  <c r="F5360" i="1"/>
  <c r="B5360" i="1"/>
  <c r="F5359" i="1"/>
  <c r="B5359" i="1"/>
  <c r="F5358" i="1"/>
  <c r="B5358" i="1"/>
  <c r="F5357" i="1"/>
  <c r="B5357" i="1"/>
  <c r="F5356" i="1"/>
  <c r="B5356" i="1"/>
  <c r="F5355" i="1"/>
  <c r="B5355" i="1"/>
  <c r="F5354" i="1"/>
  <c r="B5354" i="1"/>
  <c r="F5353" i="1"/>
  <c r="B5353" i="1"/>
  <c r="F5352" i="1"/>
  <c r="B5352" i="1"/>
  <c r="F5351" i="1"/>
  <c r="B5351" i="1"/>
  <c r="F5350" i="1"/>
  <c r="B5350" i="1"/>
  <c r="F5349" i="1"/>
  <c r="B5349" i="1"/>
  <c r="F5348" i="1"/>
  <c r="B5348" i="1"/>
  <c r="F5347" i="1"/>
  <c r="B5347" i="1"/>
  <c r="F5346" i="1"/>
  <c r="B5346" i="1"/>
  <c r="F5345" i="1"/>
  <c r="B5345" i="1"/>
  <c r="F5344" i="1"/>
  <c r="B5344" i="1"/>
  <c r="F5343" i="1"/>
  <c r="B5343" i="1"/>
  <c r="F5342" i="1"/>
  <c r="B5342" i="1"/>
  <c r="F5341" i="1"/>
  <c r="B5341" i="1"/>
  <c r="F5340" i="1"/>
  <c r="B5340" i="1"/>
  <c r="F5339" i="1"/>
  <c r="B5339" i="1"/>
  <c r="F5338" i="1"/>
  <c r="B5338" i="1"/>
  <c r="F5337" i="1"/>
  <c r="B5337" i="1"/>
  <c r="F5336" i="1"/>
  <c r="B5336" i="1"/>
  <c r="F5335" i="1"/>
  <c r="B5335" i="1"/>
  <c r="F5334" i="1"/>
  <c r="B5334" i="1"/>
  <c r="F5333" i="1"/>
  <c r="B5333" i="1"/>
  <c r="F5332" i="1"/>
  <c r="B5332" i="1"/>
  <c r="F5331" i="1"/>
  <c r="B5331" i="1"/>
  <c r="F5330" i="1"/>
  <c r="B5330" i="1"/>
  <c r="F5329" i="1"/>
  <c r="B5329" i="1"/>
  <c r="F5328" i="1"/>
  <c r="B5328" i="1"/>
  <c r="F5327" i="1"/>
  <c r="B5327" i="1"/>
  <c r="F5326" i="1"/>
  <c r="B5326" i="1"/>
  <c r="F5325" i="1"/>
  <c r="B5325" i="1"/>
  <c r="F5324" i="1"/>
  <c r="B5324" i="1"/>
  <c r="F5323" i="1"/>
  <c r="B5323" i="1"/>
  <c r="F5322" i="1"/>
  <c r="B5322" i="1"/>
  <c r="F5321" i="1"/>
  <c r="B5321" i="1"/>
  <c r="F5320" i="1"/>
  <c r="B5320" i="1"/>
  <c r="F5319" i="1"/>
  <c r="B5319" i="1"/>
  <c r="F5318" i="1"/>
  <c r="B5318" i="1"/>
  <c r="F5317" i="1"/>
  <c r="B5317" i="1"/>
  <c r="F5316" i="1"/>
  <c r="B5316" i="1"/>
  <c r="F5315" i="1"/>
  <c r="B5315" i="1"/>
  <c r="F5314" i="1"/>
  <c r="B5314" i="1"/>
  <c r="F5313" i="1"/>
  <c r="B5313" i="1"/>
  <c r="F5312" i="1"/>
  <c r="B5312" i="1"/>
  <c r="F5311" i="1"/>
  <c r="B5311" i="1"/>
  <c r="F5310" i="1"/>
  <c r="B5310" i="1"/>
  <c r="F5309" i="1"/>
  <c r="B5309" i="1"/>
  <c r="F5308" i="1"/>
  <c r="B5308" i="1"/>
  <c r="F5307" i="1"/>
  <c r="B5307" i="1"/>
  <c r="F5306" i="1"/>
  <c r="B5306" i="1"/>
  <c r="F5305" i="1"/>
  <c r="B5305" i="1"/>
  <c r="F5304" i="1"/>
  <c r="B5304" i="1"/>
  <c r="F5303" i="1"/>
  <c r="B5303" i="1"/>
  <c r="F5302" i="1"/>
  <c r="B5302" i="1"/>
  <c r="F5301" i="1"/>
  <c r="B5301" i="1"/>
  <c r="F5300" i="1"/>
  <c r="B5300" i="1"/>
  <c r="F5299" i="1"/>
  <c r="B5299" i="1"/>
  <c r="F5298" i="1"/>
  <c r="B5298" i="1"/>
  <c r="F5297" i="1"/>
  <c r="B5297" i="1"/>
  <c r="F5296" i="1"/>
  <c r="B5296" i="1"/>
  <c r="F5295" i="1"/>
  <c r="B5295" i="1"/>
  <c r="F5294" i="1"/>
  <c r="B5294" i="1"/>
  <c r="F5293" i="1"/>
  <c r="B5293" i="1"/>
  <c r="F5292" i="1"/>
  <c r="B5292" i="1"/>
  <c r="F5291" i="1"/>
  <c r="B5291" i="1"/>
  <c r="F5290" i="1"/>
  <c r="B5290" i="1"/>
  <c r="F5289" i="1"/>
  <c r="B5289" i="1"/>
  <c r="F5288" i="1"/>
  <c r="B5288" i="1"/>
  <c r="F5287" i="1"/>
  <c r="B5287" i="1"/>
  <c r="F5286" i="1"/>
  <c r="B5286" i="1"/>
  <c r="F5285" i="1"/>
  <c r="B5285" i="1"/>
  <c r="F5284" i="1"/>
  <c r="B5284" i="1"/>
  <c r="F5283" i="1"/>
  <c r="B5283" i="1"/>
  <c r="F5282" i="1"/>
  <c r="B5282" i="1"/>
  <c r="F5281" i="1"/>
  <c r="B5281" i="1"/>
  <c r="F5280" i="1"/>
  <c r="B5280" i="1"/>
  <c r="F5279" i="1"/>
  <c r="B5279" i="1"/>
  <c r="F5278" i="1"/>
  <c r="B5278" i="1"/>
  <c r="F5277" i="1"/>
  <c r="B5277" i="1"/>
  <c r="F5276" i="1"/>
  <c r="B5276" i="1"/>
  <c r="F5275" i="1"/>
  <c r="B5275" i="1"/>
  <c r="F5274" i="1"/>
  <c r="B5274" i="1"/>
  <c r="F5273" i="1"/>
  <c r="B5273" i="1"/>
  <c r="F5272" i="1"/>
  <c r="B5272" i="1"/>
  <c r="F5271" i="1"/>
  <c r="B5271" i="1"/>
  <c r="F5270" i="1"/>
  <c r="B5270" i="1"/>
  <c r="F5269" i="1"/>
  <c r="B5269" i="1"/>
  <c r="F5268" i="1"/>
  <c r="B5268" i="1"/>
  <c r="F5267" i="1"/>
  <c r="B5267" i="1"/>
  <c r="F5266" i="1"/>
  <c r="B5266" i="1"/>
  <c r="F5265" i="1"/>
  <c r="B5265" i="1"/>
  <c r="F5264" i="1"/>
  <c r="B5264" i="1"/>
  <c r="F5263" i="1"/>
  <c r="B5263" i="1"/>
  <c r="F5262" i="1"/>
  <c r="B5262" i="1"/>
  <c r="F5261" i="1"/>
  <c r="B5261" i="1"/>
  <c r="F5260" i="1"/>
  <c r="B5260" i="1"/>
  <c r="F5259" i="1"/>
  <c r="B5259" i="1"/>
  <c r="F5258" i="1"/>
  <c r="B5258" i="1"/>
  <c r="F5257" i="1"/>
  <c r="B5257" i="1"/>
  <c r="F5256" i="1"/>
  <c r="B5256" i="1"/>
  <c r="F5255" i="1"/>
  <c r="B5255" i="1"/>
  <c r="F5254" i="1"/>
  <c r="B5254" i="1"/>
  <c r="F5253" i="1"/>
  <c r="B5253" i="1"/>
  <c r="F5252" i="1"/>
  <c r="B5252" i="1"/>
  <c r="F5251" i="1"/>
  <c r="B5251" i="1"/>
  <c r="F5250" i="1"/>
  <c r="B5250" i="1"/>
  <c r="F5249" i="1"/>
  <c r="B5249" i="1"/>
  <c r="F5248" i="1"/>
  <c r="B5248" i="1"/>
  <c r="F5247" i="1"/>
  <c r="B5247" i="1"/>
  <c r="F5246" i="1"/>
  <c r="B5246" i="1"/>
  <c r="F5245" i="1"/>
  <c r="B5245" i="1"/>
  <c r="F5244" i="1"/>
  <c r="B5244" i="1"/>
  <c r="F5243" i="1"/>
  <c r="B5243" i="1"/>
  <c r="F5242" i="1"/>
  <c r="B5242" i="1"/>
  <c r="F5241" i="1"/>
  <c r="B5241" i="1"/>
  <c r="F5240" i="1"/>
  <c r="B5240" i="1"/>
  <c r="F5239" i="1"/>
  <c r="B5239" i="1"/>
  <c r="F5238" i="1"/>
  <c r="B5238" i="1"/>
  <c r="F5237" i="1"/>
  <c r="B5237" i="1"/>
  <c r="F5236" i="1"/>
  <c r="B5236" i="1"/>
  <c r="F5235" i="1"/>
  <c r="B5235" i="1"/>
  <c r="F5234" i="1"/>
  <c r="B5234" i="1"/>
  <c r="F5233" i="1"/>
  <c r="B5233" i="1"/>
  <c r="F5232" i="1"/>
  <c r="B5232" i="1"/>
  <c r="F5231" i="1"/>
  <c r="B5231" i="1"/>
  <c r="F5230" i="1"/>
  <c r="B5230" i="1"/>
  <c r="F5229" i="1"/>
  <c r="B5229" i="1"/>
  <c r="F5228" i="1"/>
  <c r="B5228" i="1"/>
  <c r="F5227" i="1"/>
  <c r="B5227" i="1"/>
  <c r="F5226" i="1"/>
  <c r="B5226" i="1"/>
  <c r="F5225" i="1"/>
  <c r="B5225" i="1"/>
  <c r="F5224" i="1"/>
  <c r="B5224" i="1"/>
  <c r="F5223" i="1"/>
  <c r="B5223" i="1"/>
  <c r="F5222" i="1"/>
  <c r="B5222" i="1"/>
  <c r="F5221" i="1"/>
  <c r="B5221" i="1"/>
  <c r="F5220" i="1"/>
  <c r="B5220" i="1"/>
  <c r="F5219" i="1"/>
  <c r="B5219" i="1"/>
  <c r="F5218" i="1"/>
  <c r="B5218" i="1"/>
  <c r="F5217" i="1"/>
  <c r="B5217" i="1"/>
  <c r="F5216" i="1"/>
  <c r="B5216" i="1"/>
  <c r="F5215" i="1"/>
  <c r="B5215" i="1"/>
  <c r="F5214" i="1"/>
  <c r="B5214" i="1"/>
  <c r="F5213" i="1"/>
  <c r="B5213" i="1"/>
  <c r="F5212" i="1"/>
  <c r="B5212" i="1"/>
  <c r="F5211" i="1"/>
  <c r="B5211" i="1"/>
  <c r="F5210" i="1"/>
  <c r="B5210" i="1"/>
  <c r="F5209" i="1"/>
  <c r="B5209" i="1"/>
  <c r="F5208" i="1"/>
  <c r="B5208" i="1"/>
  <c r="F5207" i="1"/>
  <c r="B5207" i="1"/>
  <c r="F5206" i="1"/>
  <c r="B5206" i="1"/>
  <c r="F5205" i="1"/>
  <c r="B5205" i="1"/>
  <c r="F5204" i="1"/>
  <c r="B5204" i="1"/>
  <c r="F5203" i="1"/>
  <c r="B5203" i="1"/>
  <c r="F5202" i="1"/>
  <c r="B5202" i="1"/>
  <c r="F5201" i="1"/>
  <c r="B5201" i="1"/>
  <c r="F5200" i="1"/>
  <c r="B5200" i="1"/>
  <c r="F5199" i="1"/>
  <c r="B5199" i="1"/>
  <c r="F5198" i="1"/>
  <c r="B5198" i="1"/>
  <c r="F5197" i="1"/>
  <c r="B5197" i="1"/>
  <c r="F5196" i="1"/>
  <c r="B5196" i="1"/>
  <c r="F5195" i="1"/>
  <c r="B5195" i="1"/>
  <c r="F5194" i="1"/>
  <c r="B5194" i="1"/>
  <c r="F5193" i="1"/>
  <c r="B5193" i="1"/>
  <c r="F5192" i="1"/>
  <c r="B5192" i="1"/>
  <c r="F5191" i="1"/>
  <c r="B5191" i="1"/>
  <c r="F5190" i="1"/>
  <c r="B5190" i="1"/>
  <c r="F5189" i="1"/>
  <c r="B5189" i="1"/>
  <c r="F5188" i="1"/>
  <c r="B5188" i="1"/>
  <c r="F5187" i="1"/>
  <c r="B5187" i="1"/>
  <c r="F5186" i="1"/>
  <c r="B5186" i="1"/>
  <c r="F5185" i="1"/>
  <c r="B5185" i="1"/>
  <c r="F5184" i="1"/>
  <c r="B5184" i="1"/>
  <c r="F5183" i="1"/>
  <c r="B5183" i="1"/>
  <c r="F5182" i="1"/>
  <c r="B5182" i="1"/>
  <c r="F5181" i="1"/>
  <c r="B5181" i="1"/>
  <c r="F5180" i="1"/>
  <c r="B5180" i="1"/>
  <c r="F5179" i="1"/>
  <c r="B5179" i="1"/>
  <c r="F5178" i="1"/>
  <c r="B5178" i="1"/>
  <c r="F5177" i="1"/>
  <c r="B5177" i="1"/>
  <c r="F5176" i="1"/>
  <c r="B5176" i="1"/>
  <c r="F5175" i="1"/>
  <c r="B5175" i="1"/>
  <c r="F5174" i="1"/>
  <c r="B5174" i="1"/>
  <c r="F5173" i="1"/>
  <c r="B5173" i="1"/>
  <c r="F5172" i="1"/>
  <c r="B5172" i="1"/>
  <c r="F5171" i="1"/>
  <c r="B5171" i="1"/>
  <c r="F5170" i="1"/>
  <c r="B5170" i="1"/>
  <c r="F5169" i="1"/>
  <c r="B5169" i="1"/>
  <c r="F5168" i="1"/>
  <c r="B5168" i="1"/>
  <c r="F5167" i="1"/>
  <c r="B5167" i="1"/>
  <c r="F5166" i="1"/>
  <c r="B5166" i="1"/>
  <c r="F5165" i="1"/>
  <c r="B5165" i="1"/>
  <c r="F5164" i="1"/>
  <c r="B5164" i="1"/>
  <c r="F5163" i="1"/>
  <c r="B5163" i="1"/>
  <c r="F5162" i="1"/>
  <c r="B5162" i="1"/>
  <c r="F5161" i="1"/>
  <c r="B5161" i="1"/>
  <c r="F5160" i="1"/>
  <c r="B5160" i="1"/>
  <c r="F5159" i="1"/>
  <c r="B5159" i="1"/>
  <c r="F5158" i="1"/>
  <c r="B5158" i="1"/>
  <c r="F5157" i="1"/>
  <c r="B5157" i="1"/>
  <c r="F5156" i="1"/>
  <c r="B5156" i="1"/>
  <c r="F5155" i="1"/>
  <c r="B5155" i="1"/>
  <c r="F5154" i="1"/>
  <c r="B5154" i="1"/>
  <c r="F5153" i="1"/>
  <c r="B5153" i="1"/>
  <c r="F5152" i="1"/>
  <c r="B5152" i="1"/>
  <c r="F5151" i="1"/>
  <c r="B5151" i="1"/>
  <c r="F5150" i="1"/>
  <c r="B5150" i="1"/>
  <c r="F5149" i="1"/>
  <c r="B5149" i="1"/>
  <c r="F5148" i="1"/>
  <c r="B5148" i="1"/>
  <c r="F5147" i="1"/>
  <c r="B5147" i="1"/>
  <c r="F5146" i="1"/>
  <c r="B5146" i="1"/>
  <c r="F5145" i="1"/>
  <c r="B5145" i="1"/>
  <c r="F5144" i="1"/>
  <c r="B5144" i="1"/>
  <c r="F5143" i="1"/>
  <c r="B5143" i="1"/>
  <c r="F5142" i="1"/>
  <c r="B5142" i="1"/>
  <c r="F5141" i="1"/>
  <c r="B5141" i="1"/>
  <c r="F5140" i="1"/>
  <c r="B5140" i="1"/>
  <c r="F5139" i="1"/>
  <c r="B5139" i="1"/>
  <c r="F5138" i="1"/>
  <c r="B5138" i="1"/>
  <c r="F5137" i="1"/>
  <c r="B5137" i="1"/>
  <c r="F5136" i="1"/>
  <c r="B5136" i="1"/>
  <c r="F5135" i="1"/>
  <c r="B5135" i="1"/>
  <c r="F5134" i="1"/>
  <c r="B5134" i="1"/>
  <c r="F5133" i="1"/>
  <c r="B5133" i="1"/>
  <c r="F5132" i="1"/>
  <c r="B5132" i="1"/>
  <c r="F5131" i="1"/>
  <c r="B5131" i="1"/>
  <c r="F5130" i="1"/>
  <c r="B5130" i="1"/>
  <c r="F5129" i="1"/>
  <c r="B5129" i="1"/>
  <c r="F5128" i="1"/>
  <c r="B5128" i="1"/>
  <c r="F5127" i="1"/>
  <c r="B5127" i="1"/>
  <c r="F5126" i="1"/>
  <c r="B5126" i="1"/>
  <c r="F5125" i="1"/>
  <c r="B5125" i="1"/>
  <c r="F5124" i="1"/>
  <c r="B5124" i="1"/>
  <c r="F5123" i="1"/>
  <c r="B5123" i="1"/>
  <c r="F5122" i="1"/>
  <c r="B5122" i="1"/>
  <c r="F5121" i="1"/>
  <c r="B5121" i="1"/>
  <c r="F5120" i="1"/>
  <c r="B5120" i="1"/>
  <c r="F5119" i="1"/>
  <c r="B5119" i="1"/>
  <c r="F5118" i="1"/>
  <c r="B5118" i="1"/>
  <c r="F5117" i="1"/>
  <c r="B5117" i="1"/>
  <c r="F5116" i="1"/>
  <c r="B5116" i="1"/>
  <c r="F5115" i="1"/>
  <c r="B5115" i="1"/>
  <c r="F5114" i="1"/>
  <c r="B5114" i="1"/>
  <c r="F5113" i="1"/>
  <c r="B5113" i="1"/>
  <c r="F5112" i="1"/>
  <c r="B5112" i="1"/>
  <c r="F5111" i="1"/>
  <c r="B5111" i="1"/>
  <c r="F5110" i="1"/>
  <c r="B5110" i="1"/>
  <c r="F5109" i="1"/>
  <c r="B5109" i="1"/>
  <c r="F5108" i="1"/>
  <c r="B5108" i="1"/>
  <c r="F5107" i="1"/>
  <c r="B5107" i="1"/>
  <c r="F5106" i="1"/>
  <c r="B5106" i="1"/>
  <c r="F5105" i="1"/>
  <c r="B5105" i="1"/>
  <c r="F5104" i="1"/>
  <c r="B5104" i="1"/>
  <c r="F5103" i="1"/>
  <c r="B5103" i="1"/>
  <c r="F5102" i="1"/>
  <c r="B5102" i="1"/>
  <c r="F5101" i="1"/>
  <c r="B5101" i="1"/>
  <c r="F5100" i="1"/>
  <c r="B5100" i="1"/>
  <c r="F5099" i="1"/>
  <c r="B5099" i="1"/>
  <c r="F5098" i="1"/>
  <c r="B5098" i="1"/>
  <c r="F5097" i="1"/>
  <c r="B5097" i="1"/>
  <c r="F5096" i="1"/>
  <c r="B5096" i="1"/>
  <c r="F5095" i="1"/>
  <c r="B5095" i="1"/>
  <c r="F5094" i="1"/>
  <c r="B5094" i="1"/>
  <c r="F5093" i="1"/>
  <c r="B5093" i="1"/>
  <c r="F5092" i="1"/>
  <c r="B5092" i="1"/>
  <c r="F5091" i="1"/>
  <c r="B5091" i="1"/>
  <c r="F5090" i="1"/>
  <c r="B5090" i="1"/>
  <c r="F5089" i="1"/>
  <c r="B5089" i="1"/>
  <c r="F5088" i="1"/>
  <c r="B5088" i="1"/>
  <c r="F5087" i="1"/>
  <c r="B5087" i="1"/>
  <c r="F5086" i="1"/>
  <c r="B5086" i="1"/>
  <c r="F5085" i="1"/>
  <c r="B5085" i="1"/>
  <c r="F5084" i="1"/>
  <c r="B5084" i="1"/>
  <c r="F5083" i="1"/>
  <c r="B5083" i="1"/>
  <c r="F5082" i="1"/>
  <c r="B5082" i="1"/>
  <c r="F5081" i="1"/>
  <c r="B5081" i="1"/>
  <c r="F5080" i="1"/>
  <c r="B5080" i="1"/>
  <c r="F5079" i="1"/>
  <c r="B5079" i="1"/>
  <c r="F5078" i="1"/>
  <c r="B5078" i="1"/>
  <c r="F5077" i="1"/>
  <c r="B5077" i="1"/>
  <c r="F5076" i="1"/>
  <c r="B5076" i="1"/>
  <c r="F5075" i="1"/>
  <c r="B5075" i="1"/>
  <c r="F5074" i="1"/>
  <c r="B5074" i="1"/>
  <c r="F5073" i="1"/>
  <c r="B5073" i="1"/>
  <c r="F5072" i="1"/>
  <c r="B5072" i="1"/>
  <c r="F5071" i="1"/>
  <c r="B5071" i="1"/>
  <c r="F5070" i="1"/>
  <c r="B5070" i="1"/>
  <c r="F5069" i="1"/>
  <c r="B5069" i="1"/>
  <c r="F5068" i="1"/>
  <c r="B5068" i="1"/>
  <c r="F5067" i="1"/>
  <c r="B5067" i="1"/>
  <c r="F5066" i="1"/>
  <c r="B5066" i="1"/>
  <c r="F5065" i="1"/>
  <c r="B5065" i="1"/>
  <c r="F5064" i="1"/>
  <c r="B5064" i="1"/>
  <c r="F5063" i="1"/>
  <c r="B5063" i="1"/>
  <c r="F5062" i="1"/>
  <c r="B5062" i="1"/>
  <c r="F5061" i="1"/>
  <c r="B5061" i="1"/>
  <c r="F5060" i="1"/>
  <c r="B5060" i="1"/>
  <c r="F5059" i="1"/>
  <c r="B5059" i="1"/>
  <c r="F5058" i="1"/>
  <c r="B5058" i="1"/>
  <c r="F5057" i="1"/>
  <c r="B5057" i="1"/>
  <c r="F5056" i="1"/>
  <c r="B5056" i="1"/>
  <c r="F5055" i="1"/>
  <c r="B5055" i="1"/>
  <c r="F5054" i="1"/>
  <c r="B5054" i="1"/>
  <c r="F5053" i="1"/>
  <c r="B5053" i="1"/>
  <c r="F5052" i="1"/>
  <c r="B5052" i="1"/>
  <c r="F5051" i="1"/>
  <c r="B5051" i="1"/>
  <c r="F5050" i="1"/>
  <c r="B5050" i="1"/>
  <c r="F5049" i="1"/>
  <c r="B5049" i="1"/>
  <c r="F5048" i="1"/>
  <c r="B5048" i="1"/>
  <c r="F5047" i="1"/>
  <c r="B5047" i="1"/>
  <c r="F5046" i="1"/>
  <c r="B5046" i="1"/>
  <c r="F5045" i="1"/>
  <c r="B5045" i="1"/>
  <c r="F5044" i="1"/>
  <c r="B5044" i="1"/>
  <c r="F5043" i="1"/>
  <c r="B5043" i="1"/>
  <c r="F5042" i="1"/>
  <c r="B5042" i="1"/>
  <c r="F5041" i="1"/>
  <c r="B5041" i="1"/>
  <c r="F5040" i="1"/>
  <c r="B5040" i="1"/>
  <c r="F5039" i="1"/>
  <c r="B5039" i="1"/>
  <c r="F5038" i="1"/>
  <c r="B5038" i="1"/>
  <c r="F5037" i="1"/>
  <c r="B5037" i="1"/>
  <c r="F5036" i="1"/>
  <c r="B5036" i="1"/>
  <c r="F5035" i="1"/>
  <c r="B5035" i="1"/>
  <c r="F5034" i="1"/>
  <c r="B5034" i="1"/>
  <c r="F5033" i="1"/>
  <c r="B5033" i="1"/>
  <c r="F5032" i="1"/>
  <c r="B5032" i="1"/>
  <c r="F5031" i="1"/>
  <c r="B5031" i="1"/>
  <c r="F5030" i="1"/>
  <c r="B5030" i="1"/>
  <c r="F5029" i="1"/>
  <c r="B5029" i="1"/>
  <c r="F5028" i="1"/>
  <c r="B5028" i="1"/>
  <c r="F5027" i="1"/>
  <c r="B5027" i="1"/>
  <c r="F5026" i="1"/>
  <c r="B5026" i="1"/>
  <c r="F5025" i="1"/>
  <c r="B5025" i="1"/>
  <c r="F5024" i="1"/>
  <c r="B5024" i="1"/>
  <c r="F5023" i="1"/>
  <c r="B5023" i="1"/>
  <c r="F5022" i="1"/>
  <c r="B5022" i="1"/>
  <c r="F5021" i="1"/>
  <c r="B5021" i="1"/>
  <c r="F5020" i="1"/>
  <c r="B5020" i="1"/>
  <c r="F5019" i="1"/>
  <c r="B5019" i="1"/>
  <c r="F5018" i="1"/>
  <c r="B5018" i="1"/>
  <c r="F5017" i="1"/>
  <c r="B5017" i="1"/>
  <c r="F5016" i="1"/>
  <c r="B5016" i="1"/>
  <c r="F5015" i="1"/>
  <c r="B5015" i="1"/>
  <c r="F5014" i="1"/>
  <c r="B5014" i="1"/>
  <c r="F5013" i="1"/>
  <c r="B5013" i="1"/>
  <c r="F5012" i="1"/>
  <c r="B5012" i="1"/>
  <c r="F5011" i="1"/>
  <c r="B5011" i="1"/>
  <c r="F5010" i="1"/>
  <c r="B5010" i="1"/>
  <c r="F5009" i="1"/>
  <c r="B5009" i="1"/>
  <c r="F5008" i="1"/>
  <c r="B5008" i="1"/>
  <c r="F5007" i="1"/>
  <c r="B5007" i="1"/>
  <c r="F5006" i="1"/>
  <c r="B5006" i="1"/>
  <c r="F5005" i="1"/>
  <c r="B5005" i="1"/>
  <c r="F5004" i="1"/>
  <c r="B5004" i="1"/>
  <c r="F5003" i="1"/>
  <c r="B5003" i="1"/>
  <c r="F5002" i="1"/>
  <c r="B5002" i="1"/>
  <c r="F5001" i="1"/>
  <c r="B5001" i="1"/>
  <c r="F5000" i="1"/>
  <c r="B5000" i="1"/>
  <c r="F4999" i="1"/>
  <c r="B4999" i="1"/>
  <c r="F4998" i="1"/>
  <c r="B4998" i="1"/>
  <c r="F4997" i="1"/>
  <c r="B4997" i="1"/>
  <c r="F4996" i="1"/>
  <c r="B4996" i="1"/>
  <c r="F4995" i="1"/>
  <c r="B4995" i="1"/>
  <c r="F4994" i="1"/>
  <c r="B4994" i="1"/>
  <c r="F4993" i="1"/>
  <c r="B4993" i="1"/>
  <c r="F4992" i="1"/>
  <c r="B4992" i="1"/>
  <c r="F4991" i="1"/>
  <c r="B4991" i="1"/>
  <c r="F4990" i="1"/>
  <c r="B4990" i="1"/>
  <c r="F4989" i="1"/>
  <c r="B4989" i="1"/>
  <c r="F4988" i="1"/>
  <c r="B4988" i="1"/>
  <c r="F4987" i="1"/>
  <c r="B4987" i="1"/>
  <c r="F4986" i="1"/>
  <c r="B4986" i="1"/>
  <c r="F4985" i="1"/>
  <c r="B4985" i="1"/>
  <c r="F4984" i="1"/>
  <c r="B4984" i="1"/>
  <c r="F4983" i="1"/>
  <c r="B4983" i="1"/>
  <c r="F4982" i="1"/>
  <c r="B4982" i="1"/>
  <c r="F4981" i="1"/>
  <c r="B4981" i="1"/>
  <c r="F4980" i="1"/>
  <c r="B4980" i="1"/>
  <c r="F4979" i="1"/>
  <c r="B4979" i="1"/>
  <c r="F4978" i="1"/>
  <c r="B4978" i="1"/>
  <c r="F4977" i="1"/>
  <c r="B4977" i="1"/>
  <c r="F4976" i="1"/>
  <c r="B4976" i="1"/>
  <c r="F4975" i="1"/>
  <c r="B4975" i="1"/>
  <c r="F4974" i="1"/>
  <c r="B4974" i="1"/>
  <c r="F4973" i="1"/>
  <c r="B4973" i="1"/>
  <c r="F4972" i="1"/>
  <c r="B4972" i="1"/>
  <c r="F4971" i="1"/>
  <c r="B4971" i="1"/>
  <c r="F4970" i="1"/>
  <c r="B4970" i="1"/>
  <c r="F4969" i="1"/>
  <c r="B4969" i="1"/>
  <c r="F4968" i="1"/>
  <c r="B4968" i="1"/>
  <c r="F4967" i="1"/>
  <c r="B4967" i="1"/>
  <c r="F4966" i="1"/>
  <c r="B4966" i="1"/>
  <c r="F4965" i="1"/>
  <c r="B4965" i="1"/>
  <c r="F4964" i="1"/>
  <c r="B4964" i="1"/>
  <c r="F4963" i="1"/>
  <c r="B4963" i="1"/>
  <c r="F4962" i="1"/>
  <c r="B4962" i="1"/>
  <c r="F4961" i="1"/>
  <c r="B4961" i="1"/>
  <c r="F4960" i="1"/>
  <c r="B4960" i="1"/>
  <c r="F4959" i="1"/>
  <c r="B4959" i="1"/>
  <c r="F4958" i="1"/>
  <c r="B4958" i="1"/>
  <c r="F4957" i="1"/>
  <c r="B4957" i="1"/>
  <c r="F4956" i="1"/>
  <c r="B4956" i="1"/>
  <c r="F4955" i="1"/>
  <c r="B4955" i="1"/>
  <c r="F4954" i="1"/>
  <c r="B4954" i="1"/>
  <c r="F4953" i="1"/>
  <c r="B4953" i="1"/>
  <c r="F4952" i="1"/>
  <c r="B4952" i="1"/>
  <c r="F4951" i="1"/>
  <c r="B4951" i="1"/>
  <c r="F4950" i="1"/>
  <c r="B4950" i="1"/>
  <c r="F4949" i="1"/>
  <c r="B4949" i="1"/>
  <c r="F4948" i="1"/>
  <c r="B4948" i="1"/>
  <c r="F4947" i="1"/>
  <c r="B4947" i="1"/>
  <c r="F4946" i="1"/>
  <c r="B4946" i="1"/>
  <c r="F4945" i="1"/>
  <c r="B4945" i="1"/>
  <c r="F4944" i="1"/>
  <c r="B4944" i="1"/>
  <c r="F4943" i="1"/>
  <c r="B4943" i="1"/>
  <c r="F4942" i="1"/>
  <c r="B4942" i="1"/>
  <c r="F4941" i="1"/>
  <c r="B4941" i="1"/>
  <c r="F4940" i="1"/>
  <c r="B4940" i="1"/>
  <c r="F4939" i="1"/>
  <c r="B4939" i="1"/>
  <c r="F4938" i="1"/>
  <c r="B4938" i="1"/>
  <c r="F4937" i="1"/>
  <c r="B4937" i="1"/>
  <c r="F4936" i="1"/>
  <c r="B4936" i="1"/>
  <c r="F4935" i="1"/>
  <c r="B4935" i="1"/>
  <c r="F4934" i="1"/>
  <c r="B4934" i="1"/>
  <c r="F4933" i="1"/>
  <c r="B4933" i="1"/>
  <c r="F4932" i="1"/>
  <c r="B4932" i="1"/>
  <c r="F4931" i="1"/>
  <c r="B4931" i="1"/>
  <c r="F4930" i="1"/>
  <c r="B4930" i="1"/>
  <c r="F4929" i="1"/>
  <c r="B4929" i="1"/>
  <c r="F4928" i="1"/>
  <c r="B4928" i="1"/>
  <c r="F4927" i="1"/>
  <c r="B4927" i="1"/>
  <c r="F4926" i="1"/>
  <c r="B4926" i="1"/>
  <c r="F4925" i="1"/>
  <c r="B4925" i="1"/>
  <c r="F4924" i="1"/>
  <c r="B4924" i="1"/>
  <c r="F4923" i="1"/>
  <c r="B4923" i="1"/>
  <c r="F4922" i="1"/>
  <c r="B4922" i="1"/>
  <c r="F4921" i="1"/>
  <c r="B4921" i="1"/>
  <c r="F4920" i="1"/>
  <c r="B4920" i="1"/>
  <c r="F4919" i="1"/>
  <c r="B4919" i="1"/>
  <c r="F4918" i="1"/>
  <c r="B4918" i="1"/>
  <c r="F4917" i="1"/>
  <c r="B4917" i="1"/>
  <c r="F4916" i="1"/>
  <c r="B4916" i="1"/>
  <c r="F4915" i="1"/>
  <c r="B4915" i="1"/>
  <c r="F4914" i="1"/>
  <c r="B4914" i="1"/>
  <c r="F4913" i="1"/>
  <c r="B4913" i="1"/>
  <c r="F4912" i="1"/>
  <c r="B4912" i="1"/>
  <c r="F4911" i="1"/>
  <c r="B4911" i="1"/>
  <c r="F4910" i="1"/>
  <c r="B4910" i="1"/>
  <c r="F4909" i="1"/>
  <c r="B4909" i="1"/>
  <c r="F4908" i="1"/>
  <c r="B4908" i="1"/>
  <c r="F4907" i="1"/>
  <c r="B4907" i="1"/>
  <c r="F4906" i="1"/>
  <c r="B4906" i="1"/>
  <c r="F4905" i="1"/>
  <c r="B4905" i="1"/>
  <c r="F4904" i="1"/>
  <c r="B4904" i="1"/>
  <c r="F4903" i="1"/>
  <c r="B4903" i="1"/>
  <c r="F4902" i="1"/>
  <c r="B4902" i="1"/>
  <c r="F4901" i="1"/>
  <c r="B4901" i="1"/>
  <c r="F4900" i="1"/>
  <c r="B4900" i="1"/>
  <c r="F4899" i="1"/>
  <c r="B4899" i="1"/>
  <c r="F4898" i="1"/>
  <c r="B4898" i="1"/>
  <c r="F4897" i="1"/>
  <c r="B4897" i="1"/>
  <c r="F4896" i="1"/>
  <c r="B4896" i="1"/>
  <c r="F4895" i="1"/>
  <c r="B4895" i="1"/>
  <c r="F4894" i="1"/>
  <c r="B4894" i="1"/>
  <c r="F4893" i="1"/>
  <c r="B4893" i="1"/>
  <c r="F4892" i="1"/>
  <c r="B4892" i="1"/>
  <c r="F4891" i="1"/>
  <c r="B4891" i="1"/>
  <c r="F4890" i="1"/>
  <c r="B4890" i="1"/>
  <c r="F4889" i="1"/>
  <c r="B4889" i="1"/>
  <c r="F4888" i="1"/>
  <c r="B4888" i="1"/>
  <c r="F4887" i="1"/>
  <c r="B4887" i="1"/>
  <c r="F4886" i="1"/>
  <c r="B4886" i="1"/>
  <c r="F4885" i="1"/>
  <c r="B4885" i="1"/>
  <c r="F4884" i="1"/>
  <c r="B4884" i="1"/>
  <c r="F4883" i="1"/>
  <c r="B4883" i="1"/>
  <c r="F4882" i="1"/>
  <c r="B4882" i="1"/>
  <c r="F4881" i="1"/>
  <c r="B4881" i="1"/>
  <c r="F4880" i="1"/>
  <c r="B4880" i="1"/>
  <c r="F4879" i="1"/>
  <c r="B4879" i="1"/>
  <c r="F4878" i="1"/>
  <c r="B4878" i="1"/>
  <c r="F4877" i="1"/>
  <c r="B4877" i="1"/>
  <c r="F4876" i="1"/>
  <c r="B4876" i="1"/>
  <c r="F4875" i="1"/>
  <c r="B4875" i="1"/>
  <c r="F4874" i="1"/>
  <c r="B4874" i="1"/>
  <c r="F4873" i="1"/>
  <c r="B4873" i="1"/>
  <c r="F4872" i="1"/>
  <c r="B4872" i="1"/>
  <c r="F4871" i="1"/>
  <c r="B4871" i="1"/>
  <c r="F4870" i="1"/>
  <c r="B4870" i="1"/>
  <c r="F4869" i="1"/>
  <c r="B4869" i="1"/>
  <c r="F4868" i="1"/>
  <c r="B4868" i="1"/>
  <c r="F4867" i="1"/>
  <c r="B4867" i="1"/>
  <c r="F4866" i="1"/>
  <c r="B4866" i="1"/>
  <c r="F4865" i="1"/>
  <c r="B4865" i="1"/>
  <c r="F4864" i="1"/>
  <c r="B4864" i="1"/>
  <c r="F4863" i="1"/>
  <c r="B4863" i="1"/>
  <c r="F4862" i="1"/>
  <c r="B4862" i="1"/>
  <c r="F4861" i="1"/>
  <c r="B4861" i="1"/>
  <c r="F4860" i="1"/>
  <c r="B4860" i="1"/>
  <c r="F4859" i="1"/>
  <c r="B4859" i="1"/>
  <c r="F4858" i="1"/>
  <c r="B4858" i="1"/>
  <c r="F4857" i="1"/>
  <c r="B4857" i="1"/>
  <c r="F4856" i="1"/>
  <c r="B4856" i="1"/>
  <c r="F4855" i="1"/>
  <c r="B4855" i="1"/>
  <c r="F4854" i="1"/>
  <c r="B4854" i="1"/>
  <c r="F4853" i="1"/>
  <c r="B4853" i="1"/>
  <c r="F4852" i="1"/>
  <c r="B4852" i="1"/>
  <c r="F4851" i="1"/>
  <c r="B4851" i="1"/>
  <c r="F4850" i="1"/>
  <c r="B4850" i="1"/>
  <c r="F4849" i="1"/>
  <c r="B4849" i="1"/>
  <c r="F4848" i="1"/>
  <c r="B4848" i="1"/>
  <c r="F4847" i="1"/>
  <c r="B4847" i="1"/>
  <c r="F4846" i="1"/>
  <c r="B4846" i="1"/>
  <c r="F4845" i="1"/>
  <c r="B4845" i="1"/>
  <c r="F4844" i="1"/>
  <c r="B4844" i="1"/>
  <c r="F4843" i="1"/>
  <c r="B4843" i="1"/>
  <c r="F4842" i="1"/>
  <c r="B4842" i="1"/>
  <c r="F4841" i="1"/>
  <c r="B4841" i="1"/>
  <c r="F4840" i="1"/>
  <c r="B4840" i="1"/>
  <c r="F4839" i="1"/>
  <c r="B4839" i="1"/>
  <c r="F4838" i="1"/>
  <c r="B4838" i="1"/>
  <c r="F4837" i="1"/>
  <c r="B4837" i="1"/>
  <c r="F4836" i="1"/>
  <c r="B4836" i="1"/>
  <c r="F4835" i="1"/>
  <c r="B4835" i="1"/>
  <c r="F4834" i="1"/>
  <c r="B4834" i="1"/>
  <c r="F4833" i="1"/>
  <c r="B4833" i="1"/>
  <c r="F4832" i="1"/>
  <c r="B4832" i="1"/>
  <c r="F4831" i="1"/>
  <c r="B4831" i="1"/>
  <c r="F4830" i="1"/>
  <c r="B4830" i="1"/>
  <c r="F4829" i="1"/>
  <c r="B4829" i="1"/>
  <c r="F4828" i="1"/>
  <c r="B4828" i="1"/>
  <c r="F4827" i="1"/>
  <c r="B4827" i="1"/>
  <c r="F4826" i="1"/>
  <c r="B4826" i="1"/>
  <c r="F4825" i="1"/>
  <c r="B4825" i="1"/>
  <c r="F4824" i="1"/>
  <c r="B4824" i="1"/>
  <c r="F4823" i="1"/>
  <c r="B4823" i="1"/>
  <c r="F4822" i="1"/>
  <c r="B4822" i="1"/>
  <c r="F4821" i="1"/>
  <c r="B4821" i="1"/>
  <c r="F4820" i="1"/>
  <c r="B4820" i="1"/>
  <c r="F4819" i="1"/>
  <c r="B4819" i="1"/>
  <c r="F4818" i="1"/>
  <c r="B4818" i="1"/>
  <c r="F4817" i="1"/>
  <c r="B4817" i="1"/>
  <c r="F4816" i="1"/>
  <c r="B4816" i="1"/>
  <c r="F4815" i="1"/>
  <c r="B4815" i="1"/>
  <c r="F4814" i="1"/>
  <c r="B4814" i="1"/>
  <c r="F4813" i="1"/>
  <c r="B4813" i="1"/>
  <c r="F4812" i="1"/>
  <c r="B4812" i="1"/>
  <c r="F4811" i="1"/>
  <c r="B4811" i="1"/>
  <c r="F4810" i="1"/>
  <c r="B4810" i="1"/>
  <c r="F4809" i="1"/>
  <c r="B4809" i="1"/>
  <c r="F4808" i="1"/>
  <c r="B4808" i="1"/>
  <c r="F4807" i="1"/>
  <c r="B4807" i="1"/>
  <c r="F4806" i="1"/>
  <c r="B4806" i="1"/>
  <c r="F4805" i="1"/>
  <c r="B4805" i="1"/>
  <c r="F4804" i="1"/>
  <c r="B4804" i="1"/>
  <c r="F4803" i="1"/>
  <c r="B4803" i="1"/>
  <c r="F4802" i="1"/>
  <c r="B4802" i="1"/>
  <c r="F4801" i="1"/>
  <c r="B4801" i="1"/>
  <c r="F4800" i="1"/>
  <c r="B4800" i="1"/>
  <c r="F4799" i="1"/>
  <c r="B4799" i="1"/>
  <c r="F4798" i="1"/>
  <c r="B4798" i="1"/>
  <c r="F4797" i="1"/>
  <c r="B4797" i="1"/>
  <c r="F4796" i="1"/>
  <c r="B4796" i="1"/>
  <c r="F4795" i="1"/>
  <c r="B4795" i="1"/>
  <c r="F4794" i="1"/>
  <c r="B4794" i="1"/>
  <c r="F4793" i="1"/>
  <c r="B4793" i="1"/>
  <c r="F4792" i="1"/>
  <c r="B4792" i="1"/>
  <c r="F4791" i="1"/>
  <c r="B4791" i="1"/>
  <c r="F4790" i="1"/>
  <c r="B4790" i="1"/>
  <c r="F4789" i="1"/>
  <c r="B4789" i="1"/>
  <c r="F4788" i="1"/>
  <c r="B4788" i="1"/>
  <c r="F4787" i="1"/>
  <c r="B4787" i="1"/>
  <c r="F4786" i="1"/>
  <c r="B4786" i="1"/>
  <c r="F4785" i="1"/>
  <c r="B4785" i="1"/>
  <c r="F4784" i="1"/>
  <c r="B4784" i="1"/>
  <c r="F4783" i="1"/>
  <c r="B4783" i="1"/>
  <c r="F4782" i="1"/>
  <c r="B4782" i="1"/>
  <c r="F4781" i="1"/>
  <c r="B4781" i="1"/>
  <c r="F4780" i="1"/>
  <c r="B4780" i="1"/>
  <c r="F4779" i="1"/>
  <c r="B4779" i="1"/>
  <c r="F4778" i="1"/>
  <c r="B4778" i="1"/>
  <c r="F4777" i="1"/>
  <c r="B4777" i="1"/>
  <c r="F4776" i="1"/>
  <c r="B4776" i="1"/>
  <c r="F4775" i="1"/>
  <c r="B4775" i="1"/>
  <c r="F4774" i="1"/>
  <c r="B4774" i="1"/>
  <c r="F4773" i="1"/>
  <c r="B4773" i="1"/>
  <c r="F4772" i="1"/>
  <c r="B4772" i="1"/>
  <c r="F4771" i="1"/>
  <c r="B4771" i="1"/>
  <c r="F4770" i="1"/>
  <c r="B4770" i="1"/>
  <c r="F4769" i="1"/>
  <c r="B4769" i="1"/>
  <c r="F4768" i="1"/>
  <c r="B4768" i="1"/>
  <c r="F4767" i="1"/>
  <c r="B4767" i="1"/>
  <c r="F4766" i="1"/>
  <c r="B4766" i="1"/>
  <c r="F4765" i="1"/>
  <c r="B4765" i="1"/>
  <c r="F4764" i="1"/>
  <c r="B4764" i="1"/>
  <c r="F4763" i="1"/>
  <c r="B4763" i="1"/>
  <c r="F4762" i="1"/>
  <c r="B4762" i="1"/>
  <c r="F4761" i="1"/>
  <c r="B4761" i="1"/>
  <c r="F4760" i="1"/>
  <c r="B4760" i="1"/>
  <c r="F4759" i="1"/>
  <c r="B4759" i="1"/>
  <c r="F4758" i="1"/>
  <c r="B4758" i="1"/>
  <c r="F4757" i="1"/>
  <c r="B4757" i="1"/>
  <c r="F4756" i="1"/>
  <c r="B4756" i="1"/>
  <c r="F4755" i="1"/>
  <c r="B4755" i="1"/>
  <c r="F4754" i="1"/>
  <c r="B4754" i="1"/>
  <c r="F4753" i="1"/>
  <c r="B4753" i="1"/>
  <c r="F4752" i="1"/>
  <c r="B4752" i="1"/>
  <c r="F4751" i="1"/>
  <c r="B4751" i="1"/>
  <c r="F4750" i="1"/>
  <c r="B4750" i="1"/>
  <c r="F4749" i="1"/>
  <c r="B4749" i="1"/>
  <c r="F4748" i="1"/>
  <c r="B4748" i="1"/>
  <c r="F4747" i="1"/>
  <c r="B4747" i="1"/>
  <c r="F4746" i="1"/>
  <c r="B4746" i="1"/>
  <c r="F4745" i="1"/>
  <c r="B4745" i="1"/>
  <c r="F4744" i="1"/>
  <c r="B4744" i="1"/>
  <c r="F4743" i="1"/>
  <c r="B4743" i="1"/>
  <c r="F4742" i="1"/>
  <c r="B4742" i="1"/>
  <c r="F4741" i="1"/>
  <c r="B4741" i="1"/>
  <c r="F4740" i="1"/>
  <c r="B4740" i="1"/>
  <c r="F4739" i="1"/>
  <c r="B4739" i="1"/>
  <c r="F4738" i="1"/>
  <c r="B4738" i="1"/>
  <c r="F4737" i="1"/>
  <c r="B4737" i="1"/>
  <c r="F4736" i="1"/>
  <c r="B4736" i="1"/>
  <c r="F4735" i="1"/>
  <c r="B4735" i="1"/>
  <c r="F4734" i="1"/>
  <c r="B4734" i="1"/>
  <c r="F4733" i="1"/>
  <c r="B4733" i="1"/>
  <c r="F4732" i="1"/>
  <c r="B4732" i="1"/>
  <c r="F4731" i="1"/>
  <c r="B4731" i="1"/>
  <c r="F4730" i="1"/>
  <c r="B4730" i="1"/>
  <c r="F4729" i="1"/>
  <c r="B4729" i="1"/>
  <c r="F4728" i="1"/>
  <c r="B4728" i="1"/>
  <c r="F4727" i="1"/>
  <c r="B4727" i="1"/>
  <c r="F4726" i="1"/>
  <c r="B4726" i="1"/>
  <c r="F4725" i="1"/>
  <c r="B4725" i="1"/>
  <c r="F4724" i="1"/>
  <c r="B4724" i="1"/>
  <c r="F4723" i="1"/>
  <c r="B4723" i="1"/>
  <c r="F4722" i="1"/>
  <c r="B4722" i="1"/>
  <c r="F4721" i="1"/>
  <c r="B4721" i="1"/>
  <c r="F4720" i="1"/>
  <c r="B4720" i="1"/>
  <c r="F4719" i="1"/>
  <c r="B4719" i="1"/>
  <c r="F4718" i="1"/>
  <c r="B4718" i="1"/>
  <c r="F4717" i="1"/>
  <c r="B4717" i="1"/>
  <c r="F4716" i="1"/>
  <c r="B4716" i="1"/>
  <c r="F4715" i="1"/>
  <c r="B4715" i="1"/>
  <c r="F4714" i="1"/>
  <c r="B4714" i="1"/>
  <c r="F4713" i="1"/>
  <c r="B4713" i="1"/>
  <c r="F4712" i="1"/>
  <c r="B4712" i="1"/>
  <c r="F4711" i="1"/>
  <c r="B4711" i="1"/>
  <c r="F4710" i="1"/>
  <c r="B4710" i="1"/>
  <c r="F4709" i="1"/>
  <c r="B4709" i="1"/>
  <c r="F4708" i="1"/>
  <c r="B4708" i="1"/>
  <c r="F4707" i="1"/>
  <c r="B4707" i="1"/>
  <c r="F4706" i="1"/>
  <c r="B4706" i="1"/>
  <c r="F4705" i="1"/>
  <c r="B4705" i="1"/>
  <c r="F4704" i="1"/>
  <c r="B4704" i="1"/>
  <c r="F4703" i="1"/>
  <c r="B4703" i="1"/>
  <c r="F4702" i="1"/>
  <c r="B4702" i="1"/>
  <c r="F4701" i="1"/>
  <c r="B4701" i="1"/>
  <c r="F4700" i="1"/>
  <c r="B4700" i="1"/>
  <c r="F4699" i="1"/>
  <c r="B4699" i="1"/>
  <c r="F4698" i="1"/>
  <c r="B4698" i="1"/>
  <c r="F4697" i="1"/>
  <c r="B4697" i="1"/>
  <c r="F4696" i="1"/>
  <c r="B4696" i="1"/>
  <c r="F4695" i="1"/>
  <c r="B4695" i="1"/>
  <c r="F4694" i="1"/>
  <c r="B4694" i="1"/>
  <c r="F4693" i="1"/>
  <c r="B4693" i="1"/>
  <c r="F4692" i="1"/>
  <c r="B4692" i="1"/>
  <c r="F4691" i="1"/>
  <c r="B4691" i="1"/>
  <c r="F4690" i="1"/>
  <c r="B4690" i="1"/>
  <c r="F4689" i="1"/>
  <c r="B4689" i="1"/>
  <c r="F4688" i="1"/>
  <c r="B4688" i="1"/>
  <c r="F4687" i="1"/>
  <c r="B4687" i="1"/>
  <c r="F4686" i="1"/>
  <c r="B4686" i="1"/>
  <c r="F4685" i="1"/>
  <c r="B4685" i="1"/>
  <c r="F4684" i="1"/>
  <c r="B4684" i="1"/>
  <c r="F4683" i="1"/>
  <c r="B4683" i="1"/>
  <c r="F4682" i="1"/>
  <c r="B4682" i="1"/>
  <c r="F4681" i="1"/>
  <c r="B4681" i="1"/>
  <c r="F4680" i="1"/>
  <c r="B4680" i="1"/>
  <c r="F4679" i="1"/>
  <c r="B4679" i="1"/>
  <c r="F4678" i="1"/>
  <c r="B4678" i="1"/>
  <c r="F4677" i="1"/>
  <c r="B4677" i="1"/>
  <c r="F4676" i="1"/>
  <c r="B4676" i="1"/>
  <c r="F4675" i="1"/>
  <c r="B4675" i="1"/>
  <c r="F4674" i="1"/>
  <c r="B4674" i="1"/>
  <c r="F4673" i="1"/>
  <c r="B4673" i="1"/>
  <c r="F4672" i="1"/>
  <c r="B4672" i="1"/>
  <c r="F4671" i="1"/>
  <c r="B4671" i="1"/>
  <c r="F4670" i="1"/>
  <c r="B4670" i="1"/>
  <c r="F4669" i="1"/>
  <c r="B4669" i="1"/>
  <c r="F4668" i="1"/>
  <c r="B4668" i="1"/>
  <c r="F4667" i="1"/>
  <c r="B4667" i="1"/>
  <c r="F4666" i="1"/>
  <c r="B4666" i="1"/>
  <c r="F4665" i="1"/>
  <c r="B4665" i="1"/>
  <c r="F4664" i="1"/>
  <c r="B4664" i="1"/>
  <c r="F4663" i="1"/>
  <c r="B4663" i="1"/>
  <c r="F4662" i="1"/>
  <c r="B4662" i="1"/>
  <c r="F4661" i="1"/>
  <c r="B4661" i="1"/>
  <c r="F4660" i="1"/>
  <c r="B4660" i="1"/>
  <c r="F4659" i="1"/>
  <c r="B4659" i="1"/>
  <c r="F4658" i="1"/>
  <c r="B4658" i="1"/>
  <c r="F4657" i="1"/>
  <c r="B4657" i="1"/>
  <c r="F4656" i="1"/>
  <c r="B4656" i="1"/>
  <c r="F4655" i="1"/>
  <c r="B4655" i="1"/>
  <c r="F4654" i="1"/>
  <c r="B4654" i="1"/>
  <c r="F4653" i="1"/>
  <c r="B4653" i="1"/>
  <c r="F4652" i="1"/>
  <c r="B4652" i="1"/>
  <c r="F4651" i="1"/>
  <c r="B4651" i="1"/>
  <c r="F4650" i="1"/>
  <c r="B4650" i="1"/>
  <c r="F4649" i="1"/>
  <c r="B4649" i="1"/>
  <c r="F4648" i="1"/>
  <c r="B4648" i="1"/>
  <c r="F4647" i="1"/>
  <c r="B4647" i="1"/>
  <c r="F4646" i="1"/>
  <c r="B4646" i="1"/>
  <c r="F4645" i="1"/>
  <c r="B4645" i="1"/>
  <c r="F4644" i="1"/>
  <c r="B4644" i="1"/>
  <c r="F4643" i="1"/>
  <c r="B4643" i="1"/>
  <c r="F4642" i="1"/>
  <c r="B4642" i="1"/>
  <c r="F4641" i="1"/>
  <c r="B4641" i="1"/>
  <c r="F4640" i="1"/>
  <c r="B4640" i="1"/>
  <c r="F4639" i="1"/>
  <c r="B4639" i="1"/>
  <c r="F4638" i="1"/>
  <c r="B4638" i="1"/>
  <c r="F4637" i="1"/>
  <c r="B4637" i="1"/>
  <c r="F4636" i="1"/>
  <c r="B4636" i="1"/>
  <c r="F4635" i="1"/>
  <c r="B4635" i="1"/>
  <c r="F4634" i="1"/>
  <c r="B4634" i="1"/>
  <c r="F4633" i="1"/>
  <c r="B4633" i="1"/>
  <c r="F4632" i="1"/>
  <c r="B4632" i="1"/>
  <c r="F4631" i="1"/>
  <c r="B4631" i="1"/>
  <c r="F4630" i="1"/>
  <c r="B4630" i="1"/>
  <c r="F4629" i="1"/>
  <c r="B4629" i="1"/>
  <c r="F4628" i="1"/>
  <c r="B4628" i="1"/>
  <c r="F4627" i="1"/>
  <c r="B4627" i="1"/>
  <c r="F4626" i="1"/>
  <c r="B4626" i="1"/>
  <c r="F4625" i="1"/>
  <c r="B4625" i="1"/>
  <c r="F4624" i="1"/>
  <c r="B4624" i="1"/>
  <c r="F4623" i="1"/>
  <c r="B4623" i="1"/>
  <c r="F4622" i="1"/>
  <c r="B4622" i="1"/>
  <c r="F4621" i="1"/>
  <c r="B4621" i="1"/>
  <c r="F4620" i="1"/>
  <c r="B4620" i="1"/>
  <c r="F4619" i="1"/>
  <c r="B4619" i="1"/>
  <c r="F4618" i="1"/>
  <c r="B4618" i="1"/>
  <c r="F4617" i="1"/>
  <c r="B4617" i="1"/>
  <c r="F4616" i="1"/>
  <c r="B4616" i="1"/>
  <c r="F4615" i="1"/>
  <c r="B4615" i="1"/>
  <c r="F4614" i="1"/>
  <c r="B4614" i="1"/>
  <c r="F4613" i="1"/>
  <c r="B4613" i="1"/>
  <c r="F4612" i="1"/>
  <c r="B4612" i="1"/>
  <c r="F4611" i="1"/>
  <c r="B4611" i="1"/>
  <c r="F4610" i="1"/>
  <c r="B4610" i="1"/>
  <c r="F4609" i="1"/>
  <c r="B4609" i="1"/>
  <c r="F4608" i="1"/>
  <c r="B4608" i="1"/>
  <c r="F4607" i="1"/>
  <c r="B4607" i="1"/>
  <c r="F4606" i="1"/>
  <c r="B4606" i="1"/>
  <c r="F4605" i="1"/>
  <c r="B4605" i="1"/>
  <c r="F4604" i="1"/>
  <c r="B4604" i="1"/>
  <c r="F4603" i="1"/>
  <c r="B4603" i="1"/>
  <c r="F4602" i="1"/>
  <c r="B4602" i="1"/>
  <c r="F4601" i="1"/>
  <c r="B4601" i="1"/>
  <c r="F4600" i="1"/>
  <c r="B4600" i="1"/>
  <c r="F4599" i="1"/>
  <c r="B4599" i="1"/>
  <c r="F4598" i="1"/>
  <c r="B4598" i="1"/>
  <c r="F4597" i="1"/>
  <c r="B4597" i="1"/>
  <c r="F4596" i="1"/>
  <c r="B4596" i="1"/>
  <c r="F4595" i="1"/>
  <c r="B4595" i="1"/>
  <c r="F4594" i="1"/>
  <c r="B4594" i="1"/>
  <c r="F4593" i="1"/>
  <c r="B4593" i="1"/>
  <c r="F4592" i="1"/>
  <c r="B4592" i="1"/>
  <c r="F4591" i="1"/>
  <c r="B4591" i="1"/>
  <c r="F4590" i="1"/>
  <c r="B4590" i="1"/>
  <c r="F4589" i="1"/>
  <c r="B4589" i="1"/>
  <c r="F4588" i="1"/>
  <c r="B4588" i="1"/>
  <c r="F4587" i="1"/>
  <c r="B4587" i="1"/>
  <c r="F4586" i="1"/>
  <c r="B4586" i="1"/>
  <c r="F4585" i="1"/>
  <c r="B4585" i="1"/>
  <c r="F4584" i="1"/>
  <c r="B4584" i="1"/>
  <c r="F4583" i="1"/>
  <c r="B4583" i="1"/>
  <c r="F4582" i="1"/>
  <c r="B4582" i="1"/>
  <c r="F4581" i="1"/>
  <c r="B4581" i="1"/>
  <c r="F4580" i="1"/>
  <c r="B4580" i="1"/>
  <c r="F4579" i="1"/>
  <c r="B4579" i="1"/>
  <c r="F4578" i="1"/>
  <c r="B4578" i="1"/>
  <c r="F4577" i="1"/>
  <c r="B4577" i="1"/>
  <c r="F4576" i="1"/>
  <c r="B4576" i="1"/>
  <c r="F4575" i="1"/>
  <c r="B4575" i="1"/>
  <c r="F4574" i="1"/>
  <c r="B4574" i="1"/>
  <c r="F4573" i="1"/>
  <c r="B4573" i="1"/>
  <c r="F4572" i="1"/>
  <c r="B4572" i="1"/>
  <c r="F4571" i="1"/>
  <c r="B4571" i="1"/>
  <c r="F4570" i="1"/>
  <c r="B4570" i="1"/>
  <c r="F4569" i="1"/>
  <c r="B4569" i="1"/>
  <c r="F4568" i="1"/>
  <c r="B4568" i="1"/>
  <c r="F4567" i="1"/>
  <c r="B4567" i="1"/>
  <c r="F4566" i="1"/>
  <c r="B4566" i="1"/>
  <c r="F4565" i="1"/>
  <c r="B4565" i="1"/>
  <c r="F4564" i="1"/>
  <c r="B4564" i="1"/>
  <c r="F4563" i="1"/>
  <c r="B4563" i="1"/>
  <c r="F4562" i="1"/>
  <c r="B4562" i="1"/>
  <c r="F4561" i="1"/>
  <c r="B4561" i="1"/>
  <c r="F4560" i="1"/>
  <c r="B4560" i="1"/>
  <c r="F4559" i="1"/>
  <c r="B4559" i="1"/>
  <c r="F4558" i="1"/>
  <c r="B4558" i="1"/>
  <c r="F4557" i="1"/>
  <c r="B4557" i="1"/>
  <c r="F4556" i="1"/>
  <c r="B4556" i="1"/>
  <c r="F4555" i="1"/>
  <c r="B4555" i="1"/>
  <c r="F4554" i="1"/>
  <c r="B4554" i="1"/>
  <c r="F4553" i="1"/>
  <c r="B4553" i="1"/>
  <c r="F4552" i="1"/>
  <c r="B4552" i="1"/>
  <c r="F4551" i="1"/>
  <c r="B4551" i="1"/>
  <c r="F4550" i="1"/>
  <c r="B4550" i="1"/>
  <c r="F4549" i="1"/>
  <c r="B4549" i="1"/>
  <c r="F4548" i="1"/>
  <c r="B4548" i="1"/>
  <c r="F4547" i="1"/>
  <c r="B4547" i="1"/>
  <c r="F4546" i="1"/>
  <c r="B4546" i="1"/>
  <c r="F4545" i="1"/>
  <c r="B4545" i="1"/>
  <c r="F4544" i="1"/>
  <c r="B4544" i="1"/>
  <c r="F4543" i="1"/>
  <c r="B4543" i="1"/>
  <c r="F4542" i="1"/>
  <c r="B4542" i="1"/>
  <c r="F4541" i="1"/>
  <c r="B4541" i="1"/>
  <c r="F4540" i="1"/>
  <c r="B4540" i="1"/>
  <c r="F4539" i="1"/>
  <c r="B4539" i="1"/>
  <c r="F4538" i="1"/>
  <c r="B4538" i="1"/>
  <c r="F4537" i="1"/>
  <c r="B4537" i="1"/>
  <c r="F4536" i="1"/>
  <c r="B4536" i="1"/>
  <c r="F4535" i="1"/>
  <c r="B4535" i="1"/>
  <c r="F4534" i="1"/>
  <c r="B4534" i="1"/>
  <c r="F4533" i="1"/>
  <c r="B4533" i="1"/>
  <c r="F4532" i="1"/>
  <c r="B4532" i="1"/>
  <c r="F4531" i="1"/>
  <c r="B4531" i="1"/>
  <c r="F4530" i="1"/>
  <c r="B4530" i="1"/>
  <c r="F4529" i="1"/>
  <c r="B4529" i="1"/>
  <c r="F4528" i="1"/>
  <c r="B4528" i="1"/>
  <c r="F4527" i="1"/>
  <c r="B4527" i="1"/>
  <c r="F4526" i="1"/>
  <c r="B4526" i="1"/>
  <c r="F4525" i="1"/>
  <c r="B4525" i="1"/>
  <c r="F4524" i="1"/>
  <c r="B4524" i="1"/>
  <c r="F4523" i="1"/>
  <c r="B4523" i="1"/>
  <c r="F4522" i="1"/>
  <c r="B4522" i="1"/>
  <c r="F4521" i="1"/>
  <c r="B4521" i="1"/>
  <c r="F4520" i="1"/>
  <c r="B4520" i="1"/>
  <c r="F4519" i="1"/>
  <c r="B4519" i="1"/>
  <c r="F4518" i="1"/>
  <c r="B4518" i="1"/>
  <c r="F4517" i="1"/>
  <c r="B4517" i="1"/>
  <c r="F4516" i="1"/>
  <c r="B4516" i="1"/>
  <c r="F4515" i="1"/>
  <c r="B4515" i="1"/>
  <c r="F4514" i="1"/>
  <c r="B4514" i="1"/>
  <c r="F4513" i="1"/>
  <c r="B4513" i="1"/>
  <c r="F4512" i="1"/>
  <c r="B4512" i="1"/>
  <c r="F4511" i="1"/>
  <c r="B4511" i="1"/>
  <c r="F4510" i="1"/>
  <c r="B4510" i="1"/>
  <c r="F4509" i="1"/>
  <c r="B4509" i="1"/>
  <c r="F4508" i="1"/>
  <c r="B4508" i="1"/>
  <c r="F4507" i="1"/>
  <c r="B4507" i="1"/>
  <c r="F4506" i="1"/>
  <c r="B4506" i="1"/>
  <c r="F4505" i="1"/>
  <c r="B4505" i="1"/>
  <c r="F4504" i="1"/>
  <c r="B4504" i="1"/>
  <c r="F4503" i="1"/>
  <c r="B4503" i="1"/>
  <c r="F4502" i="1"/>
  <c r="B4502" i="1"/>
  <c r="F4501" i="1"/>
  <c r="B4501" i="1"/>
  <c r="F4500" i="1"/>
  <c r="B4500" i="1"/>
  <c r="F4499" i="1"/>
  <c r="B4499" i="1"/>
  <c r="F4498" i="1"/>
  <c r="B4498" i="1"/>
  <c r="F4497" i="1"/>
  <c r="B4497" i="1"/>
  <c r="F4496" i="1"/>
  <c r="B4496" i="1"/>
  <c r="F4495" i="1"/>
  <c r="B4495" i="1"/>
  <c r="F4494" i="1"/>
  <c r="B4494" i="1"/>
  <c r="F4493" i="1"/>
  <c r="B4493" i="1"/>
  <c r="F4492" i="1"/>
  <c r="B4492" i="1"/>
  <c r="F4491" i="1"/>
  <c r="B4491" i="1"/>
  <c r="F4490" i="1"/>
  <c r="B4490" i="1"/>
  <c r="F4489" i="1"/>
  <c r="B4489" i="1"/>
  <c r="F4488" i="1"/>
  <c r="B4488" i="1"/>
  <c r="F4487" i="1"/>
  <c r="B4487" i="1"/>
  <c r="F4486" i="1"/>
  <c r="B4486" i="1"/>
  <c r="F4485" i="1"/>
  <c r="B4485" i="1"/>
  <c r="F4484" i="1"/>
  <c r="B4484" i="1"/>
  <c r="F4483" i="1"/>
  <c r="B4483" i="1"/>
  <c r="F4482" i="1"/>
  <c r="B4482" i="1"/>
  <c r="F4481" i="1"/>
  <c r="B4481" i="1"/>
  <c r="F4480" i="1"/>
  <c r="B4480" i="1"/>
  <c r="F4479" i="1"/>
  <c r="B4479" i="1"/>
  <c r="F4478" i="1"/>
  <c r="B4478" i="1"/>
  <c r="F4477" i="1"/>
  <c r="B4477" i="1"/>
  <c r="F4476" i="1"/>
  <c r="B4476" i="1"/>
  <c r="F4475" i="1"/>
  <c r="B4475" i="1"/>
  <c r="F4474" i="1"/>
  <c r="B4474" i="1"/>
  <c r="F4473" i="1"/>
  <c r="B4473" i="1"/>
  <c r="F4472" i="1"/>
  <c r="B4472" i="1"/>
  <c r="F4471" i="1"/>
  <c r="B4471" i="1"/>
  <c r="F4470" i="1"/>
  <c r="B4470" i="1"/>
  <c r="F4469" i="1"/>
  <c r="B4469" i="1"/>
  <c r="F4468" i="1"/>
  <c r="B4468" i="1"/>
  <c r="F4467" i="1"/>
  <c r="B4467" i="1"/>
  <c r="F4466" i="1"/>
  <c r="B4466" i="1"/>
  <c r="F4465" i="1"/>
  <c r="B4465" i="1"/>
  <c r="F4464" i="1"/>
  <c r="B4464" i="1"/>
  <c r="F4463" i="1"/>
  <c r="B4463" i="1"/>
  <c r="F4462" i="1"/>
  <c r="B4462" i="1"/>
  <c r="F4461" i="1"/>
  <c r="B4461" i="1"/>
  <c r="F4460" i="1"/>
  <c r="B4460" i="1"/>
  <c r="F4459" i="1"/>
  <c r="B4459" i="1"/>
  <c r="F4458" i="1"/>
  <c r="B4458" i="1"/>
  <c r="F4457" i="1"/>
  <c r="B4457" i="1"/>
  <c r="F4456" i="1"/>
  <c r="B4456" i="1"/>
  <c r="F4455" i="1"/>
  <c r="B4455" i="1"/>
  <c r="F4454" i="1"/>
  <c r="B4454" i="1"/>
  <c r="F4453" i="1"/>
  <c r="B4453" i="1"/>
  <c r="F4452" i="1"/>
  <c r="B4452" i="1"/>
  <c r="F4451" i="1"/>
  <c r="B4451" i="1"/>
  <c r="F4450" i="1"/>
  <c r="B4450" i="1"/>
  <c r="F4449" i="1"/>
  <c r="B4449" i="1"/>
  <c r="F4448" i="1"/>
  <c r="B4448" i="1"/>
  <c r="F4447" i="1"/>
  <c r="B4447" i="1"/>
  <c r="F4446" i="1"/>
  <c r="B4446" i="1"/>
  <c r="F4445" i="1"/>
  <c r="B4445" i="1"/>
  <c r="F4444" i="1"/>
  <c r="B4444" i="1"/>
  <c r="F4443" i="1"/>
  <c r="B4443" i="1"/>
  <c r="F4442" i="1"/>
  <c r="B4442" i="1"/>
  <c r="F4441" i="1"/>
  <c r="B4441" i="1"/>
  <c r="F4440" i="1"/>
  <c r="B4440" i="1"/>
  <c r="F4439" i="1"/>
  <c r="B4439" i="1"/>
  <c r="F4438" i="1"/>
  <c r="B4438" i="1"/>
  <c r="F4437" i="1"/>
  <c r="B4437" i="1"/>
  <c r="F4436" i="1"/>
  <c r="B4436" i="1"/>
  <c r="F4435" i="1"/>
  <c r="B4435" i="1"/>
  <c r="F4434" i="1"/>
  <c r="B4434" i="1"/>
  <c r="F4433" i="1"/>
  <c r="B4433" i="1"/>
  <c r="F4432" i="1"/>
  <c r="B4432" i="1"/>
  <c r="F4431" i="1"/>
  <c r="B4431" i="1"/>
  <c r="F4430" i="1"/>
  <c r="B4430" i="1"/>
  <c r="F4429" i="1"/>
  <c r="B4429" i="1"/>
  <c r="F4428" i="1"/>
  <c r="B4428" i="1"/>
  <c r="F4427" i="1"/>
  <c r="B4427" i="1"/>
  <c r="F4426" i="1"/>
  <c r="B4426" i="1"/>
  <c r="F4425" i="1"/>
  <c r="B4425" i="1"/>
  <c r="F4424" i="1"/>
  <c r="B4424" i="1"/>
  <c r="F4423" i="1"/>
  <c r="B4423" i="1"/>
  <c r="F4422" i="1"/>
  <c r="B4422" i="1"/>
  <c r="F4421" i="1"/>
  <c r="B4421" i="1"/>
  <c r="F4420" i="1"/>
  <c r="B4420" i="1"/>
  <c r="F4419" i="1"/>
  <c r="B4419" i="1"/>
  <c r="F4418" i="1"/>
  <c r="B4418" i="1"/>
  <c r="F4417" i="1"/>
  <c r="B4417" i="1"/>
  <c r="F4416" i="1"/>
  <c r="B4416" i="1"/>
  <c r="F4415" i="1"/>
  <c r="B4415" i="1"/>
  <c r="F4414" i="1"/>
  <c r="B4414" i="1"/>
  <c r="F4413" i="1"/>
  <c r="B4413" i="1"/>
  <c r="F4412" i="1"/>
  <c r="B4412" i="1"/>
  <c r="F4411" i="1"/>
  <c r="B4411" i="1"/>
  <c r="F4410" i="1"/>
  <c r="B4410" i="1"/>
  <c r="F4409" i="1"/>
  <c r="B4409" i="1"/>
  <c r="F4408" i="1"/>
  <c r="B4408" i="1"/>
  <c r="F4407" i="1"/>
  <c r="B4407" i="1"/>
  <c r="F4406" i="1"/>
  <c r="B4406" i="1"/>
  <c r="F4405" i="1"/>
  <c r="B4405" i="1"/>
  <c r="F4404" i="1"/>
  <c r="B4404" i="1"/>
  <c r="F4403" i="1"/>
  <c r="B4403" i="1"/>
  <c r="F4402" i="1"/>
  <c r="B4402" i="1"/>
  <c r="F4401" i="1"/>
  <c r="B4401" i="1"/>
  <c r="F4400" i="1"/>
  <c r="B4400" i="1"/>
  <c r="F4399" i="1"/>
  <c r="B4399" i="1"/>
  <c r="F4398" i="1"/>
  <c r="B4398" i="1"/>
  <c r="F4397" i="1"/>
  <c r="B4397" i="1"/>
  <c r="F4396" i="1"/>
  <c r="B4396" i="1"/>
  <c r="F4395" i="1"/>
  <c r="B4395" i="1"/>
  <c r="F4394" i="1"/>
  <c r="B4394" i="1"/>
  <c r="F4393" i="1"/>
  <c r="B4393" i="1"/>
  <c r="F4392" i="1"/>
  <c r="B4392" i="1"/>
  <c r="F4391" i="1"/>
  <c r="B4391" i="1"/>
  <c r="F4390" i="1"/>
  <c r="B4390" i="1"/>
  <c r="F4389" i="1"/>
  <c r="B4389" i="1"/>
  <c r="F4388" i="1"/>
  <c r="B4388" i="1"/>
  <c r="F4387" i="1"/>
  <c r="B4387" i="1"/>
  <c r="F4386" i="1"/>
  <c r="B4386" i="1"/>
  <c r="F4385" i="1"/>
  <c r="B4385" i="1"/>
  <c r="F4384" i="1"/>
  <c r="B4384" i="1"/>
  <c r="F4383" i="1"/>
  <c r="B4383" i="1"/>
  <c r="F4382" i="1"/>
  <c r="B4382" i="1"/>
  <c r="F4381" i="1"/>
  <c r="B4381" i="1"/>
  <c r="F4380" i="1"/>
  <c r="B4380" i="1"/>
  <c r="F4379" i="1"/>
  <c r="B4379" i="1"/>
  <c r="F4378" i="1"/>
  <c r="B4378" i="1"/>
  <c r="F4377" i="1"/>
  <c r="B4377" i="1"/>
  <c r="F4376" i="1"/>
  <c r="B4376" i="1"/>
  <c r="F4375" i="1"/>
  <c r="B4375" i="1"/>
  <c r="F4374" i="1"/>
  <c r="B4374" i="1"/>
  <c r="F4373" i="1"/>
  <c r="B4373" i="1"/>
  <c r="F4372" i="1"/>
  <c r="B4372" i="1"/>
  <c r="F4371" i="1"/>
  <c r="B4371" i="1"/>
  <c r="F4370" i="1"/>
  <c r="B4370" i="1"/>
  <c r="F4369" i="1"/>
  <c r="B4369" i="1"/>
  <c r="F4368" i="1"/>
  <c r="B4368" i="1"/>
  <c r="F4367" i="1"/>
  <c r="B4367" i="1"/>
  <c r="F4366" i="1"/>
  <c r="B4366" i="1"/>
  <c r="F4365" i="1"/>
  <c r="B4365" i="1"/>
  <c r="F4364" i="1"/>
  <c r="B4364" i="1"/>
  <c r="F4363" i="1"/>
  <c r="B4363" i="1"/>
  <c r="F4362" i="1"/>
  <c r="B4362" i="1"/>
  <c r="F4361" i="1"/>
  <c r="B4361" i="1"/>
  <c r="F4360" i="1"/>
  <c r="B4360" i="1"/>
  <c r="F4359" i="1"/>
  <c r="B4359" i="1"/>
  <c r="F4358" i="1"/>
  <c r="B4358" i="1"/>
  <c r="F4357" i="1"/>
  <c r="B4357" i="1"/>
  <c r="F4356" i="1"/>
  <c r="B4356" i="1"/>
  <c r="F4355" i="1"/>
  <c r="B4355" i="1"/>
  <c r="F4354" i="1"/>
  <c r="B4354" i="1"/>
  <c r="F4353" i="1"/>
  <c r="B4353" i="1"/>
  <c r="F4352" i="1"/>
  <c r="B4352" i="1"/>
  <c r="F4351" i="1"/>
  <c r="B4351" i="1"/>
  <c r="F4350" i="1"/>
  <c r="B4350" i="1"/>
  <c r="F4349" i="1"/>
  <c r="B4349" i="1"/>
  <c r="F4348" i="1"/>
  <c r="B4348" i="1"/>
  <c r="F4347" i="1"/>
  <c r="B4347" i="1"/>
  <c r="F4346" i="1"/>
  <c r="B4346" i="1"/>
  <c r="F4345" i="1"/>
  <c r="B4345" i="1"/>
  <c r="F4344" i="1"/>
  <c r="B4344" i="1"/>
  <c r="F4343" i="1"/>
  <c r="B4343" i="1"/>
  <c r="F4342" i="1"/>
  <c r="B4342" i="1"/>
  <c r="F4341" i="1"/>
  <c r="B4341" i="1"/>
  <c r="F4340" i="1"/>
  <c r="B4340" i="1"/>
  <c r="F4339" i="1"/>
  <c r="B4339" i="1"/>
  <c r="F4338" i="1"/>
  <c r="B4338" i="1"/>
  <c r="F4337" i="1"/>
  <c r="B4337" i="1"/>
  <c r="F4336" i="1"/>
  <c r="B4336" i="1"/>
  <c r="F4335" i="1"/>
  <c r="B4335" i="1"/>
  <c r="F4334" i="1"/>
  <c r="B4334" i="1"/>
  <c r="F4333" i="1"/>
  <c r="B4333" i="1"/>
  <c r="F4332" i="1"/>
  <c r="B4332" i="1"/>
  <c r="F4331" i="1"/>
  <c r="B4331" i="1"/>
  <c r="F4330" i="1"/>
  <c r="B4330" i="1"/>
  <c r="F4329" i="1"/>
  <c r="B4329" i="1"/>
  <c r="F4328" i="1"/>
  <c r="B4328" i="1"/>
  <c r="F4327" i="1"/>
  <c r="B4327" i="1"/>
  <c r="F4326" i="1"/>
  <c r="B4326" i="1"/>
  <c r="F4325" i="1"/>
  <c r="B4325" i="1"/>
  <c r="F4324" i="1"/>
  <c r="B4324" i="1"/>
  <c r="F4323" i="1"/>
  <c r="B4323" i="1"/>
  <c r="F4322" i="1"/>
  <c r="B4322" i="1"/>
  <c r="F4321" i="1"/>
  <c r="B4321" i="1"/>
  <c r="F4320" i="1"/>
  <c r="B4320" i="1"/>
  <c r="F4319" i="1"/>
  <c r="B4319" i="1"/>
  <c r="F4318" i="1"/>
  <c r="B4318" i="1"/>
  <c r="F4317" i="1"/>
  <c r="B4317" i="1"/>
  <c r="F4316" i="1"/>
  <c r="B4316" i="1"/>
  <c r="F4315" i="1"/>
  <c r="B4315" i="1"/>
  <c r="F4314" i="1"/>
  <c r="B4314" i="1"/>
  <c r="F4313" i="1"/>
  <c r="B4313" i="1"/>
  <c r="F4312" i="1"/>
  <c r="B4312" i="1"/>
  <c r="F4311" i="1"/>
  <c r="B4311" i="1"/>
  <c r="F4310" i="1"/>
  <c r="B4310" i="1"/>
  <c r="F4309" i="1"/>
  <c r="B4309" i="1"/>
  <c r="F4308" i="1"/>
  <c r="B4308" i="1"/>
  <c r="F4307" i="1"/>
  <c r="B4307" i="1"/>
  <c r="F4306" i="1"/>
  <c r="B4306" i="1"/>
  <c r="F4305" i="1"/>
  <c r="B4305" i="1"/>
  <c r="F4304" i="1"/>
  <c r="B4304" i="1"/>
  <c r="F4303" i="1"/>
  <c r="B4303" i="1"/>
  <c r="F4302" i="1"/>
  <c r="B4302" i="1"/>
  <c r="F4301" i="1"/>
  <c r="B4301" i="1"/>
  <c r="F4300" i="1"/>
  <c r="B4300" i="1"/>
  <c r="F4299" i="1"/>
  <c r="B4299" i="1"/>
  <c r="F4298" i="1"/>
  <c r="B4298" i="1"/>
  <c r="F4297" i="1"/>
  <c r="B4297" i="1"/>
  <c r="F4296" i="1"/>
  <c r="B4296" i="1"/>
  <c r="F4295" i="1"/>
  <c r="B4295" i="1"/>
  <c r="F4294" i="1"/>
  <c r="B4294" i="1"/>
  <c r="F4293" i="1"/>
  <c r="B4293" i="1"/>
  <c r="F4292" i="1"/>
  <c r="B4292" i="1"/>
  <c r="F4291" i="1"/>
  <c r="B4291" i="1"/>
  <c r="F4290" i="1"/>
  <c r="B4290" i="1"/>
  <c r="F4289" i="1"/>
  <c r="B4289" i="1"/>
  <c r="F4288" i="1"/>
  <c r="B4288" i="1"/>
  <c r="F4287" i="1"/>
  <c r="B4287" i="1"/>
  <c r="F4286" i="1"/>
  <c r="B4286" i="1"/>
  <c r="F4285" i="1"/>
  <c r="B4285" i="1"/>
  <c r="F4284" i="1"/>
  <c r="B4284" i="1"/>
  <c r="F4283" i="1"/>
  <c r="B4283" i="1"/>
  <c r="F4282" i="1"/>
  <c r="B4282" i="1"/>
  <c r="F4281" i="1"/>
  <c r="B4281" i="1"/>
  <c r="F4280" i="1"/>
  <c r="B4280" i="1"/>
  <c r="F4279" i="1"/>
  <c r="B4279" i="1"/>
  <c r="F4278" i="1"/>
  <c r="B4278" i="1"/>
  <c r="F4277" i="1"/>
  <c r="B4277" i="1"/>
  <c r="F4276" i="1"/>
  <c r="B4276" i="1"/>
  <c r="F4275" i="1"/>
  <c r="B4275" i="1"/>
  <c r="F4274" i="1"/>
  <c r="B4274" i="1"/>
  <c r="F4273" i="1"/>
  <c r="B4273" i="1"/>
  <c r="F4272" i="1"/>
  <c r="B4272" i="1"/>
  <c r="F4271" i="1"/>
  <c r="B4271" i="1"/>
  <c r="F4270" i="1"/>
  <c r="B4270" i="1"/>
  <c r="F4269" i="1"/>
  <c r="B4269" i="1"/>
  <c r="F4268" i="1"/>
  <c r="B4268" i="1"/>
  <c r="F4267" i="1"/>
  <c r="B4267" i="1"/>
  <c r="F4266" i="1"/>
  <c r="B4266" i="1"/>
  <c r="F4265" i="1"/>
  <c r="B4265" i="1"/>
  <c r="F4264" i="1"/>
  <c r="B4264" i="1"/>
  <c r="F4263" i="1"/>
  <c r="B4263" i="1"/>
  <c r="F4262" i="1"/>
  <c r="B4262" i="1"/>
  <c r="F4261" i="1"/>
  <c r="B4261" i="1"/>
  <c r="F4260" i="1"/>
  <c r="B4260" i="1"/>
  <c r="F4259" i="1"/>
  <c r="B4259" i="1"/>
  <c r="F4258" i="1"/>
  <c r="B4258" i="1"/>
  <c r="F4257" i="1"/>
  <c r="B4257" i="1"/>
  <c r="F4256" i="1"/>
  <c r="B4256" i="1"/>
  <c r="F4255" i="1"/>
  <c r="B4255" i="1"/>
  <c r="F4254" i="1"/>
  <c r="B4254" i="1"/>
  <c r="F4253" i="1"/>
  <c r="B4253" i="1"/>
  <c r="F4252" i="1"/>
  <c r="B4252" i="1"/>
  <c r="F4251" i="1"/>
  <c r="B4251" i="1"/>
  <c r="F4250" i="1"/>
  <c r="B4250" i="1"/>
  <c r="F4249" i="1"/>
  <c r="B4249" i="1"/>
  <c r="F4248" i="1"/>
  <c r="B4248" i="1"/>
  <c r="F4247" i="1"/>
  <c r="B4247" i="1"/>
  <c r="F4246" i="1"/>
  <c r="B4246" i="1"/>
  <c r="F4245" i="1"/>
  <c r="B4245" i="1"/>
  <c r="F4244" i="1"/>
  <c r="B4244" i="1"/>
  <c r="F4243" i="1"/>
  <c r="B4243" i="1"/>
  <c r="F4242" i="1"/>
  <c r="B4242" i="1"/>
  <c r="F4241" i="1"/>
  <c r="B4241" i="1"/>
  <c r="F4240" i="1"/>
  <c r="B4240" i="1"/>
  <c r="F4239" i="1"/>
  <c r="B4239" i="1"/>
  <c r="F4238" i="1"/>
  <c r="B4238" i="1"/>
  <c r="F4237" i="1"/>
  <c r="B4237" i="1"/>
  <c r="F4236" i="1"/>
  <c r="B4236" i="1"/>
  <c r="F4235" i="1"/>
  <c r="B4235" i="1"/>
  <c r="F4234" i="1"/>
  <c r="B4234" i="1"/>
  <c r="F4233" i="1"/>
  <c r="B4233" i="1"/>
  <c r="F4232" i="1"/>
  <c r="B4232" i="1"/>
  <c r="F4231" i="1"/>
  <c r="B4231" i="1"/>
  <c r="F4230" i="1"/>
  <c r="B4230" i="1"/>
  <c r="F4229" i="1"/>
  <c r="B4229" i="1"/>
  <c r="F4228" i="1"/>
  <c r="B4228" i="1"/>
  <c r="F4227" i="1"/>
  <c r="B4227" i="1"/>
  <c r="F4226" i="1"/>
  <c r="B4226" i="1"/>
  <c r="F4225" i="1"/>
  <c r="B4225" i="1"/>
  <c r="F4224" i="1"/>
  <c r="B4224" i="1"/>
  <c r="F4223" i="1"/>
  <c r="B4223" i="1"/>
  <c r="F4222" i="1"/>
  <c r="B4222" i="1"/>
  <c r="F4221" i="1"/>
  <c r="B4221" i="1"/>
  <c r="F4220" i="1"/>
  <c r="B4220" i="1"/>
  <c r="F4219" i="1"/>
  <c r="B4219" i="1"/>
  <c r="F4218" i="1"/>
  <c r="B4218" i="1"/>
  <c r="F4217" i="1"/>
  <c r="B4217" i="1"/>
  <c r="F4216" i="1"/>
  <c r="B4216" i="1"/>
  <c r="F4215" i="1"/>
  <c r="B4215" i="1"/>
  <c r="F4214" i="1"/>
  <c r="B4214" i="1"/>
  <c r="F4213" i="1"/>
  <c r="B4213" i="1"/>
  <c r="F4212" i="1"/>
  <c r="B4212" i="1"/>
  <c r="F4211" i="1"/>
  <c r="B4211" i="1"/>
  <c r="F4210" i="1"/>
  <c r="B4210" i="1"/>
  <c r="F4209" i="1"/>
  <c r="B4209" i="1"/>
  <c r="F4208" i="1"/>
  <c r="B4208" i="1"/>
  <c r="F4207" i="1"/>
  <c r="B4207" i="1"/>
  <c r="F4206" i="1"/>
  <c r="B4206" i="1"/>
  <c r="F4205" i="1"/>
  <c r="B4205" i="1"/>
  <c r="F4204" i="1"/>
  <c r="B4204" i="1"/>
  <c r="F4203" i="1"/>
  <c r="B4203" i="1"/>
  <c r="F4202" i="1"/>
  <c r="B4202" i="1"/>
  <c r="F4201" i="1"/>
  <c r="B4201" i="1"/>
  <c r="F4200" i="1"/>
  <c r="B4200" i="1"/>
  <c r="F4199" i="1"/>
  <c r="B4199" i="1"/>
  <c r="F4198" i="1"/>
  <c r="B4198" i="1"/>
  <c r="F4197" i="1"/>
  <c r="B4197" i="1"/>
  <c r="F4196" i="1"/>
  <c r="B4196" i="1"/>
  <c r="F4195" i="1"/>
  <c r="B4195" i="1"/>
  <c r="F4194" i="1"/>
  <c r="B4194" i="1"/>
  <c r="F4193" i="1"/>
  <c r="B4193" i="1"/>
  <c r="F4192" i="1"/>
  <c r="B4192" i="1"/>
  <c r="F4191" i="1"/>
  <c r="B4191" i="1"/>
  <c r="F4190" i="1"/>
  <c r="B4190" i="1"/>
  <c r="F4189" i="1"/>
  <c r="B4189" i="1"/>
  <c r="F4188" i="1"/>
  <c r="B4188" i="1"/>
  <c r="F4187" i="1"/>
  <c r="B4187" i="1"/>
  <c r="F4186" i="1"/>
  <c r="B4186" i="1"/>
  <c r="F4185" i="1"/>
  <c r="B4185" i="1"/>
  <c r="F4184" i="1"/>
  <c r="B4184" i="1"/>
  <c r="F4183" i="1"/>
  <c r="B4183" i="1"/>
  <c r="F4182" i="1"/>
  <c r="B4182" i="1"/>
  <c r="F4181" i="1"/>
  <c r="B4181" i="1"/>
  <c r="F4180" i="1"/>
  <c r="B4180" i="1"/>
  <c r="F4179" i="1"/>
  <c r="B4179" i="1"/>
  <c r="F4178" i="1"/>
  <c r="B4178" i="1"/>
  <c r="F4177" i="1"/>
  <c r="B4177" i="1"/>
  <c r="F4176" i="1"/>
  <c r="B4176" i="1"/>
  <c r="F4175" i="1"/>
  <c r="B4175" i="1"/>
  <c r="F4174" i="1"/>
  <c r="B4174" i="1"/>
  <c r="F4173" i="1"/>
  <c r="B4173" i="1"/>
  <c r="F4172" i="1"/>
  <c r="B4172" i="1"/>
  <c r="F4171" i="1"/>
  <c r="B4171" i="1"/>
  <c r="F4170" i="1"/>
  <c r="B4170" i="1"/>
  <c r="F4169" i="1"/>
  <c r="B4169" i="1"/>
  <c r="F4168" i="1"/>
  <c r="B4168" i="1"/>
  <c r="F4167" i="1"/>
  <c r="B4167" i="1"/>
  <c r="F4166" i="1"/>
  <c r="B4166" i="1"/>
  <c r="F4165" i="1"/>
  <c r="B4165" i="1"/>
  <c r="F4164" i="1"/>
  <c r="B4164" i="1"/>
  <c r="F4163" i="1"/>
  <c r="B4163" i="1"/>
  <c r="F4162" i="1"/>
  <c r="B4162" i="1"/>
  <c r="F4161" i="1"/>
  <c r="B4161" i="1"/>
  <c r="F4160" i="1"/>
  <c r="B4160" i="1"/>
  <c r="F4159" i="1"/>
  <c r="B4159" i="1"/>
  <c r="F4158" i="1"/>
  <c r="B4158" i="1"/>
  <c r="F4157" i="1"/>
  <c r="B4157" i="1"/>
  <c r="F4156" i="1"/>
  <c r="B4156" i="1"/>
  <c r="F4155" i="1"/>
  <c r="B4155" i="1"/>
  <c r="F4154" i="1"/>
  <c r="B4154" i="1"/>
  <c r="F4153" i="1"/>
  <c r="B4153" i="1"/>
  <c r="F4152" i="1"/>
  <c r="B4152" i="1"/>
  <c r="F4151" i="1"/>
  <c r="B4151" i="1"/>
  <c r="F4150" i="1"/>
  <c r="B4150" i="1"/>
  <c r="F4149" i="1"/>
  <c r="B4149" i="1"/>
  <c r="F4148" i="1"/>
  <c r="B4148" i="1"/>
  <c r="F4147" i="1"/>
  <c r="B4147" i="1"/>
  <c r="F4146" i="1"/>
  <c r="B4146" i="1"/>
  <c r="F4145" i="1"/>
  <c r="B4145" i="1"/>
  <c r="F4144" i="1"/>
  <c r="B4144" i="1"/>
  <c r="F4143" i="1"/>
  <c r="B4143" i="1"/>
  <c r="F4142" i="1"/>
  <c r="B4142" i="1"/>
  <c r="F4141" i="1"/>
  <c r="B4141" i="1"/>
  <c r="F4140" i="1"/>
  <c r="B4140" i="1"/>
  <c r="F4139" i="1"/>
  <c r="B4139" i="1"/>
  <c r="F4138" i="1"/>
  <c r="B4138" i="1"/>
  <c r="F4137" i="1"/>
  <c r="B4137" i="1"/>
  <c r="F4136" i="1"/>
  <c r="B4136" i="1"/>
  <c r="F4135" i="1"/>
  <c r="B4135" i="1"/>
  <c r="F4134" i="1"/>
  <c r="B4134" i="1"/>
  <c r="F4133" i="1"/>
  <c r="B4133" i="1"/>
  <c r="F4132" i="1"/>
  <c r="B4132" i="1"/>
  <c r="F4131" i="1"/>
  <c r="B4131" i="1"/>
  <c r="F4130" i="1"/>
  <c r="B4130" i="1"/>
  <c r="F4129" i="1"/>
  <c r="B4129" i="1"/>
  <c r="F4128" i="1"/>
  <c r="B4128" i="1"/>
  <c r="F4127" i="1"/>
  <c r="B4127" i="1"/>
  <c r="F4126" i="1"/>
  <c r="B4126" i="1"/>
  <c r="F4125" i="1"/>
  <c r="B4125" i="1"/>
  <c r="F4124" i="1"/>
  <c r="B4124" i="1"/>
  <c r="F4123" i="1"/>
  <c r="B4123" i="1"/>
  <c r="F4122" i="1"/>
  <c r="B4122" i="1"/>
  <c r="F4121" i="1"/>
  <c r="B4121" i="1"/>
  <c r="F4120" i="1"/>
  <c r="B4120" i="1"/>
  <c r="F4119" i="1"/>
  <c r="B4119" i="1"/>
  <c r="F4118" i="1"/>
  <c r="B4118" i="1"/>
  <c r="F4117" i="1"/>
  <c r="B4117" i="1"/>
  <c r="F4116" i="1"/>
  <c r="B4116" i="1"/>
  <c r="F4115" i="1"/>
  <c r="B4115" i="1"/>
  <c r="F4114" i="1"/>
  <c r="B4114" i="1"/>
  <c r="F4113" i="1"/>
  <c r="B4113" i="1"/>
  <c r="F4112" i="1"/>
  <c r="B4112" i="1"/>
  <c r="F4111" i="1"/>
  <c r="B4111" i="1"/>
  <c r="F4110" i="1"/>
  <c r="B4110" i="1"/>
  <c r="F4109" i="1"/>
  <c r="B4109" i="1"/>
  <c r="F4108" i="1"/>
  <c r="B4108" i="1"/>
  <c r="F4107" i="1"/>
  <c r="B4107" i="1"/>
  <c r="F4106" i="1"/>
  <c r="B4106" i="1"/>
  <c r="F4105" i="1"/>
  <c r="B4105" i="1"/>
  <c r="F4104" i="1"/>
  <c r="B4104" i="1"/>
  <c r="F4103" i="1"/>
  <c r="B4103" i="1"/>
  <c r="F4102" i="1"/>
  <c r="B4102" i="1"/>
  <c r="F4101" i="1"/>
  <c r="B4101" i="1"/>
  <c r="F4100" i="1"/>
  <c r="B4100" i="1"/>
  <c r="F4099" i="1"/>
  <c r="B4099" i="1"/>
  <c r="F4098" i="1"/>
  <c r="B4098" i="1"/>
  <c r="F4097" i="1"/>
  <c r="B4097" i="1"/>
  <c r="F4096" i="1"/>
  <c r="B4096" i="1"/>
  <c r="F4095" i="1"/>
  <c r="B4095" i="1"/>
  <c r="F4094" i="1"/>
  <c r="B4094" i="1"/>
  <c r="F4093" i="1"/>
  <c r="B4093" i="1"/>
  <c r="F4092" i="1"/>
  <c r="B4092" i="1"/>
  <c r="F4091" i="1"/>
  <c r="B4091" i="1"/>
  <c r="F4090" i="1"/>
  <c r="B4090" i="1"/>
  <c r="F4089" i="1"/>
  <c r="B4089" i="1"/>
  <c r="F4088" i="1"/>
  <c r="B4088" i="1"/>
  <c r="F4087" i="1"/>
  <c r="B4087" i="1"/>
  <c r="F4086" i="1"/>
  <c r="B4086" i="1"/>
  <c r="F4085" i="1"/>
  <c r="B4085" i="1"/>
  <c r="F4084" i="1"/>
  <c r="B4084" i="1"/>
  <c r="F4083" i="1"/>
  <c r="B4083" i="1"/>
  <c r="F4082" i="1"/>
  <c r="F4081" i="1"/>
  <c r="F4080" i="1"/>
  <c r="B4080" i="1"/>
  <c r="F4079" i="1"/>
  <c r="B4079" i="1"/>
  <c r="F4078" i="1"/>
  <c r="B4078" i="1"/>
  <c r="F4077" i="1"/>
  <c r="B4077" i="1"/>
  <c r="F4076" i="1"/>
  <c r="B4076" i="1"/>
  <c r="F4075" i="1"/>
  <c r="B4075" i="1"/>
  <c r="F4074" i="1"/>
  <c r="B4074" i="1"/>
  <c r="F4073" i="1"/>
  <c r="B4073" i="1"/>
  <c r="F4072" i="1"/>
  <c r="B4072" i="1"/>
  <c r="F4071" i="1"/>
  <c r="B4071" i="1"/>
  <c r="F4070" i="1"/>
  <c r="B4070" i="1"/>
  <c r="F4069" i="1"/>
  <c r="B4069" i="1"/>
  <c r="F4068" i="1"/>
  <c r="B4068" i="1"/>
  <c r="F4067" i="1"/>
  <c r="B4067" i="1"/>
  <c r="F4066" i="1"/>
  <c r="B4066" i="1"/>
  <c r="F4065" i="1"/>
  <c r="B4065" i="1"/>
  <c r="F4064" i="1"/>
  <c r="B4064" i="1"/>
  <c r="F4063" i="1"/>
  <c r="B4063" i="1"/>
  <c r="F4062" i="1"/>
  <c r="B4062" i="1"/>
  <c r="F4061" i="1"/>
  <c r="B4061" i="1"/>
  <c r="F4060" i="1"/>
  <c r="B4060" i="1"/>
  <c r="F4059" i="1"/>
  <c r="B4059" i="1"/>
  <c r="F4058" i="1"/>
  <c r="B4058" i="1"/>
  <c r="F4057" i="1"/>
  <c r="B4057" i="1"/>
  <c r="F4056" i="1"/>
  <c r="B4056" i="1"/>
  <c r="F4055" i="1"/>
  <c r="B4055" i="1"/>
  <c r="F4054" i="1"/>
  <c r="B4054" i="1"/>
  <c r="F4053" i="1"/>
  <c r="B4053" i="1"/>
  <c r="F4052" i="1"/>
  <c r="B4052" i="1"/>
  <c r="F4051" i="1"/>
  <c r="B4051" i="1"/>
  <c r="F4050" i="1"/>
  <c r="B4050" i="1"/>
  <c r="F4049" i="1"/>
  <c r="B4049" i="1"/>
  <c r="F4048" i="1"/>
  <c r="B4048" i="1"/>
  <c r="F4047" i="1"/>
  <c r="B4047" i="1"/>
  <c r="F4046" i="1"/>
  <c r="B4046" i="1"/>
  <c r="F4045" i="1"/>
  <c r="B4045" i="1"/>
  <c r="F4044" i="1"/>
  <c r="B4044" i="1"/>
  <c r="F4043" i="1"/>
  <c r="B4043" i="1"/>
  <c r="F4042" i="1"/>
  <c r="B4042" i="1"/>
  <c r="F4041" i="1"/>
  <c r="B4041" i="1"/>
  <c r="F4040" i="1"/>
  <c r="B4040" i="1"/>
  <c r="F4039" i="1"/>
  <c r="B4039" i="1"/>
  <c r="F4038" i="1"/>
  <c r="B4038" i="1"/>
  <c r="F4037" i="1"/>
  <c r="B4037" i="1"/>
  <c r="F4036" i="1"/>
  <c r="B4036" i="1"/>
  <c r="F4035" i="1"/>
  <c r="B4035" i="1"/>
  <c r="F4034" i="1"/>
  <c r="B4034" i="1"/>
  <c r="F4033" i="1"/>
  <c r="B4033" i="1"/>
  <c r="F4032" i="1"/>
  <c r="B4032" i="1"/>
  <c r="F4031" i="1"/>
  <c r="B4031" i="1"/>
  <c r="F4030" i="1"/>
  <c r="B4030" i="1"/>
  <c r="F4029" i="1"/>
  <c r="B4029" i="1"/>
  <c r="F4028" i="1"/>
  <c r="B4028" i="1"/>
  <c r="F4027" i="1"/>
  <c r="B4027" i="1"/>
  <c r="F4026" i="1"/>
  <c r="B4026" i="1"/>
  <c r="F4025" i="1"/>
  <c r="B4025" i="1"/>
  <c r="F4024" i="1"/>
  <c r="B4024" i="1"/>
  <c r="F4023" i="1"/>
  <c r="B4023" i="1"/>
  <c r="F4022" i="1"/>
  <c r="B4022" i="1"/>
  <c r="F4021" i="1"/>
  <c r="B4021" i="1"/>
  <c r="F4020" i="1"/>
  <c r="B4020" i="1"/>
  <c r="F4019" i="1"/>
  <c r="B4019" i="1"/>
  <c r="F4018" i="1"/>
  <c r="B4018" i="1"/>
  <c r="F4017" i="1"/>
  <c r="B4017" i="1"/>
  <c r="F4016" i="1"/>
  <c r="B4016" i="1"/>
  <c r="F4015" i="1"/>
  <c r="B4015" i="1"/>
  <c r="F4014" i="1"/>
  <c r="B4014" i="1"/>
  <c r="F4013" i="1"/>
  <c r="B4013" i="1"/>
  <c r="F4012" i="1"/>
  <c r="B4012" i="1"/>
  <c r="F4011" i="1"/>
  <c r="B4011" i="1"/>
  <c r="F4010" i="1"/>
  <c r="B4010" i="1"/>
  <c r="F4009" i="1"/>
  <c r="B4009" i="1"/>
  <c r="F4008" i="1"/>
  <c r="B4008" i="1"/>
  <c r="F4007" i="1"/>
  <c r="B4007" i="1"/>
  <c r="F4006" i="1"/>
  <c r="B4006" i="1"/>
  <c r="F4005" i="1"/>
  <c r="B4005" i="1"/>
  <c r="F4004" i="1"/>
  <c r="B4004" i="1"/>
  <c r="F4003" i="1"/>
  <c r="B4003" i="1"/>
  <c r="F4002" i="1"/>
  <c r="B4002" i="1"/>
  <c r="F4001" i="1"/>
  <c r="B4001" i="1"/>
  <c r="F4000" i="1"/>
  <c r="B4000" i="1"/>
  <c r="F3999" i="1"/>
  <c r="B3999" i="1"/>
  <c r="F3998" i="1"/>
  <c r="B3998" i="1"/>
  <c r="F3997" i="1"/>
  <c r="B3997" i="1"/>
  <c r="F3996" i="1"/>
  <c r="B3996" i="1"/>
  <c r="F3995" i="1"/>
  <c r="B3995" i="1"/>
  <c r="F3994" i="1"/>
  <c r="B3994" i="1"/>
  <c r="F3993" i="1"/>
  <c r="B3993" i="1"/>
  <c r="F3992" i="1"/>
  <c r="B3992" i="1"/>
  <c r="F3991" i="1"/>
  <c r="B3991" i="1"/>
  <c r="F3990" i="1"/>
  <c r="B3990" i="1"/>
  <c r="F3989" i="1"/>
  <c r="B3989" i="1"/>
  <c r="F3988" i="1"/>
  <c r="B3988" i="1"/>
  <c r="F3987" i="1"/>
  <c r="B3987" i="1"/>
  <c r="F3986" i="1"/>
  <c r="B3986" i="1"/>
  <c r="F3985" i="1"/>
  <c r="B3985" i="1"/>
  <c r="F3984" i="1"/>
  <c r="B3984" i="1"/>
  <c r="F3983" i="1"/>
  <c r="B3983" i="1"/>
  <c r="F3982" i="1"/>
  <c r="B3982" i="1"/>
  <c r="F3981" i="1"/>
  <c r="B3981" i="1"/>
  <c r="F3980" i="1"/>
  <c r="B3980" i="1"/>
  <c r="F3979" i="1"/>
  <c r="B3979" i="1"/>
  <c r="F3978" i="1"/>
  <c r="B3978" i="1"/>
  <c r="F3977" i="1"/>
  <c r="B3977" i="1"/>
  <c r="F3976" i="1"/>
  <c r="B3976" i="1"/>
  <c r="F3975" i="1"/>
  <c r="B3975" i="1"/>
  <c r="F3974" i="1"/>
  <c r="B3974" i="1"/>
  <c r="F3973" i="1"/>
  <c r="B3973" i="1"/>
  <c r="F3972" i="1"/>
  <c r="B3972" i="1"/>
  <c r="F3971" i="1"/>
  <c r="B3971" i="1"/>
  <c r="F3970" i="1"/>
  <c r="B3970" i="1"/>
  <c r="F3969" i="1"/>
  <c r="B3969" i="1"/>
  <c r="F3968" i="1"/>
  <c r="B3968" i="1"/>
  <c r="F3967" i="1"/>
  <c r="B3967" i="1"/>
  <c r="F3966" i="1"/>
  <c r="B3966" i="1"/>
  <c r="F3965" i="1"/>
  <c r="B3965" i="1"/>
  <c r="F3964" i="1"/>
  <c r="B3964" i="1"/>
  <c r="F3963" i="1"/>
  <c r="B3963" i="1"/>
  <c r="F3962" i="1"/>
  <c r="B3962" i="1"/>
  <c r="F3961" i="1"/>
  <c r="B3961" i="1"/>
  <c r="F3960" i="1"/>
  <c r="B3960" i="1"/>
  <c r="F3959" i="1"/>
  <c r="B3959" i="1"/>
  <c r="F3958" i="1"/>
  <c r="B3958" i="1"/>
  <c r="F3957" i="1"/>
  <c r="B3957" i="1"/>
  <c r="F3956" i="1"/>
  <c r="B3956" i="1"/>
  <c r="F3955" i="1"/>
  <c r="B3955" i="1"/>
  <c r="F3954" i="1"/>
  <c r="B3954" i="1"/>
  <c r="F3953" i="1"/>
  <c r="B3953" i="1"/>
  <c r="F3952" i="1"/>
  <c r="B3952" i="1"/>
  <c r="F3951" i="1"/>
  <c r="B3951" i="1"/>
  <c r="F3950" i="1"/>
  <c r="B3950" i="1"/>
  <c r="F3949" i="1"/>
  <c r="B3949" i="1"/>
  <c r="F3948" i="1"/>
  <c r="B3948" i="1"/>
  <c r="F3947" i="1"/>
  <c r="B3947" i="1"/>
  <c r="F3946" i="1"/>
  <c r="B3946" i="1"/>
  <c r="F3945" i="1"/>
  <c r="B3945" i="1"/>
  <c r="F3944" i="1"/>
  <c r="B3944" i="1"/>
  <c r="F3943" i="1"/>
  <c r="B3943" i="1"/>
  <c r="F3942" i="1"/>
  <c r="B3942" i="1"/>
  <c r="F3941" i="1"/>
  <c r="B3941" i="1"/>
  <c r="F3940" i="1"/>
  <c r="B3940" i="1"/>
  <c r="F3939" i="1"/>
  <c r="B3939" i="1"/>
  <c r="F3938" i="1"/>
  <c r="B3938" i="1"/>
  <c r="F3937" i="1"/>
  <c r="B3937" i="1"/>
  <c r="F3936" i="1"/>
  <c r="B3936" i="1"/>
  <c r="F3935" i="1"/>
  <c r="B3935" i="1"/>
  <c r="F3934" i="1"/>
  <c r="B3934" i="1"/>
  <c r="F3933" i="1"/>
  <c r="B3933" i="1"/>
  <c r="F3932" i="1"/>
  <c r="B3932" i="1"/>
  <c r="F3931" i="1"/>
  <c r="B3931" i="1"/>
  <c r="F3930" i="1"/>
  <c r="B3930" i="1"/>
  <c r="F3929" i="1"/>
  <c r="B3929" i="1"/>
  <c r="F3928" i="1"/>
  <c r="B3928" i="1"/>
  <c r="F3927" i="1"/>
  <c r="B3927" i="1"/>
  <c r="F3926" i="1"/>
  <c r="B3926" i="1"/>
  <c r="F3925" i="1"/>
  <c r="B3925" i="1"/>
  <c r="F3924" i="1"/>
  <c r="B3924" i="1"/>
  <c r="F3923" i="1"/>
  <c r="B3923" i="1"/>
  <c r="F3922" i="1"/>
  <c r="B3922" i="1"/>
  <c r="F3921" i="1"/>
  <c r="B3921" i="1"/>
  <c r="F3920" i="1"/>
  <c r="B3920" i="1"/>
  <c r="F3919" i="1"/>
  <c r="B3919" i="1"/>
  <c r="F3918" i="1"/>
  <c r="B3918" i="1"/>
  <c r="F3917" i="1"/>
  <c r="B3917" i="1"/>
  <c r="F3916" i="1"/>
  <c r="B3916" i="1"/>
  <c r="F3915" i="1"/>
  <c r="B3915" i="1"/>
  <c r="F3914" i="1"/>
  <c r="B3914" i="1"/>
  <c r="F3913" i="1"/>
  <c r="B3913" i="1"/>
  <c r="F3912" i="1"/>
  <c r="B3912" i="1"/>
  <c r="F3911" i="1"/>
  <c r="B3911" i="1"/>
  <c r="F3910" i="1"/>
  <c r="B3910" i="1"/>
  <c r="F3909" i="1"/>
  <c r="B3909" i="1"/>
  <c r="F3908" i="1"/>
  <c r="B3908" i="1"/>
  <c r="F3907" i="1"/>
  <c r="B3907" i="1"/>
  <c r="F3906" i="1"/>
  <c r="B3906" i="1"/>
  <c r="F3905" i="1"/>
  <c r="B3905" i="1"/>
  <c r="F3904" i="1"/>
  <c r="B3904" i="1"/>
  <c r="F3903" i="1"/>
  <c r="B3903" i="1"/>
  <c r="F3902" i="1"/>
  <c r="B3902" i="1"/>
  <c r="F3901" i="1"/>
  <c r="B3901" i="1"/>
  <c r="F3900" i="1"/>
  <c r="B3900" i="1"/>
  <c r="F3899" i="1"/>
  <c r="B3899" i="1"/>
  <c r="F3898" i="1"/>
  <c r="B3898" i="1"/>
  <c r="F3897" i="1"/>
  <c r="B3897" i="1"/>
  <c r="F3896" i="1"/>
  <c r="B3896" i="1"/>
  <c r="F3895" i="1"/>
  <c r="B3895" i="1"/>
  <c r="F3894" i="1"/>
  <c r="B3894" i="1"/>
  <c r="F3893" i="1"/>
  <c r="B3893" i="1"/>
  <c r="F3892" i="1"/>
  <c r="B3892" i="1"/>
  <c r="F3891" i="1"/>
  <c r="B3891" i="1"/>
  <c r="F3890" i="1"/>
  <c r="B3890" i="1"/>
  <c r="F3889" i="1"/>
  <c r="B3889" i="1"/>
  <c r="F3888" i="1"/>
  <c r="B3888" i="1"/>
  <c r="F3887" i="1"/>
  <c r="B3887" i="1"/>
  <c r="F3886" i="1"/>
  <c r="B3886" i="1"/>
  <c r="F3885" i="1"/>
  <c r="B3885" i="1"/>
  <c r="F3884" i="1"/>
  <c r="B3884" i="1"/>
  <c r="F3883" i="1"/>
  <c r="B3883" i="1"/>
  <c r="F3882" i="1"/>
  <c r="B3882" i="1"/>
  <c r="F3881" i="1"/>
  <c r="B3881" i="1"/>
  <c r="F3880" i="1"/>
  <c r="B3880" i="1"/>
  <c r="F3879" i="1"/>
  <c r="B3879" i="1"/>
  <c r="F3878" i="1"/>
  <c r="B3878" i="1"/>
  <c r="F3877" i="1"/>
  <c r="B3877" i="1"/>
  <c r="F3876" i="1"/>
  <c r="B3876" i="1"/>
  <c r="F3875" i="1"/>
  <c r="B3875" i="1"/>
  <c r="F3874" i="1"/>
  <c r="B3874" i="1"/>
  <c r="F3873" i="1"/>
  <c r="B3873" i="1"/>
  <c r="F3872" i="1"/>
  <c r="B3872" i="1"/>
  <c r="F3871" i="1"/>
  <c r="B3871" i="1"/>
  <c r="F3870" i="1"/>
  <c r="B3870" i="1"/>
  <c r="F3869" i="1"/>
  <c r="B3869" i="1"/>
  <c r="F3868" i="1"/>
  <c r="B3868" i="1"/>
  <c r="F3867" i="1"/>
  <c r="B3867" i="1"/>
  <c r="F3866" i="1"/>
  <c r="B3866" i="1"/>
  <c r="F3865" i="1"/>
  <c r="B3865" i="1"/>
  <c r="F3864" i="1"/>
  <c r="B3864" i="1"/>
  <c r="F3863" i="1"/>
  <c r="B3863" i="1"/>
  <c r="F3862" i="1"/>
  <c r="B3862" i="1"/>
  <c r="F3861" i="1"/>
  <c r="B3861" i="1"/>
  <c r="F3860" i="1"/>
  <c r="B3860" i="1"/>
  <c r="F3859" i="1"/>
  <c r="B3859" i="1"/>
  <c r="F3858" i="1"/>
  <c r="B3858" i="1"/>
  <c r="F3857" i="1"/>
  <c r="B3857" i="1"/>
  <c r="F3856" i="1"/>
  <c r="B3856" i="1"/>
  <c r="F3855" i="1"/>
  <c r="B3855" i="1"/>
  <c r="F3854" i="1"/>
  <c r="B3854" i="1"/>
  <c r="F3853" i="1"/>
  <c r="B3853" i="1"/>
  <c r="F3852" i="1"/>
  <c r="B3852" i="1"/>
  <c r="F3851" i="1"/>
  <c r="B3851" i="1"/>
  <c r="F3850" i="1"/>
  <c r="B3850" i="1"/>
  <c r="F3849" i="1"/>
  <c r="B3849" i="1"/>
  <c r="F3848" i="1"/>
  <c r="B3848" i="1"/>
  <c r="F3847" i="1"/>
  <c r="B3847" i="1"/>
  <c r="F3846" i="1"/>
  <c r="B3846" i="1"/>
  <c r="F3845" i="1"/>
  <c r="B3845" i="1"/>
  <c r="F3844" i="1"/>
  <c r="B3844" i="1"/>
  <c r="F3843" i="1"/>
  <c r="B3843" i="1"/>
  <c r="F3842" i="1"/>
  <c r="B3842" i="1"/>
  <c r="F3841" i="1"/>
  <c r="B3841" i="1"/>
  <c r="F3840" i="1"/>
  <c r="B3840" i="1"/>
  <c r="F3839" i="1"/>
  <c r="B3839" i="1"/>
  <c r="F3838" i="1"/>
  <c r="B3838" i="1"/>
  <c r="F3837" i="1"/>
  <c r="B3837" i="1"/>
  <c r="F3836" i="1"/>
  <c r="B3836" i="1"/>
  <c r="F3835" i="1"/>
  <c r="B3835" i="1"/>
  <c r="F3834" i="1"/>
  <c r="B3834" i="1"/>
  <c r="F3833" i="1"/>
  <c r="B3833" i="1"/>
  <c r="F3832" i="1"/>
  <c r="B3832" i="1"/>
  <c r="F3831" i="1"/>
  <c r="B3831" i="1"/>
  <c r="F3830" i="1"/>
  <c r="B3830" i="1"/>
  <c r="F3829" i="1"/>
  <c r="B3829" i="1"/>
  <c r="F3828" i="1"/>
  <c r="B3828" i="1"/>
  <c r="F3827" i="1"/>
  <c r="B3827" i="1"/>
  <c r="F3826" i="1"/>
  <c r="B3826" i="1"/>
  <c r="F3825" i="1"/>
  <c r="B3825" i="1"/>
  <c r="F3824" i="1"/>
  <c r="B3824" i="1"/>
  <c r="F3823" i="1"/>
  <c r="B3823" i="1"/>
  <c r="F3822" i="1"/>
  <c r="B3822" i="1"/>
  <c r="F3821" i="1"/>
  <c r="B3821" i="1"/>
  <c r="F3820" i="1"/>
  <c r="B3820" i="1"/>
  <c r="F3819" i="1"/>
  <c r="B3819" i="1"/>
  <c r="F3818" i="1"/>
  <c r="B3818" i="1"/>
  <c r="F3817" i="1"/>
  <c r="B3817" i="1"/>
  <c r="F3816" i="1"/>
  <c r="B3816" i="1"/>
  <c r="F3815" i="1"/>
  <c r="B3815" i="1"/>
  <c r="F3814" i="1"/>
  <c r="B3814" i="1"/>
  <c r="F3813" i="1"/>
  <c r="B3813" i="1"/>
  <c r="F3812" i="1"/>
  <c r="B3812" i="1"/>
  <c r="F3811" i="1"/>
  <c r="B3811" i="1"/>
  <c r="F3810" i="1"/>
  <c r="B3810" i="1"/>
  <c r="F3809" i="1"/>
  <c r="B3809" i="1"/>
  <c r="F3808" i="1"/>
  <c r="B3808" i="1"/>
  <c r="F3807" i="1"/>
  <c r="B3807" i="1"/>
  <c r="F3806" i="1"/>
  <c r="B3806" i="1"/>
  <c r="F3805" i="1"/>
  <c r="B3805" i="1"/>
  <c r="F3804" i="1"/>
  <c r="B3804" i="1"/>
  <c r="F3803" i="1"/>
  <c r="B3803" i="1"/>
  <c r="F3802" i="1"/>
  <c r="B3802" i="1"/>
  <c r="F3801" i="1"/>
  <c r="B3801" i="1"/>
  <c r="F3800" i="1"/>
  <c r="B3800" i="1"/>
  <c r="F3799" i="1"/>
  <c r="B3799" i="1"/>
  <c r="F3798" i="1"/>
  <c r="B3798" i="1"/>
  <c r="F3797" i="1"/>
  <c r="B3797" i="1"/>
  <c r="F3796" i="1"/>
  <c r="B3796" i="1"/>
  <c r="F3795" i="1"/>
  <c r="B3795" i="1"/>
  <c r="F3794" i="1"/>
  <c r="B3794" i="1"/>
  <c r="F3793" i="1"/>
  <c r="B3793" i="1"/>
  <c r="F3792" i="1"/>
  <c r="B3792" i="1"/>
  <c r="F3791" i="1"/>
  <c r="B3791" i="1"/>
  <c r="F3790" i="1"/>
  <c r="B3790" i="1"/>
  <c r="F3789" i="1"/>
  <c r="B3789" i="1"/>
  <c r="F3788" i="1"/>
  <c r="B3788" i="1"/>
  <c r="F3787" i="1"/>
  <c r="B3787" i="1"/>
  <c r="F3786" i="1"/>
  <c r="B3786" i="1"/>
  <c r="F3785" i="1"/>
  <c r="B3785" i="1"/>
  <c r="F3784" i="1"/>
  <c r="B3784" i="1"/>
  <c r="F3783" i="1"/>
  <c r="B3783" i="1"/>
  <c r="F3782" i="1"/>
  <c r="B3782" i="1"/>
  <c r="F3781" i="1"/>
  <c r="B3781" i="1"/>
  <c r="F3780" i="1"/>
  <c r="B3780" i="1"/>
  <c r="F3779" i="1"/>
  <c r="B3779" i="1"/>
  <c r="F3778" i="1"/>
  <c r="B3778" i="1"/>
  <c r="F3777" i="1"/>
  <c r="B3777" i="1"/>
  <c r="F3776" i="1"/>
  <c r="B3776" i="1"/>
  <c r="F3775" i="1"/>
  <c r="B3775" i="1"/>
  <c r="F3774" i="1"/>
  <c r="B3774" i="1"/>
  <c r="F3773" i="1"/>
  <c r="B3773" i="1"/>
  <c r="F3772" i="1"/>
  <c r="B3772" i="1"/>
  <c r="F3771" i="1"/>
  <c r="B3771" i="1"/>
  <c r="F3770" i="1"/>
  <c r="B3770" i="1"/>
  <c r="F3769" i="1"/>
  <c r="B3769" i="1"/>
  <c r="F3768" i="1"/>
  <c r="B3768" i="1"/>
  <c r="F3767" i="1"/>
  <c r="B3767" i="1"/>
  <c r="F3766" i="1"/>
  <c r="B3766" i="1"/>
  <c r="F3765" i="1"/>
  <c r="B3765" i="1"/>
  <c r="F3764" i="1"/>
  <c r="B3764" i="1"/>
  <c r="F3763" i="1"/>
  <c r="B3763" i="1"/>
  <c r="F3762" i="1"/>
  <c r="B3762" i="1"/>
  <c r="F3761" i="1"/>
  <c r="B3761" i="1"/>
  <c r="F3760" i="1"/>
  <c r="B3760" i="1"/>
  <c r="F3759" i="1"/>
  <c r="B3759" i="1"/>
  <c r="F3758" i="1"/>
  <c r="B3758" i="1"/>
  <c r="F3757" i="1"/>
  <c r="B3757" i="1"/>
  <c r="F3756" i="1"/>
  <c r="B3756" i="1"/>
  <c r="F3755" i="1"/>
  <c r="B3755" i="1"/>
  <c r="F3754" i="1"/>
  <c r="B3754" i="1"/>
  <c r="F3753" i="1"/>
  <c r="B3753" i="1"/>
  <c r="F3752" i="1"/>
  <c r="B3752" i="1"/>
  <c r="F3751" i="1"/>
  <c r="B3751" i="1"/>
  <c r="F3750" i="1"/>
  <c r="B3750" i="1"/>
  <c r="F3749" i="1"/>
  <c r="B3749" i="1"/>
  <c r="F3748" i="1"/>
  <c r="B3748" i="1"/>
  <c r="F3747" i="1"/>
  <c r="B3747" i="1"/>
  <c r="F3746" i="1"/>
  <c r="B3746" i="1"/>
  <c r="F3745" i="1"/>
  <c r="B3745" i="1"/>
  <c r="F3744" i="1"/>
  <c r="B3744" i="1"/>
  <c r="F3743" i="1"/>
  <c r="B3743" i="1"/>
  <c r="F3742" i="1"/>
  <c r="B3742" i="1"/>
  <c r="F3741" i="1"/>
  <c r="B3741" i="1"/>
  <c r="F3740" i="1"/>
  <c r="B3740" i="1"/>
  <c r="F3739" i="1"/>
  <c r="B3739" i="1"/>
  <c r="F3738" i="1"/>
  <c r="B3738" i="1"/>
  <c r="F3737" i="1"/>
  <c r="B3737" i="1"/>
  <c r="F3736" i="1"/>
  <c r="B3736" i="1"/>
  <c r="F3735" i="1"/>
  <c r="B3735" i="1"/>
  <c r="F3734" i="1"/>
  <c r="B3734" i="1"/>
  <c r="F3733" i="1"/>
  <c r="B3733" i="1"/>
  <c r="F3732" i="1"/>
  <c r="B3732" i="1"/>
  <c r="F3731" i="1"/>
  <c r="B3731" i="1"/>
  <c r="F3730" i="1"/>
  <c r="B3730" i="1"/>
  <c r="F3729" i="1"/>
  <c r="B3729" i="1"/>
  <c r="F3728" i="1"/>
  <c r="B3728" i="1"/>
  <c r="F3727" i="1"/>
  <c r="B3727" i="1"/>
  <c r="F3726" i="1"/>
  <c r="B3726" i="1"/>
  <c r="F3725" i="1"/>
  <c r="B3725" i="1"/>
  <c r="F3724" i="1"/>
  <c r="B3724" i="1"/>
  <c r="F3723" i="1"/>
  <c r="B3723" i="1"/>
  <c r="F3722" i="1"/>
  <c r="B3722" i="1"/>
  <c r="F3721" i="1"/>
  <c r="B3721" i="1"/>
  <c r="F3720" i="1"/>
  <c r="B3720" i="1"/>
  <c r="F3719" i="1"/>
  <c r="B3719" i="1"/>
  <c r="F3718" i="1"/>
  <c r="B3718" i="1"/>
  <c r="F3717" i="1"/>
  <c r="B3717" i="1"/>
  <c r="F3716" i="1"/>
  <c r="B3716" i="1"/>
  <c r="F3715" i="1"/>
  <c r="B3715" i="1"/>
  <c r="F3714" i="1"/>
  <c r="B3714" i="1"/>
  <c r="F3713" i="1"/>
  <c r="B3713" i="1"/>
  <c r="F3712" i="1"/>
  <c r="B3712" i="1"/>
  <c r="F3711" i="1"/>
  <c r="B3711" i="1"/>
  <c r="F3710" i="1"/>
  <c r="B3710" i="1"/>
  <c r="F3709" i="1"/>
  <c r="B3709" i="1"/>
  <c r="F3708" i="1"/>
  <c r="B3708" i="1"/>
  <c r="F3707" i="1"/>
  <c r="B3707" i="1"/>
  <c r="F3706" i="1"/>
  <c r="B3706" i="1"/>
  <c r="F3705" i="1"/>
  <c r="B3705" i="1"/>
  <c r="F3704" i="1"/>
  <c r="B3704" i="1"/>
  <c r="F3703" i="1"/>
  <c r="B3703" i="1"/>
  <c r="F3702" i="1"/>
  <c r="B3702" i="1"/>
  <c r="F3701" i="1"/>
  <c r="B3701" i="1"/>
  <c r="F3700" i="1"/>
  <c r="B3700" i="1"/>
  <c r="F3699" i="1"/>
  <c r="B3699" i="1"/>
  <c r="F3698" i="1"/>
  <c r="B3698" i="1"/>
  <c r="F3697" i="1"/>
  <c r="B3697" i="1"/>
  <c r="F3696" i="1"/>
  <c r="B3696" i="1"/>
  <c r="F3695" i="1"/>
  <c r="B3695" i="1"/>
  <c r="F3694" i="1"/>
  <c r="B3694" i="1"/>
  <c r="F3693" i="1"/>
  <c r="B3693" i="1"/>
  <c r="F3692" i="1"/>
  <c r="B3692" i="1"/>
  <c r="F3691" i="1"/>
  <c r="B3691" i="1"/>
  <c r="F3690" i="1"/>
  <c r="B3690" i="1"/>
  <c r="F3689" i="1"/>
  <c r="B3689" i="1"/>
  <c r="F3688" i="1"/>
  <c r="B3688" i="1"/>
  <c r="F3687" i="1"/>
  <c r="B3687" i="1"/>
  <c r="F3686" i="1"/>
  <c r="B3686" i="1"/>
  <c r="F3685" i="1"/>
  <c r="B3685" i="1"/>
  <c r="F3684" i="1"/>
  <c r="B3684" i="1"/>
  <c r="F3683" i="1"/>
  <c r="B3683" i="1"/>
  <c r="F3682" i="1"/>
  <c r="B3682" i="1"/>
  <c r="F3681" i="1"/>
  <c r="B3681" i="1"/>
  <c r="F3680" i="1"/>
  <c r="B3680" i="1"/>
  <c r="F3679" i="1"/>
  <c r="B3679" i="1"/>
  <c r="F3678" i="1"/>
  <c r="B3678" i="1"/>
  <c r="F3677" i="1"/>
  <c r="B3677" i="1"/>
  <c r="F3676" i="1"/>
  <c r="B3676" i="1"/>
  <c r="F3675" i="1"/>
  <c r="B3675" i="1"/>
  <c r="F3674" i="1"/>
  <c r="B3674" i="1"/>
  <c r="F3673" i="1"/>
  <c r="B3673" i="1"/>
  <c r="F3672" i="1"/>
  <c r="B3672" i="1"/>
  <c r="F3671" i="1"/>
  <c r="B3671" i="1"/>
  <c r="F3670" i="1"/>
  <c r="B3670" i="1"/>
  <c r="F3669" i="1"/>
  <c r="B3669" i="1"/>
  <c r="F3668" i="1"/>
  <c r="B3668" i="1"/>
  <c r="F3667" i="1"/>
  <c r="B3667" i="1"/>
  <c r="F3666" i="1"/>
  <c r="B3666" i="1"/>
  <c r="F3665" i="1"/>
  <c r="B3665" i="1"/>
  <c r="F3664" i="1"/>
  <c r="B3664" i="1"/>
  <c r="F3663" i="1"/>
  <c r="B3663" i="1"/>
  <c r="F3662" i="1"/>
  <c r="B3662" i="1"/>
  <c r="F3661" i="1"/>
  <c r="B3661" i="1"/>
  <c r="F3660" i="1"/>
  <c r="B3660" i="1"/>
  <c r="F3659" i="1"/>
  <c r="B3659" i="1"/>
  <c r="F3658" i="1"/>
  <c r="B3658" i="1"/>
  <c r="F3657" i="1"/>
  <c r="B3657" i="1"/>
  <c r="F3656" i="1"/>
  <c r="B3656" i="1"/>
  <c r="F3655" i="1"/>
  <c r="B3655" i="1"/>
  <c r="F3654" i="1"/>
  <c r="B3654" i="1"/>
  <c r="F3653" i="1"/>
  <c r="B3653" i="1"/>
  <c r="F3652" i="1"/>
  <c r="B3652" i="1"/>
  <c r="F3651" i="1"/>
  <c r="B3651" i="1"/>
  <c r="F3650" i="1"/>
  <c r="B3650" i="1"/>
  <c r="F3649" i="1"/>
  <c r="B3649" i="1"/>
  <c r="F3648" i="1"/>
  <c r="B3648" i="1"/>
  <c r="F3647" i="1"/>
  <c r="B3647" i="1"/>
  <c r="F3646" i="1"/>
  <c r="B3646" i="1"/>
  <c r="F3645" i="1"/>
  <c r="B3645" i="1"/>
  <c r="F3644" i="1"/>
  <c r="B3644" i="1"/>
  <c r="F3643" i="1"/>
  <c r="B3643" i="1"/>
  <c r="F3642" i="1"/>
  <c r="B3642" i="1"/>
  <c r="F3641" i="1"/>
  <c r="B3641" i="1"/>
  <c r="F3640" i="1"/>
  <c r="B3640" i="1"/>
  <c r="F3639" i="1"/>
  <c r="B3639" i="1"/>
  <c r="F3638" i="1"/>
  <c r="B3638" i="1"/>
  <c r="F3637" i="1"/>
  <c r="B3637" i="1"/>
  <c r="F3636" i="1"/>
  <c r="B3636" i="1"/>
  <c r="F3635" i="1"/>
  <c r="B3635" i="1"/>
  <c r="F3634" i="1"/>
  <c r="B3634" i="1"/>
  <c r="F3633" i="1"/>
  <c r="B3633" i="1"/>
  <c r="F3632" i="1"/>
  <c r="B3632" i="1"/>
  <c r="F3631" i="1"/>
  <c r="B3631" i="1"/>
  <c r="F3630" i="1"/>
  <c r="B3630" i="1"/>
  <c r="F3629" i="1"/>
  <c r="B3629" i="1"/>
  <c r="F3628" i="1"/>
  <c r="B3628" i="1"/>
  <c r="F3627" i="1"/>
  <c r="B3627" i="1"/>
  <c r="F3626" i="1"/>
  <c r="B3626" i="1"/>
  <c r="F3625" i="1"/>
  <c r="B3625" i="1"/>
  <c r="F3624" i="1"/>
  <c r="B3624" i="1"/>
  <c r="F3623" i="1"/>
  <c r="B3623" i="1"/>
  <c r="F3622" i="1"/>
  <c r="B3622" i="1"/>
  <c r="F3621" i="1"/>
  <c r="B3621" i="1"/>
  <c r="F3620" i="1"/>
  <c r="B3620" i="1"/>
  <c r="F3619" i="1"/>
  <c r="B3619" i="1"/>
  <c r="F3618" i="1"/>
  <c r="B3618" i="1"/>
  <c r="F3617" i="1"/>
  <c r="B3617" i="1"/>
  <c r="F3616" i="1"/>
  <c r="B3616" i="1"/>
  <c r="F3615" i="1"/>
  <c r="B3615" i="1"/>
  <c r="F3614" i="1"/>
  <c r="B3614" i="1"/>
  <c r="F3613" i="1"/>
  <c r="B3613" i="1"/>
  <c r="F3612" i="1"/>
  <c r="B3612" i="1"/>
  <c r="F3611" i="1"/>
  <c r="B3611" i="1"/>
  <c r="F3610" i="1"/>
  <c r="B3610" i="1"/>
  <c r="F3609" i="1"/>
  <c r="B3609" i="1"/>
  <c r="F3608" i="1"/>
  <c r="B3608" i="1"/>
  <c r="F3607" i="1"/>
  <c r="B3607" i="1"/>
  <c r="F3606" i="1"/>
  <c r="B3606" i="1"/>
  <c r="F3605" i="1"/>
  <c r="B3605" i="1"/>
  <c r="F3604" i="1"/>
  <c r="B3604" i="1"/>
  <c r="F3603" i="1"/>
  <c r="B3603" i="1"/>
  <c r="F3602" i="1"/>
  <c r="B3602" i="1"/>
  <c r="F3601" i="1"/>
  <c r="B3601" i="1"/>
  <c r="F3600" i="1"/>
  <c r="B3600" i="1"/>
  <c r="F3599" i="1"/>
  <c r="B3599" i="1"/>
  <c r="F3598" i="1"/>
  <c r="B3598" i="1"/>
  <c r="F3597" i="1"/>
  <c r="B3597" i="1"/>
  <c r="F3596" i="1"/>
  <c r="B3596" i="1"/>
  <c r="F3595" i="1"/>
  <c r="B3595" i="1"/>
  <c r="F3594" i="1"/>
  <c r="B3594" i="1"/>
  <c r="F3593" i="1"/>
  <c r="B3593" i="1"/>
  <c r="F3592" i="1"/>
  <c r="B3592" i="1"/>
  <c r="F3591" i="1"/>
  <c r="B3591" i="1"/>
  <c r="F3590" i="1"/>
  <c r="B3590" i="1"/>
  <c r="F3589" i="1"/>
  <c r="B3589" i="1"/>
  <c r="F3588" i="1"/>
  <c r="B3588" i="1"/>
  <c r="F3587" i="1"/>
  <c r="B3587" i="1"/>
  <c r="F3586" i="1"/>
  <c r="B3586" i="1"/>
  <c r="F3585" i="1"/>
  <c r="B3585" i="1"/>
  <c r="F3584" i="1"/>
  <c r="B3584" i="1"/>
  <c r="F3583" i="1"/>
  <c r="B3583" i="1"/>
  <c r="F3582" i="1"/>
  <c r="B3582" i="1"/>
  <c r="F3581" i="1"/>
  <c r="B3581" i="1"/>
  <c r="F3580" i="1"/>
  <c r="B3580" i="1"/>
  <c r="F3579" i="1"/>
  <c r="B3579" i="1"/>
  <c r="F3578" i="1"/>
  <c r="B3578" i="1"/>
  <c r="F3577" i="1"/>
  <c r="B3577" i="1"/>
  <c r="F3576" i="1"/>
  <c r="B3576" i="1"/>
  <c r="F3575" i="1"/>
  <c r="B3575" i="1"/>
  <c r="F3574" i="1"/>
  <c r="B3574" i="1"/>
  <c r="F3573" i="1"/>
  <c r="B3573" i="1"/>
  <c r="F3572" i="1"/>
  <c r="B3572" i="1"/>
  <c r="F3571" i="1"/>
  <c r="B3571" i="1"/>
  <c r="F3570" i="1"/>
  <c r="B3570" i="1"/>
  <c r="F3569" i="1"/>
  <c r="B3569" i="1"/>
  <c r="F3568" i="1"/>
  <c r="B3568" i="1"/>
  <c r="F3567" i="1"/>
  <c r="B3567" i="1"/>
  <c r="F3566" i="1"/>
  <c r="B3566" i="1"/>
  <c r="F3565" i="1"/>
  <c r="B3565" i="1"/>
  <c r="F3564" i="1"/>
  <c r="B3564" i="1"/>
  <c r="F3563" i="1"/>
  <c r="B3563" i="1"/>
  <c r="F3562" i="1"/>
  <c r="B3562" i="1"/>
  <c r="F3561" i="1"/>
  <c r="B3561" i="1"/>
  <c r="F3560" i="1"/>
  <c r="B3560" i="1"/>
  <c r="F3559" i="1"/>
  <c r="B3559" i="1"/>
  <c r="F3558" i="1"/>
  <c r="B3558" i="1"/>
  <c r="F3557" i="1"/>
  <c r="B3557" i="1"/>
  <c r="F3556" i="1"/>
  <c r="B3556" i="1"/>
  <c r="F3555" i="1"/>
  <c r="B3555" i="1"/>
  <c r="F3554" i="1"/>
  <c r="B3554" i="1"/>
  <c r="F3553" i="1"/>
  <c r="B3553" i="1"/>
  <c r="F3552" i="1"/>
  <c r="B3552" i="1"/>
  <c r="F3551" i="1"/>
  <c r="B3551" i="1"/>
  <c r="F3550" i="1"/>
  <c r="B3550" i="1"/>
  <c r="F3549" i="1"/>
  <c r="B3549" i="1"/>
  <c r="F3548" i="1"/>
  <c r="B3548" i="1"/>
  <c r="F3547" i="1"/>
  <c r="B3547" i="1"/>
  <c r="F3546" i="1"/>
  <c r="B3546" i="1"/>
  <c r="F3545" i="1"/>
  <c r="B3545" i="1"/>
  <c r="F3544" i="1"/>
  <c r="B3544" i="1"/>
  <c r="F3543" i="1"/>
  <c r="B3543" i="1"/>
  <c r="F3542" i="1"/>
  <c r="B3542" i="1"/>
  <c r="F3541" i="1"/>
  <c r="B3541" i="1"/>
  <c r="F3540" i="1"/>
  <c r="B3540" i="1"/>
  <c r="F3539" i="1"/>
  <c r="B3539" i="1"/>
  <c r="F3538" i="1"/>
  <c r="B3538" i="1"/>
  <c r="F3537" i="1"/>
  <c r="B3537" i="1"/>
  <c r="F3536" i="1"/>
  <c r="B3536" i="1"/>
  <c r="F3535" i="1"/>
  <c r="B3535" i="1"/>
  <c r="F3534" i="1"/>
  <c r="B3534" i="1"/>
  <c r="F3533" i="1"/>
  <c r="B3533" i="1"/>
  <c r="F3532" i="1"/>
  <c r="B3532" i="1"/>
  <c r="F3531" i="1"/>
  <c r="B3531" i="1"/>
  <c r="F3530" i="1"/>
  <c r="B3530" i="1"/>
  <c r="F3529" i="1"/>
  <c r="B3529" i="1"/>
  <c r="F3528" i="1"/>
  <c r="B3528" i="1"/>
  <c r="F3527" i="1"/>
  <c r="B3527" i="1"/>
  <c r="F3526" i="1"/>
  <c r="B3526" i="1"/>
  <c r="F3525" i="1"/>
  <c r="B3525" i="1"/>
  <c r="F3524" i="1"/>
  <c r="B3524" i="1"/>
  <c r="F3523" i="1"/>
  <c r="B3523" i="1"/>
  <c r="F3522" i="1"/>
  <c r="B3522" i="1"/>
  <c r="F3521" i="1"/>
  <c r="B3521" i="1"/>
  <c r="F3520" i="1"/>
  <c r="B3520" i="1"/>
  <c r="F3519" i="1"/>
  <c r="B3519" i="1"/>
  <c r="F3518" i="1"/>
  <c r="B3518" i="1"/>
  <c r="F3517" i="1"/>
  <c r="B3517" i="1"/>
  <c r="F3516" i="1"/>
  <c r="B3516" i="1"/>
  <c r="F3515" i="1"/>
  <c r="B3515" i="1"/>
  <c r="F3514" i="1"/>
  <c r="B3514" i="1"/>
  <c r="F3513" i="1"/>
  <c r="B3513" i="1"/>
  <c r="F3512" i="1"/>
  <c r="B3512" i="1"/>
  <c r="F3511" i="1"/>
  <c r="B3511" i="1"/>
  <c r="F3510" i="1"/>
  <c r="B3510" i="1"/>
  <c r="F3509" i="1"/>
  <c r="B3509" i="1"/>
  <c r="F3508" i="1"/>
  <c r="B3508" i="1"/>
  <c r="F3507" i="1"/>
  <c r="B3507" i="1"/>
  <c r="F3506" i="1"/>
  <c r="B3506" i="1"/>
  <c r="F3505" i="1"/>
  <c r="B3505" i="1"/>
  <c r="F3504" i="1"/>
  <c r="B3504" i="1"/>
  <c r="F3503" i="1"/>
  <c r="B3503" i="1"/>
  <c r="F3502" i="1"/>
  <c r="B3502" i="1"/>
  <c r="F3501" i="1"/>
  <c r="B3501" i="1"/>
  <c r="F3500" i="1"/>
  <c r="B3500" i="1"/>
  <c r="F3499" i="1"/>
  <c r="B3499" i="1"/>
  <c r="F3498" i="1"/>
  <c r="B3498" i="1"/>
  <c r="F3497" i="1"/>
  <c r="B3497" i="1"/>
  <c r="F3496" i="1"/>
  <c r="B3496" i="1"/>
  <c r="F3495" i="1"/>
  <c r="B3495" i="1"/>
  <c r="F3494" i="1"/>
  <c r="B3494" i="1"/>
  <c r="F3493" i="1"/>
  <c r="B3493" i="1"/>
  <c r="F3492" i="1"/>
  <c r="B3492" i="1"/>
  <c r="F3491" i="1"/>
  <c r="B3491" i="1"/>
  <c r="F3490" i="1"/>
  <c r="B3490" i="1"/>
  <c r="F3489" i="1"/>
  <c r="B3489" i="1"/>
  <c r="F3488" i="1"/>
  <c r="B3488" i="1"/>
  <c r="F3487" i="1"/>
  <c r="B3487" i="1"/>
  <c r="F3486" i="1"/>
  <c r="B3486" i="1"/>
  <c r="F3485" i="1"/>
  <c r="B3485" i="1"/>
  <c r="F3484" i="1"/>
  <c r="B3484" i="1"/>
  <c r="F3483" i="1"/>
  <c r="B3483" i="1"/>
  <c r="F3482" i="1"/>
  <c r="B3482" i="1"/>
  <c r="F3481" i="1"/>
  <c r="B3481" i="1"/>
  <c r="F3480" i="1"/>
  <c r="B3480" i="1"/>
  <c r="F3479" i="1"/>
  <c r="B3479" i="1"/>
  <c r="F3478" i="1"/>
  <c r="B3478" i="1"/>
  <c r="F3477" i="1"/>
  <c r="B3477" i="1"/>
  <c r="F3476" i="1"/>
  <c r="B3476" i="1"/>
  <c r="F3475" i="1"/>
  <c r="B3475" i="1"/>
  <c r="F3474" i="1"/>
  <c r="B3474" i="1"/>
  <c r="F3473" i="1"/>
  <c r="B3473" i="1"/>
  <c r="F3472" i="1"/>
  <c r="B3472" i="1"/>
  <c r="F3471" i="1"/>
  <c r="B3471" i="1"/>
  <c r="F3470" i="1"/>
  <c r="B3470" i="1"/>
  <c r="F3469" i="1"/>
  <c r="B3469" i="1"/>
  <c r="F3468" i="1"/>
  <c r="B3468" i="1"/>
  <c r="F3467" i="1"/>
  <c r="B3467" i="1"/>
  <c r="F3466" i="1"/>
  <c r="B3466" i="1"/>
  <c r="F3465" i="1"/>
  <c r="B3465" i="1"/>
  <c r="F3464" i="1"/>
  <c r="B3464" i="1"/>
  <c r="F3463" i="1"/>
  <c r="B3463" i="1"/>
  <c r="F3462" i="1"/>
  <c r="B3462" i="1"/>
  <c r="F3461" i="1"/>
  <c r="B3461" i="1"/>
  <c r="F3460" i="1"/>
  <c r="B3460" i="1"/>
  <c r="F3459" i="1"/>
  <c r="B3459" i="1"/>
  <c r="F3458" i="1"/>
  <c r="B3458" i="1"/>
  <c r="F3457" i="1"/>
  <c r="B3457" i="1"/>
  <c r="F3456" i="1"/>
  <c r="B3456" i="1"/>
  <c r="F3455" i="1"/>
  <c r="B3455" i="1"/>
  <c r="F3454" i="1"/>
  <c r="B3454" i="1"/>
  <c r="F3453" i="1"/>
  <c r="B3453" i="1"/>
  <c r="F3452" i="1"/>
  <c r="B3452" i="1"/>
  <c r="F3451" i="1"/>
  <c r="B3451" i="1"/>
  <c r="F3450" i="1"/>
  <c r="B3450" i="1"/>
  <c r="F3449" i="1"/>
  <c r="B3449" i="1"/>
  <c r="F3448" i="1"/>
  <c r="B3448" i="1"/>
  <c r="F3447" i="1"/>
  <c r="B3447" i="1"/>
  <c r="F3446" i="1"/>
  <c r="B3446" i="1"/>
  <c r="F3445" i="1"/>
  <c r="B3445" i="1"/>
  <c r="F3444" i="1"/>
  <c r="B3444" i="1"/>
  <c r="F3443" i="1"/>
  <c r="B3443" i="1"/>
  <c r="F3442" i="1"/>
  <c r="B3442" i="1"/>
  <c r="F3441" i="1"/>
  <c r="B3441" i="1"/>
  <c r="F3440" i="1"/>
  <c r="B3440" i="1"/>
  <c r="F3439" i="1"/>
  <c r="B3439" i="1"/>
  <c r="F3438" i="1"/>
  <c r="B3438" i="1"/>
  <c r="F3437" i="1"/>
  <c r="B3437" i="1"/>
  <c r="F3436" i="1"/>
  <c r="B3436" i="1"/>
  <c r="F3435" i="1"/>
  <c r="B3435" i="1"/>
  <c r="F3434" i="1"/>
  <c r="B3434" i="1"/>
  <c r="F3433" i="1"/>
  <c r="B3433" i="1"/>
  <c r="F3432" i="1"/>
  <c r="B3432" i="1"/>
  <c r="F3431" i="1"/>
  <c r="B3431" i="1"/>
  <c r="F3430" i="1"/>
  <c r="B3430" i="1"/>
  <c r="F3429" i="1"/>
  <c r="B3429" i="1"/>
  <c r="F3428" i="1"/>
  <c r="B3428" i="1"/>
  <c r="F3427" i="1"/>
  <c r="B3427" i="1"/>
  <c r="F3426" i="1"/>
  <c r="B3426" i="1"/>
  <c r="F3425" i="1"/>
  <c r="B3425" i="1"/>
  <c r="F3424" i="1"/>
  <c r="B3424" i="1"/>
  <c r="F3423" i="1"/>
  <c r="B3423" i="1"/>
  <c r="F3422" i="1"/>
  <c r="B3422" i="1"/>
  <c r="F3421" i="1"/>
  <c r="B3421" i="1"/>
  <c r="F3420" i="1"/>
  <c r="B3420" i="1"/>
  <c r="F3419" i="1"/>
  <c r="B3419" i="1"/>
  <c r="F3418" i="1"/>
  <c r="B3418" i="1"/>
  <c r="F3417" i="1"/>
  <c r="B3417" i="1"/>
  <c r="F3416" i="1"/>
  <c r="B3416" i="1"/>
  <c r="F3415" i="1"/>
  <c r="B3415" i="1"/>
  <c r="F3414" i="1"/>
  <c r="B3414" i="1"/>
  <c r="F3413" i="1"/>
  <c r="B3413" i="1"/>
  <c r="F3412" i="1"/>
  <c r="B3412" i="1"/>
  <c r="F3411" i="1"/>
  <c r="B3411" i="1"/>
  <c r="F3410" i="1"/>
  <c r="B3410" i="1"/>
  <c r="F3409" i="1"/>
  <c r="B3409" i="1"/>
  <c r="F3408" i="1"/>
  <c r="B3408" i="1"/>
  <c r="F3407" i="1"/>
  <c r="B3407" i="1"/>
  <c r="F3406" i="1"/>
  <c r="B3406" i="1"/>
  <c r="F3405" i="1"/>
  <c r="B3405" i="1"/>
  <c r="F3404" i="1"/>
  <c r="B3404" i="1"/>
  <c r="F3403" i="1"/>
  <c r="B3403" i="1"/>
  <c r="F3402" i="1"/>
  <c r="B3402" i="1"/>
  <c r="F3401" i="1"/>
  <c r="B3401" i="1"/>
  <c r="F3400" i="1"/>
  <c r="B3400" i="1"/>
  <c r="F3399" i="1"/>
  <c r="B3399" i="1"/>
  <c r="F3398" i="1"/>
  <c r="B3398" i="1"/>
  <c r="F3397" i="1"/>
  <c r="B3397" i="1"/>
  <c r="F3396" i="1"/>
  <c r="B3396" i="1"/>
  <c r="F3395" i="1"/>
  <c r="B3395" i="1"/>
  <c r="F3394" i="1"/>
  <c r="B3394" i="1"/>
  <c r="F3393" i="1"/>
  <c r="B3393" i="1"/>
  <c r="F3392" i="1"/>
  <c r="B3392" i="1"/>
  <c r="F3391" i="1"/>
  <c r="B3391" i="1"/>
  <c r="F3390" i="1"/>
  <c r="B3390" i="1"/>
  <c r="F3389" i="1"/>
  <c r="B3389" i="1"/>
  <c r="F3388" i="1"/>
  <c r="B3388" i="1"/>
  <c r="F3387" i="1"/>
  <c r="B3387" i="1"/>
  <c r="F3386" i="1"/>
  <c r="B3386" i="1"/>
  <c r="F3385" i="1"/>
  <c r="B3385" i="1"/>
  <c r="F3384" i="1"/>
  <c r="B3384" i="1"/>
  <c r="F3383" i="1"/>
  <c r="B3383" i="1"/>
  <c r="F3382" i="1"/>
  <c r="B3382" i="1"/>
  <c r="F3381" i="1"/>
  <c r="B3381" i="1"/>
  <c r="F3380" i="1"/>
  <c r="B3380" i="1"/>
  <c r="F3379" i="1"/>
  <c r="B3379" i="1"/>
  <c r="F3378" i="1"/>
  <c r="B3378" i="1"/>
  <c r="F3377" i="1"/>
  <c r="B3377" i="1"/>
  <c r="F3376" i="1"/>
  <c r="B3376" i="1"/>
  <c r="F3375" i="1"/>
  <c r="B3375" i="1"/>
  <c r="F3374" i="1"/>
  <c r="B3374" i="1"/>
  <c r="F3373" i="1"/>
  <c r="B3373" i="1"/>
  <c r="F3372" i="1"/>
  <c r="B3372" i="1"/>
  <c r="F3371" i="1"/>
  <c r="B3371" i="1"/>
  <c r="F3370" i="1"/>
  <c r="B3370" i="1"/>
  <c r="F3369" i="1"/>
  <c r="B3369" i="1"/>
  <c r="F3368" i="1"/>
  <c r="B3368" i="1"/>
  <c r="F3367" i="1"/>
  <c r="B3367" i="1"/>
  <c r="F3366" i="1"/>
  <c r="B3366" i="1"/>
  <c r="F3365" i="1"/>
  <c r="B3365" i="1"/>
  <c r="F3364" i="1"/>
  <c r="B3364" i="1"/>
  <c r="F3363" i="1"/>
  <c r="B3363" i="1"/>
  <c r="F3362" i="1"/>
  <c r="B3362" i="1"/>
  <c r="F3361" i="1"/>
  <c r="B3361" i="1"/>
  <c r="F3360" i="1"/>
  <c r="B3360" i="1"/>
  <c r="F3359" i="1"/>
  <c r="B3359" i="1"/>
  <c r="F3358" i="1"/>
  <c r="B3358" i="1"/>
  <c r="F3357" i="1"/>
  <c r="B3357" i="1"/>
  <c r="F3356" i="1"/>
  <c r="B3356" i="1"/>
  <c r="F3355" i="1"/>
  <c r="B3355" i="1"/>
  <c r="F3354" i="1"/>
  <c r="B3354" i="1"/>
  <c r="F3353" i="1"/>
  <c r="B3353" i="1"/>
  <c r="F3352" i="1"/>
  <c r="B3352" i="1"/>
  <c r="F3351" i="1"/>
  <c r="B3351" i="1"/>
  <c r="F3350" i="1"/>
  <c r="B3350" i="1"/>
  <c r="F3349" i="1"/>
  <c r="B3349" i="1"/>
  <c r="F3348" i="1"/>
  <c r="B3348" i="1"/>
  <c r="F3347" i="1"/>
  <c r="B3347" i="1"/>
  <c r="F3346" i="1"/>
  <c r="B3346" i="1"/>
  <c r="F3345" i="1"/>
  <c r="B3345" i="1"/>
  <c r="F3344" i="1"/>
  <c r="B3344" i="1"/>
  <c r="F3343" i="1"/>
  <c r="B3343" i="1"/>
  <c r="F3342" i="1"/>
  <c r="B3342" i="1"/>
  <c r="F3341" i="1"/>
  <c r="B3341" i="1"/>
  <c r="F3340" i="1"/>
  <c r="B3340" i="1"/>
  <c r="F3339" i="1"/>
  <c r="B3339" i="1"/>
  <c r="F3338" i="1"/>
  <c r="B3338" i="1"/>
  <c r="F3337" i="1"/>
  <c r="F3336" i="1"/>
  <c r="F3335" i="1"/>
  <c r="F3334" i="1"/>
  <c r="B3334" i="1"/>
  <c r="F3333" i="1"/>
  <c r="B3333" i="1"/>
  <c r="F3332" i="1"/>
  <c r="B3332" i="1"/>
  <c r="F3331" i="1"/>
  <c r="B3331" i="1"/>
  <c r="F3330" i="1"/>
  <c r="B3330" i="1"/>
  <c r="F3329" i="1"/>
  <c r="B3329" i="1"/>
  <c r="F3328" i="1"/>
  <c r="B3328" i="1"/>
  <c r="F3327" i="1"/>
  <c r="B3327" i="1"/>
  <c r="F3326" i="1"/>
  <c r="B3326" i="1"/>
  <c r="F3325" i="1"/>
  <c r="B3325" i="1"/>
  <c r="F3324" i="1"/>
  <c r="B3324" i="1"/>
  <c r="F3323" i="1"/>
  <c r="B3323" i="1"/>
  <c r="F3322" i="1"/>
  <c r="B3322" i="1"/>
  <c r="F3321" i="1"/>
  <c r="B3321" i="1"/>
  <c r="F3320" i="1"/>
  <c r="B3320" i="1"/>
  <c r="F3319" i="1"/>
  <c r="B3319" i="1"/>
  <c r="F3318" i="1"/>
  <c r="B3318" i="1"/>
  <c r="F3317" i="1"/>
  <c r="B3317" i="1"/>
  <c r="F3316" i="1"/>
  <c r="B3316" i="1"/>
  <c r="F3315" i="1"/>
  <c r="B3315" i="1"/>
  <c r="F3314" i="1"/>
  <c r="B3314" i="1"/>
  <c r="F3313" i="1"/>
  <c r="B3313" i="1"/>
  <c r="F3312" i="1"/>
  <c r="B3312" i="1"/>
  <c r="F3311" i="1"/>
  <c r="B3311" i="1"/>
  <c r="F3310" i="1"/>
  <c r="B3310" i="1"/>
  <c r="F3309" i="1"/>
  <c r="B3309" i="1"/>
  <c r="F3308" i="1"/>
  <c r="B3308" i="1"/>
  <c r="F3307" i="1"/>
  <c r="B3307" i="1"/>
  <c r="F3306" i="1"/>
  <c r="B3306" i="1"/>
  <c r="F3305" i="1"/>
  <c r="B3305" i="1"/>
  <c r="F3304" i="1"/>
  <c r="B3304" i="1"/>
  <c r="F3303" i="1"/>
  <c r="B3303" i="1"/>
  <c r="F3302" i="1"/>
  <c r="B3302" i="1"/>
  <c r="F3301" i="1"/>
  <c r="B3301" i="1"/>
  <c r="F3300" i="1"/>
  <c r="B3300" i="1"/>
  <c r="F3299" i="1"/>
  <c r="B3299" i="1"/>
  <c r="F3298" i="1"/>
  <c r="B3298" i="1"/>
  <c r="F3297" i="1"/>
  <c r="B3297" i="1"/>
  <c r="F3296" i="1"/>
  <c r="B3296" i="1"/>
  <c r="F3295" i="1"/>
  <c r="B3295" i="1"/>
  <c r="F3294" i="1"/>
  <c r="B3294" i="1"/>
  <c r="F3293" i="1"/>
  <c r="B3293" i="1"/>
  <c r="F3292" i="1"/>
  <c r="B3292" i="1"/>
  <c r="F3291" i="1"/>
  <c r="B3291" i="1"/>
  <c r="F3290" i="1"/>
  <c r="B3290" i="1"/>
  <c r="F3289" i="1"/>
  <c r="B3289" i="1"/>
  <c r="F3288" i="1"/>
  <c r="B3288" i="1"/>
  <c r="F3287" i="1"/>
  <c r="B3287" i="1"/>
  <c r="F3286" i="1"/>
  <c r="B3286" i="1"/>
  <c r="F3285" i="1"/>
  <c r="B3285" i="1"/>
  <c r="F3284" i="1"/>
  <c r="B3284" i="1"/>
  <c r="F3283" i="1"/>
  <c r="B3283" i="1"/>
  <c r="F3282" i="1"/>
  <c r="B3282" i="1"/>
  <c r="F3281" i="1"/>
  <c r="B3281" i="1"/>
  <c r="F3280" i="1"/>
  <c r="B3280" i="1"/>
  <c r="F3279" i="1"/>
  <c r="B3279" i="1"/>
  <c r="F3278" i="1"/>
  <c r="B3278" i="1"/>
  <c r="F3277" i="1"/>
  <c r="B3277" i="1"/>
  <c r="F3276" i="1"/>
  <c r="B3276" i="1"/>
  <c r="F3275" i="1"/>
  <c r="B3275" i="1"/>
  <c r="F3274" i="1"/>
  <c r="B3274" i="1"/>
  <c r="F3273" i="1"/>
  <c r="B3273" i="1"/>
  <c r="F3272" i="1"/>
  <c r="B3272" i="1"/>
  <c r="F3271" i="1"/>
  <c r="B3271" i="1"/>
  <c r="F3270" i="1"/>
  <c r="B3270" i="1"/>
  <c r="F3269" i="1"/>
  <c r="B3269" i="1"/>
  <c r="F3268" i="1"/>
  <c r="B3268" i="1"/>
  <c r="F3267" i="1"/>
  <c r="B3267" i="1"/>
  <c r="F3266" i="1"/>
  <c r="B3266" i="1"/>
  <c r="F3265" i="1"/>
  <c r="B3265" i="1"/>
  <c r="F3264" i="1"/>
  <c r="B3264" i="1"/>
  <c r="F3263" i="1"/>
  <c r="B3263" i="1"/>
  <c r="F3262" i="1"/>
  <c r="B3262" i="1"/>
  <c r="F3261" i="1"/>
  <c r="B3261" i="1"/>
  <c r="F3260" i="1"/>
  <c r="B3260" i="1"/>
  <c r="F3259" i="1"/>
  <c r="B3259" i="1"/>
  <c r="F3258" i="1"/>
  <c r="B3258" i="1"/>
  <c r="F3257" i="1"/>
  <c r="B3257" i="1"/>
  <c r="F3256" i="1"/>
  <c r="B3256" i="1"/>
  <c r="F3255" i="1"/>
  <c r="B3255" i="1"/>
  <c r="F3254" i="1"/>
  <c r="B3254" i="1"/>
  <c r="F3253" i="1"/>
  <c r="B3253" i="1"/>
  <c r="F3252" i="1"/>
  <c r="B3252" i="1"/>
  <c r="F3251" i="1"/>
  <c r="B3251" i="1"/>
  <c r="F3250" i="1"/>
  <c r="B3250" i="1"/>
  <c r="F3249" i="1"/>
  <c r="B3249" i="1"/>
  <c r="F3248" i="1"/>
  <c r="B3248" i="1"/>
  <c r="F3247" i="1"/>
  <c r="B3247" i="1"/>
  <c r="F3246" i="1"/>
  <c r="B3246" i="1"/>
  <c r="F3245" i="1"/>
  <c r="B3245" i="1"/>
  <c r="F3244" i="1"/>
  <c r="B3244" i="1"/>
  <c r="F3243" i="1"/>
  <c r="B3243" i="1"/>
  <c r="F3242" i="1"/>
  <c r="B3242" i="1"/>
  <c r="F3241" i="1"/>
  <c r="B3241" i="1"/>
  <c r="F3240" i="1"/>
  <c r="B3240" i="1"/>
  <c r="F3239" i="1"/>
  <c r="B3239" i="1"/>
  <c r="F3238" i="1"/>
  <c r="B3238" i="1"/>
  <c r="F3237" i="1"/>
  <c r="B3237" i="1"/>
  <c r="F3236" i="1"/>
  <c r="B3236" i="1"/>
  <c r="F3235" i="1"/>
  <c r="B3235" i="1"/>
  <c r="F3234" i="1"/>
  <c r="B3234" i="1"/>
  <c r="F3233" i="1"/>
  <c r="B3233" i="1"/>
  <c r="F3232" i="1"/>
  <c r="B3232" i="1"/>
  <c r="F3231" i="1"/>
  <c r="B3231" i="1"/>
  <c r="F3230" i="1"/>
  <c r="B3230" i="1"/>
  <c r="F3229" i="1"/>
  <c r="B3229" i="1"/>
  <c r="F3228" i="1"/>
  <c r="B3228" i="1"/>
  <c r="F3227" i="1"/>
  <c r="B3227" i="1"/>
  <c r="F3226" i="1"/>
  <c r="B3226" i="1"/>
  <c r="F3225" i="1"/>
  <c r="B3225" i="1"/>
  <c r="F3224" i="1"/>
  <c r="B3224" i="1"/>
  <c r="F3223" i="1"/>
  <c r="B3223" i="1"/>
  <c r="F3222" i="1"/>
  <c r="B3222" i="1"/>
  <c r="F3221" i="1"/>
  <c r="B3221" i="1"/>
  <c r="F3220" i="1"/>
  <c r="B3220" i="1"/>
  <c r="F3219" i="1"/>
  <c r="B3219" i="1"/>
  <c r="F3218" i="1"/>
  <c r="B3218" i="1"/>
  <c r="F3217" i="1"/>
  <c r="B3217" i="1"/>
  <c r="F3216" i="1"/>
  <c r="B3216" i="1"/>
  <c r="F3215" i="1"/>
  <c r="B3215" i="1"/>
  <c r="F3214" i="1"/>
  <c r="B3214" i="1"/>
  <c r="F3213" i="1"/>
  <c r="B3213" i="1"/>
  <c r="F3212" i="1"/>
  <c r="B3212" i="1"/>
  <c r="F3211" i="1"/>
  <c r="B3211" i="1"/>
  <c r="F3210" i="1"/>
  <c r="B3210" i="1"/>
  <c r="F3209" i="1"/>
  <c r="B3209" i="1"/>
  <c r="F3208" i="1"/>
  <c r="B3208" i="1"/>
  <c r="F3207" i="1"/>
  <c r="B3207" i="1"/>
  <c r="F3206" i="1"/>
  <c r="B3206" i="1"/>
  <c r="F3205" i="1"/>
  <c r="B3205" i="1"/>
  <c r="F3204" i="1"/>
  <c r="B3204" i="1"/>
  <c r="F3203" i="1"/>
  <c r="B3203" i="1"/>
  <c r="F3202" i="1"/>
  <c r="B3202" i="1"/>
  <c r="F3201" i="1"/>
  <c r="B3201" i="1"/>
  <c r="F3200" i="1"/>
  <c r="B3200" i="1"/>
  <c r="F3199" i="1"/>
  <c r="B3199" i="1"/>
  <c r="F3198" i="1"/>
  <c r="B3198" i="1"/>
  <c r="F3197" i="1"/>
  <c r="B3197" i="1"/>
  <c r="F3196" i="1"/>
  <c r="B3196" i="1"/>
  <c r="F3195" i="1"/>
  <c r="B3195" i="1"/>
  <c r="F3194" i="1"/>
  <c r="B3194" i="1"/>
  <c r="F3193" i="1"/>
  <c r="B3193" i="1"/>
  <c r="F3192" i="1"/>
  <c r="B3192" i="1"/>
  <c r="F3191" i="1"/>
  <c r="B3191" i="1"/>
  <c r="F3190" i="1"/>
  <c r="B3190" i="1"/>
  <c r="F3189" i="1"/>
  <c r="B3189" i="1"/>
  <c r="F3188" i="1"/>
  <c r="B3188" i="1"/>
  <c r="F3187" i="1"/>
  <c r="B3187" i="1"/>
  <c r="F3186" i="1"/>
  <c r="B3186" i="1"/>
  <c r="F3185" i="1"/>
  <c r="B3185" i="1"/>
  <c r="F3184" i="1"/>
  <c r="B3184" i="1"/>
  <c r="F3183" i="1"/>
  <c r="B3183" i="1"/>
  <c r="F3182" i="1"/>
  <c r="B3182" i="1"/>
  <c r="F3181" i="1"/>
  <c r="B3181" i="1"/>
  <c r="F3180" i="1"/>
  <c r="B3180" i="1"/>
  <c r="F3179" i="1"/>
  <c r="B3179" i="1"/>
  <c r="F3178" i="1"/>
  <c r="B3178" i="1"/>
  <c r="F3177" i="1"/>
  <c r="B3177" i="1"/>
  <c r="F3176" i="1"/>
  <c r="B3176" i="1"/>
  <c r="F3175" i="1"/>
  <c r="B3175" i="1"/>
  <c r="F3174" i="1"/>
  <c r="B3174" i="1"/>
  <c r="F3173" i="1"/>
  <c r="B3173" i="1"/>
  <c r="F3172" i="1"/>
  <c r="B3172" i="1"/>
  <c r="F3171" i="1"/>
  <c r="B3171" i="1"/>
  <c r="F3170" i="1"/>
  <c r="B3170" i="1"/>
  <c r="F3169" i="1"/>
  <c r="B3169" i="1"/>
  <c r="F3168" i="1"/>
  <c r="B3168" i="1"/>
  <c r="F3167" i="1"/>
  <c r="B3167" i="1"/>
  <c r="F3166" i="1"/>
  <c r="B3166" i="1"/>
  <c r="F3165" i="1"/>
  <c r="B3165" i="1"/>
  <c r="F3164" i="1"/>
  <c r="B3164" i="1"/>
  <c r="F3163" i="1"/>
  <c r="B3163" i="1"/>
  <c r="F3162" i="1"/>
  <c r="B3162" i="1"/>
  <c r="F3161" i="1"/>
  <c r="B3161" i="1"/>
  <c r="F3160" i="1"/>
  <c r="B3160" i="1"/>
  <c r="F3159" i="1"/>
  <c r="B3159" i="1"/>
  <c r="F3158" i="1"/>
  <c r="B3158" i="1"/>
  <c r="F3157" i="1"/>
  <c r="B3157" i="1"/>
  <c r="F3156" i="1"/>
  <c r="B3156" i="1"/>
  <c r="F3155" i="1"/>
  <c r="B3155" i="1"/>
  <c r="F3154" i="1"/>
  <c r="B3154" i="1"/>
  <c r="F3153" i="1"/>
  <c r="B3153" i="1"/>
  <c r="F3152" i="1"/>
  <c r="B3152" i="1"/>
  <c r="F3151" i="1"/>
  <c r="B3151" i="1"/>
  <c r="F3150" i="1"/>
  <c r="B3150" i="1"/>
  <c r="F3149" i="1"/>
  <c r="B3149" i="1"/>
  <c r="F3148" i="1"/>
  <c r="B3148" i="1"/>
  <c r="F3147" i="1"/>
  <c r="B3147" i="1"/>
  <c r="F3146" i="1"/>
  <c r="B3146" i="1"/>
  <c r="F3145" i="1"/>
  <c r="B3145" i="1"/>
  <c r="F3144" i="1"/>
  <c r="B3144" i="1"/>
  <c r="F3143" i="1"/>
  <c r="B3143" i="1"/>
  <c r="F3142" i="1"/>
  <c r="B3142" i="1"/>
  <c r="F3141" i="1"/>
  <c r="B3141" i="1"/>
  <c r="F3140" i="1"/>
  <c r="B3140" i="1"/>
  <c r="F3139" i="1"/>
  <c r="B3139" i="1"/>
  <c r="F3138" i="1"/>
  <c r="B3138" i="1"/>
  <c r="F3137" i="1"/>
  <c r="B3137" i="1"/>
  <c r="F3136" i="1"/>
  <c r="B3136" i="1"/>
  <c r="F3135" i="1"/>
  <c r="B3135" i="1"/>
  <c r="F3134" i="1"/>
  <c r="B3134" i="1"/>
  <c r="F3133" i="1"/>
  <c r="B3133" i="1"/>
  <c r="F3132" i="1"/>
  <c r="B3132" i="1"/>
  <c r="F3131" i="1"/>
  <c r="B3131" i="1"/>
  <c r="F3130" i="1"/>
  <c r="B3130" i="1"/>
  <c r="F3129" i="1"/>
  <c r="B3129" i="1"/>
  <c r="F3128" i="1"/>
  <c r="B3128" i="1"/>
  <c r="F3127" i="1"/>
  <c r="B3127" i="1"/>
  <c r="F3126" i="1"/>
  <c r="B3126" i="1"/>
  <c r="F3125" i="1"/>
  <c r="B3125" i="1"/>
  <c r="F3124" i="1"/>
  <c r="B3124" i="1"/>
  <c r="F3123" i="1"/>
  <c r="B3123" i="1"/>
  <c r="F3122" i="1"/>
  <c r="B3122" i="1"/>
  <c r="F3121" i="1"/>
  <c r="B3121" i="1"/>
  <c r="F3120" i="1"/>
  <c r="B3120" i="1"/>
  <c r="F3119" i="1"/>
  <c r="B3119" i="1"/>
  <c r="F3118" i="1"/>
  <c r="B3118" i="1"/>
  <c r="F3117" i="1"/>
  <c r="B3117" i="1"/>
  <c r="F3116" i="1"/>
  <c r="B3116" i="1"/>
  <c r="F3115" i="1"/>
  <c r="B3115" i="1"/>
  <c r="F3114" i="1"/>
  <c r="B3114" i="1"/>
  <c r="F3113" i="1"/>
  <c r="B3113" i="1"/>
  <c r="F3112" i="1"/>
  <c r="B3112" i="1"/>
  <c r="F3111" i="1"/>
  <c r="B3111" i="1"/>
  <c r="F3110" i="1"/>
  <c r="B3110" i="1"/>
  <c r="F3109" i="1"/>
  <c r="B3109" i="1"/>
  <c r="F3108" i="1"/>
  <c r="B3108" i="1"/>
  <c r="F3107" i="1"/>
  <c r="F3106" i="1"/>
  <c r="F3105" i="1"/>
  <c r="B3105" i="1"/>
  <c r="F3104" i="1"/>
  <c r="B3104" i="1"/>
  <c r="F3103" i="1"/>
  <c r="B3103" i="1"/>
  <c r="F3102" i="1"/>
  <c r="B3102" i="1"/>
  <c r="F3101" i="1"/>
  <c r="B3101" i="1"/>
  <c r="F3100" i="1"/>
  <c r="B3100" i="1"/>
  <c r="F3099" i="1"/>
  <c r="B3099" i="1"/>
  <c r="F3098" i="1"/>
  <c r="B3098" i="1"/>
  <c r="F3097" i="1"/>
  <c r="B3097" i="1"/>
  <c r="F3096" i="1"/>
  <c r="B3096" i="1"/>
  <c r="F3095" i="1"/>
  <c r="B3095" i="1"/>
  <c r="F3094" i="1"/>
  <c r="B3094" i="1"/>
  <c r="F3093" i="1"/>
  <c r="B3093" i="1"/>
  <c r="F3092" i="1"/>
  <c r="B3092" i="1"/>
  <c r="F3091" i="1"/>
  <c r="B3091" i="1"/>
  <c r="F3090" i="1"/>
  <c r="B3090" i="1"/>
  <c r="F3089" i="1"/>
  <c r="B3089" i="1"/>
  <c r="F3088" i="1"/>
  <c r="B3088" i="1"/>
  <c r="F3087" i="1"/>
  <c r="B3087" i="1"/>
  <c r="F3086" i="1"/>
  <c r="B3086" i="1"/>
  <c r="F3085" i="1"/>
  <c r="B3085" i="1"/>
  <c r="F3084" i="1"/>
  <c r="B3084" i="1"/>
  <c r="F3083" i="1"/>
  <c r="B3083" i="1"/>
  <c r="F3082" i="1"/>
  <c r="B3082" i="1"/>
  <c r="F3081" i="1"/>
  <c r="B3081" i="1"/>
  <c r="F3080" i="1"/>
  <c r="B3080" i="1"/>
  <c r="F3079" i="1"/>
  <c r="B3079" i="1"/>
  <c r="F3078" i="1"/>
  <c r="B3078" i="1"/>
  <c r="F3077" i="1"/>
  <c r="B3077" i="1"/>
  <c r="F3076" i="1"/>
  <c r="B3076" i="1"/>
  <c r="F3075" i="1"/>
  <c r="B3075" i="1"/>
  <c r="F3074" i="1"/>
  <c r="B3074" i="1"/>
  <c r="F3073" i="1"/>
  <c r="B3073" i="1"/>
  <c r="F3072" i="1"/>
  <c r="B3072" i="1"/>
  <c r="F3071" i="1"/>
  <c r="B3071" i="1"/>
  <c r="F3070" i="1"/>
  <c r="B3070" i="1"/>
  <c r="F3069" i="1"/>
  <c r="B3069" i="1"/>
  <c r="F3068" i="1"/>
  <c r="B3068" i="1"/>
  <c r="F3067" i="1"/>
  <c r="B3067" i="1"/>
  <c r="F3066" i="1"/>
  <c r="B3066" i="1"/>
  <c r="F3065" i="1"/>
  <c r="B3065" i="1"/>
  <c r="F3064" i="1"/>
  <c r="B3064" i="1"/>
  <c r="F3063" i="1"/>
  <c r="B3063" i="1"/>
  <c r="F3062" i="1"/>
  <c r="B3062" i="1"/>
  <c r="F3061" i="1"/>
  <c r="B3061" i="1"/>
  <c r="F3060" i="1"/>
  <c r="B3060" i="1"/>
  <c r="F3059" i="1"/>
  <c r="B3059" i="1"/>
  <c r="F3058" i="1"/>
  <c r="B3058" i="1"/>
  <c r="F3057" i="1"/>
  <c r="B3057" i="1"/>
  <c r="F3056" i="1"/>
  <c r="B3056" i="1"/>
  <c r="F3055" i="1"/>
  <c r="B3055" i="1"/>
  <c r="F3054" i="1"/>
  <c r="B3054" i="1"/>
  <c r="F3053" i="1"/>
  <c r="B3053" i="1"/>
  <c r="F3052" i="1"/>
  <c r="B3052" i="1"/>
  <c r="F3051" i="1"/>
  <c r="B3051" i="1"/>
  <c r="F3050" i="1"/>
  <c r="B3050" i="1"/>
  <c r="F3049" i="1"/>
  <c r="B3049" i="1"/>
  <c r="F3048" i="1"/>
  <c r="B3048" i="1"/>
  <c r="F3047" i="1"/>
  <c r="B3047" i="1"/>
  <c r="F3046" i="1"/>
  <c r="B3046" i="1"/>
  <c r="F3045" i="1"/>
  <c r="B3045" i="1"/>
  <c r="F3044" i="1"/>
  <c r="B3044" i="1"/>
  <c r="F3043" i="1"/>
  <c r="B3043" i="1"/>
  <c r="F3042" i="1"/>
  <c r="B3042" i="1"/>
  <c r="F3041" i="1"/>
  <c r="B3041" i="1"/>
  <c r="F3040" i="1"/>
  <c r="B3040" i="1"/>
  <c r="F3039" i="1"/>
  <c r="B3039" i="1"/>
  <c r="F3038" i="1"/>
  <c r="B3038" i="1"/>
  <c r="F3037" i="1"/>
  <c r="B3037" i="1"/>
  <c r="F3036" i="1"/>
  <c r="B3036" i="1"/>
  <c r="F3035" i="1"/>
  <c r="B3035" i="1"/>
  <c r="F3034" i="1"/>
  <c r="B3034" i="1"/>
  <c r="F3033" i="1"/>
  <c r="B3033" i="1"/>
  <c r="F3032" i="1"/>
  <c r="B3032" i="1"/>
  <c r="F3031" i="1"/>
  <c r="B3031" i="1"/>
  <c r="F3030" i="1"/>
  <c r="B3030" i="1"/>
  <c r="F3029" i="1"/>
  <c r="B3029" i="1"/>
  <c r="F3028" i="1"/>
  <c r="B3028" i="1"/>
  <c r="F3027" i="1"/>
  <c r="B3027" i="1"/>
  <c r="F3026" i="1"/>
  <c r="B3026" i="1"/>
  <c r="F3025" i="1"/>
  <c r="B3025" i="1"/>
  <c r="F3024" i="1"/>
  <c r="B3024" i="1"/>
  <c r="F3023" i="1"/>
  <c r="B3023" i="1"/>
  <c r="F3022" i="1"/>
  <c r="B3022" i="1"/>
  <c r="F3021" i="1"/>
  <c r="B3021" i="1"/>
  <c r="F3020" i="1"/>
  <c r="B3020" i="1"/>
  <c r="F3019" i="1"/>
  <c r="B3019" i="1"/>
  <c r="F3018" i="1"/>
  <c r="B3018" i="1"/>
  <c r="F3017" i="1"/>
  <c r="B3017" i="1"/>
  <c r="F3016" i="1"/>
  <c r="B3016" i="1"/>
  <c r="F3015" i="1"/>
  <c r="B3015" i="1"/>
  <c r="F3014" i="1"/>
  <c r="B3014" i="1"/>
  <c r="F3013" i="1"/>
  <c r="B3013" i="1"/>
  <c r="F3012" i="1"/>
  <c r="B3012" i="1"/>
  <c r="F3011" i="1"/>
  <c r="B3011" i="1"/>
  <c r="F3010" i="1"/>
  <c r="B3010" i="1"/>
  <c r="F3009" i="1"/>
  <c r="B3009" i="1"/>
  <c r="F3008" i="1"/>
  <c r="B3008" i="1"/>
  <c r="F3007" i="1"/>
  <c r="B3007" i="1"/>
  <c r="F3006" i="1"/>
  <c r="B3006" i="1"/>
  <c r="F3005" i="1"/>
  <c r="B3005" i="1"/>
  <c r="F3004" i="1"/>
  <c r="B3004" i="1"/>
  <c r="F3003" i="1"/>
  <c r="B3003" i="1"/>
  <c r="F3002" i="1"/>
  <c r="B3002" i="1"/>
  <c r="F3001" i="1"/>
  <c r="B3001" i="1"/>
  <c r="F3000" i="1"/>
  <c r="B3000" i="1"/>
  <c r="F2999" i="1"/>
  <c r="B2999" i="1"/>
  <c r="F2998" i="1"/>
  <c r="B2998" i="1"/>
  <c r="F2997" i="1"/>
  <c r="B2997" i="1"/>
  <c r="F2996" i="1"/>
  <c r="B2996" i="1"/>
  <c r="F2995" i="1"/>
  <c r="B2995" i="1"/>
  <c r="F2994" i="1"/>
  <c r="B2994" i="1"/>
  <c r="F2993" i="1"/>
  <c r="B2993" i="1"/>
  <c r="F2992" i="1"/>
  <c r="B2992" i="1"/>
  <c r="F2991" i="1"/>
  <c r="B2991" i="1"/>
  <c r="F2990" i="1"/>
  <c r="B2990" i="1"/>
  <c r="F2989" i="1"/>
  <c r="B2989" i="1"/>
  <c r="F2988" i="1"/>
  <c r="B2988" i="1"/>
  <c r="F2987" i="1"/>
  <c r="B2987" i="1"/>
  <c r="F2986" i="1"/>
  <c r="B2986" i="1"/>
  <c r="F2985" i="1"/>
  <c r="B2985" i="1"/>
  <c r="F2984" i="1"/>
  <c r="B2984" i="1"/>
  <c r="F2983" i="1"/>
  <c r="B2983" i="1"/>
  <c r="F2982" i="1"/>
  <c r="B2982" i="1"/>
  <c r="F2981" i="1"/>
  <c r="B2981" i="1"/>
  <c r="F2980" i="1"/>
  <c r="B2980" i="1"/>
  <c r="F2979" i="1"/>
  <c r="B2979" i="1"/>
  <c r="F2978" i="1"/>
  <c r="B2978" i="1"/>
  <c r="F2977" i="1"/>
  <c r="B2977" i="1"/>
  <c r="F2976" i="1"/>
  <c r="B2976" i="1"/>
  <c r="F2975" i="1"/>
  <c r="B2975" i="1"/>
  <c r="F2974" i="1"/>
  <c r="B2974" i="1"/>
  <c r="F2973" i="1"/>
  <c r="B2973" i="1"/>
  <c r="F2972" i="1"/>
  <c r="B2972" i="1"/>
  <c r="F2971" i="1"/>
  <c r="B2971" i="1"/>
  <c r="F2970" i="1"/>
  <c r="B2970" i="1"/>
  <c r="F2969" i="1"/>
  <c r="B2969" i="1"/>
  <c r="F2968" i="1"/>
  <c r="B2968" i="1"/>
  <c r="F2967" i="1"/>
  <c r="B2967" i="1"/>
  <c r="F2966" i="1"/>
  <c r="B2966" i="1"/>
  <c r="F2965" i="1"/>
  <c r="B2965" i="1"/>
  <c r="F2964" i="1"/>
  <c r="B2964" i="1"/>
  <c r="F2963" i="1"/>
  <c r="B2963" i="1"/>
  <c r="F2962" i="1"/>
  <c r="B2962" i="1"/>
  <c r="F2961" i="1"/>
  <c r="B2961" i="1"/>
  <c r="F2960" i="1"/>
  <c r="B2960" i="1"/>
  <c r="F2959" i="1"/>
  <c r="B2959" i="1"/>
  <c r="F2958" i="1"/>
  <c r="B2958" i="1"/>
  <c r="F2957" i="1"/>
  <c r="B2957" i="1"/>
  <c r="F2956" i="1"/>
  <c r="B2956" i="1"/>
  <c r="F2955" i="1"/>
  <c r="B2955" i="1"/>
  <c r="F2954" i="1"/>
  <c r="B2954" i="1"/>
  <c r="F2953" i="1"/>
  <c r="B2953" i="1"/>
  <c r="F2952" i="1"/>
  <c r="B2952" i="1"/>
  <c r="F2951" i="1"/>
  <c r="B2951" i="1"/>
  <c r="F2950" i="1"/>
  <c r="B2950" i="1"/>
  <c r="F2949" i="1"/>
  <c r="B2949" i="1"/>
  <c r="F2948" i="1"/>
  <c r="B2948" i="1"/>
  <c r="F2947" i="1"/>
  <c r="B2947" i="1"/>
  <c r="F2946" i="1"/>
  <c r="B2946" i="1"/>
  <c r="F2945" i="1"/>
  <c r="B2945" i="1"/>
  <c r="F2944" i="1"/>
  <c r="B2944" i="1"/>
  <c r="F2943" i="1"/>
  <c r="B2943" i="1"/>
  <c r="F2942" i="1"/>
  <c r="B2942" i="1"/>
  <c r="F2941" i="1"/>
  <c r="B2941" i="1"/>
  <c r="F2940" i="1"/>
  <c r="B2940" i="1"/>
  <c r="F2939" i="1"/>
  <c r="B2939" i="1"/>
  <c r="F2938" i="1"/>
  <c r="B2938" i="1"/>
  <c r="F2937" i="1"/>
  <c r="B2937" i="1"/>
  <c r="F2936" i="1"/>
  <c r="B2936" i="1"/>
  <c r="F2935" i="1"/>
  <c r="B2935" i="1"/>
  <c r="F2934" i="1"/>
  <c r="B2934" i="1"/>
  <c r="F2933" i="1"/>
  <c r="B2933" i="1"/>
  <c r="F2932" i="1"/>
  <c r="B2932" i="1"/>
  <c r="F2931" i="1"/>
  <c r="B2931" i="1"/>
  <c r="F2930" i="1"/>
  <c r="B2930" i="1"/>
  <c r="F2929" i="1"/>
  <c r="B2929" i="1"/>
  <c r="F2928" i="1"/>
  <c r="B2928" i="1"/>
  <c r="F2927" i="1"/>
  <c r="B2927" i="1"/>
  <c r="F2926" i="1"/>
  <c r="B2926" i="1"/>
  <c r="F2925" i="1"/>
  <c r="B2925" i="1"/>
  <c r="F2924" i="1"/>
  <c r="B2924" i="1"/>
  <c r="F2923" i="1"/>
  <c r="B2923" i="1"/>
  <c r="F2922" i="1"/>
  <c r="B2922" i="1"/>
  <c r="F2921" i="1"/>
  <c r="B2921" i="1"/>
  <c r="F2920" i="1"/>
  <c r="B2920" i="1"/>
  <c r="F2919" i="1"/>
  <c r="B2919" i="1"/>
  <c r="F2918" i="1"/>
  <c r="B2918" i="1"/>
  <c r="F2917" i="1"/>
  <c r="B2917" i="1"/>
  <c r="F2916" i="1"/>
  <c r="B2916" i="1"/>
  <c r="F2915" i="1"/>
  <c r="B2915" i="1"/>
  <c r="F2914" i="1"/>
  <c r="B2914" i="1"/>
  <c r="F2913" i="1"/>
  <c r="B2913" i="1"/>
  <c r="F2912" i="1"/>
  <c r="B2912" i="1"/>
  <c r="F2911" i="1"/>
  <c r="B2911" i="1"/>
  <c r="F2910" i="1"/>
  <c r="B2910" i="1"/>
  <c r="F2909" i="1"/>
  <c r="B2909" i="1"/>
  <c r="F2908" i="1"/>
  <c r="B2908" i="1"/>
  <c r="F2907" i="1"/>
  <c r="B2907" i="1"/>
  <c r="F2906" i="1"/>
  <c r="B2906" i="1"/>
  <c r="F2905" i="1"/>
  <c r="B2905" i="1"/>
  <c r="F2904" i="1"/>
  <c r="B2904" i="1"/>
  <c r="F2903" i="1"/>
  <c r="B2903" i="1"/>
  <c r="F2902" i="1"/>
  <c r="B2902" i="1"/>
  <c r="F2901" i="1"/>
  <c r="B2901" i="1"/>
  <c r="F2900" i="1"/>
  <c r="B2900" i="1"/>
  <c r="F2899" i="1"/>
  <c r="B2899" i="1"/>
  <c r="F2898" i="1"/>
  <c r="B2898" i="1"/>
  <c r="F2897" i="1"/>
  <c r="B2897" i="1"/>
  <c r="F2896" i="1"/>
  <c r="B2896" i="1"/>
  <c r="F2895" i="1"/>
  <c r="B2895" i="1"/>
  <c r="F2894" i="1"/>
  <c r="B2894" i="1"/>
  <c r="F2893" i="1"/>
  <c r="B2893" i="1"/>
  <c r="F2892" i="1"/>
  <c r="B2892" i="1"/>
  <c r="F2891" i="1"/>
  <c r="B2891" i="1"/>
  <c r="F2890" i="1"/>
  <c r="B2890" i="1"/>
  <c r="F2889" i="1"/>
  <c r="B2889" i="1"/>
  <c r="F2888" i="1"/>
  <c r="B2888" i="1"/>
  <c r="F2887" i="1"/>
  <c r="B2887" i="1"/>
  <c r="F2886" i="1"/>
  <c r="B2886" i="1"/>
  <c r="F2885" i="1"/>
  <c r="B2885" i="1"/>
  <c r="F2884" i="1"/>
  <c r="B2884" i="1"/>
  <c r="F2883" i="1"/>
  <c r="B2883" i="1"/>
  <c r="F2882" i="1"/>
  <c r="B2882" i="1"/>
  <c r="F2881" i="1"/>
  <c r="B2881" i="1"/>
  <c r="F2880" i="1"/>
  <c r="B2880" i="1"/>
  <c r="F2879" i="1"/>
  <c r="B2879" i="1"/>
  <c r="F2878" i="1"/>
  <c r="B2878" i="1"/>
  <c r="F2877" i="1"/>
  <c r="B2877" i="1"/>
  <c r="F2876" i="1"/>
  <c r="B2876" i="1"/>
  <c r="F2875" i="1"/>
  <c r="B2875" i="1"/>
  <c r="F2874" i="1"/>
  <c r="B2874" i="1"/>
  <c r="F2873" i="1"/>
  <c r="B2873" i="1"/>
  <c r="F2872" i="1"/>
  <c r="B2872" i="1"/>
  <c r="F2871" i="1"/>
  <c r="B2871" i="1"/>
  <c r="F2870" i="1"/>
  <c r="B2870" i="1"/>
  <c r="F2869" i="1"/>
  <c r="B2869" i="1"/>
  <c r="F2868" i="1"/>
  <c r="B2868" i="1"/>
  <c r="F2867" i="1"/>
  <c r="B2867" i="1"/>
  <c r="F2866" i="1"/>
  <c r="B2866" i="1"/>
  <c r="F2865" i="1"/>
  <c r="B2865" i="1"/>
  <c r="F2864" i="1"/>
  <c r="B2864" i="1"/>
  <c r="F2863" i="1"/>
  <c r="B2863" i="1"/>
  <c r="F2862" i="1"/>
  <c r="B2862" i="1"/>
  <c r="F2861" i="1"/>
  <c r="B2861" i="1"/>
  <c r="F2860" i="1"/>
  <c r="B2860" i="1"/>
  <c r="F2859" i="1"/>
  <c r="B2859" i="1"/>
  <c r="F2858" i="1"/>
  <c r="B2858" i="1"/>
  <c r="F2857" i="1"/>
  <c r="B2857" i="1"/>
  <c r="F2856" i="1"/>
  <c r="B2856" i="1"/>
  <c r="F2855" i="1"/>
  <c r="B2855" i="1"/>
  <c r="F2854" i="1"/>
  <c r="B2854" i="1"/>
  <c r="F2853" i="1"/>
  <c r="B2853" i="1"/>
  <c r="F2852" i="1"/>
  <c r="B2852" i="1"/>
  <c r="F2851" i="1"/>
  <c r="B2851" i="1"/>
  <c r="F2850" i="1"/>
  <c r="B2850" i="1"/>
  <c r="F2849" i="1"/>
  <c r="B2849" i="1"/>
  <c r="F2848" i="1"/>
  <c r="B2848" i="1"/>
  <c r="F2847" i="1"/>
  <c r="B2847" i="1"/>
  <c r="F2846" i="1"/>
  <c r="B2846" i="1"/>
  <c r="F2845" i="1"/>
  <c r="B2845" i="1"/>
  <c r="F2844" i="1"/>
  <c r="B2844" i="1"/>
  <c r="F2843" i="1"/>
  <c r="B2843" i="1"/>
  <c r="F2842" i="1"/>
  <c r="B2842" i="1"/>
  <c r="F2841" i="1"/>
  <c r="B2841" i="1"/>
  <c r="F2840" i="1"/>
  <c r="B2840" i="1"/>
  <c r="F2839" i="1"/>
  <c r="B2839" i="1"/>
  <c r="F2838" i="1"/>
  <c r="B2838" i="1"/>
  <c r="F2837" i="1"/>
  <c r="B2837" i="1"/>
  <c r="F2836" i="1"/>
  <c r="B2836" i="1"/>
  <c r="F2835" i="1"/>
  <c r="B2835" i="1"/>
  <c r="F2834" i="1"/>
  <c r="B2834" i="1"/>
  <c r="F2833" i="1"/>
  <c r="B2833" i="1"/>
  <c r="F2832" i="1"/>
  <c r="B2832" i="1"/>
  <c r="F2831" i="1"/>
  <c r="B2831" i="1"/>
  <c r="F2830" i="1"/>
  <c r="B2830" i="1"/>
  <c r="F2829" i="1"/>
  <c r="B2829" i="1"/>
  <c r="F2828" i="1"/>
  <c r="B2828" i="1"/>
  <c r="F2827" i="1"/>
  <c r="B2827" i="1"/>
  <c r="F2826" i="1"/>
  <c r="B2826" i="1"/>
  <c r="F2825" i="1"/>
  <c r="B2825" i="1"/>
  <c r="F2824" i="1"/>
  <c r="B2824" i="1"/>
  <c r="F2823" i="1"/>
  <c r="B2823" i="1"/>
  <c r="F2822" i="1"/>
  <c r="B2822" i="1"/>
  <c r="F2821" i="1"/>
  <c r="B2821" i="1"/>
  <c r="F2820" i="1"/>
  <c r="B2820" i="1"/>
  <c r="F2819" i="1"/>
  <c r="B2819" i="1"/>
  <c r="F2818" i="1"/>
  <c r="B2818" i="1"/>
  <c r="F2817" i="1"/>
  <c r="B2817" i="1"/>
  <c r="F2816" i="1"/>
  <c r="B2816" i="1"/>
  <c r="F2815" i="1"/>
  <c r="B2815" i="1"/>
  <c r="F2814" i="1"/>
  <c r="B2814" i="1"/>
  <c r="F2813" i="1"/>
  <c r="B2813" i="1"/>
  <c r="F2812" i="1"/>
  <c r="B2812" i="1"/>
  <c r="F2811" i="1"/>
  <c r="B2811" i="1"/>
  <c r="F2810" i="1"/>
  <c r="B2810" i="1"/>
  <c r="F2809" i="1"/>
  <c r="B2809" i="1"/>
  <c r="F2808" i="1"/>
  <c r="B2808" i="1"/>
  <c r="F2807" i="1"/>
  <c r="B2807" i="1"/>
  <c r="F2806" i="1"/>
  <c r="B2806" i="1"/>
  <c r="F2805" i="1"/>
  <c r="B2805" i="1"/>
  <c r="F2804" i="1"/>
  <c r="B2804" i="1"/>
  <c r="F2803" i="1"/>
  <c r="B2803" i="1"/>
  <c r="F2802" i="1"/>
  <c r="B2802" i="1"/>
  <c r="F2801" i="1"/>
  <c r="B2801" i="1"/>
  <c r="F2800" i="1"/>
  <c r="B2800" i="1"/>
  <c r="F2799" i="1"/>
  <c r="B2799" i="1"/>
  <c r="F2798" i="1"/>
  <c r="B2798" i="1"/>
  <c r="F2797" i="1"/>
  <c r="B2797" i="1"/>
  <c r="F2796" i="1"/>
  <c r="B2796" i="1"/>
  <c r="F2795" i="1"/>
  <c r="B2795" i="1"/>
  <c r="F2794" i="1"/>
  <c r="B2794" i="1"/>
  <c r="F2793" i="1"/>
  <c r="B2793" i="1"/>
  <c r="F2792" i="1"/>
  <c r="B2792" i="1"/>
  <c r="F2791" i="1"/>
  <c r="B2791" i="1"/>
  <c r="F2790" i="1"/>
  <c r="B2790" i="1"/>
  <c r="F2789" i="1"/>
  <c r="B2789" i="1"/>
  <c r="F2788" i="1"/>
  <c r="B2788" i="1"/>
  <c r="F2787" i="1"/>
  <c r="B2787" i="1"/>
  <c r="F2786" i="1"/>
  <c r="B2786" i="1"/>
  <c r="F2785" i="1"/>
  <c r="B2785" i="1"/>
  <c r="F2784" i="1"/>
  <c r="B2784" i="1"/>
  <c r="F2783" i="1"/>
  <c r="B2783" i="1"/>
  <c r="F2782" i="1"/>
  <c r="B2782" i="1"/>
  <c r="F2781" i="1"/>
  <c r="B2781" i="1"/>
  <c r="F2780" i="1"/>
  <c r="B2780" i="1"/>
  <c r="F2779" i="1"/>
  <c r="B2779" i="1"/>
  <c r="F2778" i="1"/>
  <c r="B2778" i="1"/>
  <c r="F2777" i="1"/>
  <c r="B2777" i="1"/>
  <c r="F2776" i="1"/>
  <c r="B2776" i="1"/>
  <c r="F2775" i="1"/>
  <c r="B2775" i="1"/>
  <c r="F2774" i="1"/>
  <c r="B2774" i="1"/>
  <c r="F2773" i="1"/>
  <c r="B2773" i="1"/>
  <c r="F2772" i="1"/>
  <c r="B2772" i="1"/>
  <c r="F2771" i="1"/>
  <c r="B2771" i="1"/>
  <c r="F2770" i="1"/>
  <c r="B2770" i="1"/>
  <c r="F2769" i="1"/>
  <c r="B2769" i="1"/>
  <c r="F2768" i="1"/>
  <c r="B2768" i="1"/>
  <c r="F2767" i="1"/>
  <c r="B2767" i="1"/>
  <c r="F2766" i="1"/>
  <c r="B2766" i="1"/>
  <c r="F2765" i="1"/>
  <c r="B2765" i="1"/>
  <c r="F2764" i="1"/>
  <c r="B2764" i="1"/>
  <c r="F2763" i="1"/>
  <c r="B2763" i="1"/>
  <c r="F2762" i="1"/>
  <c r="B2762" i="1"/>
  <c r="F2761" i="1"/>
  <c r="B2761" i="1"/>
  <c r="F2760" i="1"/>
  <c r="B2760" i="1"/>
  <c r="F2759" i="1"/>
  <c r="B2759" i="1"/>
  <c r="F2758" i="1"/>
  <c r="B2758" i="1"/>
  <c r="F2757" i="1"/>
  <c r="B2757" i="1"/>
  <c r="F2756" i="1"/>
  <c r="B2756" i="1"/>
  <c r="F2755" i="1"/>
  <c r="B2755" i="1"/>
  <c r="F2754" i="1"/>
  <c r="B2754" i="1"/>
  <c r="F2753" i="1"/>
  <c r="B2753" i="1"/>
  <c r="F2752" i="1"/>
  <c r="B2752" i="1"/>
  <c r="F2751" i="1"/>
  <c r="B2751" i="1"/>
  <c r="F2750" i="1"/>
  <c r="B2750" i="1"/>
  <c r="F2749" i="1"/>
  <c r="B2749" i="1"/>
  <c r="F2748" i="1"/>
  <c r="B2748" i="1"/>
  <c r="F2747" i="1"/>
  <c r="B2747" i="1"/>
  <c r="F2746" i="1"/>
  <c r="B2746" i="1"/>
  <c r="F2745" i="1"/>
  <c r="B2745" i="1"/>
  <c r="F2744" i="1"/>
  <c r="B2744" i="1"/>
  <c r="F2743" i="1"/>
  <c r="B2743" i="1"/>
  <c r="F2742" i="1"/>
  <c r="B2742" i="1"/>
  <c r="F2741" i="1"/>
  <c r="B2741" i="1"/>
  <c r="F2740" i="1"/>
  <c r="B2740" i="1"/>
  <c r="F2739" i="1"/>
  <c r="B2739" i="1"/>
  <c r="F2738" i="1"/>
  <c r="B2738" i="1"/>
  <c r="F2737" i="1"/>
  <c r="B2737" i="1"/>
  <c r="F2736" i="1"/>
  <c r="B2736" i="1"/>
  <c r="F2735" i="1"/>
  <c r="B2735" i="1"/>
  <c r="F2734" i="1"/>
  <c r="B2734" i="1"/>
  <c r="F2733" i="1"/>
  <c r="B2733" i="1"/>
  <c r="F2732" i="1"/>
  <c r="B2732" i="1"/>
  <c r="F2731" i="1"/>
  <c r="B2731" i="1"/>
  <c r="F2730" i="1"/>
  <c r="B2730" i="1"/>
  <c r="F2729" i="1"/>
  <c r="B2729" i="1"/>
  <c r="F2728" i="1"/>
  <c r="B2728" i="1"/>
  <c r="F2727" i="1"/>
  <c r="B2727" i="1"/>
  <c r="F2726" i="1"/>
  <c r="B2726" i="1"/>
  <c r="F2725" i="1"/>
  <c r="B2725" i="1"/>
  <c r="F2724" i="1"/>
  <c r="B2724" i="1"/>
  <c r="F2723" i="1"/>
  <c r="B2723" i="1"/>
  <c r="F2722" i="1"/>
  <c r="B2722" i="1"/>
  <c r="F2721" i="1"/>
  <c r="B2721" i="1"/>
  <c r="F2720" i="1"/>
  <c r="B2720" i="1"/>
  <c r="F2719" i="1"/>
  <c r="B2719" i="1"/>
  <c r="F2718" i="1"/>
  <c r="B2718" i="1"/>
  <c r="F2717" i="1"/>
  <c r="B2717" i="1"/>
  <c r="F2716" i="1"/>
  <c r="B2716" i="1"/>
  <c r="F2715" i="1"/>
  <c r="B2715" i="1"/>
  <c r="F2714" i="1"/>
  <c r="B2714" i="1"/>
  <c r="F2713" i="1"/>
  <c r="B2713" i="1"/>
  <c r="F2712" i="1"/>
  <c r="B2712" i="1"/>
  <c r="F2711" i="1"/>
  <c r="B2711" i="1"/>
  <c r="F2710" i="1"/>
  <c r="B2710" i="1"/>
  <c r="F2709" i="1"/>
  <c r="B2709" i="1"/>
  <c r="F2708" i="1"/>
  <c r="B2708" i="1"/>
  <c r="F2707" i="1"/>
  <c r="B2707" i="1"/>
  <c r="F2706" i="1"/>
  <c r="B2706" i="1"/>
  <c r="F2705" i="1"/>
  <c r="B2705" i="1"/>
  <c r="F2704" i="1"/>
  <c r="B2704" i="1"/>
  <c r="F2703" i="1"/>
  <c r="B2703" i="1"/>
  <c r="F2702" i="1"/>
  <c r="B2702" i="1"/>
  <c r="F2701" i="1"/>
  <c r="B2701" i="1"/>
  <c r="F2700" i="1"/>
  <c r="B2700" i="1"/>
  <c r="F2699" i="1"/>
  <c r="B2699" i="1"/>
  <c r="F2698" i="1"/>
  <c r="B2698" i="1"/>
  <c r="F2697" i="1"/>
  <c r="B2697" i="1"/>
  <c r="F2696" i="1"/>
  <c r="B2696" i="1"/>
  <c r="F2695" i="1"/>
  <c r="B2695" i="1"/>
  <c r="F2694" i="1"/>
  <c r="B2694" i="1"/>
  <c r="F2693" i="1"/>
  <c r="B2693" i="1"/>
  <c r="F2692" i="1"/>
  <c r="B2692" i="1"/>
  <c r="F2691" i="1"/>
  <c r="B2691" i="1"/>
  <c r="F2690" i="1"/>
  <c r="B2690" i="1"/>
  <c r="F2689" i="1"/>
  <c r="B2689" i="1"/>
  <c r="F2688" i="1"/>
  <c r="B2688" i="1"/>
  <c r="F2687" i="1"/>
  <c r="B2687" i="1"/>
  <c r="F2686" i="1"/>
  <c r="B2686" i="1"/>
  <c r="F2685" i="1"/>
  <c r="B2685" i="1"/>
  <c r="F2684" i="1"/>
  <c r="B2684" i="1"/>
  <c r="F2683" i="1"/>
  <c r="B2683" i="1"/>
  <c r="F2682" i="1"/>
  <c r="B2682" i="1"/>
  <c r="F2681" i="1"/>
  <c r="B2681" i="1"/>
  <c r="F2680" i="1"/>
  <c r="B2680" i="1"/>
  <c r="F2679" i="1"/>
  <c r="B2679" i="1"/>
  <c r="F2678" i="1"/>
  <c r="B2678" i="1"/>
  <c r="F2677" i="1"/>
  <c r="B2677" i="1"/>
  <c r="F2676" i="1"/>
  <c r="B2676" i="1"/>
  <c r="F2675" i="1"/>
  <c r="B2675" i="1"/>
  <c r="F2674" i="1"/>
  <c r="B2674" i="1"/>
  <c r="F2673" i="1"/>
  <c r="B2673" i="1"/>
  <c r="F2672" i="1"/>
  <c r="B2672" i="1"/>
  <c r="F2671" i="1"/>
  <c r="B2671" i="1"/>
  <c r="F2670" i="1"/>
  <c r="B2670" i="1"/>
  <c r="F2669" i="1"/>
  <c r="B2669" i="1"/>
  <c r="F2668" i="1"/>
  <c r="B2668" i="1"/>
  <c r="F2667" i="1"/>
  <c r="B2667" i="1"/>
  <c r="F2666" i="1"/>
  <c r="B2666" i="1"/>
  <c r="F2665" i="1"/>
  <c r="B2665" i="1"/>
  <c r="F2664" i="1"/>
  <c r="B2664" i="1"/>
  <c r="F2663" i="1"/>
  <c r="B2663" i="1"/>
  <c r="F2662" i="1"/>
  <c r="B2662" i="1"/>
  <c r="F2661" i="1"/>
  <c r="B2661" i="1"/>
  <c r="F2660" i="1"/>
  <c r="B2660" i="1"/>
  <c r="F2659" i="1"/>
  <c r="B2659" i="1"/>
  <c r="F2658" i="1"/>
  <c r="B2658" i="1"/>
  <c r="F2657" i="1"/>
  <c r="B2657" i="1"/>
  <c r="F2656" i="1"/>
  <c r="B2656" i="1"/>
  <c r="F2655" i="1"/>
  <c r="B2655" i="1"/>
  <c r="F2654" i="1"/>
  <c r="B2654" i="1"/>
  <c r="F2653" i="1"/>
  <c r="B2653" i="1"/>
  <c r="F2652" i="1"/>
  <c r="B2652" i="1"/>
  <c r="F2651" i="1"/>
  <c r="B2651" i="1"/>
  <c r="F2650" i="1"/>
  <c r="B2650" i="1"/>
  <c r="F2649" i="1"/>
  <c r="B2649" i="1"/>
  <c r="F2648" i="1"/>
  <c r="B2648" i="1"/>
  <c r="F2647" i="1"/>
  <c r="B2647" i="1"/>
  <c r="F2646" i="1"/>
  <c r="B2646" i="1"/>
  <c r="F2645" i="1"/>
  <c r="B2645" i="1"/>
  <c r="F2644" i="1"/>
  <c r="B2644" i="1"/>
  <c r="F2643" i="1"/>
  <c r="B2643" i="1"/>
  <c r="F2642" i="1"/>
  <c r="B2642" i="1"/>
  <c r="F2641" i="1"/>
  <c r="B2641" i="1"/>
  <c r="F2640" i="1"/>
  <c r="B2640" i="1"/>
  <c r="F2639" i="1"/>
  <c r="B2639" i="1"/>
  <c r="F2638" i="1"/>
  <c r="B2638" i="1"/>
  <c r="F2637" i="1"/>
  <c r="B2637" i="1"/>
  <c r="F2636" i="1"/>
  <c r="B2636" i="1"/>
  <c r="F2635" i="1"/>
  <c r="B2635" i="1"/>
  <c r="F2634" i="1"/>
  <c r="B2634" i="1"/>
  <c r="F2633" i="1"/>
  <c r="B2633" i="1"/>
  <c r="F2632" i="1"/>
  <c r="B2632" i="1"/>
  <c r="F2631" i="1"/>
  <c r="B2631" i="1"/>
  <c r="F2630" i="1"/>
  <c r="B2630" i="1"/>
  <c r="F2629" i="1"/>
  <c r="B2629" i="1"/>
  <c r="F2628" i="1"/>
  <c r="B2628" i="1"/>
  <c r="F2627" i="1"/>
  <c r="B2627" i="1"/>
  <c r="F2626" i="1"/>
  <c r="B2626" i="1"/>
  <c r="F2625" i="1"/>
  <c r="B2625" i="1"/>
  <c r="F2624" i="1"/>
  <c r="B2624" i="1"/>
  <c r="F2623" i="1"/>
  <c r="B2623" i="1"/>
  <c r="F2622" i="1"/>
  <c r="B2622" i="1"/>
  <c r="F2621" i="1"/>
  <c r="B2621" i="1"/>
  <c r="F2620" i="1"/>
  <c r="B2620" i="1"/>
  <c r="F2619" i="1"/>
  <c r="B2619" i="1"/>
  <c r="F2618" i="1"/>
  <c r="B2618" i="1"/>
  <c r="F2617" i="1"/>
  <c r="B2617" i="1"/>
  <c r="F2616" i="1"/>
  <c r="B2616" i="1"/>
  <c r="F2615" i="1"/>
  <c r="B2615" i="1"/>
  <c r="F2614" i="1"/>
  <c r="B2614" i="1"/>
  <c r="F2613" i="1"/>
  <c r="B2613" i="1"/>
  <c r="F2612" i="1"/>
  <c r="B2612" i="1"/>
  <c r="F2611" i="1"/>
  <c r="B2611" i="1"/>
  <c r="F2610" i="1"/>
  <c r="B2610" i="1"/>
  <c r="F2609" i="1"/>
  <c r="B2609" i="1"/>
  <c r="F2608" i="1"/>
  <c r="B2608" i="1"/>
  <c r="F2607" i="1"/>
  <c r="B2607" i="1"/>
  <c r="F2606" i="1"/>
  <c r="B2606" i="1"/>
  <c r="F2605" i="1"/>
  <c r="B2605" i="1"/>
  <c r="F2604" i="1"/>
  <c r="B2604" i="1"/>
  <c r="F2603" i="1"/>
  <c r="B2603" i="1"/>
  <c r="F2602" i="1"/>
  <c r="B2602" i="1"/>
  <c r="F2601" i="1"/>
  <c r="B2601" i="1"/>
  <c r="F2600" i="1"/>
  <c r="B2600" i="1"/>
  <c r="F2599" i="1"/>
  <c r="B2599" i="1"/>
  <c r="F2598" i="1"/>
  <c r="B2598" i="1"/>
  <c r="F2597" i="1"/>
  <c r="B2597" i="1"/>
  <c r="F2596" i="1"/>
  <c r="B2596" i="1"/>
  <c r="F2595" i="1"/>
  <c r="B2595" i="1"/>
  <c r="F2594" i="1"/>
  <c r="B2594" i="1"/>
  <c r="F2593" i="1"/>
  <c r="B2593" i="1"/>
  <c r="F2592" i="1"/>
  <c r="B2592" i="1"/>
  <c r="F2591" i="1"/>
  <c r="B2591" i="1"/>
  <c r="F2590" i="1"/>
  <c r="B2590" i="1"/>
  <c r="F2589" i="1"/>
  <c r="B2589" i="1"/>
  <c r="F2588" i="1"/>
  <c r="B2588" i="1"/>
  <c r="F2587" i="1"/>
  <c r="B2587" i="1"/>
  <c r="F2586" i="1"/>
  <c r="B2586" i="1"/>
  <c r="F2585" i="1"/>
  <c r="B2585" i="1"/>
  <c r="F2584" i="1"/>
  <c r="B2584" i="1"/>
  <c r="F2583" i="1"/>
  <c r="B2583" i="1"/>
  <c r="F2582" i="1"/>
  <c r="B2582" i="1"/>
  <c r="F2581" i="1"/>
  <c r="B2581" i="1"/>
  <c r="F2580" i="1"/>
  <c r="B2580" i="1"/>
  <c r="F2579" i="1"/>
  <c r="B2579" i="1"/>
  <c r="F2578" i="1"/>
  <c r="B2578" i="1"/>
  <c r="F2577" i="1"/>
  <c r="B2577" i="1"/>
  <c r="F2576" i="1"/>
  <c r="B2576" i="1"/>
  <c r="F2575" i="1"/>
  <c r="B2575" i="1"/>
  <c r="F2574" i="1"/>
  <c r="B2574" i="1"/>
  <c r="F2573" i="1"/>
  <c r="B2573" i="1"/>
  <c r="F2572" i="1"/>
  <c r="B2572" i="1"/>
  <c r="F2571" i="1"/>
  <c r="B2571" i="1"/>
  <c r="F2570" i="1"/>
  <c r="B2570" i="1"/>
  <c r="F2569" i="1"/>
  <c r="B2569" i="1"/>
  <c r="F2568" i="1"/>
  <c r="B2568" i="1"/>
  <c r="F2567" i="1"/>
  <c r="B2567" i="1"/>
  <c r="F2566" i="1"/>
  <c r="B2566" i="1"/>
  <c r="F2565" i="1"/>
  <c r="B2565" i="1"/>
  <c r="F2564" i="1"/>
  <c r="B2564" i="1"/>
  <c r="F2563" i="1"/>
  <c r="B2563" i="1"/>
  <c r="F2562" i="1"/>
  <c r="B2562" i="1"/>
  <c r="F2561" i="1"/>
  <c r="B2561" i="1"/>
  <c r="F2560" i="1"/>
  <c r="B2560" i="1"/>
  <c r="F2559" i="1"/>
  <c r="B2559" i="1"/>
  <c r="F2558" i="1"/>
  <c r="B2558" i="1"/>
  <c r="F2557" i="1"/>
  <c r="B2557" i="1"/>
  <c r="F2556" i="1"/>
  <c r="B2556" i="1"/>
  <c r="F2555" i="1"/>
  <c r="B2555" i="1"/>
  <c r="F2554" i="1"/>
  <c r="B2554" i="1"/>
  <c r="F2553" i="1"/>
  <c r="B2553" i="1"/>
  <c r="F2552" i="1"/>
  <c r="B2552" i="1"/>
  <c r="F2551" i="1"/>
  <c r="B2551" i="1"/>
  <c r="F2550" i="1"/>
  <c r="B2550" i="1"/>
  <c r="F2549" i="1"/>
  <c r="B2549" i="1"/>
  <c r="F2548" i="1"/>
  <c r="B2548" i="1"/>
  <c r="F2547" i="1"/>
  <c r="B2547" i="1"/>
  <c r="F2546" i="1"/>
  <c r="B2546" i="1"/>
  <c r="F2545" i="1"/>
  <c r="B2545" i="1"/>
  <c r="F2544" i="1"/>
  <c r="B2544" i="1"/>
  <c r="F2543" i="1"/>
  <c r="B2543" i="1"/>
  <c r="F2542" i="1"/>
  <c r="B2542" i="1"/>
  <c r="F2541" i="1"/>
  <c r="B2541" i="1"/>
  <c r="F2540" i="1"/>
  <c r="B2540" i="1"/>
  <c r="F2539" i="1"/>
  <c r="B2539" i="1"/>
  <c r="F2538" i="1"/>
  <c r="B2538" i="1"/>
  <c r="F2537" i="1"/>
  <c r="B2537" i="1"/>
  <c r="F2536" i="1"/>
  <c r="B2536" i="1"/>
  <c r="F2535" i="1"/>
  <c r="B2535" i="1"/>
  <c r="F2534" i="1"/>
  <c r="B2534" i="1"/>
  <c r="F2533" i="1"/>
  <c r="B2533" i="1"/>
  <c r="F2532" i="1"/>
  <c r="B2532" i="1"/>
  <c r="F2531" i="1"/>
  <c r="B2531" i="1"/>
  <c r="F2530" i="1"/>
  <c r="B2530" i="1"/>
  <c r="F2529" i="1"/>
  <c r="B2529" i="1"/>
  <c r="F2528" i="1"/>
  <c r="B2528" i="1"/>
  <c r="F2527" i="1"/>
  <c r="B2527" i="1"/>
  <c r="F2526" i="1"/>
  <c r="B2526" i="1"/>
  <c r="F2525" i="1"/>
  <c r="B2525" i="1"/>
  <c r="F2524" i="1"/>
  <c r="B2524" i="1"/>
  <c r="F2523" i="1"/>
  <c r="B2523" i="1"/>
  <c r="F2522" i="1"/>
  <c r="B2522" i="1"/>
  <c r="F2521" i="1"/>
  <c r="B2521" i="1"/>
  <c r="F2520" i="1"/>
  <c r="B2520" i="1"/>
  <c r="F2519" i="1"/>
  <c r="B2519" i="1"/>
  <c r="F2518" i="1"/>
  <c r="B2518" i="1"/>
  <c r="F2517" i="1"/>
  <c r="B2517" i="1"/>
  <c r="F2516" i="1"/>
  <c r="B2516" i="1"/>
  <c r="F2515" i="1"/>
  <c r="B2515" i="1"/>
  <c r="F2514" i="1"/>
  <c r="B2514" i="1"/>
  <c r="F2513" i="1"/>
  <c r="B2513" i="1"/>
  <c r="F2512" i="1"/>
  <c r="B2512" i="1"/>
  <c r="F2511" i="1"/>
  <c r="B2511" i="1"/>
  <c r="F2510" i="1"/>
  <c r="B2510" i="1"/>
  <c r="F2509" i="1"/>
  <c r="B2509" i="1"/>
  <c r="F2508" i="1"/>
  <c r="B2508" i="1"/>
  <c r="F2507" i="1"/>
  <c r="B2507" i="1"/>
  <c r="F2506" i="1"/>
  <c r="B2506" i="1"/>
  <c r="F2505" i="1"/>
  <c r="B2505" i="1"/>
  <c r="F2504" i="1"/>
  <c r="B2504" i="1"/>
  <c r="F2503" i="1"/>
  <c r="B2503" i="1"/>
  <c r="F2502" i="1"/>
  <c r="B2502" i="1"/>
  <c r="F2501" i="1"/>
  <c r="B2501" i="1"/>
  <c r="F2500" i="1"/>
  <c r="B2500" i="1"/>
  <c r="F2499" i="1"/>
  <c r="B2499" i="1"/>
  <c r="F2498" i="1"/>
  <c r="B2498" i="1"/>
  <c r="F2497" i="1"/>
  <c r="B2497" i="1"/>
  <c r="F2496" i="1"/>
  <c r="B2496" i="1"/>
  <c r="F2495" i="1"/>
  <c r="B2495" i="1"/>
  <c r="F2494" i="1"/>
  <c r="B2494" i="1"/>
  <c r="F2493" i="1"/>
  <c r="B2493" i="1"/>
  <c r="F2492" i="1"/>
  <c r="B2492" i="1"/>
  <c r="F2491" i="1"/>
  <c r="B2491" i="1"/>
  <c r="F2490" i="1"/>
  <c r="B2490" i="1"/>
  <c r="F2489" i="1"/>
  <c r="B2489" i="1"/>
  <c r="F2488" i="1"/>
  <c r="B2488" i="1"/>
  <c r="F2487" i="1"/>
  <c r="B2487" i="1"/>
  <c r="F2486" i="1"/>
  <c r="B2486" i="1"/>
  <c r="F2485" i="1"/>
  <c r="B2485" i="1"/>
  <c r="F2484" i="1"/>
  <c r="B2484" i="1"/>
  <c r="F2483" i="1"/>
  <c r="B2483" i="1"/>
  <c r="F2482" i="1"/>
  <c r="B2482" i="1"/>
  <c r="F2481" i="1"/>
  <c r="B2481" i="1"/>
  <c r="F2480" i="1"/>
  <c r="B2480" i="1"/>
  <c r="F2479" i="1"/>
  <c r="B2479" i="1"/>
  <c r="F2478" i="1"/>
  <c r="B2478" i="1"/>
  <c r="F2477" i="1"/>
  <c r="B2477" i="1"/>
  <c r="F2476" i="1"/>
  <c r="B2476" i="1"/>
  <c r="F2475" i="1"/>
  <c r="B2475" i="1"/>
  <c r="F2474" i="1"/>
  <c r="B2474" i="1"/>
  <c r="F2473" i="1"/>
  <c r="B2473" i="1"/>
  <c r="F2472" i="1"/>
  <c r="B2472" i="1"/>
  <c r="F2471" i="1"/>
  <c r="B2471" i="1"/>
  <c r="F2470" i="1"/>
  <c r="B2470" i="1"/>
  <c r="F2469" i="1"/>
  <c r="B2469" i="1"/>
  <c r="F2468" i="1"/>
  <c r="B2468" i="1"/>
  <c r="F2467" i="1"/>
  <c r="B2467" i="1"/>
  <c r="F2466" i="1"/>
  <c r="B2466" i="1"/>
  <c r="F2465" i="1"/>
  <c r="B2465" i="1"/>
  <c r="F2464" i="1"/>
  <c r="B2464" i="1"/>
  <c r="F2463" i="1"/>
  <c r="B2463" i="1"/>
  <c r="F2462" i="1"/>
  <c r="B2462" i="1"/>
  <c r="F2461" i="1"/>
  <c r="B2461" i="1"/>
  <c r="F2460" i="1"/>
  <c r="B2460" i="1"/>
  <c r="F2459" i="1"/>
  <c r="B2459" i="1"/>
  <c r="F2458" i="1"/>
  <c r="B2458" i="1"/>
  <c r="F2457" i="1"/>
  <c r="B2457" i="1"/>
  <c r="F2456" i="1"/>
  <c r="B2456" i="1"/>
  <c r="F2455" i="1"/>
  <c r="B2455" i="1"/>
  <c r="F2454" i="1"/>
  <c r="B2454" i="1"/>
  <c r="F2453" i="1"/>
  <c r="B2453" i="1"/>
  <c r="F2452" i="1"/>
  <c r="B2452" i="1"/>
  <c r="F2451" i="1"/>
  <c r="B2451" i="1"/>
  <c r="F2450" i="1"/>
  <c r="B2450" i="1"/>
  <c r="F2449" i="1"/>
  <c r="B2449" i="1"/>
  <c r="F2448" i="1"/>
  <c r="B2448" i="1"/>
  <c r="F2447" i="1"/>
  <c r="B2447" i="1"/>
  <c r="F2446" i="1"/>
  <c r="B2446" i="1"/>
  <c r="F2445" i="1"/>
  <c r="B2445" i="1"/>
  <c r="F2444" i="1"/>
  <c r="B2444" i="1"/>
  <c r="F2443" i="1"/>
  <c r="B2443" i="1"/>
  <c r="F2442" i="1"/>
  <c r="B2442" i="1"/>
  <c r="F2441" i="1"/>
  <c r="B2441" i="1"/>
  <c r="F2440" i="1"/>
  <c r="B2440" i="1"/>
  <c r="F2439" i="1"/>
  <c r="B2439" i="1"/>
  <c r="F2438" i="1"/>
  <c r="B2438" i="1"/>
  <c r="F2437" i="1"/>
  <c r="B2437" i="1"/>
  <c r="F2436" i="1"/>
  <c r="B2436" i="1"/>
  <c r="F2435" i="1"/>
  <c r="B2435" i="1"/>
  <c r="F2434" i="1"/>
  <c r="B2434" i="1"/>
  <c r="F2433" i="1"/>
  <c r="B2433" i="1"/>
  <c r="F2432" i="1"/>
  <c r="B2432" i="1"/>
  <c r="F2431" i="1"/>
  <c r="B2431" i="1"/>
  <c r="F2430" i="1"/>
  <c r="B2430" i="1"/>
  <c r="F2429" i="1"/>
  <c r="B2429" i="1"/>
  <c r="F2428" i="1"/>
  <c r="B2428" i="1"/>
  <c r="F2427" i="1"/>
  <c r="B2427" i="1"/>
  <c r="F2426" i="1"/>
  <c r="B2426" i="1"/>
  <c r="F2425" i="1"/>
  <c r="B2425" i="1"/>
  <c r="F2424" i="1"/>
  <c r="B2424" i="1"/>
  <c r="F2423" i="1"/>
  <c r="B2423" i="1"/>
  <c r="F2422" i="1"/>
  <c r="B2422" i="1"/>
  <c r="F2421" i="1"/>
  <c r="B2421" i="1"/>
  <c r="F2420" i="1"/>
  <c r="B2420" i="1"/>
  <c r="F2419" i="1"/>
  <c r="B2419" i="1"/>
  <c r="F2418" i="1"/>
  <c r="B2418" i="1"/>
  <c r="F2417" i="1"/>
  <c r="B2417" i="1"/>
  <c r="F2416" i="1"/>
  <c r="B2416" i="1"/>
  <c r="F2415" i="1"/>
  <c r="B2415" i="1"/>
  <c r="F2414" i="1"/>
  <c r="B2414" i="1"/>
  <c r="F2413" i="1"/>
  <c r="B2413" i="1"/>
  <c r="F2412" i="1"/>
  <c r="B2412" i="1"/>
  <c r="F2411" i="1"/>
  <c r="B2411" i="1"/>
  <c r="F2410" i="1"/>
  <c r="B2410" i="1"/>
  <c r="F2409" i="1"/>
  <c r="B2409" i="1"/>
  <c r="F2408" i="1"/>
  <c r="B2408" i="1"/>
  <c r="F2407" i="1"/>
  <c r="B2407" i="1"/>
  <c r="F2406" i="1"/>
  <c r="B2406" i="1"/>
  <c r="F2405" i="1"/>
  <c r="B2405" i="1"/>
  <c r="F2404" i="1"/>
  <c r="B2404" i="1"/>
  <c r="F2403" i="1"/>
  <c r="B2403" i="1"/>
  <c r="F2402" i="1"/>
  <c r="B2402" i="1"/>
  <c r="F2401" i="1"/>
  <c r="B2401" i="1"/>
  <c r="F2400" i="1"/>
  <c r="B2400" i="1"/>
  <c r="F2399" i="1"/>
  <c r="B2399" i="1"/>
  <c r="F2398" i="1"/>
  <c r="B2398" i="1"/>
  <c r="F2397" i="1"/>
  <c r="B2397" i="1"/>
  <c r="F2396" i="1"/>
  <c r="B2396" i="1"/>
  <c r="F2395" i="1"/>
  <c r="B2395" i="1"/>
  <c r="F2394" i="1"/>
  <c r="B2394" i="1"/>
  <c r="F2393" i="1"/>
  <c r="B2393" i="1"/>
  <c r="F2392" i="1"/>
  <c r="B2392" i="1"/>
  <c r="F2391" i="1"/>
  <c r="B2391" i="1"/>
  <c r="F2390" i="1"/>
  <c r="B2390" i="1"/>
  <c r="F2389" i="1"/>
  <c r="B2389" i="1"/>
  <c r="F2388" i="1"/>
  <c r="B2388" i="1"/>
  <c r="F2387" i="1"/>
  <c r="B2387" i="1"/>
  <c r="F2386" i="1"/>
  <c r="B2386" i="1"/>
  <c r="F2385" i="1"/>
  <c r="B2385" i="1"/>
  <c r="F2384" i="1"/>
  <c r="B2384" i="1"/>
  <c r="F2383" i="1"/>
  <c r="B2383" i="1"/>
  <c r="F2382" i="1"/>
  <c r="B2382" i="1"/>
  <c r="F2381" i="1"/>
  <c r="B2381" i="1"/>
  <c r="F2380" i="1"/>
  <c r="B2380" i="1"/>
  <c r="F2379" i="1"/>
  <c r="B2379" i="1"/>
  <c r="F2378" i="1"/>
  <c r="B2378" i="1"/>
  <c r="F2377" i="1"/>
  <c r="B2377" i="1"/>
  <c r="F2376" i="1"/>
  <c r="B2376" i="1"/>
  <c r="F2375" i="1"/>
  <c r="B2375" i="1"/>
  <c r="F2374" i="1"/>
  <c r="B2374" i="1"/>
  <c r="F2373" i="1"/>
  <c r="B2373" i="1"/>
  <c r="F2372" i="1"/>
  <c r="B2372" i="1"/>
  <c r="F2371" i="1"/>
  <c r="B2371" i="1"/>
  <c r="F2370" i="1"/>
  <c r="B2370" i="1"/>
  <c r="F2369" i="1"/>
  <c r="B2369" i="1"/>
  <c r="F2368" i="1"/>
  <c r="B2368" i="1"/>
  <c r="F2367" i="1"/>
  <c r="B2367" i="1"/>
  <c r="F2366" i="1"/>
  <c r="B2366" i="1"/>
  <c r="F2365" i="1"/>
  <c r="B2365" i="1"/>
  <c r="F2364" i="1"/>
  <c r="B2364" i="1"/>
  <c r="F2363" i="1"/>
  <c r="B2363" i="1"/>
  <c r="F2362" i="1"/>
  <c r="B2362" i="1"/>
  <c r="F2361" i="1"/>
  <c r="B2361" i="1"/>
  <c r="F2360" i="1"/>
  <c r="B2360" i="1"/>
  <c r="F2359" i="1"/>
  <c r="B2359" i="1"/>
  <c r="F2358" i="1"/>
  <c r="B2358" i="1"/>
  <c r="F2357" i="1"/>
  <c r="B2357" i="1"/>
  <c r="F2356" i="1"/>
  <c r="B2356" i="1"/>
  <c r="F2355" i="1"/>
  <c r="B2355" i="1"/>
  <c r="F2354" i="1"/>
  <c r="B2354" i="1"/>
  <c r="F2353" i="1"/>
  <c r="B2353" i="1"/>
  <c r="F2352" i="1"/>
  <c r="B2352" i="1"/>
  <c r="F2351" i="1"/>
  <c r="B2351" i="1"/>
  <c r="F2350" i="1"/>
  <c r="B2350" i="1"/>
  <c r="F2349" i="1"/>
  <c r="B2349" i="1"/>
  <c r="F2348" i="1"/>
  <c r="B2348" i="1"/>
  <c r="F2347" i="1"/>
  <c r="B2347" i="1"/>
  <c r="F2346" i="1"/>
  <c r="B2346" i="1"/>
  <c r="F2345" i="1"/>
  <c r="B2345" i="1"/>
  <c r="F2344" i="1"/>
  <c r="B2344" i="1"/>
  <c r="F2343" i="1"/>
  <c r="B2343" i="1"/>
  <c r="F2342" i="1"/>
  <c r="B2342" i="1"/>
  <c r="F2341" i="1"/>
  <c r="B2341" i="1"/>
  <c r="F2340" i="1"/>
  <c r="B2340" i="1"/>
  <c r="F2339" i="1"/>
  <c r="B2339" i="1"/>
  <c r="F2338" i="1"/>
  <c r="B2338" i="1"/>
  <c r="F2337" i="1"/>
  <c r="B2337" i="1"/>
  <c r="F2336" i="1"/>
  <c r="B2336" i="1"/>
  <c r="F2335" i="1"/>
  <c r="B2335" i="1"/>
  <c r="F2334" i="1"/>
  <c r="B2334" i="1"/>
  <c r="F2333" i="1"/>
  <c r="B2333" i="1"/>
  <c r="F2332" i="1"/>
  <c r="B2332" i="1"/>
  <c r="F2331" i="1"/>
  <c r="B2331" i="1"/>
  <c r="F2330" i="1"/>
  <c r="B2330" i="1"/>
  <c r="F2329" i="1"/>
  <c r="B2329" i="1"/>
  <c r="F2328" i="1"/>
  <c r="B2328" i="1"/>
  <c r="F2327" i="1"/>
  <c r="B2327" i="1"/>
  <c r="F2326" i="1"/>
  <c r="B2326" i="1"/>
  <c r="F2325" i="1"/>
  <c r="B2325" i="1"/>
  <c r="F2324" i="1"/>
  <c r="B2324" i="1"/>
  <c r="F2323" i="1"/>
  <c r="B2323" i="1"/>
  <c r="F2322" i="1"/>
  <c r="B2322" i="1"/>
  <c r="F2321" i="1"/>
  <c r="B2321" i="1"/>
  <c r="F2320" i="1"/>
  <c r="B2320" i="1"/>
  <c r="F2319" i="1"/>
  <c r="B2319" i="1"/>
  <c r="F2318" i="1"/>
  <c r="B2318" i="1"/>
  <c r="F2317" i="1"/>
  <c r="B2317" i="1"/>
  <c r="F2316" i="1"/>
  <c r="B2316" i="1"/>
  <c r="F2315" i="1"/>
  <c r="B2315" i="1"/>
  <c r="F2314" i="1"/>
  <c r="B2314" i="1"/>
  <c r="F2313" i="1"/>
  <c r="B2313" i="1"/>
  <c r="F2312" i="1"/>
  <c r="B2312" i="1"/>
  <c r="F2311" i="1"/>
  <c r="B2311" i="1"/>
  <c r="F2310" i="1"/>
  <c r="B2310" i="1"/>
  <c r="F2309" i="1"/>
  <c r="B2309" i="1"/>
  <c r="F2308" i="1"/>
  <c r="B2308" i="1"/>
  <c r="F2307" i="1"/>
  <c r="B2307" i="1"/>
  <c r="F2306" i="1"/>
  <c r="B2306" i="1"/>
  <c r="F2305" i="1"/>
  <c r="B2305" i="1"/>
  <c r="F2304" i="1"/>
  <c r="B2304" i="1"/>
  <c r="F2303" i="1"/>
  <c r="B2303" i="1"/>
  <c r="F2302" i="1"/>
  <c r="B2302" i="1"/>
  <c r="F2301" i="1"/>
  <c r="B2301" i="1"/>
  <c r="F2300" i="1"/>
  <c r="B2300" i="1"/>
  <c r="F2299" i="1"/>
  <c r="B2299" i="1"/>
  <c r="F2298" i="1"/>
  <c r="B2298" i="1"/>
  <c r="F2297" i="1"/>
  <c r="B2297" i="1"/>
  <c r="F2296" i="1"/>
  <c r="B2296" i="1"/>
  <c r="F2295" i="1"/>
  <c r="B2295" i="1"/>
  <c r="F2294" i="1"/>
  <c r="B2294" i="1"/>
  <c r="F2293" i="1"/>
  <c r="B2293" i="1"/>
  <c r="F2292" i="1"/>
  <c r="B2292" i="1"/>
  <c r="F2291" i="1"/>
  <c r="B2291" i="1"/>
  <c r="F2290" i="1"/>
  <c r="B2290" i="1"/>
  <c r="F2289" i="1"/>
  <c r="B2289" i="1"/>
  <c r="F2288" i="1"/>
  <c r="B2288" i="1"/>
  <c r="F2287" i="1"/>
  <c r="B2287" i="1"/>
  <c r="F2286" i="1"/>
  <c r="B2286" i="1"/>
  <c r="F2285" i="1"/>
  <c r="B2285" i="1"/>
  <c r="F2284" i="1"/>
  <c r="B2284" i="1"/>
  <c r="F2283" i="1"/>
  <c r="B2283" i="1"/>
  <c r="F2282" i="1"/>
  <c r="B2282" i="1"/>
  <c r="F2281" i="1"/>
  <c r="B2281" i="1"/>
  <c r="F2280" i="1"/>
  <c r="B2280" i="1"/>
  <c r="F2279" i="1"/>
  <c r="B2279" i="1"/>
  <c r="F2278" i="1"/>
  <c r="B2278" i="1"/>
  <c r="F2277" i="1"/>
  <c r="B2277" i="1"/>
  <c r="F2276" i="1"/>
  <c r="B2276" i="1"/>
  <c r="F2275" i="1"/>
  <c r="B2275" i="1"/>
  <c r="F2274" i="1"/>
  <c r="B2274" i="1"/>
  <c r="F2273" i="1"/>
  <c r="B2273" i="1"/>
  <c r="F2272" i="1"/>
  <c r="B2272" i="1"/>
  <c r="F2271" i="1"/>
  <c r="B2271" i="1"/>
  <c r="F2270" i="1"/>
  <c r="B2270" i="1"/>
  <c r="F2269" i="1"/>
  <c r="B2269" i="1"/>
  <c r="F2268" i="1"/>
  <c r="B2268" i="1"/>
  <c r="F2267" i="1"/>
  <c r="B2267" i="1"/>
  <c r="F2266" i="1"/>
  <c r="B2266" i="1"/>
  <c r="F2265" i="1"/>
  <c r="B2265" i="1"/>
  <c r="F2264" i="1"/>
  <c r="B2264" i="1"/>
  <c r="F2263" i="1"/>
  <c r="B2263" i="1"/>
  <c r="F2262" i="1"/>
  <c r="B2262" i="1"/>
  <c r="F2261" i="1"/>
  <c r="B2261" i="1"/>
  <c r="F2260" i="1"/>
  <c r="B2260" i="1"/>
  <c r="F2259" i="1"/>
  <c r="B2259" i="1"/>
  <c r="F2258" i="1"/>
  <c r="B2258" i="1"/>
  <c r="F2257" i="1"/>
  <c r="B2257" i="1"/>
  <c r="F2256" i="1"/>
  <c r="B2256" i="1"/>
  <c r="F2255" i="1"/>
  <c r="B2255" i="1"/>
  <c r="F2254" i="1"/>
  <c r="B2254" i="1"/>
  <c r="F2253" i="1"/>
  <c r="B2253" i="1"/>
  <c r="F2252" i="1"/>
  <c r="B2252" i="1"/>
  <c r="F2251" i="1"/>
  <c r="B2251" i="1"/>
  <c r="F2250" i="1"/>
  <c r="B2250" i="1"/>
  <c r="F2249" i="1"/>
  <c r="B2249" i="1"/>
  <c r="F2248" i="1"/>
  <c r="B2248" i="1"/>
  <c r="F2247" i="1"/>
  <c r="B2247" i="1"/>
  <c r="F2246" i="1"/>
  <c r="B2246" i="1"/>
  <c r="F2245" i="1"/>
  <c r="B2245" i="1"/>
  <c r="F2244" i="1"/>
  <c r="B2244" i="1"/>
  <c r="F2243" i="1"/>
  <c r="B2243" i="1"/>
  <c r="F2242" i="1"/>
  <c r="B2242" i="1"/>
  <c r="F2241" i="1"/>
  <c r="B2241" i="1"/>
  <c r="F2240" i="1"/>
  <c r="B2240" i="1"/>
  <c r="F2239" i="1"/>
  <c r="B2239" i="1"/>
  <c r="F2238" i="1"/>
  <c r="B2238" i="1"/>
  <c r="F2237" i="1"/>
  <c r="B2237" i="1"/>
  <c r="F2236" i="1"/>
  <c r="B2236" i="1"/>
  <c r="F2235" i="1"/>
  <c r="B2235" i="1"/>
  <c r="F2234" i="1"/>
  <c r="B2234" i="1"/>
  <c r="F2233" i="1"/>
  <c r="B2233" i="1"/>
  <c r="F2232" i="1"/>
  <c r="B2232" i="1"/>
  <c r="F2231" i="1"/>
  <c r="B2231" i="1"/>
  <c r="F2230" i="1"/>
  <c r="B2230" i="1"/>
  <c r="F2229" i="1"/>
  <c r="B2229" i="1"/>
  <c r="F2228" i="1"/>
  <c r="B2228" i="1"/>
  <c r="F2227" i="1"/>
  <c r="B2227" i="1"/>
  <c r="F2226" i="1"/>
  <c r="B2226" i="1"/>
  <c r="F2225" i="1"/>
  <c r="B2225" i="1"/>
  <c r="F2224" i="1"/>
  <c r="B2224" i="1"/>
  <c r="F2223" i="1"/>
  <c r="B2223" i="1"/>
  <c r="F2222" i="1"/>
  <c r="B2222" i="1"/>
  <c r="F2221" i="1"/>
  <c r="B2221" i="1"/>
  <c r="F2220" i="1"/>
  <c r="B2220" i="1"/>
  <c r="F2219" i="1"/>
  <c r="B2219" i="1"/>
  <c r="F2218" i="1"/>
  <c r="B2218" i="1"/>
  <c r="F2217" i="1"/>
  <c r="B2217" i="1"/>
  <c r="F2216" i="1"/>
  <c r="B2216" i="1"/>
  <c r="F2215" i="1"/>
  <c r="B2215" i="1"/>
  <c r="F2214" i="1"/>
  <c r="B2214" i="1"/>
  <c r="F2213" i="1"/>
  <c r="B2213" i="1"/>
  <c r="F2212" i="1"/>
  <c r="B2212" i="1"/>
  <c r="F2211" i="1"/>
  <c r="B2211" i="1"/>
  <c r="F2210" i="1"/>
  <c r="B2210" i="1"/>
  <c r="F2209" i="1"/>
  <c r="B2209" i="1"/>
  <c r="F2208" i="1"/>
  <c r="B2208" i="1"/>
  <c r="F2207" i="1"/>
  <c r="B2207" i="1"/>
  <c r="F2206" i="1"/>
  <c r="B2206" i="1"/>
  <c r="F2205" i="1"/>
  <c r="B2205" i="1"/>
  <c r="F2204" i="1"/>
  <c r="B2204" i="1"/>
  <c r="F2203" i="1"/>
  <c r="B2203" i="1"/>
  <c r="F2202" i="1"/>
  <c r="B2202" i="1"/>
  <c r="F2201" i="1"/>
  <c r="B2201" i="1"/>
  <c r="F2200" i="1"/>
  <c r="B2200" i="1"/>
  <c r="F2199" i="1"/>
  <c r="B2199" i="1"/>
  <c r="F2198" i="1"/>
  <c r="B2198" i="1"/>
  <c r="F2197" i="1"/>
  <c r="B2197" i="1"/>
  <c r="F2196" i="1"/>
  <c r="B2196" i="1"/>
  <c r="F2195" i="1"/>
  <c r="B2195" i="1"/>
  <c r="F2194" i="1"/>
  <c r="B2194" i="1"/>
  <c r="F2193" i="1"/>
  <c r="B2193" i="1"/>
  <c r="F2192" i="1"/>
  <c r="B2192" i="1"/>
  <c r="F2191" i="1"/>
  <c r="B2191" i="1"/>
  <c r="F2190" i="1"/>
  <c r="B2190" i="1"/>
  <c r="F2189" i="1"/>
  <c r="B2189" i="1"/>
  <c r="F2188" i="1"/>
  <c r="B2188" i="1"/>
  <c r="F2187" i="1"/>
  <c r="B2187" i="1"/>
  <c r="F2186" i="1"/>
  <c r="B2186" i="1"/>
  <c r="F2185" i="1"/>
  <c r="B2185" i="1"/>
  <c r="F2184" i="1"/>
  <c r="B2184" i="1"/>
  <c r="F2183" i="1"/>
  <c r="B2183" i="1"/>
  <c r="F2182" i="1"/>
  <c r="B2182" i="1"/>
  <c r="F2181" i="1"/>
  <c r="B2181" i="1"/>
  <c r="F2180" i="1"/>
  <c r="B2180" i="1"/>
  <c r="F2179" i="1"/>
  <c r="B2179" i="1"/>
  <c r="F2178" i="1"/>
  <c r="B2178" i="1"/>
  <c r="F2177" i="1"/>
  <c r="B2177" i="1"/>
  <c r="F2176" i="1"/>
  <c r="B2176" i="1"/>
  <c r="F2175" i="1"/>
  <c r="B2175" i="1"/>
  <c r="F2174" i="1"/>
  <c r="B2174" i="1"/>
  <c r="F2173" i="1"/>
  <c r="B2173" i="1"/>
  <c r="F2172" i="1"/>
  <c r="B2172" i="1"/>
  <c r="F2171" i="1"/>
  <c r="B2171" i="1"/>
  <c r="F2170" i="1"/>
  <c r="B2170" i="1"/>
  <c r="F2169" i="1"/>
  <c r="B2169" i="1"/>
  <c r="F2168" i="1"/>
  <c r="B2168" i="1"/>
  <c r="F2167" i="1"/>
  <c r="B2167" i="1"/>
  <c r="F2166" i="1"/>
  <c r="B2166" i="1"/>
  <c r="F2165" i="1"/>
  <c r="B2165" i="1"/>
  <c r="F2164" i="1"/>
  <c r="B2164" i="1"/>
  <c r="F2163" i="1"/>
  <c r="B2163" i="1"/>
  <c r="F2162" i="1"/>
  <c r="B2162" i="1"/>
  <c r="F2161" i="1"/>
  <c r="B2161" i="1"/>
  <c r="F2160" i="1"/>
  <c r="B2160" i="1"/>
  <c r="F2159" i="1"/>
  <c r="B2159" i="1"/>
  <c r="F2158" i="1"/>
  <c r="B2158" i="1"/>
  <c r="F2157" i="1"/>
  <c r="B2157" i="1"/>
  <c r="F2156" i="1"/>
  <c r="B2156" i="1"/>
  <c r="F2155" i="1"/>
  <c r="B2155" i="1"/>
  <c r="F2154" i="1"/>
  <c r="B2154" i="1"/>
  <c r="F2153" i="1"/>
  <c r="B2153" i="1"/>
  <c r="F2152" i="1"/>
  <c r="B2152" i="1"/>
  <c r="F2151" i="1"/>
  <c r="B2151" i="1"/>
  <c r="F2150" i="1"/>
  <c r="B2150" i="1"/>
  <c r="F2149" i="1"/>
  <c r="B2149" i="1"/>
  <c r="F2148" i="1"/>
  <c r="B2148" i="1"/>
  <c r="F2147" i="1"/>
  <c r="B2147" i="1"/>
  <c r="F2146" i="1"/>
  <c r="B2146" i="1"/>
  <c r="F2145" i="1"/>
  <c r="B2145" i="1"/>
  <c r="F2144" i="1"/>
  <c r="B2144" i="1"/>
  <c r="F2143" i="1"/>
  <c r="B2143" i="1"/>
  <c r="F2142" i="1"/>
  <c r="B2142" i="1"/>
  <c r="F2141" i="1"/>
  <c r="B2141" i="1"/>
  <c r="F2140" i="1"/>
  <c r="B2140" i="1"/>
  <c r="F2139" i="1"/>
  <c r="B2139" i="1"/>
  <c r="F2138" i="1"/>
  <c r="B2138" i="1"/>
  <c r="F2137" i="1"/>
  <c r="B2137" i="1"/>
  <c r="F2136" i="1"/>
  <c r="B2136" i="1"/>
  <c r="F2135" i="1"/>
  <c r="B2135" i="1"/>
  <c r="F2134" i="1"/>
  <c r="B2134" i="1"/>
  <c r="F2133" i="1"/>
  <c r="B2133" i="1"/>
  <c r="F2132" i="1"/>
  <c r="B2132" i="1"/>
  <c r="F2131" i="1"/>
  <c r="B2131" i="1"/>
  <c r="F2130" i="1"/>
  <c r="B2130" i="1"/>
  <c r="F2129" i="1"/>
  <c r="B2129" i="1"/>
  <c r="F2128" i="1"/>
  <c r="B2128" i="1"/>
  <c r="F2127" i="1"/>
  <c r="B2127" i="1"/>
  <c r="F2126" i="1"/>
  <c r="B2126" i="1"/>
  <c r="F2125" i="1"/>
  <c r="B2125" i="1"/>
  <c r="F2124" i="1"/>
  <c r="B2124" i="1"/>
  <c r="F2123" i="1"/>
  <c r="B2123" i="1"/>
  <c r="F2122" i="1"/>
  <c r="B2122" i="1"/>
  <c r="F2121" i="1"/>
  <c r="B2121" i="1"/>
  <c r="F2120" i="1"/>
  <c r="B2120" i="1"/>
  <c r="F2119" i="1"/>
  <c r="B2119" i="1"/>
  <c r="F2118" i="1"/>
  <c r="B2118" i="1"/>
  <c r="F2117" i="1"/>
  <c r="B2117" i="1"/>
  <c r="F2116" i="1"/>
  <c r="B2116" i="1"/>
  <c r="F2115" i="1"/>
  <c r="B2115" i="1"/>
  <c r="F2114" i="1"/>
  <c r="B2114" i="1"/>
  <c r="F2113" i="1"/>
  <c r="B2113" i="1"/>
  <c r="F2112" i="1"/>
  <c r="B2112" i="1"/>
  <c r="F2111" i="1"/>
  <c r="B2111" i="1"/>
  <c r="F2110" i="1"/>
  <c r="B2110" i="1"/>
  <c r="F2109" i="1"/>
  <c r="B2109" i="1"/>
  <c r="F2108" i="1"/>
  <c r="B2108" i="1"/>
  <c r="F2107" i="1"/>
  <c r="B2107" i="1"/>
  <c r="F2106" i="1"/>
  <c r="B2106" i="1"/>
  <c r="F2105" i="1"/>
  <c r="B2105" i="1"/>
  <c r="F2104" i="1"/>
  <c r="B2104" i="1"/>
  <c r="F2103" i="1"/>
  <c r="B2103" i="1"/>
  <c r="F2102" i="1"/>
  <c r="B2102" i="1"/>
  <c r="F2101" i="1"/>
  <c r="B2101" i="1"/>
  <c r="F2100" i="1"/>
  <c r="B2100" i="1"/>
  <c r="F2099" i="1"/>
  <c r="B2099" i="1"/>
  <c r="F2098" i="1"/>
  <c r="B2098" i="1"/>
  <c r="F2097" i="1"/>
  <c r="B2097" i="1"/>
  <c r="F2096" i="1"/>
  <c r="B2096" i="1"/>
  <c r="F2095" i="1"/>
  <c r="B2095" i="1"/>
  <c r="F2094" i="1"/>
  <c r="B2094" i="1"/>
  <c r="F2093" i="1"/>
  <c r="B2093" i="1"/>
  <c r="F2092" i="1"/>
  <c r="B2092" i="1"/>
  <c r="F2091" i="1"/>
  <c r="B2091" i="1"/>
  <c r="F2090" i="1"/>
  <c r="B2090" i="1"/>
  <c r="F2089" i="1"/>
  <c r="B2089" i="1"/>
  <c r="F2088" i="1"/>
  <c r="B2088" i="1"/>
  <c r="F2087" i="1"/>
  <c r="B2087" i="1"/>
  <c r="F2086" i="1"/>
  <c r="B2086" i="1"/>
  <c r="F2085" i="1"/>
  <c r="B2085" i="1"/>
  <c r="F2084" i="1"/>
  <c r="B2084" i="1"/>
  <c r="F2083" i="1"/>
  <c r="B2083" i="1"/>
  <c r="F2082" i="1"/>
  <c r="B2082" i="1"/>
  <c r="F2081" i="1"/>
  <c r="B2081" i="1"/>
  <c r="F2080" i="1"/>
  <c r="B2080" i="1"/>
  <c r="F2079" i="1"/>
  <c r="B2079" i="1"/>
  <c r="F2078" i="1"/>
  <c r="B2078" i="1"/>
  <c r="F2077" i="1"/>
  <c r="B2077" i="1"/>
  <c r="F2076" i="1"/>
  <c r="B2076" i="1"/>
  <c r="F2075" i="1"/>
  <c r="B2075" i="1"/>
  <c r="F2074" i="1"/>
  <c r="B2074" i="1"/>
  <c r="F2073" i="1"/>
  <c r="B2073" i="1"/>
  <c r="F2072" i="1"/>
  <c r="B2072" i="1"/>
  <c r="F2071" i="1"/>
  <c r="B2071" i="1"/>
  <c r="F2070" i="1"/>
  <c r="B2070" i="1"/>
  <c r="F2069" i="1"/>
  <c r="B2069" i="1"/>
  <c r="F2068" i="1"/>
  <c r="B2068" i="1"/>
  <c r="F2067" i="1"/>
  <c r="B2067" i="1"/>
  <c r="F2066" i="1"/>
  <c r="B2066" i="1"/>
  <c r="F2065" i="1"/>
  <c r="B2065" i="1"/>
  <c r="F2064" i="1"/>
  <c r="B2064" i="1"/>
  <c r="F2063" i="1"/>
  <c r="B2063" i="1"/>
  <c r="F2062" i="1"/>
  <c r="B2062" i="1"/>
  <c r="F2061" i="1"/>
  <c r="B2061" i="1"/>
  <c r="F2060" i="1"/>
  <c r="B2060" i="1"/>
  <c r="F2059" i="1"/>
  <c r="B2059" i="1"/>
  <c r="F2058" i="1"/>
  <c r="B2058" i="1"/>
  <c r="F2057" i="1"/>
  <c r="B2057" i="1"/>
  <c r="F2056" i="1"/>
  <c r="B2056" i="1"/>
  <c r="F2055" i="1"/>
  <c r="B2055" i="1"/>
  <c r="F2054" i="1"/>
  <c r="B2054" i="1"/>
  <c r="F2053" i="1"/>
  <c r="B2053" i="1"/>
  <c r="F2052" i="1"/>
  <c r="B2052" i="1"/>
  <c r="F2051" i="1"/>
  <c r="B2051" i="1"/>
  <c r="F2050" i="1"/>
  <c r="B2050" i="1"/>
  <c r="F2049" i="1"/>
  <c r="B2049" i="1"/>
  <c r="F2048" i="1"/>
  <c r="B2048" i="1"/>
  <c r="F2047" i="1"/>
  <c r="B2047" i="1"/>
  <c r="F2046" i="1"/>
  <c r="B2046" i="1"/>
  <c r="F2045" i="1"/>
  <c r="B2045" i="1"/>
  <c r="F2044" i="1"/>
  <c r="B2044" i="1"/>
  <c r="F2043" i="1"/>
  <c r="B2043" i="1"/>
  <c r="F2042" i="1"/>
  <c r="B2042" i="1"/>
  <c r="F2041" i="1"/>
  <c r="B2041" i="1"/>
  <c r="F2040" i="1"/>
  <c r="B2040" i="1"/>
  <c r="F2039" i="1"/>
  <c r="B2039" i="1"/>
  <c r="F2038" i="1"/>
  <c r="B2038" i="1"/>
  <c r="F2037" i="1"/>
  <c r="B2037" i="1"/>
  <c r="F2036" i="1"/>
  <c r="B2036" i="1"/>
  <c r="F2035" i="1"/>
  <c r="B2035" i="1"/>
  <c r="F2034" i="1"/>
  <c r="B2034" i="1"/>
  <c r="F2033" i="1"/>
  <c r="B2033" i="1"/>
  <c r="F2032" i="1"/>
  <c r="B2032" i="1"/>
  <c r="F2031" i="1"/>
  <c r="B2031" i="1"/>
  <c r="F2030" i="1"/>
  <c r="B2030" i="1"/>
  <c r="F2029" i="1"/>
  <c r="B2029" i="1"/>
  <c r="F2028" i="1"/>
  <c r="B2028" i="1"/>
  <c r="F2027" i="1"/>
  <c r="B2027" i="1"/>
  <c r="F2026" i="1"/>
  <c r="B2026" i="1"/>
  <c r="F2025" i="1"/>
  <c r="B2025" i="1"/>
  <c r="F2024" i="1"/>
  <c r="B2024" i="1"/>
  <c r="F2023" i="1"/>
  <c r="B2023" i="1"/>
  <c r="F2022" i="1"/>
  <c r="B2022" i="1"/>
  <c r="F2021" i="1"/>
  <c r="B2021" i="1"/>
  <c r="F2020" i="1"/>
  <c r="B2020" i="1"/>
  <c r="F2019" i="1"/>
  <c r="B2019" i="1"/>
  <c r="F2018" i="1"/>
  <c r="B2018" i="1"/>
  <c r="F2017" i="1"/>
  <c r="B2017" i="1"/>
  <c r="F2016" i="1"/>
  <c r="B2016" i="1"/>
  <c r="F2015" i="1"/>
  <c r="B2015" i="1"/>
  <c r="F2014" i="1"/>
  <c r="B2014" i="1"/>
  <c r="F2013" i="1"/>
  <c r="B2013" i="1"/>
  <c r="F2012" i="1"/>
  <c r="B2012" i="1"/>
  <c r="F2011" i="1"/>
  <c r="B2011" i="1"/>
  <c r="F2010" i="1"/>
  <c r="B2010" i="1"/>
  <c r="F2009" i="1"/>
  <c r="B2009" i="1"/>
  <c r="F2008" i="1"/>
  <c r="B2008" i="1"/>
  <c r="F2007" i="1"/>
  <c r="B2007" i="1"/>
  <c r="F2006" i="1"/>
  <c r="B2006" i="1"/>
  <c r="F2005" i="1"/>
  <c r="B2005" i="1"/>
  <c r="F2004" i="1"/>
  <c r="B2004" i="1"/>
  <c r="F2003" i="1"/>
  <c r="B2003" i="1"/>
  <c r="F2002" i="1"/>
  <c r="B2002" i="1"/>
  <c r="F2001" i="1"/>
  <c r="B2001" i="1"/>
  <c r="F2000" i="1"/>
  <c r="B2000" i="1"/>
  <c r="F1999" i="1"/>
  <c r="B1999" i="1"/>
  <c r="F1998" i="1"/>
  <c r="B1998" i="1"/>
  <c r="F1997" i="1"/>
  <c r="B1997" i="1"/>
  <c r="F1996" i="1"/>
  <c r="B1996" i="1"/>
  <c r="F1995" i="1"/>
  <c r="B1995" i="1"/>
  <c r="F1994" i="1"/>
  <c r="B1994" i="1"/>
  <c r="F1993" i="1"/>
  <c r="B1993" i="1"/>
  <c r="F1992" i="1"/>
  <c r="B1992" i="1"/>
  <c r="F1991" i="1"/>
  <c r="B1991" i="1"/>
  <c r="F1990" i="1"/>
  <c r="B1990" i="1"/>
  <c r="F1989" i="1"/>
  <c r="B1989" i="1"/>
  <c r="F1988" i="1"/>
  <c r="B1988" i="1"/>
  <c r="F1987" i="1"/>
  <c r="B1987" i="1"/>
  <c r="F1986" i="1"/>
  <c r="B1986" i="1"/>
  <c r="F1985" i="1"/>
  <c r="B1985" i="1"/>
  <c r="F1984" i="1"/>
  <c r="B1984" i="1"/>
  <c r="F1983" i="1"/>
  <c r="B1983" i="1"/>
  <c r="F1982" i="1"/>
  <c r="B1982" i="1"/>
  <c r="F1981" i="1"/>
  <c r="B1981" i="1"/>
  <c r="F1980" i="1"/>
  <c r="B1980" i="1"/>
  <c r="F1979" i="1"/>
  <c r="B1979" i="1"/>
  <c r="F1978" i="1"/>
  <c r="B1978" i="1"/>
  <c r="F1977" i="1"/>
  <c r="B1977" i="1"/>
  <c r="F1976" i="1"/>
  <c r="B1976" i="1"/>
  <c r="F1975" i="1"/>
  <c r="B1975" i="1"/>
  <c r="F1974" i="1"/>
  <c r="B1974" i="1"/>
  <c r="F1973" i="1"/>
  <c r="B1973" i="1"/>
  <c r="F1972" i="1"/>
  <c r="B1972" i="1"/>
  <c r="F1971" i="1"/>
  <c r="B1971" i="1"/>
  <c r="F1970" i="1"/>
  <c r="B1970" i="1"/>
  <c r="F1969" i="1"/>
  <c r="B1969" i="1"/>
  <c r="F1968" i="1"/>
  <c r="B1968" i="1"/>
  <c r="F1967" i="1"/>
  <c r="B1967" i="1"/>
  <c r="F1966" i="1"/>
  <c r="B1966" i="1"/>
  <c r="F1965" i="1"/>
  <c r="B1965" i="1"/>
  <c r="F1964" i="1"/>
  <c r="B1964" i="1"/>
  <c r="F1963" i="1"/>
  <c r="B1963" i="1"/>
  <c r="F1962" i="1"/>
  <c r="B1962" i="1"/>
  <c r="F1961" i="1"/>
  <c r="B1961" i="1"/>
  <c r="F1960" i="1"/>
  <c r="B1960" i="1"/>
  <c r="F1959" i="1"/>
  <c r="B1959" i="1"/>
  <c r="F1958" i="1"/>
  <c r="B1958" i="1"/>
  <c r="F1957" i="1"/>
  <c r="B1957" i="1"/>
  <c r="F1956" i="1"/>
  <c r="B1956" i="1"/>
  <c r="F1955" i="1"/>
  <c r="B1955" i="1"/>
  <c r="F1954" i="1"/>
  <c r="B1954" i="1"/>
  <c r="F1953" i="1"/>
  <c r="B1953" i="1"/>
  <c r="F1952" i="1"/>
  <c r="B1952" i="1"/>
  <c r="F1951" i="1"/>
  <c r="B1951" i="1"/>
  <c r="F1950" i="1"/>
  <c r="B1950" i="1"/>
  <c r="F1949" i="1"/>
  <c r="B1949" i="1"/>
  <c r="F1948" i="1"/>
  <c r="B1948" i="1"/>
  <c r="F1947" i="1"/>
  <c r="B1947" i="1"/>
  <c r="F1946" i="1"/>
  <c r="B1946" i="1"/>
  <c r="F1945" i="1"/>
  <c r="B1945" i="1"/>
  <c r="F1944" i="1"/>
  <c r="B1944" i="1"/>
  <c r="F1943" i="1"/>
  <c r="B1943" i="1"/>
  <c r="F1942" i="1"/>
  <c r="B1942" i="1"/>
  <c r="F1941" i="1"/>
  <c r="B1941" i="1"/>
  <c r="F1940" i="1"/>
  <c r="B1940" i="1"/>
  <c r="F1939" i="1"/>
  <c r="B1939" i="1"/>
  <c r="F1938" i="1"/>
  <c r="B1938" i="1"/>
  <c r="F1937" i="1"/>
  <c r="B1937" i="1"/>
  <c r="F1936" i="1"/>
  <c r="B1936" i="1"/>
  <c r="F1935" i="1"/>
  <c r="B1935" i="1"/>
  <c r="F1934" i="1"/>
  <c r="B1934" i="1"/>
  <c r="F1933" i="1"/>
  <c r="B1933" i="1"/>
  <c r="F1932" i="1"/>
  <c r="B1932" i="1"/>
  <c r="F1931" i="1"/>
  <c r="B1931" i="1"/>
  <c r="F1930" i="1"/>
  <c r="B1930" i="1"/>
  <c r="F1929" i="1"/>
  <c r="B1929" i="1"/>
  <c r="F1928" i="1"/>
  <c r="B1928" i="1"/>
  <c r="F1927" i="1"/>
  <c r="B1927" i="1"/>
  <c r="F1926" i="1"/>
  <c r="B1926" i="1"/>
  <c r="F1925" i="1"/>
  <c r="B1925" i="1"/>
  <c r="F1924" i="1"/>
  <c r="B1924" i="1"/>
  <c r="F1923" i="1"/>
  <c r="B1923" i="1"/>
  <c r="F1922" i="1"/>
  <c r="B1922" i="1"/>
  <c r="F1921" i="1"/>
  <c r="B1921" i="1"/>
  <c r="F1920" i="1"/>
  <c r="B1920" i="1"/>
  <c r="F1919" i="1"/>
  <c r="B1919" i="1"/>
  <c r="F1918" i="1"/>
  <c r="B1918" i="1"/>
  <c r="F1917" i="1"/>
  <c r="B1917" i="1"/>
  <c r="F1916" i="1"/>
  <c r="B1916" i="1"/>
  <c r="F1915" i="1"/>
  <c r="B1915" i="1"/>
  <c r="F1914" i="1"/>
  <c r="B1914" i="1"/>
  <c r="F1913" i="1"/>
  <c r="B1913" i="1"/>
  <c r="F1912" i="1"/>
  <c r="B1912" i="1"/>
  <c r="F1911" i="1"/>
  <c r="B1911" i="1"/>
  <c r="F1910" i="1"/>
  <c r="B1910" i="1"/>
  <c r="F1909" i="1"/>
  <c r="B1909" i="1"/>
  <c r="F1908" i="1"/>
  <c r="B1908" i="1"/>
  <c r="F1907" i="1"/>
  <c r="B1907" i="1"/>
  <c r="F1906" i="1"/>
  <c r="B1906" i="1"/>
  <c r="F1905" i="1"/>
  <c r="B1905" i="1"/>
  <c r="F1904" i="1"/>
  <c r="B1904" i="1"/>
  <c r="F1903" i="1"/>
  <c r="B1903" i="1"/>
  <c r="F1902" i="1"/>
  <c r="B1902" i="1"/>
  <c r="F1901" i="1"/>
  <c r="B1901" i="1"/>
  <c r="F1900" i="1"/>
  <c r="B1900" i="1"/>
  <c r="F1899" i="1"/>
  <c r="B1899" i="1"/>
  <c r="F1898" i="1"/>
  <c r="B1898" i="1"/>
  <c r="F1897" i="1"/>
  <c r="B1897" i="1"/>
  <c r="F1896" i="1"/>
  <c r="B1896" i="1"/>
  <c r="F1895" i="1"/>
  <c r="B1895" i="1"/>
  <c r="F1894" i="1"/>
  <c r="B1894" i="1"/>
  <c r="F1893" i="1"/>
  <c r="B1893" i="1"/>
  <c r="F1892" i="1"/>
  <c r="B1892" i="1"/>
  <c r="F1891" i="1"/>
  <c r="B1891" i="1"/>
  <c r="F1890" i="1"/>
  <c r="B1890" i="1"/>
  <c r="F1889" i="1"/>
  <c r="B1889" i="1"/>
  <c r="F1888" i="1"/>
  <c r="B1888" i="1"/>
  <c r="F1887" i="1"/>
  <c r="B1887" i="1"/>
  <c r="F1886" i="1"/>
  <c r="B1886" i="1"/>
  <c r="F1885" i="1"/>
  <c r="B1885" i="1"/>
  <c r="F1884" i="1"/>
  <c r="B1884" i="1"/>
  <c r="F1883" i="1"/>
  <c r="B1883" i="1"/>
  <c r="F1882" i="1"/>
  <c r="B1882" i="1"/>
  <c r="F1881" i="1"/>
  <c r="B1881" i="1"/>
  <c r="F1880" i="1"/>
  <c r="B1880" i="1"/>
  <c r="F1879" i="1"/>
  <c r="B1879" i="1"/>
  <c r="F1878" i="1"/>
  <c r="B1878" i="1"/>
  <c r="F1877" i="1"/>
  <c r="B1877" i="1"/>
  <c r="F1876" i="1"/>
  <c r="B1876" i="1"/>
  <c r="F1875" i="1"/>
  <c r="B1875" i="1"/>
  <c r="F1874" i="1"/>
  <c r="B1874" i="1"/>
  <c r="F1873" i="1"/>
  <c r="B1873" i="1"/>
  <c r="F1872" i="1"/>
  <c r="B1872" i="1"/>
  <c r="F1871" i="1"/>
  <c r="B1871" i="1"/>
  <c r="F1870" i="1"/>
  <c r="B1870" i="1"/>
  <c r="F1869" i="1"/>
  <c r="B1869" i="1"/>
  <c r="F1868" i="1"/>
  <c r="B1868" i="1"/>
  <c r="F1867" i="1"/>
  <c r="B1867" i="1"/>
  <c r="F1866" i="1"/>
  <c r="B1866" i="1"/>
  <c r="F1865" i="1"/>
  <c r="B1865" i="1"/>
  <c r="F1864" i="1"/>
  <c r="B1864" i="1"/>
  <c r="F1863" i="1"/>
  <c r="B1863" i="1"/>
  <c r="F1862" i="1"/>
  <c r="B1862" i="1"/>
  <c r="F1861" i="1"/>
  <c r="B1861" i="1"/>
  <c r="F1860" i="1"/>
  <c r="B1860" i="1"/>
  <c r="F1859" i="1"/>
  <c r="B1859" i="1"/>
  <c r="F1858" i="1"/>
  <c r="B1858" i="1"/>
  <c r="F1857" i="1"/>
  <c r="B1857" i="1"/>
  <c r="F1856" i="1"/>
  <c r="B1856" i="1"/>
  <c r="F1855" i="1"/>
  <c r="B1855" i="1"/>
  <c r="F1854" i="1"/>
  <c r="B1854" i="1"/>
  <c r="F1853" i="1"/>
  <c r="B1853" i="1"/>
  <c r="F1852" i="1"/>
  <c r="B1852" i="1"/>
  <c r="F1851" i="1"/>
  <c r="B1851" i="1"/>
  <c r="F1850" i="1"/>
  <c r="B1850" i="1"/>
  <c r="F1849" i="1"/>
  <c r="B1849" i="1"/>
  <c r="F1848" i="1"/>
  <c r="B1848" i="1"/>
  <c r="F1847" i="1"/>
  <c r="B1847" i="1"/>
  <c r="F1846" i="1"/>
  <c r="B1846" i="1"/>
  <c r="F1845" i="1"/>
  <c r="B1845" i="1"/>
  <c r="F1844" i="1"/>
  <c r="B1844" i="1"/>
  <c r="F1843" i="1"/>
  <c r="B1843" i="1"/>
  <c r="F1842" i="1"/>
  <c r="B1842" i="1"/>
  <c r="F1841" i="1"/>
  <c r="B1841" i="1"/>
  <c r="F1840" i="1"/>
  <c r="B1840" i="1"/>
  <c r="F1839" i="1"/>
  <c r="B1839" i="1"/>
  <c r="F1838" i="1"/>
  <c r="B1838" i="1"/>
  <c r="F1837" i="1"/>
  <c r="B1837" i="1"/>
  <c r="F1836" i="1"/>
  <c r="B1836" i="1"/>
  <c r="F1835" i="1"/>
  <c r="B1835" i="1"/>
  <c r="F1834" i="1"/>
  <c r="B1834" i="1"/>
  <c r="F1833" i="1"/>
  <c r="B1833" i="1"/>
  <c r="F1832" i="1"/>
  <c r="B1832" i="1"/>
  <c r="F1831" i="1"/>
  <c r="B1831" i="1"/>
  <c r="F1830" i="1"/>
  <c r="B1830" i="1"/>
  <c r="F1829" i="1"/>
  <c r="B1829" i="1"/>
  <c r="F1828" i="1"/>
  <c r="B1828" i="1"/>
  <c r="F1827" i="1"/>
  <c r="B1827" i="1"/>
  <c r="F1826" i="1"/>
  <c r="B1826" i="1"/>
  <c r="F1825" i="1"/>
  <c r="B1825" i="1"/>
  <c r="F1824" i="1"/>
  <c r="B1824" i="1"/>
  <c r="F1823" i="1"/>
  <c r="B1823" i="1"/>
  <c r="F1822" i="1"/>
  <c r="B1822" i="1"/>
  <c r="F1821" i="1"/>
  <c r="B1821" i="1"/>
  <c r="F1820" i="1"/>
  <c r="B1820" i="1"/>
  <c r="F1819" i="1"/>
  <c r="B1819" i="1"/>
  <c r="F1818" i="1"/>
  <c r="B1818" i="1"/>
  <c r="F1817" i="1"/>
  <c r="B1817" i="1"/>
  <c r="F1816" i="1"/>
  <c r="B1816" i="1"/>
  <c r="F1815" i="1"/>
  <c r="B1815" i="1"/>
  <c r="F1814" i="1"/>
  <c r="B1814" i="1"/>
  <c r="F1813" i="1"/>
  <c r="B1813" i="1"/>
  <c r="F1812" i="1"/>
  <c r="B1812" i="1"/>
  <c r="F1811" i="1"/>
  <c r="B1811" i="1"/>
  <c r="F1810" i="1"/>
  <c r="B1810" i="1"/>
  <c r="F1809" i="1"/>
  <c r="B1809" i="1"/>
  <c r="F1808" i="1"/>
  <c r="B1808" i="1"/>
  <c r="F1807" i="1"/>
  <c r="B1807" i="1"/>
  <c r="F1806" i="1"/>
  <c r="B1806" i="1"/>
  <c r="F1805" i="1"/>
  <c r="B1805" i="1"/>
  <c r="F1804" i="1"/>
  <c r="B1804" i="1"/>
  <c r="F1803" i="1"/>
  <c r="B1803" i="1"/>
  <c r="F1802" i="1"/>
  <c r="B1802" i="1"/>
  <c r="F1801" i="1"/>
  <c r="B1801" i="1"/>
  <c r="F1800" i="1"/>
  <c r="B1800" i="1"/>
  <c r="F1799" i="1"/>
  <c r="B1799" i="1"/>
  <c r="F1798" i="1"/>
  <c r="B1798" i="1"/>
  <c r="F1797" i="1"/>
  <c r="B1797" i="1"/>
  <c r="F1796" i="1"/>
  <c r="B1796" i="1"/>
  <c r="F1795" i="1"/>
  <c r="B1795" i="1"/>
  <c r="F1794" i="1"/>
  <c r="B1794" i="1"/>
  <c r="F1793" i="1"/>
  <c r="B1793" i="1"/>
  <c r="F1792" i="1"/>
  <c r="B1792" i="1"/>
  <c r="F1791" i="1"/>
  <c r="B1791" i="1"/>
  <c r="F1790" i="1"/>
  <c r="B1790" i="1"/>
  <c r="F1789" i="1"/>
  <c r="B1789" i="1"/>
  <c r="F1788" i="1"/>
  <c r="B1788" i="1"/>
  <c r="F1787" i="1"/>
  <c r="B1787" i="1"/>
  <c r="F1786" i="1"/>
  <c r="B1786" i="1"/>
  <c r="F1785" i="1"/>
  <c r="B1785" i="1"/>
  <c r="F1784" i="1"/>
  <c r="B1784" i="1"/>
  <c r="F1783" i="1"/>
  <c r="B1783" i="1"/>
  <c r="F1782" i="1"/>
  <c r="B1782" i="1"/>
  <c r="F1781" i="1"/>
  <c r="B1781" i="1"/>
  <c r="F1780" i="1"/>
  <c r="B1780" i="1"/>
  <c r="F1779" i="1"/>
  <c r="B1779" i="1"/>
  <c r="F1778" i="1"/>
  <c r="B1778" i="1"/>
  <c r="F1777" i="1"/>
  <c r="B1777" i="1"/>
  <c r="F1776" i="1"/>
  <c r="B1776" i="1"/>
  <c r="F1775" i="1"/>
  <c r="B1775" i="1"/>
  <c r="F1774" i="1"/>
  <c r="F1773" i="1"/>
  <c r="B1773" i="1"/>
  <c r="F1772" i="1"/>
  <c r="B1772" i="1"/>
  <c r="F1771" i="1"/>
  <c r="F1770" i="1"/>
  <c r="B1770" i="1"/>
  <c r="F1769" i="1"/>
  <c r="B1769" i="1"/>
  <c r="F1768" i="1"/>
  <c r="B1768" i="1"/>
  <c r="F1767" i="1"/>
  <c r="B1767" i="1"/>
  <c r="F1766" i="1"/>
  <c r="B1766" i="1"/>
  <c r="F1765" i="1"/>
  <c r="B1765" i="1"/>
  <c r="F1764" i="1"/>
  <c r="B1764" i="1"/>
  <c r="F1763" i="1"/>
  <c r="B1763" i="1"/>
  <c r="F1762" i="1"/>
  <c r="B1762" i="1"/>
  <c r="F1761" i="1"/>
  <c r="B1761" i="1"/>
  <c r="F1760" i="1"/>
  <c r="B1760" i="1"/>
  <c r="F1759" i="1"/>
  <c r="B1759" i="1"/>
  <c r="F1758" i="1"/>
  <c r="B1758" i="1"/>
  <c r="F1757" i="1"/>
  <c r="B1757" i="1"/>
  <c r="F1756" i="1"/>
  <c r="B1756" i="1"/>
  <c r="F1755" i="1"/>
  <c r="B1755" i="1"/>
  <c r="F1754" i="1"/>
  <c r="B1754" i="1"/>
  <c r="F1753" i="1"/>
  <c r="B1753" i="1"/>
  <c r="F1752" i="1"/>
  <c r="B1752" i="1"/>
  <c r="F1751" i="1"/>
  <c r="B1751" i="1"/>
  <c r="F1750" i="1"/>
  <c r="B1750" i="1"/>
  <c r="F1749" i="1"/>
  <c r="B1749" i="1"/>
  <c r="F1748" i="1"/>
  <c r="B1748" i="1"/>
  <c r="F1747" i="1"/>
  <c r="B1747" i="1"/>
  <c r="F1746" i="1"/>
  <c r="B1746" i="1"/>
  <c r="F1745" i="1"/>
  <c r="B1745" i="1"/>
  <c r="F1744" i="1"/>
  <c r="B1744" i="1"/>
  <c r="F1743" i="1"/>
  <c r="B1743" i="1"/>
  <c r="F1742" i="1"/>
  <c r="B1742" i="1"/>
  <c r="F1741" i="1"/>
  <c r="B1741" i="1"/>
  <c r="F1740" i="1"/>
  <c r="B1740" i="1"/>
  <c r="F1739" i="1"/>
  <c r="B1739" i="1"/>
  <c r="F1738" i="1"/>
  <c r="B1738" i="1"/>
  <c r="F1737" i="1"/>
  <c r="B1737" i="1"/>
  <c r="F1736" i="1"/>
  <c r="B1736" i="1"/>
  <c r="F1735" i="1"/>
  <c r="B1735" i="1"/>
  <c r="F1734" i="1"/>
  <c r="B1734" i="1"/>
  <c r="F1733" i="1"/>
  <c r="B1733" i="1"/>
  <c r="F1732" i="1"/>
  <c r="B1732" i="1"/>
  <c r="F1731" i="1"/>
  <c r="B1731" i="1"/>
  <c r="F1730" i="1"/>
  <c r="B1730" i="1"/>
  <c r="F1729" i="1"/>
  <c r="B1729" i="1"/>
  <c r="F1728" i="1"/>
  <c r="B1728" i="1"/>
  <c r="F1727" i="1"/>
  <c r="B1727" i="1"/>
  <c r="F1726" i="1"/>
  <c r="B1726" i="1"/>
  <c r="F1725" i="1"/>
  <c r="B1725" i="1"/>
  <c r="F1724" i="1"/>
  <c r="B1724" i="1"/>
  <c r="F1723" i="1"/>
  <c r="B1723" i="1"/>
  <c r="F1722" i="1"/>
  <c r="B1722" i="1"/>
  <c r="F1721" i="1"/>
  <c r="B1721" i="1"/>
  <c r="F1720" i="1"/>
  <c r="B1720" i="1"/>
  <c r="F1719" i="1"/>
  <c r="B1719" i="1"/>
  <c r="F1718" i="1"/>
  <c r="B1718" i="1"/>
  <c r="F1717" i="1"/>
  <c r="B1717" i="1"/>
  <c r="F1716" i="1"/>
  <c r="B1716" i="1"/>
  <c r="F1715" i="1"/>
  <c r="B1715" i="1"/>
  <c r="F1714" i="1"/>
  <c r="B1714" i="1"/>
  <c r="F1713" i="1"/>
  <c r="B1713" i="1"/>
  <c r="F1712" i="1"/>
  <c r="F1711" i="1"/>
  <c r="F1710" i="1"/>
  <c r="B1710" i="1"/>
  <c r="F1709" i="1"/>
  <c r="B1709" i="1"/>
  <c r="F1708" i="1"/>
  <c r="B1708" i="1"/>
  <c r="F1707" i="1"/>
  <c r="B1707" i="1"/>
  <c r="F1706" i="1"/>
  <c r="B1706" i="1"/>
  <c r="F1705" i="1"/>
  <c r="B1705" i="1"/>
  <c r="F1704" i="1"/>
  <c r="B1704" i="1"/>
  <c r="F1703" i="1"/>
  <c r="B1703" i="1"/>
  <c r="F1702" i="1"/>
  <c r="B1702" i="1"/>
  <c r="F1701" i="1"/>
  <c r="B1701" i="1"/>
  <c r="F1700" i="1"/>
  <c r="B1700" i="1"/>
  <c r="F1699" i="1"/>
  <c r="B1699" i="1"/>
  <c r="F1698" i="1"/>
  <c r="B1698" i="1"/>
  <c r="F1697" i="1"/>
  <c r="B1697" i="1"/>
  <c r="F1696" i="1"/>
  <c r="B1696" i="1"/>
  <c r="F1695" i="1"/>
  <c r="B1695" i="1"/>
  <c r="F1694" i="1"/>
  <c r="B1694" i="1"/>
  <c r="F1693" i="1"/>
  <c r="B1693" i="1"/>
  <c r="F1692" i="1"/>
  <c r="B1692" i="1"/>
  <c r="F1691" i="1"/>
  <c r="B1691" i="1"/>
  <c r="F1690" i="1"/>
  <c r="B1690" i="1"/>
  <c r="F1689" i="1"/>
  <c r="B1689" i="1"/>
  <c r="F1688" i="1"/>
  <c r="B1688" i="1"/>
  <c r="F1687" i="1"/>
  <c r="B1687" i="1"/>
  <c r="F1686" i="1"/>
  <c r="B1686" i="1"/>
  <c r="F1685" i="1"/>
  <c r="B1685" i="1"/>
  <c r="F1684" i="1"/>
  <c r="B1684" i="1"/>
  <c r="F1683" i="1"/>
  <c r="B1683" i="1"/>
  <c r="F1682" i="1"/>
  <c r="B1682" i="1"/>
  <c r="F1681" i="1"/>
  <c r="B1681" i="1"/>
  <c r="F1680" i="1"/>
  <c r="B1680" i="1"/>
  <c r="F1679" i="1"/>
  <c r="B1679" i="1"/>
  <c r="F1678" i="1"/>
  <c r="B1678" i="1"/>
  <c r="F1677" i="1"/>
  <c r="B1677" i="1"/>
  <c r="F1676" i="1"/>
  <c r="B1676" i="1"/>
  <c r="F1675" i="1"/>
  <c r="B1675" i="1"/>
  <c r="F1674" i="1"/>
  <c r="B1674" i="1"/>
  <c r="F1673" i="1"/>
  <c r="B1673" i="1"/>
  <c r="F1672" i="1"/>
  <c r="B1672" i="1"/>
  <c r="F1671" i="1"/>
  <c r="B1671" i="1"/>
  <c r="F1670" i="1"/>
  <c r="B1670" i="1"/>
  <c r="F1669" i="1"/>
  <c r="B1669" i="1"/>
  <c r="F1668" i="1"/>
  <c r="B1668" i="1"/>
  <c r="F1667" i="1"/>
  <c r="B1667" i="1"/>
  <c r="F1666" i="1"/>
  <c r="B1666" i="1"/>
  <c r="F1665" i="1"/>
  <c r="B1665" i="1"/>
  <c r="F1664" i="1"/>
  <c r="B1664" i="1"/>
  <c r="F1663" i="1"/>
  <c r="B1663" i="1"/>
  <c r="F1662" i="1"/>
  <c r="B1662" i="1"/>
  <c r="F1661" i="1"/>
  <c r="B1661" i="1"/>
  <c r="F1660" i="1"/>
  <c r="B1660" i="1"/>
  <c r="F1659" i="1"/>
  <c r="B1659" i="1"/>
  <c r="F1658" i="1"/>
  <c r="B1658" i="1"/>
  <c r="F1657" i="1"/>
  <c r="B1657" i="1"/>
  <c r="F1656" i="1"/>
  <c r="B1656" i="1"/>
  <c r="F1655" i="1"/>
  <c r="B1655" i="1"/>
  <c r="F1654" i="1"/>
  <c r="B1654" i="1"/>
  <c r="F1653" i="1"/>
  <c r="B1653" i="1"/>
  <c r="F1652" i="1"/>
  <c r="B1652" i="1"/>
  <c r="F1651" i="1"/>
  <c r="B1651" i="1"/>
  <c r="F1650" i="1"/>
  <c r="B1650" i="1"/>
  <c r="F1649" i="1"/>
  <c r="B1649" i="1"/>
  <c r="F1648" i="1"/>
  <c r="B1648" i="1"/>
  <c r="F1647" i="1"/>
  <c r="B1647" i="1"/>
  <c r="F1646" i="1"/>
  <c r="B1646" i="1"/>
  <c r="F1645" i="1"/>
  <c r="B1645" i="1"/>
  <c r="F1644" i="1"/>
  <c r="B1644" i="1"/>
  <c r="F1643" i="1"/>
  <c r="B1643" i="1"/>
  <c r="F1642" i="1"/>
  <c r="B1642" i="1"/>
  <c r="F1641" i="1"/>
  <c r="B1641" i="1"/>
  <c r="F1640" i="1"/>
  <c r="B1640" i="1"/>
  <c r="F1639" i="1"/>
  <c r="B1639" i="1"/>
  <c r="F1638" i="1"/>
  <c r="B1638" i="1"/>
  <c r="F1637" i="1"/>
  <c r="B1637" i="1"/>
  <c r="F1636" i="1"/>
  <c r="B1636" i="1"/>
  <c r="F1635" i="1"/>
  <c r="B1635" i="1"/>
  <c r="F1634" i="1"/>
  <c r="B1634" i="1"/>
  <c r="F1633" i="1"/>
  <c r="B1633" i="1"/>
  <c r="F1632" i="1"/>
  <c r="B1632" i="1"/>
  <c r="F1631" i="1"/>
  <c r="B1631" i="1"/>
  <c r="F1630" i="1"/>
  <c r="B1630" i="1"/>
  <c r="F1629" i="1"/>
  <c r="B1629" i="1"/>
  <c r="F1628" i="1"/>
  <c r="B1628" i="1"/>
  <c r="F1627" i="1"/>
  <c r="B1627" i="1"/>
  <c r="F1626" i="1"/>
  <c r="B1626" i="1"/>
  <c r="F1625" i="1"/>
  <c r="B1625" i="1"/>
  <c r="F1624" i="1"/>
  <c r="B1624" i="1"/>
  <c r="F1623" i="1"/>
  <c r="B1623" i="1"/>
  <c r="F1622" i="1"/>
  <c r="B1622" i="1"/>
  <c r="F1621" i="1"/>
  <c r="B1621" i="1"/>
  <c r="F1620" i="1"/>
  <c r="B1620" i="1"/>
  <c r="F1619" i="1"/>
  <c r="B1619" i="1"/>
  <c r="F1618" i="1"/>
  <c r="B1618" i="1"/>
  <c r="F1617" i="1"/>
  <c r="B1617" i="1"/>
  <c r="F1616" i="1"/>
  <c r="B1616" i="1"/>
  <c r="F1615" i="1"/>
  <c r="B1615" i="1"/>
  <c r="F1614" i="1"/>
  <c r="B1614" i="1"/>
  <c r="F1613" i="1"/>
  <c r="B1613" i="1"/>
  <c r="F1612" i="1"/>
  <c r="B1612" i="1"/>
  <c r="F1611" i="1"/>
  <c r="B1611" i="1"/>
  <c r="F1610" i="1"/>
  <c r="B1610" i="1"/>
  <c r="F1609" i="1"/>
  <c r="B1609" i="1"/>
  <c r="F1608" i="1"/>
  <c r="B1608" i="1"/>
  <c r="F1607" i="1"/>
  <c r="B1607" i="1"/>
  <c r="F1606" i="1"/>
  <c r="B1606" i="1"/>
  <c r="F1605" i="1"/>
  <c r="B1605" i="1"/>
  <c r="F1604" i="1"/>
  <c r="B1604" i="1"/>
  <c r="F1603" i="1"/>
  <c r="B1603" i="1"/>
  <c r="F1602" i="1"/>
  <c r="B1602" i="1"/>
  <c r="F1601" i="1"/>
  <c r="B1601" i="1"/>
  <c r="F1600" i="1"/>
  <c r="B1600" i="1"/>
  <c r="F1599" i="1"/>
  <c r="B1599" i="1"/>
  <c r="F1598" i="1"/>
  <c r="B1598" i="1"/>
  <c r="F1597" i="1"/>
  <c r="B1597" i="1"/>
  <c r="F1596" i="1"/>
  <c r="B1596" i="1"/>
  <c r="F1595" i="1"/>
  <c r="B1595" i="1"/>
  <c r="F1594" i="1"/>
  <c r="B1594" i="1"/>
  <c r="F1593" i="1"/>
  <c r="B1593" i="1"/>
  <c r="F1592" i="1"/>
  <c r="B1592" i="1"/>
  <c r="F1591" i="1"/>
  <c r="B1591" i="1"/>
  <c r="F1590" i="1"/>
  <c r="B1590" i="1"/>
  <c r="F1589" i="1"/>
  <c r="B1589" i="1"/>
  <c r="F1588" i="1"/>
  <c r="B1588" i="1"/>
  <c r="F1587" i="1"/>
  <c r="B1587" i="1"/>
  <c r="F1586" i="1"/>
  <c r="B1586" i="1"/>
  <c r="F1585" i="1"/>
  <c r="B1585" i="1"/>
  <c r="F1584" i="1"/>
  <c r="B1584" i="1"/>
  <c r="F1583" i="1"/>
  <c r="B1583" i="1"/>
  <c r="F1582" i="1"/>
  <c r="B1582" i="1"/>
  <c r="F1581" i="1"/>
  <c r="B1581" i="1"/>
  <c r="F1580" i="1"/>
  <c r="B1580" i="1"/>
  <c r="F1579" i="1"/>
  <c r="B1579" i="1"/>
  <c r="F1578" i="1"/>
  <c r="B1578" i="1"/>
  <c r="F1577" i="1"/>
  <c r="B1577" i="1"/>
  <c r="F1576" i="1"/>
  <c r="B1576" i="1"/>
  <c r="F1575" i="1"/>
  <c r="B1575" i="1"/>
  <c r="F1574" i="1"/>
  <c r="B1574" i="1"/>
  <c r="F1573" i="1"/>
  <c r="B1573" i="1"/>
  <c r="F1572" i="1"/>
  <c r="B1572" i="1"/>
  <c r="F1571" i="1"/>
  <c r="B1571" i="1"/>
  <c r="F1570" i="1"/>
  <c r="B1570" i="1"/>
  <c r="F1569" i="1"/>
  <c r="B1569" i="1"/>
  <c r="F1568" i="1"/>
  <c r="B1568" i="1"/>
  <c r="F1567" i="1"/>
  <c r="B1567" i="1"/>
  <c r="F1566" i="1"/>
  <c r="B1566" i="1"/>
  <c r="F1565" i="1"/>
  <c r="B1565" i="1"/>
  <c r="F1564" i="1"/>
  <c r="B1564" i="1"/>
  <c r="F1563" i="1"/>
  <c r="B1563" i="1"/>
  <c r="F1562" i="1"/>
  <c r="B1562" i="1"/>
  <c r="F1561" i="1"/>
  <c r="B1561" i="1"/>
  <c r="F1560" i="1"/>
  <c r="B1560" i="1"/>
  <c r="F1559" i="1"/>
  <c r="B1559" i="1"/>
  <c r="F1558" i="1"/>
  <c r="B1558" i="1"/>
  <c r="F1557" i="1"/>
  <c r="B1557" i="1"/>
  <c r="F1556" i="1"/>
  <c r="B1556" i="1"/>
  <c r="F1555" i="1"/>
  <c r="B1555" i="1"/>
  <c r="F1554" i="1"/>
  <c r="B1554" i="1"/>
  <c r="F1553" i="1"/>
  <c r="B1553" i="1"/>
  <c r="F1552" i="1"/>
  <c r="B1552" i="1"/>
  <c r="F1551" i="1"/>
  <c r="B1551" i="1"/>
  <c r="F1550" i="1"/>
  <c r="B1550" i="1"/>
  <c r="F1549" i="1"/>
  <c r="B1549" i="1"/>
  <c r="F1548" i="1"/>
  <c r="B1548" i="1"/>
  <c r="F1547" i="1"/>
  <c r="B1547" i="1"/>
  <c r="F1546" i="1"/>
  <c r="B1546" i="1"/>
  <c r="F1545" i="1"/>
  <c r="B1545" i="1"/>
  <c r="F1544" i="1"/>
  <c r="B1544" i="1"/>
  <c r="F1543" i="1"/>
  <c r="B1543" i="1"/>
  <c r="F1542" i="1"/>
  <c r="B1542" i="1"/>
  <c r="F1541" i="1"/>
  <c r="B1541" i="1"/>
  <c r="F1540" i="1"/>
  <c r="B1540" i="1"/>
  <c r="F1539" i="1"/>
  <c r="B1539" i="1"/>
  <c r="F1538" i="1"/>
  <c r="B1538" i="1"/>
  <c r="F1537" i="1"/>
  <c r="B1537" i="1"/>
  <c r="F1536" i="1"/>
  <c r="B1536" i="1"/>
  <c r="F1535" i="1"/>
  <c r="B1535" i="1"/>
  <c r="F1534" i="1"/>
  <c r="B1534" i="1"/>
  <c r="F1533" i="1"/>
  <c r="B1533" i="1"/>
  <c r="F1532" i="1"/>
  <c r="B1532" i="1"/>
  <c r="F1531" i="1"/>
  <c r="B1531" i="1"/>
  <c r="F1530" i="1"/>
  <c r="B1530" i="1"/>
  <c r="F1529" i="1"/>
  <c r="B1529" i="1"/>
  <c r="F1528" i="1"/>
  <c r="B1528" i="1"/>
  <c r="F1527" i="1"/>
  <c r="B1527" i="1"/>
  <c r="F1526" i="1"/>
  <c r="B1526" i="1"/>
  <c r="F1525" i="1"/>
  <c r="B1525" i="1"/>
  <c r="F1524" i="1"/>
  <c r="B1524" i="1"/>
  <c r="F1523" i="1"/>
  <c r="B1523" i="1"/>
  <c r="F1522" i="1"/>
  <c r="B1522" i="1"/>
  <c r="F1521" i="1"/>
  <c r="B1521" i="1"/>
  <c r="F1520" i="1"/>
  <c r="B1520" i="1"/>
  <c r="F1519" i="1"/>
  <c r="B1519" i="1"/>
  <c r="F1518" i="1"/>
  <c r="B1518" i="1"/>
  <c r="F1517" i="1"/>
  <c r="B1517" i="1"/>
  <c r="F1516" i="1"/>
  <c r="B1516" i="1"/>
  <c r="F1515" i="1"/>
  <c r="B1515" i="1"/>
  <c r="F1514" i="1"/>
  <c r="B1514" i="1"/>
  <c r="F1513" i="1"/>
  <c r="B1513" i="1"/>
  <c r="F1512" i="1"/>
  <c r="B1512" i="1"/>
  <c r="F1511" i="1"/>
  <c r="B1511" i="1"/>
  <c r="F1510" i="1"/>
  <c r="B1510" i="1"/>
  <c r="F1509" i="1"/>
  <c r="B1509" i="1"/>
  <c r="F1508" i="1"/>
  <c r="B1508" i="1"/>
  <c r="F1507" i="1"/>
  <c r="B1507" i="1"/>
  <c r="F1506" i="1"/>
  <c r="B1506" i="1"/>
  <c r="F1505" i="1"/>
  <c r="B1505" i="1"/>
  <c r="F1504" i="1"/>
  <c r="B1504" i="1"/>
  <c r="F1503" i="1"/>
  <c r="B1503" i="1"/>
  <c r="F1502" i="1"/>
  <c r="B1502" i="1"/>
  <c r="F1501" i="1"/>
  <c r="B1501" i="1"/>
  <c r="F1500" i="1"/>
  <c r="B1500" i="1"/>
  <c r="F1499" i="1"/>
  <c r="B1499" i="1"/>
  <c r="F1498" i="1"/>
  <c r="B1498" i="1"/>
  <c r="F1497" i="1"/>
  <c r="B1497" i="1"/>
  <c r="F1496" i="1"/>
  <c r="B1496" i="1"/>
  <c r="F1495" i="1"/>
  <c r="B1495" i="1"/>
  <c r="F1494" i="1"/>
  <c r="B1494" i="1"/>
  <c r="F1493" i="1"/>
  <c r="B1493" i="1"/>
  <c r="F1492" i="1"/>
  <c r="B1492" i="1"/>
  <c r="F1491" i="1"/>
  <c r="B1491" i="1"/>
  <c r="F1490" i="1"/>
  <c r="B1490" i="1"/>
  <c r="F1489" i="1"/>
  <c r="B1489" i="1"/>
  <c r="F1488" i="1"/>
  <c r="B1488" i="1"/>
  <c r="F1487" i="1"/>
  <c r="B1487" i="1"/>
  <c r="F1486" i="1"/>
  <c r="B1486" i="1"/>
  <c r="F1485" i="1"/>
  <c r="B1485" i="1"/>
  <c r="F1484" i="1"/>
  <c r="B1484" i="1"/>
  <c r="F1483" i="1"/>
  <c r="B1483" i="1"/>
  <c r="F1482" i="1"/>
  <c r="B1482" i="1"/>
  <c r="F1481" i="1"/>
  <c r="B1481" i="1"/>
  <c r="F1480" i="1"/>
  <c r="B1480" i="1"/>
  <c r="F1479" i="1"/>
  <c r="B1479" i="1"/>
  <c r="F1478" i="1"/>
  <c r="B1478" i="1"/>
  <c r="F1477" i="1"/>
  <c r="B1477" i="1"/>
  <c r="F1476" i="1"/>
  <c r="B1476" i="1"/>
  <c r="F1475" i="1"/>
  <c r="B1475" i="1"/>
  <c r="F1474" i="1"/>
  <c r="B1474" i="1"/>
  <c r="F1473" i="1"/>
  <c r="B1473" i="1"/>
  <c r="F1472" i="1"/>
  <c r="B1472" i="1"/>
  <c r="F1471" i="1"/>
  <c r="B1471" i="1"/>
  <c r="F1470" i="1"/>
  <c r="B1470" i="1"/>
  <c r="F1469" i="1"/>
  <c r="B1469" i="1"/>
  <c r="F1468" i="1"/>
  <c r="B1468" i="1"/>
  <c r="F1467" i="1"/>
  <c r="B1467" i="1"/>
  <c r="F1466" i="1"/>
  <c r="B1466" i="1"/>
  <c r="F1465" i="1"/>
  <c r="B1465" i="1"/>
  <c r="F1464" i="1"/>
  <c r="B1464" i="1"/>
  <c r="F1463" i="1"/>
  <c r="B1463" i="1"/>
  <c r="F1462" i="1"/>
  <c r="B1462" i="1"/>
  <c r="F1461" i="1"/>
  <c r="B1461" i="1"/>
  <c r="F1460" i="1"/>
  <c r="B1460" i="1"/>
  <c r="F1459" i="1"/>
  <c r="B1459" i="1"/>
  <c r="F1458" i="1"/>
  <c r="B1458" i="1"/>
  <c r="F1457" i="1"/>
  <c r="B1457" i="1"/>
  <c r="F1456" i="1"/>
  <c r="B1456" i="1"/>
  <c r="F1455" i="1"/>
  <c r="B1455" i="1"/>
  <c r="F1454" i="1"/>
  <c r="B1454" i="1"/>
  <c r="F1453" i="1"/>
  <c r="B1453" i="1"/>
  <c r="F1452" i="1"/>
  <c r="B1452" i="1"/>
  <c r="F1451" i="1"/>
  <c r="B1451" i="1"/>
  <c r="F1450" i="1"/>
  <c r="B1450" i="1"/>
  <c r="F1449" i="1"/>
  <c r="B1449" i="1"/>
  <c r="F1448" i="1"/>
  <c r="B1448" i="1"/>
  <c r="F1447" i="1"/>
  <c r="B1447" i="1"/>
  <c r="F1446" i="1"/>
  <c r="B1446" i="1"/>
  <c r="F1445" i="1"/>
  <c r="B1445" i="1"/>
  <c r="F1444" i="1"/>
  <c r="B1444" i="1"/>
  <c r="F1443" i="1"/>
  <c r="B1443" i="1"/>
  <c r="F1442" i="1"/>
  <c r="B1442" i="1"/>
  <c r="F1441" i="1"/>
  <c r="B1441" i="1"/>
  <c r="F1440" i="1"/>
  <c r="B1440" i="1"/>
  <c r="F1439" i="1"/>
  <c r="B1439" i="1"/>
  <c r="F1438" i="1"/>
  <c r="B1438" i="1"/>
  <c r="F1437" i="1"/>
  <c r="B1437" i="1"/>
  <c r="F1436" i="1"/>
  <c r="B1436" i="1"/>
  <c r="F1435" i="1"/>
  <c r="B1435" i="1"/>
  <c r="F1434" i="1"/>
  <c r="B1434" i="1"/>
  <c r="F1433" i="1"/>
  <c r="B1433" i="1"/>
  <c r="F1432" i="1"/>
  <c r="B1432" i="1"/>
  <c r="F1431" i="1"/>
  <c r="B1431" i="1"/>
  <c r="F1430" i="1"/>
  <c r="B1430" i="1"/>
  <c r="F1429" i="1"/>
  <c r="B1429" i="1"/>
  <c r="F1428" i="1"/>
  <c r="B1428" i="1"/>
  <c r="F1427" i="1"/>
  <c r="B1427" i="1"/>
  <c r="F1426" i="1"/>
  <c r="B1426" i="1"/>
  <c r="F1425" i="1"/>
  <c r="B1425" i="1"/>
  <c r="F1424" i="1"/>
  <c r="B1424" i="1"/>
  <c r="F1423" i="1"/>
  <c r="B1423" i="1"/>
  <c r="F1422" i="1"/>
  <c r="B1422" i="1"/>
  <c r="F1421" i="1"/>
  <c r="B1421" i="1"/>
  <c r="F1420" i="1"/>
  <c r="B1420" i="1"/>
  <c r="F1419" i="1"/>
  <c r="B1419" i="1"/>
  <c r="F1418" i="1"/>
  <c r="B1418" i="1"/>
  <c r="F1417" i="1"/>
  <c r="B1417" i="1"/>
  <c r="F1416" i="1"/>
  <c r="B1416" i="1"/>
  <c r="F1415" i="1"/>
  <c r="B1415" i="1"/>
  <c r="F1414" i="1"/>
  <c r="B1414" i="1"/>
  <c r="F1413" i="1"/>
  <c r="B1413" i="1"/>
  <c r="F1412" i="1"/>
  <c r="B1412" i="1"/>
  <c r="F1411" i="1"/>
  <c r="B1411" i="1"/>
  <c r="F1410" i="1"/>
  <c r="B1410" i="1"/>
  <c r="F1409" i="1"/>
  <c r="B1409" i="1"/>
  <c r="F1408" i="1"/>
  <c r="B1408" i="1"/>
  <c r="F1407" i="1"/>
  <c r="B1407" i="1"/>
  <c r="F1406" i="1"/>
  <c r="B1406" i="1"/>
  <c r="F1405" i="1"/>
  <c r="B1405" i="1"/>
  <c r="F1404" i="1"/>
  <c r="B1404" i="1"/>
  <c r="F1403" i="1"/>
  <c r="B1403" i="1"/>
  <c r="F1402" i="1"/>
  <c r="B1402" i="1"/>
  <c r="F1401" i="1"/>
  <c r="B1401" i="1"/>
  <c r="F1400" i="1"/>
  <c r="B1400" i="1"/>
  <c r="F1399" i="1"/>
  <c r="B1399" i="1"/>
  <c r="F1398" i="1"/>
  <c r="B1398" i="1"/>
  <c r="F1397" i="1"/>
  <c r="B1397" i="1"/>
  <c r="F1396" i="1"/>
  <c r="B1396" i="1"/>
  <c r="F1395" i="1"/>
  <c r="B1395" i="1"/>
  <c r="F1394" i="1"/>
  <c r="B1394" i="1"/>
  <c r="F1393" i="1"/>
  <c r="B1393" i="1"/>
  <c r="F1392" i="1"/>
  <c r="B1392" i="1"/>
  <c r="F1391" i="1"/>
  <c r="B1391" i="1"/>
  <c r="F1390" i="1"/>
  <c r="B1390" i="1"/>
  <c r="F1389" i="1"/>
  <c r="B1389" i="1"/>
  <c r="F1388" i="1"/>
  <c r="B1388" i="1"/>
  <c r="F1387" i="1"/>
  <c r="B1387" i="1"/>
  <c r="F1386" i="1"/>
  <c r="B1386" i="1"/>
  <c r="F1385" i="1"/>
  <c r="B1385" i="1"/>
  <c r="F1384" i="1"/>
  <c r="B1384" i="1"/>
  <c r="F1383" i="1"/>
  <c r="B1383" i="1"/>
  <c r="F1382" i="1"/>
  <c r="B1382" i="1"/>
  <c r="F1381" i="1"/>
  <c r="B1381" i="1"/>
  <c r="F1380" i="1"/>
  <c r="B1380" i="1"/>
  <c r="F1379" i="1"/>
  <c r="B1379" i="1"/>
  <c r="F1378" i="1"/>
  <c r="B1378" i="1"/>
  <c r="F1377" i="1"/>
  <c r="B1377" i="1"/>
  <c r="F1376" i="1"/>
  <c r="B1376" i="1"/>
  <c r="F1375" i="1"/>
  <c r="B1375" i="1"/>
  <c r="F1374" i="1"/>
  <c r="B1374" i="1"/>
  <c r="F1373" i="1"/>
  <c r="B1373" i="1"/>
  <c r="F1372" i="1"/>
  <c r="B1372" i="1"/>
  <c r="F1371" i="1"/>
  <c r="B1371" i="1"/>
  <c r="F1370" i="1"/>
  <c r="B1370" i="1"/>
  <c r="F1369" i="1"/>
  <c r="B1369" i="1"/>
  <c r="F1368" i="1"/>
  <c r="B1368" i="1"/>
  <c r="F1367" i="1"/>
  <c r="B1367" i="1"/>
  <c r="F1366" i="1"/>
  <c r="B1366" i="1"/>
  <c r="F1365" i="1"/>
  <c r="B1365" i="1"/>
  <c r="F1364" i="1"/>
  <c r="B1364" i="1"/>
  <c r="F1363" i="1"/>
  <c r="B1363" i="1"/>
  <c r="F1362" i="1"/>
  <c r="B1362" i="1"/>
  <c r="F1361" i="1"/>
  <c r="B1361" i="1"/>
  <c r="F1360" i="1"/>
  <c r="B1360" i="1"/>
  <c r="F1359" i="1"/>
  <c r="B1359" i="1"/>
  <c r="F1358" i="1"/>
  <c r="B1358" i="1"/>
  <c r="F1357" i="1"/>
  <c r="B1357" i="1"/>
  <c r="F1356" i="1"/>
  <c r="B1356" i="1"/>
  <c r="F1355" i="1"/>
  <c r="B1355" i="1"/>
  <c r="F1354" i="1"/>
  <c r="B1354" i="1"/>
  <c r="F1353" i="1"/>
  <c r="B1353" i="1"/>
  <c r="F1352" i="1"/>
  <c r="B1352" i="1"/>
  <c r="F1351" i="1"/>
  <c r="B1351" i="1"/>
  <c r="F1350" i="1"/>
  <c r="B1350" i="1"/>
  <c r="F1349" i="1"/>
  <c r="B1349" i="1"/>
  <c r="F1348" i="1"/>
  <c r="B1348" i="1"/>
  <c r="F1347" i="1"/>
  <c r="B1347" i="1"/>
  <c r="F1346" i="1"/>
  <c r="B1346" i="1"/>
  <c r="F1345" i="1"/>
  <c r="B1345" i="1"/>
  <c r="F1344" i="1"/>
  <c r="B1344" i="1"/>
  <c r="F1343" i="1"/>
  <c r="B1343" i="1"/>
  <c r="F1342" i="1"/>
  <c r="B1342" i="1"/>
  <c r="F1341" i="1"/>
  <c r="B1341" i="1"/>
  <c r="F1340" i="1"/>
  <c r="B1340" i="1"/>
  <c r="F1339" i="1"/>
  <c r="B1339" i="1"/>
  <c r="F1338" i="1"/>
  <c r="B1338" i="1"/>
  <c r="F1337" i="1"/>
  <c r="B1337" i="1"/>
  <c r="F1336" i="1"/>
  <c r="B1336" i="1"/>
  <c r="F1335" i="1"/>
  <c r="B1335" i="1"/>
  <c r="F1334" i="1"/>
  <c r="B1334" i="1"/>
  <c r="F1333" i="1"/>
  <c r="B1333" i="1"/>
  <c r="F1332" i="1"/>
  <c r="B1332" i="1"/>
  <c r="F1331" i="1"/>
  <c r="B1331" i="1"/>
  <c r="F1330" i="1"/>
  <c r="B1330" i="1"/>
  <c r="F1329" i="1"/>
  <c r="B1329" i="1"/>
  <c r="F1328" i="1"/>
  <c r="B1328" i="1"/>
  <c r="F1327" i="1"/>
  <c r="B1327" i="1"/>
  <c r="F1326" i="1"/>
  <c r="B1326" i="1"/>
  <c r="F1325" i="1"/>
  <c r="B1325" i="1"/>
  <c r="F1324" i="1"/>
  <c r="B1324" i="1"/>
  <c r="F1323" i="1"/>
  <c r="B1323" i="1"/>
  <c r="F1322" i="1"/>
  <c r="B1322" i="1"/>
  <c r="F1321" i="1"/>
  <c r="B1321" i="1"/>
  <c r="F1320" i="1"/>
  <c r="B1320" i="1"/>
  <c r="F1319" i="1"/>
  <c r="B1319" i="1"/>
  <c r="F1318" i="1"/>
  <c r="B1318" i="1"/>
  <c r="F1317" i="1"/>
  <c r="B1317" i="1"/>
  <c r="F1316" i="1"/>
  <c r="B1316" i="1"/>
  <c r="F1315" i="1"/>
  <c r="B1315" i="1"/>
  <c r="F1314" i="1"/>
  <c r="B1314" i="1"/>
  <c r="F1313" i="1"/>
  <c r="B1313" i="1"/>
  <c r="F1312" i="1"/>
  <c r="B1312" i="1"/>
  <c r="F1311" i="1"/>
  <c r="B1311" i="1"/>
  <c r="F1310" i="1"/>
  <c r="B1310" i="1"/>
  <c r="F1309" i="1"/>
  <c r="B1309" i="1"/>
  <c r="F1308" i="1"/>
  <c r="B1308" i="1"/>
  <c r="F1307" i="1"/>
  <c r="B1307" i="1"/>
  <c r="F1306" i="1"/>
  <c r="B1306" i="1"/>
  <c r="F1305" i="1"/>
  <c r="B1305" i="1"/>
  <c r="F1304" i="1"/>
  <c r="B1304" i="1"/>
  <c r="F1303" i="1"/>
  <c r="B1303" i="1"/>
  <c r="F1302" i="1"/>
  <c r="B1302" i="1"/>
  <c r="F1301" i="1"/>
  <c r="B1301" i="1"/>
  <c r="F1300" i="1"/>
  <c r="B1300" i="1"/>
  <c r="F1299" i="1"/>
  <c r="B1299" i="1"/>
  <c r="F1298" i="1"/>
  <c r="B1298" i="1"/>
  <c r="F1297" i="1"/>
  <c r="B1297" i="1"/>
  <c r="F1296" i="1"/>
  <c r="B1296" i="1"/>
  <c r="F1295" i="1"/>
  <c r="B1295" i="1"/>
  <c r="F1294" i="1"/>
  <c r="B1294" i="1"/>
  <c r="F1293" i="1"/>
  <c r="B1293" i="1"/>
  <c r="F1292" i="1"/>
  <c r="B1292" i="1"/>
  <c r="F1291" i="1"/>
  <c r="B1291" i="1"/>
  <c r="F1290" i="1"/>
  <c r="B1290" i="1"/>
  <c r="F1289" i="1"/>
  <c r="B1289" i="1"/>
  <c r="F1288" i="1"/>
  <c r="B1288" i="1"/>
  <c r="F1287" i="1"/>
  <c r="B1287" i="1"/>
  <c r="F1286" i="1"/>
  <c r="B1286" i="1"/>
  <c r="F1285" i="1"/>
  <c r="B1285" i="1"/>
  <c r="F1284" i="1"/>
  <c r="B1284" i="1"/>
  <c r="F1283" i="1"/>
  <c r="B1283" i="1"/>
  <c r="F1282" i="1"/>
  <c r="B1282" i="1"/>
  <c r="F1281" i="1"/>
  <c r="B1281" i="1"/>
  <c r="F1280" i="1"/>
  <c r="B1280" i="1"/>
  <c r="F1279" i="1"/>
  <c r="B1279" i="1"/>
  <c r="F1278" i="1"/>
  <c r="B1278" i="1"/>
  <c r="F1277" i="1"/>
  <c r="B1277" i="1"/>
  <c r="F1276" i="1"/>
  <c r="B1276" i="1"/>
  <c r="F1275" i="1"/>
  <c r="B1275" i="1"/>
  <c r="F1274" i="1"/>
  <c r="B1274" i="1"/>
  <c r="F1273" i="1"/>
  <c r="B1273" i="1"/>
  <c r="F1272" i="1"/>
  <c r="B1272" i="1"/>
  <c r="F1271" i="1"/>
  <c r="B1271" i="1"/>
  <c r="F1270" i="1"/>
  <c r="B1270" i="1"/>
  <c r="F1269" i="1"/>
  <c r="B1269" i="1"/>
  <c r="F1268" i="1"/>
  <c r="B1268" i="1"/>
  <c r="F1267" i="1"/>
  <c r="B1267" i="1"/>
  <c r="F1266" i="1"/>
  <c r="B1266" i="1"/>
  <c r="F1265" i="1"/>
  <c r="B1265" i="1"/>
  <c r="F1264" i="1"/>
  <c r="B1264" i="1"/>
  <c r="F1263" i="1"/>
  <c r="B1263" i="1"/>
  <c r="F1262" i="1"/>
  <c r="B1262" i="1"/>
  <c r="F1261" i="1"/>
  <c r="B1261" i="1"/>
  <c r="F1260" i="1"/>
  <c r="B1260" i="1"/>
  <c r="F1259" i="1"/>
  <c r="B1259" i="1"/>
  <c r="F1258" i="1"/>
  <c r="B1258" i="1"/>
  <c r="F1257" i="1"/>
  <c r="B1257" i="1"/>
  <c r="F1256" i="1"/>
  <c r="B1256" i="1"/>
  <c r="F1255" i="1"/>
  <c r="B1255" i="1"/>
  <c r="F1254" i="1"/>
  <c r="B1254" i="1"/>
  <c r="F1253" i="1"/>
  <c r="B1253" i="1"/>
  <c r="F1252" i="1"/>
  <c r="B1252" i="1"/>
  <c r="F1251" i="1"/>
  <c r="B1251" i="1"/>
  <c r="F1250" i="1"/>
  <c r="B1250" i="1"/>
  <c r="F1249" i="1"/>
  <c r="B1249" i="1"/>
  <c r="F1248" i="1"/>
  <c r="B1248" i="1"/>
  <c r="F1247" i="1"/>
  <c r="B1247" i="1"/>
  <c r="F1246" i="1"/>
  <c r="B1246" i="1"/>
  <c r="F1245" i="1"/>
  <c r="B1245" i="1"/>
  <c r="F1244" i="1"/>
  <c r="B1244" i="1"/>
  <c r="F1243" i="1"/>
  <c r="B1243" i="1"/>
  <c r="F1242" i="1"/>
  <c r="B1242" i="1"/>
  <c r="F1241" i="1"/>
  <c r="B1241" i="1"/>
  <c r="F1240" i="1"/>
  <c r="B1240" i="1"/>
  <c r="F1239" i="1"/>
  <c r="B1239" i="1"/>
  <c r="F1238" i="1"/>
  <c r="B1238" i="1"/>
  <c r="F1237" i="1"/>
  <c r="B1237" i="1"/>
  <c r="F1236" i="1"/>
  <c r="B1236" i="1"/>
  <c r="F1235" i="1"/>
  <c r="B1235" i="1"/>
  <c r="F1234" i="1"/>
  <c r="B1234" i="1"/>
  <c r="F1233" i="1"/>
  <c r="B1233" i="1"/>
  <c r="F1232" i="1"/>
  <c r="B1232" i="1"/>
  <c r="F1231" i="1"/>
  <c r="B1231" i="1"/>
  <c r="F1230" i="1"/>
  <c r="B1230" i="1"/>
  <c r="F1229" i="1"/>
  <c r="B1229" i="1"/>
  <c r="F1228" i="1"/>
  <c r="B1228" i="1"/>
  <c r="F1227" i="1"/>
  <c r="B1227" i="1"/>
  <c r="F1226" i="1"/>
  <c r="B1226" i="1"/>
  <c r="F1225" i="1"/>
  <c r="B1225" i="1"/>
  <c r="F1224" i="1"/>
  <c r="B1224" i="1"/>
  <c r="F1223" i="1"/>
  <c r="B1223" i="1"/>
  <c r="F1222" i="1"/>
  <c r="B1222" i="1"/>
  <c r="F1221" i="1"/>
  <c r="B1221" i="1"/>
  <c r="F1220" i="1"/>
  <c r="B1220" i="1"/>
  <c r="F1219" i="1"/>
  <c r="B1219" i="1"/>
  <c r="F1218" i="1"/>
  <c r="B1218" i="1"/>
  <c r="F1217" i="1"/>
  <c r="B1217" i="1"/>
  <c r="F1216" i="1"/>
  <c r="B1216" i="1"/>
  <c r="F1215" i="1"/>
  <c r="B1215" i="1"/>
  <c r="F1214" i="1"/>
  <c r="B1214" i="1"/>
  <c r="F1213" i="1"/>
  <c r="B1213" i="1"/>
  <c r="F1212" i="1"/>
  <c r="B1212" i="1"/>
  <c r="F1211" i="1"/>
  <c r="B1211" i="1"/>
  <c r="F1210" i="1"/>
  <c r="B1210" i="1"/>
  <c r="F1209" i="1"/>
  <c r="B1209" i="1"/>
  <c r="F1208" i="1"/>
  <c r="B1208" i="1"/>
  <c r="F1207" i="1"/>
  <c r="B1207" i="1"/>
  <c r="F1206" i="1"/>
  <c r="B1206" i="1"/>
  <c r="F1205" i="1"/>
  <c r="B1205" i="1"/>
  <c r="F1204" i="1"/>
  <c r="B1204" i="1"/>
  <c r="F1203" i="1"/>
  <c r="B1203" i="1"/>
  <c r="F1202" i="1"/>
  <c r="B1202" i="1"/>
  <c r="F1201" i="1"/>
  <c r="B1201" i="1"/>
  <c r="F1200" i="1"/>
  <c r="B1200" i="1"/>
  <c r="F1199" i="1"/>
  <c r="B1199" i="1"/>
  <c r="F1198" i="1"/>
  <c r="B1198" i="1"/>
  <c r="F1197" i="1"/>
  <c r="B1197" i="1"/>
  <c r="F1196" i="1"/>
  <c r="B1196" i="1"/>
  <c r="F1195" i="1"/>
  <c r="B1195" i="1"/>
  <c r="F1194" i="1"/>
  <c r="B1194" i="1"/>
  <c r="F1193" i="1"/>
  <c r="B1193" i="1"/>
  <c r="F1192" i="1"/>
  <c r="B1192" i="1"/>
  <c r="F1191" i="1"/>
  <c r="B1191" i="1"/>
  <c r="F1190" i="1"/>
  <c r="B1190" i="1"/>
  <c r="F1189" i="1"/>
  <c r="B1189" i="1"/>
  <c r="F1188" i="1"/>
  <c r="B1188" i="1"/>
  <c r="F1187" i="1"/>
  <c r="B1187" i="1"/>
  <c r="F1186" i="1"/>
  <c r="B1186" i="1"/>
  <c r="F1185" i="1"/>
  <c r="B1185" i="1"/>
  <c r="F1184" i="1"/>
  <c r="B1184" i="1"/>
  <c r="F1183" i="1"/>
  <c r="B1183" i="1"/>
  <c r="F1182" i="1"/>
  <c r="B1182" i="1"/>
  <c r="F1181" i="1"/>
  <c r="B1181" i="1"/>
  <c r="F1180" i="1"/>
  <c r="B1180" i="1"/>
  <c r="F1179" i="1"/>
  <c r="B1179" i="1"/>
  <c r="F1178" i="1"/>
  <c r="B1178" i="1"/>
  <c r="F1177" i="1"/>
  <c r="B1177" i="1"/>
  <c r="F1176" i="1"/>
  <c r="B1176" i="1"/>
  <c r="F1175" i="1"/>
  <c r="B1175" i="1"/>
  <c r="F1174" i="1"/>
  <c r="B1174" i="1"/>
  <c r="F1173" i="1"/>
  <c r="B1173" i="1"/>
  <c r="F1172" i="1"/>
  <c r="B1172" i="1"/>
  <c r="F1171" i="1"/>
  <c r="B1171" i="1"/>
  <c r="F1170" i="1"/>
  <c r="B1170" i="1"/>
  <c r="F1169" i="1"/>
  <c r="B1169" i="1"/>
  <c r="F1168" i="1"/>
  <c r="B1168" i="1"/>
  <c r="F1167" i="1"/>
  <c r="B1167" i="1"/>
  <c r="F1166" i="1"/>
  <c r="B1166" i="1"/>
  <c r="F1165" i="1"/>
  <c r="B1165" i="1"/>
  <c r="F1164" i="1"/>
  <c r="B1164" i="1"/>
  <c r="F1163" i="1"/>
  <c r="B1163" i="1"/>
  <c r="F1162" i="1"/>
  <c r="B1162" i="1"/>
  <c r="F1161" i="1"/>
  <c r="B1161" i="1"/>
  <c r="F1160" i="1"/>
  <c r="B1160" i="1"/>
  <c r="F1159" i="1"/>
  <c r="B1159" i="1"/>
  <c r="F1158" i="1"/>
  <c r="B1158" i="1"/>
  <c r="F1157" i="1"/>
  <c r="B1157" i="1"/>
  <c r="F1156" i="1"/>
  <c r="B1156" i="1"/>
  <c r="F1155" i="1"/>
  <c r="B1155" i="1"/>
  <c r="F1154" i="1"/>
  <c r="B1154" i="1"/>
  <c r="F1153" i="1"/>
  <c r="B1153" i="1"/>
  <c r="F1152" i="1"/>
  <c r="B1152" i="1"/>
  <c r="F1151" i="1"/>
  <c r="B1151" i="1"/>
  <c r="F1150" i="1"/>
  <c r="B1150" i="1"/>
  <c r="F1149" i="1"/>
  <c r="B1149" i="1"/>
  <c r="F1148" i="1"/>
  <c r="B1148" i="1"/>
  <c r="F1147" i="1"/>
  <c r="B1147" i="1"/>
  <c r="F1146" i="1"/>
  <c r="B1146" i="1"/>
  <c r="F1145" i="1"/>
  <c r="B1145" i="1"/>
  <c r="F1144" i="1"/>
  <c r="B1144" i="1"/>
  <c r="F1143" i="1"/>
  <c r="B1143" i="1"/>
  <c r="F1142" i="1"/>
  <c r="B1142" i="1"/>
  <c r="F1141" i="1"/>
  <c r="B1141" i="1"/>
  <c r="F1140" i="1"/>
  <c r="B1140" i="1"/>
  <c r="F1139" i="1"/>
  <c r="B1139" i="1"/>
  <c r="F1138" i="1"/>
  <c r="B1138" i="1"/>
  <c r="F1137" i="1"/>
  <c r="B1137" i="1"/>
  <c r="F1136" i="1"/>
  <c r="B1136" i="1"/>
  <c r="F1135" i="1"/>
  <c r="B1135" i="1"/>
  <c r="F1134" i="1"/>
  <c r="B1134" i="1"/>
  <c r="F1133" i="1"/>
  <c r="B1133" i="1"/>
  <c r="F1132" i="1"/>
  <c r="B1132" i="1"/>
  <c r="F1131" i="1"/>
  <c r="B1131" i="1"/>
  <c r="F1130" i="1"/>
  <c r="B1130" i="1"/>
  <c r="F1129" i="1"/>
  <c r="B1129" i="1"/>
  <c r="F1128" i="1"/>
  <c r="B1128" i="1"/>
  <c r="F1127" i="1"/>
  <c r="B1127" i="1"/>
  <c r="F1126" i="1"/>
  <c r="B1126" i="1"/>
  <c r="F1125" i="1"/>
  <c r="B1125" i="1"/>
  <c r="F1124" i="1"/>
  <c r="B1124" i="1"/>
  <c r="F1123" i="1"/>
  <c r="B1123" i="1"/>
  <c r="F1122" i="1"/>
  <c r="B1122" i="1"/>
  <c r="F1121" i="1"/>
  <c r="B1121" i="1"/>
  <c r="F1120" i="1"/>
  <c r="B1120" i="1"/>
  <c r="F1119" i="1"/>
  <c r="B1119" i="1"/>
  <c r="F1118" i="1"/>
  <c r="B1118" i="1"/>
  <c r="F1117" i="1"/>
  <c r="B1117" i="1"/>
  <c r="F1116" i="1"/>
  <c r="B1116" i="1"/>
  <c r="F1115" i="1"/>
  <c r="B1115" i="1"/>
  <c r="F1114" i="1"/>
  <c r="B1114" i="1"/>
  <c r="F1113" i="1"/>
  <c r="B1113" i="1"/>
  <c r="F1112" i="1"/>
  <c r="B1112" i="1"/>
  <c r="F1111" i="1"/>
  <c r="B1111" i="1"/>
  <c r="F1110" i="1"/>
  <c r="B1110" i="1"/>
  <c r="F1109" i="1"/>
  <c r="B1109" i="1"/>
  <c r="F1108" i="1"/>
  <c r="B1108" i="1"/>
  <c r="F1107" i="1"/>
  <c r="B1107" i="1"/>
  <c r="F1106" i="1"/>
  <c r="B1106" i="1"/>
  <c r="F1105" i="1"/>
  <c r="B1105" i="1"/>
  <c r="F1104" i="1"/>
  <c r="B1104" i="1"/>
  <c r="F1103" i="1"/>
  <c r="B1103" i="1"/>
  <c r="F1102" i="1"/>
  <c r="B1102" i="1"/>
  <c r="F1101" i="1"/>
  <c r="B1101" i="1"/>
  <c r="F1100" i="1"/>
  <c r="B1100" i="1"/>
  <c r="F1099" i="1"/>
  <c r="B1099" i="1"/>
  <c r="F1098" i="1"/>
  <c r="B1098" i="1"/>
  <c r="F1097" i="1"/>
  <c r="B1097" i="1"/>
  <c r="F1096" i="1"/>
  <c r="B1096" i="1"/>
  <c r="F1095" i="1"/>
  <c r="B1095" i="1"/>
  <c r="F1094" i="1"/>
  <c r="B1094" i="1"/>
  <c r="F1093" i="1"/>
  <c r="B1093" i="1"/>
  <c r="F1092" i="1"/>
  <c r="B1092" i="1"/>
  <c r="F1091" i="1"/>
  <c r="B1091" i="1"/>
  <c r="F1090" i="1"/>
  <c r="B1090" i="1"/>
  <c r="F1089" i="1"/>
  <c r="B1089" i="1"/>
  <c r="F1088" i="1"/>
  <c r="B1088" i="1"/>
  <c r="F1087" i="1"/>
  <c r="B1087" i="1"/>
  <c r="F1086" i="1"/>
  <c r="B1086" i="1"/>
  <c r="F1085" i="1"/>
  <c r="B1085" i="1"/>
  <c r="F1084" i="1"/>
  <c r="B1084" i="1"/>
  <c r="F1083" i="1"/>
  <c r="B1083" i="1"/>
  <c r="F1082" i="1"/>
  <c r="B1082" i="1"/>
  <c r="F1081" i="1"/>
  <c r="B1081" i="1"/>
  <c r="F1080" i="1"/>
  <c r="B1080" i="1"/>
  <c r="F1079" i="1"/>
  <c r="B1079" i="1"/>
  <c r="F1078" i="1"/>
  <c r="B1078" i="1"/>
  <c r="F1077" i="1"/>
  <c r="B1077" i="1"/>
  <c r="F1076" i="1"/>
  <c r="B1076" i="1"/>
  <c r="F1075" i="1"/>
  <c r="B1075" i="1"/>
  <c r="F1074" i="1"/>
  <c r="B1074" i="1"/>
  <c r="F1073" i="1"/>
  <c r="B1073" i="1"/>
  <c r="F1072" i="1"/>
  <c r="B1072" i="1"/>
  <c r="F1071" i="1"/>
  <c r="B1071" i="1"/>
  <c r="F1070" i="1"/>
  <c r="B1070" i="1"/>
  <c r="F1069" i="1"/>
  <c r="B1069" i="1"/>
  <c r="F1068" i="1"/>
  <c r="B1068" i="1"/>
  <c r="F1067" i="1"/>
  <c r="B1067" i="1"/>
  <c r="F1066" i="1"/>
  <c r="B1066" i="1"/>
  <c r="F1065" i="1"/>
  <c r="B1065" i="1"/>
  <c r="F1064" i="1"/>
  <c r="B1064" i="1"/>
  <c r="F1063" i="1"/>
  <c r="B1063" i="1"/>
  <c r="F1062" i="1"/>
  <c r="B1062" i="1"/>
  <c r="F1061" i="1"/>
  <c r="B1061" i="1"/>
  <c r="F1060" i="1"/>
  <c r="B1060" i="1"/>
  <c r="F1059" i="1"/>
  <c r="B1059" i="1"/>
  <c r="F1058" i="1"/>
  <c r="B1058" i="1"/>
  <c r="F1057" i="1"/>
  <c r="B1057" i="1"/>
  <c r="F1056" i="1"/>
  <c r="B1056" i="1"/>
  <c r="F1055" i="1"/>
  <c r="B1055" i="1"/>
  <c r="F1054" i="1"/>
  <c r="B1054" i="1"/>
  <c r="F1053" i="1"/>
  <c r="B1053" i="1"/>
  <c r="F1052" i="1"/>
  <c r="B1052" i="1"/>
  <c r="F1051" i="1"/>
  <c r="B1051" i="1"/>
  <c r="F1050" i="1"/>
  <c r="B1050" i="1"/>
  <c r="F1049" i="1"/>
  <c r="B1049" i="1"/>
  <c r="F1048" i="1"/>
  <c r="B1048" i="1"/>
  <c r="F1047" i="1"/>
  <c r="B1047" i="1"/>
  <c r="F1046" i="1"/>
  <c r="B1046" i="1"/>
  <c r="F1045" i="1"/>
  <c r="B1045" i="1"/>
  <c r="F1044" i="1"/>
  <c r="B1044" i="1"/>
  <c r="F1043" i="1"/>
  <c r="B1043" i="1"/>
  <c r="F1042" i="1"/>
  <c r="B1042" i="1"/>
  <c r="F1041" i="1"/>
  <c r="B1041" i="1"/>
  <c r="F1040" i="1"/>
  <c r="B1040" i="1"/>
  <c r="F1039" i="1"/>
  <c r="B1039" i="1"/>
  <c r="F1038" i="1"/>
  <c r="B1038" i="1"/>
  <c r="F1037" i="1"/>
  <c r="B1037" i="1"/>
  <c r="F1036" i="1"/>
  <c r="B1036" i="1"/>
  <c r="F1035" i="1"/>
  <c r="B1035" i="1"/>
  <c r="F1034" i="1"/>
  <c r="B1034" i="1"/>
  <c r="F1033" i="1"/>
  <c r="B1033" i="1"/>
  <c r="F1032" i="1"/>
  <c r="B1032" i="1"/>
  <c r="F1031" i="1"/>
  <c r="B1031" i="1"/>
  <c r="F1030" i="1"/>
  <c r="B1030" i="1"/>
  <c r="F1029" i="1"/>
  <c r="B1029" i="1"/>
  <c r="F1028" i="1"/>
  <c r="B1028" i="1"/>
  <c r="F1027" i="1"/>
  <c r="B1027" i="1"/>
  <c r="F1026" i="1"/>
  <c r="B1026" i="1"/>
  <c r="F1025" i="1"/>
  <c r="B1025" i="1"/>
  <c r="F1024" i="1"/>
  <c r="B1024" i="1"/>
  <c r="F1023" i="1"/>
  <c r="B1023" i="1"/>
  <c r="F1022" i="1"/>
  <c r="B1022" i="1"/>
  <c r="F1021" i="1"/>
  <c r="B1021" i="1"/>
  <c r="F1020" i="1"/>
  <c r="B1020" i="1"/>
  <c r="F1019" i="1"/>
  <c r="B1019" i="1"/>
  <c r="F1018" i="1"/>
  <c r="B1018" i="1"/>
  <c r="F1017" i="1"/>
  <c r="B1017" i="1"/>
  <c r="F1016" i="1"/>
  <c r="B1016" i="1"/>
  <c r="F1015" i="1"/>
  <c r="B1015" i="1"/>
  <c r="F1014" i="1"/>
  <c r="B1014" i="1"/>
  <c r="F1013" i="1"/>
  <c r="B1013" i="1"/>
  <c r="F1012" i="1"/>
  <c r="B1012" i="1"/>
  <c r="F1011" i="1"/>
  <c r="B1011" i="1"/>
  <c r="F1010" i="1"/>
  <c r="B1010" i="1"/>
  <c r="F1009" i="1"/>
  <c r="B1009" i="1"/>
  <c r="F1008" i="1"/>
  <c r="B1008" i="1"/>
  <c r="F1007" i="1"/>
  <c r="B1007" i="1"/>
  <c r="F1006" i="1"/>
  <c r="B1006" i="1"/>
  <c r="F1005" i="1"/>
  <c r="B1005" i="1"/>
  <c r="F1004" i="1"/>
  <c r="B1004" i="1"/>
  <c r="F1003" i="1"/>
  <c r="B1003" i="1"/>
  <c r="F1002" i="1"/>
  <c r="B1002" i="1"/>
  <c r="F1001" i="1"/>
  <c r="B1001" i="1"/>
  <c r="F1000" i="1"/>
  <c r="B1000" i="1"/>
  <c r="F999" i="1"/>
  <c r="B999" i="1"/>
  <c r="F998" i="1"/>
  <c r="B998" i="1"/>
  <c r="F997" i="1"/>
  <c r="B997" i="1"/>
  <c r="F996" i="1"/>
  <c r="B996" i="1"/>
  <c r="F995" i="1"/>
  <c r="B995" i="1"/>
  <c r="F994" i="1"/>
  <c r="B994" i="1"/>
  <c r="F993" i="1"/>
  <c r="B993" i="1"/>
  <c r="F992" i="1"/>
  <c r="B992" i="1"/>
  <c r="F991" i="1"/>
  <c r="B991" i="1"/>
  <c r="F990" i="1"/>
  <c r="B990" i="1"/>
  <c r="F989" i="1"/>
  <c r="B989" i="1"/>
  <c r="F988" i="1"/>
  <c r="B988" i="1"/>
  <c r="F987" i="1"/>
  <c r="B987" i="1"/>
  <c r="F986" i="1"/>
  <c r="B986" i="1"/>
  <c r="F985" i="1"/>
  <c r="B985" i="1"/>
  <c r="F984" i="1"/>
  <c r="B984" i="1"/>
  <c r="F983" i="1"/>
  <c r="B983" i="1"/>
  <c r="F982" i="1"/>
  <c r="B982" i="1"/>
  <c r="F981" i="1"/>
  <c r="B981" i="1"/>
  <c r="F980" i="1"/>
  <c r="B980" i="1"/>
  <c r="F979" i="1"/>
  <c r="B979" i="1"/>
  <c r="F978" i="1"/>
  <c r="B978" i="1"/>
  <c r="F977" i="1"/>
  <c r="B977" i="1"/>
  <c r="F976" i="1"/>
  <c r="B976" i="1"/>
  <c r="F975" i="1"/>
  <c r="B975" i="1"/>
  <c r="F974" i="1"/>
  <c r="B974" i="1"/>
  <c r="F973" i="1"/>
  <c r="B973" i="1"/>
  <c r="F972" i="1"/>
  <c r="B972" i="1"/>
  <c r="F971" i="1"/>
  <c r="B971" i="1"/>
  <c r="F970" i="1"/>
  <c r="B970" i="1"/>
  <c r="F969" i="1"/>
  <c r="B969" i="1"/>
  <c r="F968" i="1"/>
  <c r="B968" i="1"/>
  <c r="F967" i="1"/>
  <c r="B967" i="1"/>
  <c r="F966" i="1"/>
  <c r="B966" i="1"/>
  <c r="F965" i="1"/>
  <c r="B965" i="1"/>
  <c r="F964" i="1"/>
  <c r="B964" i="1"/>
  <c r="F963" i="1"/>
  <c r="B963" i="1"/>
  <c r="F962" i="1"/>
  <c r="B962" i="1"/>
  <c r="F961" i="1"/>
  <c r="B961" i="1"/>
  <c r="F960" i="1"/>
  <c r="B960" i="1"/>
  <c r="F959" i="1"/>
  <c r="B959" i="1"/>
  <c r="F958" i="1"/>
  <c r="B958" i="1"/>
  <c r="F957" i="1"/>
  <c r="B957" i="1"/>
  <c r="F956" i="1"/>
  <c r="B956" i="1"/>
  <c r="F955" i="1"/>
  <c r="B955" i="1"/>
  <c r="F954" i="1"/>
  <c r="B954" i="1"/>
  <c r="F953" i="1"/>
  <c r="B953" i="1"/>
  <c r="F952" i="1"/>
  <c r="B952" i="1"/>
  <c r="F951" i="1"/>
  <c r="B951" i="1"/>
  <c r="F950" i="1"/>
  <c r="B950" i="1"/>
  <c r="F949" i="1"/>
  <c r="B949" i="1"/>
  <c r="F948" i="1"/>
  <c r="B948" i="1"/>
  <c r="F947" i="1"/>
  <c r="B947" i="1"/>
  <c r="F946" i="1"/>
  <c r="B946" i="1"/>
  <c r="F945" i="1"/>
  <c r="B945" i="1"/>
  <c r="F944" i="1"/>
  <c r="B944" i="1"/>
  <c r="F943" i="1"/>
  <c r="B943" i="1"/>
  <c r="F942" i="1"/>
  <c r="B942" i="1"/>
  <c r="F941" i="1"/>
  <c r="B941" i="1"/>
  <c r="F940" i="1"/>
  <c r="B940" i="1"/>
  <c r="F939" i="1"/>
  <c r="B939" i="1"/>
  <c r="F938" i="1"/>
  <c r="B938" i="1"/>
  <c r="F937" i="1"/>
  <c r="B937" i="1"/>
  <c r="F936" i="1"/>
  <c r="B936" i="1"/>
  <c r="F935" i="1"/>
  <c r="B935" i="1"/>
  <c r="F934" i="1"/>
  <c r="B934" i="1"/>
  <c r="F933" i="1"/>
  <c r="B933" i="1"/>
  <c r="F932" i="1"/>
  <c r="B932" i="1"/>
  <c r="F931" i="1"/>
  <c r="B931" i="1"/>
  <c r="F930" i="1"/>
  <c r="B930" i="1"/>
  <c r="F929" i="1"/>
  <c r="B929" i="1"/>
  <c r="F928" i="1"/>
  <c r="B928" i="1"/>
  <c r="F927" i="1"/>
  <c r="B927" i="1"/>
  <c r="F926" i="1"/>
  <c r="B926" i="1"/>
  <c r="F925" i="1"/>
  <c r="B925" i="1"/>
  <c r="F924" i="1"/>
  <c r="B924" i="1"/>
  <c r="F923" i="1"/>
  <c r="B923" i="1"/>
  <c r="F922" i="1"/>
  <c r="B922" i="1"/>
  <c r="F921" i="1"/>
  <c r="B921" i="1"/>
  <c r="F920" i="1"/>
  <c r="B920" i="1"/>
  <c r="F919" i="1"/>
  <c r="B919" i="1"/>
  <c r="F918" i="1"/>
  <c r="B918" i="1"/>
  <c r="F917" i="1"/>
  <c r="B917" i="1"/>
  <c r="F916" i="1"/>
  <c r="B916" i="1"/>
  <c r="F915" i="1"/>
  <c r="B915" i="1"/>
  <c r="F914" i="1"/>
  <c r="B914" i="1"/>
  <c r="F913" i="1"/>
  <c r="B913" i="1"/>
  <c r="F912" i="1"/>
  <c r="B912" i="1"/>
  <c r="F911" i="1"/>
  <c r="B911" i="1"/>
  <c r="F910" i="1"/>
  <c r="B910" i="1"/>
  <c r="F909" i="1"/>
  <c r="B909" i="1"/>
  <c r="F908" i="1"/>
  <c r="B908" i="1"/>
  <c r="F907" i="1"/>
  <c r="B907" i="1"/>
  <c r="F906" i="1"/>
  <c r="B906" i="1"/>
  <c r="F905" i="1"/>
  <c r="B905" i="1"/>
  <c r="F904" i="1"/>
  <c r="B904" i="1"/>
  <c r="F903" i="1"/>
  <c r="B903" i="1"/>
  <c r="F902" i="1"/>
  <c r="B902" i="1"/>
  <c r="F901" i="1"/>
  <c r="B901" i="1"/>
  <c r="F900" i="1"/>
  <c r="B900" i="1"/>
  <c r="F899" i="1"/>
  <c r="B899" i="1"/>
  <c r="F898" i="1"/>
  <c r="B898" i="1"/>
  <c r="F897" i="1"/>
  <c r="B897" i="1"/>
  <c r="F896" i="1"/>
  <c r="B896" i="1"/>
  <c r="F895" i="1"/>
  <c r="B895" i="1"/>
  <c r="F894" i="1"/>
  <c r="B894" i="1"/>
  <c r="F893" i="1"/>
  <c r="B893" i="1"/>
  <c r="F892" i="1"/>
  <c r="B892" i="1"/>
  <c r="F891" i="1"/>
  <c r="B891" i="1"/>
  <c r="F890" i="1"/>
  <c r="B890" i="1"/>
  <c r="F889" i="1"/>
  <c r="B889" i="1"/>
  <c r="F888" i="1"/>
  <c r="B888" i="1"/>
  <c r="F887" i="1"/>
  <c r="B887" i="1"/>
  <c r="F886" i="1"/>
  <c r="B886" i="1"/>
  <c r="F885" i="1"/>
  <c r="B885" i="1"/>
  <c r="F884" i="1"/>
  <c r="B884" i="1"/>
  <c r="F883" i="1"/>
  <c r="B883" i="1"/>
  <c r="F882" i="1"/>
  <c r="B882" i="1"/>
  <c r="F881" i="1"/>
  <c r="B881" i="1"/>
  <c r="F880" i="1"/>
  <c r="B880" i="1"/>
  <c r="F879" i="1"/>
  <c r="B879" i="1"/>
  <c r="F878" i="1"/>
  <c r="B878" i="1"/>
  <c r="F877" i="1"/>
  <c r="B877" i="1"/>
  <c r="F876" i="1"/>
  <c r="B876" i="1"/>
  <c r="F875" i="1"/>
  <c r="B875" i="1"/>
  <c r="F874" i="1"/>
  <c r="B874" i="1"/>
  <c r="F873" i="1"/>
  <c r="B873" i="1"/>
  <c r="F872" i="1"/>
  <c r="B872" i="1"/>
  <c r="F871" i="1"/>
  <c r="B871" i="1"/>
  <c r="F870" i="1"/>
  <c r="B870" i="1"/>
  <c r="F869" i="1"/>
  <c r="B869" i="1"/>
  <c r="F868" i="1"/>
  <c r="B868" i="1"/>
  <c r="F867" i="1"/>
  <c r="B867" i="1"/>
  <c r="F866" i="1"/>
  <c r="B866" i="1"/>
  <c r="F865" i="1"/>
  <c r="B865" i="1"/>
  <c r="F864" i="1"/>
  <c r="B864" i="1"/>
  <c r="F863" i="1"/>
  <c r="B863" i="1"/>
  <c r="F862" i="1"/>
  <c r="B862" i="1"/>
  <c r="F861" i="1"/>
  <c r="B861" i="1"/>
  <c r="F860" i="1"/>
  <c r="B860" i="1"/>
  <c r="F859" i="1"/>
  <c r="B859" i="1"/>
  <c r="F858" i="1"/>
  <c r="B858" i="1"/>
  <c r="F857" i="1"/>
  <c r="B857" i="1"/>
  <c r="F856" i="1"/>
  <c r="B856" i="1"/>
  <c r="F855" i="1"/>
  <c r="B855" i="1"/>
  <c r="F854" i="1"/>
  <c r="B854" i="1"/>
  <c r="F853" i="1"/>
  <c r="B853" i="1"/>
  <c r="F852" i="1"/>
  <c r="B852" i="1"/>
  <c r="F851" i="1"/>
  <c r="B851" i="1"/>
  <c r="F850" i="1"/>
  <c r="B850" i="1"/>
  <c r="F849" i="1"/>
  <c r="B849" i="1"/>
  <c r="F848" i="1"/>
  <c r="B848" i="1"/>
  <c r="F847" i="1"/>
  <c r="B847" i="1"/>
  <c r="F846" i="1"/>
  <c r="B846" i="1"/>
  <c r="F845" i="1"/>
  <c r="B845" i="1"/>
  <c r="F844" i="1"/>
  <c r="B844" i="1"/>
  <c r="F843" i="1"/>
  <c r="B843" i="1"/>
  <c r="F842" i="1"/>
  <c r="B842" i="1"/>
  <c r="F841" i="1"/>
  <c r="B841" i="1"/>
  <c r="F840" i="1"/>
  <c r="B840" i="1"/>
  <c r="F839" i="1"/>
  <c r="B839" i="1"/>
  <c r="F838" i="1"/>
  <c r="B838" i="1"/>
  <c r="F837" i="1"/>
  <c r="B837" i="1"/>
  <c r="F836" i="1"/>
  <c r="B836" i="1"/>
  <c r="F835" i="1"/>
  <c r="B835" i="1"/>
  <c r="F834" i="1"/>
  <c r="B834" i="1"/>
  <c r="F833" i="1"/>
  <c r="B833" i="1"/>
  <c r="F832" i="1"/>
  <c r="B832" i="1"/>
  <c r="F831" i="1"/>
  <c r="B831" i="1"/>
  <c r="F830" i="1"/>
  <c r="B830" i="1"/>
  <c r="F829" i="1"/>
  <c r="B829" i="1"/>
  <c r="F828" i="1"/>
  <c r="B828" i="1"/>
  <c r="F827" i="1"/>
  <c r="B827" i="1"/>
  <c r="F826" i="1"/>
  <c r="B826" i="1"/>
  <c r="F825" i="1"/>
  <c r="B825" i="1"/>
  <c r="F824" i="1"/>
  <c r="B824" i="1"/>
  <c r="F823" i="1"/>
  <c r="B823" i="1"/>
  <c r="F822" i="1"/>
  <c r="B822" i="1"/>
  <c r="F821" i="1"/>
  <c r="B821" i="1"/>
  <c r="F820" i="1"/>
  <c r="B820" i="1"/>
  <c r="F819" i="1"/>
  <c r="B819" i="1"/>
  <c r="F818" i="1"/>
  <c r="B818" i="1"/>
  <c r="F817" i="1"/>
  <c r="B817" i="1"/>
  <c r="F816" i="1"/>
  <c r="B816" i="1"/>
  <c r="F815" i="1"/>
  <c r="B815" i="1"/>
  <c r="F814" i="1"/>
  <c r="B814" i="1"/>
  <c r="F813" i="1"/>
  <c r="B813" i="1"/>
  <c r="F812" i="1"/>
  <c r="B812" i="1"/>
  <c r="F811" i="1"/>
  <c r="B811" i="1"/>
  <c r="F810" i="1"/>
  <c r="B810" i="1"/>
  <c r="F809" i="1"/>
  <c r="B809" i="1"/>
  <c r="F808" i="1"/>
  <c r="B808" i="1"/>
  <c r="F807" i="1"/>
  <c r="B807" i="1"/>
  <c r="F806" i="1"/>
  <c r="B806" i="1"/>
  <c r="F805" i="1"/>
  <c r="B805" i="1"/>
  <c r="F804" i="1"/>
  <c r="B804" i="1"/>
  <c r="F803" i="1"/>
  <c r="B803" i="1"/>
  <c r="F802" i="1"/>
  <c r="B802" i="1"/>
  <c r="F801" i="1"/>
  <c r="B801" i="1"/>
  <c r="F800" i="1"/>
  <c r="B800" i="1"/>
  <c r="F799" i="1"/>
  <c r="B799" i="1"/>
  <c r="F798" i="1"/>
  <c r="B798" i="1"/>
  <c r="F797" i="1"/>
  <c r="B797" i="1"/>
  <c r="F796" i="1"/>
  <c r="B796" i="1"/>
  <c r="F795" i="1"/>
  <c r="B795" i="1"/>
  <c r="F794" i="1"/>
  <c r="B794" i="1"/>
  <c r="F793" i="1"/>
  <c r="B793" i="1"/>
  <c r="F792" i="1"/>
  <c r="B792" i="1"/>
  <c r="F791" i="1"/>
  <c r="B791" i="1"/>
  <c r="F790" i="1"/>
  <c r="B790" i="1"/>
  <c r="F789" i="1"/>
  <c r="B789" i="1"/>
  <c r="F788" i="1"/>
  <c r="B788" i="1"/>
  <c r="F787" i="1"/>
  <c r="B787" i="1"/>
  <c r="F786" i="1"/>
  <c r="B786" i="1"/>
  <c r="F785" i="1"/>
  <c r="B785" i="1"/>
  <c r="F784" i="1"/>
  <c r="B784" i="1"/>
  <c r="F783" i="1"/>
  <c r="B783" i="1"/>
  <c r="F782" i="1"/>
  <c r="B782" i="1"/>
  <c r="F781" i="1"/>
  <c r="B781" i="1"/>
  <c r="F780" i="1"/>
  <c r="B780" i="1"/>
  <c r="F779" i="1"/>
  <c r="B779" i="1"/>
  <c r="F778" i="1"/>
  <c r="B778" i="1"/>
  <c r="F777" i="1"/>
  <c r="B777" i="1"/>
  <c r="F776" i="1"/>
  <c r="B776" i="1"/>
  <c r="F775" i="1"/>
  <c r="B775" i="1"/>
  <c r="F774" i="1"/>
  <c r="B774" i="1"/>
  <c r="F773" i="1"/>
  <c r="B773" i="1"/>
  <c r="F772" i="1"/>
  <c r="B772" i="1"/>
  <c r="F771" i="1"/>
  <c r="B771" i="1"/>
  <c r="F770" i="1"/>
  <c r="B770" i="1"/>
  <c r="F769" i="1"/>
  <c r="B769" i="1"/>
  <c r="F768" i="1"/>
  <c r="B768" i="1"/>
  <c r="F767" i="1"/>
  <c r="B767" i="1"/>
  <c r="F766" i="1"/>
  <c r="B766" i="1"/>
  <c r="F765" i="1"/>
  <c r="B765" i="1"/>
  <c r="F764" i="1"/>
  <c r="B764" i="1"/>
  <c r="F763" i="1"/>
  <c r="B763" i="1"/>
  <c r="F762" i="1"/>
  <c r="B762" i="1"/>
  <c r="F761" i="1"/>
  <c r="B761" i="1"/>
  <c r="F760" i="1"/>
  <c r="B760" i="1"/>
  <c r="F759" i="1"/>
  <c r="B759" i="1"/>
  <c r="F758" i="1"/>
  <c r="B758" i="1"/>
  <c r="F757" i="1"/>
  <c r="B757" i="1"/>
  <c r="F756" i="1"/>
  <c r="B756" i="1"/>
  <c r="F755" i="1"/>
  <c r="B755" i="1"/>
  <c r="F754" i="1"/>
  <c r="B754" i="1"/>
  <c r="F753" i="1"/>
  <c r="B753" i="1"/>
  <c r="F752" i="1"/>
  <c r="B752" i="1"/>
  <c r="F751" i="1"/>
  <c r="B751" i="1"/>
  <c r="F750" i="1"/>
  <c r="B750" i="1"/>
  <c r="F749" i="1"/>
  <c r="B749" i="1"/>
  <c r="F748" i="1"/>
  <c r="B748" i="1"/>
  <c r="F747" i="1"/>
  <c r="B747" i="1"/>
  <c r="F746" i="1"/>
  <c r="B746" i="1"/>
  <c r="F745" i="1"/>
  <c r="B745" i="1"/>
  <c r="F744" i="1"/>
  <c r="B744" i="1"/>
  <c r="F743" i="1"/>
  <c r="B743" i="1"/>
  <c r="F742" i="1"/>
  <c r="B742" i="1"/>
  <c r="F741" i="1"/>
  <c r="B741" i="1"/>
  <c r="F740" i="1"/>
  <c r="B740" i="1"/>
  <c r="F739" i="1"/>
  <c r="B739" i="1"/>
  <c r="F738" i="1"/>
  <c r="B738" i="1"/>
  <c r="F737" i="1"/>
  <c r="B737" i="1"/>
  <c r="F736" i="1"/>
  <c r="B736" i="1"/>
  <c r="F735" i="1"/>
  <c r="B735" i="1"/>
  <c r="F734" i="1"/>
  <c r="B734" i="1"/>
  <c r="F733" i="1"/>
  <c r="B733" i="1"/>
  <c r="F732" i="1"/>
  <c r="B732" i="1"/>
  <c r="F731" i="1"/>
  <c r="B731" i="1"/>
  <c r="F730" i="1"/>
  <c r="B730" i="1"/>
  <c r="F729" i="1"/>
  <c r="B729" i="1"/>
  <c r="F728" i="1"/>
  <c r="B728" i="1"/>
  <c r="F727" i="1"/>
  <c r="B727" i="1"/>
  <c r="F726" i="1"/>
  <c r="B726" i="1"/>
  <c r="F725" i="1"/>
  <c r="B725" i="1"/>
  <c r="F724" i="1"/>
  <c r="B724" i="1"/>
  <c r="F723" i="1"/>
  <c r="B723" i="1"/>
  <c r="F722" i="1"/>
  <c r="B722" i="1"/>
  <c r="F721" i="1"/>
  <c r="B721" i="1"/>
  <c r="F720" i="1"/>
  <c r="B720" i="1"/>
  <c r="F719" i="1"/>
  <c r="B719" i="1"/>
  <c r="F718" i="1"/>
  <c r="B718" i="1"/>
  <c r="F717" i="1"/>
  <c r="B717" i="1"/>
  <c r="F716" i="1"/>
  <c r="B716" i="1"/>
  <c r="F715" i="1"/>
  <c r="B715" i="1"/>
  <c r="F714" i="1"/>
  <c r="B714" i="1"/>
  <c r="F713" i="1"/>
  <c r="B713" i="1"/>
  <c r="F712" i="1"/>
  <c r="B712" i="1"/>
  <c r="F711" i="1"/>
  <c r="B711" i="1"/>
  <c r="F710" i="1"/>
  <c r="B710" i="1"/>
  <c r="F709" i="1"/>
  <c r="B709" i="1"/>
  <c r="F708" i="1"/>
  <c r="B708" i="1"/>
  <c r="F707" i="1"/>
  <c r="B707" i="1"/>
  <c r="F706" i="1"/>
  <c r="B706" i="1"/>
  <c r="F705" i="1"/>
  <c r="B705" i="1"/>
  <c r="F704" i="1"/>
  <c r="B704" i="1"/>
  <c r="F703" i="1"/>
  <c r="B703" i="1"/>
  <c r="F702" i="1"/>
  <c r="B702" i="1"/>
  <c r="F701" i="1"/>
  <c r="B701" i="1"/>
  <c r="F700" i="1"/>
  <c r="B700" i="1"/>
  <c r="F699" i="1"/>
  <c r="B699" i="1"/>
  <c r="F698" i="1"/>
  <c r="B698" i="1"/>
  <c r="F697" i="1"/>
  <c r="B697" i="1"/>
  <c r="F696" i="1"/>
  <c r="B696" i="1"/>
  <c r="F695" i="1"/>
  <c r="B695" i="1"/>
  <c r="F694" i="1"/>
  <c r="B694" i="1"/>
  <c r="F693" i="1"/>
  <c r="B693" i="1"/>
  <c r="F692" i="1"/>
  <c r="B692" i="1"/>
  <c r="F691" i="1"/>
  <c r="B691" i="1"/>
  <c r="F690" i="1"/>
  <c r="B690" i="1"/>
  <c r="F689" i="1"/>
  <c r="B689" i="1"/>
  <c r="F688" i="1"/>
  <c r="B688" i="1"/>
  <c r="F687" i="1"/>
  <c r="B687" i="1"/>
  <c r="F686" i="1"/>
  <c r="B686" i="1"/>
  <c r="F685" i="1"/>
  <c r="B685" i="1"/>
  <c r="F684" i="1"/>
  <c r="B684" i="1"/>
  <c r="F683" i="1"/>
  <c r="B683" i="1"/>
  <c r="F682" i="1"/>
  <c r="B682" i="1"/>
  <c r="F681" i="1"/>
  <c r="B681" i="1"/>
  <c r="F680" i="1"/>
  <c r="B680" i="1"/>
  <c r="F679" i="1"/>
  <c r="B679" i="1"/>
  <c r="F678" i="1"/>
  <c r="B678" i="1"/>
  <c r="F677" i="1"/>
  <c r="B677" i="1"/>
  <c r="F676" i="1"/>
  <c r="B676" i="1"/>
  <c r="F675" i="1"/>
  <c r="B675" i="1"/>
  <c r="F674" i="1"/>
  <c r="B674" i="1"/>
  <c r="F673" i="1"/>
  <c r="B673" i="1"/>
  <c r="F672" i="1"/>
  <c r="B672" i="1"/>
  <c r="F671" i="1"/>
  <c r="B671" i="1"/>
  <c r="F670" i="1"/>
  <c r="B670" i="1"/>
  <c r="F669" i="1"/>
  <c r="B669" i="1"/>
  <c r="F668" i="1"/>
  <c r="B668" i="1"/>
  <c r="F667" i="1"/>
  <c r="B667" i="1"/>
  <c r="F666" i="1"/>
  <c r="B666" i="1"/>
  <c r="F665" i="1"/>
  <c r="B665" i="1"/>
  <c r="F664" i="1"/>
  <c r="B664" i="1"/>
  <c r="F663" i="1"/>
  <c r="B663" i="1"/>
  <c r="F662" i="1"/>
  <c r="B662" i="1"/>
  <c r="F661" i="1"/>
  <c r="B661" i="1"/>
  <c r="F660" i="1"/>
  <c r="B660" i="1"/>
  <c r="F659" i="1"/>
  <c r="B659" i="1"/>
  <c r="F658" i="1"/>
  <c r="B658" i="1"/>
  <c r="F657" i="1"/>
  <c r="B657" i="1"/>
  <c r="F656" i="1"/>
  <c r="B656" i="1"/>
  <c r="F655" i="1"/>
  <c r="B655" i="1"/>
  <c r="F654" i="1"/>
  <c r="B654" i="1"/>
  <c r="F653" i="1"/>
  <c r="B653" i="1"/>
  <c r="F652" i="1"/>
  <c r="B652" i="1"/>
  <c r="F651" i="1"/>
  <c r="B651" i="1"/>
  <c r="F650" i="1"/>
  <c r="B650" i="1"/>
  <c r="F649" i="1"/>
  <c r="B649" i="1"/>
  <c r="F648" i="1"/>
  <c r="B648" i="1"/>
  <c r="F647" i="1"/>
  <c r="B647" i="1"/>
  <c r="F646" i="1"/>
  <c r="B646" i="1"/>
  <c r="F645" i="1"/>
  <c r="B645" i="1"/>
  <c r="F644" i="1"/>
  <c r="B644" i="1"/>
  <c r="F643" i="1"/>
  <c r="B643" i="1"/>
  <c r="F642" i="1"/>
  <c r="B642" i="1"/>
  <c r="F641" i="1"/>
  <c r="B641" i="1"/>
  <c r="F640" i="1"/>
  <c r="B640" i="1"/>
  <c r="F639" i="1"/>
  <c r="B639" i="1"/>
  <c r="F638" i="1"/>
  <c r="B638" i="1"/>
  <c r="F637" i="1"/>
  <c r="B637" i="1"/>
  <c r="F636" i="1"/>
  <c r="B636" i="1"/>
  <c r="F635" i="1"/>
  <c r="B635" i="1"/>
  <c r="F634" i="1"/>
  <c r="B634" i="1"/>
  <c r="F633" i="1"/>
  <c r="B633" i="1"/>
  <c r="F632" i="1"/>
  <c r="B632" i="1"/>
  <c r="F631" i="1"/>
  <c r="B631" i="1"/>
  <c r="F630" i="1"/>
  <c r="B630" i="1"/>
  <c r="F629" i="1"/>
  <c r="B629" i="1"/>
  <c r="F628" i="1"/>
  <c r="B628" i="1"/>
  <c r="F627" i="1"/>
  <c r="B627" i="1"/>
  <c r="F626" i="1"/>
  <c r="B626" i="1"/>
  <c r="F625" i="1"/>
  <c r="B625" i="1"/>
  <c r="F624" i="1"/>
  <c r="B624" i="1"/>
  <c r="F623" i="1"/>
  <c r="B623" i="1"/>
  <c r="F622" i="1"/>
  <c r="B622" i="1"/>
  <c r="F621" i="1"/>
  <c r="B621" i="1"/>
  <c r="F620" i="1"/>
  <c r="B620" i="1"/>
  <c r="F619" i="1"/>
  <c r="B619" i="1"/>
  <c r="F618" i="1"/>
  <c r="B618" i="1"/>
  <c r="F617" i="1"/>
  <c r="B617" i="1"/>
  <c r="F616" i="1"/>
  <c r="B616" i="1"/>
  <c r="F615" i="1"/>
  <c r="B615" i="1"/>
  <c r="F614" i="1"/>
  <c r="B614" i="1"/>
  <c r="F613" i="1"/>
  <c r="B613" i="1"/>
  <c r="F612" i="1"/>
  <c r="B612" i="1"/>
  <c r="F611" i="1"/>
  <c r="B611" i="1"/>
  <c r="F610" i="1"/>
  <c r="B610" i="1"/>
  <c r="F609" i="1"/>
  <c r="B609" i="1"/>
  <c r="F608" i="1"/>
  <c r="B608" i="1"/>
  <c r="F607" i="1"/>
  <c r="B607" i="1"/>
  <c r="F606" i="1"/>
  <c r="B606" i="1"/>
  <c r="F605" i="1"/>
  <c r="B605" i="1"/>
  <c r="F604" i="1"/>
  <c r="B604" i="1"/>
  <c r="F603" i="1"/>
  <c r="B603" i="1"/>
  <c r="F602" i="1"/>
  <c r="B602" i="1"/>
  <c r="F601" i="1"/>
  <c r="B601" i="1"/>
  <c r="F600" i="1"/>
  <c r="B600" i="1"/>
  <c r="F599" i="1"/>
  <c r="B599" i="1"/>
  <c r="F598" i="1"/>
  <c r="B598" i="1"/>
  <c r="F597" i="1"/>
  <c r="B597" i="1"/>
  <c r="F596" i="1"/>
  <c r="B596" i="1"/>
  <c r="F595" i="1"/>
  <c r="B595" i="1"/>
  <c r="F594" i="1"/>
  <c r="B594" i="1"/>
  <c r="F593" i="1"/>
  <c r="B593" i="1"/>
  <c r="F592" i="1"/>
  <c r="B592" i="1"/>
  <c r="F591" i="1"/>
  <c r="B591" i="1"/>
  <c r="F590" i="1"/>
  <c r="B590" i="1"/>
  <c r="F589" i="1"/>
  <c r="B589" i="1"/>
  <c r="F588" i="1"/>
  <c r="B588" i="1"/>
  <c r="F587" i="1"/>
  <c r="B587" i="1"/>
  <c r="F586" i="1"/>
  <c r="B586" i="1"/>
  <c r="F585" i="1"/>
  <c r="B585" i="1"/>
  <c r="F584" i="1"/>
  <c r="B584" i="1"/>
  <c r="F583" i="1"/>
  <c r="B583" i="1"/>
  <c r="F582" i="1"/>
  <c r="B582" i="1"/>
  <c r="F581" i="1"/>
  <c r="B581" i="1"/>
  <c r="F580" i="1"/>
  <c r="B580" i="1"/>
  <c r="F579" i="1"/>
  <c r="B579" i="1"/>
  <c r="F578" i="1"/>
  <c r="B578" i="1"/>
  <c r="F577" i="1"/>
  <c r="B577" i="1"/>
  <c r="F576" i="1"/>
  <c r="B576" i="1"/>
  <c r="F575" i="1"/>
  <c r="B575" i="1"/>
  <c r="F574" i="1"/>
  <c r="B574" i="1"/>
  <c r="F573" i="1"/>
  <c r="B573" i="1"/>
  <c r="F572" i="1"/>
  <c r="B572" i="1"/>
  <c r="F571" i="1"/>
  <c r="B571" i="1"/>
  <c r="F570" i="1"/>
  <c r="B570" i="1"/>
  <c r="F569" i="1"/>
  <c r="B569" i="1"/>
  <c r="F568" i="1"/>
  <c r="B568" i="1"/>
  <c r="F567" i="1"/>
  <c r="B567" i="1"/>
  <c r="F566" i="1"/>
  <c r="B566" i="1"/>
  <c r="F565" i="1"/>
  <c r="B565" i="1"/>
  <c r="F564" i="1"/>
  <c r="B564" i="1"/>
  <c r="F563" i="1"/>
  <c r="B563" i="1"/>
  <c r="F562" i="1"/>
  <c r="B562" i="1"/>
  <c r="F561" i="1"/>
  <c r="B561" i="1"/>
  <c r="F560" i="1"/>
  <c r="B560" i="1"/>
  <c r="F559" i="1"/>
  <c r="B559" i="1"/>
  <c r="F558" i="1"/>
  <c r="B558" i="1"/>
  <c r="F557" i="1"/>
  <c r="B557" i="1"/>
  <c r="F556" i="1"/>
  <c r="B556" i="1"/>
  <c r="F555" i="1"/>
  <c r="B555" i="1"/>
  <c r="F554" i="1"/>
  <c r="B554" i="1"/>
  <c r="F553" i="1"/>
  <c r="B553" i="1"/>
  <c r="F552" i="1"/>
  <c r="B552" i="1"/>
  <c r="F551" i="1"/>
  <c r="B551" i="1"/>
  <c r="F550" i="1"/>
  <c r="B550" i="1"/>
  <c r="F549" i="1"/>
  <c r="B549" i="1"/>
  <c r="F548" i="1"/>
  <c r="B548" i="1"/>
  <c r="F547" i="1"/>
  <c r="B547" i="1"/>
  <c r="F546" i="1"/>
  <c r="B546" i="1"/>
  <c r="F545" i="1"/>
  <c r="B545" i="1"/>
  <c r="F544" i="1"/>
  <c r="B544" i="1"/>
  <c r="F543" i="1"/>
  <c r="B543" i="1"/>
  <c r="F542" i="1"/>
  <c r="B542" i="1"/>
  <c r="F541" i="1"/>
  <c r="B541" i="1"/>
  <c r="F540" i="1"/>
  <c r="B540" i="1"/>
  <c r="F539" i="1"/>
  <c r="B539" i="1"/>
  <c r="F538" i="1"/>
  <c r="B538" i="1"/>
  <c r="F537" i="1"/>
  <c r="B537" i="1"/>
  <c r="F536" i="1"/>
  <c r="B536" i="1"/>
  <c r="F535" i="1"/>
  <c r="B535" i="1"/>
  <c r="F534" i="1"/>
  <c r="B534" i="1"/>
  <c r="F533" i="1"/>
  <c r="B533" i="1"/>
  <c r="F532" i="1"/>
  <c r="B532" i="1"/>
  <c r="F531" i="1"/>
  <c r="B531" i="1"/>
  <c r="F530" i="1"/>
  <c r="B530" i="1"/>
  <c r="F529" i="1"/>
  <c r="B529" i="1"/>
  <c r="F528" i="1"/>
  <c r="B528" i="1"/>
  <c r="F527" i="1"/>
  <c r="B527" i="1"/>
  <c r="F526" i="1"/>
  <c r="B526" i="1"/>
  <c r="F525" i="1"/>
  <c r="B525" i="1"/>
  <c r="F524" i="1"/>
  <c r="B524" i="1"/>
  <c r="F523" i="1"/>
  <c r="B523" i="1"/>
  <c r="F522" i="1"/>
  <c r="B522" i="1"/>
  <c r="F521" i="1"/>
  <c r="B521" i="1"/>
  <c r="F520" i="1"/>
  <c r="B520" i="1"/>
  <c r="F519" i="1"/>
  <c r="B519" i="1"/>
  <c r="F518" i="1"/>
  <c r="B518" i="1"/>
  <c r="F517" i="1"/>
  <c r="B517" i="1"/>
  <c r="F516" i="1"/>
  <c r="B516" i="1"/>
  <c r="F515" i="1"/>
  <c r="B515" i="1"/>
  <c r="F514" i="1"/>
  <c r="B514" i="1"/>
  <c r="F513" i="1"/>
  <c r="B513" i="1"/>
  <c r="F512" i="1"/>
  <c r="B512" i="1"/>
  <c r="F511" i="1"/>
  <c r="B511" i="1"/>
  <c r="F510" i="1"/>
  <c r="B510" i="1"/>
  <c r="F509" i="1"/>
  <c r="B509" i="1"/>
  <c r="F508" i="1"/>
  <c r="B508" i="1"/>
  <c r="F507" i="1"/>
  <c r="B507" i="1"/>
  <c r="F506" i="1"/>
  <c r="B506" i="1"/>
  <c r="F505" i="1"/>
  <c r="B505" i="1"/>
  <c r="F504" i="1"/>
  <c r="B504" i="1"/>
  <c r="F503" i="1"/>
  <c r="B503" i="1"/>
  <c r="F502" i="1"/>
  <c r="B502" i="1"/>
  <c r="F501" i="1"/>
  <c r="B501" i="1"/>
  <c r="F500" i="1"/>
  <c r="B500" i="1"/>
  <c r="F499" i="1"/>
  <c r="B499" i="1"/>
  <c r="F498" i="1"/>
  <c r="B498" i="1"/>
  <c r="F497" i="1"/>
  <c r="B497" i="1"/>
  <c r="F496" i="1"/>
  <c r="B496" i="1"/>
  <c r="F495" i="1"/>
  <c r="B495" i="1"/>
  <c r="F494" i="1"/>
  <c r="B494" i="1"/>
  <c r="F493" i="1"/>
  <c r="B493" i="1"/>
  <c r="F492" i="1"/>
  <c r="B492" i="1"/>
  <c r="F491" i="1"/>
  <c r="B491" i="1"/>
  <c r="F490" i="1"/>
  <c r="B490" i="1"/>
  <c r="F489" i="1"/>
  <c r="B489" i="1"/>
  <c r="F488" i="1"/>
  <c r="B488" i="1"/>
  <c r="F487" i="1"/>
  <c r="B487" i="1"/>
  <c r="F486" i="1"/>
  <c r="B486" i="1"/>
  <c r="F485" i="1"/>
  <c r="B485" i="1"/>
  <c r="F484" i="1"/>
  <c r="B484" i="1"/>
  <c r="F483" i="1"/>
  <c r="B483" i="1"/>
  <c r="F482" i="1"/>
  <c r="B482" i="1"/>
  <c r="F481" i="1"/>
  <c r="B481" i="1"/>
  <c r="F480" i="1"/>
  <c r="B480" i="1"/>
  <c r="F479" i="1"/>
  <c r="B479" i="1"/>
  <c r="F478" i="1"/>
  <c r="B478" i="1"/>
  <c r="F477" i="1"/>
  <c r="B477" i="1"/>
  <c r="F476" i="1"/>
  <c r="B476" i="1"/>
  <c r="F475" i="1"/>
  <c r="B475" i="1"/>
  <c r="F474" i="1"/>
  <c r="B474" i="1"/>
  <c r="F473" i="1"/>
  <c r="B473" i="1"/>
  <c r="F472" i="1"/>
  <c r="B472" i="1"/>
  <c r="F471" i="1"/>
  <c r="B471" i="1"/>
  <c r="F470" i="1"/>
  <c r="B470" i="1"/>
  <c r="F469" i="1"/>
  <c r="B469" i="1"/>
  <c r="F468" i="1"/>
  <c r="B468" i="1"/>
  <c r="F467" i="1"/>
  <c r="B467" i="1"/>
  <c r="F466" i="1"/>
  <c r="B466" i="1"/>
  <c r="F465" i="1"/>
  <c r="B465" i="1"/>
  <c r="F464" i="1"/>
  <c r="B464" i="1"/>
  <c r="F463" i="1"/>
  <c r="B463" i="1"/>
  <c r="F462" i="1"/>
  <c r="B462" i="1"/>
  <c r="F461" i="1"/>
  <c r="B461" i="1"/>
  <c r="F460" i="1"/>
  <c r="B460" i="1"/>
  <c r="F459" i="1"/>
  <c r="B459" i="1"/>
  <c r="F458" i="1"/>
  <c r="B458" i="1"/>
  <c r="F457" i="1"/>
  <c r="B457" i="1"/>
  <c r="F456" i="1"/>
  <c r="B456" i="1"/>
  <c r="F455" i="1"/>
  <c r="B455" i="1"/>
  <c r="F454" i="1"/>
  <c r="B454" i="1"/>
  <c r="F453" i="1"/>
  <c r="B453" i="1"/>
  <c r="F452" i="1"/>
  <c r="B452" i="1"/>
  <c r="F451" i="1"/>
  <c r="B451" i="1"/>
  <c r="F450" i="1"/>
  <c r="B450" i="1"/>
  <c r="F449" i="1"/>
  <c r="B449" i="1"/>
  <c r="F448" i="1"/>
  <c r="B448" i="1"/>
  <c r="F447" i="1"/>
  <c r="B447" i="1"/>
  <c r="F446" i="1"/>
  <c r="B446" i="1"/>
  <c r="F445" i="1"/>
  <c r="B445" i="1"/>
  <c r="F444" i="1"/>
  <c r="B444" i="1"/>
  <c r="F443" i="1"/>
  <c r="B443" i="1"/>
  <c r="F442" i="1"/>
  <c r="B442" i="1"/>
  <c r="F441" i="1"/>
  <c r="B441" i="1"/>
  <c r="F440" i="1"/>
  <c r="B440" i="1"/>
  <c r="F439" i="1"/>
  <c r="B439" i="1"/>
  <c r="F438" i="1"/>
  <c r="B438" i="1"/>
  <c r="F437" i="1"/>
  <c r="B437" i="1"/>
  <c r="F436" i="1"/>
  <c r="B436" i="1"/>
  <c r="F435" i="1"/>
  <c r="B435" i="1"/>
  <c r="F434" i="1"/>
  <c r="B434" i="1"/>
  <c r="F433" i="1"/>
  <c r="B433" i="1"/>
  <c r="F432" i="1"/>
  <c r="B432" i="1"/>
  <c r="F431" i="1"/>
  <c r="B431" i="1"/>
  <c r="F430" i="1"/>
  <c r="B430" i="1"/>
  <c r="F429" i="1"/>
  <c r="B429" i="1"/>
  <c r="F428" i="1"/>
  <c r="B428" i="1"/>
  <c r="F427" i="1"/>
  <c r="B427" i="1"/>
  <c r="F426" i="1"/>
  <c r="B426" i="1"/>
  <c r="F425" i="1"/>
  <c r="B425" i="1"/>
  <c r="F424" i="1"/>
  <c r="B424" i="1"/>
  <c r="F423" i="1"/>
  <c r="B423" i="1"/>
  <c r="F422" i="1"/>
  <c r="B422" i="1"/>
  <c r="F421" i="1"/>
  <c r="B421" i="1"/>
  <c r="F420" i="1"/>
  <c r="B420" i="1"/>
  <c r="F419" i="1"/>
  <c r="B419" i="1"/>
  <c r="F418" i="1"/>
  <c r="B418" i="1"/>
  <c r="F417" i="1"/>
  <c r="B417" i="1"/>
  <c r="F416" i="1"/>
  <c r="B416" i="1"/>
  <c r="F415" i="1"/>
  <c r="B415" i="1"/>
  <c r="F414" i="1"/>
  <c r="B414" i="1"/>
  <c r="F413" i="1"/>
  <c r="B413" i="1"/>
  <c r="F412" i="1"/>
  <c r="B412" i="1"/>
  <c r="F411" i="1"/>
  <c r="B411" i="1"/>
  <c r="F410" i="1"/>
  <c r="B410" i="1"/>
  <c r="F409" i="1"/>
  <c r="B409" i="1"/>
  <c r="F408" i="1"/>
  <c r="B408" i="1"/>
  <c r="F407" i="1"/>
  <c r="B407" i="1"/>
  <c r="F406" i="1"/>
  <c r="B406" i="1"/>
  <c r="F405" i="1"/>
  <c r="B405" i="1"/>
  <c r="F404" i="1"/>
  <c r="B404" i="1"/>
  <c r="F403" i="1"/>
  <c r="B403" i="1"/>
  <c r="F402" i="1"/>
  <c r="B402" i="1"/>
  <c r="F401" i="1"/>
  <c r="B401" i="1"/>
  <c r="F400" i="1"/>
  <c r="B400" i="1"/>
  <c r="F399" i="1"/>
  <c r="B399" i="1"/>
  <c r="F398" i="1"/>
  <c r="B398" i="1"/>
  <c r="F397" i="1"/>
  <c r="B397" i="1"/>
  <c r="F396" i="1"/>
  <c r="B396" i="1"/>
  <c r="F395" i="1"/>
  <c r="B395" i="1"/>
  <c r="F394" i="1"/>
  <c r="B394" i="1"/>
  <c r="F393" i="1"/>
  <c r="B393" i="1"/>
  <c r="F392" i="1"/>
  <c r="B392" i="1"/>
  <c r="F391" i="1"/>
  <c r="B391" i="1"/>
  <c r="F390" i="1"/>
  <c r="B390" i="1"/>
  <c r="F389" i="1"/>
  <c r="B389" i="1"/>
  <c r="F388" i="1"/>
  <c r="B388" i="1"/>
  <c r="F387" i="1"/>
  <c r="B387" i="1"/>
  <c r="F386" i="1"/>
  <c r="B386" i="1"/>
  <c r="F385" i="1"/>
  <c r="B385" i="1"/>
  <c r="F384" i="1"/>
  <c r="B384" i="1"/>
  <c r="F383" i="1"/>
  <c r="B383" i="1"/>
  <c r="F382" i="1"/>
  <c r="B382" i="1"/>
  <c r="F381" i="1"/>
  <c r="B381" i="1"/>
  <c r="F380" i="1"/>
  <c r="B380" i="1"/>
  <c r="F379" i="1"/>
  <c r="B379" i="1"/>
  <c r="F378" i="1"/>
  <c r="B378" i="1"/>
  <c r="F377" i="1"/>
  <c r="B377" i="1"/>
  <c r="F376" i="1"/>
  <c r="B376" i="1"/>
  <c r="F375" i="1"/>
  <c r="B375" i="1"/>
  <c r="F374" i="1"/>
  <c r="B374" i="1"/>
  <c r="F373" i="1"/>
  <c r="B373" i="1"/>
  <c r="F372" i="1"/>
  <c r="B372" i="1"/>
  <c r="F371" i="1"/>
  <c r="B371" i="1"/>
  <c r="F370" i="1"/>
  <c r="B370" i="1"/>
  <c r="F369" i="1"/>
  <c r="B369" i="1"/>
  <c r="F368" i="1"/>
  <c r="B368" i="1"/>
  <c r="F367" i="1"/>
  <c r="B367" i="1"/>
  <c r="F366" i="1"/>
  <c r="B366" i="1"/>
  <c r="F365" i="1"/>
  <c r="B365" i="1"/>
  <c r="F364" i="1"/>
  <c r="B364" i="1"/>
  <c r="F363" i="1"/>
  <c r="B363" i="1"/>
  <c r="F362" i="1"/>
  <c r="B362" i="1"/>
  <c r="F361" i="1"/>
  <c r="B361" i="1"/>
  <c r="F360" i="1"/>
  <c r="B360" i="1"/>
  <c r="F359" i="1"/>
  <c r="B359" i="1"/>
  <c r="F358" i="1"/>
  <c r="B358" i="1"/>
  <c r="F357" i="1"/>
  <c r="B357" i="1"/>
  <c r="F356" i="1"/>
  <c r="B356" i="1"/>
  <c r="F355" i="1"/>
  <c r="B355" i="1"/>
  <c r="F354" i="1"/>
  <c r="B354" i="1"/>
  <c r="F353" i="1"/>
  <c r="B353" i="1"/>
  <c r="F352" i="1"/>
  <c r="B352" i="1"/>
  <c r="F351" i="1"/>
  <c r="B351" i="1"/>
  <c r="F350" i="1"/>
  <c r="B350" i="1"/>
  <c r="F349" i="1"/>
  <c r="B349" i="1"/>
  <c r="F348" i="1"/>
  <c r="B348" i="1"/>
  <c r="F347" i="1"/>
  <c r="B347" i="1"/>
  <c r="F346" i="1"/>
  <c r="B346" i="1"/>
  <c r="F345" i="1"/>
  <c r="B345" i="1"/>
  <c r="F344" i="1"/>
  <c r="B344" i="1"/>
  <c r="F343" i="1"/>
  <c r="B343" i="1"/>
  <c r="F342" i="1"/>
  <c r="B342" i="1"/>
  <c r="F341" i="1"/>
  <c r="B341" i="1"/>
  <c r="F340" i="1"/>
  <c r="B340" i="1"/>
  <c r="F339" i="1"/>
  <c r="B339" i="1"/>
  <c r="F338" i="1"/>
  <c r="B338" i="1"/>
  <c r="F337" i="1"/>
  <c r="B337" i="1"/>
  <c r="F336" i="1"/>
  <c r="B336" i="1"/>
  <c r="F335" i="1"/>
  <c r="B335" i="1"/>
  <c r="F334" i="1"/>
  <c r="B334" i="1"/>
  <c r="F333" i="1"/>
  <c r="B333" i="1"/>
  <c r="F332" i="1"/>
  <c r="B332" i="1"/>
  <c r="F331" i="1"/>
  <c r="B331" i="1"/>
  <c r="F330" i="1"/>
  <c r="B330" i="1"/>
  <c r="F329" i="1"/>
  <c r="B329" i="1"/>
  <c r="F328" i="1"/>
  <c r="B328" i="1"/>
  <c r="F327" i="1"/>
  <c r="B327" i="1"/>
  <c r="F326" i="1"/>
  <c r="B326" i="1"/>
  <c r="F325" i="1"/>
  <c r="B325" i="1"/>
  <c r="F324" i="1"/>
  <c r="B324" i="1"/>
  <c r="F323" i="1"/>
  <c r="B323" i="1"/>
  <c r="F322" i="1"/>
  <c r="B322" i="1"/>
  <c r="F321" i="1"/>
  <c r="B321" i="1"/>
  <c r="F320" i="1"/>
  <c r="B320" i="1"/>
  <c r="F319" i="1"/>
  <c r="B319" i="1"/>
  <c r="F318" i="1"/>
  <c r="B318" i="1"/>
  <c r="F317" i="1"/>
  <c r="B317" i="1"/>
  <c r="F316" i="1"/>
  <c r="B316" i="1"/>
  <c r="F315" i="1"/>
  <c r="B315" i="1"/>
  <c r="F314" i="1"/>
  <c r="B314" i="1"/>
  <c r="F313" i="1"/>
  <c r="B313" i="1"/>
  <c r="F312" i="1"/>
  <c r="B312" i="1"/>
  <c r="F311" i="1"/>
  <c r="B311" i="1"/>
  <c r="F310" i="1"/>
  <c r="B310" i="1"/>
  <c r="F309" i="1"/>
  <c r="B309" i="1"/>
  <c r="F308" i="1"/>
  <c r="B308" i="1"/>
  <c r="F307" i="1"/>
  <c r="B307" i="1"/>
  <c r="F306" i="1"/>
  <c r="B306" i="1"/>
  <c r="F305" i="1"/>
  <c r="B305" i="1"/>
  <c r="F304" i="1"/>
  <c r="B304" i="1"/>
  <c r="F303" i="1"/>
  <c r="B303" i="1"/>
  <c r="F302" i="1"/>
  <c r="B302" i="1"/>
  <c r="F301" i="1"/>
  <c r="B301" i="1"/>
  <c r="F300" i="1"/>
  <c r="B300" i="1"/>
  <c r="F299" i="1"/>
  <c r="B299" i="1"/>
  <c r="F298" i="1"/>
  <c r="B298" i="1"/>
  <c r="F297" i="1"/>
  <c r="B297" i="1"/>
  <c r="F296" i="1"/>
  <c r="B296" i="1"/>
  <c r="F295" i="1"/>
  <c r="B295" i="1"/>
  <c r="F294" i="1"/>
  <c r="B294" i="1"/>
  <c r="F293" i="1"/>
  <c r="B293" i="1"/>
  <c r="F292" i="1"/>
  <c r="B292" i="1"/>
  <c r="F291" i="1"/>
  <c r="B291" i="1"/>
  <c r="F290" i="1"/>
  <c r="B290" i="1"/>
  <c r="F289" i="1"/>
  <c r="B289" i="1"/>
  <c r="F288" i="1"/>
  <c r="B288" i="1"/>
  <c r="F287" i="1"/>
  <c r="B287" i="1"/>
  <c r="F286" i="1"/>
  <c r="B286" i="1"/>
  <c r="F285" i="1"/>
  <c r="B285" i="1"/>
  <c r="F284" i="1"/>
  <c r="B284" i="1"/>
  <c r="F283" i="1"/>
  <c r="B283" i="1"/>
  <c r="F282" i="1"/>
  <c r="B282" i="1"/>
  <c r="F281" i="1"/>
  <c r="B281" i="1"/>
  <c r="F280" i="1"/>
  <c r="B280" i="1"/>
  <c r="F279" i="1"/>
  <c r="B279" i="1"/>
  <c r="F278" i="1"/>
  <c r="B278" i="1"/>
  <c r="F277" i="1"/>
  <c r="B277" i="1"/>
  <c r="F276" i="1"/>
  <c r="B276" i="1"/>
  <c r="F275" i="1"/>
  <c r="B275" i="1"/>
  <c r="F274" i="1"/>
  <c r="B274" i="1"/>
  <c r="F273" i="1"/>
  <c r="B273" i="1"/>
  <c r="F272" i="1"/>
  <c r="B272" i="1"/>
  <c r="F271" i="1"/>
  <c r="B271" i="1"/>
  <c r="F270" i="1"/>
  <c r="B270" i="1"/>
  <c r="F269" i="1"/>
  <c r="B269" i="1"/>
  <c r="F268" i="1"/>
  <c r="B268" i="1"/>
  <c r="F267" i="1"/>
  <c r="B267" i="1"/>
  <c r="F266" i="1"/>
  <c r="B266" i="1"/>
  <c r="F265" i="1"/>
  <c r="B265" i="1"/>
  <c r="F264" i="1"/>
  <c r="B264" i="1"/>
  <c r="F263" i="1"/>
  <c r="B263" i="1"/>
  <c r="F262" i="1"/>
  <c r="B262" i="1"/>
  <c r="F261" i="1"/>
  <c r="B261" i="1"/>
  <c r="F260" i="1"/>
  <c r="B260" i="1"/>
  <c r="F259" i="1"/>
  <c r="B259" i="1"/>
  <c r="F258" i="1"/>
  <c r="B258" i="1"/>
  <c r="F257" i="1"/>
  <c r="B257" i="1"/>
  <c r="F256" i="1"/>
  <c r="B256" i="1"/>
  <c r="F255" i="1"/>
  <c r="B255" i="1"/>
  <c r="F254" i="1"/>
  <c r="B254" i="1"/>
  <c r="F253" i="1"/>
  <c r="B253" i="1"/>
  <c r="F252" i="1"/>
  <c r="B252" i="1"/>
  <c r="F251" i="1"/>
  <c r="B251" i="1"/>
  <c r="F250" i="1"/>
  <c r="B250" i="1"/>
  <c r="F249" i="1"/>
  <c r="B249" i="1"/>
  <c r="F248" i="1"/>
  <c r="B248" i="1"/>
  <c r="F247" i="1"/>
  <c r="B247" i="1"/>
  <c r="F246" i="1"/>
  <c r="B246" i="1"/>
  <c r="F245" i="1"/>
  <c r="B245" i="1"/>
  <c r="F244" i="1"/>
  <c r="B244" i="1"/>
  <c r="F243" i="1"/>
  <c r="B243" i="1"/>
  <c r="F242" i="1"/>
  <c r="B242" i="1"/>
  <c r="F241" i="1"/>
  <c r="B241" i="1"/>
  <c r="F240" i="1"/>
  <c r="B240" i="1"/>
  <c r="F239" i="1"/>
  <c r="B239" i="1"/>
  <c r="F238" i="1"/>
  <c r="B238" i="1"/>
  <c r="F237" i="1"/>
  <c r="B237" i="1"/>
  <c r="F236" i="1"/>
  <c r="B236" i="1"/>
  <c r="F235" i="1"/>
  <c r="B235" i="1"/>
  <c r="F234" i="1"/>
  <c r="B234" i="1"/>
  <c r="F233" i="1"/>
  <c r="B233" i="1"/>
  <c r="F232" i="1"/>
  <c r="B232" i="1"/>
  <c r="F231" i="1"/>
  <c r="B231" i="1"/>
  <c r="F230" i="1"/>
  <c r="B230" i="1"/>
  <c r="F229" i="1"/>
  <c r="B229" i="1"/>
  <c r="F228" i="1"/>
  <c r="B228" i="1"/>
  <c r="F227" i="1"/>
  <c r="B227" i="1"/>
  <c r="F226" i="1"/>
  <c r="B226" i="1"/>
  <c r="F225" i="1"/>
  <c r="B225" i="1"/>
  <c r="F224" i="1"/>
  <c r="B224" i="1"/>
  <c r="F223" i="1"/>
  <c r="B223" i="1"/>
  <c r="F222" i="1"/>
  <c r="B222" i="1"/>
  <c r="F221" i="1"/>
  <c r="B221" i="1"/>
  <c r="F220" i="1"/>
  <c r="B220" i="1"/>
  <c r="F219" i="1"/>
  <c r="B219" i="1"/>
  <c r="F218" i="1"/>
  <c r="B218" i="1"/>
  <c r="F217" i="1"/>
  <c r="B217" i="1"/>
  <c r="F216" i="1"/>
  <c r="B216" i="1"/>
  <c r="F215" i="1"/>
  <c r="B215" i="1"/>
  <c r="F214" i="1"/>
  <c r="B214" i="1"/>
  <c r="F213" i="1"/>
  <c r="B213" i="1"/>
  <c r="F212" i="1"/>
  <c r="B212" i="1"/>
  <c r="F211" i="1"/>
  <c r="B211" i="1"/>
  <c r="F210" i="1"/>
  <c r="B210" i="1"/>
  <c r="F209" i="1"/>
  <c r="B209" i="1"/>
  <c r="F208" i="1"/>
  <c r="B208" i="1"/>
  <c r="F207" i="1"/>
  <c r="B207" i="1"/>
  <c r="F206" i="1"/>
  <c r="B206" i="1"/>
  <c r="F205" i="1"/>
  <c r="B205" i="1"/>
  <c r="F204" i="1"/>
  <c r="B204" i="1"/>
  <c r="F203" i="1"/>
  <c r="B203" i="1"/>
  <c r="F202" i="1"/>
  <c r="B202" i="1"/>
  <c r="F201" i="1"/>
  <c r="B201" i="1"/>
  <c r="F200" i="1"/>
  <c r="B200" i="1"/>
  <c r="F199" i="1"/>
  <c r="B199" i="1"/>
  <c r="F198" i="1"/>
  <c r="B198" i="1"/>
  <c r="F197" i="1"/>
  <c r="B197" i="1"/>
  <c r="F196" i="1"/>
  <c r="B196" i="1"/>
  <c r="F195" i="1"/>
  <c r="B195" i="1"/>
  <c r="F194" i="1"/>
  <c r="B194" i="1"/>
  <c r="F193" i="1"/>
  <c r="B193" i="1"/>
  <c r="F192" i="1"/>
  <c r="B192" i="1"/>
  <c r="F191" i="1"/>
  <c r="B191" i="1"/>
  <c r="F190" i="1"/>
  <c r="B190" i="1"/>
  <c r="F189" i="1"/>
  <c r="B189" i="1"/>
  <c r="F188" i="1"/>
  <c r="B188" i="1"/>
  <c r="F187" i="1"/>
  <c r="B187" i="1"/>
  <c r="F186" i="1"/>
  <c r="B186" i="1"/>
  <c r="F185" i="1"/>
  <c r="B185" i="1"/>
  <c r="F184" i="1"/>
  <c r="B184" i="1"/>
  <c r="F183" i="1"/>
  <c r="B183" i="1"/>
  <c r="F182" i="1"/>
  <c r="B182" i="1"/>
  <c r="F181" i="1"/>
  <c r="B181" i="1"/>
  <c r="F180" i="1"/>
  <c r="B180" i="1"/>
  <c r="F179" i="1"/>
  <c r="B179" i="1"/>
  <c r="F178" i="1"/>
  <c r="B178" i="1"/>
  <c r="F177" i="1"/>
  <c r="B177" i="1"/>
  <c r="F176" i="1"/>
  <c r="B176" i="1"/>
  <c r="F175" i="1"/>
  <c r="B175" i="1"/>
  <c r="F174" i="1"/>
  <c r="B174" i="1"/>
  <c r="F173" i="1"/>
  <c r="B173" i="1"/>
  <c r="F172" i="1"/>
  <c r="B172" i="1"/>
  <c r="F171" i="1"/>
  <c r="B171" i="1"/>
  <c r="F170" i="1"/>
  <c r="B170" i="1"/>
  <c r="F169" i="1"/>
  <c r="B169" i="1"/>
  <c r="F168" i="1"/>
  <c r="B168" i="1"/>
  <c r="F167" i="1"/>
  <c r="B167" i="1"/>
  <c r="F166" i="1"/>
  <c r="B166" i="1"/>
  <c r="F165" i="1"/>
  <c r="B165" i="1"/>
  <c r="F164" i="1"/>
  <c r="B164" i="1"/>
  <c r="F163" i="1"/>
  <c r="B163" i="1"/>
  <c r="F162" i="1"/>
  <c r="B162" i="1"/>
  <c r="F161" i="1"/>
  <c r="B161" i="1"/>
  <c r="F160" i="1"/>
  <c r="B160" i="1"/>
  <c r="F159" i="1"/>
  <c r="B159" i="1"/>
  <c r="F158" i="1"/>
  <c r="B158" i="1"/>
  <c r="F157" i="1"/>
  <c r="B157" i="1"/>
  <c r="F156" i="1"/>
  <c r="B156" i="1"/>
  <c r="F155" i="1"/>
  <c r="B155" i="1"/>
  <c r="F154" i="1"/>
  <c r="B154" i="1"/>
  <c r="F153" i="1"/>
  <c r="B153" i="1"/>
  <c r="F152" i="1"/>
  <c r="B152" i="1"/>
  <c r="F151" i="1"/>
  <c r="B151" i="1"/>
  <c r="F150" i="1"/>
  <c r="B150" i="1"/>
  <c r="F149" i="1"/>
  <c r="B149" i="1"/>
  <c r="F148" i="1"/>
  <c r="B148" i="1"/>
  <c r="F147" i="1"/>
  <c r="B147" i="1"/>
  <c r="F146" i="1"/>
  <c r="B146" i="1"/>
  <c r="F145" i="1"/>
  <c r="B145" i="1"/>
  <c r="F144" i="1"/>
  <c r="B144" i="1"/>
  <c r="F143" i="1"/>
  <c r="B143" i="1"/>
  <c r="F142" i="1"/>
  <c r="B142" i="1"/>
  <c r="F141" i="1"/>
  <c r="B141" i="1"/>
  <c r="F140" i="1"/>
  <c r="B140" i="1"/>
  <c r="F139" i="1"/>
  <c r="B139" i="1"/>
  <c r="F138" i="1"/>
  <c r="B138" i="1"/>
  <c r="F137" i="1"/>
  <c r="B137" i="1"/>
  <c r="F136" i="1"/>
  <c r="B136" i="1"/>
  <c r="F135" i="1"/>
  <c r="B135" i="1"/>
  <c r="F134" i="1"/>
  <c r="B134" i="1"/>
  <c r="F133" i="1"/>
  <c r="B133" i="1"/>
  <c r="F132" i="1"/>
  <c r="B132" i="1"/>
  <c r="F131" i="1"/>
  <c r="B131" i="1"/>
  <c r="F130" i="1"/>
  <c r="B130" i="1"/>
  <c r="F129" i="1"/>
  <c r="B129" i="1"/>
  <c r="F128" i="1"/>
  <c r="B128" i="1"/>
  <c r="F127" i="1"/>
  <c r="B127" i="1"/>
  <c r="F126" i="1"/>
  <c r="B126" i="1"/>
  <c r="F125" i="1"/>
  <c r="B125" i="1"/>
  <c r="F124" i="1"/>
  <c r="B124" i="1"/>
  <c r="F123" i="1"/>
  <c r="B123" i="1"/>
  <c r="F122" i="1"/>
  <c r="B122" i="1"/>
  <c r="F121" i="1"/>
  <c r="B121" i="1"/>
  <c r="F120" i="1"/>
  <c r="B120" i="1"/>
  <c r="F119" i="1"/>
  <c r="B119" i="1"/>
  <c r="F118" i="1"/>
  <c r="B118" i="1"/>
  <c r="F117" i="1"/>
  <c r="B117" i="1"/>
  <c r="F116" i="1"/>
  <c r="B116" i="1"/>
  <c r="F115" i="1"/>
  <c r="B115" i="1"/>
  <c r="F114" i="1"/>
  <c r="B114" i="1"/>
  <c r="F113" i="1"/>
  <c r="B113" i="1"/>
  <c r="F112" i="1"/>
  <c r="B112" i="1"/>
  <c r="F111" i="1"/>
  <c r="B111" i="1"/>
  <c r="F110" i="1"/>
  <c r="B110" i="1"/>
  <c r="F109" i="1"/>
  <c r="B109" i="1"/>
  <c r="F108" i="1"/>
  <c r="B108" i="1"/>
  <c r="F107" i="1"/>
  <c r="B107" i="1"/>
  <c r="F106" i="1"/>
  <c r="B106" i="1"/>
  <c r="F105" i="1"/>
  <c r="B105" i="1"/>
  <c r="F104" i="1"/>
  <c r="B104" i="1"/>
  <c r="F103" i="1"/>
  <c r="B103" i="1"/>
  <c r="F102" i="1"/>
  <c r="B102" i="1"/>
  <c r="F101" i="1"/>
  <c r="B101" i="1"/>
  <c r="F100" i="1"/>
  <c r="B100" i="1"/>
  <c r="F99" i="1"/>
  <c r="B99" i="1"/>
  <c r="F98" i="1"/>
  <c r="B98" i="1"/>
  <c r="F97" i="1"/>
  <c r="B97" i="1"/>
  <c r="F96" i="1"/>
  <c r="B96" i="1"/>
  <c r="F95" i="1"/>
  <c r="B95" i="1"/>
  <c r="F94" i="1"/>
  <c r="B94" i="1"/>
  <c r="F93" i="1"/>
  <c r="B93" i="1"/>
  <c r="F92" i="1"/>
  <c r="B92" i="1"/>
  <c r="F91" i="1"/>
  <c r="B91" i="1"/>
  <c r="F90" i="1"/>
  <c r="B90" i="1"/>
  <c r="F89" i="1"/>
  <c r="B89" i="1"/>
  <c r="F88" i="1"/>
  <c r="B88" i="1"/>
  <c r="F87" i="1"/>
  <c r="B87" i="1"/>
  <c r="F86" i="1"/>
  <c r="B86" i="1"/>
  <c r="F85" i="1"/>
  <c r="B85" i="1"/>
  <c r="F84" i="1"/>
  <c r="B84" i="1"/>
  <c r="F83" i="1"/>
  <c r="B83" i="1"/>
  <c r="F82" i="1"/>
  <c r="B82" i="1"/>
  <c r="F81" i="1"/>
  <c r="B81" i="1"/>
  <c r="F80" i="1"/>
  <c r="B80" i="1"/>
  <c r="F79" i="1"/>
  <c r="B79" i="1"/>
  <c r="F78" i="1"/>
  <c r="B78" i="1"/>
  <c r="F77" i="1"/>
  <c r="B77" i="1"/>
  <c r="F76" i="1"/>
  <c r="B76" i="1"/>
  <c r="F75" i="1"/>
  <c r="B75" i="1"/>
  <c r="F74" i="1"/>
  <c r="B74" i="1"/>
  <c r="F73" i="1"/>
  <c r="B73" i="1"/>
  <c r="F72" i="1"/>
  <c r="B72" i="1"/>
  <c r="F71" i="1"/>
  <c r="B71" i="1"/>
  <c r="F70" i="1"/>
  <c r="B70" i="1"/>
  <c r="F69" i="1"/>
  <c r="B69" i="1"/>
  <c r="F68" i="1"/>
  <c r="B68" i="1"/>
  <c r="F67" i="1"/>
  <c r="B67" i="1"/>
  <c r="F66" i="1"/>
  <c r="B66" i="1"/>
  <c r="F65" i="1"/>
  <c r="B65" i="1"/>
  <c r="F64" i="1"/>
  <c r="B64" i="1"/>
  <c r="F63" i="1"/>
  <c r="B63" i="1"/>
  <c r="F62" i="1"/>
  <c r="B62" i="1"/>
  <c r="F61" i="1"/>
  <c r="B61" i="1"/>
  <c r="F60" i="1"/>
  <c r="B60" i="1"/>
  <c r="F59" i="1"/>
  <c r="B59" i="1"/>
  <c r="F58" i="1"/>
  <c r="B58" i="1"/>
  <c r="F57" i="1"/>
  <c r="B57" i="1"/>
  <c r="F56" i="1"/>
  <c r="B56" i="1"/>
  <c r="F55" i="1"/>
  <c r="B55" i="1"/>
  <c r="F54" i="1"/>
  <c r="B54" i="1"/>
  <c r="F53" i="1"/>
  <c r="B53" i="1"/>
  <c r="F52" i="1"/>
  <c r="B52" i="1"/>
  <c r="F51" i="1"/>
  <c r="B51" i="1"/>
  <c r="F50" i="1"/>
  <c r="B50" i="1"/>
  <c r="F49" i="1"/>
  <c r="B49" i="1"/>
  <c r="F48" i="1"/>
  <c r="B48" i="1"/>
  <c r="F47" i="1"/>
  <c r="B47" i="1"/>
  <c r="F46" i="1"/>
  <c r="B46" i="1"/>
  <c r="F45" i="1"/>
  <c r="B45" i="1"/>
  <c r="F44" i="1"/>
  <c r="B44" i="1"/>
  <c r="F43" i="1"/>
  <c r="B43" i="1"/>
  <c r="F42" i="1"/>
  <c r="B42" i="1"/>
  <c r="F41" i="1"/>
  <c r="B41" i="1"/>
  <c r="F40" i="1"/>
  <c r="B40" i="1"/>
  <c r="F39" i="1"/>
  <c r="B39" i="1"/>
  <c r="F38" i="1"/>
  <c r="B38" i="1"/>
  <c r="F37" i="1"/>
  <c r="B37" i="1"/>
  <c r="F36" i="1"/>
  <c r="B36" i="1"/>
  <c r="F35" i="1"/>
  <c r="B35" i="1"/>
  <c r="F34" i="1"/>
  <c r="B34" i="1"/>
  <c r="F33" i="1"/>
  <c r="B33" i="1"/>
  <c r="F32" i="1"/>
  <c r="B32" i="1"/>
  <c r="F31" i="1"/>
  <c r="B31" i="1"/>
  <c r="F30" i="1"/>
  <c r="B30" i="1"/>
  <c r="F29" i="1"/>
  <c r="B29" i="1"/>
  <c r="F28" i="1"/>
  <c r="B28" i="1"/>
  <c r="F27" i="1"/>
  <c r="B27" i="1"/>
  <c r="F26" i="1"/>
  <c r="B26" i="1"/>
  <c r="F25" i="1"/>
  <c r="B25" i="1"/>
  <c r="F24" i="1"/>
  <c r="B24" i="1"/>
  <c r="F23" i="1"/>
  <c r="B23" i="1"/>
  <c r="F22" i="1"/>
  <c r="B22" i="1"/>
  <c r="F21" i="1"/>
  <c r="B21" i="1"/>
  <c r="F20" i="1"/>
  <c r="B20" i="1"/>
  <c r="F19" i="1"/>
  <c r="B19" i="1"/>
  <c r="F18" i="1"/>
  <c r="B18" i="1"/>
  <c r="F17" i="1"/>
  <c r="B17" i="1"/>
  <c r="F16" i="1"/>
  <c r="B16" i="1"/>
  <c r="F15" i="1"/>
  <c r="B15" i="1"/>
  <c r="F14" i="1"/>
  <c r="B14" i="1"/>
  <c r="F13" i="1"/>
  <c r="B13" i="1"/>
  <c r="F12" i="1"/>
  <c r="B12" i="1"/>
  <c r="F11" i="1"/>
  <c r="B11" i="1"/>
  <c r="F10" i="1"/>
  <c r="B10" i="1"/>
  <c r="F9" i="1"/>
  <c r="B9" i="1"/>
  <c r="F8" i="1"/>
  <c r="B8" i="1"/>
  <c r="F7" i="1"/>
  <c r="B7" i="1"/>
  <c r="F6" i="1"/>
  <c r="B6" i="1"/>
  <c r="F5" i="1"/>
  <c r="B5" i="1"/>
  <c r="F4" i="1"/>
  <c r="B4" i="1"/>
  <c r="F3" i="1"/>
  <c r="B3" i="1"/>
  <c r="F2" i="1"/>
  <c r="B2" i="1"/>
</calcChain>
</file>

<file path=xl/sharedStrings.xml><?xml version="1.0" encoding="utf-8"?>
<sst xmlns="http://schemas.openxmlformats.org/spreadsheetml/2006/main" count="100334" uniqueCount="17694">
  <si>
    <t>监测对象名称</t>
  </si>
  <si>
    <t>标题</t>
  </si>
  <si>
    <t>倾向性</t>
  </si>
  <si>
    <t>发布媒体</t>
  </si>
  <si>
    <t>来源频道</t>
  </si>
  <si>
    <t>链接地址</t>
  </si>
  <si>
    <t>关键词</t>
  </si>
  <si>
    <t>摘要</t>
  </si>
  <si>
    <t>媒体类别</t>
  </si>
  <si>
    <t>作者</t>
  </si>
  <si>
    <t>发布时间</t>
  </si>
  <si>
    <t>字数</t>
  </si>
  <si>
    <t>车质网</t>
  </si>
  <si>
    <t>中性</t>
  </si>
  <si>
    <t>投诉编号：【449458】 
投诉时间： 2020-02-29 22:42 
投诉品牌： 长城汽车 
投诉车系： 哈弗F7 
投诉车型： 2020款 2.0T 两驱 i范 哈弗F7发动机在运转过程中有异常响声，发动机滋滋啦啦的声音</t>
  </si>
  <si>
    <t>论坛</t>
  </si>
  <si>
    <t>2020/02/29 23:59:59</t>
  </si>
  <si>
    <t>质量投诉</t>
  </si>
  <si>
    <t>投诉编号：【449466】  投诉时间： 2020-02-29 23:52  投诉品牌： 上汽大众  投诉车系： 途观L  投诉车型： 2019款 330TSI 自动 两驱 智动豪华版 国V        投诉内容  正常行驶，D挡，40—60km速度区间换挡过于积极，导致高档低转速动力不足震动严重</t>
  </si>
  <si>
    <t>新闻</t>
  </si>
  <si>
    <t>2020/02/29 23:52:00</t>
  </si>
  <si>
    <t xml:space="preserve">投诉编号：【449462】  投诉时间： 2020-02-29 23:10  投诉品牌： 雷克萨斯  投诉车系： 雷克萨斯ES  投诉车型： 2020款 260 卓越版        投诉内容  雷克萨斯ES驻车系统和发动机故障灯亮，刚开3000多公里无欲无故出现故障。要求厂家尽快解决。      </t>
  </si>
  <si>
    <t>2020/02/29 23:10:00</t>
  </si>
  <si>
    <t>车质网论坛</t>
  </si>
  <si>
    <t>中国最大的一汽自主品牌生产出来的东西，十多的车用三百块钱的一条轮胎。新车不到一万公里轮胎起包没注意，跑高速爆胎发生交通事故，差点丢了性命。专门坑老百姓的,一点良心没有</t>
  </si>
  <si>
    <t>13359691611</t>
  </si>
  <si>
    <t>2020/02/29 23:09:00</t>
  </si>
  <si>
    <t>七嘴八舌</t>
  </si>
  <si>
    <t>七嘴八舌论坛</t>
  </si>
  <si>
    <t>新车不到一万公里轮胎起包  跑高速爆胎发生交通事故 中国最大的一汽自主品牌生产出来的东西，十多的车用三百块钱的一条轮胎。新车不到一万公里轮胎起包没注意，跑高速爆胎发生交通事故，差点丢了性命。专门坑老百姓的,一点良心没有</t>
  </si>
  <si>
    <t>投诉编号：【449459】  投诉时间： 2020-02-29 22:45  投诉品牌： 吉利汽车  投诉车系： 博瑞  投诉车型： 2015款 2.4L 舒适型        投诉内容  车子刚买时，40码时就出现导响，目前一直存在。7.5W公里的时候出现倒车没劲现象，也没当回事，之后了解是打滑导</t>
  </si>
  <si>
    <t>2020/02/29 22:45:00</t>
  </si>
  <si>
    <t>投诉编号：【449456】 
投诉时间： 2020-02-29 22:11 
投诉品牌： 北京现代 
投诉车系： 瑞纳 
投诉车型： 2017款 1.4L 手动 焕新版 国V 离合器泵漏油频发</t>
  </si>
  <si>
    <t>2020/02/29 22:28:02</t>
  </si>
  <si>
    <t>投诉编号：【449457】  投诉时间： 2020-02-29 22:18  投诉品牌： 海马汽车  投诉车系： 海马S5  投诉车型： 2015款 1.5T CVT 旗舰型        投诉内容  从15年买车没两个月出现一次早上用车挂R挡，车辆我反应，熄火在启动就好了，立马去南通市海马4S店，</t>
  </si>
  <si>
    <t>2020/02/29 22:18:00</t>
  </si>
  <si>
    <t>投诉编号：【449456】  投诉时间： 2020-02-29 22:11  投诉品牌： 北京现代  投诉车系： 瑞纳  投诉车型： 2017款 1.4L 手动 焕新版 国V        投诉内容  北京现代瑞纳离合器泵漏油存在安全隐患，车在行驶不到5000公里发生离合器泵漏油，因为和刹车油公用一</t>
  </si>
  <si>
    <t>2020/02/29 22:11:00</t>
  </si>
  <si>
    <t>投诉编号：【449455】  投诉时间： 2020-02-29 22:04  投诉品牌： 东风雷诺  投诉车系： 科雷傲  投诉车型： 2018款 2.5L 两驱 尊贵版        投诉内容  车开起来只要发动机转速在1200-1400转方向盘就会抖动，跟速度没有关系就是这个转速区间会都抖动，低</t>
  </si>
  <si>
    <t>2020/02/29 22:04:00</t>
  </si>
  <si>
    <t>投诉编号：【449454】  投诉时间： 2020-02-29 22:00  投诉品牌： 一汽-大众  投诉车系： 宝来  投诉车型： 2015款 1.6L 手动 时尚型 质惠版        投诉内容  一汽大众宝来车顶裂漆，多次给厂家投诉一直不给处理，要求厂家解决。      投诉回复  车质网</t>
  </si>
  <si>
    <t>2020/02/29 22:00:00</t>
  </si>
  <si>
    <t>投诉编号：【449453】  投诉时间： 2020-02-29 21:58  投诉品牌： 上汽大众  投诉车系： 朗逸  投诉车型： 2018款 1.5L 自动 风尚版 经典 国VI        投诉内容  2020年2月22日，胎压监测第二次亮起，（购车后2个月时就亮起一次，去修理检查，胎压没有</t>
  </si>
  <si>
    <t>2020/02/29 21:58:00</t>
  </si>
  <si>
    <t>车子刚买了近两个月跑了1800公里左右，出现了发动机故障灯亮，到4s店检测，故障码P044200油箱排气系统，识别到少量泄露！有处理好的吗？</t>
  </si>
  <si>
    <t>2020/02/29 21:34:01</t>
  </si>
  <si>
    <t>打火与挂入R倒异响的厉害同时也会抖动，这是什么原因导致的？</t>
  </si>
  <si>
    <t>2020/02/29 21:29:59</t>
  </si>
  <si>
    <t>如题，雷克萨斯RX这款车质量如何，不知有没有什么大的缺陷，优缺点是什么？</t>
  </si>
  <si>
    <t>2020/02/29 21:25:25</t>
  </si>
  <si>
    <t>领克01轮胎装反了对车辆有什么影响吗？想问一下19款领克01轮胎装反了，有影响吗？</t>
  </si>
  <si>
    <t>投诉编号：【449440】 
投诉时间： 2020-02-29 20:34 
投诉品牌： 一汽-大众 
投诉车系： 探岳 
投诉车型： 2019款 330TSI 四驱 豪华型 国V ，车灯好似“白内障”，照明效果差</t>
  </si>
  <si>
    <t>2020/02/29 21:22:53</t>
  </si>
  <si>
    <t>投诉编号：【449440】 
投诉时间： 2020-02-29 20:34 
投诉品牌： 一汽-大众 
投诉车系： 探岳 
投诉车型： 2019款 330TSI 四驱 豪华型 国V 大灯远光灯不亮，曾经维修过整个大灯换掉</t>
  </si>
  <si>
    <t>2020/02/29 21:22:44</t>
  </si>
  <si>
    <t xml:space="preserve">投诉编号：【449443】 
投诉时间： 2020-02-29 20:47 
投诉品牌： 广汽丰田 
投诉车系： 雷凌 
投诉车型： 2017款 1.2T E CVT 新锐版 </t>
  </si>
  <si>
    <t>2020/02/29 21:22:34</t>
  </si>
  <si>
    <t>投诉编号：【449447】  投诉时间： 2020-02-29 21:22  投诉品牌： 东风标致  投诉车系： 标致4008  投诉车型： 2018款 350THP 精英版        投诉内容  买车行驶了1万多公里出现打不着火问题，给总厂打了电话总厂联系西宁4s店给修4s店修了之后说是好了之</t>
  </si>
  <si>
    <t>2020/02/29 21:22:00</t>
  </si>
  <si>
    <t xml:space="preserve">投诉编号：【449434】 
投诉时间： 2020-02-29 20:08 
投诉品牌： 一汽丰田 
投诉车系： 亚洲龙 
投诉车型： 2019款 2.5L Touring 尊贵版 国Ⅵ </t>
  </si>
  <si>
    <t>2020/02/29 21:17:45</t>
  </si>
  <si>
    <t>投诉编号：【449446】  投诉时间： 2020-02-29 21:17  投诉品牌： 一汽-大众  投诉车系： 速腾  投诉车型： 2019款 200TSI 手动 舒适型 国VI        投诉内容  车辆起步、跟车，离合器半联动时发动机转速自动升高至1800-2000转。不安全因素加大，离</t>
  </si>
  <si>
    <t>2020/02/29 21:17:00</t>
  </si>
  <si>
    <t>看着别人说异响，漏油，油耗高，我都可以接受，唯独仪表失灵，跑着突然没有助力，，真不知道接下去会发生什么，厂家一说就是不在质保期，让用户的安全怎么办额。</t>
  </si>
  <si>
    <t>023一路顺风</t>
  </si>
  <si>
    <t>2020/02/29 21:03:00</t>
  </si>
  <si>
    <t>故障交流</t>
  </si>
  <si>
    <t>故障交流论坛</t>
  </si>
  <si>
    <t>北汽幻速异响/漏油/油耗高/仪表失灵 跑着突然没有助力看着别人说异响，漏油，油耗高，我都可以接受，唯独仪表失灵，跑着突然没有助力，，真不知道接下去会发生什么，厂家一说就是不在质保期，让用户的安全怎么办额。</t>
  </si>
  <si>
    <t xml:space="preserve">投诉编号：【449433】
    投诉时间： 2020-02-29 20:04
    投诉品牌： 一汽丰田
    投诉车系： 亚洲龙
    投诉车型： 2019款 双擎 2.5L XLE 尊贵版 国Ⅵ
</t>
  </si>
  <si>
    <t>2020/02/29 20:39:59</t>
  </si>
  <si>
    <t>投诉编号：【449438】  投诉时间： 2020-02-29 20:32  投诉品牌： 奥迪（进口）  投诉车系： 奥迪A7  投诉车型： 2019款 55 TFSI quattro 动感型        投诉内容  2019年9月份发现灯光故障，显示左前、右前远光灯近光灯转向灯故障，9月25号开</t>
  </si>
  <si>
    <t>2020/02/29 20:32:00</t>
  </si>
  <si>
    <t>投诉编号：【449437】  投诉时间： 2020-02-29 20:28  投诉品牌： 广汽三菱  投诉车系： 劲炫ASX  投诉车型： 2018款 2.0L CVT 两驱 尊享版        投诉内容  投诉:1、销售顾问欺骗消费者态度十分蛮横。2、2020年1月6日提新车那天，发现新车发动机</t>
  </si>
  <si>
    <t>2020/02/29 20:28:00</t>
  </si>
  <si>
    <t>投诉编号：【449436】  投诉时间： 2020-02-29 20:21  投诉品牌： 一汽-大众  投诉车系： 探岳  投诉车型： 2019款 330TSI 两驱 豪华型 国Ⅵ        投诉内容  大灯亮度不够，夜间行车视野严重不足，严重影响行车安全。去4S店后，说正常，真他妈扯蛋！希望厂</t>
  </si>
  <si>
    <t>2020/02/29 20:21:00</t>
  </si>
  <si>
    <t>投诉编号：【449435】  投诉时间： 2020-02-29 20:18  投诉品牌： 长安汽车  投诉车系： 悦翔V3  投诉车型： 2015款 1.4L 美满型 国V        投诉内容  2016年3月底，我在庆阳金长安汽车销售有限公司买了2015款1.4升长安悦翔V3小轿车。不到两年，</t>
  </si>
  <si>
    <t>2020/02/29 20:18:00</t>
  </si>
  <si>
    <t>投诉编号：【449429】 
投诉时间： 2020-02-29 19:33 
投诉品牌： 东风标致 
投诉车系： 标致408 
投诉车型： 2015款 1.2T 自动 豪华版 发动机突然熄火故障灯常亮、轮胎开裂、车窗升降故障</t>
  </si>
  <si>
    <t>2020/02/29 20:03:10</t>
  </si>
  <si>
    <t>投诉编号：【449432】  投诉时间： 2020-02-29 20:00  投诉品牌： 上汽集团  投诉车系： 荣威RX3  投诉车型： 2020款 1.6L 手动 4G互联超爽旗舰版        投诉内容  上汽荣威RX3全车窗玻璃有严重裂纹，要求厂家尽快处理好车辆的问题。      投诉回复</t>
  </si>
  <si>
    <t>2020/02/29 20:00:00</t>
  </si>
  <si>
    <t>车子刚买了近两个月跑了1800公里左右，出现了发动机故障灯亮，到4s店检测，故障码P044200油箱排气系统，识别到少量泄露！第二次去4s店了，换了碳罐电磁阀及油箱盖试试有没有效果，暂不确定能不能彻底解决，不知在这里能不能得到帮助分析下原因！</t>
  </si>
  <si>
    <t>2020/02/29 19:41:27</t>
  </si>
  <si>
    <t>汽车在行驶中熄火仪表盘上也没有亮灯，4S店也检查不出来是这是什么原因？</t>
  </si>
  <si>
    <t>2020/02/29 19:33:34</t>
  </si>
  <si>
    <t>投诉编号：【449423】 
投诉时间： 2020-02-29 18:58 
投诉品牌： 上汽集团 
投诉车系： 荣威350 
投诉车型： 2013款 1.5L 自动 迅悦版 350C 发动机正时链条拉长，正时系统故障</t>
  </si>
  <si>
    <t>2020/02/29 19:29:12</t>
  </si>
  <si>
    <t xml:space="preserve">投诉编号：【449419】 
投诉时间： 2020-02-29 18:21 
投诉品牌： 北京奔驰 
投诉车系： 奔驰GLC 
投诉车型： 2018款 GLC 260 4MATIC 动感型 改款 </t>
  </si>
  <si>
    <t>2020/02/29 19:11:32</t>
  </si>
  <si>
    <t>投诉编号：【449424】  投诉时间： 2020-02-29 19:04  投诉品牌： 一汽丰田  投诉车系： 亚洲龙  投诉车型： 2019款 2.5L Touring 尊贵版 国Ⅵ        投诉内容  提车第二天，就发现异响，前前后后跑了几十趟4S店有了，车内各种异响，天窗异响，天窗外部</t>
  </si>
  <si>
    <t>2020/02/29 19:04:00</t>
  </si>
  <si>
    <t>投诉编号：【449422】  投诉时间： 2020-02-29 18:39  投诉品牌： 众泰汽车  投诉车系： 众泰T300  投诉车型： 2017款 1.5T CVT 尊享型        投诉内容  因为距离问题，所以首保去了最近的4s店，众泰4S店，之后还有一些小问题，免费保修的还是去这家四</t>
  </si>
  <si>
    <t>2020/02/29 18:39:00</t>
  </si>
  <si>
    <t>投诉编号：【449418】  投诉时间： 2020-02-29 18:21  投诉品牌： 华晨宝马  投诉车系： 宝马X1  投诉车型： 2018款 sDrive20Li 领先型        投诉内容  华晨宝马X1高速行驶向右打方向盘时有异响，80迈听到打铁的声音，100迈以上峰鸣磨铁，太吓人了</t>
  </si>
  <si>
    <t>2020/02/29 18:21:00</t>
  </si>
  <si>
    <t>专栏 &gt; </t>
  </si>
  <si>
    <t>2020年伊始，一场突如其来的新冠肺炎疫情悄然改变了人们的工作和生活模式。面对防不胜防的新冠病毒，除了勤洗手戴口罩外，车内空气安全问题也再次成为舆论关注的焦点。事实上，随着近年来雾霾问题逐步在全国范围内蔓延，改善车内空气质量，打造健康汽车便一直是整个汽车行业的重点研发方向。而具备PM2.5过滤功能的</t>
  </si>
  <si>
    <t>2020/02/29 18:14:00</t>
  </si>
  <si>
    <t>　　2020年伊始，一场突如其来的新冠肺炎疫情悄然改变了人们的工作和生活模式。面对防不胜防的新冠病毒，除了勤洗手戴口罩外，车内空气安全问题也再次成为舆论关注的焦点。事实上，随着近年来雾霾问题逐步在全国范围内蔓延，改善车内空气质量，打造健康汽车便一直是整个汽车行业的重点研发方向。而具备PM2.5过滤功</t>
  </si>
  <si>
    <t>李丰</t>
  </si>
  <si>
    <t>方向助力泵皮带怎么样才能装进去呢？</t>
  </si>
  <si>
    <t>2020/02/29 17:53:21</t>
  </si>
  <si>
    <t>2017款名图1.8L智能，车子在路上开的好好的！大概50码！突然自动启停灯闪、老是闪（Ａ闪）！只能10，20码走，停下等它不闪了又可以走！走一会又出现这样的问题！反反复复！这个真的很危险！万一在高速上有这个问题！那就完了！各位你们遇到过这个问题吗？这个是什么原因照成的啊？仪表盘上就只有启停灯亮！其</t>
  </si>
  <si>
    <t>大众途观L小毛病多吗，保值率多少？开个七八年问题多吗。</t>
  </si>
  <si>
    <t>2020/02/29 17:49:16</t>
  </si>
  <si>
    <t>投诉编号：【449414】投诉时间：2020-02-2917:48投诉品牌：海马汽车投诉车系：海马8S投诉车型：2019款1.6TGDI自动潮版投诉内容2020年1月20号于平顶山4s店购买海马8S自动潮版一台，2020年2月29日现行驶612公里，打算给底盘喷装甲的时候发现底盘挂壁生锈和底盘尾部螺</t>
  </si>
  <si>
    <t>2020/02/29 17:48:00</t>
  </si>
  <si>
    <t xml:space="preserve">投诉编号：【449413】  投诉时间： 2020-02-29 17:38  投诉品牌： 上汽大众  投诉车系： 辉昂  投诉车型： 2018款 380TSI 两驱 旗舰版 改款        投诉内容  倒车时候车身抖动，在廊坊4S店提过几次工作人员解释说这不是什么问题，因此希望厂家协助处理。  </t>
  </si>
  <si>
    <t>2020/02/29 17:38:00</t>
  </si>
  <si>
    <t xml:space="preserve">投诉编号：【449410】  投诉时间： 2020-02-29 17:26  投诉品牌： 北京现代  投诉车系： 现代ix35  投诉车型： 2013款 2.0L 自动 四驱 智能型GLS 国IV        投诉内容  北京现代ix35发动机异响拉缸，存在质量问题，希望厂家处理问题。      </t>
  </si>
  <si>
    <t>2020/02/29 17:26:00</t>
  </si>
  <si>
    <t>投诉编号：【449409】  投诉时间： 2020-02-29 17:26  投诉品牌： 领克汽车  投诉车系： 领克01  投诉车型： 2017款 2.0T 双离合 四驱 劲Pro        投诉内容  2018年夏季厂家通知升级，告知解决亏电问题，未告知改变动力和调教。升级后油耗变高，动力变</t>
  </si>
  <si>
    <t>投诉编号：【449408】投诉时间：2020-02-2917:21投诉品牌：华晨宝马投诉车系：宝马X1投诉车型：2018款sDrive18Li尊享型投诉内容右前刹车分泵不回位导致内侧刹车片偏磨，继而磨坏刹车盘、刹车片，到石家庄4S店检测，告知是正常磨损需要自费更换，且刹车分泵没问题无需更换，我觉得4</t>
  </si>
  <si>
    <t>2020/02/29 17:21:00</t>
  </si>
  <si>
    <t>投诉编号：【449405】  投诉时间： 2020-02-29 17:12  投诉品牌： 北京现代  投诉车系： 悦动  投诉车型： 2018款 1.6L 手动 悦目版 GL 国VI        投诉内容  北京现代悦动后轮吃胎，6万公里时发现后轮吃胎严重，与4s店沟通做了动平衡，7万多公里做了四</t>
  </si>
  <si>
    <t>2020/02/29 17:12:00</t>
  </si>
  <si>
    <t xml:space="preserve">投诉编号：【449402】  投诉时间： 2020-02-29 16:55  投诉品牌： 广汽丰田  投诉车系： 凯美瑞  投诉车型： 2015款 2.0G 自动 领先版        投诉内容  15款凯美瑞与19年12月份保养时，发现左右内半轴和球笼套漏油严重！希望厂家给与免费更换。      </t>
  </si>
  <si>
    <t>2020/02/29 16:55:00</t>
  </si>
  <si>
    <t>投诉编号：【449401】  投诉时间： 2020-02-29 16:54  投诉品牌： 上汽大众  投诉车系： 凌渡  投诉车型： 2017款 280TSI DSG 舒适版        投诉内容  此款凌渡车型吃胎相当的严重，问4s店竟然回复我说这个是正常的，然后说大众凌渡这个是普遍的问题，让我</t>
  </si>
  <si>
    <t>2020/02/29 16:54:00</t>
  </si>
  <si>
    <t xml:space="preserve">投诉编号：【449399】  投诉时间： 2020-02-29 16:43  投诉品牌： 东风本田  投诉车系： 艾力绅  投诉车型： 2016款 2.4L 风尚版        投诉内容  东风本田艾力绅天窗生锈，不到一年的新车跑了18000公里自己刷车的时候发现这个问题，应该是出厂就有的问题。 </t>
  </si>
  <si>
    <t>2020/02/29 16:43:00</t>
  </si>
  <si>
    <t>投诉编号：【449398】投诉时间：2020-02-2916:10投诉品牌：一汽-大众投诉车系：速腾投诉车型：2017款1.6L自动舒适型投诉内容2019.10月做完动平衡，四轮定位，方向盘抖动严重，在4S店处理两次依然处理不好，要求退还动平衡和四轮定位费用。投诉回复车质网已将您的投诉转给生产企业以</t>
  </si>
  <si>
    <t>2020/02/29 16:10:00</t>
  </si>
  <si>
    <t>投诉编号：【449397】  投诉时间： 2020-02-29 16:07  投诉品牌： 上汽通用五菱  投诉车系： 宝骏560  投诉车型： 2016款 1.5T 手动 豪华型        投诉内容  宝骏560漆面生锈，尤其是后备箱玻璃下方生锈严重，宝骏560主驾驶。座椅边缘严重凹陷。希望厂家</t>
  </si>
  <si>
    <t>2020/02/29 16:07:00</t>
  </si>
  <si>
    <t>25%正面偏置碰撞测试最早由IIHS在2012年8月开始在美国进行，目的是“模拟车辆左前侧与另外一辆车或者诸如树和电线杆发生碰撞时的场景”。这项测试几乎完全避开了车辆的纵梁，所以最初开始施行的时候，除了一两款车型外，绝大部分车型的成绩都被这项测试“撞得人仰马翻”。（下图为参加25%正面偏置碰撞测试的</t>
  </si>
  <si>
    <t>紫霞霞铃</t>
  </si>
  <si>
    <t>2020/02/29 15:44:00</t>
  </si>
  <si>
    <t>客观说说众多车企掉坑的25%偏置碰撞测试25%正面偏置碰撞测试最早由IIHS在2012年8月开始在美国进行，目的是“模拟车辆左前侧与另外一辆车或者诸如树和电线杆发生碰撞时的场景”。这项测试几乎完全避开了车辆的纵梁，所以最初开始施行的时候，除了一两款车型外，绝大部分车型的成绩都被这项测试“撞得人仰马翻</t>
  </si>
  <si>
    <t>新远景的正时皮带和空调皮带还有发动机皮带是同一根吗？</t>
  </si>
  <si>
    <t>2020/02/29 15:42:54</t>
  </si>
  <si>
    <t>投诉编号：【449390】  投诉时间： 2020-02-29 15:21  投诉品牌： 众泰汽车  投诉车系： 众泰Z700  投诉车型： 2016款 1.8T 手动 尊贵型        投诉内容  好多配件在保期间坏了，拖着不索赔，直到拖到过保了，答复就是厂家没有货，售后给换了主驾驶座椅，换完</t>
  </si>
  <si>
    <t>2020/02/29 15:21:00</t>
  </si>
  <si>
    <t>投诉编号：【449389】  投诉时间： 2020-02-29 15:13  投诉品牌： 一汽丰田  投诉车系： 亚洲龙  投诉车型： 2019款 双擎 2.5L XLE 尊贵版 国Ⅵ        投诉内容  一汽丰田亚洲龙机油增多超过标尺线刻度，汽车正常行驶保养，近期发现机油已经超上线，希望厂家</t>
  </si>
  <si>
    <t>2020/02/29 15:13:00</t>
  </si>
  <si>
    <t>投诉编号：【449387】投诉时间：2020-02-2915:12投诉品牌：吉利汽车投诉车系：帝豪投诉车型：2016款1.3T手动向上版三厢投诉内容车门内部防水没做好，从里面往外锈，已贯穿，售后不理赔，这是出厂就有的质量问题，希望给予理赔。投诉回复车质网已将您的投诉转给生产企业以及国家市场监督管理总</t>
  </si>
  <si>
    <t>2020/02/29 15:12:00</t>
  </si>
  <si>
    <t>投诉编号：【449386】  投诉时间： 2020-02-29 15:09  投诉品牌： 一汽-大众  投诉车系： 探岳  投诉车型： 2019款 330TSI 两驱 豪华型 国Ⅵ        投诉内容  由于疫情原因，不能回徐州首保，并在当地一汽大众首保，因为大灯模糊，透镜表面附着油污异物等，提</t>
  </si>
  <si>
    <t>2020/02/29 15:09:00</t>
  </si>
  <si>
    <t>昨天下雨，开着雨刮器，等红灯踩着刹车，然后刹车踏板和雨刮器频率相同震动，一来一回的。</t>
  </si>
  <si>
    <t>2020/02/29 15:05:30</t>
  </si>
  <si>
    <t>埃尔法改装WALD</t>
  </si>
  <si>
    <t>AA车之易</t>
  </si>
  <si>
    <t>2020/02/29 15:04:00</t>
  </si>
  <si>
    <t>埃尔法改装WALD 你喜欢吗埃尔法改装WALD</t>
  </si>
  <si>
    <t>投诉编号：【449382】投诉时间：2020-02-2914:54投诉品牌：东风雪铁龙投诉车系：世嘉投诉车型：2016款1.6L手动CNG经典投诉内容雪铁龙经销商保养变速箱不加油致损坏?拒不赔偿！本人于2019年12月26日在4S店保养车辆，之后几天总听到车有异响，联系4S店，商量年后再去查找原因，</t>
  </si>
  <si>
    <t>2020/02/29 14:54:00</t>
  </si>
  <si>
    <t>投诉编号：【449381】  投诉时间： 2020-02-29 14:48  投诉品牌： 吉利汽车  投诉车系： 帝豪GL  投诉车型： 2017款 1.3T 手动 精英型        投诉内容  4s店给我更换上去的新座椅，品质舒适柔软度和我原车上的差距极大，4s店说跟我同一批下线的品质座椅停产</t>
  </si>
  <si>
    <t>2020/02/29 14:48:00</t>
  </si>
  <si>
    <t>投诉编号：【449380】投诉时间：2020-02-2914:40投诉品牌：上汽大众投诉车系：途岳投诉车型：2019款280TSI两驱R-line国VI投诉内容从19年4月份购车后两天发现发动机变速箱异响就一直投诉到现在，厂家跟经销商不闻不问。唯一一个400电话打了上千次客服每次都是说提交反馈，结果</t>
  </si>
  <si>
    <t>2020/02/29 14:40:00</t>
  </si>
  <si>
    <t>老师您好！最近打算买探岳，但是听说双离合很多投诉，请问一下这款车比较集中的投诉有那些？能否简单回复一下，万分感谢！</t>
  </si>
  <si>
    <t>2020/02/29 14:37:43</t>
  </si>
  <si>
    <t>请问2019款指南者1.3T提车1个多月被召回如何维权？</t>
  </si>
  <si>
    <t>2020/02/29 14:33:20</t>
  </si>
  <si>
    <t>投诉编号：【449375】  投诉时间： 2020-02-29 14:04  投诉品牌： 广汽丰田  投诉车系： 凯美瑞  投诉车型： 2019款 2.5HG 豪华版 国VI        投诉内容  2019.6月中入手凯美瑞混动，12月中四千多公里做完首保换了机油，一直正常使用首保过后现在大概七</t>
  </si>
  <si>
    <t>2020/02/29 14:04:00</t>
  </si>
  <si>
    <t>投诉编号：【449373】投诉时间：2020-02-2914:03投诉品牌：广汽丰田投诉车系：凯美瑞投诉车型：2016款2.0E自动十周年纪念精英版投诉内容2018年7月因发动机进水大修花了9000多，维修后加速没劲噪音大轻微抖动，陆陆续续去店好多次，都说发动机正常，没事，所以我发个视频让厂家关注下</t>
  </si>
  <si>
    <t>2020/02/29 14:03:00</t>
  </si>
  <si>
    <t xml:space="preserve">投诉编号：【449372】  投诉时间： 2020-02-29 14:01  投诉品牌： 广汽丰田  投诉车系： 凯美瑞  投诉车型： 2018款 2.5HG E-CVT 豪华版        投诉内容  广汽丰田凯美瑞机油增多并伴有汽油味（如图所示），希望厂家能够尽快处理。      投诉回复  </t>
  </si>
  <si>
    <t>2020/02/29 14:01:00</t>
  </si>
  <si>
    <t>投诉编号：【449370】  投诉时间： 2020-02-29 13:56  投诉品牌： 一汽奔腾  投诉车系： 奔腾X40  投诉车型： 2019款 1.6L 手动 豪华型 国VI        投诉内容  新车800多公里发现发动机像什么轮子摩擦和咕咕的响声，怠速和正常行驶的时候都有声音，连续的</t>
  </si>
  <si>
    <t>2020/02/29 13:56:00</t>
  </si>
  <si>
    <t xml:space="preserve">投诉编号：【449369】  投诉时间： 2020-02-29 13:50  投诉品牌： 东风日产  投诉车系： 逍客  投诉车型： 2017款 2.0L CVT 智享版 国V        投诉内容  东风日产逍客后备箱漏水，从买车到现在后备箱一直有漏水进去，近期发现后备箱垫起霉才发现这个情况。 </t>
  </si>
  <si>
    <t>2020/02/29 13:50:00</t>
  </si>
  <si>
    <t>兰德酷路泽改装WALD宽体大包围</t>
  </si>
  <si>
    <t>2020/02/29 13:46:00</t>
  </si>
  <si>
    <t>兰德酷路泽改装WALD宽体大包围 这个就一般了</t>
  </si>
  <si>
    <t>投诉编号：【449368】投诉时间：2020-02-2913:33投诉品牌：东风风行投诉车系：景逸X5投诉车型：2017款1.6L手动豪华型投诉内容前后悬挂所有焊接的部位油漆鼓包脱落生锈严重，和厂家电话交涉好多次，请假去两趟售后，竟然不除锈，不除油以及底盘上灰尘泥沙，在不遮挡的情况下，随意喷了点底盘</t>
  </si>
  <si>
    <t>2020/02/29 13:33:00</t>
  </si>
  <si>
    <t>投诉编号：【449367】  投诉时间： 2020-02-29 13:30  投诉品牌： 广汽乘用车  投诉车系： 传祺GA8  投诉车型： 2017款 320T 尊享版        投诉内容  行驶7000km左右时，发动机热机后，出现明显异响，经4s店师傅初步检查为水泵损坏，但不确认更换水泵是</t>
  </si>
  <si>
    <t>2020/02/29 13:30:00</t>
  </si>
  <si>
    <t>投诉编号：【449365】投诉时间：2020-02-2913:21投诉品牌：吉利汽车投诉车系：博越投诉车型：2016款1.8TD手动两驱智慧型投诉内容第一次是2018年10月国庆我爸爸从宁乡过甘肃的时候，高速路上突然破裂，当时并没有任何东西撞击。一条小裂缝后来越来越长。我爸爸不懂这些，所以当时也没有</t>
  </si>
  <si>
    <t>2020/02/29 13:21:00</t>
  </si>
  <si>
    <t>投诉编号：【449366】  投诉时间： 2020-02-29 13:21  投诉品牌： 一汽丰田  投诉车系： 卡罗拉  投诉车型： 2014款 1.6L CVT GL        投诉内容  在2020年2月22号发现发动机灯报警，发现故障代码p2757报警，在车辆行驶到20码时候会顿挫。发现</t>
  </si>
  <si>
    <t>投诉编号：【449363】  投诉时间： 2020-02-29 13:13  投诉品牌： 东风标致  投诉车系： 标致3008  投诉车型： 2013款 1.6T 自动 THP潮流版        投诉内容  2013年8月份购入车辆，使用三年后故障频繁，16年行驶大约6万公里，车辆就出现怠速不稳，</t>
  </si>
  <si>
    <t>2020/02/29 13:13:00</t>
  </si>
  <si>
    <t>投诉编号：【449361】  投诉时间： 2020-02-29 12:51  投诉品牌： 华晨宝马  投诉车系： 宝马X1  投诉车型： 2020款 sDrive25Li 领先型        投诉内容  2020年1月15日提走的车，当天晚上发现两个大灯起雾，转天1月16日到4S店，售后说是正常现</t>
  </si>
  <si>
    <t>2020/02/29 12:51:00</t>
  </si>
  <si>
    <t>投诉编号：【449357】 
投诉时间： 2020-02-29 12:32 
投诉品牌： 长安福特 
投诉车系： 翼虎 
投诉车型： 2015款 1.5L GTDi 四驱精英型 5座 ，长安福特翼虎转向机异响行驶时跑偏水泵漏水</t>
  </si>
  <si>
    <t>2020/02/29 12:41:55</t>
  </si>
  <si>
    <t>五菱之光，01年的，发动不了别。启动机正常，就是不着火。昨天打着火了，然后今天早上就打不着了，求解啊，油泵正常工作，火花塞，大线包，电瓶都是新换的，就是打不着。</t>
  </si>
  <si>
    <t>2020/02/29 12:36:44</t>
  </si>
  <si>
    <t>保养变速箱不加油致损坏 拒不赔偿！本人于2019年12月26日在烟台雪铁龙汽车销售有效公司4S店保养车辆，之后几天总听到车有异响，联系4S店，商量年后再去查找原因，就在2020年1月22日，发现车内噪音特别大，并且提速提不上去，在空挡轰油门的时候出现一声巨响，就自动别到挡位上摘不找来了，这种巨响出现</t>
  </si>
  <si>
    <t>2020/02/29 12:36:43</t>
  </si>
  <si>
    <t>各位大神好！谁知道09款奔腾b50自动挡变速箱是什么牌子的哪个厂家生产的，谢谢？</t>
  </si>
  <si>
    <t>江淮瑞风S7语音功能故障，语音功能自己打开，4S店多次检查无果。那么对于S7瑞风索赔是什么政策？</t>
  </si>
  <si>
    <t>2020/02/29 12:28:27</t>
  </si>
  <si>
    <t>2017款别克昂科威在冷车启动时有振动现象，等带速平稳又回归正常，这种现象正常吗？</t>
  </si>
  <si>
    <t>2020/02/29 12:24:14</t>
  </si>
  <si>
    <t>投诉编号：【449355】 
投诉时间： 2020-02-29 12:07 
投诉品牌： 一汽-大众奥迪 
投诉车系： 奥迪Q5 
投诉车型： 2018款 典藏版 40 TFSI 技术型 
一汽大众奥迪Q5刹车异响更换刹车片未解决</t>
  </si>
  <si>
    <t>2020/02/29 12:21:23</t>
  </si>
  <si>
    <t>您好：刚开始选择19款逍客豪华版，但是发现发动机和变速箱之间漏油太多了，而且日产CVT变速器毛病也不少；又看看上汽20款途岳四驱豪华版和新上市的福特锐际，这两款车一直在纠结，专家给个建议！</t>
  </si>
  <si>
    <t>2020/02/29 12:20:13</t>
  </si>
  <si>
    <t>2019款雷凌使用autohold功能路口自动驻车后，再起步时前轮部位会响一声，之前没有这种情况。</t>
  </si>
  <si>
    <t>投诉编号：【449354】  投诉时间： 2020-02-29 11:52  投诉品牌： 长安汽车  投诉车系： 睿骋CC  投诉车型： 2018款 1.5T 自动 尊雅型 国V        投诉内容  长安睿骋CC中控触摸屏花屏，声音播放正常。2019年年底先再广元长安万友4S店更换了多媒体主机</t>
  </si>
  <si>
    <t>2020/02/29 11:52:00</t>
  </si>
  <si>
    <t>投诉编号：【449349】  投诉时间： 2020-02-29 11:32  投诉品牌： 郑州日产  投诉车系： 途达  投诉车型： 2018款 2.5L 自动 四驱 旗舰版        投诉内容  新车电瓶亏电，每天早上启动车辆困难。搭电就启动正常。求解决。      投诉回复  车质网已将您的</t>
  </si>
  <si>
    <t>2020/02/29 11:32:00</t>
  </si>
  <si>
    <t>投诉编号：【449348】  投诉时间： 2020-02-29 11:26  投诉品牌： 上汽斯柯达  投诉车系： 速派  投诉车型： 2018款 TSI330 DSG 豪华版 国V        投诉内容  远光故障随动故障动态大灯故障，自从19年12月18日检测出问题后索赔，厂家没有配件直至现在</t>
  </si>
  <si>
    <t>2020/02/29 11:26:00</t>
  </si>
  <si>
    <t>投诉编号：【449346】  投诉时间： 2020-02-29 11:17  投诉品牌： 上汽斯柯达  投诉车系： 昕动  投诉车型： 2016款 1.4L 手动 前行版 改款        投诉内容  中控空调面板开裂，中控仪表面盖开裂。已投拆一次了。1月14号的投诉之后没有接到电话，问题未得到处</t>
  </si>
  <si>
    <t>2020/02/29 11:17:00</t>
  </si>
  <si>
    <t>投诉编号：【449345】  投诉时间： 2020-02-29 11:16  投诉品牌： 领克汽车  投诉车系： 领克03  投诉车型： 2019款 2.0TD 自动 劲版        投诉内容  车从买了几个月车联网一直没帮我搞好，刚开始的时候号码搞错了，后边一直没人跟进度，早上想热车时候就得早</t>
  </si>
  <si>
    <t>2020/02/29 11:16:00</t>
  </si>
  <si>
    <t>投诉编号：【449343】  投诉时间： 2020-02-29 11:14  投诉品牌： 上汽大众  投诉车系： 朗逸  投诉车型： 2015款 230TSI DSG舒适版        投诉内容  变速箱作为汽车三大件之一，刚刚购买四年的朗逸1.4t就出现严重的变速箱问题，实在让人无法接受。行驶中</t>
  </si>
  <si>
    <t>2020/02/29 11:14:00</t>
  </si>
  <si>
    <t>人车生活</t>
  </si>
  <si>
    <t>古香古色的有轨电车里斯本重要的交通工具不光有巨大的电梯，还有情调满满的有轨电车 tramOne of the most popular Lisbon attractions is … a tram. Lisbon trams were originally called «Americanos» a</t>
  </si>
  <si>
    <t>huagongkeji</t>
  </si>
  <si>
    <t>2020/02/29 11:10:00</t>
  </si>
  <si>
    <t>人车生活论坛</t>
  </si>
  <si>
    <t>葡萄牙冷知识：古香古色的有轨电车古香古色的有轨电车里斯本重要的交通工具不光有巨大的电梯，还有情调满满的有轨电车 tramOne of the most popular Lisbon attractions is … a tram. Lisbon trams were originally calle</t>
  </si>
  <si>
    <t>新车 &gt; </t>
  </si>
  <si>
    <t>作为奥迪家族旗下S系列车型的一员，SQ7凭借着实用的车内空间以及较强的动力性能，征服了诸多车迷朋友们的芳心，在满足日常通勤的同时，时而还可以释放机舱下V8引擎的躁动。近日海外媒体曝光了奥迪新款SQ7车型美国市场售价，为84,800美元（约为60万人民币）。    新车将对现款4.0T V8双涡轮增压</t>
  </si>
  <si>
    <t>2020/02/29 10:43:00</t>
  </si>
  <si>
    <t>　　作为奥迪家族旗下S系列车型的一员，SQ7凭借着实用的车内空间以及较强的动力性能，征服了诸多车迷朋友们的芳心，在满足日常通勤的同时，时而还可以释放机舱下V8引擎的躁动。近日海外媒体曝光了奥迪新款SQ7车型美国市场售价，为84,800美元（约为60万人民币）。　　新车将对现款4.0T V8双涡轮增压</t>
  </si>
  <si>
    <t>盛田�</t>
  </si>
  <si>
    <t>　　保时捷卡宴是一款大家耳熟能详的车型，在2002年日内瓦车展首次亮相，在2019年全年交付量达到92,055台。近日，有海外媒体曝光了保时捷卡宴Coupe GT的路试照片，溜背造型的卡宴更有运动范儿，同时新车还将搭载兰博基尼Urus的同款发动机，动力性能十分突出。　　新车外观上的造型和国内现款卡宴</t>
  </si>
  <si>
    <t>徐启刚</t>
  </si>
  <si>
    <t>2020/02/29 10:41:00</t>
  </si>
  <si>
    <t>谍照 &gt; </t>
  </si>
  <si>
    <t>保时捷卡宴是一款大家耳熟能详的车型，在2002年日内瓦车展首次亮相，在2019年全年交付量达到92,055台。近日，有海外媒体曝光了保时捷卡宴Coupe GT的路试照片，溜背造型的卡宴更有运动范儿，同时新车还将搭载兰博基尼Urus的同款发动机，动力性能十分突出。    新车外观上的造型和国内现款卡宴</t>
  </si>
  <si>
    <t>　　目前斯巴鲁已在华布局了森林人、傲虎以及XV三款SUV车型，其中XV于2012年以进口形式引入国内市场销售，并仅推出2.0L自然吸气汽油版车型。此外，新车今年还将在海外市场率先推出2.0L混动车型供消费者选购。近日海外媒体曝光了斯巴鲁新款XV车型信息，新车还将增配一款名为Sport的车型，并换搭一</t>
  </si>
  <si>
    <t>2020/02/29 10:39:00</t>
  </si>
  <si>
    <t>目前斯巴鲁已在华布局了森林人、傲虎以及XV三款SUV车型，其中XV于2012年以进口形式引入国内市场销售，并仅推出2.0L自然吸气汽油版车型。此外，新车今年还将在海外市场率先推出2.0L混动车型供消费者选购。近日海外媒体曝光了斯巴鲁新款XV车型信息，新车还将增配一款名为Sport的车型，并换搭一台动</t>
  </si>
  <si>
    <t>　　作为丰田在日本本土的销售主力之一，HARRIER已经在筹备推出全新的换代车型。新一代 HARRIER将化身更偏向于运动化的轿跑风格SUV。根据海外媒体的报道，这款基于TNGA平台打造的全新SUV将在2020年5月发布，并可能会推出7人座车型。　　近日，有媒体了解到，四川一汽丰田汽车有限公司长春丰</t>
  </si>
  <si>
    <t>王天一</t>
  </si>
  <si>
    <t>2020/02/29 10:37:00</t>
  </si>
  <si>
    <t>作为丰田在日本本土的销售主力之一，HARRIER已经在筹备推出全新的换代车型。新一代 HARRIER将化身更偏向于运动化的轿跑风格SUV。根据海外媒体的报道，这款基于TNGA平台打造的全新SUV将在2020年5月发布，并可能会推出7人座车型。    近日，有媒体了解到，四川一汽丰田汽车有限公司长春丰</t>
  </si>
  <si>
    <t>斯柯达旗下部分SUV车型拥有两种衍生车型，分别为SPORTLINE和SCOUTLINE。近日，有媒体从斯柯达官方获得一张斯柯达海外版柯米克SCOUTLINE车型内饰图，新车内饰与现款柯米克设计风格相同，采用了特殊材质进行装饰。新车将于3月3日举办的日内瓦车展上正式亮相，并于6月在欧洲交付。    柯</t>
  </si>
  <si>
    <t>2020/02/29 10:34:00</t>
  </si>
  <si>
    <t>　　斯柯达旗下部分SUV车型拥有两种衍生车型，分别为SPORTLINE和SCOUTLINE。近日，有媒体从斯柯达官方获得一张斯柯达海外版柯米克SCOUTLINE车型内饰图，新车内饰与现款柯米克设计风格相同，采用了特殊材质进行装饰。新车将于3月3日举办的日内瓦车展上正式亮相，并于6月在欧洲交付。　　柯</t>
  </si>
  <si>
    <t>张朦</t>
  </si>
  <si>
    <t>　　2020年2月28日，有媒体从相关渠道获悉，特斯拉或将在4月举办的特斯拉电池日中宣布一项新的电池技术，这项技术有望把电池成本压低至100美元/kWh，同时能量密度大幅提高。　　作为电动汽车领域的领头羊企业，特斯拉一直致力于改进目前的电池技术，突破现有的续航和充电桎梏。为此，特斯拉也曾与多家电池供</t>
  </si>
  <si>
    <t>喻鑫</t>
  </si>
  <si>
    <t>2020/02/29 10:32:00</t>
  </si>
  <si>
    <t>零部件 &gt; </t>
  </si>
  <si>
    <t>2020年2月28日，有媒体从相关渠道获悉，特斯拉或将在4月举办的特斯拉电池日中宣布一项新的电池技术，这项技术有望把电池成本压低至100美元/kWh，同时能量密度大幅提高。    作为电动汽车领域的领头羊企业，特斯拉一直致力于改进目前的电池技术，突破现有的续航和充电桎梏。为此，特斯拉也曾与多家电池供</t>
  </si>
  <si>
    <t>卫士是路虎旗下的一款ORV（Off-Road Vehicle）越野车，源自1948年韦尔斯兄弟设计的第一辆路虎，在最初的20多年中，它是代表路虎品牌的唯一车型。而今年，我们将迎来路虎卫士正式换代的一年。近日，路虎官方公布了卫士在英国的具体价格，并且计划于今年第一季度正式交付第一批用户。    全新卫</t>
  </si>
  <si>
    <t>2020/02/29 10:29:00</t>
  </si>
  <si>
    <t>　　卫士是路虎旗下的一款ORV（Off-Road Vehicle）越野车，源自1948年韦尔斯兄弟设计的第一辆路虎，在最初的20多年中，它是代表路虎品牌的唯一车型。而今年，我们将迎来路虎卫士正式换代的一年。近日，路虎官方公布了卫士在英国的具体价格，并且计划于今年第一季度正式交付第一批用户。　　全新卫</t>
  </si>
  <si>
    <t>新车</t>
  </si>
  <si>
    <t>近日从海外媒体获悉，丰田已经正式向澳大利亚知识产权局提交了注册“GR HiLux（海拉克斯）”商标的申请，其实早在2019年7月丰田就已经申请了该商标，却在最近才获得当局批准。说到GR版车型大家可能还不太了解，其实可以理解为丰田赛车部门Gazoo Racing调教出的高性能版本车型。    丰田在接</t>
  </si>
  <si>
    <t>2020/02/29 10:27:00</t>
  </si>
  <si>
    <t>　　近日从海外媒体获悉，丰田已经正式向澳大利亚知识产权局提交了注册“GR HiLux（海拉克斯）”商标的申请，其实早在2019年7月丰田就已经申请了该商标，却在最近才获得当局批准。说到GR版车型大家可能还不太了解，其实可以理解为丰田赛车部门Gazoo Racing调教出的高性能版本车型。　　丰田在接</t>
  </si>
  <si>
    <t>于子沫</t>
  </si>
  <si>
    <t>作为本田旗下的热销SUV车型之一，本田CR-V于2004年正式在华国产开售，主要对手包括日产奇骏、丰田RAV4、大众途观等车型。近日海外媒体曝光了本田新款CR-V混动版车型售价，新车海外市场起售价为28,870美元（约为21万人民币），并将于今年三季度在美国市场率先开售。    新车将搭载一台2.0</t>
  </si>
  <si>
    <t>2020/02/29 10:25:00</t>
  </si>
  <si>
    <t>　　作为本田旗下的热销SUV车型之一，本田CR-V于2004年正式在华国产开售，主要对手包括日产奇骏、丰田RAV4、大众途观等车型。近日海外媒体曝光了本田新款CR-V混动版车型售价，新车海外市场起售价为28,870美元（约为21万人民币），并将于今年三季度在美国市场率先开售。　　新车将搭载一台2.0</t>
  </si>
  <si>
    <t>投诉编号：【449334】  投诉时间： 2020-02-29 10:23  投诉品牌： 郑州日产  投诉车系： 途达  投诉车型： 2020款 2.5L 自动 四驱 旗舰版        投诉内容  放了两天电瓶没电，换了一块电瓶还是没电，去4Ｓ店充了电瓶还是没解决问题。      投诉回复  车</t>
  </si>
  <si>
    <t>2020/02/29 10:23:00</t>
  </si>
  <si>
    <t>长安新能源日前正式发布新款奔奔纯电动版，并且更名为“奔奔E-Star”。新车针对前脸进行了重新设计，给人一种“焕然一新”的感觉，车身侧面和尾部则与现款奔奔EV360并无较大区别。需要指出的是，奔奔E-Star动力以及续航里程均与现款奔奔EV360保持一致，7.28万元的“尝鲜”价格相比现款车型起售价</t>
  </si>
  <si>
    <t>　　长安新能源日前正式发布新款奔奔纯电动版，并且更名为“奔奔E-Star”。新车针对前脸进行了重新设计，给人一种“焕然一新”的感觉，车身侧面和尾部则与现款奔奔EV360并无较大区别。需要指出的是，奔奔E-Star动力以及续航里程均与现款奔奔EV360保持一致，7.28万元的“尝鲜”价格相比现款车型起</t>
  </si>
  <si>
    <t>陈亮</t>
  </si>
  <si>
    <t>投诉编号：【449310】  投诉时间： 2020-02-29 00:00  投诉品牌： 吉利汽车  投诉车系： 帝豪GS  投诉车型： 2019款 1.4T CVT 动        投诉内容  2020年1月8日新车买来到2020年2月3日26天，回家过年，车停在家中院里，无原无故发生自燃，由于</t>
  </si>
  <si>
    <t>2020/02/29 10:21:51</t>
  </si>
  <si>
    <t>投诉编号：【449333】  投诉时间： 2020-02-29 10:21  投诉品牌： 上汽集团  投诉车系： 荣威550  投诉车型： 2014款 1.8L 自动 智选版        投诉内容  过保之前车子就有故障，送4s店无法找到问题！之后出现双闪自动打开直到电瓶彻底亏电，电子驻车提示故障</t>
  </si>
  <si>
    <t>2020/02/29 10:21:00</t>
  </si>
  <si>
    <t>乘联会数据显示，2019年轿车占据49%的市场份额，而紧凑型轿车则拥有31.4%的市场份额。数据证明主打家用和高性价比的紧凑型轿车，依然是绝大多数消费者主要选择之一。有媒体通过梳理后发现，日系合资品牌在2020年至少推出8款轿车，其中6款为紧凑型轿车，其中包含思域两厢、改款马自达3、享域/凌派混动、</t>
  </si>
  <si>
    <t>2020/02/29 10:18:00</t>
  </si>
  <si>
    <t>　　乘联会数据显示，2019年轿车占据49%的市场份额，而紧凑型轿车则拥有31.4%的市场份额。数据证明主打家用和高性价比的紧凑型轿车，依然是绝大多数消费者主要选择之一。有媒体通过梳理后发现，日系合资品牌在2020年至少推出8款轿车，其中6款为紧凑型轿车，其中包含思域两厢、改款马自达3、享域/凌派混</t>
  </si>
  <si>
    <t>黄炎</t>
  </si>
  <si>
    <t>　　现代汽车旗下豪华品牌捷尼赛思，在今年初发布了首款SUV车型GV80，而捷尼赛思品牌在去年就有要进入中国市场的消息，预计该车也即将入华销售。有媒体近日获得了一组捷尼赛思GV80的国内路试谍照，新车大嘴中网、分体式灯组和“展翅”车标等元素极具辨识度。GV80定位中大型的SUV，未来引入后将与奔驰GL</t>
  </si>
  <si>
    <t>2020/02/29 10:16:00</t>
  </si>
  <si>
    <t>现代汽车旗下豪华品牌捷尼赛思，在今年初发布了首款SUV车型GV80，而捷尼赛思品牌在去年就有要进入中国市场的消息，预计该车也即将入华销售。有媒体近日获得了一组捷尼赛思GV80的国内路试谍照，新车大嘴中网、分体式灯组和“展翅”车标等元素极具辨识度。GV80定位中大型的SUV，未来引入后将与奔驰GLE、</t>
  </si>
  <si>
    <t>　　日前，海外媒体报道新一代Jeep大切诺基将于今年年底发布，并于2021年正式上市，新车或将采用阿尔法・罗密欧Stelvio相同的平台进行打造。　　根据外媒透露，这条消息是FCA设计总监Ralph Gilles在Facebook直播当中无意间透露的，他谈到Jeep大切诺基时说：“我们将会在今年年底</t>
  </si>
  <si>
    <t>耿源</t>
  </si>
  <si>
    <t>2020/02/29 10:12:00</t>
  </si>
  <si>
    <t>日前，海外媒体报道新一代Jeep大切诺基将于今年年底发布，并于2021年正式上市，新车或将采用阿尔法·罗密欧Stelvio相同的平台进行打造。    根据外媒透露，这条消息是FCA设计总监Ralph Gilles在Facebook直播当中无意间透露的，他谈到Jeep大切诺基时说：“我们将会在今年年底</t>
  </si>
  <si>
    <t>　　2月28日，国家统计局发布2019年国民经济和社会发展统计公报。数据显示，2019年末全国民用汽车保有量26150万辆（包括三轮汽车和低速货车762万辆），比上年末增加2122万辆。　　截至2019年末，私人汽车保有量22635万辆，比上年末增加1905万辆；民用轿车保有量14644万辆，增加1</t>
  </si>
  <si>
    <t>宋爱菊</t>
  </si>
  <si>
    <t>2020/02/29 10:11:00</t>
  </si>
  <si>
    <t>行业 &gt; </t>
  </si>
  <si>
    <t>2月28日，国家统计局发布2019年国民经济和社会发展统计公报。数据显示，2019年末全国民用汽车保有量26150万辆（包括三轮汽车和低速货车762万辆），比上年末增加2122万辆。    截至2019年末，私人汽车保有量22635万辆，比上年末增加1905万辆；民用轿车保有量14644万辆，增加1</t>
  </si>
  <si>
    <t>日前，有媒体从日内瓦车展组委会处得知，由于新冠肺炎疫情的影响，原定于3月3日-3月15日举办的日内瓦车展取消。此前，瑞士政府已经发表文件称，为了阻止新型冠状病毒传播，瑞士将禁止举办所有超过1000人的大型活动，该禁令将至少持续到3月15日。作为世界五大车展之一，日内瓦车展的“人气”向来很高，2019</t>
  </si>
  <si>
    <t>2020/02/29 10:08:00</t>
  </si>
  <si>
    <t>　　日前，有媒体从日内瓦车展组委会处得知，由于新冠肺炎疫情的影响，原定于3月3日-3月15日举办的日内瓦车展取消。此前，瑞士政府已经发表文件称，为了阻止新型冠状病毒传播，瑞士将禁止举办所有超过1000人的大型活动，该禁令将至少持续到3月15日。作为世界五大车展之一，日内瓦车展的“人气”向来很高，20</t>
  </si>
  <si>
    <t>陈灿</t>
  </si>
  <si>
    <t>行业</t>
  </si>
  <si>
    <t>造车新势力代表之一的天际汽车出现新的人事变动。2月28日晚，我们从天际汽车官方获悉，向东平因个人原因卸任天际汽车董事、首席营销官（CMO）职务，陈敏将接棒出任天际汽车CMO一职，全面负责市场与传播、销售与新零售、大客户战略、售后服务及移动能源业务，该任命于2020年3月1日起生效。图左为向东平；图右</t>
  </si>
  <si>
    <t>2020/02/29 10:05:00</t>
  </si>
  <si>
    <t>　　造车新势力代表之一的天际汽车出现新的人事变动。2月28日晚，我们从天际汽车官方获悉，向东平因个人原因卸任天际汽车董事、首席营销官（CMO）职务，陈敏将接棒出任天际汽车CMO一职，全面负责市场与传播、销售与新零售、大客户战略、售后服务及移动能源业务，该任命于2020年3月1日起生效。图左为向东平；</t>
  </si>
  <si>
    <t>才丽媛</t>
  </si>
  <si>
    <t>投诉编号：【449331】  投诉时间： 2020-02-29 10:03  投诉品牌： 猎豹汽车  投诉车系： 猎豹CS10  投诉车型： 2017款 1.5T CVT 精英型        投诉内容  2月17号出现ABS故障，今天2月29日配件才到，过来维修确告知要收配件和手工费，天啊，车子还</t>
  </si>
  <si>
    <t>2020/02/29 10:03:00</t>
  </si>
  <si>
    <t>　　在国内说起上汽斯柯达，总有不少人把它当做大众的替代品，可实际情况并不是这样。熟悉的朋友都知道斯柯达和大众部分车型虽然出于同一个平台，使用了相同的动力系统，但无论是内外设计、配置表现还是车辆的调校都有不同的侧重。今天我给大家带来的是上汽斯柯达明锐的入门版车型解读，我们来一起看看明锐1.5L手动标准</t>
  </si>
  <si>
    <t>王鹤璇</t>
  </si>
  <si>
    <t>2020/02/29 10:02:00</t>
  </si>
  <si>
    <t>日前，我们从梅赛德斯-奔驰官网获悉，2020款奔驰G 500暗夜特别版和2020款AMG G 63两款新车正式上市。其中，奔驰G 500暗夜特别版售185.88万元；2020款AMG G 63售222.88万元。奔驰官网提供的G 500暗夜特别版车型官图    具体来看，此次上市的奔驰G 500暗夜</t>
  </si>
  <si>
    <t>2020/02/29 09:56:00</t>
  </si>
  <si>
    <t>　　日前，我们从梅赛德斯-奔驰官网获悉，2020款奔驰G 500暗夜特别版和2020款AMG G 63两款新车正式上市。其中，奔驰G 500暗夜特别版售185.88万元；2020款AMG G 63售222.88万元。奔驰官网提供的G 500暗夜特别版车型官图　　具体来看，此次上市的奔驰G 500暗夜</t>
  </si>
  <si>
    <t>马艾骏</t>
  </si>
  <si>
    <t>　　日前，新晋跑车品牌APEX再次释放了一张纯电动超跑AP-0的预告图，图中若隐若现出前脸的轮廓，官方称其设计灵感源自于东方艺术。　　从APEX发布的AP-0纯电动超跑预报图中可以看出，该车前脸设计极具个性且线条分明，前机盖上的线条向车后延伸，直至前风挡底部并有向车侧伸展的态势。据官方介绍，新车从东</t>
  </si>
  <si>
    <t>许博</t>
  </si>
  <si>
    <t>2020/02/29 09:54:00</t>
  </si>
  <si>
    <t>日前，新晋跑车品牌APEX再次释放了一张纯电动超跑AP-0的预告图，图中若隐若现出前脸的轮廓，官方称其设计灵感源自于东方艺术。    从APEX发布的AP-0纯电动超跑预报图中可以看出，该车前脸设计极具个性且线条分明，前机盖上的线条向车后延伸，直至前风挡底部并有向车侧伸展的态势。据官方介绍，新车从东</t>
  </si>
  <si>
    <t>日前，林肯旗下大型SUV新款领航员车型正式上市。新车采用了林肯最新的家族式设计语言，在配置上进行了升级。新车共推出2款车型，售价区间为109.80-119.80万元。配图为2019款领航员尊耀版    新款领航员的外观与现款车型并无差别，仅在配置上进行了升级。新车增加了Auto Air Refres</t>
  </si>
  <si>
    <t>2020/02/29 09:49:00</t>
  </si>
  <si>
    <t>　　日前，林肯旗下大型SUV新款领航员车型正式上市。新车采用了林肯最新的家族式设计语言，在配置上进行了升级。新车共推出2款车型，售价区间为109.80-119.80万元。配图为2019款领航员尊耀版　　新款领航员的外观与现款车型并无差别，仅在配置上进行了升级。新车增加了Auto Air Refres</t>
  </si>
  <si>
    <t>李娜</t>
  </si>
  <si>
    <t>2月27日，中国银保监会发文称，将进一步加强和改进财产保险公司产品监管。其中，与汽车行业相关的，是将“使用示范产品的机动车辆商业保险由审批改为备案”，由银保监会负责备案并监管，并将根据市场情况变化和产品监管需要，适时调整由银保监局负责备案并监管的产品范围。    政策指出，银保监会负责研究制定产品监</t>
  </si>
  <si>
    <t>2020/02/29 09:47:00</t>
  </si>
  <si>
    <t>　　2月27日，中国银保监会发文称，将进一步加强和改进财产保险公司产品监管。其中，与汽车行业相关的，是将“使用示范产品的机动车辆商业保险由审批改为备案”，由银保监会负责备案并监管，并将根据市场情况变化和产品监管需要，适时调整由银保监局负责备案并监管的产品范围。　　政策指出，银保监会负责研究制定产品监</t>
  </si>
  <si>
    <t>肖莹</t>
  </si>
  <si>
    <t>　　美国时间2020年2月27日，最后一辆雪佛兰Impala在底特律Hamtramck工厂驶下生产线，这意味着第十代雪佛兰Impala正式停产，面对Impala车型销量的逐年下滑，这一从1958年出现的经典车系也或将彻底告别市场。值得一提的是，底特律Hamtramck工厂也将进行改造，未来将主要生产</t>
  </si>
  <si>
    <t>2020/02/29 09:44:00</t>
  </si>
  <si>
    <t>美国时间2020年2月27日，最后一辆雪佛兰Impala在底特律Hamtramck工厂驶下生产线，这意味着第十代雪佛兰Impala正式停产，面对Impala车型销量的逐年下滑，这一从1958年出现的经典车系也或将彻底告别市场。值得一提的是，底特律Hamtramck工厂也将进行改造，未来将主要生产HU</t>
  </si>
  <si>
    <t>2月27日，丰田汽车公司公布最新产销数据。2020年1月，丰田全球销量73.2万辆，同比小幅下降1.4%；汽车产量71.3万辆，同比下降6.1%。    分地区来看，2020年1月，丰田汽车日本本土销量为11.2万辆，同比减少5%；在北美地区的销量为18.9万辆，同比增长4.3%，其中美国市场贡献1</t>
  </si>
  <si>
    <t>2020/02/29 09:42:00</t>
  </si>
  <si>
    <t>　　2月27日，丰田汽车公司公布最新产销数据。2020年1月，丰田全球销量73.2万辆，同比小幅下降1.4%；汽车产量71.3万辆，同比下降6.1%。　　分地区来看，2020年1月，丰田汽车日本本土销量为11.2万辆，同比减少5%；在北美地区的销量为18.9万辆，同比增长4.3%，其中美国市场贡献1</t>
  </si>
  <si>
    <t>日前，我们从江淮官方了解到，江淮瑞风M4新增车型将于3月份上市。新车将搭载2.0T柴油发动机，并满足国六排放标准。据了解，现款江淮瑞风M4提供2.0L、2.0T汽油发动机和1.5T汽油发动机+48V轻混系统以及1.9T柴油发动机，其售价区间为9.98-15.98万元，随着新动力车型的推出，将进一步丰</t>
  </si>
  <si>
    <t>2020/02/29 09:40:00</t>
  </si>
  <si>
    <t>　　日前，我们从江淮官方了解到，江淮瑞风M4新增车型将于3月份上市。新车将搭载2.0T柴油发动机，并满足国六排放标准。据了解，现款江淮瑞风M4提供2.0L、2.0T汽油发动机和1.5T汽油发动机+48V轻混系统以及1.9T柴油发动机，其售价区间为9.98-15.98万元，随着新动力车型的推出，将进一</t>
  </si>
  <si>
    <t>周易</t>
  </si>
  <si>
    <t>爱驰汽车海外布局又有新动作。近日，我们从爱驰汽车官方获悉，欧版爱驰U5即将正式登陆欧洲市场，为了给有意向用户提供线下互动及产品试驾场所，爱驰已与欧洲电子产品零售巨头Euronics建立合作，通过Euronics在各大城市中的零售店来展示U5，每家展厅内还将配备专业的产品专家，为用户提供服务体验的同时</t>
  </si>
  <si>
    <t>2020/02/29 09:38:00</t>
  </si>
  <si>
    <t>　　爱驰汽车海外布局又有新动作。近日，我们从爱驰汽车官方获悉，欧版爱驰U5即将正式登陆欧洲市场，为了给有意向用户提供线下互动及产品试驾场所，爱驰已与欧洲电子产品零售巨头Euronics建立合作，通过Euronics在各大城市中的零售店来展示U5，每家展厅内还将配备专业的产品专家，为用户提供服务体验的</t>
  </si>
  <si>
    <t>日前，我们从理想汽车得到消息，该公司将在3月推出春季购车计划，包含首任车主终身质保限时优惠购买方案，以及与中国银行合作推出超长5年期贷款购车贷款方案。    据官方介绍，即将出的首任车主终身质保购买方案限时优惠价格2999元（原价为4999元），3月10日前理想汽车App将正式上线理想ONE首任车主</t>
  </si>
  <si>
    <t>2020/02/29 09:30:00</t>
  </si>
  <si>
    <t>　　日前，我们从理想汽车得到消息，该公司将在3月推出春季购车计划，包含首任车主终身质保限时优惠购买方案，以及与中国银行合作推出超长5年期贷款购车贷款方案。　　据官方介绍，即将出的首任车主终身质保购买方案限时优惠价格2999元（原价为4999元），3月10日前理想汽车App将正式上线理想ONE首任车主</t>
  </si>
  <si>
    <t>　　日前，奔驰官方发布了新款E级的车型预告图，新车整体设计相比现款车型要更加运动。同时，根据此前信息来看，新车将于3月3日开幕的日内瓦车展正式亮相。　　通过此次发布的预告图来看，新车的车头相比现款车型更加的扁平低矮，两侧大灯的不规则设计也更加的运动。同时，新车的大灯内部结构也完全改变，或将配备几何多</t>
  </si>
  <si>
    <t>2020/02/29 09:28:00</t>
  </si>
  <si>
    <t>日前，奔驰官方发布了新款E级的车型预告图，新车整体设计相比现款车型要更加运动。同时，根据此前信息来看，新车将于3月3日开幕的日内瓦车展正式亮相。    通过此次发布的预告图来看，新车的车头相比现款车型更加的扁平低矮，两侧大灯的不规则设计也更加的运动。同时，新车的大灯内部结构也完全改变，或将配备几何多</t>
  </si>
  <si>
    <t>日前，汽车零部件供应商麦格纳基于捷豹I-PACE演示了该公司的e4电驱动系统。麦格纳称，在续航里程方面，搭载e4电驱动系统的车辆相比原车的续航将多出120公里左右。    据麦格纳官方介绍称，e4可扩展模块化电驱动系统在前后桥各配备了一台电机，还包括变速箱、逆变器以及车辆控制策略软件等。除了e4电驱</t>
  </si>
  <si>
    <t>2020/02/29 09:27:00</t>
  </si>
  <si>
    <t>　　日前，汽车零部件供应商麦格纳基于捷豹I-PACE演示了该公司的e4电驱动系统。麦格纳称，在续航里程方面，搭载e4电驱动系统的车辆相比原车的续航将多出120公里左右。　　据麦格纳官方介绍称，e4可扩展模块化电驱动系统在前后桥各配备了一台电机，还包括变速箱、逆变器以及车辆控制策略软件等。除了e4电驱</t>
  </si>
  <si>
    <t>尤冬青</t>
  </si>
  <si>
    <t>　　雪铁龙曾于2019年日内瓦车展上推出过一台造型科幻的微型纯电动概念车AMI ONE，而我的同事张益嘉还在2019年10月份有机会试驾了这台小车。而在即将开幕的2020日内瓦车展上，雪铁龙将带来这款小车的量产版本――ami。　　相比概念车主打科技感和硬朗气质的设计风格，量产版本的ami明显圆润可爱</t>
  </si>
  <si>
    <t>赵琮迪</t>
  </si>
  <si>
    <t>2020/02/29 09:24:00</t>
  </si>
  <si>
    <t>雪铁龙曾于2019年日内瓦车展上推出过一台造型科幻的微型纯电动概念车AMI ONE，而我的同事张益嘉还在2019年10月份有机会试驾了这台小车。而在即将开幕的2020日内瓦车展上，雪铁龙将带来这款小车的量产版本——ami。    相比概念车主打科技感和硬朗气质的设计风格，量产版本的ami明显圆润可爱</t>
  </si>
  <si>
    <t>投诉编号：【449329】投诉时间：2020-02-2909:24投诉品牌：一汽丰田投诉车系：RAV4荣放投诉车型：2020款2.0LCVT两驱风尚版投诉内容2020年1月29日上午上班发现车辆全车没电，遥控钥匙无法解锁车辆，用钥匙进入仪表灯全部不亮，电话和4S店联系，因过年店内无人上班无法救援，让</t>
  </si>
  <si>
    <t>投诉编号：【449328】投诉时间：2020-02-2909:24投诉品牌：上汽集团投诉车系：名爵6投诉车型：2017款20T手动豪华智联版国V投诉内容起步抬离合异响，有去售后问过，当时异响不是很明显，但肯定有，售后给我的回复是没办法解决，现在异响声音很大。投诉回复车质网已将您的投诉转给生产企业以及</t>
  </si>
  <si>
    <t>　　日前，我们从海外媒体获得了雪铁龙的新车规划，在2020年内雪铁龙计划推出7款电动化车型，其中包括C4/C4 Cactus的继任者。针对中国市场，2020年内雪铁龙将推出天逸PHEV及C3L等新车型，2021年将导入“全新D级轿车”（我们预计为一款全新的中大型车）。现款雪铁龙C4 Cactus　　</t>
  </si>
  <si>
    <t>姜澈</t>
  </si>
  <si>
    <t>2020/02/29 09:19:00</t>
  </si>
  <si>
    <t xml:space="preserve">日前，我们从海外媒体获得了雪铁龙的新车规划，在2020年内雪铁龙计划推出7款电动化车型，其中包括C4/C4 Cactus的继任者。针对中国市场，2020年内雪铁龙将推出天逸PHEV及C3L等新车型，2021年将导入“全新D级轿车”（我们预计为一款全新的中大型车）。现款雪铁龙C4 Cactus    </t>
  </si>
  <si>
    <t>投诉编号：【449326】  投诉时间： 2020-02-29 09:02  投诉品牌： 上汽大众  投诉车系： 帕萨特  投诉车型： 2019款 330TSI 精英版 国VI        投诉内容  19年8月买的车，半年不到，今年2月5号海南出发返回宁波，晚上开始下雨，雨刮正常工作，到6号早上</t>
  </si>
  <si>
    <t>2020/02/29 09:02:00</t>
  </si>
  <si>
    <t>投诉编号：【449325】投诉时间：2020-02-2908:58投诉品牌：吉利汽车投诉车系：帝豪投诉车型：2019款领军版1.5L手动豪华型国VI投诉内容新车在75天做的首保，在当天保养时轮胎补气，补气时也未见轮胎鼓包。三天后发现轮胎鼓包，去4S店售后维修，工作人员在轮毂轮胎鼓包处外观没有任何的摩</t>
  </si>
  <si>
    <t>2020/02/29 08:58:00</t>
  </si>
  <si>
    <t>投诉编号：【449323】  投诉时间： 2020-02-29 07:48  投诉品牌： 华晨中华  投诉车系： 中华V3  投诉车型： 2016款 1.5L 手动 基本型        投诉内容  车子买来不到一个月有一次开的速度超过了120结果车子里就有特别大的异响，联系4s店说让我换边条，换过</t>
  </si>
  <si>
    <t>2020/02/29 07:48:00</t>
  </si>
  <si>
    <t>请问，三菱奕歌与长安CS75 PLUS 1.5T，哪个质量稳定些、性价比高些？</t>
  </si>
  <si>
    <t>2020/02/29 07:41:24</t>
  </si>
  <si>
    <t>本人比较喜欢H5，但朋友都让我买轩逸或者雷凌。</t>
  </si>
  <si>
    <t>2020/02/29 07:41:23</t>
  </si>
  <si>
    <t>最近一段时间有时加油特有劲儿，很多时候加油很没劲儿，油门加完也没什么劲儿，挂上运动版模式就可以了，取消运动版又恢复原来那样，还是没劲儿，请问哪里出现问题了啊？</t>
  </si>
  <si>
    <t>2020/02/29 07:36:40</t>
  </si>
  <si>
    <t>我是18款530，买了两个多月，一千公里，有油有电，打火感觉打着了，就下意识的松了钥匙，发动机突然瞬间熄火，再打就打不着了，每次打开钥匙门，有几秒的嗡嗡声音，今天打不着火后，在开钥匙门一点声音都没有了，仪表正常，头几天出现过一次，停了两小时打着了，这次彻底不着了，有和我一样情况的吗？</t>
  </si>
  <si>
    <t>2020/02/29 07:36:39</t>
  </si>
  <si>
    <t>16款桑塔纳1.6低配！1万9千公里最近发现方向盘有点沉重！该怎么处理。</t>
  </si>
  <si>
    <t>2020/02/29 07:34:06</t>
  </si>
  <si>
    <t>在外面加个机油把车子弄坏了，发动机报废。修理店不承认，现在需要更换整个发动机，但是人家不赔钱请问应该怎么办？</t>
  </si>
  <si>
    <t>2020/02/29 07:34:02</t>
  </si>
  <si>
    <t>别克凯越冷车踩离合器异响，松开离合异响消失，踩离合加油门更响，金属摩擦声，吱吱吱吱声，发动机热车20分钟后，异响消失，请问是哪里故障！</t>
  </si>
  <si>
    <t>2020/02/29 07:28:47</t>
  </si>
  <si>
    <t>新远景4AT有没有变速箱油尺，在什么地方？</t>
  </si>
  <si>
    <t xml:space="preserve">投诉编号：【449320】 
投诉时间： 2020-02-29 02:41 
投诉品牌： 长城汽车 
投诉车系： 哈弗F7 
投诉车型： 2019款 1.5T 两驱 i型 </t>
  </si>
  <si>
    <t>2020/02/29 07:22:42</t>
  </si>
  <si>
    <t>新车倒车刹车底盘有异响，挂空挡倒车滑行试了下踹刹车也有当的一声响，不知道是不是变速箱在响，每天冷车倒车的时候第一脚刹车特别响.车开一段高速了.在停车倒车刹车就没有异响了.第二天冷车倒车刹车又异响了.刹车踹一点下去就当的一声响。</t>
  </si>
  <si>
    <t>2020/02/29 07:12:15</t>
  </si>
  <si>
    <t>如今，汽车市场的发展规模日益增大，消费者对于汽车产品提出了个性化的需求，从而造就了产品跨界和多样化的形成。年轻消费者往往更看重参数，对汽车性能非常重视，对其它方面一般不太关注。作为豪华品牌的高性能车系，奥迪RS系列逐渐将实用的旅行车和SUV向高性能方向拓展，如今已经形成了相当完善的高性能产品矩阵，自</t>
  </si>
  <si>
    <t>2020/02/29 07:10:00</t>
  </si>
  <si>
    <t>　　最近下班回家的路上，经常能碰见一辆停靠在马路边上的小轿车，车辆后备箱呈开启状态，很远处就能看见用彩色霓虹灯拼出两个非常大的字母“CD”。每次路过我都在想，嗯？CD？现在还有车用CD吗？随着科技的进步，像这些古董级的配置基本已经被时代所淘汰。其实，在汽车上除了光盘播放器机，还有一些配置功能已经在悄</t>
  </si>
  <si>
    <t>张宇</t>
  </si>
  <si>
    <t>　　如今，汽车市场的发展规模日益增大，消费者对于汽车产品提出了个性化的需求，从而造就了产品跨界和多样化的形成。年轻消费者往往更看重参数，对汽车性能非常重视，对其它方面一般不太关注。作为豪华品牌的高性能车系，奥迪RS系列逐渐将实用的旅行车和SUV向高性能方向拓展，如今已经形成了相当完善的高性能产品矩阵</t>
  </si>
  <si>
    <t>罗毅</t>
  </si>
  <si>
    <t>用车 &gt; </t>
  </si>
  <si>
    <t>最近下班回家的路上，经常能碰见一辆停靠在马路边上的小轿车，车辆后备箱呈开启状态，很远处就能看见用彩色霓虹灯拼出两个非常大的字母“CD”。每次路过我都在想，嗯？CD？现在还有车用CD吗？随着科技的进步，像这些古董级的配置基本已经被时代所淘汰。其实，在汽车上除了光盘播放器机，还有一些配置功能已经在悄然之</t>
  </si>
  <si>
    <t>雨天开雨刮器，刹车踏板会和雨刮器同时震动，请问是什么原因？</t>
  </si>
  <si>
    <t>2020/02/29 07:07:46</t>
  </si>
  <si>
    <t>投诉编号：【449322】投诉时间：2020-02-2906:42投诉品牌：广汽本田投诉车系：雅阁投诉车型：2016款2.0LCVT舒适版投诉内容因为此时是疫情防控期间，4s店没有营业，3年新车质保期快到了，要求将质保期按疫情的影响时间顺延！给出明确答复！投诉回复车质网已将您的投诉转给生产企业以及国</t>
  </si>
  <si>
    <t>2020/02/29 06:42:00</t>
  </si>
  <si>
    <t>投诉编号：【449319】 
投诉时间： 2020-02-29 02:28 
投诉品牌： 上汽通用别克 
投诉车系： 威朗 
投诉车型： 2015款 15S 自动 领先型 车辆中控屏出现半闪屏现像且显示屏亮度比较暗</t>
  </si>
  <si>
    <t>2020/02/29 05:24:16</t>
  </si>
  <si>
    <t xml:space="preserve">投诉编号：【449316】 
投诉时间： 2020-02-29 01:25 
投诉品牌： 广汽本田 
投诉车系： 飞度 
投诉车型： 2016款 1.5L LXS CVT 舒适天窗版 
    投诉编号：【449316】
    投诉时间： 2020-02-29 01:25
    投诉品牌： 广汽本田
    投诉车系： 飞度
    投诉车型： 2016款 1.5L LXS CVT 舒适天窗版
</t>
  </si>
  <si>
    <t>2020/02/29 02:30:19</t>
  </si>
  <si>
    <t>投诉编号：【449313】 
投诉时间： 2020-02-29 00:26 
投诉品牌： 长城汽车 
投诉车系： 哈弗F7 
投诉车型： 2019款 1.5T 两驱 i型 车有好多小毛病。</t>
  </si>
  <si>
    <t>2020/02/29 01:53:00</t>
  </si>
  <si>
    <t>投诉编号：【449312】  投诉时间： 2020-02-29 00:17  投诉品牌： 北京现代  投诉车系： 途胜  投诉车型： 2015款 1.6T   双离合 两驱 智能型        投诉内容  北京现代途胜升级后动力弱发动机噪音大油耗高的情况，要求厂家给降级到出厂版本，解决升级后的问题</t>
  </si>
  <si>
    <t>2020/02/29 00:17:00</t>
  </si>
  <si>
    <t xml:space="preserve">投诉编号：【449308】 
投诉时间： 2020-02-28 23:21 
投诉品牌： 郑州日产 
投诉车系： 途达 
投诉车型： 2020款 2.5L 自动 四驱 豪华版 </t>
  </si>
  <si>
    <t>2020/02/28 23:59:59</t>
  </si>
  <si>
    <t>投诉编号：【449307】  投诉时间： 2020-02-28 23:12  投诉品牌： 上汽大众  投诉车系： 途观  投诉车型： 2016款 280TSI 自动 丝绸之路舒适版        投诉内容  上次投诉转向系统异响后，厂家没有做实质性的检测，仅仅让4S店技师进行了检查，并没有解决此问题</t>
  </si>
  <si>
    <t>2020/02/28 23:12:00</t>
  </si>
  <si>
    <t>投诉编号：【449306】  投诉时间： 2020-02-28 23:08  投诉品牌： 上汽集团  投诉车系： 荣威550  投诉车型： 2014款 1.8L 手动 智选版        投诉内容  锁车后应急灯不定时自动点亮，直到电瓶没电。经常出现这种情况，找了很多专业店铺都无法查出故障原因。出</t>
  </si>
  <si>
    <t>2020/02/28 23:08:00</t>
  </si>
  <si>
    <t>投诉编号：【449305】  投诉时间： 2020-02-28 23:06  投诉品牌： 一汽-大众  投诉车系： 速腾  投诉车型： 2018款 1.6L 手动 舒适型        投诉内容  汽车热车后怠速发动机舱传来类似咕噜咕噜咯咯咯的声音，查询后发现很多ea211发动机都有这个问题，去4S</t>
  </si>
  <si>
    <t>2020/02/28 23:06:00</t>
  </si>
  <si>
    <t>18年9月30提的车到2020年2月25号蓄电池负极排气孔漏液。才15个月电池就不行了。这么垃圾风帆蓄电池</t>
  </si>
  <si>
    <t>江广青</t>
  </si>
  <si>
    <t>2020/02/28 22:43:00</t>
  </si>
  <si>
    <t>雪佛兰科沃兹蓄电池漏液18年9月30提的车到2020年2月25号蓄电池负极排气孔漏液。才15个月电池就不行了。这么垃圾风帆蓄电池</t>
  </si>
  <si>
    <t>不仅仅是为了解决车主的不满，更重要的是掌握为啥生锈，以后要尽量避免。</t>
  </si>
  <si>
    <t>finalman69</t>
  </si>
  <si>
    <t>2020/02/28 22:39:00</t>
  </si>
  <si>
    <t>奇瑞应当对生锈问题做出统一的处理方案不仅仅是为了解决车主的不满，更重要的是掌握为啥生锈，以后要尽量避免。</t>
  </si>
  <si>
    <t>上汽通用GF6自动变速箱应该注意哪些?通用的变速箱一点都没有改进吗？都说GF6的变速箱不能用得大修。你们都是什么情况了，说一下吧，都应该注意哪些，不能用国家还让销售，没人管了吗？我是18款的，吓死人了！！！</t>
  </si>
  <si>
    <t>公开公平公正</t>
  </si>
  <si>
    <t>2020/02/28 22:29:00</t>
  </si>
  <si>
    <t>通用的变速箱一点都没有改进吗？都说GF6的变速箱不能用得大修。你们都是什么情况了，说一下吧，都应该注意哪些，不能用国家还让销售，没人管了吗？我是18款的，吓死人了！！！</t>
  </si>
  <si>
    <t xml:space="preserve">投诉编号：【449296】 
投诉时间： 2020-02-28 21:52 
投诉品牌： 东风标致 
投诉车系： 标致408 
投诉车型： 2016款 1.6T 自动 豪华版 </t>
  </si>
  <si>
    <t>2020/02/28 22:26:10</t>
  </si>
  <si>
    <t xml:space="preserve">投诉编号：【449294】 
投诉时间： 2020-02-28 21:42 
投诉品牌： 中国重汽 
投诉车系： 豪沃 
投诉车型： 中型仓栏式货车 </t>
  </si>
  <si>
    <t>2020/02/28 22:24:23</t>
  </si>
  <si>
    <t>投诉编号：【449297】  投诉时间： 2020-02-28 21:59  投诉品牌： 众泰汽车  投诉车系： 众泰T600  投诉车型： 2016款 1.5T 手动 豪华型 运动版        投诉内容  大灯开启会自动关闭，自动开启。时亮时不亮。夜间行车安全隐患大。      投诉回复  车</t>
  </si>
  <si>
    <t>2020/02/28 21:59:00</t>
  </si>
  <si>
    <t>投诉编号：【449283】 
投诉时间： 2020-02-28 20:24 
投诉品牌： 上汽通用别克 
投诉车系： 英朗 
投诉车型： 2017款 15N 自动 豪华型 别克英朗转向卡顿沉重希望厂家处理问题</t>
  </si>
  <si>
    <t>2020/02/28 21:42:13</t>
  </si>
  <si>
    <t>投诉编号：【449292】  投诉时间： 2020-02-28 21:26  投诉品牌： 长安轻型车  投诉车系： 神骐F30  投诉车型： 2018款 1.5L 精英版 短轴 DAM15L        投诉内容  长安神骐F30超过70车就左右摆，实在不好开，关键怕进沟，太危险。      投诉</t>
  </si>
  <si>
    <t>2020/02/28 21:26:00</t>
  </si>
  <si>
    <t>投诉编号：【449290】  投诉时间： 2020-02-28 21:20  投诉品牌： 上汽大众  投诉车系： 凌渡  投诉车型： 2015款 280TSI DSG 豪华版        投诉内容  车内异味严重，时间长了会头疼，呼吸不舒服。      投诉回复  车质网已将您的投诉转给生产企业以</t>
  </si>
  <si>
    <t>2020/02/28 21:20:00</t>
  </si>
  <si>
    <t>投诉编号：【449289】  投诉时间： 2020-02-28 21:11  投诉品牌： 一汽-大众  投诉车系： 探岳  投诉车型： 2019款 330TSI 两驱 豪华型 国V        投诉内容  大灯发白起雾，里面有脏污，晚上灯光明显亮度不够。到4s店检查反映问题说正常，说透镜是玻璃的，</t>
  </si>
  <si>
    <t>2020/02/28 21:11:00</t>
  </si>
  <si>
    <t>投诉编号：【449288】  投诉时间： 2020-02-28 21:07  投诉品牌： 斯巴鲁  投诉车系： 森林人  投诉车型： 2013款 2.0L CVT 舒适版        投诉内容  2020年2月28日检查车子时发现左侧里面的一个点火线圈附近有不少油渍，去东安路斯巴鲁4s店检查后说是</t>
  </si>
  <si>
    <t>2020/02/28 21:07:00</t>
  </si>
  <si>
    <t>投诉编号：【449283】 
投诉时间： 2020-02-28 20:24 
投诉品牌： 上汽通用别克 
投诉车系： 英朗 
投诉车型： 2017款 15N 自动 豪华型 东风日产天籁车载互联故障希望厂家处理</t>
  </si>
  <si>
    <t>2020/02/28 20:49:32</t>
  </si>
  <si>
    <t>投诉编号：【449286】  投诉时间： 2020-02-28 20:44  投诉品牌： 铃木  投诉车系： gw250f  投诉车型： gw250f        投诉内容  三十码以上速度车把抖的非常厉害，严重影响安全驾驶 、双手必须时刻在手把上，打开风镜都没办法。      投诉回复  车质网</t>
  </si>
  <si>
    <t>2020/02/28 20:44:00</t>
  </si>
  <si>
    <t>投诉编号：【449284】  投诉时间： 2020-02-28 20:40  投诉品牌： 东风雪铁龙  投诉车系： C4世嘉  投诉车型： 2018款 1.6L 自动 豪华型        投诉内容  18款C4世嘉自豪版原地方向向右或向左打死后，后轮出现严重异响，去了4s店一次没出现异响过，第二次</t>
  </si>
  <si>
    <t>2020/02/28 20:40:00</t>
  </si>
  <si>
    <t>投诉编号：【449281】  投诉时间： 2020-02-28 19:49  投诉品牌： 上汽大众  投诉车系： 途观L  投诉车型： 2017款 330TSI 两驱 豪华版        投诉内容  厂家回复不是质量问题，我想请问不是质量问题为什么漏水说我没在他们4S店保养就为难我，谁的车开了2年</t>
  </si>
  <si>
    <t>2020/02/28 19:49:00</t>
  </si>
  <si>
    <t>投诉编号：【449280】  投诉时间： 2020-02-28 19:46  投诉品牌： 东风日产  投诉车系： 天籁  投诉车型： 2019款 2.0L XL 舒适版        投诉内容  购车18天800公里左右前轮悬挂异响发展到后面两轮减震器不减震，整车四根减震器现在就坏了右前还有后面两根</t>
  </si>
  <si>
    <t>2020/02/28 19:46:00</t>
  </si>
  <si>
    <t>投诉编号：【449277】  投诉时间： 2020-02-28 19:34  投诉品牌： 吉利汽车  投诉车系： 帝豪  投诉车型： 2017款 1.5L 手动 豪华型 三厢 百万款        投诉内容  本人于2016年12月份购得吉利汽车一辆，由于平时开的比较少，也比较爱惜，由于生锈地方比较</t>
  </si>
  <si>
    <t>2020/02/28 19:34:00</t>
  </si>
  <si>
    <t>投诉编号：【449273】  投诉时间： 2020-02-28 19:24  投诉品牌： 吉利汽车  投诉车系： 博越  投诉车型： 2020款 1.8TD DCT 两驱 智雅型        投诉内容  主驾驶座椅异响，副驾驶座椅下面脚垫打开，右后车门出水口发黄，倒车影像模糊，刚起车时挂挡踩油门走</t>
  </si>
  <si>
    <t>2020/02/28 19:24:00</t>
  </si>
  <si>
    <t>投诉编号：【449268】 
投诉时间： 2020-02-28 18:59 
投诉品牌： 长城汽车 
投诉车系： 哈弗F7 
投诉车型： 2019款 1.5T 两驱 i潮 哈弗F7车载互联故障希望厂家处理问题</t>
  </si>
  <si>
    <t>2020/02/28 19:23:09</t>
  </si>
  <si>
    <t>投诉编号：【449267】 
投诉时间： 2020-02-28 18:40 
投诉品牌： 东风日产 
投诉车系： 轩逸 
投诉车型： 2019款 1.6XE CVT 舒适版 国VI东风日产轩逸变速箱异响发动机容易熄火</t>
  </si>
  <si>
    <t>2020/02/28 19:23:07</t>
  </si>
  <si>
    <t>投诉编号：【449272】  投诉时间： 2020-02-28 19:17  投诉品牌： 吉利汽车  投诉车系： 缤越  投诉车型： 2019款 260T DCT 游侠 国VI        投诉内容  在水泥路上行驶右后座椅有吱嘎吱嘎的异响，比较让人难受，柏油路上不明显。      投诉回复  车</t>
  </si>
  <si>
    <t>2020/02/28 19:17:00</t>
  </si>
  <si>
    <t>投诉编号：【449271】  投诉时间： 2020-02-28 19:10  投诉品牌： 江淮汽车  投诉车系： 瑞风S3  投诉车型： 2014款 1.5L CVT 豪华智能型        投诉内容  变速箱传感器灯一亮就行驶不了，高速发生过几次特别危险，去过厦门江淮店换过变速箱油，中间有过好转</t>
  </si>
  <si>
    <t>2020/02/28 19:10:00</t>
  </si>
  <si>
    <t>投诉编号：【449270】  投诉时间： 2020-02-28 19:05  投诉品牌： 一汽-大众  投诉车系： 迈腾  投诉车型： 2019款 330TSI DSG 领先型 国VI        投诉内容  汽车挂Ｐ挡异响严重还拌有抖动，N挡同样异响，尽快解决，品质堪忧。坐车里异响太大了，咕噜咕</t>
  </si>
  <si>
    <t>2020/02/28 19:05:00</t>
  </si>
  <si>
    <t>投诉编号：【449265】  投诉时间： 2020-02-28 18:34  投诉品牌： 猎豹汽车  投诉车系： 猎豹CS9  投诉车型： 2018款 1.5T CVT 劲享型        投诉内容  猎豹CS9转向机故障，去4S检查说是方向机坏了，但是不给保修。      投诉回复  车质网已将</t>
  </si>
  <si>
    <t>2020/02/28 18:34:00</t>
  </si>
  <si>
    <t>投诉编号：【449263】  投诉时间： 2020-02-28 18:29  投诉品牌： 华晨中华  投诉车系： 中华V5  投诉车型： 2016款 1.5T 手动 两驱 运动型        投诉内容  在国道上正常行驶时右后轮向内测倒去，仪表盘显示胎芽灯故障灯与发动机故障灯都亮了，导致我本人发生</t>
  </si>
  <si>
    <t>2020/02/28 18:29:00</t>
  </si>
  <si>
    <t>投诉编号：【449260】  投诉时间： 2020-02-28 18:04  投诉品牌： 奇瑞汽车  投诉车系： 艾瑞泽5  投诉车型： 2017款 1.5L CVT 时尚版        投诉内容  发动机故障灯亮，说可能是主板问题，具体问题没查出，就跟我扯皮说是我在外面的保养导致间接性关系，让我</t>
  </si>
  <si>
    <t>2020/02/28 18:04:00</t>
  </si>
  <si>
    <t>投诉编号：【449255】  投诉时间： 2020-02-28 17:39  投诉品牌： 吉利汽车  投诉车系： 嘉际  投诉车型： 2019款 1.5TD MHEV DCT 尊享型        投诉内容  左前轮漫过减速带偶尔有异响，昨天保养也没有查出来，雨量感应探头卡扣松动，导致失灵，已经修好</t>
  </si>
  <si>
    <t>2020/02/28 17:39:00</t>
  </si>
  <si>
    <t>投诉编号：【449254】  投诉时间： 2020-02-28 17:35  投诉品牌： 海马汽车  投诉车系： 海马S5  投诉车型： 2015款 1.6L 手动 智乐型        投诉内容  前两年发现油漆稍微有点鼓没当回事，由于车一直都是自己开的一直没发现，过年期间朋友开我车我去后排坐才发</t>
  </si>
  <si>
    <t>2020/02/28 17:35:00</t>
  </si>
  <si>
    <t>请问如何拆博越Pro保险盒前面那个储物盒？吉利博越Pro智慧版，请问如何拆保险盒前面那个储物盒，还有怎么拆中控侧板，安记录仪走线，不敢拆，如图的位置怎么拆</t>
  </si>
  <si>
    <t>k674622331</t>
  </si>
  <si>
    <t>吉利博越Pro智慧版，请问如何拆保险盒前面那个储物盒，还有怎么拆中控侧板，安记录仪走线，不敢拆，如图的位置怎么拆</t>
  </si>
  <si>
    <t xml:space="preserve">投诉编号：【449253】  投诉时间： 2020-02-28 17:20  投诉品牌： 东风日产  投诉车系： 蓝鸟  投诉车型： 2020款 1.6L CVT 智联智酷版        投诉内容  刚买2个多月车漆自己脱落，我的车才买了2个月就出现这种情况了，我要求厂家给我作出解释。      </t>
  </si>
  <si>
    <t>2020/02/28 17:20:00</t>
  </si>
  <si>
    <t>现在空调没有解决，买车子一个月左右就搭电二次，现在电瓶坏了，车子问题一直没有解决，检测一直说没有问题，这样有欺诈问题，公司以能拖就拖的解决方案。</t>
  </si>
  <si>
    <t>2020/02/28 17:17:39</t>
  </si>
  <si>
    <t>投诉编号：【449252】  投诉时间： 2020-02-28 17:17  投诉品牌： 一汽丰田  投诉车系： 卡罗拉双擎E+  投诉车型： 2019款 1.8L 旗舰版        投诉内容  车窗密封条脱落，慈溪市售后4s店态度极差，说话冲，不负责任，并且推卸责任。      投诉回复  车</t>
  </si>
  <si>
    <t>2020/02/28 17:17:00</t>
  </si>
  <si>
    <t>投诉编号：【449250】  投诉时间： 2020-02-28 17:14  投诉品牌： 上汽大通  投诉车系： 上汽MAXUS G10  投诉车型： 2018款 1.9T 自动 精英版 PLUS 柴油        投诉内容  2019呢中旬发现车子气门室盖漏油找厂家索赔一次，没有解决问题，现在找</t>
  </si>
  <si>
    <t>2020/02/28 17:14:00</t>
  </si>
  <si>
    <t>投诉编号：【449248】  投诉时间： 2020-02-28 17:13  投诉品牌： 广汽本田  投诉车系： 飞度  投诉车型： 2014款 1.5L CVT SE时尚型        投诉内容  启动汽车不能顺畅打着发动机，要尝试几次点火。      投诉回复  车质网已将您的投诉转给生产企业</t>
  </si>
  <si>
    <t>2020/02/28 17:13:00</t>
  </si>
  <si>
    <t>投诉编号：【449242】投诉时间：2020-02-2816:58投诉品牌：上汽大众投诉车系：途观投诉车型：2016款280TSI自动丝绸之路舒适版投诉内容上汽大众途观冷车行驶时变速箱无法换挡，冷车要热车3分钟以上，就是夏天也要热车，有时要热车5分钟，要求厂家解决好车辆的问题。投诉回复车质网已将您的</t>
  </si>
  <si>
    <t>2020/02/28 16:58:00</t>
  </si>
  <si>
    <t>投诉编号：【449240】  投诉时间： 2020-02-28 16:33  投诉品牌： 华晨中华  投诉车系： 中华V7  投诉车型： 2019款 运动款 280T 自动 豪华型        投诉内容  凉车自动熄火，没次天冷的时候一启动车子等10左右就熄火，在车子走动后有脱挡，倒车最明显，，开</t>
  </si>
  <si>
    <t>2020/02/28 16:33:00</t>
  </si>
  <si>
    <t>B级车领域的两款车型:帕萨特和迈腾，两款车型都是来源于大众集团全球最新的MQB平台，三大件几乎相同，配置也相近。但是为什么大家愿意去买帕萨特，而不是迈腾呢?首先在设计上，帕萨特采用了大众集团全球的最新设计语言，前进气格栅更加宽大，通过横竖镀铬装饰使整车看起来档次感更高，也更为霸气。迈腾的外观保留了大</t>
  </si>
  <si>
    <t>快到里来</t>
  </si>
  <si>
    <t>2020/02/28 16:31:00</t>
  </si>
  <si>
    <t>帕萨特VS迈腾 为什么我会更倾向于帕萨特B级车领域的两款车型:帕萨特和迈腾，两款车型都是来源于大众集团全球最新的MQB平台，三大件几乎相同，配置也相近。但是为什么大家愿意去买帕萨特，而不是迈腾呢?首先在设计上，帕萨特采用了大众集团全球的最新设计语言，前进气格栅更加宽大，通过横竖镀铬装饰使整车看起来档</t>
  </si>
  <si>
    <t>投诉编号：【449238】  投诉时间： 2020-02-28 16:30  投诉品牌： 吉利汽车  投诉车系： 远景X3  投诉车型： 2017款 1.5L 自动 尊贵型        投诉内容  2018年6月7号自动挡车在行驶过程中突然熄火，重新启动又可以行驶，后问询售后，售后称是系统没升级，</t>
  </si>
  <si>
    <t>2020/02/28 16:30:00</t>
  </si>
  <si>
    <t>投诉编号：【449236】  投诉时间： 2020-02-28 16:21  投诉品牌： 广汽丰田  投诉车系： 凯美瑞  投诉车型： 2015款 2.0G 自动 领先版        投诉内容  车子购于15年10月2.0G领先版2017年的时候就已经有磨损4S接待人员说先用用看不用管，后来就面积</t>
  </si>
  <si>
    <t>2020/02/28 16:21:00</t>
  </si>
  <si>
    <t>投诉编号：【449235】  投诉时间： 2020-02-28 16:17  投诉品牌： 广汽丰田  投诉车系： 凯美瑞  投诉车型： 2018款 2.5G 自动 豪华版        投诉内容  买来大概半年，突然发现面板裂了。找4s各种推脱，说是非质量因素造成的，就是不给解决，本来想着算了的，但</t>
  </si>
  <si>
    <t>2020/02/28 16:17:00</t>
  </si>
  <si>
    <t>投诉编号：【449232】投诉时间：2020-02-2816:06投诉品牌：东风日产投诉车系：逍客投诉车型：2016款2.0LCVT豪华版投诉内容车辆购买于2016年8月31日，在使用到2017年冬天时发现原地打方向有异响，因为车辆在保质期内，所以去了合肥东风日产4S店检查异响，4S店师傅告诉我此故</t>
  </si>
  <si>
    <t>2020/02/28 16:06:00</t>
  </si>
  <si>
    <t>我的车才12000公里，忽然出现发动机抖动！后开到修车铺检修为正时跳齿，然后我开到4s店要求质保，4s店以在外处理和在外保养为由，拒绝了索赔。我该怎么办？</t>
  </si>
  <si>
    <t>2020/02/28 15:56:34</t>
  </si>
  <si>
    <t>仪表盘显示4WD，怎么取消？按钮不管用。</t>
  </si>
  <si>
    <t>北京现代ix35行驶中车门窗锁为什么不能锁，行驶中车门窗能打开，即使关闭中控锁也没用。</t>
  </si>
  <si>
    <t>投诉编号：【449231】  投诉时间： 2020-02-28 15:56  投诉品牌： 一汽丰田  投诉车系： RAV4荣放  投诉车型： 2020款 2.0L CVT 两驱 风尚版        投诉内容  本人于2019年12月购买新款荣放2.0两驱风尚版，本来看中的是丰田的质量和品质，但是这</t>
  </si>
  <si>
    <t>2020/02/28 15:56:00</t>
  </si>
  <si>
    <t>投诉编号：【449230】  投诉时间： 2020-02-28 15:52  投诉品牌： 宝马（进口）  投诉车系： 宝马6系GT  投诉车型： 2019款 630i 豪华设计套装        投诉内容  2020年1月购买宝马新车，行驶1个月，2000多公里，出现轮胎严重开裂。      投诉回</t>
  </si>
  <si>
    <t>2020/02/28 15:52:00</t>
  </si>
  <si>
    <t>投诉编号：【449229】  投诉时间： 2020-02-28 15:52  投诉品牌： 上汽集团  投诉车系： 锐腾  投诉车型： 2015款 1.5TGI TST 豪华版        投诉内容  1、车辆在购买一个月2000公里左右出现变速箱抖动（在停车红灯的时候变速箱发出巨响、金属闯动的声音</t>
  </si>
  <si>
    <t>投诉编号：【449227】  投诉时间： 2020-02-28 15:43  投诉品牌： 众泰汽车  投诉车系： 众泰E200  投诉车型： 2018款 飞鱼座        投诉内容  我2018年2月份在菏泽购买了众泰新能源汽车e200，车在日照使用，这辆车从刚买两三个月开始直到现在，发生汽车行</t>
  </si>
  <si>
    <t>2020/02/28 15:43:00</t>
  </si>
  <si>
    <t>投诉编号：【449225】投诉时间：2020-02-2815:39投诉品牌：广汽本田投诉车系：飞度投诉车型：2004款两厢飞度1.3ATCVT投诉内容凉车挂上挡反应五六秒才走，在R挡踩刹车顿挫严重。投诉回复车质网已将您的投诉转给生产企业以及国家市场监督管理总局缺陷产品管理中心，我们将会对此投诉继续跟</t>
  </si>
  <si>
    <t>2020/02/28 15:39:00</t>
  </si>
  <si>
    <t>投诉编号：【449226】  投诉时间： 2020-02-28 15:39  投诉品牌： 广汽本田  投诉车系： 冠道  投诉车型： 2019款 240TURBO 两驱 尊享版        投诉内容  2019年10月30号购买本田冠道1.5T尊享版，2019年12月30号首保3200公里发现变速</t>
  </si>
  <si>
    <t>别克新君威隔音怎么样质量如何值得购买吗？</t>
  </si>
  <si>
    <t>2020/02/28 15:37:07</t>
  </si>
  <si>
    <t>投诉编号：【449224】投诉时间：2020-02-2815:36投诉品牌：上汽大众投诉车系：途观L投诉车型：2019款280TSI自动两驱全景舒适版国VI投诉内容变速箱升挡降挡异响，行驶6000多公里以后，出现降挡噔咯噔响，之后升挡也出现这种情况，现在越发明显，感觉像开手动挡，而不是自动挡。有几个</t>
  </si>
  <si>
    <t>2020/02/28 15:36:00</t>
  </si>
  <si>
    <t>2020年1月20日车辆熄火锁门，发现电瓶无电，第二天叫了应急救援后车辆打火并行驶了1H。然后2月2日和2月25日，发现车辆在停车熄火后约20分钟，有的时候两三分钟，大灯和雨刮自动启动。另外发现开启近光灯后无法变换到远光灯。上网查询后很多网友都反映这是世嘉的通病，是组合开关有缺陷，厂家免费给予保修。</t>
  </si>
  <si>
    <t>博士生人</t>
  </si>
  <si>
    <t>2020/02/28 15:28:00</t>
  </si>
  <si>
    <t>新车开了671公里后出现炸胎。4S以人为为由，拒绝处理。</t>
  </si>
  <si>
    <t>纳夫蒂</t>
  </si>
  <si>
    <t>雪铁龙世嘉大灯和雨刮器自动启动2020年1月20日车辆熄火锁门，发现电瓶无电，第二天叫了应急救援后车辆打火并行驶了1H。然后2月2日和2月25日，发现车辆在停车熄火后约20分钟，有的时候两三分钟，大灯和雨刮自动启动。另外发现开启近光灯后无法变换到远光灯。上网查询后很多网友都反映这是世嘉的通病，是组合</t>
  </si>
  <si>
    <t>投诉编号：【449222】  投诉时间： 2020-02-28 15:28  投诉品牌： 克莱斯勒（进口）  投诉车系： 克莱斯勒300C（进口）  投诉车型： 2016款 3.0L  超越版        投诉内容  我的车贷于2020年1月全部已经还清，现在不给车辆手续，押金也不退。车质网就是一</t>
  </si>
  <si>
    <t>卡罗拉韩泰轮胎爆胎4S店拒绝索赔新车开了671公里后出现炸胎。4S以人为为由，拒绝处理。</t>
  </si>
  <si>
    <t>奔腾B30转向卡顿升级后未能解决19年时候左前侧转向异响，11月底检测说转向电机问题，换了以转向卡顿，去4s店说升级，升级以后还是没好使，如果出了事故厂家有责任吗？希望给解决问题。</t>
  </si>
  <si>
    <t>花瓣雨</t>
  </si>
  <si>
    <t>2020/02/28 15:25:00</t>
  </si>
  <si>
    <t>19年时候左前侧转向异响，11月底检测说转向电机问题，换了以转向卡顿，去4s店说升级，升级以后还是没好使，如果出了事故厂家有责任吗？希望给解决问题。</t>
  </si>
  <si>
    <t>不到两年两万多公里的瑞虎8引擎盖有锈点，在今年2月10号左右洗完车才发现两后门拱掉漆露出钣金、生锈，过减速带时前后减震吱吱的响声，刹车时有丝丝声，刚洗完车几个小时后两后轮刹车抱死，加大马力后听到砰的一大声，感觉像刹车盘和刹车卡钳爆了似的。尤其不能忍受的是居然大面积掉漆的现象。希望厂家给出合理的解决方</t>
  </si>
  <si>
    <t>蒋婷婷</t>
  </si>
  <si>
    <t>2020/02/28 15:24:00</t>
  </si>
  <si>
    <t>投诉编号：【449221】  投诉时间： 2020-02-28 15:24  投诉品牌： 吉利汽车  投诉车系： 帝豪  投诉车型： 2018款 1.5L CVT 向上互联版        投诉内容  从购车开始，我就发现车门锁舌存在异响，刹车异响。多次去4S店。刹车异响，把我刹车片取下打磨过，说让</t>
  </si>
  <si>
    <t>瑞虎8车身生锈掉漆减震器异响 刹车异响不到两年两万多公里的瑞虎8引擎盖有锈点，在今年2月10号左右洗完车才发现两后门拱掉漆露出钣金、生锈，过减速带时前后减震吱吱的响声，刹车时有丝丝声，刚洗完车几个小时后两后轮刹车抱死，加大马力后听到砰的一大声，感觉像刹车盘和刹车卡钳爆了似的。尤其不能忍受的是居然大面</t>
  </si>
  <si>
    <t>新车到现在，发动机启停用不了，电瓶电量低！</t>
  </si>
  <si>
    <t>问天阁</t>
  </si>
  <si>
    <t>2020/02/28 15:23:00</t>
  </si>
  <si>
    <t>睿骋CC电瓶电量低 发动机启停失效新车到现在，发动机启停用不了，电瓶电量低！</t>
  </si>
  <si>
    <t>关于吉利汽车问题举报申诉本人吉利博越汽车（浙E58300）的车龄10个月，现针对吉利汽车产品质量和售后服务的问题，举报申诉如下：问题1、用车10个月后，车内异味仍严重，经查验隔音材料是劣质材料。2、电瓶亏电严重，新车交付时就电池告警，使用10个月后，电池仍告警频频，经湖州4S测试严重亏电，现场充电1</t>
  </si>
  <si>
    <t>我说</t>
  </si>
  <si>
    <t>2020/02/28 15:22:00</t>
  </si>
  <si>
    <t>2019年9月22日汽车行驶中出现机油压力故障，后更换机油和机滤，故障消失。在2019年1月19日又出现同样故障，更换机油和机滤故障依然存在，去苏州银狮汽车销售服务有限公司做检查，让换机油压力调节电磁阀和油底壳，并且检查出出水室节温器故障，让更换出水室总成。4s店无配件让等到3月10日以后再说。这辆</t>
  </si>
  <si>
    <t>被忽视</t>
  </si>
  <si>
    <t>标致3008发动机机油压力故障2019年9月22日汽车行驶中出现机油压力故障，后更换机油和机滤，故障消失。在2019年1月19日又出现同样故障，更换机油和机滤故障依然存在，去苏州银狮汽车销售服务有限公司做检查，让换机油压力调节电磁阀和油底壳，并且检查出出水室节温器故障，让更换出水室总成。4s店无配件</t>
  </si>
  <si>
    <t>博越车内异味 车辆存在漏电现象关于吉利汽车问题举报申诉本人吉利博越汽车（浙E58300）的车龄10个月，现针对吉利汽车产品质量和售后服务的问题，举报申诉如下：问题1、用车10个月后，车内异味仍严重，经查验隔音材料是劣质材料。2、电瓶亏电严重，新车交付时就电池告警，使用10个月后，电池仍告警频频，经湖</t>
  </si>
  <si>
    <t>主驾驶位座椅起皮起皱，去4s也没说出所以然。越想这事越不对，这才多少里程啊。</t>
  </si>
  <si>
    <t>击浪万里润汪洋</t>
  </si>
  <si>
    <t>2020/02/28 15:21:00</t>
  </si>
  <si>
    <t>这样的车企就是坑消费者，突发这种状况相当危险，存在严重安全隐患，强烈要求厂家不管购车多久应该无条件召回更换改进后的油泵。今天去了趟雪铁龙森风店反映情况，推说购车已经过了60个月，厂家不予免费更换，要求消费者自己出钱更换，这是对忠实客户的极端不负责，网上查阅资料说是之前就给很多问题车更换过，不知道当初</t>
  </si>
  <si>
    <t>疏洪万古顺江河</t>
  </si>
  <si>
    <t>轮胎行驶三万公里起皮，掉块。19年3月开始，加油到2500转，发动机发出哒哒哒声音，并且瞬间失去动力。</t>
  </si>
  <si>
    <t>买车不久就发现此问题，也去过4S店提出过这问题，也检查过。还是没有解决，然后就不了了知，至今因城里到处修路路面坑洼太多实在受不了。</t>
  </si>
  <si>
    <t>半导体r</t>
  </si>
  <si>
    <t>思域优科豪马轮胎掉皮发动机失去动力轮胎行驶三万公里起皮，掉块。19年3月开始，加油到2500转，发动机发出哒哒哒声音，并且瞬间失去动力。</t>
  </si>
  <si>
    <t>东风雪铁龙C4L高压油泵故障要求处理这样的车企就是坑消费者，突发这种状况相当危险，存在严重安全隐患，强烈要求厂家不管购车多久应该无条件召回更换改进后的油泵。今天去了趟雪铁龙森风店反映情况，推说购车已经过了60个月，厂家不予免费更换，要求消费者自己出钱更换，这是对忠实客户的极端不负责，网上查阅资料说是</t>
  </si>
  <si>
    <t>广汽丰田凯美瑞主驾驶位座椅起皮起皱主驾驶位座椅起皮起皱，去4s也没说出所以然。越想这事越不对，这才多少里程啊。</t>
  </si>
  <si>
    <t>本田凌派通过坑洼路段时后轮减震器异响买车不久就发现此问题，也去过4S店提出过这问题，也检查过。还是没有解决，然后就不了了知，至今因城里到处修路路面坑洼太多实在受不了。</t>
  </si>
  <si>
    <t>投诉编号：【449219】投诉时间：2020-02-2815:20投诉品牌：猎豹汽车投诉车系：猎豹CS10投诉车型：2016款2.0T自动豪华型投诉内容猎豹CS10挂挡后无任何动力输出影响使用，2019年就开始出现问题，去4S店说没事，到年底车正在行驶状态就出现故障，找到七台河市4S店，4S店说他们</t>
  </si>
  <si>
    <t>2020/02/28 15:20:00</t>
  </si>
  <si>
    <t>已拆出变速箱寄回山东，我强烈要求更换变速箱总成，他们说厂家说维修为主，反正一样保三年，车新买才几个月，维修过后，如果再坏怎么办？这样已经浪费我两个多月时间了！</t>
  </si>
  <si>
    <t>观潮万世钦浪涛</t>
  </si>
  <si>
    <t>捷途X70发动机渗油希望尽快得到处理，影响正常使用。</t>
  </si>
  <si>
    <t>出渊万丈广波澜</t>
  </si>
  <si>
    <t>捷途X70发动机渗油希望尽快得到处理捷途X70发动机渗油希望尽快得到处理，影响正常使用。</t>
  </si>
  <si>
    <t>北京现代领动行驶中变速箱加速无力已拆出变速箱寄回山东，我强烈要求更换变速箱总成，他们说厂家说维修为主，反正一样保三年，车新买才几个月，维修过后，如果再坏怎么办？这样已经浪费我两个多月时间了！</t>
  </si>
  <si>
    <t>投诉编号：【449215】 
投诉时间： 2020-02-28 14:53 
投诉品牌： 上汽通用别克 
投诉车系： 凯越 
投诉车型： 2008款 1.6 手动 LE 别克凯越仪表台脱胶开裂影响安全驾驶</t>
  </si>
  <si>
    <t>2020/02/28 15:19:33</t>
  </si>
  <si>
    <t>投诉编号：【449214】 
投诉时间： 2020-02-28 14:49 
投诉品牌： 上汽通用雪佛兰 
投诉车系： 迈锐宝XL 
投诉车型： 2018款 530T 自动 锐驰版 雪佛兰迈锐宝XL挂入P挡后仪表提示未挂入P挡</t>
  </si>
  <si>
    <t>2020/02/28 15:19:18</t>
  </si>
  <si>
    <t>投诉编号：【449216】 
投诉时间： 2020-02-28 14:59 
投诉品牌： 长城汽车 
投诉车系： 哈弗F7 
投诉车型： 2019款 1.5T 两驱 i潮 哈弗F7导航不准确 360影像模糊不清</t>
  </si>
  <si>
    <t>2020/02/28 15:19:03</t>
  </si>
  <si>
    <t>东风悦达起亚智跑车身多处漆面开裂东风悦达起亚2.0L自动智享豪华版智跑19年3月份买的，发现了多次，多处严重车漆质量问题！！！第一次刚提车半个月左右发现后尾门内左上有巴掌大铁皮赤裸裸的生锈了，开到售后店质问。给我的回答是：出厂时可能当时漏喷了一块。然后给那块锈迹斑斑铁皮打磨，喷上了车漆。19年8月又</t>
  </si>
  <si>
    <t>右弼破隐神</t>
  </si>
  <si>
    <t>2020/02/28 15:19:00</t>
  </si>
  <si>
    <t>东风悦达起亚2.0L自动智享豪华版智跑19年3月份买的，发现了多次，多处严重车漆质量问题！！！第一次刚提车半个月左右发现后尾门内左上有巴掌大铁皮赤裸裸的生锈了，开到售后店质问。给我的回答是：出厂时可能当时漏喷了一块。然后给那块锈迹斑斑铁皮打磨，喷上了车漆。19年8月又发现引擎盖多处开裂脱漆现象，19</t>
  </si>
  <si>
    <t>车型是BJ202018款，2020年2月27日下雨，车辆停放在室外，雨也不是很大，下午5点左右，上车发现中控下方的储物槽里有好多水，后又仔细观察从哪里进的水，随后拍了上面的照片发给4S店，通过视频看了一下对方说不知道什么地方进水，现在特殊时期修不了，只能等待……现在我但心里面的电路和电子元件被水泡，</t>
  </si>
  <si>
    <t>镇海四权</t>
  </si>
  <si>
    <t>北京BJ20车顶漏水存在严重安全隐患车型是BJ202018款，2020年2月27日下雨，车辆停放在室外，雨也不是很大，下午5点左右，上车发现中控下方的储物槽里有好多水，后又仔细观察从哪里进的水，随后拍了上面的照片发给4S店，通过视频看了一下对方说不知道什么地方进水，现在特殊时期修不了，只能等待……现</t>
  </si>
  <si>
    <t xml:space="preserve">宝骏560论坛 &gt; </t>
  </si>
  <si>
    <t>宝骏560车门生锈起皮严重影响美观之前4S给我换中控锁的时候主驾车门内饰拆过一次，就有发现车门有生锈，大概有一年左右时间了，现在发现四个车门全部生锈很严重，不拆也能看出来，门内饰底部全是锈迹，主要是门内饰板和车门铁皮结合的地方，希望厂家积极处理。</t>
  </si>
  <si>
    <t>破军荡天下               初级技工</t>
  </si>
  <si>
    <t>2020/02/28 15:18:00</t>
  </si>
  <si>
    <t>之前4S给我换中控锁的时候主驾车门内饰拆过一次，就有发现车门有生锈，大概有一年左右时间了，现在发现四个车门全部生锈很严重，不拆也能看出来，门内饰底部全是锈迹，主要是门内饰板和车门铁皮结合的地方，希望厂家积极处理。</t>
  </si>
  <si>
    <t>破军荡天下</t>
  </si>
  <si>
    <t>后尾灯2020.02.22洗车后，等二天23号上午发现有水珠，开到吉利4S店，拍了个视频在28号我多次追问下跟我说质量没有问题是正常的在问他们就不回信息了！</t>
  </si>
  <si>
    <t>左辅掀洞庭</t>
  </si>
  <si>
    <t>吉利帝豪后尾灯无破损有水珠后尾灯2020.02.22洗车后，等二天23号上午发现有水珠，开到吉利4S店，拍了个视频在28号我多次追问下跟我说质量没有问题是正常的在问他们就不回信息了！</t>
  </si>
  <si>
    <t>长安睿骋发动机烧机油冒白烟希望处理，严重影响正常使用。</t>
  </si>
  <si>
    <t>贪狼赴阳关</t>
  </si>
  <si>
    <t>2020/02/28 15:17:00</t>
  </si>
  <si>
    <t>2019年11月份接到4S店电话，通知车快要过保了，有空去检查一下，正好十一月十多号车的发动机故障灯亮了，就去检查一下，师傅用电脑查了下说是节气门脏了，师傅打开机盖时说缺防冻液直接就给添加上了，其它的什么检查也没给我做，只是把发动机故障灯清掉了。第二天发动机故障灯又亮了，因为师傅告诉我原因了，我也就</t>
  </si>
  <si>
    <t>武曲归北斗</t>
  </si>
  <si>
    <t>一汽大众奥迪A4L节温器漏防冻液严重2019年11月份接到4S店电话，通知车快要过保了，有空去检查一下，正好十一月十多号车的发动机故障灯亮了，就去检查一下，师傅用电脑查了下说是节气门脏了，师傅打开机盖时说缺防冻液直接就给添加上了，其它的什么检查也没给我做，只是把发动机故障灯清掉了。第二天发动机故障灯</t>
  </si>
  <si>
    <t>长安睿骋发动机烧机油冒白烟长安睿骋发动机烧机油冒白烟希望处理，严重影响正常使用。</t>
  </si>
  <si>
    <t>上汽大众途岳电瓶亏电并且无法充电2019年3月购买途岳车，20年1月停滞5天，电瓶亏电已不能启动，搭电后才能启动；后续停滞2天就不能启动，已连续发生3次。2月28日宁波联通4S店确认，电量低，正常的开车已不能充进去电；要求走正常的索赔流程被拒，又无合适的解决方案。</t>
  </si>
  <si>
    <t>廉贞御丹碧</t>
  </si>
  <si>
    <t>2020/02/28 15:16:00</t>
  </si>
  <si>
    <t>2019年3月购买途岳车，20年1月停滞5天，电瓶亏电已不能启动，搭电后才能启动；后续停滞2天就不能启动，已连续发生3次。2月28日宁波联通4S店确认，电量低，正常的开车已不能充进去电；要求走正常的索赔流程被拒，又无合适的解决方案。</t>
  </si>
  <si>
    <t>东风标致3008发动机异响严重希望处理东风标致3008发动机异响严重希望处理，发动机像托拉机一样响，特别是冷车。</t>
  </si>
  <si>
    <t>巨门拓阴山</t>
  </si>
  <si>
    <t>广汽丰田雷凌隔音棉材质极差导致车内异味之前已投诉，但是厂家2月10日给我回复，说联系我，到了2月13日，依然没有联系，怎么解决？如何解决？用了几年车，把我臭安逸了，血汗钱买来的车，你就用黑心棉敷衍老百姓。在这里，我郑重向厂家隔空喊话：你这样敷衍消费者，漠视群众利益，那我每天到这里来投诉，如果2月16</t>
  </si>
  <si>
    <t>禄存散真华</t>
  </si>
  <si>
    <t>2020/02/28 15:15:00</t>
  </si>
  <si>
    <t>长安逸动新能源方向盘不正吃胎偏磨买车的时候就发现方向盘不正，4s店销售说没事都这样，没想到行驶几个月后发现两个前轮轮胎偏磨严重，怀疑四轮定位问题，许昌长安新能源称无四轮定位设备，让去别的地方调整，在4s保养时不给轮胎前后换位。正常行驶过程中，esp报警灯突然亮起，后面就一直亮，按esp开关键报警灯依</t>
  </si>
  <si>
    <t>文曲造玄光</t>
  </si>
  <si>
    <t>之前已投诉，但是厂家2月10日给我回复，说联系我，到了2月13日，依然没有联系，怎么解决？如何解决？用了几年车，把我臭安逸了，血汗钱买来的车，你就用黑心棉敷衍老百姓。在这里，我郑重向厂家隔空喊话：你这样敷衍消费者，漠视群众利益，那我每天到这里来投诉，如果2月16日没有解决方案，后面我每天打12315</t>
  </si>
  <si>
    <t>买车的时候就发现方向盘不正，4s店销售说没事都这样，没想到行驶几个月后发现两个前轮轮胎偏磨严重，怀疑四轮定位问题，许昌长安新能源称无四轮定位设备，让去别的地方调整，在4s保养时不给轮胎前后换位。正常行驶过程中，esp报警灯突然亮起，后面就一直亮，按esp开关键报警灯依旧常亮。右侧大灯异响，4s说正常</t>
  </si>
  <si>
    <t>华晨宝马X1右前轮刹车片偏磨影响安全16年10月购买的x1 1.5t尊享，行驶到3.3万公里时出现刹车明显异响，4s店说刹车片偏磨，已经磨到刹车盘，已经出保质期，自费更换，3300。明明是车的质量问题，为什么要消费者来买单，而且更换盘、片后并没有解决问题，还是会偏磨，难道过3万公里再换一套？希望宝马</t>
  </si>
  <si>
    <t>相星九绝</t>
  </si>
  <si>
    <t>2020/02/28 15:14:00</t>
  </si>
  <si>
    <t>16年10月购买的x1 1.5t尊享，行驶到3.3万公里时出现刹车明显异响，4s店说刹车片偏磨，已经磨到刹车盘，已经出保质期，自费更换，3300。明明是车的质量问题，为什么要消费者来买单，而且更换盘、片后并没有解决问题，还是会偏磨，难道过3万公里再换一套？希望宝马正视这个问题。全民抗击疫情，不要给人</t>
  </si>
  <si>
    <t>2019款大众宝来传奇的发动机异响、敲缸和底盘隔热瓦问题是否已经解决？手动挡车型现在是否值得入手？</t>
  </si>
  <si>
    <t>2020/02/28 14:59:14</t>
  </si>
  <si>
    <t>名爵HS整个干式双离合变速箱大概多少钱？</t>
  </si>
  <si>
    <t>2020/02/28 14:49:57</t>
  </si>
  <si>
    <t>投诉编号：【449213】  投诉时间： 2020-02-28 14:46  投诉品牌： 上汽斯柯达  投诉车系： 柯迪亚克  投诉车型： 2018款 TSI330 两驱 豪华优享版 5座        投诉内容  此车购买于2017年年底1、此车变速箱在降挡时，会发出打铁一样的声音，且声音较大。我</t>
  </si>
  <si>
    <t>2020/02/28 14:46:00</t>
  </si>
  <si>
    <t>捷达VS5和马自达CX-5比较一下车身的结构刚性和基础造车工艺，谁先进？两者的底盘谁的更好？大众喜欢偷工减料主要在哪些方面？技术狂是否也偷工减料？总觉得大众的顶棚是全焊，车门是整体，还有车门铰链是铸造件而非冲压件，看上去很安全可靠，不知这种观点正确否？目前开的2014款桑塔纳，没什么大毛病，觉得减震</t>
  </si>
  <si>
    <t>2020/02/28 14:40:51</t>
  </si>
  <si>
    <t>别克厂家什么时候才能上班，什么时候发货？</t>
  </si>
  <si>
    <t>2020/02/28 14:36:38</t>
  </si>
  <si>
    <t>投诉编号：【449208】投诉时间：2020-02-2814:33投诉品牌：广汽本田投诉车系：凌派投诉车型：2016款1.8LCVT领先版投诉内容买车不久就发现此问题，也去过4S店提出过这问题，也检查过。还是没有解决，然后就不了了知，至今因城里到处修路路面坑洼太多实在受不了。投诉回复车质网已将您的投</t>
  </si>
  <si>
    <t>2020/02/28 14:33:00</t>
  </si>
  <si>
    <t>名爵HS干式双离合变速箱是什么型号的？</t>
  </si>
  <si>
    <t>2020/02/28 14:32:23</t>
  </si>
  <si>
    <t>　　2月28日，广汽丰田威兰达正式上市。新车共推出12款配置车型，官方指导价17.18-24.18万元。威兰达基于丰田TNGA-K架构打造，搭载2.0L自然吸气发动机和2.5L混合动力系统。厂家为消费者提供购买2.0L车型5成首付2年0息，购买2.5L混动车型5成首付1年0息的金融优惠政策。　　外观</t>
  </si>
  <si>
    <t>2020/02/28 14:28:00</t>
  </si>
  <si>
    <t>投诉编号：【449206】投诉时间：2020-02-2814:23投诉品牌：奇瑞汽车投诉车系：捷途X90投诉车型：2019款1.6TDCT智旅版6座国VI投诉内容前后悬挂，减震器硬，稍微颠簸路段都能起跳，不能很好过滤沟沟坎坎，乘坐体验不舒适，静谧性能偏差。希望能解决。投诉回复车质网已将您的投诉转给生</t>
  </si>
  <si>
    <t>2020/02/28 14:23:00</t>
  </si>
  <si>
    <t>路虎揽胜运动版将于2022年完成换代路虎品牌在去年推出全新一代路虎卫士，并且大获成功，订单量远超预期。工程师和设计师现已将工作重点转移到了更大利润的项目上：2022路虎揽胜运动版的研发。预计第三代路虎揽胜运动将采用更多的电气化动力总成和一系列增强的技术，并力求保持豪华和动态性能之间的平衡，而这两大要</t>
  </si>
  <si>
    <t>背着书包打酱油</t>
  </si>
  <si>
    <t>投诉编号：【449205】  投诉时间： 2020-02-28 14:23  投诉品牌： 长安汽车  投诉车系： 长安CS75 PHEV  投诉车型： 2018款 1.5T PHEV 进取型        投诉内容  室外温度5、6度左右EV模式下空调调到26度左右空调不制热，压缩机不启动，车友中有</t>
  </si>
  <si>
    <t>路虎品牌在去年推出全新一代路虎卫士，并且大获成功，订单量远超预期。工程师和设计师现已将工作重点转移到了更大利润的项目上：2022路虎揽胜运动版的研发。预计第三代路虎揽胜运动将采用更多的电气化动力总成和一系列增强的技术，并力求保持豪华和动态性能之间的平衡，而这两大要素在前两代车型上都得到了很好的诠释。</t>
  </si>
  <si>
    <t>起亚确认将启用新LOGO传闻多时的“起亚换标”一事，终于算是有了定论。日前，起亚汽车总裁朴汉宇（Park Han-woo）首次对媒体公开确认，起亚汽车将会在2020年更换新的LOGO。根据韩国媒体的相关报道，全新的起亚LOGO将在2020年10月发布。一段时间以来，外界都在盛传起亚汽车将更换全新设计</t>
  </si>
  <si>
    <t>2020/02/28 14:22:00</t>
  </si>
  <si>
    <t>售价6.99万起的2020款奕炫 配置丰富2020款奕炫作为东风风神旗下的一款重要车型，拥有时尚大气的外观和丰富的配置。下面就带大家看看这款车的表现如何。外观方面，2020款奕炫的前脸设计前卫，车前脸采用锐利的线条勾勒出个性时尚前脸造型。车前脸蜂窝式中网搭配镀铬饰条装饰，颇有运动感。车身尺寸方面，新</t>
  </si>
  <si>
    <t>传闻多时的“起亚换标”一事，终于算是有了定论。日前，起亚汽车总裁朴汉宇（Park Han-woo）首次对媒体公开确认，起亚汽车将会在2020年更换新的LOGO。根据韩国媒体的相关报道，全新的起亚LOGO将在2020年10月发布。一段时间以来，外界都在盛传起亚汽车将更换全新设计的LOGO，以匹配公司向</t>
  </si>
  <si>
    <t>2020款奕炫作为东风风神旗下的一款重要车型，拥有时尚大气的外观和丰富的配置。下面就带大家看看这款车的表现如何。外观方面，2020款奕炫的前脸设计前卫，车前脸采用锐利的线条勾勒出个性时尚前脸造型。车前脸蜂窝式中网搭配镀铬饰条装饰，颇有运动感。车身尺寸方面，新车长宽高为4660mmx1812mmx14</t>
  </si>
  <si>
    <t>炮 2019款 2.0T自动四驱越野版长城炮2019款 2.0T自动四驱越野中型皮卡车型长宽高分别为5410/1934/1886mm，轴距3230mm，货箱长宽高分别为1520/1520/538mm。前后轮距1596mm，前后轮胎规格尺寸265/60 R18.最大扭矩转速1800～3600rpm，最</t>
  </si>
  <si>
    <t>2020/02/28 14:20:00</t>
  </si>
  <si>
    <t>长城炮2019款 2.0T自动四驱越野中型皮卡车型长宽高分别为5410/1934/1886mm，轴距3230mm，货箱长宽高分别为1520/1520/538mm。前后轮距1596mm，前后轮胎规格尺寸265/60 R18.最大扭矩转速1800～3600rpm，最大功率（kw）140（190ps），最</t>
  </si>
  <si>
    <t>雷克萨斯在这两年对旗下的车型的更新频繁度不算很高，也不算很低，但是雷克萨斯这两年在国内的销量确实有明显的增长。而在雷克萨斯的车型阵营中，NX一定程度上扛下了“雷车”SUV阵营的销量大旗，其出色的产品可靠性与雷克萨斯的匠心出品让它圈粉无数，可以说是雷克萨斯的当家花旦车型。而就在近日，网上有消息传出，全</t>
  </si>
  <si>
    <t>2020/02/28 14:19:00</t>
  </si>
  <si>
    <t>大众新款途昂正式曝光日前，我们从海外媒体得知，新款大众Atlas（国内：途昂）渲染图正式曝光。相比现款车型，新车在前脸部分进行了调整，而中网与前大灯连为一体，整体造型与途昂X有些相似。此外，前保险杠造型也进行了调整，两侧进气格栅以及带来银色饰件的前护板则让车辆看上去更加运动且富有野性。车侧方面，新车</t>
  </si>
  <si>
    <t>日前，我们从海外媒体得知，新款大众Atlas（国内：途昂）渲染图正式曝光。相比现款车型，新车在前脸部分进行了调整，而中网与前大灯连为一体，整体造型与途昂X有些相似。此外，前保险杠造型也进行了调整，两侧进气格栅以及带来银色饰件的前护板则让车辆看上去更加运动且富有野性。车侧方面，新车整体线条保持不变，依</t>
  </si>
  <si>
    <t>全新雷克萨斯NX曝光 设计比现款更激进雷克萨斯在这两年对旗下的车型的更新频繁度不算很高，也不算很低，但是雷克萨斯这两年在国内的销量确实有明显的增长。而在雷克萨斯的车型阵营中，NX一定程度上扛下了“雷车”SUV阵营的销量大旗，其出色的产品可靠性与雷克萨斯的匠心出品让它圈粉无数，可以说是雷克萨斯的当家花</t>
  </si>
  <si>
    <t>同是大众SUV的探影和途铠 你选谁大众集团作为国内双车型战略的开创先河者，现今也是玩的越来越极致。在今年12月4日探影正式上市后，一汽-大众探影和上汽大众途铠便形成小型SUV的双车型战略。那么问题来了，在两款车如此相近的情况下究竟购买哪款好呢？（探影）（途铠）其实探影和途铠的外观、内饰以及车身尺寸方</t>
  </si>
  <si>
    <t>2020/02/28 14:18:00</t>
  </si>
  <si>
    <t>大众集团作为国内双车型战略的开创先河者，现今也是玩的越来越极致。在今年12月4日探影正式上市后，一汽-大众探影和上汽大众途铠便形成小型SUV的双车型战略。那么问题来了，在两款车如此相近的情况下究竟购买哪款好呢？（探影）（途铠）其实探影和途铠的外观、内饰以及车身尺寸方面都非常相近，甚至动力总成也是如出</t>
  </si>
  <si>
    <t>2020款奥迪Q5L适时上市 志在细分市场销量冠军如果不满足于紧凑型SUV的空间，兼具众多优点的中型SUV确实是个不错的选择。而在一众中型SUV中，火力最为凶猛的还是BBA领衔的豪华细分市场。即便2019年的汽车市场依然没有摆脱销量下滑、SUV增速放缓等字眼，但中型豪华SUV几乎一直保持着增长势头，</t>
  </si>
  <si>
    <t>如果不满足于紧凑型SUV的空间，兼具众多优点的中型SUV确实是个不错的选择。而在一众中型SUV中，火力最为凶猛的还是BBA领衔的豪华细分市场。即便2019年的汽车市场依然没有摆脱销量下滑、SUV增速放缓等字眼，但中型豪华SUV几乎一直保持着增长势头，是一个特别的存在。其中，表现颇为亮眼的还是要数奥迪</t>
  </si>
  <si>
    <t>售价4.59万起 这款吉利远景X3看起来不错吉利远景X3是吉利汽车旗下的一款小型SUV，新车的起售价为售价4.59万起，今天就为大家来介绍一下这款吉利远景X3。外观方面，吉利远景X3采用了全新的家族式设计。进气格栅结构特别，与两边车灯相互辉映。车身尺寸方面，吉利远景X3的长/宽/高分别为4005mm</t>
  </si>
  <si>
    <t>2020/02/28 14:17:00</t>
  </si>
  <si>
    <t>吉利远景X3是吉利汽车旗下的一款小型SUV，新车的起售价为售价4.59万起，今天就为大家来介绍一下这款吉利远景X3。外观方面，吉利远景X3采用了全新的家族式设计。进气格栅结构特别，与两边车灯相互辉映。车身尺寸方面，吉利远景X3的长/宽/高分别为4005mm/1760mm/1575mm，轴距为2480</t>
  </si>
  <si>
    <t>根据此前信息的确认Lucid Air将会在今年4月纽约车展上首次公开亮相，该品牌官方近日透露Lucid Air将使用LG Chem提供的柱状电池。Lucid（露西德）称，选择LG Chem只要是因为它可以为标准版Air提供非常好的效率水平，在进行一定优化过后可以达到或超过续航范围，其能量密度，充电/</t>
  </si>
  <si>
    <t>2020/02/28 14:16:00</t>
  </si>
  <si>
    <t>Lucid Air将使用LG Chem提供的柱状电池根据此前信息的确认Lucid Air将会在今年4月纽约车展上首次公开亮相，该品牌官方近日透露Lucid Air将使用LG Chem提供的柱状电池。Lucid（露西德）称，选择LG Chem只要是因为它可以为标准版Air提供非常好的效率水平，在进行一</t>
  </si>
  <si>
    <t>保时捷Panamera最帅四门轿跑【佰咖汽车·进口新车资讯】2019款保时捷Panamera车身线条圆润流畅，没有任何棱角，肌肉感十足，显示出比较成熟的保时捷设计风格。它采用了四门设计，前脸两侧各有一个大型进气口，水平条式雾灯横穿其中，造型独特。侧身线面处理得简洁柔和，既优雅又动感，巨大的五辐式轮彀</t>
  </si>
  <si>
    <t>2020/02/28 14:15:00</t>
  </si>
  <si>
    <t>近日，我们从工信部获悉到一组一汽-大众SUV Coupe量产版车型的申报图，据悉，该车外观采用了溜背式设计，尾标TAYRON X预示着该车有望命名探岳X，这也是一汽-大众旗下首款轿跑式SUV。外观方面，该车基本延续了探岳的设计风格，前格栅内部采用了黑色网状造型，并与两侧前大灯组相连，格栅内部纤细的镀</t>
  </si>
  <si>
    <t>一汽-大众首款轿跑SUV 有望命名探岳X近日，我们从工信部获悉到一组一汽-大众SUV Coupe量产版车型的申报图，据悉，该车外观采用了溜背式设计，尾标TAYRON X预示着该车有望命名探岳X，这也是一汽-大众旗下首款轿跑式SUV。外观方面，该车基本延续了探岳的设计风格，前格栅内部采用了黑色网状造型</t>
  </si>
  <si>
    <t>【佰咖汽车·进口新车资讯】2019款保时捷Panamera车身线条圆润流畅，没有任何棱角，肌肉感十足，显示出比较成熟的保时捷设计风格。它采用了四门设计，前脸两侧各有一个大型进气口，水平条式雾灯横穿其中，造型独特。侧身线面处理得简洁柔和，既优雅又动感，巨大的五辐式轮彀搭配了强劲的黄色的刹车卡钳，暗示出</t>
  </si>
  <si>
    <t>纵观现在整个汽车市场，可谓是做到真正的百花齐放，百家争鸣。自主品牌拿出自己最擅长的高配低价和酷炫外形让消费者应接不暇，而合资品牌这边也不差，纷纷拿出家族式“看家本领”成功让消费者的目光回到自己身上。不过说那么多，有一个细分市场一直默默无闻，但在那里的车型，其实才是最适合消费者的。那么是什么车型？有哪</t>
  </si>
  <si>
    <t>2020/02/28 14:14:00</t>
  </si>
  <si>
    <t>买家用车真没必要非“大车”不可纵观现在整个汽车市场，可谓是做到真正的百花齐放，百家争鸣。自主品牌拿出自己最擅长的高配低价和酷炫外形让消费者应接不暇，而合资品牌这边也不差，纷纷拿出家族式“看家本领”成功让消费者的目光回到自己身上。不过说那么多，有一个细分市场一直默默无闻，但在那里的车型，其实才是最适合</t>
  </si>
  <si>
    <t>2019年，宝马对于新车的部署做得已经足够全面，推出的宝马X7也顺理成章的成为宝马新一代的旗舰SUV，也填补了宝马产品大型SUV领域里最后一个空缺，同时，或许已经被大家遗忘的“旗舰轿跑”——宝马8系也再一次回到了大众视野，这也意味着宝马这个豪华品牌已经完成了对汽车市场的全面布局，在市场上的竞争力不容</t>
  </si>
  <si>
    <t>2020/02/28 14:13:00</t>
  </si>
  <si>
    <t>宝马2020年新车合集2019年，宝马对于新车的部署做得已经足够全面，推出的宝马X7也顺理成章的成为宝马新一代的旗舰SUV，也填补了宝马产品大型SUV领域里最后一个空缺，同时，或许已经被大家遗忘的“旗舰轿跑”——宝马8系也再一次回到了大众视野，这也意味着宝马这个豪华品牌已经完成了对汽车市场的全面布局</t>
  </si>
  <si>
    <t>2020年汽车行业的第一个盛会，当属 1月10日开展的海口国际新能源车展，来自全球的新能源汽车相关前沿技术和产品都将在展会上集中发布，其成为全球参展品牌最全、规模最大的新能源汽车展览会。国内外知名新能源汽车生产制造商如宝马 、梅赛德斯 -奔驰 、奥迪、克莱斯勒等均已明确参展。其中来克莱斯勒更是带来了</t>
  </si>
  <si>
    <t>2020/02/28 14:12:00</t>
  </si>
  <si>
    <t>吉利旗下的高端品牌领克在2019年取得了不错的成绩，2019年领克的总销量为12.8万辆，同比增长6.4%。领克也是销量最高的高端自主品牌。领克目前有01、02和03三款车型在售，而第四款新车领克05将在3月份正式上市，领克05是一款紧凑型的轿跑SUV。另外，领克第五款车型领克06的信息也被曝光。领</t>
  </si>
  <si>
    <t>领克06定位小型SUV 起售价或在10万元左右吉利旗下的高端品牌领克在2019年取得了不错的成绩，2019年领克的总销量为12.8万辆，同比增长6.4%。领克也是销量最高的高端自主品牌。领克目前有01、02和03三款车型在售，而第四款新车领克05将在3月份正式上市，领克05是一款紧凑型的轿跑SUV。</t>
  </si>
  <si>
    <t>2019款克莱斯勒大捷龙插电混动版2020年汽车行业的第一个盛会，当属 1月10日开展的海口国际新能源车展，来自全球的新能源汽车相关前沿技术和产品都将在展会上集中发布，其成为全球参展品牌最全、规模最大的新能源汽车展览会。国内外知名新能源汽车生产制造商如宝马 、梅赛德斯 -奔驰 、奥迪、克莱斯勒等均已</t>
  </si>
  <si>
    <t>从近期起亚全球发布的产品我们不难看出，起亚正在越级提升产品的档次， 无论是新款K5，还是起亚旗舰Telluride，都在世界各地获得极高的评价，除了国内的起亚车型。为了更好的提升品牌形象，顺势而为，新款Logo变得非常具有现代感和辨识度。你喜欢新款Logo么起亚新款K5起亚旗舰Telluride起亚</t>
  </si>
  <si>
    <t>2020/02/28 14:11:00</t>
  </si>
  <si>
    <t>奔驰是很多人心目中的豪车，为了迎合消费者的什么和需求，现在奔驰的造车技术进一步提高，我们一起来看看新车什么样。奔驰新车来袭，新车比奥迪A7拉风，无框门+6.8s，只要23.28万。奔驰CLA尺寸为4645mm/1777mm/1417mm，看上去非常的上档次。中网搭配了两侧凌厉的LED大灯，前脸上更加</t>
  </si>
  <si>
    <t>起亚开始向上走 从换标开始从近期起亚全球发布的产品我们不难看出，起亚正在越级提升产品的档次， 无论是新款K5，还是起亚旗舰Telluride，都在世界各地获得极高的评价，除了国内的起亚车型。为了更好的提升品牌形象，顺势而为，新款Logo变得非常具有现代感和辨识度。你喜欢新款Logo么起亚新款K5起亚</t>
  </si>
  <si>
    <t>新车比奥迪A7拉风 只要23.28万奔驰是很多人心目中的豪车，为了迎合消费者的什么和需求，现在奔驰的造车技术进一步提高，我们一起来看看新车什么样。奔驰新车来袭，新车比奥迪A7拉风，无框门+6.8s，只要23.28万。奔驰CLA尺寸为4645mm/1777mm/1417mm，看上去非常的上档次。中网搭</t>
  </si>
  <si>
    <t>没想到凯迪拉克CT5的新车效应竟然去得这么快，价格公布才一个月，市面上就已经没多少CT5的消息，就连CT5-V也就是CT5高性能版本预售价公布也没能引起多少关注。不过这也是很正常的情况，因为大家关心的可不是凯迪拉克车好不好，大家只关心你家的车优惠多少。在国内降价是情非得已我记得去年年底，一直不承认自</t>
  </si>
  <si>
    <t>2020/02/28 14:10:00</t>
  </si>
  <si>
    <t>理性分析凯迪拉克CT5的保价策略 这台车最多能优惠多少没想到凯迪拉克CT5的新车效应竟然去得这么快，价格公布才一个月，市面上就已经没多少CT5的消息，就连CT5-V也就是CT5高性能版本预售价公布也没能引起多少关注。不过这也是很正常的情况，因为大家关心的可不是凯迪拉克车好不好，大家只关心你家的车优惠</t>
  </si>
  <si>
    <t>[懂车帝原创 产品] 2019年销量排名第二的中大型豪华轿车就是奔驰E级，在中国售出了约14.2万辆，仅比排名第一的宝马5系少了7000辆，足以可见国内用户对这款车的喜爱程度。近日，奔驰官方公布了新款E级预告图，该车将于3月3日举行的日内瓦车展首次亮相，作为中期改款车型，新车对外观内饰做了细微调整，</t>
  </si>
  <si>
    <t>2020/02/28 14:09:00</t>
  </si>
  <si>
    <t>奔驰新款E级官方预告图曝光[懂车帝原创 产品] 2019年销量排名第二的中大型豪华轿车就是奔驰E级，在中国售出了约14.2万辆，仅比排名第一的宝马5系少了7000辆，足以可见国内用户对这款车的喜爱程度。近日，奔驰官方公布了新款E级预告图，该车将于3月3日举行的日内瓦车展首次亮相，作为中期改款车型，新</t>
  </si>
  <si>
    <t>投诉编号：【449200】投诉时间：2020-02-2814:03投诉品牌：吉利汽车投诉车系：博越投诉车型：2018款1.8TD自动两驱智联型4G互联版投诉内容关于吉利汽车问题举报申诉本人吉利博越汽车（浙E58300）的车龄10个月，现针对吉利汽车产品质量和售后服务的问题，举报申诉如下：问题1、用车</t>
  </si>
  <si>
    <t>2020/02/28 14:03:00</t>
  </si>
  <si>
    <t>正常新车变速箱的磨合期是多少公里？有规定吗？</t>
  </si>
  <si>
    <t>2020/02/28 14:01:45</t>
  </si>
  <si>
    <t>投诉编号：【449198】  投诉时间： 2020-02-28 13:53  投诉品牌： 华晨宝马  投诉车系： 宝马X1  投诉车型： 2016款 sDrive18Li 尊享型        投诉内容  16年10月购买的x1 1.5t尊享，行驶到3.3万公里时出现刹车明显异响，4s店说刹车片偏磨</t>
  </si>
  <si>
    <t>2020/02/28 13:53:00</t>
  </si>
  <si>
    <t>投诉编号：【449197】  投诉时间： 2020-02-28 13:52  投诉品牌： 东风雪铁龙  投诉车系： 雪铁龙C4L  投诉车型： 2013款 1.6THP 自动 劲享版        投诉内容  出了质保期，汽车质量问题接连爆发，2019年冬天，车出现剧烈报警，经4s检查，节温器损坏，</t>
  </si>
  <si>
    <t>2020/02/28 13:52:00</t>
  </si>
  <si>
    <t>双离合磨合期换挡异响，过了磨合期会好了吗？</t>
  </si>
  <si>
    <t>2020/02/28 13:48:11</t>
  </si>
  <si>
    <t>名爵HS1.5T5天就亏到无法启动，一年的车两次了。售后还说要三五天就打火怠速运行，这是什么原因导致的？有这么垃圾的车吗。上汽没看见有多少投诉亏电的。没有解决方案吗？</t>
  </si>
  <si>
    <t>2020/02/28 13:48:10</t>
  </si>
  <si>
    <t>可以说，刹车技术是驾驶汽车的境界之一。那么刹车的最高境界就是车辆平稳地减速或停止，车内的乘员自然安坐，感觉不到顿挫感。当然了，想达到如此境界并非一朝一夕，但是如能掌握技巧，还是可以提前到达的！以下为大家列举九种种刹车技巧，如果全部掌握的话，在刹车这件事上，可以说是游刃有余了。1、防“点头”刹车技巧　</t>
  </si>
  <si>
    <t>xiao太阳</t>
  </si>
  <si>
    <t>2020/02/28 13:22:00</t>
  </si>
  <si>
    <t>掌握这些小技巧 刹车踩得稳又好可以说，刹车技术是驾驶汽车的境界之一。那么刹车的最高境界就是车辆平稳地减速或停止，车内的乘员自然安坐，感觉不到顿挫感。当然了，想达到如此境界并非一朝一夕，但是如能掌握技巧，还是可以提前到达的！以下为大家列举九种种刹车技巧，如果全部掌握的话，在刹车这件事上，可以说是游刃有</t>
  </si>
  <si>
    <t>很多朋友买车以后，会给车配置很多东西，比如座椅套、脚垫、行车记录仪等等。还有一些人把车当成了第二个家，后备箱经常满满的，帐篷、睡袋、鞋子、衣服等等。当然车上放这些物品并没有错，不过开车在路上最重要的就是保证一路安全顺顺利利的到达目的地，当遇到突发状况时车上却没有能够帮助我们脱困的东西，是非常令人懊恼</t>
  </si>
  <si>
    <t>2020/02/28 13:20:00</t>
  </si>
  <si>
    <t>车内应该常备的10种物品 危难时刻显身手很多朋友买车以后，会给车配置很多东西，比如座椅套、脚垫、行车记录仪等等。还有一些人把车当成了第二个家，后备箱经常满满的，帐篷、睡袋、鞋子、衣服等等。当然车上放这些物品并没有错，不过开车在路上最重要的就是保证一路安全顺顺利利的到达目的地，当遇到突发状况时车上却没</t>
  </si>
  <si>
    <t>小钢炮是什么？通俗理解就是那些售价便宜，以两厢车为主的车型，它们普遍的一个特征就是不大的车身内装了一台动力强劲的发动机，是典型的大马拉小车，因此的性能使的这类车型在年轻群体中十分受宠，而由于车身小巧，因此这类车型的实用性普遍不高。今天，我们将要了解的这三台紧凑型SUV，它们同样拥有非常出色的动力表现</t>
  </si>
  <si>
    <t>2020/02/28 13:19:00</t>
  </si>
  <si>
    <t>正常来讲，新车发布往往更加吸引人的目光，而这也很正常，新车往往伴随着新的功能、新的科技，带给人不一样的新鲜感。不过任何新车都有生命周期，一代车型的停产实属平常。汽车的更新换代再正常不过，一代新车换旧车，有新车上市就会有旧的车型淘汰。今天聊聊这些即将停产的车型，看看都是为什么停产的。林肯MKZ停产时间</t>
  </si>
  <si>
    <t>手快有手慢无 这些车过不了两年就要成绝版正常来讲，新车发布往往更加吸引人的目光，而这也很正常，新车往往伴随着新的功能、新的科技，带给人不一样的新鲜感。不过任何新车都有生命周期，一代车型的停产实属平常。汽车的更新换代再正常不过，一代新车换旧车，有新车上市就会有旧的车型淘汰。今天聊聊这些即将停产的车型，</t>
  </si>
  <si>
    <t>这3款SUV看起来挺普通 一加速却快到没朋友小钢炮是什么？通俗理解就是那些售价便宜，以两厢车为主的车型，它们普遍的一个特征就是不大的车身内装了一台动力强劲的发动机，是典型的大马拉小车，因此的性能使的这类车型在年轻群体中十分受宠，而由于车身小巧，因此这类车型的实用性普遍不高。今天，我们将要了解的这三台</t>
  </si>
  <si>
    <t>提到性能车，很多人第一个想到的肯定会是思域，但实际上，自主品牌也有四款车型性能表现不输甚至超越思域 ，买过的车主都赞不绝口。第一款：比亚迪唐2019年，比亚迪唐家族累计销量为76741辆，这样的数据与日产奇骏、大众途观车型销量相比确实非常一般，尤其是燃油版车型销量并不算高。但是，要是论及口碑以及在消</t>
  </si>
  <si>
    <t>2020/02/28 13:18:00</t>
  </si>
  <si>
    <t>如今的消费者越来越年轻，他们对汽车的想法也越来越多。什么新技术，新功能，新设计理念，越是新鲜的东西，才越能够撬动他们的味蕾。因此，在市场需求的驱动下，厂家也是尽心尽力地研发新车。10年前，一辆车的市场生命周期约5-7年左右。而如今，激进的厂家甚至只用两三年就推出一款车的换代车型。虽然市场潮流是追逐新</t>
  </si>
  <si>
    <t>十来年不换代？细数国内几款超长待机的经典车型如今的消费者越来越年轻，他们对汽车的想法也越来越多。什么新技术，新功能，新设计理念，越是新鲜的东西，才越能够撬动他们的味蕾。因此，在市场需求的驱动下，厂家也是尽心尽力地研发新车。10年前，一辆车的市场生命周期约5-7年左右。而如今，激进的厂家甚至只用两三年</t>
  </si>
  <si>
    <t>自主品牌的四款性能神车 你最喜欢哪一款？提到性能车，很多人第一个想到的肯定会是思域，但实际上，自主品牌也有四款车型性能表现不输甚至超越思域 ，买过的车主都赞不绝口。第一款：比亚迪唐2019年，比亚迪唐家族累计销量为76741辆，这样的数据与日产奇骏、大众途观车型销量相比确实非常一般，尤其是燃油版车型</t>
  </si>
  <si>
    <t>投诉编号：【449194】投诉时间：2020-02-2813:17投诉品牌：东风标致投诉车系：标致3008投诉车型：2015款1.6THP自动潮流版投诉内容2019年9月22日汽车行驶中出现机油压力故障，后更换机油和机滤，故障消失。在2019年1月19日又出现同样故障，更换机油和机滤故障依然存在，去</t>
  </si>
  <si>
    <t>2020/02/28 13:17:00</t>
  </si>
  <si>
    <t>　　近日，国外媒体率先曝光了全新宝马inext车型的测试谍照。据悉，全新宝马inext车型将于明年发布。　　宝马公司计划在今明两年推出多款电动车型。宝马公司即将在今年晚些时候推出ix3车型，这实际上是x3 suv车型的纯电动版本。在此之前，宝马公司将在下周的日内瓦车展上推出i4电动概念车。该全新概念</t>
  </si>
  <si>
    <t>张靖</t>
  </si>
  <si>
    <t>2020/02/28 13:11:00</t>
  </si>
  <si>
    <t>近日，国外媒体率先曝光了全新宝马inext车型的测试谍照。据悉，全新宝马inext车型将于明年发布。    宝马公司计划在今明两年推出多款电动车型。宝马公司即将在今年晚些时候推出ix3车型，这实际上是x3 suv车型的纯电动版本。在此之前，宝马公司将在下周的日内瓦车展上推出i4电动概念车。该全新概念</t>
  </si>
  <si>
    <t>　　日前，我们获得了全新科尔维特stingray右舵版的首张内饰照。早在2019年7月发布第8代科尔维特时，雪佛兰便宣布新车将提供右舵版本，尽管取消了霍顿品牌，但雪佛兰仍加强了其在澳大利亚以及英国和日本等其他右舵市场上销售新科尔维特的承诺。　　一般而言，左舵和右舵版的内饰相对简单且易于镜像，但与市场</t>
  </si>
  <si>
    <t>张季冬</t>
  </si>
  <si>
    <t>2020/02/28 13:10:00</t>
  </si>
  <si>
    <t>日前，我们获得了全新科尔维特stingray右舵版的首张内饰照。早在2019年7月发布第8代科尔维特时，雪佛兰便宣布新车将提供右舵版本，尽管取消了霍顿品牌，但雪佛兰仍加强了其在澳大利亚以及英国和日本等其他右舵市场上销售新科尔维特的承诺。    一般而言，左舵和右舵版的内饰相对简单且易于镜像，但与市场</t>
  </si>
  <si>
    <t>　　据国外媒体报道，凯迪拉克公司近日公布了2020款ct5-v车型的售价。据悉，凯迪拉克2020款ct5-v四驱版车型其售价为51，290美元（折合人民币约36万元）。　　凯迪拉克2020款ct5-v四驱版车型将搭载3.0升双涡轮增压v6发动机，最大功率为360马力（268千瓦）。与该发动机搭配使用</t>
  </si>
  <si>
    <t>2020/02/28 13:09:00</t>
  </si>
  <si>
    <t>据国外媒体报道，凯迪拉克公司近日公布了2020款ct5-v车型的售价。据悉，凯迪拉克2020款ct5-v四驱版车型其售价为51，290美元（折合人民币约36万元）。    凯迪拉克2020款ct5-v四驱版车型将搭载3.0升双涡轮增压v6发动机，最大功率为360马力（268千瓦）。与该发动机搭配使用</t>
  </si>
  <si>
    <t>宝马5系为品牌旗下的一款中大型轿车，该款车型在2019年在华累计销量达到13,5897台，居国内豪华c级轿车销量第二位，与奔驰e级不相上下。近日，有海外媒体曝光了新款5系在纽博格林赛道内进行路试的图片，新车换装了全新样式的灯组，并且对车内系统进行升级，预计将同期引入国内，是否能够从销量上超越对手，让</t>
  </si>
  <si>
    <t>2020/02/28 13:06:00</t>
  </si>
  <si>
    <t>　　宝马5系为品牌旗下的一款中大型轿车，该款车型在2019年在华累计销量达到13,5897台，居国内豪华c级轿车销量第二位，与奔驰e级不相上下。近日，有海外媒体曝光了新款5系在纽博格林赛道内进行路试的图片，新车换装了全新样式的灯组，并且对车内系统进行升级，预计将同期引入国内，是否能够从销量上超越对手</t>
  </si>
  <si>
    <t>长安欧尚目前拥有6款suv在售，覆盖a0级至b级市场。长安欧尚汽车副总经理、销售公司总经理杨光华曾透露，将于2020年下半年推出一款全新入门级suv。有媒体了解到，这款小型suv将命名为欧尚x3，可视作欧尚x7的“缩小版”。以欧尚x7的厂商指导价（7.77万元起）作为参考，新车的起售价或低于7万元。</t>
  </si>
  <si>
    <t>2020/02/28 13:05:00</t>
  </si>
  <si>
    <t>　　长安欧尚目前拥有6款suv在售，覆盖a0级至b级市场。长安欧尚汽车副总经理、销售公司总经理杨光华曾透露，将于2020年下半年推出一款全新入门级suv。有媒体了解到，这款小型suv将命名为欧尚x3，可视作欧尚x7的“缩小版”。以欧尚x7的厂商指导价（7.77万元起）作为参考，新车的起售价或低于7万</t>
  </si>
  <si>
    <t>金超</t>
  </si>
  <si>
    <t>polo是大众旗下的一款小型轿车，其国产车型早于2004年在华国产上市开售，而三厢版车型也仅在2004-2011年间在国内市场开售。近日海外媒体曝光了一组大众全新polo三厢版车型官图，新车将于今年第二季度率先登陆海外市场开售。据悉，新车将在俄罗斯卡卢加州的大众汽车集团rus工厂生产，并命名为pol</t>
  </si>
  <si>
    <t>2020/02/28 13:04:00</t>
  </si>
  <si>
    <t>　　polo是大众旗下的一款小型轿车，其国产车型早于2004年在华国产上市开售，而三厢版车型也仅在2004-2011年间在国内市场开售。近日海外媒体曝光了一组大众全新polo三厢版车型官图，新车将于今年第二季度率先登陆海外市场开售。据悉，新车将在俄罗斯卡卢加州的大众汽车集团rus工厂生产，并命名为p</t>
  </si>
  <si>
    <t>目前在售的上汽大众2019款帕萨特于2018年10月底上市，搭载1.4t、2.0t两种动力，凭借全面升级的产品力以及较高的终端优惠（北京地区优惠3.5万元起），帕萨特拿下去年国内中型轿车市场销量冠军。近日有媒体获取了上汽大众2020款帕萨特的价格表，新车取消330 tsi 领尊版车型（2.0t低功率</t>
  </si>
  <si>
    <t>2020/02/28 13:03:00</t>
  </si>
  <si>
    <t>　　目前在售的上汽大众2019款帕萨特于2018年10月底上市，搭载1.4t、2.0t两种动力，凭借全面升级的产品力以及较高的终端优惠（北京地区优惠3.5万元起），帕萨特拿下去年国内中型轿车市场销量冠军。近日有媒体获取了上汽大众2020款帕萨特的价格表，新车取消330 tsi 领尊版车型（2.0t低</t>
  </si>
  <si>
    <t>有媒体从蔚来汽车官方获悉：全新电动轿跑suv-ec6量产项目在江淮工厂正式启动，这也是合肥江淮蔚来制造基地量产的第三款车型。ec6在去年12月28日nio day上首次发布，今年7月份将上市公布价格和配置，随后在9月份向用户交付。    ec6去年12月28日起开始接受预订，采用轿跑式车身设计，整车</t>
  </si>
  <si>
    <t>2020/02/28 13:01:00</t>
  </si>
  <si>
    <t>投诉编号：【449192】  投诉时间： 2020-02-28 13:01  投诉品牌： 长安汽车  投诉车系： 逸动新能源  投诉车型： 2019款 EV460 智领版        投诉内容  买车的时候就发现方向盘不正，4s店销售说没事都这样，没想到行驶几个月后发现两个前轮轮胎偏磨严重，怀疑四</t>
  </si>
  <si>
    <t>　　有媒体从蔚来汽车官方获悉：全新电动轿跑suv-ec6量产项目在江淮工厂正式启动，这也是合肥江淮蔚来制造基地量产的第三款车型。ec6在去年12月28日nio day上首次发布，今年7月份将上市公布价格和配置，随后在9月份向用户交付。　　ec6去年12月28日起开始接受预订，采用轿跑式车身设计，整车</t>
  </si>
  <si>
    <t>在豪华车市场逐渐趋于饱和、增量相对匮乏的大背景下，发力溢价能力更强、更能体现产品运动调性的性能车市场头部阵营强化品牌竞争优势、进一步巩固份额的重要手段。奔驰amg之后，宝马近两年也开始加速m性能品牌业务布局，推出包括x3 m、x4m等在内的多款全新车型。就市场表现而言，2019年宝马m品牌在全球范围</t>
  </si>
  <si>
    <t>2020/02/28 13:00:00</t>
  </si>
  <si>
    <t>　　在豪华车市场逐渐趋于饱和、增量相对匮乏的大背景下，发力溢价能力更强、更能体现产品运动调性的性能车市场头部阵营强化品牌竞争优势、进一步巩固份额的重要手段。奔驰amg之后，宝马近两年也开始加速m性能品牌业务布局，推出包括x3 m、x4m等在内的多款全新车型。就市场表现而言，2019年宝马m品牌在全球</t>
  </si>
  <si>
    <t>何鑫</t>
  </si>
  <si>
    <t>投诉编号：【449190】  投诉时间： 2020-02-28 12:59  投诉品牌： 广汽丰田  投诉车系： 雷凌  投诉车型： 2016款 1.6G 手动 精英版        投诉内容  之前已投诉，但是厂家2月10日给我回复，说联系我，到了2月13日，依然没有联系，怎么解决？如何解决？用了</t>
  </si>
  <si>
    <t>2020/02/28 12:59:00</t>
  </si>
  <si>
    <t>有媒体经过梳理发现，2020年韩系将推出9款新车，其中第十代索纳塔、全新k5、全新一代伊兰特和全新名图等多款车型更新换代，势必重拾合资轿车市场份额，再次进军中高端市场。同时韩系豪华品牌“捷尼赛思”将携大型旗舰轿车g90和中大型suv gv80正式入华，该品牌又会给消费者带来哪些惊喜？我们接着往下看！</t>
  </si>
  <si>
    <t>2020/02/28 12:58:00</t>
  </si>
  <si>
    <t>投诉编号：【449189】  投诉时间： 2020-02-28 12:58  投诉品牌： 东风标致  投诉车系： 标致3008  投诉车型： 2015款 1.6THP 自动 经典版        投诉内容  东风标致3008发动机异响严重希望处理，发动机像托拉机一样响，特别是冷车。      投诉回</t>
  </si>
  <si>
    <t>　　有媒体经过梳理发现，2020年韩系将推出9款新车，其中第十代索纳塔、全新k5、全新一代伊兰特和全新名图等多款车型更新换代，势必重拾合资轿车市场份额，再次进军中高端市场。同时韩系豪华品牌“捷尼赛思”将携大型旗舰轿车g90和中大型suv gv80正式入华，该品牌又会给消费者带来哪些惊喜？我们接着往下</t>
  </si>
  <si>
    <t>李林泽</t>
  </si>
  <si>
    <t>投诉编号：【449187】  投诉时间： 2020-02-28 12:57  投诉品牌： 上汽大众  投诉车系： 途岳  投诉车型： 2019款 280TSI 两驱 豪华版 国V        投诉内容  2019年3月购买途岳车，20年1月停滞5天，电瓶亏电已不能启动，搭电后才能启动；后续停滞2天</t>
  </si>
  <si>
    <t>2020/02/28 12:57:00</t>
  </si>
  <si>
    <t>有媒体从比亚迪汽车内部获悉：王朝系列全新a 级suv将于今年下半年上市，定位介于宋pro和唐之间。根据宋pro 燃油版8.98万元的官方起售价来看，新车的购买门槛或在10万元左右。    值得一提的是，比亚迪曾申报注册了多个版本的“夏”商标，这款a 级suv极有可能以此命名。    现款宋pro长宽</t>
  </si>
  <si>
    <t>2020/02/28 12:56:00</t>
  </si>
  <si>
    <t>　　有媒体从比亚迪汽车内部获悉：王朝系列全新a 级suv将于今年下半年上市，定位介于宋pro和唐之间。根据宋pro 燃油版8.98万元的官方起售价来看，新车的购买门槛或在10万元左右。　　值得一提的是，比亚迪曾申报注册了多个版本的“夏”商标，这款a 级suv极有可能以此命名。　　现款宋pro长宽高为</t>
  </si>
  <si>
    <t xml:space="preserve">提及大众arteon（国内称之为cc）想必大家并不陌生，该款车型与大众旗下帕萨特/迈腾同为中型轿车，而区别在于大众cc的外观设计更加偏向于运动化，也更加符合当下年轻消费者的购车需求。cc中期改款车型以及旅行版车型将于今年下半年在国内市场上市开售。近日海外媒体再次曝光了一组更高性能的大众arteon </t>
  </si>
  <si>
    <t>2020/02/28 12:55:00</t>
  </si>
  <si>
    <t>　　提及大众arteon（国内称之为cc）想必大家并不陌生，该款车型与大众旗下帕萨特/迈腾同为中型轿车，而区别在于大众cc的外观设计更加偏向于运动化，也更加符合当下年轻消费者的购车需求。cc中期改款车型以及旅行版车型将于今年下半年在国内市场上市开售。近日海外媒体再次曝光了一组更高性能的大众arteo</t>
  </si>
  <si>
    <t>日前，我们从相关渠道获悉，零跑t03将于4月下旬正式上市发售，作为一款微型电动车，零跑t03采用小巧可爱的设计路线，nedc综合续航里程分为300km及400km两种版本。    外观方面，零跑t03采用了非常可爱的设计风格，大量的圆形元素有望获得更多女性消费者的青睐。细节方面，其采用了电动车常备的</t>
  </si>
  <si>
    <t>2020/02/28 12:53:00</t>
  </si>
  <si>
    <t>　　日前，我们从相关渠道获悉，零跑t03将于4月下旬正式上市发售，作为一款微型电动车，零跑t03采用小巧可爱的设计路线，nedc综合续航里程分为300km及400km两种版本。　　外观方面，零跑t03采用了非常可爱的设计风格，大量的圆形元素有望获得更多女性消费者的青睐。细节方面，其采用了电动车常备的</t>
  </si>
  <si>
    <t>张洋</t>
  </si>
  <si>
    <t>投诉编号：【449186】  投诉时间： 2020-02-28 12:52  投诉品牌： 长安汽车  投诉车系： 睿骋  投诉车型： 2014款 1.8T 自动 精英周年版 国IV        投诉内容  长安睿骋发动机烧机油冒白烟希望处理，严重影响正常使用。      投诉回复  车质网已将您的</t>
  </si>
  <si>
    <t>2020/02/28 12:52:00</t>
  </si>
  <si>
    <t>投诉编号：【449184】 
投诉时间： 2020-02-28 12:36 
投诉品牌： 长安汽车 
投诉车系： 睿骋CC 
投诉车型： 2018款 1.5T 手动 典雅型 国V 长安睿骋CC电瓶电量低 发动机启停失效</t>
  </si>
  <si>
    <t>2020/02/28 12:51:32</t>
  </si>
  <si>
    <t>日前，我们从相关渠道获悉，东风本田新款cr-v将于6月份上市，这款车型整体设计基本延续海外版车型，动力上继续搭载1.5t发动机和由2.0l发动机与电动机所组成的2.0l混合动力系统。    看了以下要点，本文算读完一半    东风本田新款cr-v整体设计基本与海外版一致；    主要变化集中在造型细</t>
  </si>
  <si>
    <t>2020/02/28 12:51:00</t>
  </si>
  <si>
    <t>　　日前，我们从相关渠道获悉，东风本田新款cr-v将于6月份上市，这款车型整体设计基本延续海外版车型，动力上继续搭载1.5t发动机和由2.0l发动机与电动机所组成的2.0l混合动力系统。　　看了以下要点，本文算读完一半　　东风本田新款cr-v整体设计基本与海外版一致；　　主要变化集中在造型细节方面，</t>
  </si>
  <si>
    <t>　　近日，有媒体从相关渠道获悉，东风本田思域两厢版将于今年4月份正式上市。相比于现款在售的三厢版车型，此次新增的思域两厢版外观更接近海外版Type R，新车保留了更为纯粹的运动调性，为懂得思域车型文化内涵的用户，带来了更多选择。　　从此前曝光的申报图看，思域两厢版的前脸和现款车型差别不大，依旧采用俯</t>
  </si>
  <si>
    <t>任宏斌</t>
  </si>
  <si>
    <t>2020/02/28 12:38:00</t>
  </si>
  <si>
    <t>近日，有媒体从相关渠道获悉，东风本田思域两厢版将于今年4月份正式上市。相比于现款在售的三厢版车型，此次新增的思域两厢版外观更接近海外版Type R，新车保留了更为纯粹的运动调性，为懂得思域车型文化内涵的用户，带来了更多选择。    从此前曝光的申报图看，思域两厢版的前脸和现款车型差别不大，依旧采用俯</t>
  </si>
  <si>
    <t>12年款途观P1114故障码是什么意思？应该如何解决？</t>
  </si>
  <si>
    <t>2020/02/28 12:37:04</t>
  </si>
  <si>
    <t>斯派卡是野马汽车推出的首款7座全能MPV。近日，有媒体从野马汽车官方获悉，2020款斯派卡将于3月正式上市。新车对配置进行了全面优化，性价比更加突出。此外，2020款斯派卡全系搭载了满足国六b排放标准的发动机，并新增CVT变速器车型，丰富了新车的车型种类，满足消费者的购车选择。    外观方面，新款</t>
  </si>
  <si>
    <t>2020/02/28 12:37:00</t>
  </si>
  <si>
    <t>　　斯派卡是野马汽车推出的首款7座全能MPV。近日，有媒体从野马汽车官方获悉，2020款斯派卡将于3月正式上市。新车对配置进行了全面优化，性价比更加突出。此外，2020款斯派卡全系搭载了满足国六b排放标准的发动机，并新增CVT变速器车型，丰富了新车的车型种类，满足消费者的购车选择。　　外观方面，新款</t>
  </si>
  <si>
    <t>刘楠</t>
  </si>
  <si>
    <t>目前上汽大众安亭、仪征、宁波、长沙等生产基地陆续复工，其他生产基地也相继开启复工准备，企业各项经营工作逐渐步入正轨。2月28日，有媒体从上汽大众官方获悉，随着一辆全新昕锐和一辆全新昕动驶下生产线，上汽大众迎来第22,000,000辆和第22,000,001辆汽车下线，成为国内首家累计产量突破2200</t>
  </si>
  <si>
    <t>2020/02/28 12:35:00</t>
  </si>
  <si>
    <t>投诉编号：【449183】投诉时间：2020-02-2812:35投诉品牌：上汽大众投诉车系：帕萨特投诉车型：2019款280TSI精英版国VI投诉内容上汽大众帕萨特中保研测试安全严重不合格，变速箱顿挫严重，要求尽快处理。投诉回复车质网已将您的投诉转给生产企业以及国家市场监督管理总局缺陷产品管理中心</t>
  </si>
  <si>
    <t>　　目前上汽大众安亭、仪征、宁波、长沙等生产基地陆续复工，其他生产基地也相继开启复工准备，企业各项经营工作逐渐步入正轨。2月28日，有媒体从上汽大众官方获悉，随着一辆全新昕锐和一辆全新昕动驶下生产线，上汽大众迎来第22,000,000辆和第22,000,001辆汽车下线，成为国内首家累计产量突破22</t>
  </si>
  <si>
    <t>投诉编号：【449180】 
投诉时间： 2020-02-28 12:13 
投诉品牌： 东风本田 
投诉车系： 思域 
投诉车型： 2016款 220TURBO 自动 尊贵版 优科马豪轮胎大块起皮脱落，有严重安全隐患</t>
  </si>
  <si>
    <t>2020/02/28 12:31:34</t>
  </si>
  <si>
    <t>2020年2月28日，奇瑞控股捷途第20万辆车型正式下线。自2018年诞生以来，奇瑞控股捷途在18个月零10天内已累计下线20万台车型，在目前车市下行的环境下，奇瑞控股捷途旗下产品凭借优秀的性价比，有着这样的成绩还是值得肯定的。    此次下线的第20万辆车是即将上市的捷途X70 Coupe(参数|</t>
  </si>
  <si>
    <t>2020/02/28 12:31:00</t>
  </si>
  <si>
    <t>　　2020年2月28日，奇瑞控股捷途第20万辆车型正式下线。自2018年诞生以来，奇瑞控股捷途在18个月零10天内已累计下线20万台车型，在目前车市下行的环境下，奇瑞控股捷途旗下产品凭借优秀的性价比，有着这样的成绩还是值得肯定的。　　此次下线的第20万辆车是即将上市的捷途X70 Coupe(参数|</t>
  </si>
  <si>
    <t>日前，北汽新能源公布旗下车型，BEIJING-EX3 R500正式上市，新车为BEIJING-EX3的新增车型，补贴后价格为11.99万-12.99万元，工信部公布续航里程为421km。配图为BEIJING-EX3 R600，下同    据悉，北汽新能源还为北京地区的用户提供优惠购车政策，3月31日</t>
  </si>
  <si>
    <t>2020/02/28 12:28:00</t>
  </si>
  <si>
    <t>　　日前，北汽新能源公布旗下车型，BEIJING-EX3 R500正式上市，新车为BEIJING-EX3的新增车型，补贴后价格为11.99万-12.99万元，工信部公布续航里程为421km。配图为BEIJING-EX3 R600，下同　　据悉，北汽新能源还为北京地区的用户提供优惠购车政策，3月31日</t>
  </si>
  <si>
    <t>姜田双</t>
  </si>
  <si>
    <t>投诉编号：【449182】投诉时间：2020-02-2812:26投诉品牌：奇瑞汽车投诉车系：艾瑞泽7e投诉车型：2016款1.6Le致尚版投诉内容我的车子于2017-07-26日在杭州隆中4S店购得，本着支持国产的心态满心期待喜提爱车，不料想这两年多来，这辆-艾瑞泽7e伤透了我的心！从第一年夏天的</t>
  </si>
  <si>
    <t>2020/02/28 12:26:00</t>
  </si>
  <si>
    <t>投诉编号：【449179】投诉时间：2020-02-2812:07投诉品牌：上汽大众投诉车系：桑塔纳投诉车型：2017款1.6L手动舒适版浩纳投诉内容上汽大众桑塔纳行驶中前后减震器有异响，减震器响的不行。要求厂家尽快解决好车辆的问题。投诉回复车质网已将您的投诉转给生产企业以及国家市场监督管理总局缺陷</t>
  </si>
  <si>
    <t>2020/02/28 12:07:00</t>
  </si>
  <si>
    <t>投诉编号：【449178】  投诉时间： 2020-02-28 12:04  投诉品牌： 广汽本田  投诉车系： 冠道  投诉车型： 2017款 240TURBO CVT 两驱 舒享版        投诉内容  三十回乡下过年，高速隧道里，突然失速，失速时抖动严重，我马上打双闪，出隧道立即靠边，重启</t>
  </si>
  <si>
    <t>2020/02/28 12:04:00</t>
  </si>
  <si>
    <t>投诉编号：【449177】投诉时间：2020-02-2812:01投诉品牌：一汽-大众奥迪投诉车系：奥迪A4L投诉车型：2017款2.0T双离合进取型投诉内容2019年11月份接到4S店电话，通知车快要过保了，有空去检查一下，正好十一月十多号车的发动机故障灯亮了，就去检查一下，师傅用电脑查了下说是节</t>
  </si>
  <si>
    <t>2020/02/28 12:01:00</t>
  </si>
  <si>
    <t>投诉编号：【449176】  投诉时间： 2020-02-28 11:57  投诉品牌： 一汽-大众奥迪  投诉车系： 奥迪Q5  投诉车型： 2016款 40 TFSI 技术型        投诉内容  发动机故障等在1月19日亮起，第二天又消失，随后联系检修，发现水泵漏防冻液，节温器漏水(防冻液</t>
  </si>
  <si>
    <t>2020/02/28 11:57:00</t>
  </si>
  <si>
    <t>投诉编号：【449175】  投诉时间： 2020-02-28 11:50  投诉品牌： 上汽通用五菱  投诉车系： 宝骏560  投诉车型： 2016款 1.8L 手动 豪华型        投诉内容  之前4S给我换中控锁的时候主驾车门内饰拆过一次，就有发现车门有生锈，大概有一年左右时间了，现在</t>
  </si>
  <si>
    <t>2020/02/28 11:50:00</t>
  </si>
  <si>
    <t>汽车现在已经进入家庭普及阶段了，但是很多人的养车意识却没有跟上来。比如说买保险这件事，有些人说买保险就是白花钱，所以只买一个交强险。那么保险只买交强险会有什么后果呢？我先给你讲两个小故事，一个是肇事者，一个是受害者，都够悲惨的。我认识的一个人，暂且称之为某甲吧，他在国企汽车队开卡车，职业驾驶员，驾龄</t>
  </si>
  <si>
    <t>ShinoBo</t>
  </si>
  <si>
    <t>2020/02/28 11:47:00</t>
  </si>
  <si>
    <t>汽车只买交强险会有什么后果汽车现在已经进入家庭普及阶段了，但是很多人的养车意识却没有跟上来。比如说买保险这件事，有些人说买保险就是白花钱，所以只买一个交强险。那么保险只买交强险会有什么后果呢？我先给你讲两个小故事，一个是肇事者，一个是受害者，都够悲惨的。我认识的一个人，暂且称之为某甲吧，他在国企汽车</t>
  </si>
  <si>
    <t>自2000前后私家车正式走入普通百姓家庭后，中国汽车产业已经连续多年指数级增长，截至2019年6月，中国机动车保有量已经达到3.4亿台，一举超越美国和日本成为世界上汽车保有量最大的国家。   由于中国地大物博，光大中型城市就不下上百个，如此多的机动车，哪个城市分布最多呢？最近，有机构发布了中国各大城</t>
  </si>
  <si>
    <t>2020/02/28 11:46:00</t>
  </si>
  <si>
    <t>今天有人向我抱怨说，他的汽车头枕怎么调整都不舒服，这款车的设计太差了。但是我告诉他，不舒服就对了，汽车头枕本来就不是让你舒服的。很多人都以为，汽车头枕是汽车上的舒适性配置，让我们在驾驶中把头靠在上面，以缓解颈部的疲劳。但是却发现无论怎么调整头枕高度和坐姿，头枕都不能舒舒服服的让脑袋靠在上面，因此大家</t>
  </si>
  <si>
    <t>随着新能源汽车的保有量增长，在购车的时候也多了一种选择，对于购买新能源汽车的时候除去价格，可能大家对电动车最关心的一点就是它们到底能跑多远了。对于电动汽车而言，车辆的续航与实际的续航里程是存在一定“水分”的。对于电动汽车而言，各大车企在宣传续航里程时都是按照国家标准的测试工况得来的，测试过程中，与实</t>
  </si>
  <si>
    <t>2019最新城市汽车保有量出炉自2000前后私家车正式走入普通百姓家庭后，中国汽车产业已经连续多年指数级增长，截至2019年6月，中国机动车保有量已经达到3.4亿台，一举超越美国和日本成为世界上汽车保有量最大的国家。   由于中国地大物博，光大中型城市就不下上百个，如此多的机动车，哪个城市分布最多呢</t>
  </si>
  <si>
    <t>纯电动汽车续航里程里面都有水分吗随着新能源汽车的保有量增长，在购车的时候也多了一种选择，对于购买新能源汽车的时候除去价格，可能大家对电动车最关心的一点就是它们到底能跑多远了。对于电动汽车而言，车辆的续航与实际的续航里程是存在一定“水分”的。对于电动汽车而言，各大车企在宣传续航里程时都是按照国家标准的</t>
  </si>
  <si>
    <t>汽车头枕为什么怎么调整都不舒服今天有人向我抱怨说，他的汽车头枕怎么调整都不舒服，这款车的设计太差了。但是我告诉他，不舒服就对了，汽车头枕本来就不是让你舒服的。很多人都以为，汽车头枕是汽车上的舒适性配置，让我们在驾驶中把头靠在上面，以缓解颈部的疲劳。但是却发现无论怎么调整头枕高度和坐姿，头枕都不能舒舒</t>
  </si>
  <si>
    <t>汽车整车质保一般为3年，但汽车电瓶却只有1年，你知道这是为什么吗？原因很简单，汽车电瓶和汽车轮胎、刹车片等零部件都属于易损件。根据车辆行驶里程的长短和用车习惯的差异，电瓶的损耗各不相同，因此电瓶更换周期其实对每辆车而言也都不一样。一般而言，在汽车保养手册上并不会明确指出具体的更换周期，但电瓶的设计寿</t>
  </si>
  <si>
    <t>2020/02/28 11:45:00</t>
  </si>
  <si>
    <t>随着时代的发展，中国已经成为全球最大的汽车消费市场，全球大部分知名的汽车品牌都在中国市场上展开较量。而中国消费者也从曾经对汽车产品“没什么要求”，发展到现在追求个性化和多元化的汽车消费需求。随之而来的，中国汽车市场也诞生了多个新兴的细分市场。7座SUV这个概念，也是近几年尤其是国家“放开二孩”政策后</t>
  </si>
  <si>
    <t>多年以前，当一款新车出来的时候，厂商、媒体总会以配置、性能当做主要卖点来进行宣传。但近几年，如果你去买车或者看一些评测文章就会发现，都会加以某某平台进行标榜。我们一些耳熟能详的像大众MQB、宝马CLAR、沃尔沃的SPA等等都纷纷进入人们的脑海中，但很少有人了解其含义。那么这些汽车平台究竟怎么演变而来</t>
  </si>
  <si>
    <t>都有第三排座椅 6座和7座SUV究竟应该怎么选随着时代的发展，中国已经成为全球最大的汽车消费市场，全球大部分知名的汽车品牌都在中国市场上展开较量。而中国消费者也从曾经对汽车产品“没什么要求”，发展到现在追求个性化和多元化的汽车消费需求。随之而来的，中国汽车市场也诞生了多个新兴的细分市场。7座SUV这</t>
  </si>
  <si>
    <t>这些关于电瓶的小知识你一定要知道汽车整车质保一般为3年，但汽车电瓶却只有1年，你知道这是为什么吗？原因很简单，汽车电瓶和汽车轮胎、刹车片等零部件都属于易损件。根据车辆行驶里程的长短和用车习惯的差异，电瓶的损耗各不相同，因此电瓶更换周期其实对每辆车而言也都不一样。一般而言，在汽车保养手册上并不会明确指</t>
  </si>
  <si>
    <t>大众MQB宝马CLAR 你还知道有哪些汽车平台多年以前，当一款新车出来的时候，厂商、媒体总会以配置、性能当做主要卖点来进行宣传。但近几年，如果你去买车或者看一些评测文章就会发现，都会加以某某平台进行标榜。我们一些耳熟能详的像大众MQB、宝马CLAR、沃尔沃的SPA等等都纷纷进入人们的脑海中，但很少有</t>
  </si>
  <si>
    <t>标致308故障代码p0113 p0106怎么处理？换一个进气压力传感器需要多少钱？</t>
  </si>
  <si>
    <t>2020/02/28 11:44:56</t>
  </si>
  <si>
    <t>都说“穷玩车富玩表”，不过这句话似乎只适合土豪们来完成。作为一个车迷或者说一个腕表迷，我们大部分都只能用欣赏的眼光来看待。不可否认，车和表一个代表机械化的工业，一个代表精湛的手工制造，而二者结合确实可以碰撞出不一样的火花。那么，今天我们就来看看这些车和表之间融合的样子。奔驰&amp;万国表说到车和表的结合，</t>
  </si>
  <si>
    <t>2020/02/28 11:44:00</t>
  </si>
  <si>
    <t>机械艺术之美 车与表的融合都说“穷玩车富玩表”，不过这句话似乎只适合土豪们来完成。作为一个车迷或者说一个腕表迷，我们大部分都只能用欣赏的眼光来看待。不可否认，车和表一个代表机械化的工业，一个代表精湛的手工制造，而二者结合确实可以碰撞出不一样的火花。那么，今天我们就来看看这些车和表之间融合的样子。奔驰</t>
  </si>
  <si>
    <t>除开中国和美国市场，欧洲市场则要数全球第三——2019年，欧洲地区（欧盟）新车销量达到15,757,412辆；而同期中国的新车销量为2576.9万辆，美国市场也超过了1700万辆大关。由于独特的地缘政治因素，以欧盟地区为主体的欧洲市场充分体现了“人多力量大”、“集中力量办大事”的因果关系。相比201</t>
  </si>
  <si>
    <t>2020/02/28 11:43:00</t>
  </si>
  <si>
    <t>放弃轿车直奔SUV 2019年欧洲人都爱买什么车除开中国和美国市场，欧洲市场则要数全球第三——2019年，欧洲地区（欧盟）新车销量达到15,757,412辆；而同期中国的新车销量为2576.9万辆，美国市场也超过了1700万辆大关。由于独特的地缘政治因素，以欧盟地区为主体的欧洲市场充分体现了“人多力</t>
  </si>
  <si>
    <t>随着企业逐渐复工、复产，相信大多数人已经走上或即将走上返程之路。对于驾车出行来说，汽车在经历这个小长假后，由于长时间停放可能会出现胎压降低、电池电压不足等各种小问题。不过问题虽小，但切不可忽略大意，尤其是远距离行车。那么，今天我们就来看看汽车上都有哪些简单易上手的保养项目是我们自己动手就能完成的。0</t>
  </si>
  <si>
    <t>2020/02/28 11:42:00</t>
  </si>
  <si>
    <t>简单还省钱 自己能操作的汽车养护随着企业逐渐复工、复产，相信大多数人已经走上或即将走上返程之路。对于驾车出行来说，汽车在经历这个小长假后，由于长时间停放可能会出现胎压降低、电池电压不足等各种小问题。不过问题虽小，但切不可忽略大意，尤其是远距离行车。那么，今天我们就来看看汽车上都有哪些简单易上手的保养</t>
  </si>
  <si>
    <t>投诉编号：【449171】  投诉时间： 2020-02-28 11:41  投诉品牌： 一汽-大众  投诉车系： 速腾  投诉车型： 2018款 280TSI DSG熠动版        投诉内容  我是2018年12月份买的车，开到4000公里左右发现发动机响声过大，到4S店检查，给我换了一个高</t>
  </si>
  <si>
    <t>2020/02/28 11:41:00</t>
  </si>
  <si>
    <t>来自奥地利的摩托车品牌KTM可能大家都不陌生，而提到旗下唯一的一款四轮汽车——KTM X-BOW，相信部分网友的脑海中就已经有画面了。而KTM在日前继续发布了这款track day car的完全体进化版——KTM X-BOW GTX的官图。相较于标准版KTM X-BOW，新车的外观变动明显，车身空气</t>
  </si>
  <si>
    <t>2020/02/28 11:28:00</t>
  </si>
  <si>
    <t>2月28日，广汽丰田威兰达正式上市。新车共推出12款配置车型，官方指导价17.18-24.18万元。威兰达基于丰田TNGA-K架构打造，搭载2.0L自然吸气发动机和2.5L混合动力系统。厂家为消费者提供购买2.0L车型5成首付2年0息，购买2.5L混动车型5成首付1年0息的金融优惠政策。    外观</t>
  </si>
  <si>
    <t>　　来自奥地利的摩托车品牌KTM可能大家都不陌生，而提到旗下唯一的一款四轮汽车――KTM X-BOW，相信部分网友的脑海中就已经有画面了。而KTM在日前继续发布了这款track day car的完全体进化版――KTM X-BOW GTX的官图。相较于标准版KTM X-BOW，新车的外观变动明显，车身</t>
  </si>
  <si>
    <t>投诉编号：【449167】投诉时间：2020-02-2811:26投诉品牌：吉利汽车投诉车系：帝豪投诉车型：2018款1.5LCVT向上互联版投诉内容后尾灯2020.02.22洗车后，等二天23号上午发现有水珠，开到吉利4S店，拍了个视频在28号我多次追问下跟我说质量没有问题是正常的在问他们就不回信</t>
  </si>
  <si>
    <t>2020/02/28 11:26:00</t>
  </si>
  <si>
    <t>投诉编号：【449166】  投诉时间： 2020-02-28 11:25  投诉品牌： 吉利汽车  投诉车系： 远景X3  投诉车型： 2017款 1.5L 自动 精英型        投诉内容  19年8月份左右半路显示发动机故障，挂挡不进。拖车至4S店检修，说是插头松了。之后发现提速55或者1</t>
  </si>
  <si>
    <t>2020/02/28 11:25:00</t>
  </si>
  <si>
    <t>今日（2月28日），广汽丰田威兰达正式上市。新车共推出2.0L自然吸气和2.5L混动两种动力共计12款车型，指导价格区间为17.18-24.18万元。即日起至2020年4月30日，官方提供2.0L车型5成首付2年0息、2成首付3-5年低息；2.5L双擎车型5成首付1年0息、2成首付2-5年低息金融政</t>
  </si>
  <si>
    <t>2020/02/28 11:22:00</t>
  </si>
  <si>
    <t>　　今日（2月28日），广汽丰田威兰达正式上市。新车共推出2.0L自然吸气和2.5L混动两种动力共计12款车型，指导价格区间为17.18-24.18万元。即日起至2020年4月30日，官方提供2.0L车型5成首付2年0息、2成首付3-5年低息；2.5L双擎车型5成首付1年0息、2成首付2-5年低息金</t>
  </si>
  <si>
    <t>张雪莲</t>
  </si>
  <si>
    <t>近日据外媒报道，保时捷已斥资1450万美元（约合1亿元人民币）购买了位于美国硅谷的音频技术公司DSP Concepts的股份，对该公司的总投资额累计已达2500万美元（约合1.8亿元人民币）。    DSP Concepts是一家从事音频信号处理和音频算法开发的软件公司，其推出的Audio Weav</t>
  </si>
  <si>
    <t>2020/02/28 11:21:00</t>
  </si>
  <si>
    <t>　　近日据外媒报道，保时捷已斥资1450万美元（约合1亿元人民币）购买了位于美国硅谷的音频技术公司DSP Concepts的股份，对该公司的总投资额累计已达2500万美元（约合1.8亿元人民币）。　　DSP Concepts是一家从事音频信号处理和音频算法开发的软件公司，其推出的Audio Weav</t>
  </si>
  <si>
    <t>近日据外媒报道，曾于2019年日内瓦车展上推出过插电式混合动力超跑Berlinetta的意大利跑车制造商Puritalia Automobili，将于2020年日内瓦车展推出纯电动版本Berlinetta。纯电动版本Berlinetta预告图    目前Puritalia Automobili仅发布</t>
  </si>
  <si>
    <t>2020/02/28 11:19:00</t>
  </si>
  <si>
    <t>　　近日据外媒报道，曾于2019年日内瓦车展上推出过插电式混合动力超跑Berlinetta的意大利跑车制造商Puritalia Automobili，将于2020年日内瓦车展推出纯电动版本Berlinetta。纯电动版本Berlinetta预告图　　目前Puritalia Automobili仅发布</t>
  </si>
  <si>
    <t>　　一说到RS，相信很多人就会直接联想到奥迪RS系列的高性能车型，但是RS也并非只是奥迪的专属，在去年9月5日，雪佛兰创界正式上市共推出包括Redline尚・红系列及RS系列在内的5款车型，新车价格区间在13.99万-17.99万元。从雪佛兰SUV车型的布局中，能够清晰的发现。创界作为一台紧凑型SU</t>
  </si>
  <si>
    <t>苗建刚</t>
  </si>
  <si>
    <t>2020/02/28 11:18:00</t>
  </si>
  <si>
    <t>　　其实相比于的插电式油电混动车型，我个人还是比较青睐于不插电的油电混动。一方面是由于周围的充电设施并不多，另一方面就是懒，懒得去找充电桩。所以不插电式的油电混动车型的低油耗以及不用充电的便利性更加受到了类似于我这样的消费者青睐。本篇文章，我们就来看一款这样的车型――广汽丰田雷凌双擎。　　油耗低 一</t>
  </si>
  <si>
    <t>2020/02/28 11:16:00</t>
  </si>
  <si>
    <t>　　在固有的思维中，大型豪华轿车本该就是超豪华、高逼格、大排量，而前两点自然是这个级别车型必须回馈给买家的，总不能花着大几十万、上百万买一台没有面子的车吧。而大排量在近几年逐渐变得模糊，面对环保带来的日益严苛的排放政策，似乎在今天看来2.0T已经算得上不小的排量了。S级是三驾马车中最晚搭载2.0T发</t>
  </si>
  <si>
    <t>许航</t>
  </si>
  <si>
    <t>2020/02/28 11:14:00</t>
  </si>
  <si>
    <t>日前，斯柯达官方发布了明锐RS iV的预告视频，视频画面主要展现了车辆的轮廓以及细节设计。据了解，新车将于3月初举办的日内瓦车展中正是亮相。    此次视频预告中不仅展现了该车外观设计的诸多细节，而且内饰设计也得到了一定程度的曝光。从视频中可以看出，该车中网、尾标、方向盘等多处位置采用了“RS iV</t>
  </si>
  <si>
    <t>2020/02/28 11:12:00</t>
  </si>
  <si>
    <t>投诉编号：【449164】  投诉时间： 2020-02-28 11:12  投诉品牌： 东风悦达起亚  投诉车系： 智跑  投诉车型： 2018款 2.0L 自动 智享豪华版        投诉内容  东风悦达起亚2.0L自动智享豪华版智跑19年3月份买的，发现了多次，多处严重车漆质量问题！！！第</t>
  </si>
  <si>
    <t>　　日前，斯柯达官方发布了明锐RS iV的预告视频，视频画面主要展现了车辆的轮廓以及细节设计。据了解，新车将于3月初举办的日内瓦车展中正是亮相。　　此次视频预告中不仅展现了该车外观设计的诸多细节，而且内饰设计也得到了一定程度的曝光。从视频中可以看出，该车中网、尾标、方向盘等多处位置采用了“RS iV</t>
  </si>
  <si>
    <t>胡永彬</t>
  </si>
  <si>
    <t>飞度行驶时变速箱打滑变速箱的质量问题16年7月31日长沙广本?湘店买车，本人职业司机，很爱惜车，车没有出过事故，现在都是原厂漆，两台车，这车开的也少，现在也只有一万三千公里，17年6月发现车提速转速高车不爱走像离合打滑的感觉，减速顿挫，低速行驶四十码抖动摇晃，这样的感觉让我难受极了，17年9月到邵阳</t>
  </si>
  <si>
    <t>猛氏集团</t>
  </si>
  <si>
    <t>2020/02/28 11:11:00</t>
  </si>
  <si>
    <t>16年7月31日长沙广本?湘店买车，本人职业司机，很爱惜车，车没有出过事故，现在都是原厂漆，两台车，这车开的也少，现在也只有一万三千公里，17年6月发现车提速转速高车不爱走像离合打滑的感觉，减速顿挫，低速行驶四十码抖动摇晃，这样的感觉让我难受极了，17年9月到邵阳金泽店检查，就随意的试了一下车说没什</t>
  </si>
  <si>
    <t>2016年10月购买，逍客2.0cvt精英版，目前35000公里。今日发现加油不走道，油表转数上去，车依然低速行驶。挂D挡起步，不加油，基本不走道。发动机故障灯亮过几次。到4s检测，说是变速箱颤动，需要更换变速箱！这心啊都碎了。怎么也叫三年的新车，换个旧的要1万，换个新的要4万，在网上搜索一下，这是</t>
  </si>
  <si>
    <t>注册账号</t>
  </si>
  <si>
    <t>投诉编号：【449163】  投诉时间： 2020-02-28 11:11  投诉品牌： 奇瑞汽车  投诉车系： 瑞虎8  投诉车型： 2018款 1.5TCI 手动 豪华型 7座        投诉内容  不到两年两万多公里的瑞虎8引擎盖有锈点，在今年2月10号左右洗完车才发现两后门拱掉漆露出钣金</t>
  </si>
  <si>
    <t>逍客变速箱抖动得很厉害2016年10月购买，逍客2.0cvt精英版，目前35000公里。今日发现加油不走道，油表转数上去，车依然低速行驶。挂D挡起步，不加油，基本不走道。发动机故障灯亮过几次。到4s检测，说是变速箱颤动，需要更换变速箱！这心啊都碎了。怎么也叫三年的新车，换个旧的要1万，换个新的要4万</t>
  </si>
  <si>
    <t>远景X6减震器有异响质量真不行吉利远景X6减震器有异响，车窗无法升降，两年内换过右前减震、主驾座椅、方向机、下支臂及传动轴，目前副驾玻璃升降不了，后减震异响严重！希望尽快解决好车辆的问题。</t>
  </si>
  <si>
    <t>小屁孩儿</t>
  </si>
  <si>
    <t>2020/02/28 11:10:00</t>
  </si>
  <si>
    <t>吉利远景X6减震器有异响，车窗无法升降，两年内换过右前减震、主驾座椅、方向机、下支臂及传动轴，目前副驾玻璃升降不了，后减震异响严重！希望尽快解决好车辆的问题。</t>
  </si>
  <si>
    <t>即便是销量增速迅猛的特斯拉，也不免受到疫情影响。据外媒报道，特斯拉1月份在华新车注册量较上月大幅减少46%，原因是农历春节假期和新冠病毒疫情延缓了购车者的脚步。    数据显示，2020年1月份，特斯拉在华新车注册量为3563辆，低于去年12月的6643辆；在1月份登记注册的新车中，有2605辆是在</t>
  </si>
  <si>
    <t>2020/02/28 11:09:00</t>
  </si>
  <si>
    <t>广汽丰田汉兰达车顶外侧漆面有脱落的现象，汽车顶部外漆有斑块状脱落，原漆，要求厂家尽快解决好车辆的问题。</t>
  </si>
  <si>
    <t>星汉灿烂</t>
  </si>
  <si>
    <t>众泰Z300空调开关向制冷转不动，右面轮胎轮拱处腐蚀。要求厂家尽快解决好车辆的问题。</t>
  </si>
  <si>
    <t>乳虎啸谷</t>
  </si>
  <si>
    <t>　　即便是销量增速迅猛的特斯拉，也不免受到疫情影响。据外媒报道，特斯拉1月份在华新车注册量较上月大幅减少46%，原因是农历春节假期和新冠病毒疫情延缓了购车者的脚步。　　数据显示，2020年1月份，特斯拉在华新车注册量为3563辆，低于去年12月的6643辆；在1月份登记注册的新车中，有2605辆是在</t>
  </si>
  <si>
    <t>Z300空调旋钮转不动轮拱处也有问题众泰Z300空调开关向制冷转不动，右面轮胎轮拱处腐蚀。要求厂家尽快解决好车辆的问题。</t>
  </si>
  <si>
    <t>汉兰达车顶漆面有脱落的问题呀广汽丰田汉兰达车顶外侧漆面有脱落的现象，汽车顶部外漆有斑块状脱落，原漆，要求厂家尽快解决好车辆的问题。</t>
  </si>
  <si>
    <t>在高速正常行驶，突然猛的顿挫，仪表出现S和雪花挡不停闪现，车速突然降下来，差点就被追尾，市区路也是偶尔会出现这样的情况，这对行车安全隐患非常大，去4S店检查，进店就说要收取两百块钱检查费，检查说要更换两个波箱电磁阀，服务顾问服务态度极差，希望厂里能给个合理的解释，这样的情况该怎么处理，厂家对于这种情</t>
  </si>
  <si>
    <t>上善大道</t>
  </si>
  <si>
    <t>2020/02/28 11:08:00</t>
  </si>
  <si>
    <t>爱丽舍行驶中变速箱顿挫质量不合格呀在高速正常行驶，突然猛的顿挫，仪表出现S和雪花挡不停闪现，车速突然降下来，差点就被追尾，市区路也是偶尔会出现这样的情况，这对行车安全隐患非常大，去4S店检查，进店就说要收取两百块钱检查费，检查说要更换两个波箱电磁阀，服务顾问服务态度极差，希望厂里能给个合理的解释，这</t>
  </si>
  <si>
    <t>菲斯塔内饰有黄斑内饰质量不行呀车子买了八个月了，以前洗车时发现油漆有瑕疵，开去4S店，4S店要帮我拿砂纸打去，我看伤油漆，也就算了，但是发现内饰顶右边有黄斑，现在左边又开始有了，黄斑好象是从里面渗出来的，这是什么原因，还不知道。发动机现又有口哨声了，开去4S店，认为是发电机，换个发电机，还是有异响，</t>
  </si>
  <si>
    <t>众星拱月</t>
  </si>
  <si>
    <t>2020/02/28 11:07:00</t>
  </si>
  <si>
    <t>车子买了八个月了，以前洗车时发现油漆有瑕疵，开去4S店，4S店要帮我拿砂纸打去，我看伤油漆，也就算了，但是发现内饰顶右边有黄斑，现在左边又开始有了，黄斑好象是从里面渗出来的，这是什么原因，还不知道。发动机现又有口哨声了，开去4S店，认为是发电机，换个发电机，还是有异响，说明不是发电机的事，又换回来，</t>
  </si>
  <si>
    <t>　　个性与时尚已经成为这个时代的年轻人选择车辆的重要选车因素，不到10万元预算能否买到这样的轿车车型呢？这个问题如果放在5年前，说实话，选择并不多。除了艾瑞泽、比亚迪F3那样车型似乎并没有太多的选择。而这个问题如果放在当下，东风风神奕炫或许能成为一个不错的选择，今天我们就来看看这款车有何亮点？　　外</t>
  </si>
  <si>
    <t>红旗H5高速时发动机熄火了2020元月20日车辆行驶在陕西榆林绕城210国道，车速行驶90公里时，发动机突然熄火，无刹车。1、事故发生后驾驶员惊慌，路上都是大车、车辆滑行600多米停在路边。2、车辆停下后驾驶员被惊吓不会说话，至今还在床上躺着，每天话语很少、精神有问题了。3、事故发生后拨打厂家售后电</t>
  </si>
  <si>
    <t>风卷残云</t>
  </si>
  <si>
    <t>2020/02/28 11:06:00</t>
  </si>
  <si>
    <t>途昂转弯时有异响是转向机的问题吗2018年10月发现车辆转弯时有轻微的异响，后来异响越来越大，2018年11月22日去4S店检查说是后桥差速器的原因。4S店联系厂家，给出解决方案，换后桥差速器油！换完后问题解决没有异响。2019年12月末又出现异响，2020年1月15日，去4S店检查又是更换差速器油</t>
  </si>
  <si>
    <t>激流勇退</t>
  </si>
  <si>
    <t>2020元月20日车辆行驶在陕西榆林绕城210国道，车速行驶90公里时，发动机突然熄火，无刹车。1、事故发生后驾驶员惊慌，路上都是大车、车辆滑行600多米停在路边。2、车辆停下后驾驶员被惊吓不会说话，至今还在床上躺着，每天话语很少、精神有问题了。3、事故发生后拨打厂家售后电话，等了三个多小时鄂尔多斯</t>
  </si>
  <si>
    <t>2018年10月发现车辆转弯时有轻微的异响，后来异响越来越大，2018年11月22日去4S店检查说是后桥差速器的原因。4S店联系厂家，给出解决方案，换后桥差速器油！换完后问题解决没有异响。2019年12月末又出现异响，2020年1月15日，去4S店检查又是更换差速器油。第一次的方法不能从根本上解决问</t>
  </si>
  <si>
    <t>远景X6制动漏油质量不行呀2020年2月24号早晨点火时发现制动液位低。检查刹车油液位过低，随后挪了一下车，发现地上有油痕迹。之前2月19号的时候发现后轮轮胎上看似油色迹，没在意一个新车。随后检查后轮，才看到有漏油的地方，联系4s店将车拖走。根据三包法明确规定。新车出现质量问题，欺骗消费者。我要求退</t>
  </si>
  <si>
    <t>潜龙腾渊</t>
  </si>
  <si>
    <t>2020/02/28 11:05:00</t>
  </si>
  <si>
    <t>2020年2月24号早晨点火时发现制动液位低。检查刹车油液位过低，随后挪了一下车，发现地上有油痕迹。之前2月19号的时候发现后轮轮胎上看似油色迹，没在意一个新车。随后检查后轮，才看到有漏油的地方，联系4s店将车拖走。根据三包法明确规定。新车出现质量问题，欺骗消费者。我要求退车或者换车。4s店迟迟不给</t>
  </si>
  <si>
    <t>　　上汽通用旗下的A级轿车不在少数，曾经这个细分市场也被通用占了半边天，不过通用这两年换装三缸发动机的战略非常坚定，几乎近两年换代的所有A级车都装配了1.3T发动机，通用也对三缸计划非常有信心，早在这台发动机发布的时候，官方也称能够打消一切顾虑，而在日后的体验中这台三缸发动机确实没有违和感，但换装三</t>
  </si>
  <si>
    <t>高尔夫变速箱挂挡后车走不了了车辆购于2011年5月，至今8年多，变速箱离合器已出现5次以上故障，严重影响安全。2013年315曝光DSG变速箱问题引发厂家召回（变速箱保修改为10年16万公里）更换车机单元前因变速箱故障已更换车机单元，在召回之后又出故障再次更换车机单元，2018年12月20日在驾驶过</t>
  </si>
  <si>
    <t>保时捷911</t>
  </si>
  <si>
    <t>2020/02/28 11:04:00</t>
  </si>
  <si>
    <t>炮尾气检测不合格上不了牌了我在2020年1月16日在张掖市哈弗4s店购买长城炮商用版四驱皮卡一辆，与2月24日办理入户上牌登记时被告知，车辆尾气检测不合格，无法办理入户登记！</t>
  </si>
  <si>
    <t>赵钱孙李</t>
  </si>
  <si>
    <t>我在2020年1月16日在张掖市哈弗4s店购买长城炮商用版四驱皮卡一辆，与2月24日办理入户上牌登记时被告知，车辆尾气检测不合格，无法办理入户登记！</t>
  </si>
  <si>
    <t>车辆购于2011年5月，至今8年多，变速箱离合器已出现5次以上故障，严重影响安全。2013年315曝光DSG变速箱问题引发厂家召回（变速箱保修改为10年16万公里）更换车机单元前因变速箱故障已更换车机单元，在召回之后又出故障再次更换车机单元，2018年12月20日在驾驶过程中变速箱再次出现故障（每次</t>
  </si>
  <si>
    <t>远景变速箱损坏车都走不了了我16年5月16买的车，去年年底发现车子起步困难，一直放在家没开，这个月上班开车了，发现起步车子没反应，几秒后猛的向前串出去（类似于被后车猛地撞了下），转速显示3000多转，然后行驶中遇到红绿灯真揪心，不起步，踩了油门猛地串出去，好几次差点出车祸，然后2020年2月27日去</t>
  </si>
  <si>
    <t>入海斩蛟</t>
  </si>
  <si>
    <t>2020/02/28 11:03:00</t>
  </si>
  <si>
    <t>我16年5月16买的车，去年年底发现车子起步困难，一直放在家没开，这个月上班开车了，发现起步车子没反应，几秒后猛的向前串出去（类似于被后车猛地撞了下），转速显示3000多转，然后行驶中遇到红绿灯真揪心，不起步，踩了油门猛地串出去，好几次差点出车祸，然后2020年2月27日去4S店检查，跟我说变速箱坏</t>
  </si>
  <si>
    <t>　　菲斯塔作为北京现代一款针对于中国市场而研发的紧凑级运动型轿车，其轿跑化的设计，出色的性能，与凌渡、思域、领克03、名爵6等几款车型同属一个阵营。在当今年轻人所主导的市场中，菲斯塔的燃油版获得了很大的成功。然而在新能源市场的快速发展下，北京现代也带来了它的纯电动车型，造型上延续了其动感的一面，但针</t>
  </si>
  <si>
    <t>张佳栋</t>
  </si>
  <si>
    <t>2020/02/28 11:02:00</t>
  </si>
  <si>
    <t>根据此前福特公司的官方消息，2020年将会是旗下野马Bullitt车型的最后一个模型年份，但福特显然不会坐视该细分市场流失而不管。近日，海外车媒Motor1.com曝光了一组福特野马Bullitt继任车型的路面测试谍照，该车型或将被命名为Mach 1。    此次发布的谍照拍摄于美国密歇根州境内的某</t>
  </si>
  <si>
    <t>2020/02/28 11:00:00</t>
  </si>
  <si>
    <t>　　根据此前福特公司的官方消息，2020年将会是旗下野马Bullitt车型的最后一个模型年份，但福特显然不会坐视该细分市场流失而不管。近日，海外车媒Motor1.com曝光了一组福特野马Bullitt继任车型的路面测试谍照，该车型或将被命名为Mach 1。　　此次发布的谍照拍摄于美国密歇根州境内的某</t>
  </si>
  <si>
    <t>总裁论坛</t>
  </si>
  <si>
    <t>玛莎拉蒂总裁后期改装Fairy design04--11年玛莎拉蒂总裁后期改装Fairy design</t>
  </si>
  <si>
    <t>2020/02/28 10:59:00</t>
  </si>
  <si>
    <t>思域召回后发动机机油还是增多东风本田思域召回后发动机机油依然增多，去4s店检查，按店里要求息火三分钟以内检查，机油仍然在上线，4S店给出答复不影响驾驶。</t>
  </si>
  <si>
    <t>荣耀手机</t>
  </si>
  <si>
    <t>2020/02/28 10:58:00</t>
  </si>
  <si>
    <t>东风本田思域召回后发动机机油依然增多，去4s店检查，按店里要求息火三分钟以内检查，机油仍然在上线，4S店给出答复不影响驾驶。</t>
  </si>
  <si>
    <t>艾瑞泽5后备箱漏水都可以养鱼了在16年10月在江西南昌南昌县奇瑞4S店购买奇瑞牌艾瑞泽5轿车，18年下旬就发现车里有股很重的味道，19年初发现后备箱备胎里可以养鱼了基本被水灌满了。当时修过一次在后尾灯打胶，20年1月过年的时候又有很严重的味道，打开后备箱备胎里面又可以养鱼了，而且在车子其他部位也发现</t>
  </si>
  <si>
    <t>九阴真经</t>
  </si>
  <si>
    <t>2020/02/28 10:57:00</t>
  </si>
  <si>
    <t>在16年10月在江西南昌南昌县奇瑞4S店购买奇瑞牌艾瑞泽5轿车，18年下旬就发现车里有股很重的味道，19年初发现后备箱备胎里可以养鱼了基本被水灌满了。当时修过一次在后尾灯打胶，20年1月过年的时候又有很严重的味道，打开后备箱备胎里面又可以养鱼了，而且在车子其他部位也发现潮湿情况。诉求就是彻底的帮我解</t>
  </si>
  <si>
    <t>早在2018年的北京车展，宝马就正式发布了iX3概念车，这款基于宝马X3打造的新能源车型随即吸引了车迷们的目光。近日，海外车媒Motor1.com曝光了一组新款宝马iX3车型的低伪装路面测试谍照，显示出新车已经十分接近量产版阶段，预计新车或将在今年三月份举行的日内瓦国际车展上进行正式发布。    谍</t>
  </si>
  <si>
    <t>　　早在2018年的北京车展，宝马就正式发布了iX3概念车，这款基于宝马X3打造的新能源车型随即吸引了车迷们的目光。近日，海外车媒Motor1.com曝光了一组新款宝马iX3车型的低伪装路面测试谍照，显示出新车已经十分接近量产版阶段，预计新车或将在今年三月份举行的日内瓦国际车展上进行正式发布。　　谍</t>
  </si>
  <si>
    <t>　　蔚来这个品牌从诞生后的三个阶段都受到了很大关注，EP9刷新钮北历史圈速、第一台量产车ES8正式售卖、ES6的推出拉低准入门槛，相比前两阶段，蔚来显得低调很多，ES6上市的时候并没有像ES8那样大肆宣传。而随着国产特斯拉Model 3的交付，ES6乃至蔚来都面临着极大挑战，毕竟ES6的定位还是中高</t>
  </si>
  <si>
    <t>2020/02/28 10:53:00</t>
  </si>
  <si>
    <t>　　作为一个土生土长的北方人，要说在我们这里什么车比较火，我根本不会过多思考就能到想到答案，那就是普拉多。这辆被人们称为“霸道”的丰田车，这些年确实吸引了不少的消费者，甚至也有不少人，贷款也要买霸道。不仅仅是是因为粗狂的外观，当然还有那可怕的保值率。但对于预算有限的朋友们来说，还是有什么选择呢？或许</t>
  </si>
  <si>
    <t>2020/02/28 10:51:00</t>
  </si>
  <si>
    <t>　　去年上市的北京奔驰AMG A 35 L一度引来热议，毕竟是AMG的首次国产，对于AMG的忠实粉丝而言，“国产”似乎总是意味着不正宗，更别提加长了。不过奔驰官方更希望打造一款实用性与性能兼备的车型，对于AMG的首次国产化官方也表示非常重视，不过现在看来A 35 L的定价确实不低，但同级的奥迪S3、</t>
  </si>
  <si>
    <t>2020/02/28 10:48:00</t>
  </si>
  <si>
    <t>年关将近，对于很多努力辛苦了一年的朋友来说，买一辆车回家过年是极好的选择。毕竟在年底走亲戚的时候，免不了会提起车的问题，因此一辆好车或者说一辆豪华品牌车型，不但可以让自己更有面子，同时也的确能够让自己的出行更加方便。而紧凑SUV一直都是各大豪华品牌的必争之地，因为这是豪华品牌销量最走俏的一个细分市场</t>
  </si>
  <si>
    <t>网红女</t>
  </si>
  <si>
    <t>2020/02/28 10:46:00</t>
  </si>
  <si>
    <t>现在的豪华品牌市场其实并没有那么好过。尤其是二三线豪华品牌，由于自身的品牌溢价能力不足，只能够通过降价来赢得更多的市场份额。今天呢，咱们要说的几款车型是刚上市的豪华品牌车型，从刚上市的价格来看，虽然并没有那么离谱，但是不可否认，这些车型想要卖火，恐怕不降个几万，是不会有人买单的。首先一款是凯迪拉克C</t>
  </si>
  <si>
    <t>随着经济水平的提高，汽车的数量也在不断增加。如今很多人都会选择购买一辆车，尤其是现在越来越接近过年，到了年底的时候，购车的人也越来越多，很多人买车都会选择SUV车型。接下来为大家介绍几款公认的国产省油SUV，一起来看看吧！　　SUV的优势　　先给大家介绍下SUV的优势，很多消费者选择SUV都是因为底</t>
  </si>
  <si>
    <t>最低22万可以买豪华SUV 开回去过年有面子年关将近，对于很多努力辛苦了一年的朋友来说，买一辆车回家过年是极好的选择。毕竟在年底走亲戚的时候，免不了会提起车的问题，因此一辆好车或者说一辆豪华品牌车型，不但可以让自己更有面子，同时也的确能够让自己的出行更加方便。而紧凑SUV一直都是各大豪华品牌的必争之</t>
  </si>
  <si>
    <t>这几款刚上市的豪车 不降几万没人买单现在的豪华品牌市场其实并没有那么好过。尤其是二三线豪华品牌，由于自身的品牌溢价能力不足，只能够通过降价来赢得更多的市场份额。今天呢，咱们要说的几款车型是刚上市的豪华品牌车型，从刚上市的价格来看，虽然并没有那么离谱，但是不可否认，这些车型想要卖火，恐怕不降个几万，是</t>
  </si>
  <si>
    <t>公认的几款国产省油SUV 不接受任何反驳随着经济水平的提高，汽车的数量也在不断增加。如今很多人都会选择购买一辆车，尤其是现在越来越接近过年，到了年底的时候，购车的人也越来越多，很多人买车都会选择SUV车型。接下来为大家介绍几款公认的国产省油SUV，一起来看看吧！　　SUV的优势　　先给大家介绍下SU</t>
  </si>
  <si>
    <t>投诉编号：【449160】  投诉时间： 2020-02-28 10:46  投诉品牌： 郑州日产  投诉车系： 途达  投诉车型： 2020款 2.5L 自动 四驱 旗舰版        投诉内容  途达车2019年11月27号出厂，12月3号提车，提车时给了一把智能钥匙包括机械钥匙，挂牌后又给寄</t>
  </si>
  <si>
    <t>　　在国内豪华中大型轿车这个细分市场内，三驾马车似乎没有给之外的任何一个品牌太多机会，能成为雷克萨斯ES这样搅局者身份的选手基本没有，所以ES也被大家视为BUG的存在。而在2016年，凯迪拉克也在中国市场带来了CT6，作为挑战者，CT6的定位很有意思，定位为大型车，尺寸方面也确实可以定位D级车，但实</t>
  </si>
  <si>
    <t>　　10万块能买什么靠谱一点的车型？几年前人们常常能够联想到的就是哈弗H6、吉利博越这样的车型，但是随着国内汽车市场的飞速发展，我们能够选择的车型也就多了起来。比如本篇选车3+2要说的东风新风行T5。　　优点1：相比于哈弗H6在价格上更加实惠　　在2019年的8月18日，新风行T5正式上市，6.99</t>
  </si>
  <si>
    <t>2020/02/28 10:44:00</t>
  </si>
  <si>
    <t>　　近年来自主品牌汽车有着突飞猛进的发展，日益提升的技术、相比于合资车型更低廉的售价，俘获了不少消费者的青睐。广汽传祺在将GM、GS系列车型在MPV、SUV成功推出之后，选择把目光转向GA系列的轿车领域，以谋求各领域的整体发展。而本篇《选车3+2》就让我们来看一下广汽传祺GA6的优缺点。　　优点1：</t>
  </si>
  <si>
    <t>2020/02/28 10:42:00</t>
  </si>
  <si>
    <t>入手C-HR一年多 车主后悔了吗？对于追求SUV，但是又不太喜欢大型SUV的消费者来说，退而求其次的小型SUV其实是一个不错的选择，比起轿车来说更宽敞，比起大型SUV来说来更紧凑，家用日常使用还是挺好的，而在小型SUV领域，还是以的缤智/XR-V、逍客为主，在那个年代，大众还未入局这一细分领域，丰田</t>
  </si>
  <si>
    <t>绞牙避震</t>
  </si>
  <si>
    <t>满大街都搭载1.5T发动机 哪家最强？在家用车市场，“1.5T”是一个非常完美的动力配置，它既不像普通的1.5L、1.6L引擎那样仅仅够用，又不像2.0T那样动力过剩油耗偏高，是综合了动力与油耗之间的完美平衡。然而，各大厂家的技术差异，也导致各家的1.5T引擎性能表现相差甚远，今天就盘点一下同级最佳</t>
  </si>
  <si>
    <t>在家用车市场，“1.5T”是一个非常完美的动力配置，它既不像普通的1.5L、1.6L引擎那样仅仅够用，又不像2.0T那样动力过剩油耗偏高，是综合了动力与油耗之间的完美平衡。然而，各大厂家的技术差异，也导致各家的1.5T引擎性能表现相差甚远，今天就盘点一下同级最佳的1.5T发动机，看准这几家买不会错！</t>
  </si>
  <si>
    <t>对于追求SUV，但是又不太喜欢大型SUV的消费者来说，退而求其次的小型SUV其实是一个不错的选择，比起轿车来说更宽敞，比起大型SUV来说来更紧凑，家用日常使用还是挺好的，而在小型SUV领域，还是以的缤智/XR-V、逍客为主，在那个年代，大众还未入局这一细分领域，丰田也没有相应的车型，缤智/XR-V、</t>
  </si>
  <si>
    <t>据路透社报道，由于销量下滑，阿斯顿·马丁2019年税前亏损1.043亿英镑（约合1.36亿美元），营业亏损3，700万英镑，收入下滑9%，经历了“非常令人失望的一年”。    2019年，阿斯顿·马丁全球销量5819台汽车，比2018年下降了7%。这主要是由于消费市场的低迷，欧洲尤其是英国市场对豪华</t>
  </si>
  <si>
    <t>2020/02/28 10:41:00</t>
  </si>
  <si>
    <t>汽车核心三大件，买车时大家最关心的硬技术，今天我们来聊聊汽车的心脏-发动机，在国际舞台上，有两个发动机榜单是最具信服力和关注度的，一个是“沃德十佳发动机榜单”，一个是“国际发动机大奖”。前几天，WARDS AUTO官网终于公布了万众期待的“2020沃德十佳发动机&amp;动力系统”榜单。哪些发动机以及动力系</t>
  </si>
  <si>
    <t>一年一度（两次）的情人节又来了，今年的情人节既然不能和女神一起到外面喝喝小酒，购购物，讨女神欢心，不妨来个大的，给女神送辆车，给她个意外的惊喜。今天，天涯君就来盘点那些能让女神开心的新车。10万级别：买“女神”送女神——欧拉R1女神版欧拉R1女神版，拥有众多时尚且个性的设计元素：前后灯组与后视镜等处</t>
  </si>
  <si>
    <t>　　据路透社报道，由于销量下滑，阿斯顿・马丁2019年税前亏损1.043亿英镑（约合1.36亿美元），营业亏损3，700万英镑，收入下滑9%，经历了“非常令人失望的一年”。　　2019年，阿斯顿・马丁全球销量5819台汽车，比2018年下降了7%。这主要是由于消费市场的低迷，欧洲尤其是英国市场对豪华</t>
  </si>
  <si>
    <t>林嘉兴</t>
  </si>
  <si>
    <t>买车留心了 认准这几款十佳发动机汽车核心三大件，买车时大家最关心的硬技术，今天我们来聊聊汽车的心脏-发动机，在国际舞台上，有两个发动机榜单是最具信服力和关注度的，一个是“沃德十佳发动机榜单”，一个是“国际发动机大奖”。前几天，WARDS AUTO官网终于公布了万众期待的“2020沃德十佳发动机&amp;动力</t>
  </si>
  <si>
    <t>从8万到80万都有 这11款车堪称哄女神利器一年一度（两次）的情人节又来了，今年的情人节既然不能和女神一起到外面喝喝小酒，购购物，讨女神欢心，不妨来个大的，给女神送辆车，给她个意外的惊喜。今天，天涯君就来盘点那些能让女神开心的新车。10万级别：买“女神”送女神——欧拉R1女神版欧拉R1女神版，拥有众</t>
  </si>
  <si>
    <t>这几款时尚帅气的豪华SUV 满足你对个性的追求随着汽车市场消费主力的逐渐年轻化，像奔驰GLA、宝马X1、奥迪Q3这些豪华品牌紧凑型SUV逐渐受到大家的追捧。不过面对更加喜欢不拘一格的新生代消费者，这些偏传统的车型已经不足以满足大家对个性的追求。而奔驰GLB、宝马X2以及奥迪Q2这些车型，则把个性带到</t>
  </si>
  <si>
    <t>2020/02/28 10:39:00</t>
  </si>
  <si>
    <t>日前，特斯拉全球第四个超级工厂终于得以继续开建。据外媒报道，因法庭发出禁令而停止砍伐森林的特斯拉德国超级工厂，目前已获准继续施工，环保组织的申请已被法庭驳回。    特斯拉德国超级工厂位于柏林近郊勃兰登堡州的格伦黑德，这是特斯拉在欧洲的首座超级工厂，也是继上海之后的全球第四座超级工厂；特斯拉计划对德</t>
  </si>
  <si>
    <t>　　日前，特斯拉全球第四个超级工厂终于得以继续开建。据外媒报道，因法庭发出禁令而停止砍伐森林的特斯拉德国超级工厂，目前已获准继续施工，环保组织的申请已被法庭驳回。　　特斯拉德国超级工厂位于柏林近郊勃兰登堡州的格伦黑德，这是特斯拉在欧洲的首座超级工厂，也是继上海之后的全球第四座超级工厂；特斯拉计划对德</t>
  </si>
  <si>
    <t>突发的疫情，不仅让许多中小企业陷入暂时的困境，让制造业深受影响，同样也让原本增速就放缓的汽车市场雪上加霜。很多人会问，疫情之后今年的经济还能好吗？以03年的非典疫情做参照，在疫情结束后，消费需求出现了大幅的反弹，投资也纷纷加码，各项经济指标出现了一波完美的V型反弹。而对于汽车这种大件，消费者们会怎么</t>
  </si>
  <si>
    <t>随着汽车市场消费主力的逐渐年轻化，像奔驰GLA、宝马X1、奥迪Q3这些豪华品牌紧凑型SUV逐渐受到大家的追捧。不过面对更加喜欢不拘一格的新生代消费者，这些偏传统的车型已经不足以满足大家对个性的追求。而奔驰GLB、宝马X2以及奥迪Q2这些车型，则把个性带到了豪华品牌当中。今天我们就来带大家看看这三款车</t>
  </si>
  <si>
    <t>疫情过后是买车 换车的最佳时机吗？突发的疫情，不仅让许多中小企业陷入暂时的困境，让制造业深受影响，同样也让原本增速就放缓的汽车市场雪上加霜。很多人会问，疫情之后今年的经济还能好吗？以03年的非典疫情做参照，在疫情结束后，消费需求出现了大幅的反弹，投资也纷纷加码，各项经济指标出现了一波完美的V型反弹。</t>
  </si>
  <si>
    <t>能买这几款合资SUV 说明混得不错当时间走到2020年时，90年出生的小伙伴们也迎来30周岁。古人云“三十而立”，大部分90年出生的年轻人为了实现这一愿景而努力了(拆二代、富二代除外)，虽然说想独立买房有着很大的难度，但能用自己的积蓄买一辆车还是做得到的。只不过在老一辈人心目中，合资=高档的消费理念</t>
  </si>
  <si>
    <t>2020/02/28 10:38:00</t>
  </si>
  <si>
    <t>救市措施推出 中国汽车迎利好？多重因素的影响，让中国车市在2020年遭遇到迎头痛击。数据统计显示，2020年1月份，中国车市销量，再度创下了近几年新低。从目前的形势来看，2月份的销量状况将会更差劲。在这种情况下，汽车救市措施，或将如约而至。汽车市场2020年开局不利，中国车市遭遇迎头痛击乘宽会数据显</t>
  </si>
  <si>
    <t>省油早已成为了汽车界的主旋律，而在新能源逐渐普及的当下，如何将电与油进行的完美的平衡来实现更佳的油耗表现是所有车企都在为之奋斗的方向。之前说到省油，大家可能会想到的是丰田的双擎车型，比如凯美瑞双擎或者RAV4双擎，但到现在为了省油还是看它们吗？并非如此。近日，笔者从国家工信部获得了一汽-大众探岳GT</t>
  </si>
  <si>
    <t>多重因素的影响，让中国车市在2020年遭遇到迎头痛击。数据统计显示，2020年1月份，中国车市销量，再度创下了近几年新低。从目前的形势来看，2月份的销量状况将会更差劲。在这种情况下，汽车救市措施，或将如约而至。汽车市场2020年开局不利，中国车市遭遇迎头痛击乘宽会数据显示，2020年 月份中国狭义乘</t>
  </si>
  <si>
    <t>当时间走到2020年时，90年出生的小伙伴们也迎来30周岁。古人云“三十而立”，大部分90年出生的年轻人为了实现这一愿景而努力了(拆二代、富二代除外)，虽然说想独立买房有着很大的难度，但能用自己的积蓄买一辆车还是做得到的。只不过在老一辈人心目中，合资=高档的消费理念根深蒂固，不少人觉得孩子至少要买得</t>
  </si>
  <si>
    <t>大众探岳出新款省油利器！百公里油耗仅为2L 谁还看RAV4双擎？省油早已成为了汽车界的主旋律，而在新能源逐渐普及的当下，如何将电与油进行的完美的平衡来实现更佳的油耗表现是所有车企都在为之奋斗的方向。之前说到省油，大家可能会想到的是丰田的双擎车型，比如凯美瑞双擎或者RAV4双擎，但到现在为了省油还是看</t>
  </si>
  <si>
    <t>2020/02/28 10:37:00</t>
  </si>
  <si>
    <t>国产的奥迪A7L 究竟要不要死等？原创 / 社长James Meng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t>
  </si>
  <si>
    <t>4年前花80万买的特斯拉，现在续航多少？来听听车主怎么说男子4年前花80万买的特斯拉，现在续航多少？车主：纯属为了玩说起新能源，除了国内的比亚迪有着不俗的技术外，那么就要属特斯拉最具发言权了。对于特斯拉来说，它在新能源方面的技术可是有着全球一流的水平，其巡航能力也是非常强悍。那么特斯拉自入华后也有了</t>
  </si>
  <si>
    <t>4年前花80万买的特斯拉 现在续航多少？4年前花80万买的特斯拉，现在续航多少？来听听车主怎么说男子4年前花80万买的特斯拉，现在续航多少？车主：纯属为了玩说起新能源，除了国内的比亚迪有着不俗的技术外，那么就要属特斯拉最具发言权了。对于特斯拉来说，它在新能源方面的技术可是有着全球一流的水平，其巡航能</t>
  </si>
  <si>
    <t>原创 / 社长James Meng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款——第三方公司不得早于2022年</t>
  </si>
  <si>
    <t>2月28日，广汽丰田全新紧凑型SUV——威兰达（Wildlander）正式上市，官方指导价为17.18至24.18万元。与“姊妹车型”一汽丰田荣放（RAV4）一样，威兰达也脱胎自丰田TNGA架构（Toyota New Global Architecture）下的TNGA-K平台，这是广汽丰田自成立以</t>
  </si>
  <si>
    <t>2020/02/28 10:36:00</t>
  </si>
  <si>
    <t>广汽丰田威兰达上市 指导价17.18至24.18万元2月28日，广汽丰田全新紧凑型SUV——威兰达（Wildlander）正式上市，官方指导价为17.18至24.18万元。与“姊妹车型”一汽丰田荣放（RAV4）一样，威兰达也脱胎自丰田TNGA架构（Toyota New Global Architec</t>
  </si>
  <si>
    <t>　　据外媒报道，新款奥迪高性能sq7现已经进入美国市场，基础版税前起售价为8.48万美元（约人民币59.5万）。值得一提的是在美国市场，sq7将不会提供4.0升双涡轮增压v8柴油发动机，而是用同规格的汽油发动机替代它。　　新车采用了最新奥迪产品类似的全新前大灯和尾灯。新车的前脸采用更具立体感的前包围</t>
  </si>
  <si>
    <t>宇智波民</t>
  </si>
  <si>
    <t>据外媒报道，新款奥迪高性能sq7现已经进入美国市场，基础版税前起售价为8.48万美元（约人民币59.5万）。值得一提的是在美国市场，sq7将不会提供4.0升双涡轮增压v8柴油发动机，而是用同规格的汽油发动机替代它。    新车采用了最新奥迪产品类似的全新前大灯和尾灯。新车的前脸采用更具立体感的前包围</t>
  </si>
  <si>
    <t>3月3日首发 奔驰新款E级官方预告图曝光 配备全新头灯组[懂车帝原创 产品] 2019年销量排名第二的中大型豪华轿车就是奔驰E级，在中国售出了约14.2万辆，仅比排名第一的宝马5系少了7000辆，足以可见国内用户对这款车的喜爱程度。近日，奔驰官方公布了新款E级预告图，该车将于3月3日举行的日内瓦车展</t>
  </si>
  <si>
    <t>　　近日，根据海外媒体报道，丰田已经在澳大利亚的知识产权局，注册了“gr hilux（海拉克斯）”的商标。但目前官方已声明，暂时没有gr hilux的计划，但不排除未来有出现的可能。　　据悉，丰田早在2019年7月就已递注册gr hilux商标的申请，但直到现在才被批准。此外，丰田其实已经在2018</t>
  </si>
  <si>
    <t>熊睿锋</t>
  </si>
  <si>
    <t>2020/02/28 10:35:00</t>
  </si>
  <si>
    <t>近日，根据海外媒体报道，丰田已经在澳大利亚的知识产权局，注册了“gr hilux（海拉克斯）”的商标。但目前官方已声明，暂时没有gr hilux的计划，但不排除未来有出现的可能。    据悉，丰田早在2019年7月就已递注册gr hilux商标的申请，但直到现在才被批准。此外，丰田其实已经在2018</t>
  </si>
  <si>
    <t>　　不久前，宾利发布了“一个车轮的预告”，该预告明确了宾利将于日内瓦车展发布的全新gt跑车mullinerbacalar。近日，宾利再次发布了有关该车型的预告，而这次放出的是新车车厢的窥视。　　此次放出的预告图，包含了两张座椅，座椅采用了一体式设计，靠背上渐变的线条纹路十分特别，头枕上印有宾利的车标</t>
  </si>
  <si>
    <t>杨高宇</t>
  </si>
  <si>
    <t>2020/02/28 10:34:00</t>
  </si>
  <si>
    <t>不久前，宾利发布了“一个车轮的预告”，该预告明确了宾利将于日内瓦车展发布的全新gt跑车mullinerbacalar。近日，宾利再次发布了有关该车型的预告，而这次放出的是新车车厢的窥视。    此次放出的预告图，包含了两张座椅，座椅采用了一体式设计，靠背上渐变的线条纹路十分特别，头枕上印有宾利的车标</t>
  </si>
  <si>
    <t>　　近日，全球顶级改装厂brabus（巴博斯）发布了全新brabus 800 adventure xlp，并于2020日内瓦车展正式亮相。　　据悉，新车基于全新梅赛德斯-amg g63打造而来，在此基础上，将车身结构改为了皮卡样式，并新增了一系列专属性能套件；动力上搭载升级版的4.0升双涡轮v8发动</t>
  </si>
  <si>
    <t>2020/02/28 10:33:00</t>
  </si>
  <si>
    <t>近日，全球顶级改装厂brabus（巴博斯）发布了全新brabus 800 adventure xlp，并于2020日内瓦车展正式亮相。    据悉，新车基于全新梅赛德斯-amg g63打造而来，在此基础上，将车身结构改为了皮卡样式，并新增了一系列专属性能套件；动力上搭载升级版的4.0升双涡轮v8发动</t>
  </si>
  <si>
    <t>　　在斯巴鲁宣告富有传奇色彩的ej207引擎停产之后，下一代wrxsti将搭载什么引擎成为斯巴鲁粉丝们关注的重点。近日有外媒透露，下代wrx sti将搭载的是一台2.4t水平对置四缸引擎，最大马力达到405ps。预计新车的上市时间是2021年。　　配图为2019款斯巴鲁wrx sti s209，全球</t>
  </si>
  <si>
    <t>吴昱初</t>
  </si>
  <si>
    <t>2020/02/28 10:32:00</t>
  </si>
  <si>
    <t>在斯巴鲁宣告富有传奇色彩的ej207引擎停产之后，下一代wrxsti将搭载什么引擎成为斯巴鲁粉丝们关注的重点。近日有外媒透露，下代wrx sti将搭载的是一台2.4t水平对置四缸引擎，最大马力达到405ps。预计新车的上市时间是2021年。    配图为2019款斯巴鲁wrx sti s209，全球</t>
  </si>
  <si>
    <t>　　2020日内瓦车展将在3月3日拉开帷幕，日前，有外媒曝光了雷克萨斯将参展的车型阵容，包括ux300e、lf-30和lc500等。　　雷克萨斯ux300e　　在2019广州车展上，雷克萨斯首款纯电动车――ux300e亮相。新车诞生于tnga架构下的ga-c平台，外形内饰沿用了ux燃油版本的设计，电</t>
  </si>
  <si>
    <t>2020/02/28 10:30:00</t>
  </si>
  <si>
    <t>2020日内瓦车展将在3月3日拉开帷幕，日前，有外媒曝光了雷克萨斯将参展的车型阵容，包括ux300e、lf-30和lc500等。    雷克萨斯ux300e    在2019广州车展上，雷克萨斯首款纯电动车——ux300e亮相。新车诞生于tnga架构下的ga-c平台，外形内饰沿用了ux燃油版本的设计</t>
  </si>
  <si>
    <t>　　预算10多万，能买一台大空间的合资suv吗？相信很多网友有这样的疑问。的确，如果在以前确实不敢想象，但现在随着汽车工业的快速发展，让原本还很弱小的自主品牌逐渐强大起来，并在中低端市场上占据一定地位。因此不少合资紧凑suv为了抢占市场，有的suv已经下探到10万左右，性价比相当高。其中有本文要说到</t>
  </si>
  <si>
    <t>李山山01</t>
  </si>
  <si>
    <t>2020/02/28 10:27:00</t>
  </si>
  <si>
    <t>　　近日，保时捷发布了一组718 cayman gts 4.0和718 boxster gts 4.0的官图，而这两款车型也将于日内瓦车展正式亮相。新车搭载一台4.0l自吸水平对置六缸发动机，最大功率400马力，4.5s即可加速破百。相比2.5t水平对置四缸发动机的718 gts车型有所提升。718</t>
  </si>
  <si>
    <t>韩瑞</t>
  </si>
  <si>
    <t>2020/02/28 10:25:00</t>
  </si>
  <si>
    <t>近日，保时捷发布了一组718 cayman gts 4.0和718 boxster gts 4.0的官图，而这两款车型也将于日内瓦车展正式亮相。新车搭载一台4.0l自吸水平对置六缸发动机，最大功率400马力，4.5s即可加速破百。相比2.5t水平对置四缸发动机的718 gts车型有所提升。718 b</t>
  </si>
  <si>
    <t>投诉编号：【449159】  投诉时间： 2020-02-28 10:23  投诉品牌： 一汽奔腾  投诉车系： 奔腾B30  投诉车型： 2016款 1.6L 自动 尊享型        投诉内容  19年时候左前侧转向异响，11月底检测说转向电机问题，换了以转向卡顿，去4s店说升级，升级以后还是</t>
  </si>
  <si>
    <t>2020/02/28 10:23:00</t>
  </si>
  <si>
    <t>　　近日，保时捷官方公布macan gts将于3月3日在日内瓦车展亮相。新车搭载和macan turbo相同的2.9t v6双涡轮增压发动机，最大功率达到380马力，4.7s即可加速破百。　　尽管它是一辆suv，但保时捷 macan gts带有可升降底盘的空气悬挂，降低底盘后会更加富有侵略性，搭配上</t>
  </si>
  <si>
    <t>近日，保时捷官方公布macan gts将于3月3日在日内瓦车展亮相。新车搭载和macan turbo相同的2.9t v6双涡轮增压发动机，最大功率达到380马力，4.7s即可加速破百。    尽管它是一辆suv，但保时捷 macan gts带有可升降底盘的空气悬挂，降低底盘后会更加富有侵略性，搭配上</t>
  </si>
  <si>
    <t>　　据沃尔沃知情人士透露，沃尔沃xc40 recharge纯电动车型（以下简称沃尔沃xc40电动车）不会受国内疫情影响，将在年内如期国产。同时，沃尔沃瑞典官网正式公布了其海外售价并开始接受预定。　　50.5万元是目前沃尔沃xc40电动车的人民币折算价格，国产后价格肯定会将进一步降低。究竟会降到多少？</t>
  </si>
  <si>
    <t>朱光华</t>
  </si>
  <si>
    <t>2020/02/28 10:22:00</t>
  </si>
  <si>
    <t>据沃尔沃知情人士透露，沃尔沃xc40 recharge纯电动车型（以下简称沃尔沃xc40电动车）不会受国内疫情影响，将在年内如期国产。同时，沃尔沃瑞典官网正式公布了其海外售价并开始接受预定。    50.5万元是目前沃尔沃xc40电动车的人民币折算价格，国产后价格肯定会将进一步降低。究竟会降到多少？</t>
  </si>
  <si>
    <t>合资，或者国产质量可靠点的，七八万落地的家用轿车哪一款值得购买？</t>
  </si>
  <si>
    <t>2020/02/28 10:20:12</t>
  </si>
  <si>
    <t>　　据最新机动车交强险数据显示，造车新势力2020年1月份新车上牌量为6037辆，略低于2019年年底。　　受到春节假期以及新冠疫情的影响，众多车企在1月份的销量都出现了负增长的情况。据中汽协发布的数据显示，1月新能源乘用车销量为3.9万辆，同比下降54.5%。不过与大多数传统车企不同，造车新势力由</t>
  </si>
  <si>
    <t>阮嵩</t>
  </si>
  <si>
    <t>2020/02/28 10:18:00</t>
  </si>
  <si>
    <t>据最新机动车交强险数据显示，造车新势力2020年1月份新车上牌量为6037辆，略低于2019年年底。    受到春节假期以及新冠疫情的影响，众多车企在1月份的销量都出现了负增长的情况。据中汽协发布的数据显示，1月新能源乘用车销量为3.9万辆，同比下降54.5%。不过与大多数传统车企不同，造车新势力由</t>
  </si>
  <si>
    <t>桑塔纳，帝豪，荣威i5这几款车选择哪一款？</t>
  </si>
  <si>
    <t>2020/02/28 10:15:21</t>
  </si>
  <si>
    <t>　　据外媒报道，高端汽车制造商们都在想方设法为汽车提供新型个性化功能，而保时捷公司则进一步推出个性化功能，允许车主在汽车引擎盖上大规模重现自己的指纹。　　保时捷采用了一种称为“直接打印”（direct printing）的方法，比传统涂装技术更复杂，同时为汽车膜应用提供更好的外观和触感。　　保时捷表</t>
  </si>
  <si>
    <t>余秋云</t>
  </si>
  <si>
    <t>2020/02/28 10:15:00</t>
  </si>
  <si>
    <t>据外媒报道，高端汽车制造商们都在想方设法为汽车提供新型个性化功能，而保时捷公司则进一步推出个性化功能，允许车主在汽车引擎盖上大规模重现自己的指纹。    保时捷采用了一种称为“直接打印”（direct printing）的方法，比传统涂装技术更复杂，同时为汽车膜应用提供更好的外观和触感。    保时</t>
  </si>
  <si>
    <t>　　据外媒报道，荷兰安世半导体（Nexperia）公司宣布与里卡多公司（Ricardo）建立合作伙伴关系，为基于氮化镓（GaN）技术制成的电动汽车逆变器研发技术验证机。　　GaN是电动汽车逆变器等应用的首选开关，因为GaN场效应晶体管（FET）可让系统的效率更高、成本降低、热性能得到改进、开关拓补变</t>
  </si>
  <si>
    <t>2020/02/28 10:14:00</t>
  </si>
  <si>
    <t>据外媒报道，荷兰安世半导体（Nexperia）公司宣布与里卡多公司（Ricardo）建立合作伙伴关系，为基于氮化镓（GaN）技术制成的电动汽车逆变器研发技术验证机。    GaN是电动汽车逆变器等应用的首选开关，因为GaN场效应晶体管（FET）可让系统的效率更高、成本降低、热性能得到改进、开关拓补变</t>
  </si>
  <si>
    <t>图源：Monash官网　　澳大利亚研究人员开发出据称是世界上最高效的锂硫电池。与目前市场上的领先同类电池相比，这种电池的性能可能高出四倍以上。　　据外媒报道，莫纳什大学（Monash University）Mahdokht Shaibani博士领导国际研究团队，研发出超大容量Li-S电池，能够连续5</t>
  </si>
  <si>
    <t>Elisha</t>
  </si>
  <si>
    <t>2020/02/28 10:12:00</t>
  </si>
  <si>
    <t>投诉编号：【449153】  投诉时间： 2020-02-28 10:12  投诉品牌： 上汽通用五菱  投诉车系： 宝骏730  投诉车型： 2019款 1.5T CVT 时尚型 7座 国VI        投诉内容  买车，所有平台都有那配置，买回来没有，没有那配置车买都不会买，严重欺骗消费者，</t>
  </si>
  <si>
    <t>图源：Monash官网    澳大利亚研究人员开发出据称是世界上最高效的锂硫电池。与目前市场上的领先同类电池相比，这种电池的性能可能高出四倍以上。    据外媒报道，莫纳什大学（Monash University）Mahdokht Shaibani博士领导国际研究团队，研发出超大容量Li-S电池，能</t>
  </si>
  <si>
    <t>图片来源：斯巴鲁官网　　据外媒报道，斯巴鲁将向位于美国印第安纳州的工厂投资1.58亿美元，在此建造一个变速器组装车间，以及一个售后服务配件工厂。美国是斯巴鲁最大的市场，该品牌目前在美国正在持续获得增长。　　该工厂的发言人表示，在变速器组装车间建成之后，这将标志着这座工厂首次生产变速器。　　斯巴鲁透露</t>
  </si>
  <si>
    <t>星云</t>
  </si>
  <si>
    <t>2020/02/28 10:11:00</t>
  </si>
  <si>
    <t xml:space="preserve">图片来源：斯巴鲁官网    据外媒报道，斯巴鲁将向位于美国印第安纳州的工厂投资1.58亿美元，在此建造一个变速器组装车间，以及一个售后服务配件工厂。美国是斯巴鲁最大的市场，该品牌目前在美国正在持续获得增长。    该工厂的发言人表示，在变速器组装车间建成之后，这将标志着这座工厂首次生产变速器。   </t>
  </si>
  <si>
    <t>图片来源：Cruise官网    据外媒报道，通用汽车旗下的自动驾驶企业Cruise Automation获得了批准，该公司的自动驾驶汽车将可以在加州进行载客行驶。    Cruise公司发布的一份声明表示，该公司获得了在加利福尼亚州的公共道路上，对其纯电动、自动驾驶汽车进行测试，而且测试期间车辆可</t>
  </si>
  <si>
    <t>2020/02/28 10:09:00</t>
  </si>
  <si>
    <t>图片来源：Cruise官网　　据外媒报道，通用汽车旗下的自动驾驶企业Cruise Automation获得了批准，该公司的自动驾驶汽车将可以在加州进行载客行驶。　　Cruise公司发布的一份声明表示，该公司获得了在加利福尼亚州的公共道路上，对其纯电动、自动驾驶汽车进行测试，而且测试期间车辆可以搭载乘</t>
  </si>
  <si>
    <t>一直以来，汽车的安全性能都是消费者在选车过程中最为关注的，其中碰撞安全及主/被动安全配置是消费者较为关心的两点。受疫情影响下，人们又将关注的焦点放在了车内空气质量安全，众多车企纷纷应时抛出的“N95汽车”、甚至“中药香氛”等噱头，一时引发了社会的争议和关注。很显然，在这些噱头中有一些违背了创新以实用</t>
  </si>
  <si>
    <t>2020/02/28 10:08:00</t>
  </si>
  <si>
    <t>　　一直以来，汽车的安全性能都是消费者在选车过程中最为关注的，其中碰撞安全及主/被动安全配置是消费者较为关心的两点。受疫情影响下，人们又将关注的焦点放在了车内空气质量安全，众多车企纷纷应时抛出的“N95汽车”、甚至“中药香氛”等噱头，一时引发了社会的争议和关注。很显然，在这些噱头中有一些违背了创新以</t>
  </si>
  <si>
    <t>忻文</t>
  </si>
  <si>
    <t>2月20日，东风风光品牌暨SUV新车型摩洛哥上市发布会，在摩洛哥独家代理商”汽车展厅集团”卡萨布兰卡总部成功举行，不仅向摩洛哥消费者展示出中国汽车企业领先实力，还借此发布会释放三大重磅消息：东风风光580在摩洛哥正式上市销售，东风风光ix5正式亮相摩洛哥，上市销售日程可期；东风风光未来还将依托经销商</t>
  </si>
  <si>
    <t>2020/02/28 10:06:00</t>
  </si>
  <si>
    <t>　　2月20日，东风风光品牌暨SUV新车型摩洛哥上市发布会，在摩洛哥独家代理商”汽车展厅集团”卡萨布兰卡总部成功举行，不仅向摩洛哥消费者展示出中国汽车企业领先实力，还借此发布会释放三大重磅消息：东风风光580在摩洛哥正式上市销售，东风风光ix5正式亮相摩洛哥，上市销售日程可期；东风风光未来还将依托经</t>
  </si>
  <si>
    <t>童郜</t>
  </si>
  <si>
    <t>图片来源：现代官网　　据外媒报道，2月26日，一位现代汽车高管表示，该公司及其下属企业准备在今年内决定氢燃料电池系统新工厂的选址。这座工厂有可能位于韩国，也有可能位于海外。　　2月26日，现代汽车集团燃料电池部门高管Jeon Soon-il在东京举行的一个会议上表示，这座工厂将从2024年左右开始投</t>
  </si>
  <si>
    <t>2020/02/28 10:05:00</t>
  </si>
  <si>
    <t>图片来源：现代官网    据外媒报道，2月26日，一位现代汽车高管表示，该公司及其下属企业准备在今年内决定氢燃料电池系统新工厂的选址。这座工厂有可能位于韩国，也有可能位于海外。    2月26日，现代汽车集团燃料电池部门高管Jeon Soon-il在东京举行的一个会议上表示，这座工厂将从2024年左</t>
  </si>
  <si>
    <t>　　据外媒报道，由于新型冠状病毒的爆发导致来自中国的零部件短缺，日本零部件供应商电装的一座西班牙工厂计划在必要时暂停部分汽车电子元件的生产。该工厂的多数股权由电装所有，信息技术公司富士通也持有部分股权。　　该工厂总经理 Blanca Hermana周三（2月26日）向路透社表示，将从3月16日起暂停</t>
  </si>
  <si>
    <t>占亚娥</t>
  </si>
  <si>
    <t>2020/02/28 10:04:00</t>
  </si>
  <si>
    <t>据外媒报道，由于新型冠状病毒的爆发导致来自中国的零部件短缺，日本零部件供应商电装的一座西班牙工厂计划在必要时暂停部分汽车电子元件的生产。该工厂的多数股权由电装所有，信息技术公司富士通也持有部分股权。    该工厂总经理 Blanca Hermana周三（2月26日）向路透社表示，将从3月16日起暂停</t>
  </si>
  <si>
    <t>　　轻量化材料将在未来出行领域中发挥越来越重要的作用，例如，能够进一步增长电动汽车的续航里程。据外媒报道，科思创（Covestro ）作为一家材料解决方案供应商，在全球汽车行业内都拥有丰富经验，而其经验也适用于日本市场。目前，科思创创新中心已经研发出很多可持续性解决方案，例如低密度聚氨酯泡沫组件。　</t>
  </si>
  <si>
    <t>2020/02/28 10:02:00</t>
  </si>
  <si>
    <t xml:space="preserve">轻量化材料将在未来出行领域中发挥越来越重要的作用，例如，能够进一步增长电动汽车的续航里程。据外媒报道，科思创（Covestro ）作为一家材料解决方案供应商，在全球汽车行业内都拥有丰富经验，而其经验也适用于日本市场。目前，科思创创新中心已经研发出很多可持续性解决方案，例如低密度聚氨酯泡沫组件。   </t>
  </si>
  <si>
    <t>　　据外媒报道，全球自动驾驶汽车软件公司Oxbotica正与思科公司（Cisco）合作，展示一个开放漫游平台可以如何释放完全联网自动驾驶汽车车队的潜力，使自动驾驶车队能够无缝、安全地共享大容量数据，同时能以低成本的方式行驶。图片来源：Oxbotica　　思科发起的提供商联合会OpenRoaming利</t>
  </si>
  <si>
    <t>2020/02/28 10:01:00</t>
  </si>
  <si>
    <t>据外媒报道，全球自动驾驶汽车软件公司Oxbotica正与思科公司（Cisco）合作，展示一个开放漫游平台可以如何释放完全联网自动驾驶汽车车队的潜力，使自动驾驶车队能够无缝、安全地共享大容量数据，同时能以低成本的方式行驶。图片来源：Oxbotica    思科发起的提供商联合会OpenRoaming利</t>
  </si>
  <si>
    <t>　　近年来，中国乘用车市场的竞争日益激烈，消费者对产品的认知能力也逐渐提高，因此整体市场日趋成熟，这也就对汽车厂商提出了更高的要求。另外，自2018下半年开始，中国乘用车市场出现持续下滑，2019全年更是出现超过8%的降幅，而在2020年伊始，一场突如其来的新冠肺炎疫情，又为本就严峻的车市蒙上一层厚</t>
  </si>
  <si>
    <t>侯明浩</t>
  </si>
  <si>
    <t>2020/02/28 09:58:00</t>
  </si>
  <si>
    <t>日前，有媒体从官方获悉，广汽丰田威兰达将在今日（2月28日）以线上发布形式上市并公布售价。新车将提供2.0l汽油、2.5l双擎混动两种动力规格，并根据配置不同分为领先版、豪华版、科技版以及尊贵版4种规格，其全系车型预售价格区间为17.00-25.00万元。    作为广汽丰田推出的全新suv车型，威</t>
  </si>
  <si>
    <t>2020/02/28 09:57:00</t>
  </si>
  <si>
    <t>　　日前，有媒体从官方获悉，广汽丰田威兰达将在今日（2月28日）以线上发布形式上市并公布售价。新车将提供2.0l汽油、2.5l双擎混动两种动力规格，并根据配置不同分为领先版、豪华版、科技版以及尊贵版4种规格，其全系车型预售价格区间为17.00-25.00万元。　　作为广汽丰田推出的全新suv车型，威</t>
  </si>
  <si>
    <t>王啸辰</t>
  </si>
  <si>
    <t>　　日前，有媒体了解到，特斯拉官方通过邮件形式通知首批用户，modely将在3月份进行交付。根据信息显示，最早有望在3月15日交付。　　特斯拉官方通过邮件通知用户3月交付，并让用户自行确认方便交付的日期，根据可选择的时间来看，最早将于3月15日进行交付。据悉，首批用户集中在美国西海岸与东海岸地区，同</t>
  </si>
  <si>
    <t>周岳</t>
  </si>
  <si>
    <t>2020/02/28 09:56:00</t>
  </si>
  <si>
    <t>日前，有媒体了解到，特斯拉官方通过邮件形式通知首批用户，modely将在3月份进行交付。根据信息显示，最早有望在3月15日交付。    特斯拉官方通过邮件通知用户3月交付，并让用户自行确认方便交付的日期，根据可选择的时间来看，最早将于3月15日进行交付。据悉，首批用户集中在美国西海岸与东海岸地区，同</t>
  </si>
  <si>
    <t>a4 avant是奥迪旗下的一款旅行车，新款预计将于2020年8月引入国内。近日，有媒体获得一组奥迪a4 avant国内谍照，作为进口车型，新车外观设计与海外版车型保持一致，与现款相比主要针对外观细节进行升级，配备了全新设计的前脸、头灯以及尾灯，视觉效果更为动感。    外观上，新车采用全新六边形格</t>
  </si>
  <si>
    <t>2020/02/28 09:53:00</t>
  </si>
  <si>
    <t>　　a4 avant是奥迪旗下的一款旅行车，新款预计将于2020年8月引入国内。近日，有媒体获得一组奥迪a4 avant国内谍照，作为进口车型，新车外观设计与海外版车型保持一致，与现款相比主要针对外观细节进行升级，配备了全新设计的前脸、头灯以及尾灯，视觉效果更为动感。　　外观上，新车采用全新六边形格</t>
  </si>
  <si>
    <t>投诉编号：【449150】  投诉时间： 2020-02-28 09:49  投诉品牌： 奇瑞汽车  投诉车系： 艾瑞泽5  投诉车型： 2016款 1.5L 手动 领潮版        投诉内容  在16年10月在江西南昌南昌县奇瑞4S店购买奇瑞牌艾瑞泽5轿车，18年下旬就发现车里有股很重的味道，</t>
  </si>
  <si>
    <t>2020/02/28 09:49:00</t>
  </si>
  <si>
    <t>投诉编号：【449149】  投诉时间： 2020-02-28 09:47  投诉品牌： 东风本田  投诉车系： 思域  投诉车型： 2016款 220TURBO 自动 尊贵版        投诉内容  东风本田思域召回后发动机机油依然增多，去4s店检查，按店里要求息火三分钟以内检查，机油仍然在上线</t>
  </si>
  <si>
    <t>2020/02/28 09:47:00</t>
  </si>
  <si>
    <t>威马ex6 plus 400轻享版已于1月20日正式上市，同时也是品牌旗下的首款直购车型。2月27日，有媒体从威马汽车官方获悉，位于浙江省温州市瓯江口的威马温州新能源汽车智能产业园（以下简称：威马温州智能制造基地），迎来复产后首批威马ex6 plus的下线。    据了解，威马ex6 plus 40</t>
  </si>
  <si>
    <t>2020/02/28 09:46:00</t>
  </si>
  <si>
    <t>　　威马ex6 plus 400轻享版已于1月20日正式上市，同时也是品牌旗下的首款直购车型。2月27日，有媒体从威马汽车官方获悉，位于浙江省温州市瓯江口的威马温州新能源汽车智能产业园（以下简称：威马温州智能制造基地），迎来复产后首批威马ex6 plus的下线。　　据了解，威马ex6 plus 40</t>
  </si>
  <si>
    <t>投诉编号：【449147】  投诉时间： 2020-02-28 09:43  投诉品牌： 吉利汽车  投诉车系： 远景  投诉车型： 2016款 1.5L 自动 幸福版        投诉内容  我16年5月16买的车，去年年底发现车子起步困难，一直放在家没开，这个月上班开车了，发现起步车子没反应，</t>
  </si>
  <si>
    <t>2020/02/28 09:43:00</t>
  </si>
  <si>
    <t>根据《工业和信息化部办公厅关于组织开展2020年大数据产业发展试点示范项目申报工作的通知》（工信厅信软函〔2019〕243号）要求，国家工信部组织开展了相关申报和评审工作，并于近日将2020年大数据产业发展试点示范项目名单进行了公示。    有媒体从公示中发现，奇瑞汽车股份有限公司的“企业大数据平台</t>
  </si>
  <si>
    <t>2020/02/28 09:42:00</t>
  </si>
  <si>
    <t>　　根据《工业和信息化部办公厅关于组织开展2020年大数据产业发展试点示范项目申报工作的通知》（工信厅信软函〔2019〕243号）要求，国家工信部组织开展了相关申报和评审工作，并于近日将2020年大数据产业发展试点示范项目名单进行了公示。　　有媒体从公示中发现，奇瑞汽车股份有限公司的“企业大数据平台</t>
  </si>
  <si>
    <t>孙琦</t>
  </si>
  <si>
    <t>2020年2月27日，有媒体从外媒获得到一组宝马i4原型车内饰的谍照，宝马i4的外观在此前已经有过多次的曝光，但内饰的露出却极少见，此次的谍照也是宝马i4首次揭开内饰神秘的面纱。    曝光的内饰谍照虽然不是很清晰，但我们依旧能看到一些关键元素。例如液晶仪表盘和中控屏相连在一起，以及中控操作台使用了</t>
  </si>
  <si>
    <t>2020/02/28 09:41:00</t>
  </si>
  <si>
    <t>　　2020年2月27日，有媒体从外媒获得到一组宝马i4原型车内饰的谍照，宝马i4的外观在此前已经有过多次的曝光，但内饰的露出却极少见，此次的谍照也是宝马i4首次揭开内饰神秘的面纱。　　曝光的内饰谍照虽然不是很清晰，但我们依旧能看到一些关键元素。例如液晶仪表盘和中控屏相连在一起，以及中控操作台使用了</t>
  </si>
  <si>
    <t>　　尚震罡加关注向Ta提问　　来源：网通社原创2020-02-28 07:00　　第1/4页：　　广汽传祺GA6　　返回分页阅读　　汽车市场内的竞争非常激烈，消费者的口味也日渐升高，同样也更加关注产品的口碑与品质，这也成为消费者购买车辆的一大标准，而近年自主品牌的中型轿车的品质越来好好，无论从外观、</t>
  </si>
  <si>
    <t>尚震罡</t>
  </si>
  <si>
    <t>2020/02/28 09:36:00</t>
  </si>
  <si>
    <t>经历过疫情和复工潮，相信很多还没有买车的朋友都会有个相同的冲动，是时候给自己和家人买辆车代步了。不为其他，买菜靠走路、上下班通勤打车、坐公共交通却又心惊胆战的滋味着实不好受。何不对自己好一些呢？疫情不仅影响了个人，也影响了车企，短期的销量下滑已是必然，4S店里的库存如何快速清掉？据小编了解，无论是合</t>
  </si>
  <si>
    <t>2020/02/28 09:34:00</t>
  </si>
  <si>
    <t>2020“抄底”买车时机来了经历过疫情和复工潮，相信很多还没有买车的朋友都会有个相同的冲动，是时候给自己和家人买辆车代步了。不为其他，买菜靠走路、上下班通勤打车、坐公共交通却又心惊胆战的滋味着实不好受。何不对自己好一些呢？疫情不仅影响了个人，也影响了车企，短期的销量下滑已是必然，4S店里的库存如何快</t>
  </si>
  <si>
    <t>　　2月26日，一汽-大众捷达品牌正式公布旗下全新中型SUV产品VS7的尝鲜售价，10.68万元-13.68万元的价格相当具有竞争力，同时也为其成为市场中的爆款又增加了一个重要因素。那么接下来，我们就通过最硬核直白的数字，告诉大家VS7为何有着强性价比。　　完全继承大众品质　　VS7的命名继承了一汽</t>
  </si>
  <si>
    <t>陆宏伟</t>
  </si>
  <si>
    <t>2020/02/28 09:33:00</t>
  </si>
  <si>
    <t>　　近日，iihs（北美公路安全保险协会）公布了2020年首批共计64款top safety pick（最佳安全评级，以下简称tsp）获奖车型名单。作为业内最为严苛的评级方法，曾经有许多车型在它面前无处遁形，当然也有少数车型可以连续几年“轻松过关”，比如丰田凯美瑞。作为iihs tsp榜单的常客，它</t>
  </si>
  <si>
    <t>从1月中旬到现在，新冠肺炎疫情爆发已有1月有余，想必大家的工作生活都受到了极大的影响。对于车市而言，疫情的影响同样不可估量：经销商纷纷推迟营业，即便营业后到店看车的顾客也寥寥无几，车市2月销量或将更加惨淡。疫情期间冷清的4S店为了更好地了解疫情对于消费者购车计划以及购车行为的影响，有车以后于近日通过</t>
  </si>
  <si>
    <t>买车的准备了 未来2个月买车会有大优惠从1月中旬到现在，新冠肺炎疫情爆发已有1月有余，想必大家的工作生活都受到了极大的影响。对于车市而言，疫情的影响同样不可估量：经销商纷纷推迟营业，即便营业后到店看车的顾客也寥寥无几，车市2月销量或将更加惨淡。疫情期间冷清的4S店为了更好地了解疫情对于消费者购车计划</t>
  </si>
  <si>
    <t>英国人评选出2019年度十佳家庭SUV英国人评选的2019年度十佳家庭SUV都是哪些车型，和咱们的喜好是否是一样的呢？日前，一家来自英国的汽车媒体AUTOCAR，在其官网上，做出了这番盘点。奥迪Q5第一款车是奥迪Q5，AUTOCAR的编辑认为奥迪Q5是一款挑不出大毛病的车型，尽管其操控温和了一些，但</t>
  </si>
  <si>
    <t>2020/02/28 09:32:00</t>
  </si>
  <si>
    <t>美国公路交通安全局喊停EasyMile自动驾驶公交车据报道，因一名俄亥俄州的乘客在不明原因的制动事故中受伤，美国公路交通安全局(NHTSA)日前宣布暂停由法国EasyMile运营的16辆自动驾驶公交车。EasyMile目前在美国的10个州运营自动驾驶公交车。上周，其中一辆车以每小时7英里（近12公里</t>
  </si>
  <si>
    <t>活塞789</t>
  </si>
  <si>
    <t>2020/02/28 09:31:00</t>
  </si>
  <si>
    <t>魂动设计的马自达年轻人都喜欢现在的汽车领域，德系和日系品牌汽车占据着主要的销量，无论是德系还是日系品牌，都拥有自己的粉丝，德系在国内比较畅销的品牌是BBAD，日系品牌在国内比较畅销的有“三剑客”，丰田、本田和日产，马自达和斯巴鲁属于极具个性的品牌，在销量上要稍微差一些。德系的BBAD，奔驰、宝马、奥</t>
  </si>
  <si>
    <t>　　如果说到“小钢炮”一词，大家肯定会想到比如奔驰a45、本田type-r、奥迪rs3、福克斯rs等等，但是再加上几个词“历史传承”、“经典”、“信仰”的话，相信只有一款车能够吻合，那就是大众高尔夫gti。　　对于很多高尔夫粉丝来说，看到“gti”这三个字母，就足以让他们热血沸腾。你要是问我，为什么</t>
  </si>
  <si>
    <t>杨志辉</t>
  </si>
  <si>
    <t>2020/02/28 09:30:00</t>
  </si>
  <si>
    <t>疫情之后立即买车？小心被套路疫情之下，许多行业遭受重创，餐饮，旅游业尤为严重，作为制造业的劳动密集型产业遭受的影响才刚刚显现。对于车企来说，短期的资金回流压力尚在，不过由政府出台的贷款政策或许能解燃眉之急；但是对于中长期来说，这无疑是一场生死的考验。2019年车市已然下行，2020在预测中并不会太好</t>
  </si>
  <si>
    <t>2020年1月皮卡市场分析皮卡成为乘商结合的消费的新热点，近期表现较强。2020年1月中国皮卡市场同比下降20%，环比12月下降35%，下降幅度与乘用车基本一致。19年下半年皮卡主力车企强势提升，率先走出国六的产品突破，形成2020年1月的分化走势，长城的皮卡表现很好。一、皮卡市场总体分析1、全国皮</t>
  </si>
  <si>
    <t>疫情之下，许多行业遭受重创，餐饮，旅游业尤为严重，作为制造业的劳动密集型产业遭受的影响才刚刚显现。对于车企来说，短期的资金回流压力尚在，不过由政府出台的贷款政策或许能解燃眉之急；但是对于中长期来说，这无疑是一场生死的考验。2019年车市已然下行，2020在预测中并不会太好，如今又遇上了疫情，只能说是</t>
  </si>
  <si>
    <t>皮卡成为乘商结合的消费的新热点，近期表现较强。2020年1月中国皮卡市场同比下降20%，环比12月下降35%，下降幅度与乘用车基本一致。19年下半年皮卡主力车企强势提升，率先走出国六的产品突破，形成2020年1月的分化走势，长城的皮卡表现很好。一、皮卡市场总体分析1、全国皮卡市场1月走势对比2019</t>
  </si>
  <si>
    <t>如果说到“小钢炮”一词，大家肯定会想到比如奔驰a45、本田type-r、奥迪rs3、福克斯rs等等，但是再加上几个词“历史传承”、“经典”、“信仰”的话，相信只有一款车能够吻合，那就是大众高尔夫gti。    对于很多高尔夫粉丝来说，看到“gti”这三个字母，就足以让他们热血沸腾。你要是问我，为什么</t>
  </si>
  <si>
    <t>近日，据国外媒体报道，PSA集团表示，公司2019年利润率创下历史新高。尽管PSA在寻求与FCA合并之际一直强调今年欧洲等市场前景黯淡。PSA集团2019年盈利率达8.5%，主要是因为公司降低了成本，同时推出了包括雪铁龙C5 Aircross在内的SUV车型。PSA在一份声明中表示，尽管去年PSA全</t>
  </si>
  <si>
    <t>2020/02/28 09:29:00</t>
  </si>
  <si>
    <t>路虎的“廉价” 足以比肩丰田了一周前，奇瑞捷豹路虎发布全新车型，在路虎发现神行基础上推出了全新的发现运动版车型，相比于发现神行，发现运动版采用全新内饰设计语言以及动力系统，加快推动奇瑞捷豹路虎转型速度。准确的来说，发现运动版是奇瑞捷豹路虎尾随极光改款之后，升级发现神行而来的全新车型。所以消费者关心的</t>
  </si>
  <si>
    <t>PSA集团2019年盈利率达8.5% 创历史新高近日，据国外媒体报道，PSA集团表示，公司2019年利润率创下历史新高。尽管PSA在寻求与FCA合并之际一直强调今年欧洲等市场前景黯淡。PSA集团2019年盈利率达8.5%，主要是因为公司降低了成本，同时推出了包括雪铁龙C5 Aircross在内的SU</t>
  </si>
  <si>
    <t>一周前，奇瑞捷豹路虎发布全新车型，在路虎发现神行基础上推出了全新的发现运动版车型，相比于发现神行，发现运动版采用全新内饰设计语言以及动力系统，加快推动奇瑞捷豹路虎转型速度。准确的来说，发现运动版是奇瑞捷豹路虎尾随极光改款之后，升级发现神行而来的全新车型。所以消费者关心的尺寸、售价、级别并没有大的调整</t>
  </si>
  <si>
    <t>　　中国汽车产销量已连续11年蝉联全球第一，但消费者对汽车相关产品的满意度如何？中消协发布的《2019年全国消协组织受理投诉情况分析》显示，汽车及零部件高居商品类投诉榜第一名，总量达到34335件，占比消费者总投诉的42%，同比2018年增长25.1%。　　据中消协介绍，汽车类投诉涉及汽车销售各个环</t>
  </si>
  <si>
    <t>2020/02/28 09:28:00</t>
  </si>
  <si>
    <t>中国汽车产销量已连续11年蝉联全球第一，但消费者对汽车相关产品的满意度如何？中消协发布的《2019年全国消协组织受理投诉情况分析》显示，汽车及零部件高居商品类投诉榜第一名，总量达到34335件，占比消费者总投诉的42%，同比2018年增长25.1%。    据中消协介绍，汽车类投诉涉及汽车销售各个环</t>
  </si>
  <si>
    <t>前段时间，帕萨特以为在中保研的碰撞测试中得到了令人非常意外的成绩，而这也导致帕萨特在1月份的销量有明显的下降。但是，帕萨特则是表示需要再在其他的机构再测试一次，也有不少的网友表示，帕萨特没有那么差，应该是中保研的故意针对帕萨特的，有猫腻。正当大家还在期待帕萨特下一次的碰撞测试的时候，在前几日，全球最</t>
  </si>
  <si>
    <t>近日，工信部发布《指导意见》，鼓励汽车限购地区适当增加汽车号牌配额，这对于当前受销量下滑以及疫情叠加影响的汽车行业而言，无疑有着一定程度的提振作用。去年以来，放宽汽车限购屡被提及，中汽协、流通协会等行业机构也一直奔走呼吁，但目前来看，大部分的限购城市仍是“无动于衷”。在许海东看来，城市实施限购的主要</t>
  </si>
  <si>
    <t>政府鼓励放宽限购 汽车业急盼政策落地近日，工信部发布《指导意见》，鼓励汽车限购地区适当增加汽车号牌配额，这对于当前受销量下滑以及疫情叠加影响的汽车行业而言，无疑有着一定程度的提振作用。去年以来，放宽汽车限购屡被提及，中汽协、流通协会等行业机构也一直奔走呼吁，但目前来看，大部分的限购城市仍是“无动于衷</t>
  </si>
  <si>
    <t>IIHS碰撞测试出炉 大众团灭前段时间，帕萨特以为在中保研的碰撞测试中得到了令人非常意外的成绩，而这也导致帕萨特在1月份的销量有明显的下降。但是，帕萨特则是表示需要再在其他的机构再测试一次，也有不少的网友表示，帕萨特没有那么差，应该是中保研的故意针对帕萨特的，有猫腻。正当大家还在期待帕萨特下一次的碰</t>
  </si>
  <si>
    <t>“中国市场再大，也容不下上百家整车厂。"这句前些年“车市黄金时期”的“玩笑话”，正在变得应验。从2018年以来，中国汽车销量已经连续两年下滑，越来越多的汽车制造商产能严重过剩，开始亏损经营。而今年由于疫情的影响，“供大于求”的现象会越来越明显——当年不惜重金打造的厂区设备和流水线，将会越来“闲”。近</t>
  </si>
  <si>
    <t>2020/02/28 09:27:00</t>
  </si>
  <si>
    <t>停车场满了 流水线停了“中国市场再大，也容不下上百家整车厂。"这句前些年“车市黄金时期”的“玩笑话”，正在变得应验。从2018年以来，中国汽车销量已经连续两年下滑，越来越多的汽车制造商产能严重过剩，开始亏损经营。而今年由于疫情的影响，“供大于求”的现象会越来越明显——当年不惜重金打造的厂区设备和流水</t>
  </si>
  <si>
    <t>　　吉利汽车在2019年的表现可圈可点，全年累计销量1361560辆，同比下降9.3%，但还是顺利完成了2019年设定的136万辆年度销量目标。来到2020年，吉利将向141万辆年销量发起挑战。为保障目标的达成，吉利汽车三大品牌（吉利、领克、几何）自然是要在年内投放更多新产品。那么今天我们就来告诉大</t>
  </si>
  <si>
    <t>曾经听一个一汽丰田的销售说过，“我们的卡罗拉可是比雷凌要先进1.5代的”，当时就没忍住致以一个敬佩的眼神——真敢吹啊！其实雷凌和卡罗拉就是同一台车，只是广汽丰田和一汽丰田不能生产同一款车，所以要在名称和设计细节上做出区隔而已，两台车的技术是一模一样的。新卡罗拉/雷凌都是丰田TNGA架构的新车那么这两</t>
  </si>
  <si>
    <t>吉利汽车在2019年的表现可圈可点，全年累计销量1361560辆，同比下降9.3%，但还是顺利完成了2019年设定的136万辆年度销量目标。来到2020年，吉利将向141万辆年销量发起挑战。为保障目标的达成，吉利汽车三大品牌（吉利、领克、几何）自然是要在年内投放更多新产品。那么今天我们就来告诉大家，</t>
  </si>
  <si>
    <t>投诉编号：【449146】  投诉时间： 2020-02-28 09:27  投诉品牌： 一汽-大众  投诉车系： 高尔夫  投诉车型： 2011款 1.6 自动 舒适型        投诉内容  车辆购于2011年5月，至今8年多，变速箱离合器已出现5次以上故障，严重影响安全。2013年315曝光</t>
  </si>
  <si>
    <t>雷凌or卡罗拉？曾经听一个一汽丰田的销售说过，“我们的卡罗拉可是比雷凌要先进1.5代的”，当时就没忍住致以一个敬佩的眼神——真敢吹啊！其实雷凌和卡罗拉就是同一台车，只是广汽丰田和一汽丰田不能生产同一款车，所以要在名称和设计细节上做出区隔而已，两台车的技术是一模一样的。新卡罗拉/雷凌都是丰田TNGA架</t>
  </si>
  <si>
    <t>1月销量暴涨257.5%的探岳全系降4万 买哪款划算？受疫情的不可控因素影响，2020年汽车行业迎来了不太好的开局，在疫情影响相对较小的1月份乘用车就已经出现了20.4%的跌幅。不过在此背景下仍有部分车企表现相对出色，大幅跑赢市场基本盘。据乘联会数据显示，稳居车企销量榜首位的一汽-大众1月份销售新车</t>
  </si>
  <si>
    <t>大树直</t>
  </si>
  <si>
    <t>2020/02/28 09:26:00</t>
  </si>
  <si>
    <t>受疫情的不可控因素影响，2020年汽车行业迎来了不太好的开局，在疫情影响相对较小的1月份乘用车就已经出现了20.4%的跌幅。不过在此背景下仍有部分车企表现相对出色，大幅跑赢市场基本盘。据乘联会数据显示，稳居车企销量榜首位的一汽-大众1月份销售新车18.74万辆，虽然同比下跌2.1%，但降幅远低于同期</t>
  </si>
  <si>
    <t>现在谈起三菱，除了"山猫"帕杰罗外，恐怕出镜率最高的就是养活了半个自主品牌的代号为4G63s4t系列发动机了。这个曾经造出过经典性能车EVO，而且有军工背景的日系品牌最近好像有些"不思进取"，慢慢退出了主流一线。不过，瘦死的骆驼比马大，拥有多年发动机技术以及造车经验的三菱尚有余勇，虽然没有了爆款车型</t>
  </si>
  <si>
    <t>2020/02/28 09:25:00</t>
  </si>
  <si>
    <t>懂车的人都买它 三菱欧蓝德换新 汉兰达都要小心了现在谈起三菱，除了"山猫"帕杰罗外，恐怕出镜率最高的就是养活了半个自主品牌的代号为4G63s4t系列发动机了。这个曾经造出过经典性能车EVO，而且有军工背景的日系品牌最近好像有些"不思进取"，慢慢退出了主流一线。不过，瘦死的骆驼比马大，拥有多年发动机技</t>
  </si>
  <si>
    <t>日前，大众发布了旗下全新入门级轿车——Polo三厢版，据悉，此版本为大众针对俄罗斯等东欧国家市场研发的特供车型。据悉，新车基于第五代Polo的PQ25平台打造，与海外版斯柯达新款昕锐互为姊妹车型，故Polo三厢版在内饰及尾箱打开方式上都与海外版昕锐一致。外观方面，Polo三厢掀背车型的前脸采用了与大</t>
  </si>
  <si>
    <t>2020/02/28 09:24:00</t>
  </si>
  <si>
    <t>近日，大众官方与全新GTI一同推出了两个融合了GTI的兄弟姐妹的官图，即插电式混合动力GTE和柴油动力GTD。（2021款大众高尔夫GTD）（2021款大众高尔夫GTE）外观方面，两种型号均具有GTI外观，格栅中具有更新的前面板和LED灯带。GTD的挡泥板徽章与GTI相似，并且在后部有一个特殊的后饰</t>
  </si>
  <si>
    <t>三款汽油动力可选 大众发布Polo三厢版 今年夏天上市日前，大众发布了旗下全新入门级轿车——Polo三厢版，据悉，此版本为大众针对俄罗斯等东欧国家市场研发的特供车型。据悉，新车基于第五代Polo的PQ25平台打造，与海外版斯柯达新款昕锐互为姊妹车型，故Polo三厢版在内饰及尾箱打开方式上都与海外版昕</t>
  </si>
  <si>
    <t>投诉编号：【449145】  投诉时间： 2020-02-28 09:24  投诉品牌： 长城汽车  投诉车系： 炮  投诉车型： 2019款 2.0T 商用版 手动 四驱 精英型 长箱 GW4D20M 柴油        投诉内容  我在2020年1月16日在张掖市哈弗4s店购买长城炮商用版四驱皮</t>
  </si>
  <si>
    <t>2021款大众高尔夫GTE/GTD官图发布近日，大众官方与全新GTI一同推出了两个融合了GTI的兄弟姐妹的官图，即插电式混合动力GTE和柴油动力GTD。（2021款大众高尔夫GTD）（2021款大众高尔夫GTE）外观方面，两种型号均具有GTI外观，格栅中具有更新的前面板和LED灯带。GTD的挡泥板徽</t>
  </si>
  <si>
    <t>1月合资轿车销量排行榜完整版，大众朗逸不慎栽跟头，一直以来在轿车领域就是轩逸和朗逸在争夺第一的位置，上一年度朗逸获得了最终的胜利，在2020年1月份轩逸终于扬眉吐气，超过朗逸夺得了第一名整个合资轿车榜单里共计23款车型销量破万辆，其中6款车型销量破2万辆，3款车型销量破3万辆值得一提的是丰田卡罗拉的</t>
  </si>
  <si>
    <t>2020/02/28 09:23:00</t>
  </si>
  <si>
    <t>01 新一代路虎揽胜谍照全新MLA（模块化纵向架构）平台4.4L V8发动机或将通过与宝马合作实现02 Percept 概念车将于3月3日开幕的日内瓦车展亮相Polestar极星-Precept概念车GT轿车，轴距3100mm03 DS 92020年下半年全球同步上市中级豪华车，轴距2895mm基于</t>
  </si>
  <si>
    <t>投诉编号：【449144】  投诉时间： 2020-02-28 09:23  投诉品牌： 吉利汽车  投诉车系： 远景X6  投诉车型： 2020款 1.4T CVT 尊贵型        投诉内容  2020年2月24号早晨点火时发现制动液位低。检查刹车油液位过低，随后挪了一下车，发现地上有油痕迹</t>
  </si>
  <si>
    <t>国产宝马iX3 要出口全球？01 新一代路虎揽胜谍照全新MLA（模块化纵向架构）平台4.4L V8发动机或将通过与宝马合作实现02 Percept 概念车将于3月3日开幕的日内瓦车展亮相Polestar极星-Precept概念车GT轿车，轴距3100mm03 DS 92020年下半年全球同步上市中级</t>
  </si>
  <si>
    <t>1月合资轿车销量排行榜，丰田卡罗拉销量逼近大众朗逸1月合资轿车销量排行榜完整版，大众朗逸不慎栽跟头，一直以来在轿车领域就是轩逸和朗逸在争夺第一的位置，上一年度朗逸获得了最终的胜利，在2020年1月份轩逸终于扬眉吐气，超过朗逸夺得了第一名整个合资轿车榜单里共计23款车型销量破万辆，其中6款车型销量破2</t>
  </si>
  <si>
    <t>精致小巧城市代步神车 3.98万起宝骏制造省钱话说我们的五菱汽车真的是神一般的存在啊，先就其销量不说，就拿最近疫情的热度，五菱可以说是最大的赢家，捐钱捐物比较常见，五菱竟然不务正业起来了，开始制作其口罩，且已投放前线，还有五菱的救护车，五菱制造的口罩机……真的是前线缺什么，五菱就制造什么，不愧是我们</t>
  </si>
  <si>
    <t>2020/02/28 09:22:00</t>
  </si>
  <si>
    <t>话说我们的五菱汽车真的是神一般的存在啊，先就其销量不说，就拿最近疫情的热度，五菱可以说是最大的赢家，捐钱捐物比较常见，五菱竟然不务正业起来了，开始制作其口罩，且已投放前线，还有五菱的救护车，五菱制造的口罩机……真的是前线缺什么，五菱就制造什么，不愧是我们大爱的五菱。还不止那些。五菱作为一个比较“粗糙</t>
  </si>
  <si>
    <t>不得不说，近些年来韩系车离我们越来越远，作为最早入华的一批颜值车型，它在曾经可是叱咤风云家喻户晓的车型。比如刚入市的起亚K5，它华丽出众的外观设计，就吸引了一批忠实用户。不过在某件事之后，韩系车销量也一落千丈，在汽车市场中沉淀了多年。全新一代起亚K5不过韩系车并没有放弃，它对汽车行业一直兢兢业业，不</t>
  </si>
  <si>
    <t>2020/02/28 09:21:00</t>
  </si>
  <si>
    <t>作为，此前特斯拉动力电池的独家供应商，松下与特斯拉的合作关系已经出现了变数。根据松下在其官网发布的消息，其将在今年5月结束与特斯拉“超级工厂2”（Gigafactory 2）太阳能电池联合生产的合作关系，并计划在9月底前彻底退出。尽管二者将在太阳能电池业务上彻底“分手”，但松下在官方发布的消息中也表</t>
  </si>
  <si>
    <t>　　2月27日，宁德时代发布2019年年度业绩财报。根据财报显示，宁德时代2019年营业总收入455.46亿元，同比增长53.81%；净利润43.56亿元，同比增长28.61%。宁德时代2019年度主要财务数据和指标　　宁德时代把2019年业绩增长的原因归结为以下三个原因：首先，随着新能源汽车行业快</t>
  </si>
  <si>
    <t>翁萌</t>
  </si>
  <si>
    <t>退出太阳能电池业务，松下与特斯拉关系再次降温作为，此前特斯拉动力电池的独家供应商，松下与特斯拉的合作关系已经出现了变数。根据松下在其官网发布的消息，其将在今年5月结束与特斯拉“超级工厂2”（Gigafactory 2）太阳能电池联合生产的合作关系，并计划在9月底前彻底退出。尽管二者将在太阳能电池业务</t>
  </si>
  <si>
    <t>想买车的别急 全新一代起亚要K5来了 有望今年9月上市！不得不说，近些年来韩系车离我们越来越远，作为最早入华的一批颜值车型，它在曾经可是叱咤风云家喻户晓的车型。比如刚入市的起亚K5，它华丽出众的外观设计，就吸引了一批忠实用户。不过在某件事之后，韩系车销量也一落千丈，在汽车市场中沉淀了多年。全新一代起</t>
  </si>
  <si>
    <t>2月27日，宁德时代发布2019年年度业绩财报。根据财报显示，宁德时代2019年营业总收入455.46亿元，同比增长53.81%；净利润43.56亿元，同比增长28.61%。宁德时代2019年度主要财务数据和指标    宁德时代把2019年业绩增长的原因归结为以下三个原因：首先，随着新能源汽车行业快</t>
  </si>
  <si>
    <t>在北京摇号，就是一场漫长的煎熬。2月26日上午10点，北京市2020年第1期小客车指标申请配置结果正式公布。多么希望你可以留言告诉我，你中签了！可是…太难啦～截至到2020年2月8日24时，北京市普通小客车指标申请个人共有3,350,538个有效编码，单位共有27,877家；新能源小客车指标申请个人</t>
  </si>
  <si>
    <t>2020/02/28 09:20:00</t>
  </si>
  <si>
    <t>北京5.72万个新能源指标全部放出，摇号难度再次被刷新！在北京摇号，就是一场漫长的煎熬。2月26日上午10点，北京市2020年第1期小客车指标申请配置结果正式公布。多么希望你可以留言告诉我，你中签了！可是…太难啦～截至到2020年2月8日24时，北京市普通小客车指标申请个人共有3,350,538个有</t>
  </si>
  <si>
    <t>　　就在上个月，我们同事对理想one进行了一次详尽的测试，很遗憾当时没能体验到这台一直备受关注的车型。不过，今天如愿以偿的再次遇见了ta，那么这台被我们时睦华时哥称为“奶爸车”的中大型suv，在使用过程中是怎样的表现呢？四屏交互是否好用？今天，我们就带您一探究竟。　　 新车概述　　新车提取　　快速上</t>
  </si>
  <si>
    <t>　　迈腾绝对是合资品牌中型车市场里最重要的车型之一，很多人把它当做标杆。而对于普通消费者，尤其年长一些的消费者而言，迈腾更是购车时的不二之选。2020款迈腾全系共8款车型，分别搭载1.4t和2.0t高/低功率三款发动机，售价区间在18.69-30.99万元之间，今天就让我们一起看看最低配迈腾表现如何</t>
  </si>
  <si>
    <t>曹益</t>
  </si>
  <si>
    <t>2020/02/28 09:18:00</t>
  </si>
  <si>
    <t>　　疫情的蔓延有可能影响全球汽车市场的表现。据外媒报道，投资者服务公司穆迪日前预测称，2020年汽车市场销量将因新型冠状病毒疫情进一步下滑，全球汽车销量下滑2.5%，中国销量预计下滑2.9%。　　穆迪表示，下调预期除疫情影响外，还在于美国今年汽车市场销售将继续疲弱，西欧地区由于2019年底的需求强于</t>
  </si>
  <si>
    <t>2020/02/28 09:16:00</t>
  </si>
  <si>
    <t>疫情的蔓延有可能影响全球汽车市场的表现。据外媒报道，投资者服务公司穆迪日前预测称，2020年汽车市场销量将因新型冠状病毒疫情进一步下滑，全球汽车销量下滑2.5%，中国销量预计下滑2.9%。    穆迪表示，下调预期除疫情影响外，还在于美国今年汽车市场销售将继续疲弱，西欧地区由于2019年底的需求强于</t>
  </si>
  <si>
    <t>　　据财联社消息，一汽丰田正在天津筹建一座年产能20万辆的新能源汽车工厂，新工厂将涵盖包括电池等在内的完整生产工艺，预计总投资近85亿元。按照天津市的规划，这一项目将在2020年年底前取得明显进展。　　对此，一汽丰田相关人士透露，“新建工厂未来投产的新车型是丰田tnga架构之外的全新新能源车型”。另</t>
  </si>
  <si>
    <t>2020/02/28 09:15:00</t>
  </si>
  <si>
    <t>据财联社消息，一汽丰田正在天津筹建一座年产能20万辆的新能源汽车工厂，新工厂将涵盖包括电池等在内的完整生产工艺，预计总投资近85亿元。按照天津市的规划，这一项目将在2020年年底前取得明显进展。    对此，一汽丰田相关人士透露，“新建工厂未来投产的新车型是丰田tnga架构之外的全新新能源车型”。另</t>
  </si>
  <si>
    <t>　　美国加州是全球自动驾驶汽车测试的热门之地，从2015年起加州机动车管理局（dmv）就要求在该地展开自动驾驶测试的企业上交一份上一年的自动驾驶“脱离”数据报告。所谓的“脱离”，是指自动驾驶汽车因技术故障或安全运行需要脱开自动驾驶模式，转而由人工介入。“脱离”数据报告在某种程度上被用作衡量自动驾驶技</t>
  </si>
  <si>
    <t>鲍彬斌</t>
  </si>
  <si>
    <t>2020/02/28 09:14:00</t>
  </si>
  <si>
    <t>美国加州是全球自动驾驶汽车测试的热门之地，从2015年起加州机动车管理局（dmv）就要求在该地展开自动驾驶测试的企业上交一份上一年的自动驾驶“脱离”数据报告。所谓的“脱离”，是指自动驾驶汽车因技术故障或安全运行需要脱开自动驾驶模式，转而由人工介入。“脱离”数据报告在某种程度上被用作衡量自动驾驶技术的</t>
  </si>
  <si>
    <t>奔驰 E级W207改装WALD大包围</t>
  </si>
  <si>
    <t>　　2月是受疫情影响最大的月份，乘联会监控数据显示，2月1日-2月23日期间，乘用车销量共计7.4万辆，同比下滑89%。　　具体来看，2月第一周（1-9日）日均零售811辆，同比增速下降96%；第二周（10-16日）稍有恢复，日均零售4098辆，同比增速下降89%；第三周（17-23日）零售达到日均</t>
  </si>
  <si>
    <t>2020/02/28 09:12:00</t>
  </si>
  <si>
    <t>投诉编号：【449141】  投诉时间： 2020-02-28 09:12  投诉品牌： 北京越野  投诉车系： 北京BJ20  投诉车型： 2018款 1.5T 手动 豪华型        投诉内容  车型是BJ202018款，2020年2月27日下雨，车辆停放在室外，雨也不是很大，下午5点左右，</t>
  </si>
  <si>
    <t>投诉编号：【449140】  投诉时间： 2020-02-28 09:12  投诉品牌： 奇瑞汽车  投诉车系： 捷途X70  投诉车型： 2018款 1.5T 手动 智行版        投诉内容  捷途X70发动机渗油希望尽快得到处理，影响正常使用。      投诉回复  车质网已将您的投诉转给</t>
  </si>
  <si>
    <t>　　日前，我们从中国汽车工业协会获取到了2020年1月全国汽车及乘用车的产销量数据。同时，根据机动车交通强制险上险量数据，我们也统计出了2020年1月国内市场suv/轿车/mpv三大类车型中的销量前十名(大家注意！！！这里是上险量，并非乘联会、中汽协销量)。那么在2020年1月，销量名列前茅的车型都</t>
  </si>
  <si>
    <t>刁昊</t>
  </si>
  <si>
    <t>2月是受疫情影响最大的月份，乘联会监控数据显示，2月1日-2月23日期间，乘用车销量共计7.4万辆，同比下滑89%。    具体来看，2月第一周（1-9日）日均零售811辆，同比增速下降96%；第二周（10-16日）稍有恢复，日均零售4098辆，同比增速下降89%；第三周（17-23日）零售达到日均</t>
  </si>
  <si>
    <t>日前，我们从中国汽车工业协会获取到了2020年1月全国汽车及乘用车的产销量数据。同时，根据机动车交通强制险上险量数据，我们也统计出了2020年1月国内市场suv/轿车/mpv三大类车型中的销量前十名(大家注意！！！这里是上险量，并非乘联会、中汽协销量)。那么在2020年1月，销量名列前茅的车型都是谁</t>
  </si>
  <si>
    <t>据路透社报道，福特汽车新任首席营运官吉姆·法利（jim farley）周三表示，福特将削减50亿美元的保修成本，并将在未来两年内推出10款关键的全球车型，以此达到扭亏为盈的目标。与此同时，福特将在一定程度上削减材料和物流方面成本并提高新车发布效率。    今年2月，福特汽车公司宣布任命吉姆·法利担任</t>
  </si>
  <si>
    <t>2020/02/28 09:09:00</t>
  </si>
  <si>
    <t>日前，有媒体从华晨宝马官方获悉，其第三百万辆整车在沈阳新大东工厂正式下线。作为在华业绩又一里程碑，华晨宝马实现从200万辆到第三百万辆的跨越仅用了两年的时间。    作为这一里程碑的见证者，本次下线的第300万辆车是一辆宝马5系插电式混合动力里程升级版。宝马官方表示，以这样一款新能源车型见证这一历史</t>
  </si>
  <si>
    <t>2020/02/28 09:08:00</t>
  </si>
  <si>
    <t>　　日前，雷诺发布了新款塔利斯曼车型的官图。作为中期改款车型，新款塔利斯曼对外观的调整不大，配置上也有所提升。在动力上，这款车提供1.3t和1.8t两款涡轮增压汽油发动机以及两款柴油发动机。　　外观方面，新款塔利斯曼主要针对细节进行了调整。进气格栅的横幅中间加入了镂空装饰，层次感更强也更具质感。保险</t>
  </si>
  <si>
    <t>吴楠启</t>
  </si>
  <si>
    <t>2020/02/28 09:06:00</t>
  </si>
  <si>
    <t>日前，雷诺发布了新款塔利斯曼车型的官图。作为中期改款车型，新款塔利斯曼对外观的调整不大，配置上也有所提升。在动力上，这款车提供1.3t和1.8t两款涡轮增压汽油发动机以及两款柴油发动机。    外观方面，新款塔利斯曼主要针对细节进行了调整。进气格栅的横幅中间加入了镂空装饰，层次感更强也更具质感。保险</t>
  </si>
  <si>
    <t>　　日前，我们从海外媒体处获悉了一组全新一代福特f150皮卡混动版车型的路试谍照以及全新一代f150的动力消息，混动版车型在外观方面与燃油版车型保持一致。　　与混动版车型一同曝光的还有燃油版本车型的动力消息，据了解，新一代福特f150皮卡将搭载全新的4.8l v8汽油发动机和3.0l v6柴油发动机</t>
  </si>
  <si>
    <t>2020/02/28 09:05:00</t>
  </si>
  <si>
    <t>日前，我们从海外媒体处获悉了一组全新一代福特f150皮卡混动版车型的路试谍照以及全新一代f150的动力消息，混动版车型在外观方面与燃油版车型保持一致。    与混动版车型一同曝光的还有燃油版本车型的动力消息，据了解，新一代福特f150皮卡将搭载全新的4.8l v8汽油发动机和3.0l v6柴油发动机</t>
  </si>
  <si>
    <t>　　现代45概念车在2019年第二届中国国际进口博览会上正式国内亮相。日前，我们从相关渠道获悉了一组现代45概念车量产版本的最新谍照，新车基于现代的e-gmp电动全球模块化平台打造而来，外观方面采用了现代最新的设计语言，造型时尚前卫，因其c柱采用了45°设计，因此被命名为45。现代45概念车　　现代</t>
  </si>
  <si>
    <t>2020/02/28 09:04:00</t>
  </si>
  <si>
    <t>现代45概念车在2019年第二届中国国际进口博览会上正式国内亮相。日前，我们从相关渠道获悉了一组现代45概念车量产版本的最新谍照，新车基于现代的e-gmp电动全球模块化平台打造而来，外观方面采用了现代最新的设计语言，造型时尚前卫，因其c柱采用了45°设计，因此被命名为45。现代45概念车    现代</t>
  </si>
  <si>
    <t>投诉编号：【449138】  投诉时间： 2020-02-28 09:04  投诉品牌： 北京现代  投诉车系： 领动  投诉车型： 2019款 1.5L CVT 智炫·精英型        投诉内容  已拆出变速箱寄回山东，我强烈要求更换变速箱总成，他们说厂家说维修为主，反正一样保三年，车新买才几</t>
  </si>
  <si>
    <t>吉利汽车日前发布了一组吉利星越魅影骑士限量版官图，这款车基于现款星越350t耀星者车型打造，不过在外观和内饰诸多细节进行了调整，更加个性时尚。此外，针对当下疫情，星越魅影骑士限量版还将搭载“cn95”高效复合空调滤芯。动力方面，该车搭载2.0td t5发动机。    外观方面，星越魅影骑士限量版基于</t>
  </si>
  <si>
    <t>2020/02/28 09:02:00</t>
  </si>
  <si>
    <t>　　吉利汽车日前发布了一组吉利星越魅影骑士限量版官图，这款车基于现款星越350t耀星者车型打造，不过在外观和内饰诸多细节进行了调整，更加个性时尚。此外，针对当下疫情，星越魅影骑士限量版还将搭载“cn95”高效复合空调滤芯。动力方面，该车搭载2.0td t5发动机。　　外观方面，星越魅影骑士限量版基于</t>
  </si>
  <si>
    <t>许振宇</t>
  </si>
  <si>
    <t>近日获悉，金康seres（赛力斯）旗下的首款车型，seres sf5将于年内上市发售。作为一款新能源中型轿跑suv，seres sf5提供纯电动版及增程版以供消费者选择，此前公布的预售价格区间为27.80-45.80万元。    造型方面，seres sf5的纯电动版（蓝色车身）和增程版（黑色车身）</t>
  </si>
  <si>
    <t>2020/02/28 09:01:00</t>
  </si>
  <si>
    <t>　　近日获悉，金康seres（赛力斯）旗下的首款车型，seres sf5将于年内上市发售。作为一款新能源中型轿跑suv，seres sf5提供纯电动版及增程版以供消费者选择，此前公布的预售价格区间为27.80-45.80万元。　　造型方面，seres sf5的纯电动版（蓝色车身）和增程版（黑色车身）</t>
  </si>
  <si>
    <t>秦庆宝</t>
  </si>
  <si>
    <t>投诉编号：【449137】  投诉时间： 2020-02-28 09:01  投诉品牌： 东风本田  投诉车系： 思域  投诉车型： 2016款 220TURBO 自动 尊贵版        投诉内容  2019年还没过保的时候就发现汽车在车锁车状态下右转向灯不规则的闪烁，那时候没那么频繁。期间去过</t>
  </si>
  <si>
    <t>2月27日，宝马5系插电式混合动力里程升级版在华晨宝马新大东工厂正式下线，本次下线不仅代表了华晨宝马第300万辆国产bmw下线，同时还公布了这款车型的售价，包含两款车型，售价区间为49.99-53.69万元。    同时官方还宣布，目前购买该车的客户均全额免缴购置税，个人购车客户在此基础上可享受1万</t>
  </si>
  <si>
    <t>2020/02/28 09:00:00</t>
  </si>
  <si>
    <t>　　2月27日，宝马5系插电式混合动力里程升级版在华晨宝马新大东工厂正式下线，本次下线不仅代表了华晨宝马第300万辆国产bmw下线，同时还公布了这款车型的售价，包含两款车型，售价区间为49.99-53.69万元。　　同时官方还宣布，目前购买该车的客户均全额免缴购置税，个人购车客户在此基础上可享受1万</t>
  </si>
  <si>
    <t>近日，Air Jordan 1“Black/Pink Green”新鞋正式发售，为了进一步宣传，瑞士球鞋名所Titolo将一台奔驰AMG G 63的车漆采用与新鞋相同的配色，赚足了眼球。    众所周知，Air Jordan 1是耐克乔丹系列的第一款正代篮球鞋，意义非凡，且几乎每年都会推出新配色，此</t>
  </si>
  <si>
    <t>2020/02/28 08:57:00</t>
  </si>
  <si>
    <t>　　近日，Air Jordan 1“Black/Pink Green”新鞋正式发售，为了进一步宣传，瑞士球鞋名所Titolo将一台奔驰AMG G 63的车漆采用与新鞋相同的配色，赚足了眼球。　　众所周知，Air Jordan 1是耐克乔丹系列的第一款正代篮球鞋，意义非凡，且几乎每年都会推出新配色，此</t>
  </si>
  <si>
    <t>赵旋丞</t>
  </si>
  <si>
    <t xml:space="preserve">近日，海外媒体曝光了全新宝马4系量产版低伪装实车图片。可以看出，全新宝马4系在造型方面与去年法兰克福车展上发布的concept 4概念车有着高度的一致性，夸张的巨幅双肾式格栅让人过目不忘。新车与全新宝马3系相同，同样基于宝马clar平台打造而来，我们将在3月3日开幕的日内瓦车展上一睹它的风采。   </t>
  </si>
  <si>
    <t>2020/02/28 08:56:00</t>
  </si>
  <si>
    <t>　　近日，海外媒体曝光了全新宝马4系量产版低伪装实车图片。可以看出，全新宝马4系在造型方面与去年法兰克福车展上发布的concept 4概念车有着高度的一致性，夸张的巨幅双肾式格栅让人过目不忘。新车与全新宝马3系相同，同样基于宝马clar平台打造而来，我们将在3月3日开幕的日内瓦车展上一睹它的风采。　</t>
  </si>
  <si>
    <t>此前，比亚迪官方发布了一组全新车型——汉ev的预告图，新车定位于纯电动中大型轿车，采用ev dragon face外观设计语言，与现有风格相比有了新的突破。日前，我们从相关渠道获悉比亚迪汉ev以及汉dm的动力信息，比亚迪汉ev共推出单电机以及双电机两个版本，续航里程分别为605km和550km；比亚</t>
  </si>
  <si>
    <t>2020/02/28 08:55:00</t>
  </si>
  <si>
    <t>　　此前，比亚迪官方发布了一组全新车型――汉ev的预告图，新车定位于纯电动中大型轿车，采用ev dragon face外观设计语言，与现有风格相比有了新的突破。日前，我们从相关渠道获悉比亚迪汉ev以及汉dm的动力信息，比亚迪汉ev共推出单电机以及双电机两个版本，续航里程分别为605km和550km；</t>
  </si>
  <si>
    <t>早在2018年下半年，长安福特全国销售服务机构正式成立，整合了进口福特、长安福特与江铃福特乘用车产品的宣传与销售工作。领界便是在新销售机构成立后，江铃福特推出的一款全新suv车型。从长安汽车与江铃汽车公布的产销数据来看，2020年首月，福特品牌国产乘用车累计销量达17,925辆，同比增长8.3%（去</t>
  </si>
  <si>
    <t>2020/02/28 08:54:00</t>
  </si>
  <si>
    <t>　　早在2018年下半年，长安福特全国销售服务机构正式成立，整合了进口福特、长安福特与江铃福特乘用车产品的宣传与销售工作。领界便是在新销售机构成立后，江铃福特推出的一款全新suv车型。从长安汽车与江铃汽车公布的产销数据来看，2020年首月，福特品牌国产乘用车累计销量达17,925辆，同比增长8.3%</t>
  </si>
  <si>
    <t>　　日前，海外媒体曝光了一组保时捷Cayenne Coupe GT的测试谍照。作为Cayenne的轿跑版车型，新车除了采用更为夸张的造型设计，预计还将拥有强悍的性能，最大功率有望超800马力。据悉，新车将于2020年正式发布。　　从谍照来看，新车外观基本沿用了在售Cayenne Turbo Coup</t>
  </si>
  <si>
    <t>李东</t>
  </si>
  <si>
    <t>2020/02/28 08:53:00</t>
  </si>
  <si>
    <t>日前，海外媒体曝光了一组保时捷Cayenne Coupe GT的测试谍照。作为Cayenne的轿跑版车型，新车除了采用更为夸张的造型设计，预计还将拥有强悍的性能，最大功率有望超800马力。据悉，新车将于2020年正式发布。    从谍照来看，新车外观基本沿用了在售Cayenne Turbo Coup</t>
  </si>
  <si>
    <t>我们不久前介绍了全新ds 9的外观设计，大家对法国人关于“豪华”的理解是不是有了新的认识呢？我觉得说它是目前市场上最帅的旗舰轿车也不为过。接下来我们就来看看ds 9的车内空间，看看是否做到了表里如一的高级。    总结：ds 9车内充斥豪华、浪漫氛围，大量皮质、金属、翻毛皮材质的运用结合上钻石切割菱</t>
  </si>
  <si>
    <t>2020/02/28 08:52:00</t>
  </si>
  <si>
    <t>　　我们不久前介绍了全新ds 9的外观设计，大家对法国人关于“豪华”的理解是不是有了新的认识呢？我觉得说它是目前市场上最帅的旗舰轿车也不为过。接下来我们就来看看ds 9的车内空间，看看是否做到了表里如一的高级。　　总结：ds 9车内充斥豪华、浪漫氛围，大量皮质、金属、翻毛皮材质的运用结合上钻石切割菱</t>
  </si>
  <si>
    <t>贾�</t>
  </si>
  <si>
    <t>投诉编号：【449134】  投诉时间： 2020-02-28 08:52  投诉品牌： 一汽红旗  投诉车系： 红旗H5  投诉车型： 2019款 30TD 智联灵动版        投诉内容  2020元月20日车辆行驶在陕西榆林绕城210国道，车速行驶90公里时，发动机突然熄火，无刹车。1、事</t>
  </si>
  <si>
    <t>　　日前，起亚官方正式发布了斯汀格GT Night Sky Special Edition（夜空特别版）车型官图。据悉，新车将面向澳大利亚市场进行销售，动力方面搭载斯汀格GT车型所使用的3.3升V6双涡轮增压发动机。　　斯汀格GT Night Sky Special Edition在外观设计上与标准</t>
  </si>
  <si>
    <t>李健利</t>
  </si>
  <si>
    <t>日前，起亚官方正式发布了斯汀格GT Night Sky Special Edition（夜空特别版）车型官图。据悉，新车将面向澳大利亚市场进行销售，动力方面搭载斯汀格GT车型所使用的3.3升V6双涡轮增压发动机。    斯汀格GT Night Sky Special Edition在外观设计上与标准</t>
  </si>
  <si>
    <t>日内瓦车展作为欧洲唯一每年度举办的大型车展，素有“国际汽车潮流风向标”之称，今年也将在3月份如期举行，届时也会吸引全球范围内的汽车厂商前来参加。今年的大众展台将会格外有看点，高尔夫作为一款延续了四十多年的经典车型，每一代车型总能让喜欢它的人产生共鸣，而全新一代高尔夫（mk8）gti和gtd车型将会在</t>
  </si>
  <si>
    <t>2020/02/28 08:51:00</t>
  </si>
  <si>
    <t>　　日内瓦车展作为欧洲唯一每年度举办的大型车展，素有“国际汽车潮流风向标”之称，今年也将在3月份如期举行，届时也会吸引全球范围内的汽车厂商前来参加。今年的大众展台将会格外有看点，高尔夫作为一款延续了四十多年的经典车型，每一代车型总能让喜欢它的人产生共鸣，而全新一代高尔夫（mk8）gti和gtd车型将</t>
  </si>
  <si>
    <t>刘学</t>
  </si>
  <si>
    <t>　　秉承着德系技术和大众品质，让捷达品牌旗下的产品俘获众多消费者的心。而就在前不久，作为捷达品牌的第三款车型、定位于中型suv的捷达vs7正式对外公布了“尝鲜价”，全系共推出4款车型，价格区间为10.68-13.68万元。　　说到这里，很多人都会感到疑惑，这个“尝鲜价”代表什么？具体而言，是因为受现</t>
  </si>
  <si>
    <t>陈韬宇</t>
  </si>
  <si>
    <t>2020/02/28 08:49:00</t>
  </si>
  <si>
    <t>　　日前记者获悉，全新宝马3系旅行版在台湾地区正式上市，新车售价区间236万-355万新台币（约合人民币55万-82万元）。至于该车是否会引入国内销售，目前还不得而知。　　外观方面，新车基于最新CLAR平台开发，相比于上一代车型，车身尺寸也同步加长，轴距也增加了41mm，整体外观设计汲取了宝马家族最</t>
  </si>
  <si>
    <t>2020/02/28 08:47:00</t>
  </si>
  <si>
    <t>日前记者获悉，全新宝马3系旅行版在台湾地区正式上市，新车售价区间236万-355万新台币（约合人民币55万-82万元）。至于该车是否会引入国内销售，目前还不得而知。    外观方面，新车基于最新CLAR平台开发，相比于上一代车型，车身尺寸也同步加长，轴距也增加了41mm，整体外观设计汲取了宝马家族最</t>
  </si>
  <si>
    <t>　　中国车市哪一个市场区间竞争最激烈呢？想必合资品牌紧凑型家用车绝对是排的上号的一个候选。丰田本田、大众通用、现代起亚等等各路诸侯都在此区间厉兵秣马，全球同步车/中国特供车也是不胜枚举。上汽大众出厂的斯柯达明锐从2006年国产以来一直是这个区间的老牌劲旅，用同步大众集团的最新技术辅以接近大众朗逸等特</t>
  </si>
  <si>
    <t>北京时间3月3日，2020年日内瓦车展将正式开幕。本届车展大众品牌预计至少将会带来全新高尔夫gti、全新高尔夫gte、全新高尔夫gtd、中期改款tiguan、中期改款tiguan allspace（即国内途观l）以及全新途锐r六款新车。其中全新高尔夫gti/gte、中期改款tiguan allspa</t>
  </si>
  <si>
    <t>2020/02/28 08:45:00</t>
  </si>
  <si>
    <t>　　北京时间3月3日，2020年日内瓦车展将正式开幕。本届车展大众品牌预计至少将会带来全新高尔夫gti、全新高尔夫gte、全新高尔夫gtd、中期改款tiguan、中期改款tiguan allspace（即国内途观l）以及全新途锐r六款新车。其中全新高尔夫gti/gte、中期改款tiguan alls</t>
  </si>
  <si>
    <t>王晨</t>
  </si>
  <si>
    <t>投诉编号：【449131】  投诉时间： 2020-02-28 08:40  投诉品牌： 上汽大众  投诉车系： 途昂  投诉车型： 2017款 380TSI 四驱 豪华版        投诉内容  2018年10月发现车辆转弯时有轻微的异响，后来异响越来越大，2018年11月22日去4S店检查说是</t>
  </si>
  <si>
    <t>2020/02/28 08:40:00</t>
  </si>
  <si>
    <t>日前，媒体记者从相关渠道获得了上汽MAXUS EUNIQ 6的部分动力信息。新车搭载一台电动机，最大功率130kW（177Ps），使用宁德时代三元锂电池，NEDC综合续航达到600km。    上汽MAXUS EUNIQ 6基于MAXUS MERA平台打造，为品牌首款纯电动SUV。MAXUS MER</t>
  </si>
  <si>
    <t>2020/02/28 08:39:00</t>
  </si>
  <si>
    <t>2020/02/28 08:36:00</t>
  </si>
  <si>
    <t>对于广大消费者来说，无论你买的是任何价格或级别的车型，每个人的需求和喜好也都是各不相同，几乎没有哪一款车能满足所有的消费群体。所以接下来我就为大家带来了4款各有特色的车型，无论您是日常买菜，还是长途通勤，亦或是对动力有着较高的要求，下面这些车里总有能满足您的一款，所以不妨就来看看吧。不过大部分人的财</t>
  </si>
  <si>
    <t>2020/02/28 08:35:00</t>
  </si>
  <si>
    <t>适合年轻人的合资轿车推荐 15万就可以买顶配对于广大消费者来说，无论你买的是任何价格或级别的车型，每个人的需求和喜好也都是各不相同，几乎没有哪一款车能满足所有的消费群体。所以接下来我就为大家带来了4款各有特色的车型，无论您是日常买菜，还是长途通勤，亦或是对动力有着较高的要求，下面这些车里总有能满足您</t>
  </si>
  <si>
    <t>目前，买车已经是入们生活中的一件大事情，虽然买车后会增添一些烦劳，但它也让日常生活更加的便利。譬如这次疫情，如果有一辆车就可以不用乘坐公共交通工具，最大限度的减少感染。现在汽车市场车型众多，在选车时难免会有选择困难症，特别是对于那些不想从众的人而言，买一辆性价比高，又能满足家庭需要的车就更难了。今天</t>
  </si>
  <si>
    <t>枳夏</t>
  </si>
  <si>
    <t>2020/02/28 08:31:00</t>
  </si>
  <si>
    <t>20万你还可以买这3款B级轿车 不会“烂大街”目前，买车已经是入们生活中的一件大事情，虽然买车后会增添一些烦劳，但它也让日常生活更加的便利。譬如这次疫情，如果有一辆车就可以不用乘坐公共交通工具，最大限度的减少感染。现在汽车市场车型众多，在选车时难免会有选择困难症，特别是对于那些不想从众的人而言，买一</t>
  </si>
  <si>
    <t>何为"小钢炮"？灵活小巧的车身，精准的操控，再加上出色的动力，这应该是小钢炮们必须要具备的属性了吧？回想还在上大学的我，每天都沉浸在"GTI"论坛里无法自拔，想象着以后我要是拥有一辆GTI之后我会给他换什么样的前杠，什么样的扰流板，一阶二阶都要换哪些东西，好似着了魔。下面就借着回顾青春的机会，给大家</t>
  </si>
  <si>
    <t>2020/02/28 08:30:00</t>
  </si>
  <si>
    <t>热血青年的梦 盘点中国市场上的亲民小钢炮何为"小钢炮"？灵活小巧的车身，精准的操控，再加上出色的动力，这应该是小钢炮们必须要具备的属性了吧？回想还在上大学的我，每天都沉浸在"GTI"论坛里无法自拔，想象着以后我要是拥有一辆GTI之后我会给他换什么样的前杠，什么样的扰流板，一阶二阶都要换哪些东西，好似</t>
  </si>
  <si>
    <t>19款新帝豪车辆在行驶过程中转速仪表台上方的盖板位置总是异响，想打开这个盖板看看，不知怎样才能打开？</t>
  </si>
  <si>
    <t>2020/02/28 08:15:56</t>
  </si>
  <si>
    <t>投诉编号：【449129】投诉时间：2020-02-2808:14投诉品牌：北京现代投诉车系：菲斯塔投诉车型：2019款280TGDi运动版国V投诉内容车子买了八个月了，以前洗车时发现油漆有瑕疵，开去4S店，4S店要帮我拿砂纸打去，我看伤油漆，也就算了，但是发现内饰顶右边有黄斑，现在左边又开始有了，</t>
  </si>
  <si>
    <t>2020/02/28 08:14:00</t>
  </si>
  <si>
    <t>2年3个月的车，挂倒挡顿挫感很强，低速挡换高速挡顿挫感，感觉发动机和底盘声音很大，福特4S店说要拆变速箱检查，请问我该怎么维权？</t>
  </si>
  <si>
    <t>2020/02/28 08:05:04</t>
  </si>
  <si>
    <t>我的车18款的迈腾豪华，最近开车车跑起来时候顶部天窗开关附近有清脆的哒哒响，车停下来就没有了，我应该检查什么地方？</t>
  </si>
  <si>
    <t>2020/02/28 08:00:56</t>
  </si>
  <si>
    <t>传祺GS5 2019款270T豪华版、探歌 2020款280TSI DSG两驱舒适版、逍客 2019款2.0L CVT智享版哪款值得购买？</t>
  </si>
  <si>
    <t>2020/02/28 08:00:55</t>
  </si>
  <si>
    <t>海马8S这款车的质量怎么样值得购买吗？保有量如何？</t>
  </si>
  <si>
    <t>刚买的新车全车玻璃出现裂纹该如何维权？</t>
  </si>
  <si>
    <t>冷车一二档挂不上，必须先挂下倒挡才可以勉强行驶，行驶十多公里差不多才正常，怎么回事？</t>
  </si>
  <si>
    <t>新桑塔纳，自动启停功能在什么情况下不能用？可以拔掉电瓶上连接的自动启停线吗？</t>
  </si>
  <si>
    <t>2020/02/28 08:00:54</t>
  </si>
  <si>
    <t>请问宝骏360 cvt精英款落地价8万贵吗，有没有被宰了的情况？</t>
  </si>
  <si>
    <t>本人在4S店全款提了荣威i5手动郎豪轿车，卖家承诺终身免费保养，合同上也写的清清楚楚！但是提车后销售人员以各种理由推脱不给我购车合同，催了很多次，最后还说被她的另外一个同事弄丢了，并且公司怎么也不同意她补合同，补了也不会盖章！即使再三催促也就这样不了了之，这可关乎我的车子保养，我该怎么办啊！求懂的人</t>
  </si>
  <si>
    <t>2020/02/28 07:57:33</t>
  </si>
  <si>
    <t>2017款福特蒙迪欧变速箱异响怎么维权？</t>
  </si>
  <si>
    <t>2020/02/28 07:57:26</t>
  </si>
  <si>
    <t>下班回家的路上，转弯后，突然就没有动力了，停车后，只有一挡，S挡也只有一挡，倒挡没有啦，怎么回事呢？</t>
  </si>
  <si>
    <t>2020/02/28 07:57:23</t>
  </si>
  <si>
    <t>　　日前，保时捷官方发布了一组旗下纯电动车型Taycan的运动套件版官图。新车所搭载的SportDesign Package Carbon（运动碳纤维套件）为保时捷Manufaktur定制部门专为Taycan车型量身打造，从而提供比普通版更强的性能运动感。　　从此次发布的官图中不难看出，保时捷Man</t>
  </si>
  <si>
    <t>贾冀鸥</t>
  </si>
  <si>
    <t>2020/02/28 07:56:00</t>
  </si>
  <si>
    <t>日前，保时捷官方发布了一组旗下纯电动车型Taycan的运动套件版官图。新车所搭载的SportDesign Package Carbon（运动碳纤维套件）为保时捷Manufaktur定制部门专为Taycan车型量身打造，从而提供比普通版更强的性能运动感。    从此次发布的官图中不难看出，保时捷Man</t>
  </si>
  <si>
    <t>车停一天后，启动困难，马达要打很多次，才能打着，发动后就一切正常，去4S店看过，没有排除故障，只换了汽滤，以前是四五天发生一次，今天一天就发生了两次。</t>
  </si>
  <si>
    <t>2020/02/28 07:48:40</t>
  </si>
  <si>
    <t>平均油耗显示12到21，这是什么情况，油耗这么高都不敢开了。</t>
  </si>
  <si>
    <t>2020/02/28 07:48:39</t>
  </si>
  <si>
    <t>日前，编辑从海外媒体获得了全新本田JAZZ（国内称飞度）油电混合版动力参数，同时该车的百公里加速仅为9.4秒。据悉，新车将于今年夏天在欧洲率先推出。    根据官方宣传页来看，新车动力系统由一台1.5自然吸气发动机和两台电动机组成，该系统最大功率80kW，最大扭矩253N·m，此外新车还将有三种模式</t>
  </si>
  <si>
    <t>2020/02/28 07:44:00</t>
  </si>
  <si>
    <t>投诉编号：【449127】投诉时间：2020-02-2807:24投诉品牌：东风雪铁龙投诉车系：爱丽舍投诉车型：2014款1.6L自动舒适型投诉内容在高速正常行驶，突然猛的顿挫，仪表出现S和雪花挡不停闪现，车速突然降下来，差点就被追尾，市区路也是偶尔会出现这样的情况，这对行车安全隐患非常大，去4S店</t>
  </si>
  <si>
    <t>2020/02/28 07:24:00</t>
  </si>
  <si>
    <t>大众UP！最早于2011年法兰克福车展亮相，定位微型车，后续还推出了纯电版本的e-UP！车型，意在解决城市代步通勤需求。2019法兰克福车展，新款大众e-UP！正式亮相，新车针对动力系统进行了升级，搭载容量为32.3kWh的动力电池，WLTP工况下续航里程可达246km。作为一款入门级微型纯电动车，</t>
  </si>
  <si>
    <t>2020/02/28 07:10:00</t>
  </si>
  <si>
    <t>如今，国内这场抗击疫情的无声战争终于看到了新的希望，口服疫苗的成功研发，相信用不了多久，疫情便会消退。而目前作为抗击疫情的最后阶段，部分企业、公司已经开始陆续复工，人们也逐渐恢复到正常的生活秩序宗。但为了避免与他人过多接触，不少人都选择开车出行，虽然车内密闭的空间能够减少和其它人员的正面接触，但这并</t>
  </si>
  <si>
    <t>分析报告 &gt; </t>
  </si>
  <si>
    <t>据国内领先的缺陷汽车产品信息收集平台车质网的统计数据显示，2019年国内紧凑型车总投诉量为30,836宗，与2018年相比增加4,611宗，上涨17.6%。其中，至少发生过一次车主投诉的紧凑型车有214款，较2018年增加25款车型。榜单前十名中绝大部分为合资品牌车型。去除投诉人自愿申请撤诉的信息后</t>
  </si>
  <si>
    <t>　　据国内领先的缺陷汽车产品信息收集平台车质网的统计数据显示，2019年国内紧凑型车总投诉量为30,836宗，与2018年相比增加4,611宗，上涨17.6%。其中，至少发生过一次车主投诉的紧凑型车有214款，较2018年增加25款车型。榜单前十名中绝大部分为合资品牌车型。去除投诉人自愿申请撤诉的信</t>
  </si>
  <si>
    <t>车质网研究院</t>
  </si>
  <si>
    <t>　　如今，国内这场抗击疫情的无声战争终于看到了新的希望，口服疫苗的成功研发，相信用不了多久，疫情便会消退。而目前作为抗击疫情的最后阶段，部分企业、公司已经开始陆续复工，人们也逐渐恢复到正常的生活秩序宗。但为了避免与他人过多接触，不少人都选择开车出行，虽然车内密闭的空间能够减少和其它人员的正面接触，但</t>
  </si>
  <si>
    <t>　　大众UP！最早于2011年法兰克福车展亮相，定位微型车，后续还推出了纯电版本的e-UP！车型，意在解决城市代步通勤需求。2019法兰克福车展，新款大众e-UP！正式亮相，新车针对动力系统进行了升级，搭载容量为32.3kWh的动力电池，WLTP工况下续航里程可达246km。作为一款入门级微型纯电动</t>
  </si>
  <si>
    <t>　　如今，国内小型SUV热度依旧不减，这也使得各个主机厂纷纷推出了不同风格的车型来分得市场中一杯美羹。一汽森雅自然也不会放弃这样的好机会，就在2020年开年之际，便推出了旗下全新车型――森雅R8。它不仅在配置上有着绝佳的表现，同时那么我们在选购该车时，哪一款更适合我们呢？本期的购车指南就来为您揭晓答</t>
  </si>
  <si>
    <t>张航</t>
  </si>
  <si>
    <t>投诉编号：【449126】投诉时间：2020-02-2807:05投诉品牌：众泰汽车投诉车系：众泰Z300投诉车型：2012款1.5L手动舒适型投诉内容众泰Z300空调开关向制冷转不动，右面轮胎轮拱处腐蚀。要求厂家尽快解决好车辆的问题。投诉回复车质网已将您的投诉转给生产企业以及国家市场监督管理总局缺</t>
  </si>
  <si>
    <t>2020/02/28 07:05:00</t>
  </si>
  <si>
    <t>投诉编号：【449124】  投诉时间： 2020-02-28 00:02  投诉品牌： 广汽丰田  投诉车系： 汉兰达  投诉车型： 2013款 2.7L 两驱紫金版 5座        投诉内容  广汽丰田汉兰达车顶外侧漆面有脱落的现象，汽车顶部外漆有斑块状脱落，原漆，要求厂家尽快解决好车辆的问</t>
  </si>
  <si>
    <t>2020/02/28 00:02:00</t>
  </si>
  <si>
    <t>投诉编号：【449122】 
投诉时间： 2020-02-27 23:36 
投诉品牌： 精灵Smart 
投诉车系： smart fortwo 
投诉车型： 2019款 0.9T 66千瓦硬顶风擎版 国VI 精灵smart fortwo行驶时车辆向右跑偏</t>
  </si>
  <si>
    <t>2020/02/27 23:59:59</t>
  </si>
  <si>
    <t>投诉编号：【449110】 
投诉时间： 2020-02-27 22:42 
投诉品牌： 上汽通用别克 
投诉车系： 英朗 
投诉车型： 2018款 18T 自动 精英型 相对于汽车本身我更愿意投诉旭龙别克汽车销售员</t>
  </si>
  <si>
    <t>投诉编号：【449120】 
投诉时间： 2020-02-27 23:16 
投诉品牌： 东风日产 
投诉车系： 逍客 
投诉车型： 2016款 2.0L CVT 精英版 变速箱颤抖，油表高转数，车低速行驶！</t>
  </si>
  <si>
    <t>投诉编号：【449109】 
投诉时间： 2020-02-27 22:37 
投诉品牌： 奇瑞汽车 
投诉车系： 捷途X70 
投诉车型： 2018款 1.5T 自动 悦行版 没发到8档</t>
  </si>
  <si>
    <t>投诉编号：【449123】  投诉时间： 2020-02-27 23:53  投诉品牌： 郑州日产  投诉车系： 途达  投诉车型： 2018款 2.5L 自动 两驱 豪华版        投诉内容  变速器在车速50-60的时严重拖挡，滑行再加油，车速起，转速不起，整车抖动特别严重。问题1：拖挡抖</t>
  </si>
  <si>
    <t>2020/02/27 23:53:00</t>
  </si>
  <si>
    <t>投诉编号：【449119】  投诉时间： 2020-02-27 23:11  投诉品牌： 吉利汽车  投诉车系： 帝豪GSe  投诉车型： 2019款 500 风尚型        投诉内容  吉利帝豪GSe远程操控不灵敏维修未解决，一见吉利美天下，其实也是乱其麻，售后服务有远哒，真叫后悔上当哒，远</t>
  </si>
  <si>
    <t>2020/02/27 23:11:00</t>
  </si>
  <si>
    <t>投诉编号：【449116】  投诉时间： 2020-02-27 23:06  投诉品牌： 猎豹汽车  投诉车系： 猎豹CS9  投诉车型： 2017款 1.5L CVT 舒适型        投诉内容  雨刮臂连动杆总成球头脱落，导致雨刮无法使用，四s店不管，维修可以，需要自费，要不然不管，有照片有</t>
  </si>
  <si>
    <t>2020/02/27 23:06:00</t>
  </si>
  <si>
    <t xml:space="preserve">投诉编号：【449100】
    投诉时间： 2020-02-27 22:11
    投诉品牌： 上汽大众
    投诉车系： 帕萨特
    投诉车型： 2013款 帕萨特 1.8TSI DSG 尊荣版
</t>
  </si>
  <si>
    <t>2020/02/27 23:03:45</t>
  </si>
  <si>
    <t xml:space="preserve">投诉编号：【449103】 
投诉时间： 2020-02-27 22:15 
投诉品牌： 上汽大众 
投诉车系： 途观L 
投诉车型： 2017款 330TSI 两驱 豪华版 
</t>
  </si>
  <si>
    <t>2020/02/27 23:03:39</t>
  </si>
  <si>
    <t>捷途X70车身异响 车身生锈 问题一堆车身异响，8AT上不去8档，车身生锈，整车噪音大的受不了，1.5T的排量跑出了2.0T的油耗。</t>
  </si>
  <si>
    <t>三毛ss</t>
  </si>
  <si>
    <t>2020/02/27 22:52:00</t>
  </si>
  <si>
    <t>车身异响，8AT上不去8档，车身生锈，整车噪音大的受不了，1.5T的排量跑出了2.0T的油耗。</t>
  </si>
  <si>
    <t>投诉编号：【449111】  投诉时间： 2020-02-27 22:45  投诉品牌： 上汽大众  投诉车系： 朗逸  投诉车型： 2018款 280TSI DSG 舒适版 国V        投诉内容  2019款朗逸1.4t舒适版。2月23日购买，800多公里后，升挡降挡时变速箱有齿轮碰撞声，</t>
  </si>
  <si>
    <t>2020/02/27 22:45:00</t>
  </si>
  <si>
    <t>投诉编号：【449108】  投诉时间： 2020-02-27 22:34  投诉品牌： 广汽本田  投诉车系： 飞度  投诉车型： 2014款 1.5L CVT SE时尚型        投诉内容  16年7月31日长沙广本?湘店买车，本人职业司机，很爱惜车，车没有出过事故，现在都是原厂漆，两台车</t>
  </si>
  <si>
    <t>2020/02/27 22:34:00</t>
  </si>
  <si>
    <t>投诉编号：【449092】 
投诉时间： 2020-02-27 21:23 
投诉品牌： 奇瑞捷豹路虎 
投诉车系： 捷豹XFL 
投诉车型： 2019款 XFL 2.0T 250PS 四驱 尊享版 车辆抖动，显示屏死机黑屏</t>
  </si>
  <si>
    <t>2020/02/27 22:28:38</t>
  </si>
  <si>
    <t xml:space="preserve">投诉编号：【449093】 
投诉时间： 2020-02-27 21:29 
投诉品牌： 东风日产 
投诉车系： 轩逸 
投诉车型： 2016款 1.6XL CVT 尊享版 </t>
  </si>
  <si>
    <t>2020/02/27 22:28:18</t>
  </si>
  <si>
    <t xml:space="preserve">投诉编号：【449091】 
投诉时间： 2020-02-27 21:21 
投诉品牌： 华晨鑫源 
投诉车系： 金杯T50 
投诉车型： 2018款 1.5L 创富型 后单轮 DLCG14 </t>
  </si>
  <si>
    <t>2020/02/27 22:28:13</t>
  </si>
  <si>
    <t>投诉编号：【449107】  投诉时间： 2020-02-27 22:28  投诉品牌： 北京越野  投诉车系： 北京BJ20  投诉车型： 2018款 1.5T 手动 豪华型        投诉内容  北京BJ20车窗和B柱有掉漆的现象，最近才发现，车右面车窗柱子漆掉了一块，要求厂家尽快解决好车辆</t>
  </si>
  <si>
    <t>2020/02/27 22:28:00</t>
  </si>
  <si>
    <t>投诉编号：【449106】  投诉时间： 2020-02-27 22:28  投诉品牌： 广汽本田  投诉车系： 雅阁  投诉车型： 2013款 2.4L 自动 SE        投诉内容  车辆自购买后，多次出现打火后发动机不启动现象，16年本田4S店召回汽车时曾开车到4S店向修理师说明问题，修</t>
  </si>
  <si>
    <t>轩逸购买半年不到出现两次没电情况轩逸半年不到出现两次没电，19年9月初买的新车到现在出现过两次全车没电，第一次正常上班开车下班的时候发现车突然没电，打电话叫4S店救援过来搭电，第二次是前几天用完车后停放了两天，第三天早上用车又发现没有电，1：我车没有外接过其他任何电器包括行车记录仪。2：我下车有习惯</t>
  </si>
  <si>
    <t>天涯海阁子</t>
  </si>
  <si>
    <t>2020/02/27 22:22:00</t>
  </si>
  <si>
    <t>轩逸半年不到出现两次没电，19年9月初买的新车到现在出现过两次全车没电，第一次正常上班开车下班的时候发现车突然没电，打电话叫4S店救援过来搭电，第二次是前几天用完车后停放了两天，第三天早上用车又发现没有电，1：我车没有外接过其他任何电器包括行车记录仪。2：我下车有习惯把电器全部关掉的习惯。昨天去4S</t>
  </si>
  <si>
    <t>投诉编号：【449104】  投诉时间： 2020-02-27 22:17  投诉品牌： 广汽丰田  投诉车系： 凯美瑞  投诉车型： 2018款 2.5G 自动 豪华版        投诉内容  主驾驶位座椅起皮起皱，去4s也没说出所以然。越想这事越不对，这才多少里程啊。      投诉回复  车</t>
  </si>
  <si>
    <t>2020/02/27 22:17:00</t>
  </si>
  <si>
    <t>投诉编号：【449098】  投诉时间： 2020-02-27 22:01  投诉品牌： 一汽丰田  投诉车系： 卡罗拉  投诉车型： 2019款 1.2T S-CVT GL-i豪华版        投诉内容  新车开了671公里后出现炸胎。4S以人为为由，拒绝处理。      投诉回复  车质网已</t>
  </si>
  <si>
    <t>2020/02/27 22:01:00</t>
  </si>
  <si>
    <t>投诉编号：【449096】  投诉时间： 2020-02-27 21:47  投诉品牌： 东风雪铁龙  投诉车系： 世嘉  投诉车型： 2014款 1.6L 手动 品尚型        投诉内容  2020年1月20日车辆熄火锁门，发现电瓶无电，第二天叫了应急救援后车辆打火并行驶了1H。然后2月2日</t>
  </si>
  <si>
    <t>2020/02/27 21:47:00</t>
  </si>
  <si>
    <t>投诉编号：【449076】 
投诉时间： 2020-02-27 19:22 
投诉品牌： 一汽丰田 
投诉车系： 威驰 
投诉车型： 2016款 1.5L 自动 智臻星耀版 发动机异响（异响声音同录制视频）</t>
  </si>
  <si>
    <t>2020/02/27 21:36:49</t>
  </si>
  <si>
    <t>投诉编号：【449089】  投诉时间： 2020-02-27 21:11  投诉品牌： 吉利汽车  投诉车系： 博瑞  投诉车型： 2015款 1.8T 旗舰型        投诉内容  2020年2月27日早上10点多一点，正常行驶在路上，突然显示电动助力转向系统故障，方向盘搬不动了，然后我熄火</t>
  </si>
  <si>
    <t>2020/02/27 21:11:00</t>
  </si>
  <si>
    <t>投诉编号：【449073】 
投诉时间： 2020-02-27 19:11 
投诉品牌： 上汽大众 
投诉车系： 帕萨特 
投诉车型： 2019款 330TSI 精英版 国V 2019款帕萨特设计有缺陷</t>
  </si>
  <si>
    <t>2020/02/27 21:08:35</t>
  </si>
  <si>
    <t>投诉编号：【449070】 
投诉时间： 2020-02-27 19:02 
投诉品牌： 日产（进口） 
投诉车系： 途乐 
投诉车型： 2018款 4.0L 旗舰版 凸轮轴传感器螺母松动造成故障传感器及齿轮</t>
  </si>
  <si>
    <t>2020/02/27 21:06:31</t>
  </si>
  <si>
    <t>投诉编号：【449067】 
投诉时间： 2020-02-27 18:45 
投诉品牌： 广汽本田 
投诉车系： 飞度 
投诉车型： 2016款 1.5L LX CVT 舒适型 冷天启动有异响</t>
  </si>
  <si>
    <t>2020/02/27 20:58:39</t>
  </si>
  <si>
    <t>投诉编号：【449086】  投诉时间： 2020-02-27 20:52  投诉品牌： 上汽大众  投诉车系： 帕萨特  投诉车型： 2019款 380TSI 尊贵版 VI        投诉内容  中保研25%正面碰撞测试A柱严重变形，说明A柱强度严重不足。方向盘位移过大，安全气囊无法起到保护驾</t>
  </si>
  <si>
    <t>2020/02/27 20:52:00</t>
  </si>
  <si>
    <t>在2019年销量突破21万辆，同比增长3.9%，位居日系SUV销量第一的日产奇骏，如今一点儿也高兴不起来。在终端大幅降价的情况下，奇骏在去年略微上涨的销量，掩盖了太多的问题。然而在新的一年，这些问题将进一步曝光，甚至放大。 根据乘联会的数据显示，1月份日产奇骏的销量仅为15031辆，同比去年下滑16</t>
  </si>
  <si>
    <t>倍耐力轮胎</t>
  </si>
  <si>
    <t>2020/02/27 20:48:00</t>
  </si>
  <si>
    <t>日产无远虑 奇骏有近忧在2019年销量突破21万辆，同比增长3.9%，位居日系SUV销量第一的日产奇骏，如今一点儿也高兴不起来。在终端大幅降价的情况下，奇骏在去年略微上涨的销量，掩盖了太多的问题。然而在新的一年，这些问题将进一步曝光，甚至放大。 根据乘联会的数据显示，1月份日产奇骏的销量仅为1503</t>
  </si>
  <si>
    <t>投诉编号：【449084】  投诉时间： 2020-02-27 20:48  投诉品牌： 东风日产  投诉车系： 天籁  投诉车型： 2019款 2.0L XL Upper 智行版        投诉内容  已经第四次投诉了，实在受不了低速嗡嗡声共振，现在感觉走烂路整个车跟敲鼓一样，开车超过1小时就</t>
  </si>
  <si>
    <t>近期大火汉兰达，五座7座随心选，2.0T动力充沛，还有四驱版本，家用越野旅行都是全能选手，汉兰达自上市以来也备受车主好评。省心没毛病，而且汉兰达官方指导价位23.98-32.58万元，是许多家庭的首选考虑车型。  霸占销量的本田丰田日产，近年来出了不少爆款车型。汉兰达火了以后，本田也来凑热闹了，前段</t>
  </si>
  <si>
    <t>2020/02/27 20:47:00</t>
  </si>
  <si>
    <t>买汉兰达的后悔 本田放大招了 这款车颜值比汉兰达高近期大火汉兰达，五座7座随心选，2.0T动力充沛，还有四驱版本，家用越野旅行都是全能选手，汉兰达自上市以来也备受车主好评。省心没毛病，而且汉兰达官方指导价位23.98-32.58万元，是许多家庭的首选考虑车型。  霸占销量的本田丰田日产，近年来出了不</t>
  </si>
  <si>
    <t>用车心得论坛</t>
  </si>
  <si>
    <t>15左右速腾 1.4DSG,你们都行驶多少公里了？今天换机油修车店说十万以内机电单元必换，请问大家都跑多少了？</t>
  </si>
  <si>
    <t>aaa856</t>
  </si>
  <si>
    <t>今天换机油修车店说十万以内机电单元必换，请问大家都跑多少了？</t>
  </si>
  <si>
    <t>用车心得</t>
  </si>
  <si>
    <t>根据乘联会最新数据显示，截止11月份整体SUV销量同比下降了4.3%，整体乘用车市场销量下降7.9%，在整体车市销量下滑的情况下，豪华SUV市场中的全新奥迪Q5L在11月中以14100的销量强势夺冠，同比增长了62.8%；11月奥迪Q5L销量排行第一（数据来自乘联会）奥迪Q5在改款后，对车身进行了加</t>
  </si>
  <si>
    <t>2020/02/27 20:46:00</t>
  </si>
  <si>
    <t>奥迪Q5L越减配销量越高 是我们不懂车吗？根据乘联会最新数据显示，截止11月份整体SUV销量同比下降了4.3%，整体乘用车市场销量下降7.9%，在整体车市销量下滑的情况下，豪华SUV市场中的全新奥迪Q5L在11月中以14100的销量强势夺冠，同比增长了62.8%；11月奥迪Q5L销量排行第一（数据来</t>
  </si>
  <si>
    <t>当初一汽马自达CX-4首发的时候，在国内市场混迹的合资车企搞的“中国市场特供车”就没有像样的，但CX-4亮相的时候，所有对汽车有基本了解的人都会意识到，这车不一样，这车很棒，这车像极了一个正常汽车该有的样子——当然，事实也确实如此。 ▲每个日本马自达车迷都会有的疑问：为什么CX-4这么好看的车只在中</t>
  </si>
  <si>
    <t>2020/02/27 20:45:00</t>
  </si>
  <si>
    <t xml:space="preserve">15万的马自达SUV：应该买CX-4？还是CX-3？还是CX-30当初一汽马自达CX-4首发的时候，在国内市场混迹的合资车企搞的“中国市场特供车”就没有像样的，但CX-4亮相的时候，所有对汽车有基本了解的人都会意识到，这车不一样，这车很棒，这车像极了一个正常汽车该有的样子——当然，事实也确实如此。 </t>
  </si>
  <si>
    <t>吉利博越差点就拿了第一！丨1月份SUV销量排行榜根据乘联会给出的数据，受疫情影响，1月份狭义乘用车销量为169.94万辆，同比下滑高达21.5%。整体销量下滑，我们熟悉的神车哈弗H6也受到了影响了，以前月销量三四万辆的它，这个月只卖出了26414辆，但也阻挡不了它夺取1月份SUV的销量冠军。   但</t>
  </si>
  <si>
    <t>2020/02/27 20:44:00</t>
  </si>
  <si>
    <t>根据乘联会给出的数据，受疫情影响，1月份狭义乘用车销量为169.94万辆，同比下滑高达21.5%。整体销量下滑，我们熟悉的神车哈弗H6也受到了影响了，以前月销量三四万辆的它，这个月只卖出了26414辆，但也阻挡不了它夺取1月份SUV的销量冠军。   但哈弗H6赢得并不轻松，因为第二名的吉利博越跟它的</t>
  </si>
  <si>
    <t>国产的奥迪A7L 究竟要不要死等？ 原创 / 社长James Meng 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t>
  </si>
  <si>
    <t>2020/02/27 20:43:00</t>
  </si>
  <si>
    <t>原创 / 社长James Meng 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款——第三方公司不得早于2022</t>
  </si>
  <si>
    <t>说起日系的豪华品牌，很多人首先想到的一定是雷克萨斯或是英菲尼迪，或许有些人会想到日产讴歌，但很少有人能想到丰田的另一个豪华车——皇冠。可能是近几年公关营销没有跟上的原因，皇冠在市场上销声匿迹，年轻的朋友们应该没怎么见过皇冠车，甚至都没有怎么听说过，但在老一辈车迷眼中，皇冠轿车可是满载着情怀，是多少父</t>
  </si>
  <si>
    <t>2020/02/27 20:42:00</t>
  </si>
  <si>
    <t>“2019年10月提的奥德赛，提车之后一直改东改西的，目前虽然还有部分细节没有处理完，但是大工程都结束了，就交个作业，跟大家交流下吧。”“这是当时提车的照片。”“改装先从轮毂，改的轮毂是Enkei的旋压铸造工艺,数据18寸 8J ET45(5*114.3)。轮毂安装比较顺利，拆原车的胎压的时候打开发</t>
  </si>
  <si>
    <t>不一定去抢亚洲龙 这丰田长超5米说起日系的豪华品牌，很多人首先想到的一定是雷克萨斯或是英菲尼迪，或许有些人会想到日产讴歌，但很少有人能想到丰田的另一个豪华车——皇冠。可能是近几年公关营销没有跟上的原因，皇冠在市场上销声匿迹，年轻的朋友们应该没怎么见过皇冠车，甚至都没有怎么听说过，但在老一辈车迷眼中，</t>
  </si>
  <si>
    <t>丐版奥德赛提车半个月改装 颜值和实用配置升级“2019年10月提的奥德赛，提车之后一直改东改西的，目前虽然还有部分细节没有处理完，但是大工程都结束了，就交个作业，跟大家交流下吧。”“这是当时提车的照片。”“改装先从轮毂，改的轮毂是Enkei的旋压铸造工艺,数据18寸 8J ET45(5*114.3)</t>
  </si>
  <si>
    <t>本田皓影首撞 或因司机侧身拿副驾驶物品【有车以后 事故会】近日，在有车以后皓影车友群里有车友提供了一组广汽本田皓影撞车的单方事故图片。车损较为严重，所幸并无造成人员伤亡。这或许是皓影自去年11月上市以来首次较大的事故。事故车辆本田皓影（两驱或四驱）幻夜版两驱幻夜版售价：21.68万四驱幻夜版售价：2</t>
  </si>
  <si>
    <t>2020/02/27 20:41:00</t>
  </si>
  <si>
    <t>【有车以后 事故会】近日，在有车以后皓影车友群里有车友提供了一组广汽本田皓影撞车的单方事故图片。车损较为严重，所幸并无造成人员伤亡。这或许是皓影自去年11月上市以来首次较大的事故。事故车辆本田皓影（两驱或四驱）幻夜版两驱幻夜版售价：21.68万四驱幻夜版售价：23.58万 据车友反馈的信息和图片中，</t>
  </si>
  <si>
    <t>都在说红旗H9好 那要卖四五十万红旗，在1月份的时候销量达到12360辆，同比增长142%。这样的成绩，也在向我们表示，徐留平在今年定的20万年终销量目标还是有大概率完成的。不得不说，红旗转型之后，在国内市场中的表现是越来越好，一方面情怀的加持，另一方面产品的亲民化，的确成为了自主品牌中的豪华品牌代</t>
  </si>
  <si>
    <t>2020/02/27 20:40:00</t>
  </si>
  <si>
    <t>红旗，在1月份的时候销量达到12360辆，同比增长142%。这样的成绩，也在向我们表示，徐留平在今年定的20万年终销量目标还是有大概率完成的。不得不说，红旗转型之后，在国内市场中的表现是越来越好，一方面情怀的加持，另一方面产品的亲民化，的确成为了自主品牌中的豪华品牌代表。 今年的红旗，为了完成销量目</t>
  </si>
  <si>
    <t>投诉编号：【449083】  投诉时间： 2020-02-27 20:16  投诉品牌： 上汽集团  投诉车系： 名爵6  投诉车型： 2019款 20T 自动 星辉版        投诉内容  电瓶一个星期没开车就没电，充电启动后导致现在有三个故障灯亮了，一个发动机故障灯，一个动态稳定控制系统故障</t>
  </si>
  <si>
    <t>2020/02/27 20:16:00</t>
  </si>
  <si>
    <t>投诉编号：【449082】  投诉时间： 2020-02-27 20:02  投诉品牌： 一汽-大众  投诉车系： 探岳  投诉车型： 2019款 330TSI 四驱 豪华型 国V        投诉内容  大灯不亮玻璃上还有指纹印，手套箱关不上一刹车就开了。      投诉回复  车质网已将您的投</t>
  </si>
  <si>
    <t>2020/02/27 20:02:00</t>
  </si>
  <si>
    <t>买车必备常识之：教你火眼金睛辨车漆我们都知道不管买新车还是二手车，第一步就是要看车漆，因为通过车漆的状况，我们可以大致判断出车辆的一些状况，比如新车是否为全新、二手车是否有过剐蹭、是否有过大小撞击等等。专业的第三方检测机构看车漆最简单直接的方法就是直接使用漆膜仪，检测师通过测量各个部位的漆膜厚度，与</t>
  </si>
  <si>
    <t>会看车的真哥</t>
  </si>
  <si>
    <t>2020/02/27 19:43:00</t>
  </si>
  <si>
    <t>我们都知道不管买新车还是二手车，第一步就是要看车漆，因为通过车漆的状况，我们可以大致判断出车辆的一些状况，比如新车是否为全新、二手车是否有过剐蹭、是否有过大小撞击等等。专业的第三方检测机构看车漆最简单直接的方法就是直接使用漆膜仪，检测师通过测量各个部位的漆膜厚度，与出厂的漆膜厚度进行比对，可以直接判</t>
  </si>
  <si>
    <t>投诉编号：【449078】  投诉时间： 2020-02-27 19:40  投诉品牌： 上汽大众  投诉车系： 朗逸  投诉车型： 2019款 朗逸启航 1.5L 自动 风尚版 国VI        投诉内容  提车当天在店里就亮黄灯，不清楚亮黄灯是有问题的情况下就开回去，经告知亮黄灯有故障，销售</t>
  </si>
  <si>
    <t>2020/02/27 19:40:00</t>
  </si>
  <si>
    <t>投诉编号：【449074】  投诉时间： 2020-02-27 19:19  投诉品牌： 上汽大众  投诉车系： 朗逸  投诉车型： 2017款 1.6L 自动 风尚版        投诉内容  发动机变速箱异响，加速时异响严重，发动机噪音偏大，刹车抖动。      投诉回复  车质网已将您的投诉转</t>
  </si>
  <si>
    <t>2020/02/27 19:19:00</t>
  </si>
  <si>
    <t>投诉编号：【449063】  投诉时间： 2020-02-27 18:24  投诉品牌： 东风雪铁龙  投诉车系： 雪铁龙C4L  投诉车型： 2013款 1.6THP 自动 劲智版        投诉内容  这样的车企就是坑消费者，突发这种状况相当危险，存在严重安全隐患，强烈要求厂家不管购车多久应</t>
  </si>
  <si>
    <t>2020/02/27 18:24:00</t>
  </si>
  <si>
    <t>投诉编号：【449061】 
投诉时间： 2020-02-27 18:01 
投诉品牌： 东风本田 
投诉车系： 本田CR-V 
投诉车型： 2019款 240TURBO CVT 两驱 风尚版 国V 东风本田CRV刹车偏软，虚位大，下坡刹不住</t>
  </si>
  <si>
    <t>2020/02/27 18:09:31</t>
  </si>
  <si>
    <t>投诉编号：【449062】  投诉时间： 2020-02-27 18:03  投诉品牌： 东风本田  投诉车系： 本田CR-V  投诉车型： 2017款 240TURBO 自动 四驱 尊贵版        投诉内容  东风本田CR-V机油增多希望尽快处理，发动机机油增多，油耗高。      投诉回复</t>
  </si>
  <si>
    <t>2020/02/27 18:03:00</t>
  </si>
  <si>
    <t>投诉编号：【449061】  投诉时间： 2020-02-27 18:01  投诉品牌： 东风本田  投诉车系： 本田CR-V  投诉车型： 2019款 240TURBO CVT 两驱 风尚版 国V        投诉内容  刹车偏软，前面1/3踩下去是刹不住的，踩的深一点的话就是急刹，下坡路很难刹</t>
  </si>
  <si>
    <t>2020/02/27 18:01:00</t>
  </si>
  <si>
    <t>投诉编号：【449060】投诉时间：2020-02-2717:56投诉品牌：吉利汽车投诉车系：博越投诉车型：2020款1.8TDDCT两驱智联型4G互联版投诉内容新车落地三个多月刹车异响，堵车慢行轻点刹车没有反应需重踩，刹车片没见明显损坏，后面两个刹车盘出现严重划痕，有明显凹凸感，洗车发现刹车片有油</t>
  </si>
  <si>
    <t>2020/02/27 17:56:00</t>
  </si>
  <si>
    <t>投诉编号：【449057】 
投诉时间： 2020-02-27 17:49 
投诉品牌： 一汽丰田 
投诉车系： 卡罗拉 
投诉车型： 2017款 1.2T S-CVT GL-i 改款 CVT波箱起步啸声好大</t>
  </si>
  <si>
    <t>2020/02/27 17:50:45</t>
  </si>
  <si>
    <t>车辆保养流程中需要留意的事项车辆保养中的那些“套路”让人防不胜防，稍不留意就会进入店家的圈套，今天小途就来跟大家分享两个关于车辆保养时需要留意的事项，希望能给您带来帮助。1、防止小病大修和无病大修汽车本来是小故障是没毛病的，但有些商家会夸大故障报出一些没必要的维修项目，甚至没有什么故障，报出一些不必</t>
  </si>
  <si>
    <t>友途车管家</t>
  </si>
  <si>
    <t>2020/02/27 17:49:00</t>
  </si>
  <si>
    <t>车辆保养中的那些“套路”让人防不胜防，稍不留意就会进入店家的圈套，今天小途就来跟大家分享两个关于车辆保养时需要留意的事项，希望能给您带来帮助。1、防止小病大修和无病大修汽车本来是小故障是没毛病的，但有些商家会夸大故障报出一些没必要的维修项目，甚至没有什么故障，报出一些不必要的维修项目一大幅度提高维修</t>
  </si>
  <si>
    <t>投诉编号：【449053】  投诉时间： 2020-02-27 17:36  投诉品牌： 一汽-大众  投诉车系： 宝来  投诉车型： 2019款 280TSI DSG 精英型        投诉内容  19年6月份买车，11月就出现问题起步时刹车片异响，去4S店一直都没解决，而且下雨天的时候，主驾</t>
  </si>
  <si>
    <t>2020/02/27 17:36:00</t>
  </si>
  <si>
    <t>投诉编号：【449051】  投诉时间： 2020-02-27 17:31  投诉品牌： 广汽三菱  投诉车系： 欧蓝德  投诉车型： 2019款 2.4L 四驱 致享版 7座 国VI        投诉内容  启动时速到40公里每小时的时候，发动机共振抖动，嗡嗡的响，然后去找4S店，他们也检查不出</t>
  </si>
  <si>
    <t>2020/02/27 17:31:00</t>
  </si>
  <si>
    <t>17款GS4自豪版日间行车灯坏了，4S店包换吗？</t>
  </si>
  <si>
    <t>2020/02/27 17:25:11</t>
  </si>
  <si>
    <t>磨合期过后双离合变速箱油需要更换吗？</t>
  </si>
  <si>
    <t>2020/02/27 17:20:57</t>
  </si>
  <si>
    <t>　　日前，梅赛德斯-奔驰（中国）汽车销售有限公司、北京奔驰汽车有限公司根据《缺陷汽车产品召回管理条例》和《缺陷汽车产品召回管理条例实施办法》的要求，向国家市场监督管理总局备案了召回计划，将自2020年3月26日起召回以下车辆，共计9765辆。　　（一）梅赛德斯-奔驰（中国）汽车销售有限公司召回部分2</t>
  </si>
  <si>
    <t>赵月</t>
  </si>
  <si>
    <t>2020/02/27 17:16:00</t>
  </si>
  <si>
    <t>召回 &gt; </t>
  </si>
  <si>
    <t>日前，梅赛德斯-奔驰（中国）汽车销售有限公司、北京奔驰汽车有限公司根据《缺陷汽车产品召回管理条例》和《缺陷汽车产品召回管理条例实施办法》的要求，向国家市场监督管理总局备案了召回计划，将自2020年3月26日起召回以下车辆，共计9765辆。    （一）梅赛德斯-奔驰（中国）汽车销售有限公司召回部分2</t>
  </si>
  <si>
    <t>投诉编号：【449048】投诉时间：2020-02-2717:15投诉品牌：上汽集团投诉车系：荣威i6新能源投诉车型：2017款45T混动互联智享版投诉内容大灯开关坏了，买车到现在20个月，正常使用未经外力破坏大灯开关的圆球脱落了，我又给按回去的但还是会掉。去售后沟通说是人为的不属于质保范围，需自费</t>
  </si>
  <si>
    <t>2020/02/27 17:15:00</t>
  </si>
  <si>
    <t>你好，我的车是吉利缤瑞2019款自动挡，格特拉克DCT250干式6速双离合，请问这款变速箱稳定吗？在车质网关于这款变速箱投诉多吗？销售说瑞虎7瑞虎8都在用，买车的时候有点犹豫还是买了，请问这款变速箱如果坏了，换离合片多少钱？</t>
  </si>
  <si>
    <t>2020/02/27 17:12:31</t>
  </si>
  <si>
    <t>吉利远景X3空调出风口出热风，但空调没开。</t>
  </si>
  <si>
    <t>　　日前，华晨宝马汽车有限公司、宝马（中国）汽车贸易有限公司根据《缺陷汽车产品召回管理条例》和《缺陷汽车产品召回管理条例实施办法》的要求，向国家市场监督管理总局备案了召回计划。决定自2020年5月1日起，再次召回部分国产及进口1999-2006款3系汽车。　　（一）华晨宝马汽车有限公司召回2003年</t>
  </si>
  <si>
    <t>2020/02/27 17:08:00</t>
  </si>
  <si>
    <t>日前，华晨宝马汽车有限公司、宝马（中国）汽车贸易有限公司根据《缺陷汽车产品召回管理条例》和《缺陷汽车产品召回管理条例实施办法》的要求，向国家市场监督管理总局备案了召回计划。决定自2020年5月1日起，再次召回部分国产及进口1999-2006款3系汽车。    （一）华晨宝马汽车有限公司召回2003年</t>
  </si>
  <si>
    <t>投诉编号：【449047】  投诉时间： 2020-02-27 16:58  投诉品牌： 路虎进口  投诉车系： 揽胜运动版  投诉车型： 2020款 3.0 L6 SE        投诉内容  2020年1月10号提车，1月11号早晨启动车辆，出现3个故障码，跟4S店沟通，回复路虎车是这样，小问</t>
  </si>
  <si>
    <t>2020/02/27 16:58:00</t>
  </si>
  <si>
    <t>投诉编号：【449042】投诉时间：2020-02-2716:43投诉品牌：东风标致投诉车系：标致308投诉车型：2014款乐享版经典1.6L自动风尚型投诉内容东风标致308电磁阀故障导致抖动，车子会猛烈颤抖、购车后这个问题多次维修过！之前都是4S店免费维修的！现已过保4S店不给免费维修，这个问题是</t>
  </si>
  <si>
    <t>2020/02/27 16:43:00</t>
  </si>
  <si>
    <t>投诉编号：【449040】  投诉时间： 2020-02-27 16:37  投诉品牌： 上汽集团  投诉车系： 名爵HS  投诉车型： 2018款 20T 自动 两驱 荷尔蒙劲情版 国V        投诉内容  上汽名爵HS提车没多久就发现右车门大喇叭有异响，去4s店说这个不好弄，因为出厂可能就</t>
  </si>
  <si>
    <t>2020/02/27 16:37:00</t>
  </si>
  <si>
    <t>投诉编号：【449038】  投诉时间： 2020-02-27 16:35  投诉品牌： 华晨宝马  投诉车系： 宝马3系  投诉车型： 2016款 320Li 时尚型        投诉内容  2020年2月25日到宁波4S店保养时告知发动机气门室盖漏油，严重影响安全。      投诉回复  车质</t>
  </si>
  <si>
    <t>2020/02/27 16:35:00</t>
  </si>
  <si>
    <t>投诉编号：【449037】投诉时间：2020-02-2716:34投诉品牌：吉利汽车投诉车系：帝豪GS投诉车型：2019款1.4TCVT雅投诉内容帝豪GS减震太差，投诉多次，吉利客服说让我花钱置换，减震系统没有运行的一样，还说德国人调校的减震，是德国小学生调校的吗？不管高速还是城市道路都是板车的感觉</t>
  </si>
  <si>
    <t>2020/02/27 16:34:00</t>
  </si>
  <si>
    <t>投诉编号：【449036】  投诉时间： 2020-02-27 16:31  投诉品牌： 吉利汽车  投诉车系： 帝豪GS  投诉车型： 2018款 1.8L 自动 优雅版 领尚型        投诉内容  我的车子是1.8双离合自动挡，车子出现的这个问题很长很长时间了。视频很多，但只能上传一个。问</t>
  </si>
  <si>
    <t>2020/02/27 16:31:00</t>
  </si>
  <si>
    <t>本人2019年9月20号新买的新车名爵HS，停放一周无法打火，电瓶亏电非常严重，此车辆质量严重不行，专坑中国人。本人已经投诉到315、车质网等等投诉平台，厂家和4S店都在推卸责任，把问题都归咎于消费者，责怪消费者不天天开车。各位车主们，你们遇到名爵HS电瓶经常亏电问题吗，你们是怎么处理的？</t>
  </si>
  <si>
    <t>zhangheng3</t>
  </si>
  <si>
    <t>2020/02/27 16:27:00</t>
  </si>
  <si>
    <t>名爵HS新车电瓶亏电严重无法打火本人2019年9月20号新买的新车名爵HS，停放一周无法打火，电瓶亏电非常严重，此车辆质量严重不行，专坑中国人。本人已经投诉到315、车质网等等投诉平台，厂家和4S店都在推卸责任，把问题都归咎于消费者，责怪消费者不天天开车。各位车主们，你们遇到名爵HS电瓶经常亏电问题</t>
  </si>
  <si>
    <t>投诉编号：【449034】投诉时间：2020-02-2716:23投诉品牌：上汽斯柯达投诉车系：晶锐投诉车型：2015款1.6L自动运动版投诉内容一月年前已投诉过一次，厂家来过电话但未给过明确时间或时限。后过年，又碰到疫情，本可理解。但我们这边已经开工半月，并且快递基本已恢复，直到昨日4S还给出配件</t>
  </si>
  <si>
    <t>2020/02/27 16:23:00</t>
  </si>
  <si>
    <t>凯越中控工作台开胶翘起是什么原因？</t>
  </si>
  <si>
    <t>2020/02/27 16:19:00</t>
  </si>
  <si>
    <t>新桑塔纳仪表盘上一个雪花标志和一个温度4℃数字突然闪烁，怎么回事？</t>
  </si>
  <si>
    <t>投诉编号：【449029】投诉时间：2020-02-2716:01投诉品牌：一汽-大众投诉车系：高尔夫投诉车型：2016款1.6L自动舒适型投诉内容上坡过程中加油时有异响，车外听得非常清楚，关上车窗后车内又听不到，刹车异响非常严重，开天窗时路况稍微差点异响，严重影响到正常使用，希望厂家重视处理。投诉</t>
  </si>
  <si>
    <t>2020/02/27 16:01:00</t>
  </si>
  <si>
    <t>汽车空调开暖风时主驾驶这边不吹热风，副驾驶那边正常，开冷风时，副驾驶那边不出冷风，主驾驶这边正常，都是出的自然风！</t>
  </si>
  <si>
    <t>2020/02/27 15:57:43</t>
  </si>
  <si>
    <t>购车两个月，汽车的启停功能时好时坏，属于产品质量问题吗？</t>
  </si>
  <si>
    <t>2020/02/27 15:53:35</t>
  </si>
  <si>
    <t>投诉编号：【449027】投诉时间：2020-02-2715:46投诉品牌：一汽-大众投诉车系：高尔夫・嘉旅投诉车型：2018款280TSI自动豪华型投诉内容如题，因有异响（哒哒哒），甚至在车里都能听到，到2家4S店去咨询过，有一家说大众车都这样，另有一家说是高压油泵的声音，我也是搞机器的人，我觉得</t>
  </si>
  <si>
    <t>2020/02/27 15:46:00</t>
  </si>
  <si>
    <t>投诉编号：【449026】  投诉时间： 2020-02-27 15:45  投诉品牌： 一汽红旗  投诉车系： 红旗H5  投诉车型： 2019款 30TD 智联灵动版        投诉内容  车子在正常行驶中，车速不足20㎞每小时，车子转向平衡拉杆竟无故断裂，4S店鉴定是人为因素，说行驶中溅起</t>
  </si>
  <si>
    <t>2020/02/27 15:45:00</t>
  </si>
  <si>
    <t>投诉编号：【449023】  投诉时间： 2020-02-27 15:41  投诉品牌： 吉利汽车  投诉车系： 远景X3  投诉车型： 2017款 1.5L 自动 尊贵型        投诉内容  本人1月中旬在厦门购买了吉利牌远景X3自动尊贵版汽车，后陆陆续续出现质量问题，先是3000公里左右气</t>
  </si>
  <si>
    <t>2020/02/27 15:41:00</t>
  </si>
  <si>
    <t>投诉编号：【449021】  投诉时间： 2020-02-27 15:27  投诉品牌： 长安马自达  投诉车系： 马自达3 昂克赛拉  投诉车型： 2017款 2.0L 自动 尊贵型 三厢 国V        投诉内容  车子一直很温柔的开，再加上是18寸的轮毂，容易坏，基本都是很避讳大坑的。这次</t>
  </si>
  <si>
    <t>2020/02/27 15:27:00</t>
  </si>
  <si>
    <t>亲爱的专家您好！一汽奥迪A3和华晨宝马1系哪款值得购买？</t>
  </si>
  <si>
    <t>2020/02/27 15:24:18</t>
  </si>
  <si>
    <t>投诉编号：【449020】投诉时间：2020-02-2715:23投诉品牌：江淮汽车投诉车系：瑞风S4投诉车型：2019款1.6LCVT超越型投诉内容江淮瑞风S4电瓶亏电更换配件未解决，充满电，发10天都放不了，就跑完电了。换了新电瓶也一样。投诉回复车质网已将您的投诉转给生产企业以及国家市场监督管理</t>
  </si>
  <si>
    <t>2020/02/27 15:23:00</t>
  </si>
  <si>
    <t>投诉编号：【449019】投诉时间：2020-02-2715:23投诉品牌：奔驰（进口）投诉车系：奔驰C级（进口）投诉车型：2013款1.8T自动180自动轿跑版投诉内容2013年购买的进口奔驰c180轿跑，已行驶8.75万公里。半年前开始出现发动机点火明显延迟，启动时有异响，直到三个月前发动机故障</t>
  </si>
  <si>
    <t>比如遥控控制车窗一键升降功能，还有上车自动锁门的功能。</t>
  </si>
  <si>
    <t>2020/02/27 15:19:11</t>
  </si>
  <si>
    <t>专家您好，我知道阿特兹空间要比1系大，但是我不知道哪款质量可靠。或者落地20万左右你有什么好的推荐，谢谢。</t>
  </si>
  <si>
    <t>2020/02/27 15:14:23</t>
  </si>
  <si>
    <t>长安cs75plus这个车三大件怎么样，这个蓝鲸发动机，和爱信变速箱，质量好不好。</t>
  </si>
  <si>
    <t>2020/02/27 15:10:00</t>
  </si>
  <si>
    <t>投诉编号：【449014】投诉时间：2020-02-2715:04投诉品牌：北京越野投诉车系：北京BJ20投诉车型：2016款1.5TCVT豪华型投诉内容北京BJ20后视镜立柱断裂无解决方案，后视镜里面的立柱是塑料的，来回折叠几次就坏了。投诉回复车质网已将您的投诉转给生产企业以及国家市场监督管理总局</t>
  </si>
  <si>
    <t>2020/02/27 15:04:00</t>
  </si>
  <si>
    <t>投诉编号：【449012】投诉时间：2020-02-2714:49投诉品牌：一汽丰田投诉车系：RAV4荣放投诉车型：2019款2.0LCVT两驱智尚版国VI投诉内容2019年9月10日购买该车，10月3日发动机故障，经检测，为严重发动机故障，厂家同意更换发动机，但5个月过去了，发动机依然没有更换完，</t>
  </si>
  <si>
    <t>2020/02/27 14:49:00</t>
  </si>
  <si>
    <t>投诉编号：【449010】  投诉时间： 2020-02-27 14:39  投诉品牌： 海马汽车  投诉车系： 海马S5  投诉车型： 2016款 1.5T CVT 创享版        投诉内容  2016年6.20提的海马S5，刚开始是被它的外表所吸引，就买了人生中第一辆车海马S5，没想到这车</t>
  </si>
  <si>
    <t>2020/02/27 14:39:00</t>
  </si>
  <si>
    <t>投诉编号：【449006】  投诉时间： 2020-02-27 14:09  投诉品牌： 一汽奔腾  投诉车系： 奔腾T99  投诉车型： 2019款 20TD 自动 尊贵型        投诉内容  开到11000公里左右，挂D挡起步瞬间有强烈冲击并伴随齿轮异响，感觉会把变速箱打爆的感觉。倒挡没问</t>
  </si>
  <si>
    <t>2020/02/27 14:09:00</t>
  </si>
  <si>
    <t>投诉编号：【449004】  投诉时间： 2020-02-27 13:57  投诉品牌： 广汽三菱  投诉车系： 欧蓝德  投诉车型： 2019款 2.4L 四驱 致享版 5座 国VI        投诉内容  2019年11月提的车，这次加满油后前3公里都会有几次顿挫，像是刹车一样，3公里后就会消</t>
  </si>
  <si>
    <t>2020/02/27 13:57:00</t>
  </si>
  <si>
    <t>投诉编号：【449005】  投诉时间： 2020-02-27 13:57  投诉品牌： 观致汽车  投诉车系： 观致3  投诉车型： 2017款 1.6T 自动 致酷型 都市SUV        投诉内容  方向卡滞故障出现时间很久了，之前一直时好时坏的开着，后来持续出现，去了售后7次，前几次用了</t>
  </si>
  <si>
    <t>　　我们的车窗角落上同样隐藏着很多符号代码，接下来就为大家解读车窗上字母和数字符号的含义。　　汽车玻璃的符号位于车窗角落处，可以很轻松找到。　　以下图为例，汽车玻璃角标总共向我展示了八种含义，其中前三种为符号或Logo形式，最好理解。　　1、代表汽车品牌，样图中的为中华牌。　　2、3C（中国强制性产</t>
  </si>
  <si>
    <t>2020/02/27 13:28:00</t>
  </si>
  <si>
    <t>我们的车窗角落上同样隐藏着很多符号代码，接下来就为大家解读车窗上字母和数字符号的含义。    汽车玻璃的符号位于车窗角落处，可以很轻松找到。    以下图为例，汽车玻璃角标总共向我展示了八种含义，其中前三种为符号或Logo形式，最好理解。    1、代表汽车品牌，样图中的为中华牌。    2、3C（</t>
  </si>
  <si>
    <t>投诉编号：【449000】  投诉时间： 2020-02-27 13:26  投诉品牌： 上汽集团  投诉车系： 名爵3  投诉车型： 2014款 1.3L 自动 舒适版        投诉内容  突然就启动不了了，前几天还正常开着，也没有发生任何事故，保养不善等问题，就停在那，突然启动不了，保险公</t>
  </si>
  <si>
    <t>2020/02/27 13:26:00</t>
  </si>
  <si>
    <t>　　随着天气逐渐转暖，空气中的病菌也将消散在阳光中，再过段时相信我们将告别疫情迎来广大车主朋友们驾车出行的大好时光。虽然春暖花开，气候舒适，但是行车的几点注意事项不要忘记！　　驾车易乏，要防春困　　气候渐暖，人往往会处于一种懒洋洋的状态，无论开车还是干活总是反应慢一拍，这样就会直接危害行车安全。因此</t>
  </si>
  <si>
    <t>随着天气逐渐转暖，空气中的病菌也将消散在阳光中，再过段时相信我们将告别疫情迎来广大车主朋友们驾车出行的大好时光。虽然春暖花开，气候舒适，但是行车的几点注意事项不要忘记！    驾车易乏，要防春困    气候渐暖，人往往会处于一种懒洋洋的状态，无论开车还是干活总是反应慢一拍，这样就会直接危害行车安全。</t>
  </si>
  <si>
    <t>　　近日，新时代高端品牌领克汽车曝光了旗下车型领克05的部分智能科技配置。作为领克品牌的最新旗舰车型，领克05是都市对立美学的极致演绎，更是领克cma基础模块架构的极致力作。得益于引领行业的cma基础模块架构下的前瞻科技加持，领克05拥有l2 级智能驾驶、全彩hud抬头显示、含指纹识别的交互方式等同</t>
  </si>
  <si>
    <t>付佳</t>
  </si>
  <si>
    <t>2020/02/27 13:23:00</t>
  </si>
  <si>
    <t>近日，新时代高端品牌领克汽车曝光了旗下车型领克05的部分智能科技配置。作为领克品牌的最新旗舰车型，领克05是都市对立美学的极致演绎，更是领克cma基础模块架构的极致力作。得益于引领行业的cma基础模块架构下的前瞻科技加持，领克05拥有l2 级智能驾驶、全彩hud抬头显示、含指纹识别的交互方式等同级领</t>
  </si>
  <si>
    <t>　　近日，比亚迪官方宣布，今年发布的汉ev车型上将首次应用“高性能碳化硅mosfet电机控制模块”，运用该模块将有助于提升比亚迪汉ev的0-100km/h加速时间至仅需3.9秒，比亚迪汉也因此跻身全球量产车零百加速“3秒俱乐部”。　　汉ev将分为长短续航两个车型，长续航版本搭载峰值功率163kw的驱</t>
  </si>
  <si>
    <t>王忆斐</t>
  </si>
  <si>
    <t>2020/02/27 13:21:00</t>
  </si>
  <si>
    <t>近日，比亚迪官方宣布，今年发布的汉ev车型上将首次应用“高性能碳化硅mosfet电机控制模块”，运用该模块将有助于提升比亚迪汉ev的0-100km/h加速时间至仅需3.9秒，比亚迪汉也因此跻身全球量产车零百加速“3秒俱乐部”。    汉ev将分为长短续航两个车型，长续航版本搭载峰值功率163kw的驱</t>
  </si>
  <si>
    <t>　　从苹果siri到智能家居，语音服务为用户带来更加直观的沟通方式。在汽车行业，语音助理也逐渐成为人们日常出行必不可少的辅助功能。很多人希望能将亚马逊的alexa语音助理内置到自己的爱车中，亚马逊为此推出了echo auto车载语音智能硬件，目前已获得一百万的预定量。　　echo auto于2018</t>
  </si>
  <si>
    <t>阎明炜</t>
  </si>
  <si>
    <t>2020/02/27 13:17:00</t>
  </si>
  <si>
    <t>从苹果siri到智能家居，语音服务为用户带来更加直观的沟通方式。在汽车行业，语音助理也逐渐成为人们日常出行必不可少的辅助功能。很多人希望能将亚马逊的alexa语音助理内置到自己的爱车中，亚马逊为此推出了echo auto车载语音智能硬件，目前已获得一百万的预定量。    echo auto于2018</t>
  </si>
  <si>
    <t>　　近日，有媒体从官方获悉，f1季前第二轮试车在巴塞罗那赛道拉开帷幕，法拉利车队维特尔在上午发生失控旋转后以前10名完成当日的测试。　　此次测试主要是针对c2轮胎对于赛车性能的影响，维特尔以1分18秒113完成最快单圈，总计完成84圈。下午勒克莱尔接手测试，同样从c2轮胎开始，进行了一些空气动力学测</t>
  </si>
  <si>
    <t>2020/02/27 13:16:00</t>
  </si>
  <si>
    <t>评测 &gt; </t>
  </si>
  <si>
    <t>近日，有媒体从官方获悉，f1季前第二轮试车在巴塞罗那赛道拉开帷幕，法拉利车队维特尔在上午发生失控旋转后以前10名完成当日的测试。    此次测试主要是针对c2轮胎对于赛车性能的影响，维特尔以1分18秒113完成最快单圈，总计完成84圈。下午勒克莱尔接手测试，同样从c2轮胎开始，进行了一些空气动力学测</t>
  </si>
  <si>
    <t>双离合变速箱50码在几挡？</t>
  </si>
  <si>
    <t>2020/02/27 13:02:54</t>
  </si>
  <si>
    <t>　　两年车市不景气，但suv市场却一直保持增长，而且是越高端的车型销量增长越快，消费者的口味是越来越挑剔了，对品质的要求不断提升。而能在20万以上的suv市场占有一席之地的中国品牌车型并不多，红旗hs5上市以来销量持续攀升，如今月销量已经超过5000台，是这个细分市场表现最好的中国品牌车型。今天我们</t>
  </si>
  <si>
    <t>梁海文</t>
  </si>
  <si>
    <t>2020/02/27 12:58:00</t>
  </si>
  <si>
    <t>　　陷入“混改”传闻中的江淮汽车与蔚来均作出了回应。2月27日，江淮汽车发布股票交易异常波动公告，表示公司股票于2020年2月24日、25日、26日连续三个交易日收盘价格涨幅偏离值累计达到20%以上，属于股票交易异常波动情形。经公司自查及向相关方核实，公司与蔚来汽车之间不存在除已披露外的其他合作计划</t>
  </si>
  <si>
    <t>2020/02/27 12:51:00</t>
  </si>
  <si>
    <t>　　日前，标致全新皮卡――标致landtrek正式发布。该款车型是标致与长安汽车联合打造的，整体设计来源于长安凯程f70，被称为长安凯程f70的姊妹篇。标致landtrek主要负责拉丁美洲和非洲市场，分为推出multipurpose和workhorse两个版本，对应的是家庭用户和商用。　　外观方面，</t>
  </si>
  <si>
    <t>郝凡</t>
  </si>
  <si>
    <t>陷入“混改”传闻中的江淮汽车与蔚来均作出了回应。2月27日，江淮汽车发布股票交易异常波动公告，表示公司股票于2020年2月24日、25日、26日连续三个交易日收盘价格涨幅偏离值累计达到20%以上，属于股票交易异常波动情形。经公司自查及向相关方核实，公司与蔚来汽车之间不存在除已披露外的其他合作计划，也</t>
  </si>
  <si>
    <t>日前，标致全新皮卡——标致landtrek正式发布。该款车型是标致与长安汽车联合打造的，整体设计来源于长安凯程f70，被称为长安凯程f70的姊妹篇。标致landtrek主要负责拉丁美洲和非洲市场，分为推出multipurpose和workhorse两个版本，对应的是家庭用户和商用。    外观方面，</t>
  </si>
  <si>
    <t>　　近日，有网友拍到了一组插电混动版本宝马5系的谍照图，从图中我们可以看到，新车并未在进气格栅部分向7系看齐，而是保持了和之前相同的尺寸规格。但新5系在前大灯的内部造型上进行了改变，新车预计将于今年第三季度正式上市。　　外观方面，车身侧面轮廓与现款车型差别不大，新换装的五辐式轮毂造型十分运动。前大灯</t>
  </si>
  <si>
    <t>潘嘉伦</t>
  </si>
  <si>
    <t>2020/02/27 12:49:00</t>
  </si>
  <si>
    <t>近日，有网友拍到了一组插电混动版本宝马5系的谍照图，从图中我们可以看到，新车并未在进气格栅部分向7系看齐，而是保持了和之前相同的尺寸规格。但新5系在前大灯的内部造型上进行了改变，新车预计将于今年第三季度正式上市。    外观方面，车身侧面轮廓与现款车型差别不大，新换装的五辐式轮毂造型十分运动。前大灯</t>
  </si>
  <si>
    <t>　　据媒体报道，考虑到蔚来背负着15亿美元的债务，以及2019财年的自由现金流预计将为负14亿美元（约合98亿人民币），因此最近宣称的新一笔融资似乎杯水车薪。　　自2014年成立以来，蔚来总共损失了60亿美元。无论其现在进行什么样的融资项目，都可能需要非常大的资金来帮助止血。　　2月25日，蔚来汽车</t>
  </si>
  <si>
    <t>2020/02/27 12:48:00</t>
  </si>
  <si>
    <t>据媒体报道，考虑到蔚来背负着15亿美元的债务，以及2019财年的自由现金流预计将为负14亿美元（约合98亿人民币），因此最近宣称的新一笔融资似乎杯水车薪。    自2014年成立以来，蔚来总共损失了60亿美元。无论其现在进行什么样的融资项目，都可能需要非常大的资金来帮助止血。    2月25日，蔚来</t>
  </si>
  <si>
    <t>投诉编号：【448981】 
投诉时间： 2020-02-27 11:51 
投诉品牌： 长城汽车 
投诉车系： 哈弗F7x 
投诉车型： 2019款 1.5T 两驱 极智潮玩版 哈弗F7x车联网故障多功能显示无效</t>
  </si>
  <si>
    <t>2020/02/27 12:45:23</t>
  </si>
  <si>
    <t>汽车发动机动力不足从几方面考虑，都有可能是哪些零件出现问题？</t>
  </si>
  <si>
    <t>2020/02/27 12:45:02</t>
  </si>
  <si>
    <t>　　近日，据国外媒体报道，德国《经理人》杂志称，大众的id.3紧凑型电动汽车仍在与“大量”软件问题作斗争，这可能会迫使大众放弃夏季上市id.3的计划。　　《经理人》援引大众内部专家的话称：“开发一个强大的电子和软件架构是一个挑战，有可能会导致困难或是延误，我们当前正在解决这个问题。”　　该杂志称，数</t>
  </si>
  <si>
    <t>周乐</t>
  </si>
  <si>
    <t>2020/02/27 12:45:00</t>
  </si>
  <si>
    <t>近日，据国外媒体报道，德国《经理人》杂志称，大众的id.3紧凑型电动汽车仍在与“大量”软件问题作斗争，这可能会迫使大众放弃夏季上市id.3的计划。    《经理人》援引大众内部专家的话称：“开发一个强大的电子和软件架构是一个挑战，有可能会导致困难或是延误，我们当前正在解决这个问题。”    该杂志称</t>
  </si>
  <si>
    <t>自从2018年，全新一代奔驰c级轿车的测试谍照首度出现在网络上，新车已经被曝光过多次，但今天给大家带来的是性能更强劲的amg版，这也是其首度现身。    从此次曝光的谍照来看，尽管原型车被严重伪装起来，但有足够的线索表明这是出自amg之手。最明显的是网状进气格栅罩，它是amg车型独有的标志，用于隐藏</t>
  </si>
  <si>
    <t>2020/02/27 12:41:00</t>
  </si>
  <si>
    <t>　　自从2018年，全新一代奔驰c级轿车的测试谍照首度出现在网络上，新车已经被曝光过多次，但今天给大家带来的是性能更强劲的amg版，这也是其首度现身。　　从此次曝光的谍照来看，尽管原型车被严重伪装起来，但有足够的线索表明这是出自amg之手。最明显的是网状进气格栅罩，它是amg车型独有的标志，用于隐藏</t>
  </si>
  <si>
    <t>投诉编号：【448993】  投诉时间： 2020-02-27 12:38  投诉品牌： 众泰汽车  投诉车系： 云100  投诉车型： 2016款 云100S 豪华型        投诉内容  车子启动卡顿，行车过程脚刹刹不住，停车手刹不住。车子变速箱和制动系统质量有严重问题。      投诉回复</t>
  </si>
  <si>
    <t>2020/02/27 12:38:00</t>
  </si>
  <si>
    <t>投诉编号：【448992】  投诉时间： 2020-02-27 12:37  投诉品牌： 一汽解放  投诉车系： 解放J6P  投诉车型： 2011款 解放J6P 9.0 集装箱 半挂 牵引汽车 CA4250P66K24T1A1 EX型        投诉内容  一汽解放J6P高速行驶中正新轮胎爆胎</t>
  </si>
  <si>
    <t>2020/02/27 12:37:00</t>
  </si>
  <si>
    <t>投诉编号：【448991】  投诉时间： 2020-02-27 12:36  投诉品牌： 海马汽车  投诉车系： 海马M3  投诉车型： 2014款 1.5L 手动 精英型        投诉内容  海马M3车身多处位置生锈并且腐烂 ，右前侧发动机舱减震器旁边腐烂，车身左右两侧下门槛烂穿，后背箱多处</t>
  </si>
  <si>
    <t>2020/02/27 12:36:00</t>
  </si>
  <si>
    <t>投诉编号：【448990】  投诉时间： 2020-02-27 12:35  投诉品牌： 奔驰（进口）  投诉车系： 奔驰B级  投诉车型： 2017款 B 200 动感型        投诉内容  1、合同中明确在2年内质保4条轮胎，在2019年3月汽车辆轮胎出现质量问题，找4S店更换轮胎时，被告</t>
  </si>
  <si>
    <t>2020/02/27 12:35:00</t>
  </si>
  <si>
    <t>投诉编号：【448989】  投诉时间： 2020-02-27 12:34  投诉品牌： 一汽-大众  投诉车系： C-TREK蔚领  投诉车型： 2017款 1.6L 手动 舒适型        投诉内容  4s店说是防盗系统坏了，因为和仪表盘一体的，需要更换仪表，但是4s店一直说受疫情影响备件在</t>
  </si>
  <si>
    <t>2020/02/27 12:34:00</t>
  </si>
  <si>
    <t>日前，路虎刚刚宣布了针对英国市场全新卫士90和110配置车型的定价细节。其中，三门版卫士 90的起价为40，260英镑（约合36.5万人民币），而五门版卫士110的起价为45，240英镑（约合41.0万人民币）。据悉，英国市场上，卫士110车型将于2020年春季开始交付，首批卫士90车型将在夏天交付</t>
  </si>
  <si>
    <t>　　日前，路虎刚刚宣布了针对英国市场全新卫士90和110配置车型的定价细节。其中，三门版卫士 90的起价为40，260英镑（约合36.5万人民币），而五门版卫士110的起价为45，240英镑（约合41.0万人民币）。据悉，英国市场上，卫士110车型将于2020年春季开始交付，首批卫士90车型将在夏天</t>
  </si>
  <si>
    <t>由于非常漂亮时尚的外观，加上电动车环保的零排放，保时捷taycan一经面世便得到了车迷和媒体的一致认可。保时捷exclusive manufaktur原厂定制部门也注意到了这一动向，不断推出更具吸引力的原厂改装版。日前，他们就根据taycan turbo打造了一款sportdesign packag</t>
  </si>
  <si>
    <t>2020/02/27 12:33:00</t>
  </si>
  <si>
    <t>　　由于非常漂亮时尚的外观，加上电动车环保的零排放，保时捷taycan一经面世便得到了车迷和媒体的一致认可。保时捷exclusive manufaktur原厂定制部门也注意到了这一动向，不断推出更具吸引力的原厂改装版。日前，他们就根据taycan turbo打造了一款sportdesign pack</t>
  </si>
  <si>
    <t>2020年将是全新GT2级赛车首次上阵的赛季，它比GT3赛车提供更高的动力和更少的空气阻力。日前，奥地利汽车与摩托车制造商KTM发布全新X-Bow GT2赛车，成为宣布进入全新GT2赛事的第三个品牌，接受保时捷和奥迪的挑战。　　从发布的预告图片来看，赛车的细节令人印象深刻。由此，KTM将成为第一家提</t>
  </si>
  <si>
    <t>2020/02/27 12:31:00</t>
  </si>
  <si>
    <t>2020年2月26日，我们从外媒获悉到一组宝马ix3的谍照。关于ix3的造型其实已经有了不少的曝光，而此次曝光的谍照主要是针对轮胎部分，宝马计划在ix3上使用最新的空气动力轮圈。    根据外媒的报告，宝马在ix3上使用的空气动力轮圈可以比采用标准规格轮圈的ix3减少5%的行驶阻力，因此在续航里程上</t>
  </si>
  <si>
    <t>2020/02/27 12:26:00</t>
  </si>
  <si>
    <t>　　2020年2月26日，我们从外媒获悉到一组宝马ix3的谍照。关于ix3的造型其实已经有了不少的曝光，而此次曝光的谍照主要是针对轮胎部分，宝马计划在ix3上使用最新的空气动力轮圈。　　根据外媒的报告，宝马在ix3上使用的空气动力轮圈可以比采用标准规格轮圈的ix3减少5%的行驶阻力，因此在续航里程上</t>
  </si>
  <si>
    <t>　　2020年2月26日，我们从外媒获悉到一组大众途锐r插电混动版的照片。这不是大众首次推出插电混动车型，在此之前就已经有了高尔夫gte等插电混动车型，但把电动机加持在性能原本就不弱的途锐r上还是首次。　　途锐r是目前大众的旗舰suv，它搭载了一台3.0l v6涡轮增压发动机，最大功率250kw。在</t>
  </si>
  <si>
    <t>2020/02/27 12:17:00</t>
  </si>
  <si>
    <t>2020年2月26日，我们从外媒获悉到一组大众途锐r插电混动版的照片。这不是大众首次推出插电混动车型，在此之前就已经有了高尔夫gte等插电混动车型，但把电动机加持在性能原本就不弱的途锐r上还是首次。    途锐r是目前大众的旗舰suv，它搭载了一台3.0l v6涡轮增压发动机，最大功率250kw。在</t>
  </si>
  <si>
    <t>　　在灯的运用上，奥迪一直被冠以“灯厂”的称号。这个称号虽然名副其实，但我却觉得不是唯一。宝马对灯光的执着和运用我个人认为是不逊于奥迪的，它相比奥迪来说在灯光上更有传承性，天使眼大灯就是其中最鲜明的代表。　　为了使旗下车辆获得更独特的设计，宝马x6配备了散热器格栅照明系统，其正是由世界著名的灯具制造</t>
  </si>
  <si>
    <t>2020/02/27 12:14:00</t>
  </si>
  <si>
    <t>在灯的运用上，奥迪一直被冠以“灯厂”的称号。这个称号虽然名副其实，但我却觉得不是唯一。宝马对灯光的执着和运用我个人认为是不逊于奥迪的，它相比奥迪来说在灯光上更有传承性，天使眼大灯就是其中最鲜明的代表。    为了使旗下车辆获得更独特的设计，宝马x6配备了散热器格栅照明系统，其正是由世界著名的灯具制造</t>
  </si>
  <si>
    <t>　　2020年2月26日，我们从外媒获悉，新晋超跑制造商rimac将在即将到来的日内瓦车展发布旗下c_two纯电超跑的量产版本，它的百公里加速可以达到惊人的1.85秒！　　随着电动机的大量应用，一台台纯电超跑刷新着我们对于性能的认知。c_two的纯电超跑的动力由4台电机组成，可提供1389kw的最大</t>
  </si>
  <si>
    <t>2020/02/27 12:13:00</t>
  </si>
  <si>
    <t>2020年2月26日，我们从外媒获悉，新晋超跑制造商rimac将在即将到来的日内瓦车展发布旗下c_two纯电超跑的量产版本，它的百公里加速可以达到惊人的1.85秒！    随着电动机的大量应用，一台台纯电超跑刷新着我们对于性能的认知。c_two的纯电超跑的动力由4台电机组成，可提供1389kw的最大</t>
  </si>
  <si>
    <t>　　日前，有媒体了解到，大众汽车将增设新职位，聘请一位环境运动活动人士挑战该公司的环境政策，意在加快推进绿色环保和电气化转型，该职位有权直接向迪斯和其他大众高管汇报工作。　　大众汽车集团首席执行官赫伯特.迪斯表示：“我正在寻求聘用一位环境运动活动人士。我们有很多想法，但在大众集团这么大的机构里实施起</t>
  </si>
  <si>
    <t>2020/02/27 12:10:00</t>
  </si>
  <si>
    <t>日前，有媒体了解到，大众汽车将增设新职位，聘请一位环境运动活动人士挑战该公司的环境政策，意在加快推进绿色环保和电气化转型，该职位有权直接向迪斯和其他大众高管汇报工作。    大众汽车集团首席执行官赫伯特.迪斯表示：“我正在寻求聘用一位环境运动活动人士。我们有很多想法，但在大众集团这么大的机构里实施起</t>
  </si>
  <si>
    <t>投诉编号：【448983】 
投诉时间： 2020-02-27 11:54 
投诉品牌： 东风日产 
投诉车系： 逍客 
投诉车型： 2016款 2.0L CVT 领先版 请求厂家召回或者更换变速箱</t>
  </si>
  <si>
    <t>2020/02/27 12:08:37</t>
  </si>
  <si>
    <t>投诉编号：【448987】  投诉时间： 2020-02-27 12:07  投诉品牌： 上汽大众  投诉车系： 途安  投诉车型： 2013款 1.4TSI 豪华璀璨版 5座        投诉内容  我于2013年1月购买途安，在行驶过程中，出现2挡“突突”现象，没有其他问题。2016年8月，我</t>
  </si>
  <si>
    <t>2020/02/27 12:07:00</t>
  </si>
  <si>
    <t>　　在即将开幕的日内瓦车展上，宾尼法利纳（pininfarina）将带来其超级电动跑车――battista anniversario，目前其官方预告图正式发布。有媒体从宾尼法利纳官方获悉，该车限量推出仅5辆，是向宾尼法利纳成立90周年庆祝的献礼车型。　　battista anniversario可以</t>
  </si>
  <si>
    <t>2020/02/27 12:02:00</t>
  </si>
  <si>
    <t>在即将开幕的日内瓦车展上，宾尼法利纳（pininfarina）将带来其超级电动跑车——battista anniversario，目前其官方预告图正式发布。有媒体从宾尼法利纳官方获悉，该车限量推出仅5辆，是向宾尼法利纳成立90周年庆祝的献礼车型。    battista anniversario可以</t>
  </si>
  <si>
    <t>　　日前，我们从海外媒体获悉，丰田camry（国内为凯美瑞车型）四驱版将于今年一季度正式在北美市场开售，新车共推出5款车型，售价区间27,325美元-29,225美元。与前驱版车型相比，新车外观换装更加“激进”的运动套装，下方采用大嘴式梯形设计，同时两侧还加入了带有空气动力学造型的进气口。　　即将发</t>
  </si>
  <si>
    <t>石瑞</t>
  </si>
  <si>
    <t>2020/02/27 11:59:00</t>
  </si>
  <si>
    <t>日前，我们从海外媒体获悉，丰田camry（国内为凯美瑞车型）四驱版将于今年一季度正式在北美市场开售，新车共推出5款车型，售价区间27,325美元-29,225美元。与前驱版车型相比，新车外观换装更加“激进”的运动套装，下方采用大嘴式梯形设计，同时两侧还加入了带有空气动力学造型的进气口。    即将发</t>
  </si>
  <si>
    <t>　　levante是玛莎拉蒂旗下首款suv车型，并于2017年正式上市。日前，我们从海外媒体获悉，玛莎拉蒂计划推出levante插电式混合动力版，新车预计会在7月份开始在意大利都灵工厂投产，最快将于明年正式上市。　　根据此前的消息，玛莎拉蒂将于今年全面开启电动化战略，ghibli插电式混合动力版将成</t>
  </si>
  <si>
    <t>张晓</t>
  </si>
  <si>
    <t>2020/02/27 11:58:00</t>
  </si>
  <si>
    <t>levante是玛莎拉蒂旗下首款suv车型，并于2017年正式上市。日前，我们从海外媒体获悉，玛莎拉蒂计划推出levante插电式混合动力版，新车预计会在7月份开始在意大利都灵工厂投产，最快将于明年正式上市。    根据此前的消息，玛莎拉蒂将于今年全面开启电动化战略，ghibli插电式混合动力版将成</t>
  </si>
  <si>
    <t>　　总裁是玛莎拉蒂旗下一款大型行政级轿车，该车凭借兼顾豪华与运动的特质备受消费者喜爱。日前，我们从海外媒体获悉，玛莎拉蒂总裁将推出插电混动版车型，新车预计会在7月份开始在意大利都灵工厂投产，最快将于明年正式上市。　　据了解，玛莎拉蒂将于今年（2020年）正式开启全面电动化战略，玛莎拉蒂官方曾表示，未</t>
  </si>
  <si>
    <t>2020/02/27 11:56:00</t>
  </si>
  <si>
    <t>总裁是玛莎拉蒂旗下一款大型行政级轿车，该车凭借兼顾豪华与运动的特质备受消费者喜爱。日前，我们从海外媒体获悉，玛莎拉蒂总裁将推出插电混动版车型，新车预计会在7月份开始在意大利都灵工厂投产，最快将于明年正式上市。    据了解，玛莎拉蒂将于今年（2020年）正式开启全面电动化战略，玛莎拉蒂官方曾表示，未</t>
  </si>
  <si>
    <t>　　本期的家电冬令营我们的测试车型是北京现代菲斯塔纯电动，看看国际品牌的新能源产品表现如何。燃油车油耗水平是选车重要考虑因素，与之相似，新能源车型的能耗以及续航的表现也是权衡车辆品质的重中之重，本期主角菲斯塔纯电动的nedc续航里程为490km，实际使用中它的续航能力究竟缩水了多少？寒冷的冬天开空调</t>
  </si>
  <si>
    <t>2020/02/27 11:54:00</t>
  </si>
  <si>
    <t>本期的家电冬令营我们的测试车型是北京现代菲斯塔纯电动，看看国际品牌的新能源产品表现如何。燃油车油耗水平是选车重要考虑因素，与之相似，新能源车型的能耗以及续航的表现也是权衡车辆品质的重中之重，本期主角菲斯塔纯电动的nedc续航里程为490km，实际使用中它的续航能力究竟缩水了多少？寒冷的冬天开空调会不</t>
  </si>
  <si>
    <t>投诉编号：【448982】  投诉时间： 2020-02-27 11:52  投诉品牌： 东风本田  投诉车系： 哥瑞  投诉车型： 2016款 1.5L CVT 风尚版        投诉内容  车子冷车或放置一会，启动时发动机会持续发出一到两秒的刺啦声，特别刺耳，而且非常频繁，都说是地球梦发动机</t>
  </si>
  <si>
    <t>2020/02/27 11:52:00</t>
  </si>
  <si>
    <t>日前，巴博斯改装了一款新的皮卡。全新皮卡基于目前在售的奔驰amg g63 suv车型。它暂时被称为巴博斯800冒险者 xlp，在原车基础上进行了大量的越野性能升级。该车最大的亮点是其拥有800马力，采用g63双涡轮v-8发动机，百公里加速控制在5秒内。    巴博斯800冒险者 xlp保留了原车的驾</t>
  </si>
  <si>
    <t>2020/02/27 11:51:00</t>
  </si>
  <si>
    <t>　　近日，雷诺官方发布了一组塔利斯曼中期改款的新车官图。作为中期改款车型来说，新车针对外观的一些细节进行了调整，同时还相应地升级了车内的科技配置。此外动力方面，该车采用1.3t/1.8t涡轮增压汽油发动机以及1.7升/2.0升柴油发动机供消费者进行选择。三厢轿车版estate车型（旅行版）　　外观方</t>
  </si>
  <si>
    <t>李子巍</t>
  </si>
  <si>
    <t>2020/02/27 11:49:00</t>
  </si>
  <si>
    <t>近日，雷诺官方发布了一组塔利斯曼中期改款的新车官图。作为中期改款车型来说，新车针对外观的一些细节进行了调整，同时还相应地升级了车内的科技配置。此外动力方面，该车采用1.3t/1.8t涡轮增压汽油发动机以及1.7升/2.0升柴油发动机供消费者进行选择。三厢轿车版estate车型（旅行版）    外观方</t>
  </si>
  <si>
    <t>你好，我车是大众迈腾2017款，按三包法将于近期质保到期，我车春节高速行驶中突发变速箱故障报警，且显示“变速箱进入紧急状态，无法挂入倒挡”后经4S检车确定是变速箱机电单元故障可以在质保期内免费更换，但是换新的部件的质保只能随整车质保到期而终止。我现在提出，对于核心部件并且已产生过重大安全隐患的事实，</t>
  </si>
  <si>
    <t>2020/02/27 11:48:59</t>
  </si>
  <si>
    <t>　　中国动力电池巨头宁德时代又有大动作，开启两项“百亿元”级别投资项目。2月27日，宁德时代发布公告称，公司拟向不超过35名特定对象非公开发行股票，募资约200亿元资金用于动力电池及储能电池项目建设、研发及补充流动资金，以提升盈利空间，稳固市场地位。截图来自官方公告　　根据宁德时代《非公开发行股票预</t>
  </si>
  <si>
    <t>李争光</t>
  </si>
  <si>
    <t>2020/02/27 11:47:00</t>
  </si>
  <si>
    <t>奥迪A4 2.0T高功率仍有动力提升空间 艾森ECU升级增加本辆奥迪A4L搭载7速DCT双离合变速箱，最大功率185KW/252HP(5000-6000rpm)，最大扭矩370NM(1600-4500rpm)，车主表示该车动力只能说是中规中矩，希望通过ECU升级在安全范围内让座驾动力更猛一些!艾森标</t>
  </si>
  <si>
    <t>AESCN艾森</t>
  </si>
  <si>
    <t>本辆奥迪A4L搭载7速DCT双离合变速箱，最大功率185KW/252HP(5000-6000rpm)，最大扭矩370NM(1600-4500rpm)，车主表示该车动力只能说是中规中矩，希望通过ECU升级在安全范围内让座驾动力更猛一些!艾森标准化施工：车辆检测读取原车程序制定调校方案程序调校植入升级后</t>
  </si>
  <si>
    <t>中国动力电池巨头宁德时代又有大动作，开启两项“百亿元”级别投资项目。2月27日，宁德时代发布公告称，公司拟向不超过35名特定对象非公开发行股票，募资约200亿元资金用于动力电池及储能电池项目建设、研发及补充流动资金，以提升盈利空间，稳固市场地位。截图来自官方公告    根据宁德时代《非公开发行股票预</t>
  </si>
  <si>
    <t>　　2月26日，新能源汽车国家监测与管理中心发布关于调整《国家平台数据接入规则》的通知。　　通知指出，国家平台运行三年来，新能源汽车接入量已突破300万辆，新能源汽车大数据技术日趋成熟，各企业车辆数据质量明显提升。为做好行业服务，化解疫情给行业带来的不利影响，减轻新能源汽车企业车辆接入压力，现对《国</t>
  </si>
  <si>
    <t>2020/02/27 11:46:00</t>
  </si>
  <si>
    <t>2月26日，新能源汽车国家监测与管理中心发布关于调整《国家平台数据接入规则》的通知。    通知指出，国家平台运行三年来，新能源汽车接入量已突破300万辆，新能源汽车大数据技术日趋成熟，各企业车辆数据质量明显提升。为做好行业服务，化解疫情给行业带来的不利影响，减轻新能源汽车企业车辆接入压力，现对《国</t>
  </si>
  <si>
    <t>　　不论你是不是汽车爱好者或发烧友，只要想买车或接触汽车比较多，可能都听过这种说法：日系车“轻”。的确，最早导入轻量化理念的是日系车，而现在包括德系和美系在内的众多车型也都踏上了“减肥”的征程。近日，日本丰田纺织株式会社联合科思创，共同为丰田汽车公司全新电动概念车lq开发一款新型聚氨酯复合材料，这也</t>
  </si>
  <si>
    <t>彭斐</t>
  </si>
  <si>
    <t>2020/02/27 11:45:00</t>
  </si>
  <si>
    <t>不论你是不是汽车爱好者或发烧友，只要想买车或接触汽车比较多，可能都听过这种说法：日系车“轻”。的确，最早导入轻量化理念的是日系车，而现在包括德系和美系在内的众多车型也都踏上了“减肥”的征程。近日，日本丰田纺织株式会社联合科思创，共同为丰田汽车公司全新电动概念车lq开发一款新型聚氨酯复合材料，这也意味</t>
  </si>
  <si>
    <t>　　日前，ds发布了旗下全新概念车型――ds aero sport lounge。该车是一款强调“效率”的纯电动suv，外观采用了十分科幻的设计语言，代表了ds品牌对未来出行领域的憧憬。动力部分，这款概念车的最大功率为500kw（680ps），百公里加速仅需2.8s，续航里程超过400英里（约644</t>
  </si>
  <si>
    <t>赵宗烨</t>
  </si>
  <si>
    <t>2020/02/27 11:43:00</t>
  </si>
  <si>
    <t>日前，ds发布了旗下全新概念车型——ds aero sport lounge。该车是一款强调“效率”的纯电动suv，外观采用了十分科幻的设计语言，代表了ds品牌对未来出行领域的憧憬。动力部分，这款概念车的最大功率为500kw（680ps），百公里加速仅需2.8s，续航里程超过400英里（约644公里</t>
  </si>
  <si>
    <t>汽车召回与三包论坛</t>
  </si>
  <si>
    <t>吉利远景变速箱有问题的大家商量一下远景4at变速箱出问题是厂家自身的设计缺陷，维修和换新变速箱都是指标不治本的，我有一朋友10万公里换俩变速箱了，就算4s店换个新的谁也不敢保证它会不会出问题，这样的车敢开上高速吗？我觉厂家这是对消费者的人身安全不负责任，我们有问题的大家商量一下多点人在同一天打电话投</t>
  </si>
  <si>
    <t>吉利坑人</t>
  </si>
  <si>
    <t>2020/02/27 11:40:00</t>
  </si>
  <si>
    <t>汽车召回与三包</t>
  </si>
  <si>
    <t>远景4at变速箱出问题是厂家自身的设计缺陷，维修和换新变速箱都是指标不治本的，我有一朋友10万公里换俩变速箱了，就算4s店换个新的谁也不敢保证它会不会出问题，这样的车敢开上高速吗.......</t>
  </si>
  <si>
    <t>新车2230公里，怠速抖动，冷启声音大，转速高，座椅明显能感觉到震动，排气筒偶尔有突突的声音，去4s店检测说正常，回去开还是有抖动，自己怀疑发动机有缺缸问题。</t>
  </si>
  <si>
    <t>磨合加实习</t>
  </si>
  <si>
    <t>2020/02/27 11:39:00</t>
  </si>
  <si>
    <t>太无语了！整车其他的小毛病问题我能忍！但是，这个方向盘我真的忍不了，什么电子助力，这根本就是0助力！之前方向卡顿换过方向管柱了，现在又特别沉重！开起来非常不踏实的感觉，车子开的想发火！都想砸方向盘！实质性的问题为什么网上投诉那么多厂家一直不招回解决？每次上店里检查4s店也说这毛病是通病，没法修！现代</t>
  </si>
  <si>
    <t>不想起床</t>
  </si>
  <si>
    <t>北京现代领动转向沉重太无语了！整车其他的小毛病问题我能忍！但是，这个方向盘我真的忍不了，什么电子助力，这根本就是0助力！之前方向卡顿换过方向管柱了，现在又特别沉重！开起来非常不踏实的感觉，车子开的想发火！都想砸方向盘！实质性的问题为什么网上投诉那么多厂家一直不招回解决？每次上店里检查4s店也说这毛病</t>
  </si>
  <si>
    <t>本田缤智发动机怠速抖动新车2230公里，怠速抖动，冷启声音大，转速高，座椅明显能感觉到震动，排气筒偶尔有突突的声音，去4s店检测说正常，回去开还是有抖动，自己怀疑发动机有缺缸问题。</t>
  </si>
  <si>
    <t>前门左右门缝隙固定位置螺丝边生锈，开车过坎时座椅和车窗异响，中控屏出现过黑屏，挂倒挡时出现过无信号。</t>
  </si>
  <si>
    <t>月月光光光</t>
  </si>
  <si>
    <t>2020/02/27 11:38:00</t>
  </si>
  <si>
    <t>远景螺丝生锈 车窗座椅异响 中控黑屏前门左右门缝隙固定位置螺丝边生锈，开车过坎时座椅和车窗异响，中控屏出现过黑屏，挂倒挡时出现过无信号。</t>
  </si>
  <si>
    <t>刚开始买的时候轮胎挺好的，时间稍久就发现轮胎开裂，原地打方向竟然爆了，也是无语了，家里亲戚也买了一辆，同样的问题，他也遇到了，而且油耗高到13油百公里。</t>
  </si>
  <si>
    <t>电瓶车环游世界</t>
  </si>
  <si>
    <t>2020/02/27 11:37:00</t>
  </si>
  <si>
    <t>2020年1月17日下午五点从4S店出发回家，因下班高峰路上行驶较慢，行驶一个多钟到市区后我下车到学校保安亭取快递后上车就无法启动。后赶紧与4S店联系，让打电话通知紧急救援。紧急救援人员过来说是电池不能充电而且存在漏电问题。于是救援人员将车充电后建议将车送回4S店检修。1月18日说检查发现系统也存在</t>
  </si>
  <si>
    <t>充电五分钟</t>
  </si>
  <si>
    <t>长安睿骋邓禄普轮胎开裂 爆胎刚开始买的时候轮胎挺好的，时间稍久就发现轮胎开裂，原地打方向竟然爆了，也是无语了，家里亲戚也买了一辆，同样的问题，他也遇到了，而且油耗高到13油百公里。</t>
  </si>
  <si>
    <t>北京奔驰GLB新车无法启动2020年1月17日下午五点从4S店出发回家，因下班高峰路上行驶较慢，行驶一个多钟到市区后我下车到学校保安亭取快递后上车就无法启动。后赶紧与4S店联系，让打电话通知紧急救援。紧急救援人员过来说是电池不能充电而且存在漏电问题。于是救援人员将车充电后建议将车送回4S店检修。1月</t>
  </si>
  <si>
    <t>本田思域优科豪马轮胎不同程度掉皮去到东风本田特约销售服务店，店员说帮我反映问题回厂家，审批更换2条轮胎，为什么不是4条？我的车4条轮胎都出现不同程度的掉皮。</t>
  </si>
  <si>
    <t>加不起油啦</t>
  </si>
  <si>
    <t>2020/02/27 11:36:00</t>
  </si>
  <si>
    <t>去到东风本田特约销售服务店，店员说帮我反映问题回厂家，审批更换2条轮胎，为什么不是4条？我的车4条轮胎都出现不同程度的掉皮。</t>
  </si>
  <si>
    <t>从购车后异味严重各种办法都用，4S店一直推委，新车是这样的，多通通风就好了。到目前为止车子五年多了车子还是有异味。希望厂家给个说法！三包期售后解释是正常的！三包期过后售后讲交钱检测一下看看！这就是大众的售后服务吗？半轴油封渗油。</t>
  </si>
  <si>
    <t>喷你一脸</t>
  </si>
  <si>
    <t>2020/02/27 11:35:00</t>
  </si>
  <si>
    <t>变速箱故障灯一闪一闪，希望厂家尽快处理解决问题。</t>
  </si>
  <si>
    <t>爆缸啦</t>
  </si>
  <si>
    <t>海马S5变速箱故障灯闪烁变速箱故障灯一闪一闪，希望厂家尽快处理解决问题。</t>
  </si>
  <si>
    <t>大众朗逸车内异味严重 半轴油封渗油从购车后异味严重各种办法都用，4S店一直推委，新车是这样的，多通通风就好了。到目前为止车子五年多了车子还是有异味。希望厂家给个说法！三包期售后解释是正常的！三包期过后售后讲交钱检测一下看看！这就是大众的售后服务吗？半轴油封渗油。</t>
  </si>
  <si>
    <t>投诉编号：【448979】投诉时间：2020-02-2711:35投诉品牌：一汽-大众投诉车系：高尔夫・嘉旅投诉车型：2016款230TSI自动进取型投诉内容在宁夏的嘉旅车友会里了解到，多辆车出现这个情况，在网上关于大众7挡双离合的车辆更多。如果个别的车辆我无话可说，但是很多车辆都是出现这个问题。投</t>
  </si>
  <si>
    <t>2019年9月5到中秋期间遇到启动机打火没反应，需要反复几次打火启动机才能打着火，刚过保不到半年，开始以为是电瓶问题，后来才发现很多14款车主都有类似故障，这样这个启动机肯定质量缺陷，有的车才跑三万公里起动机就坏的，强烈要求厂家质保，这又启动不了让消费者怎么再相信本田的质量！</t>
  </si>
  <si>
    <t>小鸟坏蛋</t>
  </si>
  <si>
    <t>2020/02/27 11:34:00</t>
  </si>
  <si>
    <t>本田飞度启动机损坏发动机无法启动2019年9月5到中秋期间遇到启动机打火没反应，需要反复几次打火启动机才能打着火，刚过保不到半年，开始以为是电瓶问题，后来才发现很多14款车主都有类似故障，这样这个启动机肯定质量缺陷，有的车才跑三万公里起动机就坏的，强烈要求厂家质保，这又启动不了让消费者怎么再相信本田</t>
  </si>
  <si>
    <t>　　经历过疫情和复工潮，相信很多还没有买车的朋友都会有个相同的冲动，是时候给自己和家人买辆车代步了。不为其他，买菜靠走路、上下班通勤打车、坐公共交通却又心惊胆战的滋味着实不好受。何不对自己好一些呢？疫情不仅影响了个人，也影响了车企，短期的销量下滑已是必然，4S店里的库存如何快速清掉？据小编了解，无论</t>
  </si>
  <si>
    <t>黄增鉴</t>
  </si>
  <si>
    <t>现在4s以刹车片超过5000公里拒保，并且说刹车盘磨损还不够严重，让我继续开，试问非要等到刹车失灵再换吗？刹车片属于严重的质量问题，请宝马厂家重视，不能以超过质保期为由拒保，搪塞。难道超过质保期它就该坏吗，我买车三年质保，过了三年难道就该坏吗？现在不应该拿着超过质保期来搪塞，而是你们要重视它的质量问</t>
  </si>
  <si>
    <t>天龙一部</t>
  </si>
  <si>
    <t>2020/02/27 11:33:00</t>
  </si>
  <si>
    <t>华晨宝马5系刹车片及刹车盘异常磨损现在4s以刹车片超过5000公里拒保，并且说刹车盘磨损还不够严重，让我继续开，试问非要等到刹车失灵再换吗？刹车片属于严重的质量问题，请宝马厂家重视，不能以超过质保期为由拒保，搪塞。难道超过质保期它就该坏吗，我买车三年质保，过了三年难道就该坏吗？现在不应该拿着超过质保</t>
  </si>
  <si>
    <t>　　疫情来临之后，很多人清楚地认识到拥有一辆车的好处，当假期公共交通的班次减少，当复工后车厢内依然人群密集，有车一族的你就会庆幸自己大大降低了被感染的风险。对于大城市的人们来说，外来人口众多，公共交通更是人潮拥挤，因此买车显得更有必要性。　　因此手头宽裕的消费者，便会考虑买一辆时尚高颜值品牌又响亮的</t>
  </si>
  <si>
    <t>陈烨</t>
  </si>
  <si>
    <t>2020/02/27 11:30:00</t>
  </si>
  <si>
    <t>　　对于奇瑞品牌来说，2020年最重要的车型之一可能就是在1月2日正式开启预售的全新紧凑级SUV―奇瑞瑞虎7了，全系预售价为8.59-15.09万，尽管目前没有上市，但依旧凭借着其全新的设计，以及偏年轻、个性的定位收获了不少的关注度。　　而转向长安阵营，刚刚在19年广州车展上市的长安CS55PLUS</t>
  </si>
  <si>
    <t>王嘉逸</t>
  </si>
  <si>
    <t>2020/02/27 11:27:00</t>
  </si>
  <si>
    <t>　　90后、00后步入社会后，买车主力渐渐向年轻人群靠拢。很多年轻人在选购第一台车时会纠结，两台定位差不多，价格差不多的车该怎么选。现在汽车同质化很严重，尤其入门级车型，性能、配置、定价都差不多，确实很容易让人纠结。最常见的10万元以内的家用小车怎么选，其中德系Polo和日系飞度就是很容易引起纠结两</t>
  </si>
  <si>
    <t>tong</t>
  </si>
  <si>
    <t>2020/02/27 11:23:00</t>
  </si>
  <si>
    <t>　　近期有朋友咨询我创界这款车怎么样？它的1.3T三缸发动机靠谱吗？我跟他聊了一会才知道他打算将手上的卡罗拉置换成创界。卡罗拉置换创界似乎并没有消费升级呀？他怎么会想着换一辆几乎没有多少价格差的车型呢？我们接着来慢慢了解。　　朋友向我透露，他这辆卡罗拉是低配车型，平时开着也没有什么大问题，就是空间让</t>
  </si>
  <si>
    <t>曾月林</t>
  </si>
  <si>
    <t>2020/02/27 11:21:00</t>
  </si>
  <si>
    <t>节温器有几种表现形式都是什么？</t>
  </si>
  <si>
    <t>2020/02/27 11:19:18</t>
  </si>
  <si>
    <t>新款卡罗拉1.2T的发动机质量还和之前丰田发动机质量一如既往的稳定？优秀吗？是不是也是会增加积碳？保养贵呢？谢谢！</t>
  </si>
  <si>
    <t>　　几年前的纯电动车很少有突破400km，而如今的电动车市场两三百的续航里程好像都不足以满足市场的需求。尤其是自主品牌的纯电动车，续航里程达到450km、500km甚至是600km都不少见。从前它们只是日常上下班的代步工具，如今我们甚至都能开着它来段短途旅行。今天我们就为大家推荐四款20万左右就能入</t>
  </si>
  <si>
    <t>刘海欣</t>
  </si>
  <si>
    <t>2020/02/27 11:16:00</t>
  </si>
  <si>
    <t>　　埃尔法一直以来在MPV车型中如同传说一般存在。本身它的价格不低，属于高端MPV。其次加价的钱都够再买辆车了。但是这样抵挡不足各路“壕”的加价提车。似乎埃尔法已经阶级象征，即便怎么坐也要配一辆在身边，而且，注意这车是用来“坐”的。如此火爆的车型怎么只留给丰田，雷克萨斯也必须有，而且要有比丰田更高端</t>
  </si>
  <si>
    <t>2020/02/27 11:14:00</t>
  </si>
  <si>
    <t>　　如今的纯电动车型是越来越丰富，各大厂商之间的竞争更是如火如荼，正是因为这种激烈的竞争关系，使得每个品牌不得不拿出他们的看家本领，从颜值到配置再到空间的出色表现，往往让消费者在选择这类车型的时候犯了难，究竟该怎么选择呢？今天我们带来了三款10万出头的紧凑型电动轿车，相信总有一款会是你的菜。　　荣威</t>
  </si>
  <si>
    <t>孟宪慈</t>
  </si>
  <si>
    <t>2020/02/27 11:12:00</t>
  </si>
  <si>
    <t>　　各位好，上周咱们说15万元轿车的时候说到本周和您聊聊15万元的SUV车型，现在我来兑现承诺了。SUV是近几年来国内非常火爆的细分车型领域，几乎没有哪家车企不把SUV车型当做主力的。也正因为如此，市面上可选的SUV就变得非常丰富，今天咱先来看看15万能买到什么样的自主品牌SUV。　　购买15万元S</t>
  </si>
  <si>
    <t>卢朕悦</t>
  </si>
  <si>
    <t>2020/02/27 11:09:00</t>
  </si>
  <si>
    <t>　　随着家庭生活水平的提升，很多人把买车提上了日程，如果手握50万你会怎么选？很多人都会说，那可以选的种类太多了，不错，确实如此，但今天我要推荐给大家的车型，是极具代表性的几款车，废话不多说，咱们接着往下看。　　SUV向来都不愁卖，而大多数SUV都要比同品牌的其它车型要贵一些。由于SUV拥有良好的通</t>
  </si>
  <si>
    <t>高彬</t>
  </si>
  <si>
    <t>2020/02/27 11:04:00</t>
  </si>
  <si>
    <t>　　最近有朋友和我说，迷上了越野车，想换辆越野车去远方走走，不知道哈弗H9这款车行不行？聊过之后才了解到，实际上早前他也看过了普拉多和牧马人等车，毕竟像普拉多、牧马人这样的车可是声名在外，那究竟是什么原因让他考虑哈弗H9？这款车到底合不合适呢？接下来让我们慢慢了解。　　我知道他的家里有一辆传祺GS4</t>
  </si>
  <si>
    <t>2020/02/27 11:00:00</t>
  </si>
  <si>
    <t xml:space="preserve">美国洛杉矶的初创企业——Czinger Vehicles推出他们的全新混动超级跑车——Czinger 21C。近日，这家公司公开了Czinger 21C的动力配置，这款混动超跑将搭载2.88L双涡轮增压V8发动机+双电机的动力系统。    据Czinger Vehicles官方介绍，Czinger </t>
  </si>
  <si>
    <t>2020/02/27 10:59:00</t>
  </si>
  <si>
    <t xml:space="preserve">　　美国洛杉矶的初创企业――Czinger Vehicles推出他们的全新混动超级跑车――Czinger 21C。近日，这家公司公开了Czinger 21C的动力配置，这款混动超跑将搭载2.88L双涡轮增压V8发动机+双电机的动力系统。　　据Czinger Vehicles官方介绍，Czinger </t>
  </si>
  <si>
    <t>赵帅</t>
  </si>
  <si>
    <t xml:space="preserve">日前，阿斯顿·马丁发布了DB11 V8 Shadow Edition（直译为影子特别版）车型的官图。新车在DB11 V8车型基础上，采用了黑化的外观组件和内饰设计，全球限量300辆，包含双门硬顶和双门敞篷版本可选。DB11 V8 Volante Shadow Edition    在标准版DB11 </t>
  </si>
  <si>
    <t>2020/02/27 10:55:00</t>
  </si>
  <si>
    <t>投诉编号：【448973】投诉时间：2020-02-2710:55投诉品牌：广汽本田投诉车系：雅阁投诉车型：2016款2.0LE-CVT锐领版混动投诉内容3.8万公里车辆质保期间三元催化器损坏需自费维修1万多经过：车辆在行驶中跳出驻车系统故障和发动机排放系统故障然后不能驾驶了。拖车到4s店告知油品问</t>
  </si>
  <si>
    <t xml:space="preserve">　　日前，阿斯顿・马丁发布了DB11 V8 Shadow Edition（直译为影子特别版）车型的官图。新车在DB11 V8车型基础上，采用了黑化的外观组件和内饰设计，全球限量300辆，包含双门硬顶和双门敞篷版本可选。DB11 V8 Volante Shadow Edition　　在标准版DB11 </t>
  </si>
  <si>
    <t>　　近些年的suv产品实在是多得数不过来，而起亚索兰托这个名字可能被很多消费者遗忘了。最近起亚决定再一次更新这个车系，将在日内瓦车展上发布全新一代索兰托sorento。　　为什么我们要聊这台全新索兰托？　　为什么我们对这款“远在天边”的车感兴趣呢？是因为它与北京现代胜达和东风悦达起亚kx7有着紧密的</t>
  </si>
  <si>
    <t>夏志猛</t>
  </si>
  <si>
    <t>2020/02/27 10:54:00</t>
  </si>
  <si>
    <t>日前，宾利官方发布了最新敞篷轿跑bacalar车型的内饰预告图，这款以宾利exp 100 gt概念车为设计灵感的车型，由宾利mulliner部门手工打造。该车内部设计了双人座位，内饰材质可个性化定制。据悉该车会以限量的形式发售，将在3月3日即将开幕的2020日内瓦车展中亮相。    从预告图来看，b</t>
  </si>
  <si>
    <t>2020/02/27 10:51:00</t>
  </si>
  <si>
    <t>　　日前，宾利官方发布了最新敞篷轿跑bacalar车型的内饰预告图，这款以宾利exp 100 gt概念车为设计灵感的车型，由宾利mulliner部门手工打造。该车内部设计了双人座位，内饰材质可个性化定制。据悉该车会以限量的形式发售，将在3月3日即将开幕的2020日内瓦车展中亮相。　　从预告图来看，b</t>
  </si>
  <si>
    <t>投诉编号：【448970】  投诉时间： 2020-02-27 10:50  投诉品牌： 吉利汽车  投诉车系： 帝豪新能源  投诉车型： 2018款 EV450 进取型        投诉内容  吉利帝豪新能源4S店毫无依据收取里程押金500元，说是行驶里程满2万公里退还，现已行驶5万公里还不退换</t>
  </si>
  <si>
    <t>2020/02/27 10:50:00</t>
  </si>
  <si>
    <t>我们在2018年曾经报道过一家名为micro mobility systems ag的瑞士公司将要推出一款酷似宝马经典车isetta的纯电动车型——“microlino”，不过由于与来自德国的代工制造商artega陷入纷争，第一代microlino至今仍未能量产上市。如今该公司又推出了第二代micr</t>
  </si>
  <si>
    <t>　　我们在2018年曾经报道过一家名为micro mobility systems ag的瑞士公司将要推出一款酷似宝马经典车isetta的纯电动车型――“microlino”，不过由于与来自德国的代工制造商artega陷入纷争，第一代microlino至今仍未能量产上市。如今该公司又推出了第二代mi</t>
  </si>
  <si>
    <t>由传奇汽车设计大师乔盖托·乔治亚罗(giorgetto giugiaro)与其子法布里奇奥·乔治亚罗 (fabrizio giugiaro)共同建立的汽车设计公司——gfg progetti s.r.l（以下简称gfg）将在即将开幕的2020年日内瓦车展上推出一款可在沙漠地形中越野的纯电动跑车——2</t>
  </si>
  <si>
    <t>2020/02/27 10:47:00</t>
  </si>
  <si>
    <t>　　由传奇汽车设计大师乔盖托・乔治亚罗(giorgetto giugiaro)与其子法布里奇奥・乔治亚罗 (fabrizio giugiaro)共同建立的汽车设计公司――gfg progetti s.r.l（以下简称gfg）将在即将开幕的2020年日内瓦车展上推出一款可在沙漠地形中越野的纯电动跑车―</t>
  </si>
  <si>
    <t>日前，西雅特高性能子品牌cupra发布了一张旗下新车——cupra formentor量产版车型的预告图，该预告图以光影的形式向我们展示了新车的尾灯以及部分尾部造型。据悉，cupra formentor将于2020年3月3日开幕的日内瓦车展正式首发。cupra formentor量产版预告图cupr</t>
  </si>
  <si>
    <t>2020/02/27 10:46:00</t>
  </si>
  <si>
    <t>　　日前，西雅特高性能子品牌cupra发布了一张旗下新车――cupra formentor量产版车型的预告图，该预告图以光影的形式向我们展示了新车的尾灯以及部分尾部造型。据悉，cupra formentor将于2020年3月3日开幕的日内瓦车展正式首发。cupra formentor量产版预告图cu</t>
  </si>
  <si>
    <t>投诉编号：【448968】  投诉时间： 2020-02-27 10:45  投诉品牌： 一汽-大众  投诉车系： 探岳  投诉车型： 2019款 330TSI 两驱 豪华型Plus 国VI        投诉内容  一汽大众探岳变速箱升降挡异响，天窗卡滞，变速箱升降挡异响，走土路坑坑洼洼减速带有异</t>
  </si>
  <si>
    <t>2020/02/27 10:45:00</t>
  </si>
  <si>
    <t>图片来源：每经记者 张晓庆 摄    面对中韩疫情，韩国现代汽车集团正遭遇前所未有的挑战。    有媒体者从韩国现代汽车方面获悉，由于受到韩国本土一家一级供应商停工的影响，韩国现代汽车位于蔚山市的蔚山4工厂部分生产线已于24日起实施停产，目前暂定停产两天，但不排除停产将持续的可能性。因中国新冠肺炎疫</t>
  </si>
  <si>
    <t>2020/02/27 10:43:00</t>
  </si>
  <si>
    <t>图片来源：每经记者 张晓庆 摄　　面对中韩疫情，韩国现代汽车集团正遭遇前所未有的挑战。　　有媒体者从韩国现代汽车方面获悉，由于受到韩国本土一家一级供应商停工的影响，韩国现代汽车位于蔚山市的蔚山4工厂部分生产线已于24日起实施停产，目前暂定停产两天，但不排除停产将持续的可能性。因中国新冠肺炎疫情影响汽</t>
  </si>
  <si>
    <t>2月25日，凌云股份发布公告称，近期，公司关注到部分媒体和机构研究报告将公司股票列入特斯拉概念股范畴。经公司管理层自查，公司目前是特斯拉供应商之一，2019年公司与特斯拉客户相关的业务主要是尼龙管路产品，产生的营业收入预计不超过4500万元，占公司2018年度合并营业收入122.52亿元的0.37%</t>
  </si>
  <si>
    <t>2020/02/27 10:41:00</t>
  </si>
  <si>
    <t>　　2月25日，凌云股份发布公告称，近期，公司关注到部分媒体和机构研究报告将公司股票列入特斯拉概念股范畴。经公司管理层自查，公司目前是特斯拉供应商之一，2019年公司与特斯拉客户相关的业务主要是尼龙管路产品，产生的营业收入预计不超过4500万元，占公司2018年度合并营业收入122.52亿元的0.3</t>
  </si>
  <si>
    <t>图片来源：每经记者 张建 摄（资料图）    智能汽车的发展战略终于尘埃落地。    近日，发改委、工信部、财政部等11部委联合印发《智能汽车创新发展战略》（下称“战略”）。战略指出，到2025年，中国标准智能汽车的技术创新、产业生态、基础设施、法规标准、产品监管和网络安全体系基本形成。到2035年</t>
  </si>
  <si>
    <t>2020/02/27 10:40:00</t>
  </si>
  <si>
    <t>图片来源：每经记者 张建 摄（资料图）    智能汽车的发展战略终于尘埃落地。　　近日，发改委、工信部、财政部等11部委联合印发《智能汽车创新发展战略》（下称“战略”）。战略指出，到2025年，中国标准智能汽车的技术创新、产业生态、基础设施、法规标准、产品监管和网络安全体系基本形成。到2035年，中</t>
  </si>
  <si>
    <t>日前，吉利官方发布旗下紧凑型suv——吉利星越魅影骑士限量版的官图，新增“亚瑟蓝”专属车漆颜色，同时搭配黑色车顶。新车基于现款星越350t耀星者车型升级而来，还将搭载由吉利研发并获中汽研认证的车规级“cn95”高效复合空调滤芯。    官方表示，该车所采用的亚瑟蓝车漆配色灵感源自于古不列颠传奇国王、</t>
  </si>
  <si>
    <t>2020/02/27 10:37:00</t>
  </si>
  <si>
    <t>　　日前，吉利官方发布旗下紧凑型suv――吉利星越魅影骑士限量版的官图，新增“亚瑟蓝”专属车漆颜色，同时搭配黑色车顶。新车基于现款星越350t耀星者车型升级而来，还将搭载由吉利研发并获中汽研认证的车规级“cn95”高效复合空调滤芯。　　官方表示，该车所采用的亚瑟蓝车漆配色灵感源自于古不列颠传奇国王、</t>
  </si>
  <si>
    <t>刘明亮</t>
  </si>
  <si>
    <t>近日，国外媒体率先曝光了2021款斯柯达明锐rs车型的测试谍照。据悉，全新斯柯达明锐rs车型将在下月的日内瓦车展上个正式发布。    2021款斯柯达明锐rs车型将使用混合动力总成，在已经曝光的测试谍照中，该全新车型采用了运动化设计，全新设计的进气格栅和攻击性十足的车灯、力量感十足的中网相得益彰，十</t>
  </si>
  <si>
    <t>2020/02/27 10:34:00</t>
  </si>
  <si>
    <t>　　近日，国外媒体率先曝光了2021款斯柯达明锐rs车型的测试谍照。据悉，全新斯柯达明锐rs车型将在下月的日内瓦车展上个正式发布。　　2021款斯柯达明锐rs车型将使用混合动力总成，在已经曝光的测试谍照中，该全新车型采用了运动化设计，全新设计的进气格栅和攻击性十足的车灯、力量感十足的中网相得益彰，十</t>
  </si>
  <si>
    <t>LEO</t>
  </si>
  <si>
    <t>近日，国外媒体曝光了2021款宝马4系敞篷车型的测试谍照。据悉，2021款宝马4系车型有望在年内发布。    虽然根据之前的无伪装测试谍照已经可以确定全新宝马4系车型将使用巨大的竖直排列双肾形中网，但是此次曝光的2021款宝马4系敞篷车型却仍使用了普通双肾形中网以作伪装。    2021款宝马4系敞</t>
  </si>
  <si>
    <t>2020/02/27 10:33:00</t>
  </si>
  <si>
    <t>　　近日，国外媒体曝光了2021款宝马4系敞篷车型的测试谍照。据悉，2021款宝马4系车型有望在年内发布。　　虽然根据之前的无伪装测试谍照已经可以确定全新宝马4系车型将使用巨大的竖直排列双肾形中网，但是此次曝光的2021款宝马4系敞篷车型却仍使用了普通双肾形中网以作伪装。　　2021款宝马4系敞篷车</t>
  </si>
  <si>
    <t>近日，国外媒体曝光了全新jeep grand wagoneer（大瓦格尼）车型的测试谍照。据悉，全新jeep grand wagoneer车型将有望在今年的底特律车展上发布。    jeep grand wagoneer车型多年来一直是备受期待的车辆，但该公司并未透露太多这款三排suv的细节。近日，</t>
  </si>
  <si>
    <t>2020/02/27 10:31:00</t>
  </si>
  <si>
    <t>　　近日，国外媒体曝光了全新jeep grand wagoneer（大瓦格尼）车型的测试谍照。据悉，全新jeep grand wagoneer车型将有望在今年的底特律车展上发布。　　jeep grand wagoneer车型多年来一直是备受期待的车辆，但该公司并未透露太多这款三排suv的细节。近日，</t>
  </si>
  <si>
    <t>　　近期，外媒曝光了一组梅赛德斯-amg gt 73 hybrid车型的路试谍照，该款车型将在今年发布。鉴于定位及产量等原因，这款四门coupe混合动力车型的售价，预计要超过gt 63 s的16.12万美元，而是和保时捷panameraturbo s e-hybrid的售价更为接近（18.62万美元</t>
  </si>
  <si>
    <t>2020/02/27 10:29:00</t>
  </si>
  <si>
    <t>近期，外媒曝光了一组梅赛德斯-amg gt 73 hybrid车型的路试谍照，该款车型将在今年发布。鉴于定位及产量等原因，这款四门coupe混合动力车型的售价，预计要超过gt 63 s的16.12万美元，而是和保时捷panameraturbo s e-hybrid的售价更为接近（18.62万美元）。</t>
  </si>
  <si>
    <t>再说国产车没有“好货” 你就OUT了不少消费者对于汽车的认识就是：不要国产车，国产车是没有“好货”的。其实有这种认识的人不少，之前看过一个段子：一个开着本田飞度的车主，对着开哈弗H9的车主说：一个“破国产车”，我们也不知道开飞度的哪有底气鄙视哈弗H9。那么国产车就如此的不堪？其实都是人们的思想停留在</t>
  </si>
  <si>
    <t>还有sei</t>
  </si>
  <si>
    <t>不少消费者对于汽车的认识就是：不要国产车，国产车是没有“好货”的。其实有这种认识的人不少，之前看过一个段子：一个开着本田飞度的车主，对着开哈弗H9的车主说：一个“破国产车”，我们也不知道开飞度的哪有底气鄙视哈弗H9。那么国产车就如此的不堪？其实都是人们的思想停留在8年前导致的，2019年上市的这些国</t>
  </si>
  <si>
    <t>　　在3月份计划举办的日内瓦车展上，大众将会发布第八代高尔夫gti车型，与此同时柴油版本的高尔夫gtd也会同时亮相。近日，大众发布了全新一代gti的前脸预告图。全新一代高尔夫gti预告图　　虽然对于大众高尔夫的设计我们已经很熟悉，但是从这张预告图我们还是看到了新的细节变化，比如下进气格栅两侧的“五点</t>
  </si>
  <si>
    <t>2020/02/27 10:28:00</t>
  </si>
  <si>
    <t>在3月份计划举办的日内瓦车展上，大众将会发布第八代高尔夫gti车型，与此同时柴油版本的高尔夫gtd也会同时亮相。近日，大众发布了全新一代gti的前脸预告图。全新一代高尔夫gti预告图    虽然对于大众高尔夫的设计我们已经很熟悉，但是从这张预告图我们还是看到了新的细节变化，比如下进气格栅两侧的“五点</t>
  </si>
  <si>
    <t>有空间更有实力！这几款MPV最低不到8万元从每月的汽车销量数据来看，MPV虽然不如SUV那么火热，但是随着市场需求不断更新换代，在空间和舒适性上更占优势的MPV，也成为了很多家庭的考虑车型。尤其是对于人口比较多的家庭来说，一台空间较大的MPV更方便节假日的外出旅行，它比轿车、SUV拥有更充裕的大空间</t>
  </si>
  <si>
    <t>5款自主最美内饰车 排第一的你认可吗？十多年前，我们提到自主车，大多是仿造、低价等词，如今，自主品牌已经今非昔比，大多数自主品牌已经完成了从中国制造到中国设计的升级，从市场上也可以看到，自主品牌出现了许多让人眼前一亮的车型。小编也从所有自主品牌车型中挑选出5款最美内饰车型， 其中的排名是否跟你想的一</t>
  </si>
  <si>
    <t>新款“屌丝三宝”能屌出新高度吗？面线条依旧延续老款车型流畅的设计，一条镀铬饰条从A柱贯穿整个车侧，看上去非常有趣。车尾设计绝对是K5最大的亮点，微微上翘的后备厢、夸张的保险杠造型以及大面积的后扰流板，无时不刻都在告诉你K5更运动了。贯穿式尾灯也玩出来新花样，中间采用类似虚线的视觉效果，点亮后绝对算是</t>
  </si>
  <si>
    <t>面线条依旧延续老款车型流畅的设计，一条镀铬饰条从A柱贯穿整个车侧，看上去非常有趣。车尾设计绝对是K5最大的亮点，微微上翘的后备厢、夸张的保险杠造型以及大面积的后扰流板，无时不刻都在告诉你K5更运动了。贯穿式尾灯也玩出来新花样，中间采用类似虚线的视觉效果，点亮后绝对算是独树一帜。相比激进的外观设计，内</t>
  </si>
  <si>
    <t>从每月的汽车销量数据来看，MPV虽然不如SUV那么火热，但是随着市场需求不断更新换代，在空间和舒适性上更占优势的MPV，也成为了很多家庭的考虑车型。尤其是对于人口比较多的家庭来说，一台空间较大的MPV更方便节假日的外出旅行，它比轿车、SUV拥有更充裕的大空间，乘坐舒适性更佳，而且在安全性上也有不错保</t>
  </si>
  <si>
    <t>十多年前，我们提到自主车，大多是仿造、低价等词，如今，自主品牌已经今非昔比，大多数自主品牌已经完成了从中国制造到中国设计的升级，从市场上也可以看到，自主品牌出现了许多让人眼前一亮的车型。小编也从所有自主品牌车型中挑选出5款最美内饰车型， 其中的排名是否跟你想的一样呢？No.5 长安-逸动厂商指导价：</t>
  </si>
  <si>
    <t>家庭用MPV需要具备哪些素质？今天给大家推荐一款适合家用的进口MPV，有人说你怎么不推荐商务MPV？我想说丰田埃尔法、奔驰V级、别克GL8这三款车，根据自己经济实力选就好了，倒也没什么可说的，毕竟商务用途突出的是豪华，而家用MPV则更多的是要做到有灵活的空间布局、安全配置丰富，还有就是外观看起来一定</t>
  </si>
  <si>
    <t>2020/02/27 10:27:00</t>
  </si>
  <si>
    <t>这些不保值的二手好车 你值得拥有相信大多数人买车的时候都不会把保值率当做考虑的重点，但在卖车的时候，不少车主惊呼为什么自己的车如此不保值，而隔壁同年份的卡罗拉贵出好几万。对于购买二手车的人群而言，车辆当然是不保值更好，可以用更少的钱买更好的车，那么二手车市场有哪些常见的不保值的好车？本期我们来盘一盘</t>
  </si>
  <si>
    <t>相信大多数人买车的时候都不会把保值率当做考虑的重点，但在卖车的时候，不少车主惊呼为什么自己的车如此不保值，而隔壁同年份的卡罗拉贵出好几万。对于购买二手车的人群而言，车辆当然是不保值更好，可以用更少的钱买更好的车，那么二手车市场有哪些常见的不保值的好车？本期我们来盘一盘。第一款是英菲尼迪Q50S。英菲</t>
  </si>
  <si>
    <t>今天给大家推荐一款适合家用的进口MPV，有人说你怎么不推荐商务MPV？我想说丰田埃尔法、奔驰V级、别克GL8这三款车，根据自己经济实力选就好了，倒也没什么可说的，毕竟商务用途突出的是豪华，而家用MPV则更多的是要做到有灵活的空间布局、安全配置丰富，还有就是外观看起来一定要温馨、柔美。今天要推荐的就是</t>
  </si>
  <si>
    <t>上汽通用雪佛兰在中国的首款纯电动车畅巡正式上市。新车为别克微蓝Velite6的姊妹车型，NEDC续航里程为410km，补贴后售价区间为15.99-17.99万元。新车长宽高分别为4665/1813/1538mm，轴距为2660mm，定位紧凑型跨界车，尾箱空间相比普通三厢轿车有一定的优势，造型更类似于</t>
  </si>
  <si>
    <t>2020/02/27 10:26:00</t>
  </si>
  <si>
    <t>说起中级车，肯定很多人会想到迈腾、雅阁、凯美瑞等，这些都是些主流车型，知名度和口碑也不错，相比之下，其它一些品牌的B级车就显得有些落魄了，档次其实也不低，但就是卖不动，一看销量也是扎心了，但其实这些车都不差，那问题到底出在哪呢？雪铁龙C5厂商指导价：16.99-21.59万元2019年销量：725辆</t>
  </si>
  <si>
    <t>年货再多也不怕装不下 “大屁股”旅行车推荐距离2020年春节还不到一个月，全国各地都已经散发出了浓浓的“中国味”，并且不少老百姓都开始准备起了年货，尤其是对于出门在外的朋友而言，每逢春节回家前后备箱里总是塞着满满的年货，甚至还会觉得不够多，事实上，对于春节装年货来说，务必需要一款更能装的车型，所以今</t>
  </si>
  <si>
    <t>如果你喜欢旅行车 不能错过它上汽通用雪佛兰在中国的首款纯电动车畅巡正式上市。新车为别克微蓝Velite6的姊妹车型，NEDC续航里程为410km，补贴后售价区间为15.99-17.99万元。新车长宽高分别为4665/1813/1538mm，轴距为2660mm，定位紧凑型跨界车，尾箱空间相比普通三厢轿</t>
  </si>
  <si>
    <t>4款落魄的B级车 档次不低 销量扎心了说起中级车，肯定很多人会想到迈腾、雅阁、凯美瑞等，这些都是些主流车型，知名度和口碑也不错，相比之下，其它一些品牌的B级车就显得有些落魄了，档次其实也不低，但就是卖不动，一看销量也是扎心了，但其实这些车都不差，那问题到底出在哪呢？雪铁龙C5厂商指导价：16.99-</t>
  </si>
  <si>
    <t>距离2020年春节还不到一个月，全国各地都已经散发出了浓浓的“中国味”，并且不少老百姓都开始准备起了年货，尤其是对于出门在外的朋友而言，每逢春节回家前后备箱里总是塞着满满的年货，甚至还会觉得不够多，事实上，对于春节装年货来说，务必需要一款更能装的车型，所以今天就为大家推荐几款各个级别的“大屁股”旅行</t>
  </si>
  <si>
    <t>在年轻化盛行的当下，每辆新车都朝着简约、动感的设计路线迸发，锐利的线条、熏黑的涂装配色、更富攻击性的前脸、更具科技感的内饰，这些都是目前市场上的主要风向标。如果年轻化并不是你想追求的标签，还可以看看一众美系车型。虽然目前一部分的美系车型也在追逐年轻化的路上越走越远，但美系车本质上充满肌肉感的狂野气质</t>
  </si>
  <si>
    <t>2020/02/27 10:25:00</t>
  </si>
  <si>
    <t>对于上市不久的新车，它们能在众多的对手中脱颖而出，迅速的占领市场，这确实不是一件易事。今天介绍的这五款SUV，都是其中的代表，它们甚至在销量上超越了一些在国内深耕多年的强敌。1.长安CS75 PLUS官方指导价：10.69-15.49万元上市时间：2019年9月5日直白点说，长安CS75 PLUS是</t>
  </si>
  <si>
    <t>买哪款都不会错 这5款上新不久的SUV是真的强对于上市不久的新车，它们能在众多的对手中脱颖而出，迅速的占领市场，这确实不是一件易事。今天介绍的这五款SUV，都是其中的代表，它们甚至在销量上超越了一些在国内深耕多年的强敌。1.长安CS75 PLUS官方指导价：10.69-15.49万元上市时间：201</t>
  </si>
  <si>
    <t>狂野 粗犷 霸气 这4款美系中型SUV你喜欢吗？在年轻化盛行的当下，每辆新车都朝着简约、动感的设计路线迸发，锐利的线条、熏黑的涂装配色、更富攻击性的前脸、更具科技感的内饰，这些都是目前市场上的主要风向标。如果年轻化并不是你想追求的标签，还可以看看一众美系车型。虽然目前一部分的美系车型也在追逐年轻化的</t>
  </si>
  <si>
    <t>就在不久之前，笔者自己遇到了一件挺尴尬的事情。笔者筹办婚礼时，为了能方便接待老家远道而来的亲戚，考虑到MPV能搭载7人，机场接送和日常出行都会方便一些，所以特意租了一台MPV。本以为靠这一台车就足够了，根本不再需要我自己的车，可没想到当我把家人都妥善安排在座位上后，才发现满地的行李已经无处放置。事实</t>
  </si>
  <si>
    <t>2020/02/27 10:24:00</t>
  </si>
  <si>
    <t>投诉编号：【448966】投诉时间：2020-02-2710:24投诉品牌：威马汽车投诉车系：威马EX5投诉车型：2019款EX5520Lite探索版投诉内容出现两次电瓶没电事故（实际是有点），全车死机，车门解锁状态。投诉回复车质网已将您的投诉转给生产企业以及国家市场监督管理总局缺陷产品管理中心，我</t>
  </si>
  <si>
    <t>　　日前，大众官方发布了全新polo三厢版车型的官图，这款车是专门针对俄罗斯市场推出的一款车型，新车外观酷似斯柯达昕锐，浓浓的商务风格。据悉，全新大众polo三厢版车型将会在今年夏天在俄罗斯上市。　　外观方面，新车采用了大众最新家族式设计，前脸底部采用了像国内的捷达va3一样的包围，中间是很细致的进</t>
  </si>
  <si>
    <t>买MPV还是7座SUV？不想清楚钱就花得太不值了就在不久之前，笔者自己遇到了一件挺尴尬的事情。笔者筹办婚礼时，为了能方便接待老家远道而来的亲戚，考虑到MPV能搭载7人，机场接送和日常出行都会方便一些，所以特意租了一台MPV。本以为靠这一台车就足够了，根本不再需要我自己的车，可没想到当我把家人都妥善安</t>
  </si>
  <si>
    <t>日前，大众官方发布了全新polo三厢版车型的官图，这款车是专门针对俄罗斯市场推出的一款车型，新车外观酷似斯柯达昕锐，浓浓的商务风格。据悉，全新大众polo三厢版车型将会在今年夏天在俄罗斯上市。    外观方面，新车采用了大众最新家族式设计，前脸底部采用了像国内的捷达va3一样的包围，中间是很细致的进</t>
  </si>
  <si>
    <t>投诉编号：【448965】  投诉时间： 2020-02-27 10:23  投诉品牌： 东风标致  投诉车系： 标致308  投诉车型： 2014款 乐享版 经典 1.6L 自动 风尚型        投诉内容  加满油发现油表只是3/4，而且开了一段时间，提速非常慢，后来我在网上查了一下，14年</t>
  </si>
  <si>
    <t>2020/02/27 10:23:00</t>
  </si>
  <si>
    <t>　　在东风雪铁龙2020年度经销商大会上，东风雪铁龙公布了2020年度的目标以及产品规划，表示将推出天逸phev及c3l等新车型，此外在2021年还将导入更多的新产品。　　天逸将在今年陆续推出互联版、phev版及优化的年款车型。此前，我们从工信部获取到了东风雪铁龙天逸 c5 aircross插电混动</t>
  </si>
  <si>
    <t>曾惠君</t>
  </si>
  <si>
    <t>2020/02/27 10:22:00</t>
  </si>
  <si>
    <t>在东风雪铁龙2020年度经销商大会上，东风雪铁龙公布了2020年度的目标以及产品规划，表示将推出天逸phev及c3l等新车型，此外在2021年还将导入更多的新产品。    天逸将在今年陆续推出互联版、phev版及优化的年款车型。此前，我们从工信部获取到了东风雪铁龙天逸 c5 aircross插电混动</t>
  </si>
  <si>
    <t>　　对于国内消费者，汽车不仅是代步的工具，还有更多的意义存在。社交工具、身份名片、文化品位等属性都能从自己开的车上反应出来。35万元，一个不算多也并不少的数字。有着35万元预算的消费者，已经开始有所期待，期待什么？更高的品牌价值、更多的豪华配置、更多的价值认同，总而言之一句话，更有面子！　　35万元</t>
  </si>
  <si>
    <t>孙旭东</t>
  </si>
  <si>
    <t>2020/02/27 10:20:00</t>
  </si>
  <si>
    <t>　　日前，哪吒汽车首批乘坐专车的52名哪吒汽车员工顺利抵达工厂，哪吒汽车已经正式复工，确保旗下全新车型哪吒u在2020年3月下旬正式上市。　　疫情爆发以来，哪吒汽车推动线上 线下无接触式营销模式创新，并及时掌握了供应商复工及零部件供应等信息，制订3-4月份计划，以确保哪吒u可以在3月下旬正式上市。</t>
  </si>
  <si>
    <t>焦龙</t>
  </si>
  <si>
    <t>2020/02/27 10:17:00</t>
  </si>
  <si>
    <t>日前，哪吒汽车首批乘坐专车的52名哪吒汽车员工顺利抵达工厂，哪吒汽车已经正式复工，确保旗下全新车型哪吒u在2020年3月下旬正式上市。    疫情爆发以来，哪吒汽车推动线上 线下无接触式营销模式创新，并及时掌握了供应商复工及零部件供应等信息，制订3-4月份计划，以确保哪吒u可以在3月下旬正式上市。</t>
  </si>
  <si>
    <t>　　近日，外媒公布了一组法拉利laferrari拉法继任者stallone的渲染图，这组渲染图出自设计师穆雷・夏普（murray sharp），新车融合了laferrari和sf90等车型的设计元素。stallone在意大利语中的意思为“种马”。　　发动机罩低而锐利的角度以及下方的两个大通风口是顶级</t>
  </si>
  <si>
    <t>2020/02/27 10:16:00</t>
  </si>
  <si>
    <t>发动机气缸为什么不是均匀磨损汽车发动机使用时间长了会出现烧机油、下排气、动力下降等故障，这种情况一般就需要大修发动机了。在大修发动机时，把零部件都拆解完成后，有经验的修理工都会用量缸表测量一下气缸的磨损情况，然后根据磨损状态可以大致的判断出导致发动机损坏的原因，并有针对性的去处理相关的部位，找出故障</t>
  </si>
  <si>
    <t>寂寞赛手</t>
  </si>
  <si>
    <t>汽车玻璃水可以用自来水代替吗今天有人向我咨询，说自己要买“汽车风窗玻璃清洗液”，让我给点建议。我的大脑瞬间短路，苦思冥想这个汽车风窗玻璃清洗液是个什么高大上的东西呢？可爱的网友们，你们知道吗？如果你去超市说要购买“汽车风窗玻璃清洗液”，我相信售货员一定会瞬间血压升高、大脑一片空白，苦思冥想这个“汽车</t>
  </si>
  <si>
    <t>近日，外媒公布了一组法拉利laferrari拉法继任者stallone的渲染图，这组渲染图出自设计师穆雷·夏普（murray sharp），新车融合了laferrari和sf90等车型的设计元素。stallone在意大利语中的意思为“种马”。    发动机罩低而锐利的角度以及下方的两个大通风口是顶级</t>
  </si>
  <si>
    <t>今天有人向我咨询，说自己要买“汽车风窗玻璃清洗液”，让我给点建议。我的大脑瞬间短路，苦思冥想这个汽车风窗玻璃清洗液是个什么高大上的东西呢？可爱的网友们，你们知道吗？如果你去超市说要购买“汽车风窗玻璃清洗液”，我相信售货员一定会瞬间血压升高、大脑一片空白，苦思冥想这个“汽车风窗玻璃清洗液”究竟是何方神</t>
  </si>
  <si>
    <t>汽车发动机使用时间长了会出现烧机油、下排气、动力下降等故障，这种情况一般就需要大修发动机了。在大修发动机时，把零部件都拆解完成后，有经验的修理工都会用量缸表测量一下气缸的磨损情况，然后根据磨损状态可以大致的判断出导致发动机损坏的原因，并有针对性的去处理相关的部位，找出故障隐患，以及给出使用建议等。在</t>
  </si>
  <si>
    <t>投诉编号：【448964】投诉时间：2020-02-2710:15投诉品牌：华晨宝马投诉车系：宝马5系新能源投诉车型：2019款530Le豪华套装改款投诉内容购车一年多了，车内有毒气体一直超标，异味非常大，无法消除。小孩坐车会坐会吐，家里的狗坐一次吐一次。家里没人愿意坐这个车。怀疑对人身体严重有害。</t>
  </si>
  <si>
    <t>2020/02/27 10:15:00</t>
  </si>
  <si>
    <t>同一厂家同一车型不同排量的发动机可以互换吗今天大家在一起闲聊，说起来一个话题，说同一厂家、同一车型，不同排量的发动机可以互换吗？如果可以，我购买一辆小排量的车型，后期自己换一个大排量的发动机可以吗？其实这种改装，从理论上来说是可以。比如说大众朗逸，在相同底盘结构、车身结构的情况下，分别搭载了1.2T</t>
  </si>
  <si>
    <t>世界越野车之王太脱拉你听说过吗我来问大家一个问题：在你的心目中，越野能力最强的车型是哪一个？普拉多？兰德酷路泽？吉普牧马人？还是奔驰大G？如果你的视野再广泛一些，你也许会说乌尼莫克、奔驰四驱卡车等。但是这些号称“硬派越野车”的车型在另一款车型面前，简直弱爆了。它就是号称“世界越野车之王”的重型卡车—</t>
  </si>
  <si>
    <t>电瓶桩头上的白绿色粉末是什么东西有些汽车电瓶使用时间长了，在电瓶桩头上会出现一种白色或者白绿色相间的粉末，看起来脏兮兮的，严重的甚至会把电瓶卡子和连接线腐蚀断裂。那么这种白色粉末究竟是什么呢？它是怎么形成的呢？有什么危害呢？我们该如何避免呢？这种现象在业内叫做“电瓶爬酸”，它是指电瓶电解液从电瓶中逸</t>
  </si>
  <si>
    <t>我来问大家一个问题：在你的心目中，越野能力最强的车型是哪一个？普拉多？兰德酷路泽？吉普牧马人？还是奔驰大G？如果你的视野再广泛一些，你也许会说乌尼莫克、奔驰四驱卡车等。但是这些号称“硬派越野车”的车型在另一款车型面前，简直弱爆了。它就是号称“世界越野车之王”的重型卡车——太脱拉汽车。这款车的越野能力</t>
  </si>
  <si>
    <t>有些汽车电瓶使用时间长了，在电瓶桩头上会出现一种白色或者白绿色相间的粉末，看起来脏兮兮的，严重的甚至会把电瓶卡子和连接线腐蚀断裂。那么这种白色粉末究竟是什么呢？它是怎么形成的呢？有什么危害呢？我们该如何避免呢？这种现象在业内叫做“电瓶爬酸”，它是指电瓶电解液从电瓶中逸出，与电瓶桩头发生化学反应导致的</t>
  </si>
  <si>
    <t>今天大家在一起闲聊，说起来一个话题，说同一厂家、同一车型，不同排量的发动机可以互换吗？如果可以，我购买一辆小排量的车型，后期自己换一个大排量的发动机可以吗？其实这种改装，从理论上来说是可以。比如说大众朗逸，在相同底盘结构、车身结构的情况下，分别搭载了1.2T涡轮增压、1.4T涡轮增压以及1.5L自然</t>
  </si>
  <si>
    <t>今天有人问了一个有趣的问题，说自己停车的位置受地形所限，需要上下一个高度为20厘米的台阶，但是自己的汽车最小离地间隙只有12厘米，想要在这儿修一个坡道，问这个坡道最少要多长，才能让汽车轻松上下。对这个问题我们不妨来计算一下，看看最短需要修多长的坡道。一般家用轿车可以克服的最大爬坡度在30%左右，所以</t>
  </si>
  <si>
    <t>2020/02/27 10:14:00</t>
  </si>
  <si>
    <t>20厘米高的台阶 多长的坡道可以让汽车轻松上下今天有人问了一个有趣的问题，说自己停车的位置受地形所限，需要上下一个高度为20厘米的台阶，但是自己的汽车最小离地间隙只有12厘米，想要在这儿修一个坡道，问这个坡道最少要多长，才能让汽车轻松上下。对这个问题我们不妨来计算一下，看看最短需要修多长的坡道。一般</t>
  </si>
  <si>
    <t>大家都知道机油是用来润滑发动机的，每隔一段时间就要给发动机换机油。但是你知道机油在发动机中是如何流动的吗？机油是如何被送到各个摩擦表面的？今天我们就来详细的说一说发动机润滑系统是如何工作的，机油在发动机中循环流动的过程及路线是怎样的。首先来给大家说一说发动机为什么需要润滑。大家都知道发动机必须加机油</t>
  </si>
  <si>
    <t>2020/02/27 10:13:00</t>
  </si>
  <si>
    <t>机油在发动机中是如何循环流动的大家都知道机油是用来润滑发动机的，每隔一段时间就要给发动机换机油。但是你知道机油在发动机中是如何流动的吗？机油是如何被送到各个摩擦表面的？今天我们就来详细的说一说发动机润滑系统是如何工作的，机油在发动机中循环流动的过程及路线是怎样的。首先来给大家说一说发动机为什么需要润</t>
  </si>
  <si>
    <t>日前，现代正式发布了新款i30车型的官图。作为新款车型，新车在外观和配置上有所调整，并提供两厢、三厢和旅行版三种车身形式。动力方面，新车提供了1.0t和1.5t汽油发动机，1.6t柴油发动机也有所提供。另据了解，48v微混系统也将得到搭载。    现代发布的官图显示，新款i30将提供三种车身形式，其</t>
  </si>
  <si>
    <t>2020/02/27 10:12:00</t>
  </si>
  <si>
    <t>　　日前，现代正式发布了新款i30车型的官图。作为新款车型，新车在外观和配置上有所调整，并提供两厢、三厢和旅行版三种车身形式。动力方面，新车提供了1.0t和1.5t汽油发动机，1.6t柴油发动机也有所提供。另据了解，48v微混系统也将得到搭载。　　现代发布的官图显示，新款i30将提供三种车身形式，其</t>
  </si>
  <si>
    <t>汽车ABS系统一个轮出现故障，整个系统就都会失效吗？确实是这样的，不仅仅是车轮上的轮速传感器出现故障，只要整个系统上的任何一个元件出现了故障，ABS系统都会停止工作。与此同时，汽车上的其它制动辅助系统，比如车身电子稳定系统（ESP）、驱动防滑系统（TSC）、电子制动力分配系统（EBD）等等，由于它们</t>
  </si>
  <si>
    <t>为何一个车轮出现故障 ABS就会停止整个系统的工作汽车ABS系统一个轮出现故障，整个系统就都会失效吗？确实是这样的，不仅仅是车轮上的轮速传感器出现故障，只要整个系统上的任何一个元件出现了故障，ABS系统都会停止工作。与此同时，汽车上的其它制动辅助系统，比如车身电子稳定系统（ESP）、驱动防滑系统（T</t>
  </si>
  <si>
    <t>　　日前，有媒体从相关渠道获得了中期改款的奥迪a4l的售价信息。资料显示，新款奥迪a4l的售价区间为30.8-40万元，比现款车型28.68万元的起售价有所提升。　　外观方面，新款奥迪a4l整体造型变得更加动感。细节方面我们看到，新款奥迪a4l的六边形进气格栅采用了熏黑网格状设计，配合优化的下保险杠</t>
  </si>
  <si>
    <t>2020/02/27 10:11:00</t>
  </si>
  <si>
    <t>日前，有媒体从相关渠道获得了中期改款的奥迪a4l的售价信息。资料显示，新款奥迪a4l的售价区间为30.8-40万元，比现款车型28.68万元的起售价有所提升。    外观方面，新款奥迪a4l整体造型变得更加动感。细节方面我们看到，新款奥迪a4l的六边形进气格栅采用了熏黑网格状设计，配合优化的下保险杠</t>
  </si>
  <si>
    <t>前两个月，一位在德国留学的亲属回国了，我跟他聊了一会，谈到了德国以及欧洲的交通出行问题。他说欧洲人虽然长的人高马大，平均身高都在一米八以上，但是很喜欢两厢小车以及一些旅行版的车型，比如高尔夫、Polo、福克斯、菲亚特等，即使是中型车，也不会有加长的车型，更多的是短轴距的，还有很多两门车，比如宝马3系</t>
  </si>
  <si>
    <t>2020/02/27 10:10:00</t>
  </si>
  <si>
    <t>欧洲人长的人高马大 为什么会喜欢两厢小车前两个月，一位在德国留学的亲属回国了，我跟他聊了一会，谈到了德国以及欧洲的交通出行问题。他说欧洲人虽然长的人高马大，平均身高都在一米八以上，但是很喜欢两厢小车以及一些旅行版的车型，比如高尔夫、Polo、福克斯、菲亚特等，即使是中型车，也不会有加长的车型，更多的</t>
  </si>
  <si>
    <t>日前，我们从相关渠道获悉，东风雪铁龙天逸 c5 aircross phev车型将于5月份正式上市，新车在外观、内饰方面基本与燃油版车型保持一致，在细节处会增加新能源标识，以此来凸显与燃油版车型的不同。在动力方面，新车或将采用1.6t发动机 电动机的动力组合。配图为燃油版车型    外观方面，东风雪铁</t>
  </si>
  <si>
    <t>2020/02/27 10:09:00</t>
  </si>
  <si>
    <t>　　日前，我们从相关渠道获悉，东风雪铁龙天逸 c5 aircross phev车型将于5月份正式上市，新车在外观、内饰方面基本与燃油版车型保持一致，在细节处会增加新能源标识，以此来凸显与燃油版车型的不同。在动力方面，新车或将采用1.6t发动机 电动机的动力组合。配图为燃油版车型　　外观方面，东风雪铁</t>
  </si>
  <si>
    <t>大家看汽车的轮胎，会发现越野车轮胎比较厚而跑车比较薄。当然，这里所说的“薄”与“厚”并不是指轮胎自身胎壁的薄厚，而是指轮胎胎面与轮圈之间的距离，通常用扁平比的概念来表述。所谓的扁平比是指轮胎胎壁高度与轮胎断面宽度的比值，通常用百分数来表示。比如我们最常见的型号为205/55R16轮胎，其中的“55”</t>
  </si>
  <si>
    <t>为啥越野车轮胎厚而跑车轮胎薄大家看汽车的轮胎，会发现越野车轮胎比较厚而跑车比较薄。当然，这里所说的“薄”与“厚”并不是指轮胎自身胎壁的薄厚，而是指轮胎胎面与轮圈之间的距离，通常用扁平比的概念来表述。所谓的扁平比是指轮胎胎壁高度与轮胎断面宽度的比值，通常用百分数来表示。比如我们最常见的型号为205/5</t>
  </si>
  <si>
    <t>　　日前，我们从相关渠道获悉，指南者phev车型将于今年年内上市。在外观方面基本与燃油版车型保持一致，海外版指南者phev搭载一套由1.3t直列四缸涡轮增压发动机、电动机及电池组构成的插电式混动系统，国产版或将延用这款动力总成。配图为燃油版车型　　外观方面，指南者phev在外观方面基本与燃油版车型保</t>
  </si>
  <si>
    <t>2020/02/27 10:08:00</t>
  </si>
  <si>
    <t>日前，我们从相关渠道获悉，指南者phev车型将于今年年内上市。在外观方面基本与燃油版车型保持一致，海外版指南者phev搭载一套由1.3t直列四缸涡轮增压发动机、电动机及电池组构成的插电式混动系统，国产版或将延用这款动力总成。配图为燃油版车型    外观方面，指南者phev在外观方面基本与燃油版车型保</t>
  </si>
  <si>
    <t>日前，宝马汽车官方正式公布了2020年在中国市场的高性能产品规划，其中包含了m8四门轿跑车以及雷霆版、全新x5 m和x6 m，新m5等在内多款车型。据此前报道，全新宝马x5 m本来要在4月开幕的北京车展上上市，但由于疫情原因，今年北京车展推迟举行，所以上市时间很可能有变数。    全新宝马x5 m/</t>
  </si>
  <si>
    <t>2020/02/27 10:05:00</t>
  </si>
  <si>
    <t>　　日前，宝马汽车官方正式公布了2020年在中国市场的高性能产品规划，其中包含了m8四门轿跑车以及雷霆版、全新x5 m和x6 m，新m5等在内多款车型。据此前报道，全新宝马x5 m本来要在4月开幕的北京车展上上市，但由于疫情原因，今年北京车展推迟举行，所以上市时间很可能有变数。　　全新宝马x5 m/</t>
  </si>
  <si>
    <t>2月25日，蔚来汽车宣布“蔚来中国”总部正式落户合肥，同时蔚来汽车还与合肥市签署了一份战略合作框架协议。有媒体第一时间连线了蔚来联合创始人、总裁秦力洪，他在连线中透露本次合肥市政府对蔚来的投资总额将不少于100亿元，具体的投资细节将在未来两个月内敲定并签署最终的投资协议。    合肥至少注资100亿</t>
  </si>
  <si>
    <t>2020/02/27 10:02:00</t>
  </si>
  <si>
    <t>　　2月25日，蔚来汽车宣布“蔚来中国”总部正式落户合肥，同时蔚来汽车还与合肥市签署了一份战略合作框架协议。有媒体第一时间连线了蔚来联合创始人、总裁秦力洪，他在连线中透露本次合肥市政府对蔚来的投资总额将不少于100亿元，具体的投资细节将在未来两个月内敲定并签署最终的投资协议。　　合肥至少注资100亿</t>
  </si>
  <si>
    <t>白云鹏</t>
  </si>
  <si>
    <t>gla是奔驰suv家族的入门车型，定位跨界紧凑suv。近日，我们从海外媒体获悉，梅赛德斯-奔驰全新一代gla将于2020年春季在欧洲进行首次亮相，并于同年第二季度在美国和中国正式推出。目前，国产奔驰全新gla的申报图已曝光，新车整体造型与海外版车型保持一致，动力将搭载1.3t涡轮增压发动机并提供高功</t>
  </si>
  <si>
    <t>2020/02/27 10:00:00</t>
  </si>
  <si>
    <t>　　gla是奔驰suv家族的入门车型，定位跨界紧凑suv。近日，我们从海外媒体获悉，梅赛德斯-奔驰全新一代gla将于2020年春季在欧洲进行首次亮相，并于同年第二季度在美国和中国正式推出。目前，国产奔驰全新gla的申报图已曝光，新车整体造型与海外版车型保持一致，动力将搭载1.3t涡轮增压发动机并提供</t>
  </si>
  <si>
    <t>　　可持续发展理念一直是奥迪的核心战略之一，贯穿于技术研发及生产制造。近日有媒体从奥迪中国官方获悉，全新奥迪a3将基于可持续内饰理念打造，由再生原料制成的座椅内饰将首次应用于全新a3。　　全新a3运用的再生原料为pet塑料瓶，45个容量为1.5升的pet塑料瓶便可制造一套座椅系统，而地毯使用62个回</t>
  </si>
  <si>
    <t>2020/02/27 09:58:00</t>
  </si>
  <si>
    <t>可持续发展理念一直是奥迪的核心战略之一，贯穿于技术研发及生产制造。近日有媒体从奥迪中国官方获悉，全新奥迪a3将基于可持续内饰理念打造，由再生原料制成的座椅内饰将首次应用于全新a3。    全新a3运用的再生原料为pet塑料瓶，45个容量为1.5升的pet塑料瓶便可制造一套座椅系统，而地毯使用62个回</t>
  </si>
  <si>
    <t>近日，有媒体从宝马官方获得了全新i4概念车预告图，新车采用流线型车身设计，并加入了溜背式车尾造型，十分动感。同时，该车将于3月3日在日内瓦车展全球首发。    宝马集团设计高级副总裁霍伊顿克先生（mr.adrianvanhooydonk）表示，“bmwi4概念车将电动化延伸到bmw品牌的核心，其设计</t>
  </si>
  <si>
    <t>2020/02/27 09:56:00</t>
  </si>
  <si>
    <t>　　近日，有媒体从宝马官方获得了全新i4概念车预告图，新车采用流线型车身设计，并加入了溜背式车尾造型，十分动感。同时，该车将于3月3日在日内瓦车展全球首发。　　宝马集团设计高级副总裁霍伊顿克先生（mr.adrianvanhooydonk）表示，“bmwi4概念车将电动化延伸到bmw品牌的核心，其设计</t>
  </si>
  <si>
    <t>近日，有媒体从荣威官方获悉，在前不久上汽集团最新研发的国内首款内置式深紫外线“杀毒”汽车空调从今日起已经进入倒数阶段。这套装置不仅可以有效吸附、阻隔空气中的颗粒物，更能进一步“消灭”空调过滤器中的细菌及病毒。    很多人都知道，2月26日是北京市新能源号牌发放日，总共发放出54200个，相比去年增</t>
  </si>
  <si>
    <t>2020/02/27 09:55:00</t>
  </si>
  <si>
    <t>　　近日，有媒体从荣威官方获悉，在前不久上汽集团最新研发的国内首款内置式深紫外线“杀毒”汽车空调从今日起已经进入倒数阶段。这套装置不仅可以有效吸附、阻隔空气中的颗粒物，更能进一步“消灭”空调过滤器中的细菌及病毒。　　很多人都知道，2月26日是北京市新能源号牌发放日，总共发放出54200个，相比去年增</t>
  </si>
  <si>
    <t>投诉编号：【448960】  投诉时间： 2020-02-27 09:54  投诉品牌： 一汽奔腾  投诉车系： 奔腾X40  投诉车型： 2017款 1.6L 手动 豪华型        投诉内容  一汽奔腾X40车门关闭后仪表指示灯亮，我从2月21号才发现的车门都关上了，仪表显示灯过10分钟又亮</t>
  </si>
  <si>
    <t>2020/02/27 09:54:00</t>
  </si>
  <si>
    <t>日内瓦车展是欧洲一年一度的大型车展，同时也是豪华汽车生产商的必争之地。不过，由于今年“疫情”缘故，诸如凯迪拉克、捷豹、路虎、日产、雪铁龙等至少13家大型汽车制造商退出本届日内瓦车展。虽然这些制造商选择退出，但是还有一大部分主流车厂十分看重，如大众、奥迪、奔驰、宝马等，且未来绝大部分新车都将引入国内，</t>
  </si>
  <si>
    <t>就服你</t>
  </si>
  <si>
    <t>小编侃车第153期：热血沸腾！ 2020年日内瓦车展入华新车前瞻日内瓦车展是欧洲一年一度的大型车展，同时也是豪华汽车生产商的必争之地。不过，由于今年“疫情”缘故，诸如凯迪拉克、捷豹、路虎、日产、雪铁龙等至少13家大型汽车制造商退出本届日内瓦车展。虽然这些制造商选择退出，但是还有一大部分主流车厂十分看</t>
  </si>
  <si>
    <t>双标题怎么理解都可以，不过银隆格力汽车基本确定是凉了，与王健林投不投资关系不大，这个品牌的新能源汽车从诞生之处就决定了现在的结果。银隆汽车的核心业务是钛酸锂电池的研发生产以及电动客车（大巴车、公交车）的生产，银隆钛酸锂并没有绝对的核心技术，技术是源自仅4亿元即可收购的一家美国电池小公司【奥钛】。而新</t>
  </si>
  <si>
    <t>小鹏123</t>
  </si>
  <si>
    <t>2020/02/27 09:52:00</t>
  </si>
  <si>
    <t>获得王健林5亿投资的董明珠汽车 发展的如何了？双标题怎么理解都可以，不过银隆格力汽车基本确定是凉了，与王健林投不投资关系不大，这个品牌的新能源汽车从诞生之处就决定了现在的结果。银隆汽车的核心业务是钛酸锂电池的研发生产以及电动客车（大巴车、公交车）的生产，银隆钛酸锂并没有绝对的核心技术，技术是源自仅4</t>
  </si>
  <si>
    <t>国之重器——高效发动机2018年下半年国家把增程式电动车划分到新能源电动车，就是说以后的电动车只有纯电和增程式，国家的积分政策和补贴也向增程器倾斜，突然之间，主机厂铺天盖地的搞起了增程器。增程器这一国家举措的诞生，也预示着电动车解决不了续航问题，解决不了技术问题，还不成熟，所以又再纯电基础上加上了传</t>
  </si>
  <si>
    <t>2020/02/27 09:51:00</t>
  </si>
  <si>
    <t>2018年下半年国家把增程式电动车划分到新能源电动车，就是说以后的电动车只有纯电和增程式，国家的积分政策和补贴也向增程器倾斜，突然之间，主机厂铺天盖地的搞起了增程器。增程器这一国家举措的诞生，也预示着电动车解决不了续航问题，解决不了技术问题，还不成熟，所以又再纯电基础上加上了传统发动机，预示着电动车</t>
  </si>
  <si>
    <t>现在随着科技的发展，汽车市场也是日益壮大。如今道路上除了燃油车之外，也出现了很多新能源汽车，现在国家倡导节能减排，很多车主也是选择新能源汽车来当代步工具。新能源汽车除了除了优点之外，缺点也是不断暴露出来，所以就有很多人好奇为什么还是这么多人选择新能源汽车，接下来就跟我看一下吧。首先说一下电池问题，众</t>
  </si>
  <si>
    <t>2月26日，有媒体从官方获悉，捷豹路虎在中国多地的办公场所已经逐步有序恢复办公，并协同英国总部资源，积极采取多项科学、有效的防疫举措，以确保经销商及员工的身心健康与安全运营。    捷豹路虎全球董事、捷豹路虎中国总裁潘庆先生对此表示：“面对新冠肺炎疫情的挑战，在保障全体员工健康的前提下，我们已逐步恢</t>
  </si>
  <si>
    <t>新能源缺点暴露现在随着科技的发展，汽车市场也是日益壮大。如今道路上除了燃油车之外，也出现了很多新能源汽车，现在国家倡导节能减排，很多车主也是选择新能源汽车来当代步工具。新能源汽车除了除了优点之外，缺点也是不断暴露出来，所以就有很多人好奇为什么还是这么多人选择新能源汽车，接下来就跟我看一下吧。首先说一</t>
  </si>
  <si>
    <t>　　2月26日，有媒体从官方获悉，捷豹路虎在中国多地的办公场所已经逐步有序恢复办公，并协同英国总部资源，积极采取多项科学、有效的防疫举措，以确保经销商及员工的身心健康与安全运营。　　捷豹路虎全球董事、捷豹路虎中国总裁潘庆先生对此表示：“面对新冠肺炎疫情的挑战，在保障全体员工健康的前提下，我们已逐步恢</t>
  </si>
  <si>
    <t>贷款购车合适吗许多消费者买车的时候都会纠结一个问题，那就是全款买车合适还是贷款买车合适，去4S店咨询，为什么销售会推荐你选择贷款，这是为了什么，而且销售的话你又能相信多少，我给大家分析一下。贷款购车合适和全款购车相差多少之所以纠结，一般是都是钱并不是很充足，或者是刚刚足够买这款车的消费者，全款买一下</t>
  </si>
  <si>
    <t>2020/02/27 09:50:00</t>
  </si>
  <si>
    <t>许多消费者买车的时候都会纠结一个问题，那就是全款买车合适还是贷款买车合适，去4S店咨询，为什么销售会推荐你选择贷款，这是为了什么，而且销售的话你又能相信多少，我给大家分析一下。贷款购车合适和全款购车相差多少之所以纠结，一般是都是钱并不是很充足，或者是刚刚足够买这款车的消费者，全款买一下子拿出这么多钱</t>
  </si>
  <si>
    <t>PSA表示，摆脱了销量下降的局面，在2019年实现创纪录的利润。首席执行官Carlos Tavares在一份声明中说：“我们在2019年取得了创纪录的成绩。PSA集团2019年净利润为32亿欧元（35亿美元），比2018年的增长13.2%。全球汽车销量下降10.3%，至350万辆，但营收微升1.0%</t>
  </si>
  <si>
    <t>法国PSA汽车集团：2019年实现创纪录的利润PSA表示，摆脱了销量下降的局面，在2019年实现创纪录的利润。首席执行官Carlos Tavares在一份声明中说：“我们在2019年取得了创纪录的成绩。PSA集团2019年净利润为32亿欧元（35亿美元），比2018年的增长13.2%。全球汽车销量下</t>
  </si>
  <si>
    <t>苹果汽车动态座椅专利曝光“Apple Car”是一个陌生又熟悉的词汇，苹果公司研发汽车早已不是秘密，但是我们却几乎从来没有从苹果官方那里获得过任何可靠信息。近日，据外媒报道，苹果的汽车研发已经有了新突破，其最新的汽车座椅专利显示，座椅能在汽车急转弯的情况下自适应改变形状，以保护乘员的人身安全。常规汽</t>
  </si>
  <si>
    <t>2020/02/27 09:49:00</t>
  </si>
  <si>
    <t>“Apple Car”是一个陌生又熟悉的词汇，苹果公司研发汽车早已不是秘密，但是我们却几乎从来没有从苹果官方那里获得过任何可靠信息。近日，据外媒报道，苹果的汽车研发已经有了新突破，其最新的汽车座椅专利显示，座椅能在汽车急转弯的情况下自适应改变形状，以保护乘员的人身安全。常规汽车座椅VS苹果汽车座椅美</t>
  </si>
  <si>
    <t>在品牌一周年之际，捷达品牌公布其定位中型suv产品的vs7“尝鲜上市”，此次公布的价格为“尝鲜价”，共推出四款车型，售价区间为10.68-13.68万元。    所谓“尝鲜价”官方解释的定义为：“自广州车展亮相以来，其积累了大量的粉丝订单，且部分用户提出了迫切的用车需求，结合目前资源和物流的情况，捷</t>
  </si>
  <si>
    <t>　　在品牌一周年之际，捷达品牌公布其定位中型suv产品的vs7“尝鲜上市”，此次公布的价格为“尝鲜价”，共推出四款车型，售价区间为10.68-13.68万元。　　所谓“尝鲜价”官方解释的定义为：“自广州车展亮相以来，其积累了大量的粉丝订单，且部分用户提出了迫切的用车需求，结合目前资源和物流的情况，捷</t>
  </si>
  <si>
    <t>翟彤</t>
  </si>
  <si>
    <t>JLB-4G14TB发动机将会出现在缤越上， 这意味着这台吉利体系中销量较为出色的三缸机SUV再添强势版本，对于急需拉动销量的吉利来说，并非不是一件好事儿。2019年，吉利销量随行就市下滑，全年累计销量下滑幅度超9%，销量下滑的一个原因在于吉利销量体系较大，过去一年市场被竞品瓜分明显，另一方面原因在</t>
  </si>
  <si>
    <t>2020/02/27 09:48:00</t>
  </si>
  <si>
    <t>吉利换回四缸机 是醒悟还是迷失？JLB-4G14TB发动机将会出现在缤越上， 这意味着这台吉利体系中销量较为出色的三缸机SUV再添强势版本，对于急需拉动销量的吉利来说，并非不是一件好事儿。2019年，吉利销量随行就市下滑，全年累计销量下滑幅度超9%，销量下滑的一个原因在于吉利销量体系较大，过去一年市</t>
  </si>
  <si>
    <t>马自达坚持自己的“高端合资路线”初显成效，2019年双马销量双双下滑，跌幅达16.37%。想要更高品牌定调必须要舍弃市场份额，低端品牌向豪华品牌迈进的过程中，市场份额在不断减少，同时售价以及利润率也在提升，马自达做无降价之争的产品表现力，终端市场执行力方面深度贯穿高层意思：坚决不降价。以全新上市的次</t>
  </si>
  <si>
    <t>2020/02/27 09:47:00</t>
  </si>
  <si>
    <t>马自达：降价是不可能的 饿死也不会降价马自达坚持自己的“高端合资路线”初显成效，2019年双马销量双双下滑，跌幅达16.37%。想要更高品牌定调必须要舍弃市场份额，低端品牌向豪华品牌迈进的过程中，市场份额在不断减少，同时售价以及利润率也在提升，马自达做无降价之争的产品表现力，终端市场执行力方面深度贯</t>
  </si>
  <si>
    <t>投诉编号：【448958】投诉时间：2020-02-2709:45投诉品牌：东风悦达起亚投诉车系：KX3傲跑投诉车型：2020款1.5LCVT潮流版投诉内容东风悦达起亚KX3傲跑无导航及QQ音乐，和我们一样都是潮流版的车，可我们就买早买一个月为什么别人的车可以插卡自带导航，可以用APP播放器放歌曲，</t>
  </si>
  <si>
    <t>2020/02/27 09:45:00</t>
  </si>
  <si>
    <t>　　面对疫情的发生，我国很多汽车企业面临的新品营销计划面临着拖延或者搁浅。从官方获悉，长城皮卡即将在本周六采用线上上市的手段对旗下两款产品进行发布，包括长城风骏5汽油国六版和风骏7新冠军版。　　长城风骏5汽油国六版外观方面将不会有较大的改动，且具有长/短货箱版本。该车采用2.4l 4k22d4m汽油</t>
  </si>
  <si>
    <t>张美青</t>
  </si>
  <si>
    <t>面对疫情的发生，我国很多汽车企业面临的新品营销计划面临着拖延或者搁浅。从官方获悉，长城皮卡即将在本周六采用线上上市的手段对旗下两款产品进行发布，包括长城风骏5汽油国六版和风骏7新冠军版。    长城风骏5汽油国六版外观方面将不会有较大的改动，且具有长/短货箱版本。该车采用2.4l 4k22d4m汽油</t>
  </si>
  <si>
    <t>北京每年公布一次的新能源小客车指标，就犹如一次“开闸放水”，成为各新能源车企关注的焦点。2月25日，北京市小客车指标调控管理办公室公布了2020年第1期小客车指标申请审核结果和配置工作有关事项。在新能源小客车指标中，个人新能源小客车指标额度共计54200个，相比2019年数量略有增加，占年度新能源指</t>
  </si>
  <si>
    <t>2020/02/27 09:44:00</t>
  </si>
  <si>
    <t>百度对“难兄难弟”的解析有两种，第一种已经较为少用，比喻兄弟两都非常好，难分高下，今多反用，讥讽两人同样坏；而第二种指共过患难的人或彼此处于同样困境的人。但对于现时的蔚来汽车和理想汽车来说，这两种解析似乎都走得通：首先，两个品牌背后都站着由明星媒体人演变而成的创始人，也有一长串声名在外的投资人和支持</t>
  </si>
  <si>
    <t>北京新能源指标“开闸放水”北京每年公布一次的新能源小客车指标，就犹如一次“开闸放水”，成为各新能源车企关注的焦点。2月25日，北京市小客车指标调控管理办公室公布了2020年第1期小客车指标申请审核结果和配置工作有关事项。在新能源小客车指标中，个人新能源小客车指标额度共计54200个，相比2019年数</t>
  </si>
  <si>
    <t>蔚来和理想 好一对难兄难弟百度对“难兄难弟”的解析有两种，第一种已经较为少用，比喻兄弟两都非常好，难分高下，今多反用，讥讽两人同样坏；而第二种指共过患难的人或彼此处于同样困境的人。但对于现时的蔚来汽车和理想汽车来说，这两种解析似乎都走得通：首先，两个品牌背后都站着由明星媒体人演变而成的创始人，也有一</t>
  </si>
  <si>
    <t>投诉编号：【448957】  投诉时间： 2020-02-27 09:43  投诉品牌： 吉利汽车  投诉车系： 帝豪GL  投诉车型： 2018款 1.4T 自动 尊贵智联型        投诉内容  吉利帝豪GL左右大灯进水4S店无法解决，4s店说这是正常的，请问19款的为什么人家没问题？维修部</t>
  </si>
  <si>
    <t>2020/02/27 09:43:00</t>
  </si>
  <si>
    <t>　　不久前车市探店小分队为大家介绍了20万级别中的高颜值suv广汽本田皓影，今天我们再为大家推荐一款同样在20万元价位区间，以性能、配置和性价比作为主要卖点的四驱suv长安福特锐际，一起来看看它的市场行情和现车情况。　　长安福特锐际的出现，进一步丰富福特在国内市场的suv车型产品阵容，对于消费者来说</t>
  </si>
  <si>
    <t>　　作为一汽-大众品牌的首款b级车，迈腾对于国内市场的意义非凡，驰骋沙场十几年俘获了无数消费者的芳心，也曾成为70、80年代人心中的dream car，迎来中期改款的它现在又有着怎样的市场竞争力呢，今天车市探店小分队便来到一汽-大众4s店，为您带来新款迈腾的终端市场行情和现车情况。　　大众旗下的车型</t>
  </si>
  <si>
    <t>2020/02/27 09:42:00</t>
  </si>
  <si>
    <t>宝马3系改装M3 LB宽体大包围</t>
  </si>
  <si>
    <t>2020/02/27 09:38:00</t>
  </si>
  <si>
    <t>　　诞生于1966年，已经走过半个多世纪的丰田卡罗拉，绝对是对靠谱家用车的完美诠释。2019年，卡罗拉全球销量超过123万台，至今累计销量已经超过了4800万台，并继续扮演着领跑者的角色，如果您不知道10-15万元区间的家用车怎么选，卡罗拉则是绝对不会出错的车型，出色的耐久性以及高保值率也是大多数人</t>
  </si>
  <si>
    <t>　　在北京车展因疫情的影响推迟后，下周就要开始的日内瓦车展更是成为了今年上半年最引人瞩目的国际性车展，我们从今天开始为大家集中梳理一遍重点新车。第一期想表达的就是国人关注度很高的bmw品牌，随着3系和x1价格的跳水，越来越多的bmw车型走进了千家万户。但一系列ukl架构的车型来临，让bmw备受争议，</t>
  </si>
  <si>
    <t>2020/02/27 09:36:00</t>
  </si>
  <si>
    <t>在北京车展因疫情的影响推迟后，下周就要开始的日内瓦车展更是成为了今年上半年最引人瞩目的国际性车展，我们从今天开始为大家集中梳理一遍重点新车。第一期想表达的就是国人关注度很高的bmw品牌，随着3系和x1价格的跳水，越来越多的bmw车型走进了千家万户。但一系列ukl架构的车型来临，让bmw备受争议，前驱</t>
  </si>
  <si>
    <t>　　日前，固特异轮胎橡胶公司携手客户收集并分析了累计300万英里的智能网联轮胎道路测试和实地测试数据。初步研究证明，固特异的智能网联轮胎可实现制动距离缩短高达30%。　　随着电动车和自动驾驶汽车时代的来临，智能网联轮胎的重要性与日俱增。内置传感器的智能网联轮胎能够与车辆和公路进行“对话”，还可以测量</t>
  </si>
  <si>
    <t>2020/02/27 09:33:00</t>
  </si>
  <si>
    <t>日前，固特异轮胎橡胶公司携手客户收集并分析了累计300万英里的智能网联轮胎道路测试和实地测试数据。初步研究证明，固特异的智能网联轮胎可实现制动距离缩短高达30%。    随着电动车和自动驾驶汽车时代的来临，智能网联轮胎的重要性与日俱增。内置传感器的智能网联轮胎能够与车辆和公路进行“对话”，还可以测量</t>
  </si>
  <si>
    <t>2014海马S5 1.6L，熄火后气囊、安全带、汽车稳定三个灯经常亮，一般隔夜都会亮起，导致过亏电两次，请问如何解决？</t>
  </si>
  <si>
    <t>2020/02/27 09:32:47</t>
  </si>
  <si>
    <t>　　日前，我们从华晨金杯官方获悉，旗下两款车型――金杯t20s/t22s正式上市，两款新车共推出5款车型，其售价区间为3.59-4.29万元，详情如下。金杯t20s　　此次上市的金杯t20s和金杯t22s的主要区别在于座舱形式，其中金杯t20s采用单排座设计，而后者则为双排座。而在外观其他方面，金杯</t>
  </si>
  <si>
    <t>2020/02/27 09:32:00</t>
  </si>
  <si>
    <t>日前，我们从华晨金杯官方获悉，旗下两款车型——金杯t20s/t22s正式上市，两款新车共推出5款车型，其售价区间为3.59-4.29万元，详情如下。金杯t20s    此次上市的金杯t20s和金杯t22s的主要区别在于座舱形式，其中金杯t20s采用单排座设计，而后者则为双排座。而在外观其他方面，金杯</t>
  </si>
  <si>
    <t>❷ ❸ ❹ ❺ ❻ ❼ ❽ ❾</t>
  </si>
  <si>
    <t>巴拉巴拉巴拉</t>
  </si>
  <si>
    <t>2020/02/27 09:29:00</t>
  </si>
  <si>
    <t>为啥你全责？路口让右你一定要知道！ ❷ ❸ ❹ ❺ ❻ ❼ ❽ ❾</t>
  </si>
  <si>
    <t>投诉编号：【448952】投诉时间：2020-02-2709:29投诉品牌：一汽奔腾投诉车系：奔腾T99投诉车型：2019款20TD自动尊享型投诉内容一汽奔腾T99发动机故障灯亮、气压灯亮、发动时异响、中控黑屏，发动机高速行驶时故障灯亮，气压灯高速行驶故障亮，发动时，发动机出现异响；中控间隙性黑屏。</t>
  </si>
  <si>
    <t>挡风玻璃很容易被路上的小石子砸中，这些小洞洞虽然没什么大碍但是看着丑陋，要是没有去交玻璃险的小伙伴，要是去4S店更换一块挡风玻璃起码500元，但是只需要用三至四十元就能得到玻璃修补套装了，可以自己将玻璃修好的。 1、买来酒精和玻璃清洗剂清洗破损的位置，然后挑出碎玻璃渣，总之就是让裂缝与小洞尽可能平整</t>
  </si>
  <si>
    <t>2020/02/27 09:28:00</t>
  </si>
  <si>
    <t>高速上汽车挡风玻璃被石头砸了个洞，其实30元就可以修复挡风玻璃很容易被路上的小石子砸中，这些小洞洞虽然没什么大碍但是看着丑陋，要是没有去交玻璃险的小伙伴，要是去4S店更换一块挡风玻璃起码500元，但是只需要用三至四十元就能得到玻璃修补套装了，可以自己将玻璃修好的。 1、买来酒精和玻璃清洗剂清洗破损的</t>
  </si>
  <si>
    <t>　　2月26日，据外媒报道，特斯拉与松下将在纽约结束太阳能电池合作关系。特斯拉和日本松下曾经是长期生产锂电池的合作伙伴，松下也曾是特斯拉美国电动车工厂唯一的锂电池供应商。　　2016年，特斯拉和松下宣布成立太阳能电池合资公司，且松下承担了美国纽约州布法罗工厂的一定设备成本。2017年，该工厂开始生产</t>
  </si>
  <si>
    <t>朱峰</t>
  </si>
  <si>
    <t>2020/02/27 09:25:00</t>
  </si>
  <si>
    <t>2月26日，据外媒报道，特斯拉与松下将在纽约结束太阳能电池合作关系。特斯拉和日本松下曾经是长期生产锂电池的合作伙伴，松下也曾是特斯拉美国电动车工厂唯一的锂电池供应商。    2016年，特斯拉和松下宣布成立太阳能电池合资公司，且松下承担了美国纽约州布法罗工厂的一定设备成本。2017年，该工厂开始生产</t>
  </si>
  <si>
    <t>这几天，帕萨特在中保研的碰撞测试结果出来了，完败的碰撞结果让许多小伙伴大跌眼镜。德系选手不是非常结实耐撞吗？怎么就不行了？今天，我们就帮您总结一下，在中保研的碰撞测试中，25%正面偏置碰撞得分和侧面碰撞得分非常惨的几位选手。 为什么只介绍这两项碰撞成绩？ 首先我要说明一下，之所以只介绍25%偏置碰撞</t>
  </si>
  <si>
    <t>2020/02/27 09:24:00</t>
  </si>
  <si>
    <t>雷克萨斯ES从上市之后就一直供不应求，市场表现和口碑都非常不错。这不，最近我们车友群里就有好几个人在问雷克萨斯ES哪款车型最值得入手。  今天小编就来给大家简单分析一下，雷克萨斯ES到底哪一款车最值得我们入手。 雷克萨斯ES有8款车型，3种不同的动力总成，分别是2.0L自然吸气、2.5L自然吸气以及</t>
  </si>
  <si>
    <t>到底哪款雷克萨斯ES最值得买？雷克萨斯ES从上市之后就一直供不应求，市场表现和口碑都非常不错。这不，最近我们车友群里就有好几个人在问雷克萨斯ES哪款车型最值得入手。  今天小编就来给大家简单分析一下，雷克萨斯ES到底哪一款车最值得我们入手。 雷克萨斯ES有8款车型，3种不同的动力总成，分别是2.0L</t>
  </si>
  <si>
    <t>这些车千万别买 总结中保研测试碰撞这几天，帕萨特在中保研的碰撞测试结果出来了，完败的碰撞结果让许多小伙伴大跌眼镜。德系选手不是非常结实耐撞吗？怎么就不行了？今天，我们就帮您总结一下，在中保研的碰撞测试中，25%正面偏置碰撞得分和侧面碰撞得分非常惨的几位选手。 为什么只介绍这两项碰撞成绩？ 首先我要说</t>
  </si>
  <si>
    <t>日系车皮薄？大众车厚重？看完碰撞测试，只想说：且行且珍惜吧！说起汽车的安全性，这个话题一直就非常受大家关注，那么各个车系阵营究竟谁的安全性更高呢？下面我们以中保研的碰撞测试结果为标准来看一下。日系车 向来有“纸皮车”之称的日系车，安全性一直就不被人看好，然而，丰田亚洲龙这款车型却在各项测试中，却全部</t>
  </si>
  <si>
    <t>2020/02/27 09:22:00</t>
  </si>
  <si>
    <t>诚然，寒冬市场的再度下行以及春节假期的提前，导致吉利汽车1月份仅卖了111838辆，同比下滑29.4%。不过需要承认的是，身兼重任的博越虽再度取得23472辆的佳绩，但同比14.7%的下滑实则透露着PRO版本的不尽人意。由于1月份暂时没有细化产品销量，所以可以拿去年12月份的数据做参考。首先需要说明</t>
  </si>
  <si>
    <t>日系车皮薄？大众车厚重？看完碰撞测试，只想说：且行且珍惜吧日系车皮薄？大众车厚重？看完碰撞测试，只想说：且行且珍惜吧！说起汽车的安全性，这个话题一直就非常受大家关注，那么各个车系阵营究竟谁的安全性更高呢？下面我们以中保研的碰撞测试结果为标准来看一下。日系车 向来有“纸皮车”之称的日系车，安全性一直就</t>
  </si>
  <si>
    <t>事实证明，博越PRO其实卖的并不好诚然，寒冬市场的再度下行以及春节假期的提前，导致吉利汽车1月份仅卖了111838辆，同比下滑29.4%。不过需要承认的是，身兼重任的博越虽再度取得23472辆的佳绩，但同比14.7%的下滑实则透露着PRO版本的不尽人意。由于1月份暂时没有细化产品销量，所以可以拿去年</t>
  </si>
  <si>
    <t>日前，我们从宝马官方获悉，i3快充畅行款正式上市，新车售价为30.58万元，nedc续航里程为340km，配置方面与2020款宝马i3快充版并无差异，但官方售价下降了3.4万元，并且还能享受一年免费公共充电服务。    据了解，新推出的i3快充畅行款在外观以及配置方面相比快充版车型并无变化，宝马为购</t>
  </si>
  <si>
    <t>　　日前，我们从宝马官方获悉，i3快充畅行款正式上市，新车售价为30.58万元，nedc续航里程为340km，配置方面与2020款宝马i3快充版并无差异，但官方售价下降了3.4万元，并且还能享受一年免费公共充电服务。　　据了解，新推出的i3快充畅行款在外观以及配置方面相比快充版车型并无变化，宝马为购</t>
  </si>
  <si>
    <t>近些年长安发福特在国内的日子过得并不如意，销量的持续下滑，无论是对于厂家还是终端4S店来说都面临着较大的压力。而在2019年，长安福特的销量再度腰斩，销量从2018年的37.8万辆下滑至2019年的18.4万辆，同比下滑51%。当然国内车市整体趋势的下滑，给了长安福特较大的压力。然而自身实力在201</t>
  </si>
  <si>
    <t>2020/02/27 09:21:00</t>
  </si>
  <si>
    <t>1月销量仅1千辆出头，福特锐际：不好意思又让大家失望了近些年长安发福特在国内的日子过得并不如意，销量的持续下滑，无论是对于厂家还是终端4S店来说都面临着较大的压力。而在2019年，长安福特的销量再度腰斩，销量从2018年的37.8万辆下滑至2019年的18.4万辆，同比下滑51%。当然国内车市整体趋</t>
  </si>
  <si>
    <t>在国产三厢A级问世之前，奔驰CLA会是消费者最容易接触到的奔驰轿车，在此基础上其还附带纯进口姿态；对于品牌溢价一向过高的奔驰而言，能够将一辆进口轿车控制在二十几万起步实在是令人意外，可自2014年后，奔驰CLA就这么的存在了。 一直以来，奔驰CLA受限于自身产品力问题虽销量不高但关注度却不低。对于部</t>
  </si>
  <si>
    <t>2020/02/27 09:20:00</t>
  </si>
  <si>
    <t>二十几万也能买进口奔驰，溜背+无框车门，新款还带双屏内饰在国产三厢A级问世之前，奔驰CLA会是消费者最容易接触到的奔驰轿车，在此基础上其还附带纯进口姿态；对于品牌溢价一向过高的奔驰而言，能够将一辆进口轿车控制在二十几万起步实在是令人意外，可自2014年后，奔驰CLA就这么的存在了。 一直以来，奔驰C</t>
  </si>
  <si>
    <t>没想到凯迪拉克CT5的新车效应竟然去得这么快，价格公布才一个月，市面上就已经没多少CT5的消息，就连CT5-V也就是CT5高性能版本预售价公布也没能引起多少关注。不过这也是很正常的情况，因为大家关心的可不是凯迪拉克车好不好，大家只关心你家的车优惠多少。 在国内降价是情非得已我记得去年年底，一直不承认</t>
  </si>
  <si>
    <t>你压力大吗</t>
  </si>
  <si>
    <t>2020/02/27 09:18:00</t>
  </si>
  <si>
    <t>理性分析凯迪拉克CT5的保价策略，这台车最多能优惠多少没想到凯迪拉克CT5的新车效应竟然去得这么快，价格公布才一个月，市面上就已经没多少CT5的消息，就连CT5-V也就是CT5高性能版本预售价公布也没能引起多少关注。不过这也是很正常的情况，因为大家关心的可不是凯迪拉克车好不好，大家只关心你家的车优惠</t>
  </si>
  <si>
    <t>　　油价可谓是每个司机都关心的话题了，如何省油更是每一位车主都在时刻关心的。要说开车真的做到省油就必须结合到路途和车辆驾驶的时速，那怎么做才在开车时省油又省心呢？小编就来和大家分享一下~　　经济时速很主要　　大多数人开车都想省油，但在平常的驾驶过程中却疏忽了车速和油耗之间的联系。比方均匀时速在80k</t>
  </si>
  <si>
    <t>2020/02/27 09:15:00</t>
  </si>
  <si>
    <t>油价可谓是每个司机都关心的话题了，如何省油更是每一位车主都在时刻关心的。要说开车真的做到省油就必须结合到路途和车辆驾驶的时速，那怎么做才在开车时省油又省心呢？小编就来和大家分享一下~    经济时速很主要    大多数人开车都想省油，但在平常的驾驶过程中却疏忽了车速和油耗之间的联系。比方均匀时速在8</t>
  </si>
  <si>
    <t>时代在发展，政策也跟着发展，专家总有理由，说服每个人都能理解。但算起来，每一次政策调整，车主总是要付出代价的那群人，无论你当年开的是小排量，还是后来换成了国五车。面对空空荡荡的街道，学生会欢呼不上学的日子多美好，文青会思考起生活的哲理，而汽车相关从业者，大概只觉得忧心如焚。据媒体报道，不久前，中国汽</t>
  </si>
  <si>
    <t>2020/02/27 09:14:00</t>
  </si>
  <si>
    <t>别忽悠我买车，疫情过去也不行时代在发展，政策也跟着发展，专家总有理由，说服每个人都能理解。但算起来，每一次政策调整，车主总是要付出代价的那群人，无论你当年开的是小排量，还是后来换成了国五车。面对空空荡荡的街道，学生会欢呼不上学的日子多美好，文青会思考起生活的哲理，而汽车相关从业者，大概只觉得忧心如焚</t>
  </si>
  <si>
    <t>　　2月25日，据外媒报道，东南亚网约车公司grab近日从日本it公司tis融资1.5亿美元。就在一周前，grab刚刚从日本三菱日联金融集团（mufg）融资7.06亿美元。grab连续获得日本两家公司共计8.56亿美元融资，并计划将这笔资金用于为东南亚消费者和中小型企业提供创新贷款、保险和财富管理产</t>
  </si>
  <si>
    <t>2020/02/27 09:12:00</t>
  </si>
  <si>
    <t>2月25日，据外媒报道，东南亚网约车公司grab近日从日本it公司tis融资1.5亿美元。就在一周前，grab刚刚从日本三菱日联金融集团（mufg）融资7.06亿美元。grab连续获得日本两家公司共计8.56亿美元融资，并计划将这笔资金用于为东南亚消费者和中小型企业提供创新贷款、保险和财富管理产品及</t>
  </si>
  <si>
    <t>　　在自动驾驶方面，丰田一直都是比较低调的，因为它始终在埋头钻研技术。此前，丰田曾宣布要在2020年东京奥运会期间推出l4级自动驾驶汽车，在场馆和运动员住所区提供移动出行服务。近日，这家全球汽车制造商巨头又向中国自动驾驶初创公司进行投资，以满足自动驾驶技术研发需求。丰田e-palette　　2月26</t>
  </si>
  <si>
    <t>2020/02/27 09:11:00</t>
  </si>
  <si>
    <t>在自动驾驶方面，丰田一直都是比较低调的，因为它始终在埋头钻研技术。此前，丰田曾宣布要在2020年东京奥运会期间推出l4级自动驾驶汽车，在场馆和运动员住所区提供移动出行服务。近日，这家全球汽车制造商巨头又向中国自动驾驶初创公司进行投资，以满足自动驾驶技术研发需求。丰田e-palette    2月26</t>
  </si>
  <si>
    <t>　　早几年电动车刚发展起来的时候，我们会看到很多车辆的动力电池使用的是磷酸铁锂，然而近几年三元锂的名声更响亮，买车时甚至会问“这车的电池是三元锂的吧？”磷酸铁锂电池似乎成为了被淘汰的电池种类。然而最近特斯拉可能使用磷酸铁锂电池的新闻以及比亚迪“刀片电池”的应用，将人们的视线重新拉回到磷酸铁锂电池身上</t>
  </si>
  <si>
    <t>2020/02/27 09:10:00</t>
  </si>
  <si>
    <t>早几年电动车刚发展起来的时候，我们会看到很多车辆的动力电池使用的是磷酸铁锂，然而近几年三元锂的名声更响亮，买车时甚至会问“这车的电池是三元锂的吧？”磷酸铁锂电池似乎成为了被淘汰的电池种类。然而最近特斯拉可能使用磷酸铁锂电池的新闻以及比亚迪“刀片电池”的应用，将人们的视线重新拉回到磷酸铁锂电池身上，难</t>
  </si>
  <si>
    <t>无人出门的春天 终于让滴滴也挺不住了以前哭穷的行业，现在是真穷，包括行业中的老大，比如火锅“扛把子”海底捞，比如肉类拔高者“西贝”，比如汽车共享出行的中国头把交椅拥有者“滴滴”！原本春节和随之而来的复工潮，是滴滴能够赚得盆满钵满的时候，奈何现在国家倡导人们尽量不要出门，即便出门也要选择更稳妥有效的出</t>
  </si>
  <si>
    <t>键盘车大帝</t>
  </si>
  <si>
    <t>2020/02/27 09:04:00</t>
  </si>
  <si>
    <t>以前哭穷的行业，现在是真穷，包括行业中的老大，比如火锅“扛把子”海底捞，比如肉类拔高者“西贝”，比如汽车共享出行的中国头把交椅拥有者“滴滴”！原本春节和随之而来的复工潮，是滴滴能够赚得盆满钵满的时候，奈何现在国家倡导人们尽量不要出门，即便出门也要选择更稳妥有效的出行方式，所以私家车成为了必需品，即便</t>
  </si>
  <si>
    <t>2020款宾利欧陆GT狂躁奔放的内心2020款宾利全新欧陆 GT 敞篷版以精湛的工艺、优雅的格调以及独特的风格为业界树立了新的标杆。由宾利英格兰工厂设计和精心匠造的宾利全新欧陆 GT 敞篷版，将令人大呼过瘾的敞篷驾驶体验提升到了激动人心的新高度。尾部全面采EXP10概念车设计。在致敬经典双马蹄造型的</t>
  </si>
  <si>
    <t>2020/02/27 09:02:00</t>
  </si>
  <si>
    <t>2020款宾利全新欧陆 GT 敞篷版以精湛的工艺、优雅的格调以及独特的风格为业界树立了新的标杆。由宾利英格兰工厂设计和精心匠造的宾利全新欧陆 GT 敞篷版，将令人大呼过瘾的敞篷驾驶体验提升到了激动人心的新高度。尾部全面采EXP10概念车设计。在致敬经典双马蹄造型的基础上，将导流板由后窗下沿移至后备箱</t>
  </si>
  <si>
    <t>百年大众 源于德国 质量与品质的保证</t>
  </si>
  <si>
    <t>2020/02/27 09:01:00</t>
  </si>
  <si>
    <t>本田飞度 最有价值改装的一台神车</t>
  </si>
  <si>
    <t>本田飞度 2019款 1.5L CVT豪华版本田飞度 最有价值改装的一台神车</t>
  </si>
  <si>
    <t>大众朗逸 2019款 1.5L 自动舒适版 国六百年大众 源于德国 质量与品质的保证</t>
  </si>
  <si>
    <t>日前，从宝马汽车官方获悉，宝马i3 快充畅行版正式上市，官方售价：30.58万元，NEDC工况续航340公里。作为年度改款车型，新车在配置上和2020款快充版保持一致，但官方售价有所下调。车型亮点：在北京、上海、广州、深圳、杭州、天津6座城市享受免费新能源牌照，全国范围内可享受购置税免费，1年期公共</t>
  </si>
  <si>
    <t>2020/02/27 09:00:00</t>
  </si>
  <si>
    <t>年前有一张申报图显示，上汽通用英朗和科鲁泽等车型将推出1.5L四缸发动机车型。这被一些“不喜欢求证”的媒体理解为要放弃三缸发动机，改回四缸发动机了。但事实上，上汽通用的三缸发动机车型越卖越好。而小排量、低排放、高效能、智能化的动力总成是未来趋势，不仅是上汽通用坚持的一个方向，丰田、本田、大众、奥迪等</t>
  </si>
  <si>
    <t>宝马i3快充畅行版上市 续航340公里/售30.58万元日前，从宝马汽车官方获悉，宝马i3 快充畅行版正式上市，官方售价：30.58万元，NEDC工况续航340公里。作为年度改款车型，新车在配置上和2020款快充版保持一致，但官方售价有所下调。车型亮点：在北京、上海、广州、深圳、杭州、天津6座城市享</t>
  </si>
  <si>
    <t>上汽通用要“换掉”三缸发动机？瞎说！看看全新探界者年前有一张申报图显示，上汽通用英朗和科鲁泽等车型将推出1.5L四缸发动机车型。这被一些“不喜欢求证”的媒体理解为要放弃三缸发动机，改回四缸发动机了。但事实上，上汽通用的三缸发动机车型越卖越好。而小排量、低排放、高效能、智能化的动力总成是未来趋势，不仅</t>
  </si>
  <si>
    <t>据外媒报道大众汽车近日发布了第八款掀背车2021 Golf GTI官图，新车将于日内瓦车展发布。外观上，大众汽车提供了一些关键的样式增强功能，以表示来自基础高尔夫的GTI。前脸在散热器格栅上方带有标准的发光杆，该格栅还具有GTI的特定红色装饰。这样就形成了一个连续的光条，延伸到汽车的大部分表面，并且</t>
  </si>
  <si>
    <t>2020/02/27 08:59:00</t>
  </si>
  <si>
    <t>通过对长期“斗争经验”的积累，下面就为新车主介绍几款便宜又实用的妙招。祛除车内残留有害气体开窗通风是必须的，但耗时较长。另外新车很多部件都有塑料袋保护，有的车主喜欢在不影响使用的情况下尽量保持新车的感觉而不去拆除，其实这些塑料包装一定要及时拆除，否则内部有害气体很难散发出来。放置具有吸附性作用的东西</t>
  </si>
  <si>
    <t>2月25日，极星（Polestar）品牌旗下第三款车型——极星Precept概念车正式发布。“极星Precept以可视化的方式展示了极星的价值和愿景。”这是极星首席执行官托马斯·英格拉特 （Thomas Ingenlath）对这款新车的评价。极星Precept同极星1和极星2有着很大的不同，在极星1</t>
  </si>
  <si>
    <t>外观更有战斗力 2021款大众高尔夫GTI官图发布据外媒报道大众汽车近日发布了第八款掀背车2021 Golf GTI官图，新车将于日内瓦车展发布。外观上，大众汽车提供了一些关键的样式增强功能，以表示来自基础高尔夫的GTI。前脸在散热器格栅上方带有标准的发光杆，该格栅还具有GTI的特定红色装饰。这样就</t>
  </si>
  <si>
    <t>新车使用注意啥 实用养护妙招推荐通过对长期“斗争经验”的积累，下面就为新车主介绍几款便宜又实用的妙招。祛除车内残留有害气体开窗通风是必须的，但耗时较长。另外新车很多部件都有塑料袋保护，有的车主喜欢在不影响使用的情况下尽量保持新车的感觉而不去拆除，其实这些塑料包装一定要及时拆除，否则内部有害气体很难散</t>
  </si>
  <si>
    <t>Polestar Precept 试图重新定义“豪华”2月25日，极星（Polestar）品牌旗下第三款车型——极星Precept概念车正式发布。“极星Precept以可视化的方式展示了极星的价值和愿景。”这是极星首席执行官托马斯·英格拉特 （Thomas Ingenlath）对这款新车的评价。极星</t>
  </si>
  <si>
    <t>现在大多数品牌的车，顶配车型与低配车型一定会有一个不同——是轮胎与轮毂。轮胎与轮毂，这两个在最初的选车过程中直接被许多消费者无视的配置，显然在厂商眼中有着重要的地位。轮胎与轮毂在汽车使用过程中，同汽车的安全、操控、油耗、噪音等许多方面有着密不可分的联系，同时轮胎与轮毂还在默默地改变着车辆的整体视觉感</t>
  </si>
  <si>
    <t>2020/02/27 08:58:00</t>
  </si>
  <si>
    <t>2021年的Mercedes-AMG GLA 45使该品牌备受赞誉的M139 2.0升涡轮增压四缸发动机成为紧凑型跨界车，此前曾出现在A45和CLA 45等车辆上。在此应用中，该轧机提供382马力（285千瓦）和354磅-英尺（480牛顿米）的扭矩，这些扭矩通过八速双离合器变速器传递到复杂的全轮驱动</t>
  </si>
  <si>
    <t>小轮胎大门道 汽车轮胎改装不当很危险现在大多数品牌的车，顶配车型与低配车型一定会有一个不同——是轮胎与轮毂。轮胎与轮毂，这两个在最初的选车过程中直接被许多消费者无视的配置，显然在厂商眼中有着重要的地位。轮胎与轮毂在汽车使用过程中，同汽车的安全、操控、油耗、噪音等许多方面有着密不可分的联系，同时轮胎与</t>
  </si>
  <si>
    <t>2021款AMG GLA 45首次亮相2021年的Mercedes-AMG GLA 45使该品牌备受赞誉的M139 2.0升涡轮增压四缸发动机成为紧凑型跨界车，此前曾出现在A45和CLA 45等车辆上。在此应用中，该轧机提供382马力（285千瓦）和354磅-英尺（480牛顿米）的扭矩，这些扭矩通过</t>
  </si>
  <si>
    <t>投诉编号：【448949】  投诉时间： 2020-02-27 08:57  投诉品牌： 上汽斯柯达  投诉车系： 速派  投诉车型： 2017款 TSI280 DSG 冠军版        投诉内容  2020年2月25日发现汽车轮胎位置漏油，用千斤顶顶起汽车观察，发现是球笼位置漏油，用手摸了下螺</t>
  </si>
  <si>
    <t>2020/02/27 08:57:00</t>
  </si>
  <si>
    <t>在我们的印象中，博世是一家拥有着百年历史的汽车零部件供应商，称其为车企背后的“巨人”丝毫不为过。不过这家公司丝毫没有“老态龙钟”，它正朝着电动化、网联化、自动化方面积极转型。就拿自动驾驶技术来说，博世已经全面涉足自动驾驶感知、决策、执行三大核心领域，并通过一系列战略合作及投资行为强化其自动驾驶体系能</t>
  </si>
  <si>
    <t>2020/02/27 08:56:00</t>
  </si>
  <si>
    <t>　　在我们的印象中，博世是一家拥有着百年历史的汽车零部件供应商，称其为车企背后的“巨人”丝毫不为过。不过这家公司丝毫没有“老态龙钟”，它正朝着电动化、网联化、自动化方面积极转型。就拿自动驾驶技术来说，博世已经全面涉足自动驾驶感知、决策、执行三大核心领域，并通过一系列战略合作及投资行为强化其自动驾驶体</t>
  </si>
  <si>
    <t>　　拥有coupe造型的轿跑型suv现在早已不是什么有钱人的玩物了，当这个设计风格开始席卷整个汽车市场时，很多中国品牌也开始打造属于自己的轿跑suv。其中代表车型有：吉利星越、长安cs85 coupe、哈弗f7x等。今天我们带来的车型就是长安cs85 coupe 1.5t dct型版。它的指导价只有</t>
  </si>
  <si>
    <t>李乔辰</t>
  </si>
  <si>
    <t>2020/02/27 08:53:00</t>
  </si>
  <si>
    <t>奥迪A5改 LB 宽体 看上去如何奥迪A5改 LB 宽体</t>
  </si>
  <si>
    <t>2020/02/27 08:51:00</t>
  </si>
  <si>
    <t>　　中期改款的宝马x1已经在去年十月份正式上市，售价27.88-33.98万元。在2019年的豪华紧凑型suv横评中，参与的x1 xdrive25li 尊享型取得了不错的成绩。随后我的同事对搭载了1.5t三缸发动机的sdrive20li 尊享型进行了全面的测试，不过对于预算相对紧张的用户来说，最入门</t>
  </si>
  <si>
    <t>张益嘉</t>
  </si>
  <si>
    <t>2020/02/27 08:50:00</t>
  </si>
  <si>
    <t>随着人员返程、企业复工，全国疫情防控已进入新阶段，广大消费者对于洁净车内环境的需求也更为迫切。为了更好地满足这一需求，日前，华域汽车推出“洁净座舱”解决方案，同时研发出内置式深座舱杀菌方空调和车规级深紫外线杀菌盒，部分产品将首批配套上汽荣威、上汽大众、上汽通用等整车客户。    资料显示，华域汽车由</t>
  </si>
  <si>
    <t>2020/02/27 08:47:00</t>
  </si>
  <si>
    <t>　　随着人员返程、企业复工，全国疫情防控已进入新阶段，广大消费者对于洁净车内环境的需求也更为迫切。为了更好地满足这一需求，日前，华域汽车推出“洁净座舱”解决方案，同时研发出内置式深座舱杀菌方空调和车规级深紫外线杀菌盒，部分产品将首批配套上汽荣威、上汽大众、上汽通用等整车客户。　　资料显示，华域汽车由</t>
  </si>
  <si>
    <t>2月26日，标致雪铁龙集团（psa）发布2019年财报。数据显示，2019年全年，psa集团整体营收实现747.31亿欧元（约合人民币5707亿元），同比2018年增长1%。    2019年全年，psa集团调整后经营利润达63.24亿欧元（约合人民币483亿元），同比增长11.2%；调整后经营利润</t>
  </si>
  <si>
    <t>2020/02/27 08:46:00</t>
  </si>
  <si>
    <t>　　2月26日，标致雪铁龙集团（psa）发布2019年财报。数据显示，2019年全年，psa集团整体营收实现747.31亿欧元（约合人民币5707亿元），同比2018年增长1%。　　2019年全年，psa集团调整后经营利润达63.24亿欧元（约合人民币483亿元），同比增长11.2%；调整后经营利润</t>
  </si>
  <si>
    <t>近期，有海外媒体曝光了一组标致雪铁龙集团（psa）旗下的ds4车型道路测试的照片，意味着已于2018年停产的ds4系列车型有望复活。    ds4是2010年psa集团针对欧洲和中国市场推出的一款与奔驰a级同一级别的豪华掀背车。该款车型上市三年后即超过了33000辆的销量，但由于需求锐减且为纯电动的</t>
  </si>
  <si>
    <t>2020/02/27 08:44:00</t>
  </si>
  <si>
    <t>　　近期，有海外媒体曝光了一组标致雪铁龙集团（psa）旗下的ds4车型道路测试的照片，意味着已于2018年停产的ds4系列车型有望复活。　　ds4是2010年psa集团针对欧洲和中国市场推出的一款与奔驰a级同一级别的豪华掀背车。该款车型上市三年后即超过了33000辆的销量，但由于需求锐减且为纯电动的</t>
  </si>
  <si>
    <t>投诉编号：【448948】  投诉时间： 2020-02-27 08:44  投诉品牌： 长城汽车  投诉车系： 哈弗H9  投诉车型： 2017款 2.0T 四驱 豪华型 7座 汽油        投诉内容  你好我反应的是车子还在质保期，并且还购买了延保。车子发生严重烧机油，发动机损伤厂家拒保。</t>
  </si>
  <si>
    <t>近日，海外媒体发布了一组全新凯迪拉克CT5-V的实拍图片。新车已于2020年初率先在美国上市，售价48690美元（折合人民币34.2万元）起。有消息称，新车或将在今年年内引入国内销售。    外观方面，CT5-V基于全新CT5车型打造，前脸部分采用了面积更大的菱形黑色格栅设计，与国产CT5运动版车型</t>
  </si>
  <si>
    <t>2020/02/27 08:41:00</t>
  </si>
  <si>
    <t>　　近日，海外媒体发布了一组全新凯迪拉克CT5-V的实拍图片。新车已于2020年初率先在美国上市，售价48690美元（折合人民币34.2万元）起。有消息称，新车或将在今年年内引入国内销售。　　外观方面，CT5-V基于全新CT5车型打造，前脸部分采用了面积更大的菱形黑色格栅设计，与国产CT5运动版车型</t>
  </si>
  <si>
    <t>日前，奔驰官方发布了一组奔驰EQA在瑞典冰雪路面测试谍照。据悉，新车正在检验寒冷条件下的能力，同时，EQA将于2020年秋季的巴黎车展与消费者见面。    奔驰EQA可以看作是奔驰GLA的纯电动版本，定位紧凑型SUV。通过谍照来看，新车覆盖了较多伪装，前中网采用了新能源标志性的封闭式设计，且中间的L</t>
  </si>
  <si>
    <t>2020/02/27 08:40:00</t>
  </si>
  <si>
    <t>　　日前，奔驰官方发布了一组奔驰EQA在瑞典冰雪路面测试谍照。据悉，新车正在检验寒冷条件下的能力，同时，EQA将于2020年秋季的巴黎车展与消费者见面。　　奔驰EQA可以看作是奔驰GLA的纯电动版本，定位紧凑型SUV。通过谍照来看，新车覆盖了较多伪装，前中网采用了新能源标志性的封闭式设计，且中间的L</t>
  </si>
  <si>
    <t>投诉编号：【448947】投诉时间：2020-02-2708:39投诉品牌：东风日产投诉车系：天籁投诉车型：2019款2.0LXL舒适版投诉内容车机显示器黑色边缘上下段出现变质发白，中间段也开始出现小白点。还有一个问题是车显时间越走越快，或者归零。投诉回复车质网已将您的投诉转给生产企业以及国家市场监</t>
  </si>
  <si>
    <t>2020/02/27 08:39:00</t>
  </si>
  <si>
    <t>ds品牌将于2月24日在facebook/脸书网站线上发布一款全新车型，我们从先期发的预告片来看，该车是一款轿车，可能是ds 9车型。    从图片来看，该车具有一个宽大的五边形进气格栅和狭长的led大灯，同时前保险杠两侧还有两条垂直的灯带。    此前，我们已获得ds 9的申报信息。作为一款四门轿</t>
  </si>
  <si>
    <t>2020/02/27 08:37:00</t>
  </si>
  <si>
    <t>　　ds品牌将于2月24日在facebook/脸书网站线上发布一款全新车型，我们从先期发的预告片来看，该车是一款轿车，可能是ds 9车型。　　从图片来看，该车具有一个宽大的五边形进气格栅和狭长的led大灯，同时前保险杠两侧还有两条垂直的灯带。　　此前，我们已获得ds 9的申报信息。作为一款四门轿车，</t>
  </si>
  <si>
    <t>日前，长安新能源官方正式发布了奔奔E-Star的尝鲜价，价格为7.28万元。官方提供了订金额度随意缴纳并10倍返还，至高返还5999元、200元试驾红包以及保价回购等优惠促销政策。    奔奔E-Star外观基于长安新能源最新设计理念打造，前脸与奔奔EV有很大不同。前脸配有带菱形纹路的封闭式格栅，前</t>
  </si>
  <si>
    <t>2020/02/27 08:36:00</t>
  </si>
  <si>
    <t>　　日前，长安新能源官方正式发布了奔奔E-Star的尝鲜价，价格为7.28万元。官方提供了订金额度随意缴纳并10倍返还，至高返还5999元、200元试驾红包以及保价回购等优惠促销政策。　　奔奔E-Star外观基于长安新能源最新设计理念打造，前脸与奔奔EV有很大不同。前脸配有带菱形纹路的封闭式格栅，前</t>
  </si>
  <si>
    <t>日前，意大利超豪华汽车品牌玛莎拉蒂正式宣布，旗下全新跑车将命名为mc20。全新跑车由玛莎拉蒂创新实验室研发设计，将于摩德纳工厂进行生产，并于5月底在摩德纳全球首发。据此前消息，新车预计将fca集团全新开发的中置6缸发动机，以及纯电动力。摩德纳工厂    全新跑车的命名强调了新车的赛道基因和运动特性。</t>
  </si>
  <si>
    <t>2020/02/27 08:35:00</t>
  </si>
  <si>
    <t>　　日前，意大利超豪华汽车品牌玛莎拉蒂正式宣布，旗下全新跑车将命名为mc20。全新跑车由玛莎拉蒂创新实验室研发设计，将于摩德纳工厂进行生产，并于5月底在摩德纳全球首发。据此前消息，新车预计将fca集团全新开发的中置6缸发动机，以及纯电动力。摩德纳工厂　　全新跑车的命名强调了新车的赛道基因和运动特性。</t>
  </si>
  <si>
    <t>小仓莹</t>
  </si>
  <si>
    <t>日前，DS发布了一款全新概念车——DS AERO SPORT LOUNGE。据悉，新车是一款纯电动概念SUV，续航里程超过400英里（约644公里），0-100km/h加速时间仅为2.8秒。按计划，新车有望于3月3日开幕的2020日内瓦车展正式亮相。    外观方面，AERO SPORT LOUNG</t>
  </si>
  <si>
    <t>2020/02/27 08:34:00</t>
  </si>
  <si>
    <t>日前，现代汽车和起亚汽车宣布，推出全球首个基于预测性信息和通信技术打造的智能互联换挡系统(ict互联换挡系统)，让车辆在识别到前方道路和交通状况后，能够主动将挡位调整到最佳形状，提高燃油效率和驾驶稳定性。现代和起亚计划在未来车型上部署该项技术。    目前，自动换挡技术基本取决于驾驶员的驾驶偏好，不</t>
  </si>
  <si>
    <t>　　日前，现代汽车和起亚汽车宣布，推出全球首个基于预测性信息和通信技术打造的智能互联换挡系统(ict互联换挡系统)，让车辆在识别到前方道路和交通状况后，能够主动将挡位调整到最佳形状，提高燃油效率和驾驶稳定性。现代和起亚计划在未来车型上部署该项技术。　　目前，自动换挡技术基本取决于驾驶员的驾驶偏好，不</t>
  </si>
  <si>
    <t>投诉编号：【448946】  投诉时间： 2020-02-27 08:32  投诉品牌： 一汽-大众  投诉车系： 迈腾  投诉车型： 2018款 330TSI 领先型        投诉内容  本车于2018.5.31购买，正常购车店做保养，购买后发现后保险杠与车身接缝处缝隙不均匀，宽窄不一，20</t>
  </si>
  <si>
    <t>2020/02/27 08:32:00</t>
  </si>
  <si>
    <t>日前，有海外媒体曝光了一组大众Tiguan R车型的渲染图，新车和此前拍到的路试谍照基本一致。相比于现款大众旗下在售途锐车型，Tiguan R在造型上显得更加运动，而“R”的加入，很有可能和高尔夫R的后缀相同，预示着这款车强大的性能。预计该车将于3月份举办的日内瓦车展上正式亮相。    通过渲染图不</t>
  </si>
  <si>
    <t>日前，本田在欧洲和美国市场发布了两款思域type r的新车型，分别为思域type r limited edition和思域type r sport line。两款新车型基于已发布的2020款思域type r打造，前者拥有更加激进的调教，后者更加倾向舒适，两款车型在美国市场限量推出600台，欧洲市场限</t>
  </si>
  <si>
    <t>　　日前，本田在欧洲和美国市场发布了两款思域type r的新车型，分别为思域type r limited edition和思域type r sport line。两款新车型基于已发布的2020款思域type r打造，前者拥有更加激进的调教，后者更加倾向舒适，两款车型在美国市场限量推出600台，欧洲市</t>
  </si>
  <si>
    <t>　　日前，有海外媒体曝光了一组大众Tiguan R车型的渲染图，新车和此前拍到的路试谍照基本一致。相比于现款大众旗下在售途锐车型，Tiguan R在造型上显得更加运动，而“R”的加入，很有可能和高尔夫R的后缀相同，预示着这款车强大的性能。预计该车将于3月份举办的日内瓦车展上正式亮相。　　通过渲染图不</t>
  </si>
  <si>
    <t>近期，沃尔沃发布了新款90系列的官图，其中包括新款s90、新款v90，以及新款v90 cross country车型。作为中期改款车型，它们同时在内饰做出了升级，并且动力系统增加48v轻混技术。    外观：新车漆&amp;新轮毂    外形方面，新款s90/v90的改动十分微妙，前脸仅对前雾灯、前保险杠底</t>
  </si>
  <si>
    <t>2020/02/27 08:31:00</t>
  </si>
  <si>
    <t>　　近期，沃尔沃发布了新款90系列的官图，其中包括新款s90、新款v90，以及新款v90 cross country车型。作为中期改款车型，它们同时在内饰做出了升级，并且动力系统增加48v轻混技术。　　外观：新车漆&amp;新轮毂　　外形方面，新款s90/v90的改动十分微妙，前脸仅对前雾灯、前保险杠底部区</t>
  </si>
  <si>
    <t>2010年的2.0T尊雅。16年开始有比较明显的异味，且一年比一年严重。夏天最严重，现在夏天基本不开这车了。但是冬天异味同样明显。可以很容易闻的到是仪表台附近及仪表台下放传出的。司机及所有的乘客都明显感受到异味。11月14日，开车到4S店检测，接待人员及维修师傅均可以闻到明显的异味。这还是在气温不到</t>
  </si>
  <si>
    <t>脚疼发炎如何处理</t>
  </si>
  <si>
    <t>2020/02/27 08:23:00</t>
  </si>
  <si>
    <t>昊锐的异味问题真的是太多了2010年的2.0T尊雅。16年开始有比较明显的异味，且一年比一年严重。夏天最严重，现在夏天基本不开这车了。但是冬天异味同样明显。可以很容易闻的到是仪表台附近及仪表台下放传出的。司机及所有的乘客都明显感受到异味。11月14日，开车到4S店检测，接待人员及维修师傅均可以闻到明</t>
  </si>
  <si>
    <t>4个车门生绣，密封胶条撕开一点点就能看到，如图，4个车门的排水孔有不同程度的生绣，希望厂家可以安排工作人员尽快解决。</t>
  </si>
  <si>
    <t>那还能怎么办</t>
  </si>
  <si>
    <t>2020/02/27 08:22:00</t>
  </si>
  <si>
    <t>车门排水孔生锈如何处理？4个车门生绣，密封胶条撕开一点点就能看到，如图，4个车门的排水孔有不同程度的生绣，希望厂家可以安排工作人员尽快解决。</t>
  </si>
  <si>
    <t>本车辆从2013年开始烧机油，当时公里数为8万多公里，在5000公里做保养时机油尺就到下限了，本人在4S点做保养时曾反应过这个问题，但他们说原因未知，要想解决只能拆发动机大修，自2018年开始问题越来越严重，到目前为止，每1000公里烧1升机油，车子开出去已经没有安全感，本人已无法忍受此状况，希望厂</t>
  </si>
  <si>
    <t>难熬的一周</t>
  </si>
  <si>
    <t>2020/02/27 08:21:00</t>
  </si>
  <si>
    <t>该车2014.7.26在该店购买，后一直在该店养护，到60000公里时发动机开始渗漏和气门底托响（该店维修人员说没事），82000公里时形成严重漏油，该店让我自费购买气门室垫和火花塞更换。气门底托异响严重，目前已不敢再用该车了。该店维修人员说更换气门底托后还要有响声，证明广汽丰田凯美瑞该款发动机存在</t>
  </si>
  <si>
    <t>去厕所都没有时间</t>
  </si>
  <si>
    <t>凯美瑞发动机烧机油问题怎么解决？本车辆从2013年开始烧机油，当时公里数为8万多公里，在5000公里做保养时机油尺就到下限了，本人在4S点做保养时曾反应过这个问题，但他们说原因未知，要想解决只能拆发动机大修，自2018年开始问题越来越严重，到目前为止，每1000公里烧1升机油，车子开出去已经没有安全</t>
  </si>
  <si>
    <t>凯美瑞发动机漏油应该怎么处理？该车2014.7.26在该店购买，后一直在该店养护，到60000公里时发动机开始渗漏和气门底托响（该店维修人员说没事），82000公里时形成严重漏油，该店让我自费购买气门室垫和火花塞更换。气门底托异响严重，目前已不敢再用该车了。该店维修人员说更换气门底托后还要有响声，证</t>
  </si>
  <si>
    <t>一汽大众奥迪A3谈好的免费保养一直不给加把客户当傻子，一直在拖，销售态度恶劣，故意欺骗，不负责。</t>
  </si>
  <si>
    <t>病魔赶紧滚蛋</t>
  </si>
  <si>
    <t>2020/02/27 08:20:00</t>
  </si>
  <si>
    <t>免费保养不予兑现怎么解决？一汽大众奥迪A3谈好的免费保养一直不给加把客户当傻子，一直在拖，销售态度恶劣，故意欺骗，不负责。</t>
  </si>
  <si>
    <t>雪铁龙整体质量！油耗怎么样？落地14万以内推荐一下！</t>
  </si>
  <si>
    <t>2020/02/27 08:19:36</t>
  </si>
  <si>
    <t>1、2019年12月15号去4S店，订车的时候跟我说好的是新车，12月底的时候跟我说车从厂家发过来了，也就是第六张图，轮胎、车身明显都是很脏，车辆出厂日期是2019年9月。2、2020年春节期间发现车身车漆多处出现色差问题。3、启停功能开启后，刹车的时候发动机或变速箱偶尔会出现异响。</t>
  </si>
  <si>
    <t>手已经发抖</t>
  </si>
  <si>
    <t>2020/02/27 08:19:00</t>
  </si>
  <si>
    <t>底盘、悬架、副车架、摆臂、拉杆、转向杆、中控台、后桥、排气管等部件大面积生锈，从首保时候我就发现生锈，找4S店售后人员，回复说正常，二保就严重了，4S店还说正常，三保已经面目全非了，漆皮大面积脱落，没有脱落的漆皮已经起鼓，用指甲一刮就掉落，里面的钢材已经严重生锈，就这样子4S店还说正常，经过多次交涉</t>
  </si>
  <si>
    <t>不去我去了</t>
  </si>
  <si>
    <t>全车部件生锈如何才能解决？底盘、悬架、副车架、摆臂、拉杆、转向杆、中控台、后桥、排气管等部件大面积生锈，从首保时候我就发现生锈，找4S店售后人员，回复说正常，二保就严重了，4S店还说正常，三保已经面目全非了，漆皮大面积脱落，没有脱落的漆皮已经起鼓，用指甲一刮就掉落，里面的钢材已经严重生锈，就这样子4</t>
  </si>
  <si>
    <t>漆面存在色差应该如何处理？1、2019年12月15号去4S店，订车的时候跟我说好的是新车，12月底的时候跟我说车从厂家发过来了，也就是第六张图，轮胎、车身明显都是很脏，车辆出厂日期是2019年9月。2、2020年春节期间发现车身车漆多处出现色差问题。3、启停功能开启后，刹车的时候发动机或变速箱偶尔会</t>
  </si>
  <si>
    <t>我在2019年11月3号在甘肃庆4s店维修大灯，维修好到2019年11月.14号，大灯LED日行灯不着了，然后LED日行灯和大灯灯光不一样、根本和我愿车右侧灯（原装）不一样、不是一个配置的，而且一个灯收我两三千、没有给我维修单据，我要求给我换大灯，迟迟不肯到货，一直推推拖拖的、一直到2020年2月、</t>
  </si>
  <si>
    <t>足球篮球网球F1</t>
  </si>
  <si>
    <t>2020/02/27 08:18:00</t>
  </si>
  <si>
    <t>车灯不亮怎么才能解决？我在2019年11月3号在甘肃庆4s店维修大灯，维修好到2019年11月.14号，大灯LED日行灯不着了，然后LED日行灯和大灯灯光不一样、根本和我愿车右侧灯（原装）不一样、不是一个配置的，而且一个灯收我两三千、没有给我维修单据，我要求给我换大灯，迟迟不肯到货，一直推推拖拖的、</t>
  </si>
  <si>
    <t>进口大众尚酷变速箱阀体损坏不予质保，大众尚酷11年1.4t变速箱阀体坏了，当初说十年16万公里免费修现在坏了又问我要4s店保养记录，当初也没说没有保养记录就不给免费修，现在出了问题啦又找毛病。希望厂家可以安排工作人员尽快解决。</t>
  </si>
  <si>
    <t>周末的体育盛宴</t>
  </si>
  <si>
    <t>2020/02/27 08:17:00</t>
  </si>
  <si>
    <t>变速箱阀体损坏怎么才能解决？进口大众尚酷变速箱阀体损坏不予质保，大众尚酷11年1.4t变速箱阀体坏了，当初说十年16万公里免费修现在坏了又问我要4s店保养记录，当初也没说没有保养记录就不给免费修，现在出了问题啦又找毛病。希望厂家可以安排工作人员尽快解决。</t>
  </si>
  <si>
    <t>投诉，投诉猎豹售后服务差，还投诉猎豹汽车生产厂家挣着老百姓的辛苦钱却买着黑良心的车，l为啥投诉原因如下，本人17年3月提的是猎豹cs10全景天窗自动挡，跑了5000多公里到17年7月份发电就坏了，8月份在苏州某猎豹4s店更换发电机，18年3月份在深圳4s店检测内饰顶灯蓝牙送话器已坏需要订货更换，服务</t>
  </si>
  <si>
    <t>觉不够睡</t>
  </si>
  <si>
    <t>2020/02/27 08:16:00</t>
  </si>
  <si>
    <t>猎豹的问题确实是太多了， 怎么才能解决？投诉，投诉猎豹售后服务差，还投诉猎豹汽车生产厂家挣着老百姓的辛苦钱却买着黑良心的车，l为啥投诉原因如下，本人17年3月提的是猎豹cs10全景天窗自动挡，跑了5000多公里到17年7月份发电就坏了，8月份在苏州某猎豹4s店更换发电机，18年3月份在深圳4s店检测</t>
  </si>
  <si>
    <t>本人拥有东风标致207三厢车，2010年12月底买的车，开车非常仔细，买了10年才跑了不到6万，每天上班开，定期保养，当时一直觉得买的还是不错的并且多次推荐朋友购买了308和2008，但在2016年2月左右发现车缓慢行驶中经过颠簸路面时有异响，类似自行车磨链条的动静，但是有时没有，去章丘4S店检查，</t>
  </si>
  <si>
    <t>拂过衣襟</t>
  </si>
  <si>
    <t>2020/02/27 08:08:00</t>
  </si>
  <si>
    <t>标致207后桥变形会是通病吧！本人拥有东风标致207三厢车，2010年12月底买的车，开车非常仔细，买了10年才跑了不到6万，每天上班开，定期保养，当时一直觉得买的还是不错的并且多次推荐朋友购买了308和2008，但在2016年2月左右发现车缓慢行驶中经过颠簸路面时有异响，类似自行车磨链条的动静，但</t>
  </si>
  <si>
    <t>下摆臂变形，导致的轮胎吃胎，我去找4S店，他们说我的车虽然在质保期内，但是下摆臂有剐蹭，不能索赔。此投诉已在2020年1月份在此网站进行过投诉，但一直没有收到厂家任何关于投诉的答复，为此很不满意，请帮助处理，谢谢。</t>
  </si>
  <si>
    <t>看科比</t>
  </si>
  <si>
    <t>2020/02/27 08:07:00</t>
  </si>
  <si>
    <t>现代名图下摆臂变形导致吃胎下摆臂变形，导致的轮胎吃胎，我去找4S店，他们说我的车虽然在质保期内，但是下摆臂有剐蹭，不能索赔。此投诉已在2020年1月份在此网站进行过投诉，但一直没有收到厂家任何关于投诉的答复，为此很不满意，请帮助处理，谢谢。吃胎的问题确实是太多了</t>
  </si>
  <si>
    <t>车辆于2017年8月中旬购买，目前里程数约2.2万公里.大概行驶6000公里的时候已经发现轮胎掉块，开始以为是驾驶习惯问题就没太在意，结果身边思域车主大部分都有此问题。平时上下班代步，行驶环境良好.县城区域内使用，水泥路、沥青路。</t>
  </si>
  <si>
    <t>秋名山堵车</t>
  </si>
  <si>
    <t>2020/02/27 08:06:00</t>
  </si>
  <si>
    <t>车辆行驶半年后陆续出现了好多问题:（1）刹车系统故障，突发在行驶当中，刹车踏板震动剧烈无法下踩，制动困难，经店内维修（使用过两次吊架）1小时后，问题解决了，但是没给我个合理的解释。（2）修过之后车辆在起步转向的时候，便会出现车胎的明显异响，行驶5分后异响便消失，这个问题我去店内咨询过3次，也没找到问</t>
  </si>
  <si>
    <t>五菱之神</t>
  </si>
  <si>
    <t>丰田奕泽刹车踏板抖动发动机故障灯亮车辆行驶半年后陆续出现了好多问题:（1）刹车系统故障，突发在行驶当中，刹车踏板震动剧烈无法下踩，制动困难，经店内维修（使用过两次吊架）1小时后，问题解决了，但是没给我个合理的解释。（2）修过之后车辆在起步转向的时候，便会出现车胎的明显异响，行驶5分后异响便消失，这个</t>
  </si>
  <si>
    <t>本田思域优科豪马轮胎掉皮严重车辆于2017年8月中旬购买，目前里程数约2.2万公里.大概行驶6000公里的时候已经发现轮胎掉块，开始以为是驾驶习惯问题就没太在意，结果身边思域车主大部分都有此问题。平时上下班代步，行驶环境良好.县城区域内使用，水泥路、沥青路。优科豪马的问题太普遍了</t>
  </si>
  <si>
    <t>一汽丰田RAV4荣放中控屏黑屏导致打不开，严重影响到正常使用，希望厂家能够解决问题。</t>
  </si>
  <si>
    <t>撒哈拉海滩</t>
  </si>
  <si>
    <t>2020/02/27 08:04:00</t>
  </si>
  <si>
    <t>前两天刚好下雨，汽车一开始启动是好难打着火，停了两天，这次彻底打不着火了，就给修理厂修理，修理厂找到问题，电脑板坏了，设计缺陷，电脑板进水，我也是无奈了，现在又是全国疫情防控关键时期，没有车都是打车上下班，为生活带来了不便，经网上一查，很多人反映都是电脑板进水，希望奇瑞公司能给我解决。</t>
  </si>
  <si>
    <t>欧尼S</t>
  </si>
  <si>
    <t>丰田RAV4荣放中控屏黑屏一汽丰田RAV4荣放中控屏黑屏导致打不开，严重影响到正常使用，希望厂家能够解决问题。该配件的质保时间是多久？</t>
  </si>
  <si>
    <t>瑞虎5电脑板进水导致发动机启动困难前两天刚好下雨，汽车一开始启动是好难打着火，停了两天，这次彻底打不着火了，就给修理厂修理，修理厂找到问题，电脑板坏了，设计缺陷，电脑板进水，我也是无奈了，现在又是全国疫情防控关键时期，没有车都是打车上下班，为生活带来了不便，经网上一查，很多人反映都是电脑板进水，希望</t>
  </si>
  <si>
    <t>右边的日间行车灯起雾，每次洗完车都会有雾气。目前车辆才购买了一年半，里程也就3万公里，请厂家合理解决该问题。车辆仪表显示盘进灰严重。</t>
  </si>
  <si>
    <t>青春酒</t>
  </si>
  <si>
    <t>2020/02/27 08:03:00</t>
  </si>
  <si>
    <t>远景日间行车灯起雾一直未解决右边的日间行车灯起雾，每次洗完车都会有雾气。目前车辆才购买了一年半，里程也就3万公里，请厂家合理解决该问题。车辆仪表显示盘进灰严重。</t>
  </si>
  <si>
    <t>广汽丰田凯美瑞仪表台开裂，且发光发油发软，不开窗户受不了，太阳射进来反光严重影响正常行车安全，明显的是质量问题，要求厂家解决车质量问题。</t>
  </si>
  <si>
    <t>黄头长发</t>
  </si>
  <si>
    <t>2020/02/27 08:02:00</t>
  </si>
  <si>
    <t>丰田凯美瑞仪表台出油开裂有异味广汽丰田凯美瑞仪表台开裂，且发光发油发软，不开窗户受不了，太阳射进来反光严重影响正常行车安全，明显的是质量问题，要求厂家解决车质量问题。</t>
  </si>
  <si>
    <t>2月18日拖车下韶关，经4s店（顶盛汽贸）确认是换挡机构坏掉，。2020.年2月25日提车回来，花费1575元，次日下午18点拆解换挡机构，发现电机变速齿轮固定夹块（是塑料的）和齿轮连接的定位销也断掉，这样的的不是质量问题，还是什么，希望厂家能给一个满意的答复给我！</t>
  </si>
  <si>
    <t>问天崖</t>
  </si>
  <si>
    <t>2020/02/27 08:01:00</t>
  </si>
  <si>
    <t>车子刚过质保六个月就出现变速箱问题，4S店检测变速箱机电单元损坏，维修费用达到17000元。我觉得厂家应该在这种通病的情况下延长质保。</t>
  </si>
  <si>
    <t>薄荷香</t>
  </si>
  <si>
    <t>大众凌渡变速箱机电单元故障车子刚过质保六个月就出现变速箱问题，4S店检测变速箱机电单元损坏，维修费用达到17000元。我觉得厂家应该在这种通病的情况下延长质保。</t>
  </si>
  <si>
    <t>如图凯翼C3变速箱执行器故障2月18日拖车下韶关，经4s店（顶盛汽贸）确认是换挡机构坏掉，。2020.年2月25日提车回来，花费1575元，次日下午18点拆解换挡机构，发现电机变速齿轮固定夹块（是塑料的）和齿轮连接的定位销也断掉，这样的的不是质量问题，还是什么，希望厂家能给一个满意的答复给我！</t>
  </si>
  <si>
    <t>投诉编号：【448945】  投诉时间： 2020-02-27 07:44  投诉品牌： 吉利汽车  投诉车系： 远景X3  投诉车型： 2017款 1.5L 自动 精英型        投诉内容  19年8月份左右半路显示发动机故障，挂挡不进。拖车至4S店检修，说是插头松了。之后发现提速55或者1</t>
  </si>
  <si>
    <t>2020/02/27 07:44:00</t>
  </si>
  <si>
    <t>19年买的车，轮胎出厂日期却是16年生产的，有没有知道怎么回事的？</t>
  </si>
  <si>
    <t>2020/02/27 07:42:21</t>
  </si>
  <si>
    <t>这个年头的霸道2.7是不是阿联酋产的比中规日本产的好？</t>
  </si>
  <si>
    <t>日期，编辑从广汽丰田官方获悉，旗下全新车型威兰达将于2月28日正式上市，新车将会推出领先版、豪华版、科技版以及尊贵版供消费者选择。动力上，新车还将提供2.0L发动机以及2.5L混动系统。    外观上，新车采用了家族全新的设计语言，大嘴式蜂窝进气格栅采用了纺锤形设计，整体视觉彰显攻击气息。在混动版车</t>
  </si>
  <si>
    <t>2020/02/27 07:39:00</t>
  </si>
  <si>
    <t>19款奥迪Q3高速行驶主驾附近有漏风声？</t>
  </si>
  <si>
    <t>2020/02/27 07:37:17</t>
  </si>
  <si>
    <t>在家停了20多天没动，今天一启动全亮了什么原因？</t>
  </si>
  <si>
    <t>18款别克英朗在p挡踩一脚油门到3000转松开转速回到2000转，停留两三秒慢慢减到1500转，回1000转的时候正常，是怎么回事？</t>
  </si>
  <si>
    <t>中控影音系统不亮了是什么原因？</t>
  </si>
  <si>
    <t>19款新桑塔纳，买车不到两个月1800公里，外喇叭竟然没有高音，去四s店说烧了，想不明白才两个月竟然出故障了。</t>
  </si>
  <si>
    <t>轮胎生产日期与车辆生产日期不一致，差了将近一年。</t>
  </si>
  <si>
    <t>2020/02/27 07:37:16</t>
  </si>
  <si>
    <t>日前，国内媒体曝光了一组荣威品牌旗下微型纯电动车——科莱威的实拍图片。据悉，新车目前已经陆续抵达全国各地的4S店，同时将在2020年3月初开始预订，并有望于2020年3月份正式上市销售。    外观方面，科莱威造型紧凑，短小的车身运用了大量弧线元素，加之圆润的前/后尾灯造型，营造出灵动、可爱的整体风</t>
  </si>
  <si>
    <t>2020/02/27 07:35:00</t>
  </si>
  <si>
    <t>　　日前，国内媒体曝光了一组荣威品牌旗下微型纯电动车――科莱威的实拍图片。据悉，新车目前已经陆续抵达全国各地的4S店，同时将在2020年3月初开始预订，并有望于2020年3月份正式上市销售。　　外观方面，科莱威造型紧凑，短小的车身运用了大量弧线元素，加之圆润的前/后尾灯造型，营造出灵动、可爱的整体风</t>
  </si>
  <si>
    <t>发动机是否存在质量如何才能判断？</t>
  </si>
  <si>
    <t>2020/02/27 07:33:36</t>
  </si>
  <si>
    <t>亚洲龙凯美瑞以及阿特兹，哪个更稳定，噪音小，省心？</t>
  </si>
  <si>
    <t>2020/02/27 07:29:21</t>
  </si>
  <si>
    <t>卡罗拉盖板时钟有缝隙，被小孩从缝隙处塞入一块硬彩纸片。时钟部位有什么线路？纸片导电吗？有何影响，要取出来吗？掉入后能通哪里？能掉入空调管道吗。</t>
  </si>
  <si>
    <t>丰田卡罗拉开到130的时候有异响声音，是什么问题？</t>
  </si>
  <si>
    <t>机油加注过量，会不会引起启动怠速高，下降慢的问题。另外诊断系统里CLV是什么意思？</t>
  </si>
  <si>
    <t>2020/02/27 07:21:19</t>
  </si>
  <si>
    <t>现在，汽车已经不再是简单的交通工具，它更是成为了我们对美好生活的向往。同时还成为了我们宣扬个性的完美载体。但如今限购城市越来越多，传统燃油车型已经受到不同程度的冲击，迎合限购城市的政策，各厂家纷纷推出了纯电动以及插电混动车型来吸引消费者，可放眼整个新能源市场来看，插电式混合动力车型主要以自主品牌为主</t>
  </si>
  <si>
    <t>2020/02/27 07:10:00</t>
  </si>
  <si>
    <t>　　作为奥迪家族的新旗舰SUV，奥迪Q8自上市以来就获得了大量关注度。全新设计语言加上运动感十足的溜背式设计，带给人足够的新鲜感，同时也非常吸引年轻消费者目光。当这台试驾车来到我们编辑部时，同事曾对试驾体验给予高度评价。那么今天我们针对日常使用方面进行测试，看看这款车的实用性究竟如何。　　测试车辆：</t>
  </si>
  <si>
    <t>　　现在，汽车已经不再是简单的交通工具，它更是成为了我们对美好生活的向往。同时还成为了我们宣扬个性的完美载体。但如今限购城市越来越多，传统燃油车型已经受到不同程度的冲击，迎合限购城市的政策，各厂家纷纷推出了纯电动以及插电混动车型来吸引消费者，可放眼整个新能源市场来看，插电式混合动力车型主要以自主品牌</t>
  </si>
  <si>
    <t>　　据国内领先的缺陷汽车产品信息收集平台车质网的统计数据显示，2019年国内小型车总投诉量为2392宗，与2018年相比增加377宗，上涨18.7%。其中，至少发生过一次车主投诉的小型车有75款，较2018年增加10款车型。榜单前十名中绝大部分为合资车型。去除投诉人自愿申请撤诉的信息后，2019年国</t>
  </si>
  <si>
    <t>据国内领先的缺陷汽车产品信息收集平台车质网的统计数据显示，2019年国内小型车总投诉量为2392宗，与2018年相比增加377宗，上涨18.7%。其中，至少发生过一次车主投诉的小型车有75款，较2018年增加10款车型。榜单前十名中绝大部分为合资车型。去除投诉人自愿申请撤诉的信息后，2019年国内小</t>
  </si>
  <si>
    <t>日常生活中停车时方向盘不回正的情况很普遍，这其中大多数都是一些用车马虎、大大咧咧的车主。其实这样的停车习惯并不好，经常这样停车会对车辆造成伤害，今天就跟大家来聊聊停车时不回正方向盘都有什么危害。     1.转向系统    停车时方向盘如果不回正，车轮会拽着转向拉杆无法回位，同时方向盘的齿轮和转向拉</t>
  </si>
  <si>
    <t>专家001</t>
  </si>
  <si>
    <t>2020/02/27 07:08:00</t>
  </si>
  <si>
    <t>停车时不回正方向盘都有什么危害？ 日常生活中停车时方向盘不回正的情况很普遍，这其中大多数都是一些用车马虎、大大咧咧的车主。其实这样的停车习惯并不好，经常这样停车会对车辆造成伤害，今天就跟大家来聊聊停车时不回正方向盘都有什么危害。     1.转向系统    停车时方向盘如果不回正，车轮会拽着转向拉杆</t>
  </si>
  <si>
    <t>投诉编号：【448944】 
投诉时间： 2020-02-27 03:38 
投诉品牌： 东风标致 
投诉车系： 标致3008 
投诉车型： 2013款 1.6T 自动 THP至尚版 
高压油泵故障</t>
  </si>
  <si>
    <t>2020/02/27 03:44:50</t>
  </si>
  <si>
    <t>投诉编号：【448943】  投诉时间： 2020-02-27 03:18  投诉品牌： 吉利汽车  投诉车系： 帝豪  投诉车型： 2018款 1.5L CVT 向上互联版        投诉内容  打火后发动机抖动，中控台异响，踩油门有箫声，之前4S店检查说是变速箱内飞轮因进水生锈，但是并没有进</t>
  </si>
  <si>
    <t>2020/02/27 03:18:00</t>
  </si>
  <si>
    <t>投诉编号：【448940】  投诉时间： 2020-02-27 00:14  投诉品牌： 上汽集团  投诉车系： 名爵ZS  投诉车型： 2020款 260TGI 自动 Trophy Pro L2+        投诉内容  上汽名爵ZS行驶较差路面时天窗控制区异响，车辆行驶过程中，稍差路面天窗控制</t>
  </si>
  <si>
    <t>2020/02/27 00:14:00</t>
  </si>
  <si>
    <t>投诉编号：【448934】 
投诉时间： 2020-02-26 22:57 
投诉品牌： 猎豹汽车 
投诉车系： 猎豹CS10 
投诉车型： 2017款 2.0T 自动 豪华型 该汽车出厂有很严重的质量问题</t>
  </si>
  <si>
    <t>2020/02/26 23:59:59</t>
  </si>
  <si>
    <t>投诉编号：【448928】 
投诉时间： 2020-02-26 22:15 
投诉品牌： 吉利汽车 
投诉车系： 远景 
投诉车型： 2016款 1.5L 自动 幸福版 变速箱无换挡</t>
  </si>
  <si>
    <t>2020/02/26 23:34:17</t>
  </si>
  <si>
    <t>投诉编号：【448937】  投诉时间： 2020-02-26 23:05  投诉品牌： 上汽大众  投诉车系： 途观  投诉车型： 2017款 300TSI  两驱 丝绸之路舒适版        投诉内容  2017年2月13日在上汽大众4S店购买途观1.8T车辆，原厂质保3年，车辆一直正常使用，</t>
  </si>
  <si>
    <t>2020/02/26 23:05:00</t>
  </si>
  <si>
    <t>投诉编号：【448935】  投诉时间： 2020-02-26 23:02  投诉品牌： 广汽本田  投诉车系： 雅阁  投诉车型： 2018款 260TURBO 精英版 国VI        投诉内容  行车在100km每小时速度时，方向盘转向会出现卡滞现象，转向不灵敏，方向不正确。这个问题很影响</t>
  </si>
  <si>
    <t>2020/02/26 23:02:00</t>
  </si>
  <si>
    <t>投诉编号：【448929】  投诉时间： 2020-02-26 22:16  投诉品牌： 华晨宝马  投诉车系： 宝马5系  投诉车型： 2019款 525Li 豪华套装 改款        投诉内容  现在4s以刹车片超过5000公里拒保，并且说刹车盘磨损还不够严重，让我继续开，试问非要等到刹车失</t>
  </si>
  <si>
    <t>2020/02/26 22:16:00</t>
  </si>
  <si>
    <t>投诉编号：【448924】 
投诉时间： 2020-02-26 21:48 
投诉品牌： 上汽大众 
投诉车系： 朗逸 
投诉车型： 2015款 1.6L 手动 风尚版 车子异味严重，半袖油封渗油</t>
  </si>
  <si>
    <t>2020/02/26 22:00:17</t>
  </si>
  <si>
    <t>投诉编号：【448921】 
投诉时间： 2020-02-26 21:14 
投诉品牌： 上汽大众 
投诉车系： 帕萨特 
投诉车型： 2019款 330TSI 尊贵版 国V 
上汽大众帕萨特正面碰撞测试A柱严重变形</t>
  </si>
  <si>
    <t>2020/02/26 21:53:22</t>
  </si>
  <si>
    <t>投诉编号：【448922】  投诉时间： 2020-02-26 21:35  投诉品牌： 上汽大众  投诉车系： 帕萨特  投诉车型： 2014款 1.4TSI DSG尊荣版        投诉内容  我的帕萨特目前已经购买5年多了，方向机在3年质保期刚出就出问题，换了个新的。在2019年4月份出现</t>
  </si>
  <si>
    <t>2020/02/26 21:35:00</t>
  </si>
  <si>
    <t>投诉编号：【448907】 
投诉时间： 2020-02-26 19:46 
投诉品牌： 上汽通用别克 
投诉车系： 威朗 
投诉车型： 2015款 20T 双离合 精英型 
中控屏闪烁</t>
  </si>
  <si>
    <t>2020/02/26 21:34:34</t>
  </si>
  <si>
    <t>投诉编号：【448919】  投诉时间： 2020-02-26 21:02  投诉品牌： 海马汽车  投诉车系： 海马S5  投诉车型： 2015款 1.5T CVT 智炫型 5座        投诉内容  变速箱故障灯一闪一闪，希望厂家尽快处理解决问题。      投诉回复  车质网已将您的投诉转</t>
  </si>
  <si>
    <t>2020/02/26 21:02:00</t>
  </si>
  <si>
    <t xml:space="preserve">投诉编号：【448914】  投诉时间： 2020-02-26 20:47  投诉品牌： 东风本田  投诉车系： 思铂睿  投诉车型： 2013款 2.4L 自动 豪华版        投诉内容  东风本田思铂睿转向助力消失故障灯亮，方向盘突然无助力，沉重而无法转动。经查属实于方向机电脑板故障。  </t>
  </si>
  <si>
    <t>2020/02/26 20:47:00</t>
  </si>
  <si>
    <t>速度降到20的时候加油就会咔咔咔咔响，特别转弯加油时特响，有那位车友有这种问题，解决的呢？</t>
  </si>
  <si>
    <t>雷凌低速加油异响</t>
  </si>
  <si>
    <t>2020/02/26 20:25:00</t>
  </si>
  <si>
    <t>雷凌低速加油发动机啦咔咔响速度降到20的时候加油就会咔咔咔咔响，特别转弯加油时特响，有那位车友有这种问题，解决的呢？</t>
  </si>
  <si>
    <t>投诉编号：【448913】  投诉时间： 2020-02-26 20:24  投诉品牌： 比亚迪  投诉车系： 比亚迪S7  投诉车型： 2015款 2.0T 自动 尊贵型        投诉内容  第一种 问题：平路 一挡3千多转也不加挡，松油门再加的动作重复两次才加挡，加挡时一次性跳到3挡。这个</t>
  </si>
  <si>
    <t>2020/02/26 20:24:00</t>
  </si>
  <si>
    <t>投诉编号：【448912】  投诉时间： 2020-02-26 20:23  投诉品牌： 东南汽车  投诉车系： 东南DX3  投诉车型： 2016款 1.5L SRG 手动 尊贵型        投诉内容  买了这个车毫不夸张的说，不是去4s店，就是再去4s店的路上，转向的问题自打买了车之后两个月</t>
  </si>
  <si>
    <t>2020/02/26 20:23:00</t>
  </si>
  <si>
    <t>投诉编号：【448908】  投诉时间： 2020-02-26 19:48  投诉品牌： 上汽大众  投诉车系： 途观L  投诉车型： 2019款 330TSI 自动 两驱 全景舒适版 国VI        投诉内容  车辆无事故无维修，发现左前保险杠与翼子板接缝处掉漆，经观察，左侧保险杠与翼子板解</t>
  </si>
  <si>
    <t>2020/02/26 19:48:00</t>
  </si>
  <si>
    <t>投诉编号：【448906】  投诉时间： 2020-02-26 19:40  投诉品牌： 上汽大众  投诉车系： 帕萨特  投诉车型： 2017款 330TSI 尊荣版        投诉内容  我于2019年12月5日投诉如下：变速箱1升2，4降3，2降1咔嗒声明显，反映了多次变速箱异响问题，厂家</t>
  </si>
  <si>
    <t>2020/02/26 19:40:00</t>
  </si>
  <si>
    <t>投诉编号：【448904】  投诉时间： 2020-02-26 19:10  投诉品牌： 一汽丰田  投诉车系： 亚洲龙  投诉车型： 2019款 2.5L Touring 尊贵版 国Ⅵ        投诉内容  本人与2019年9月23日从安徽芜湖一汽丰田4S专卖店购买亚洲龙轿车，购买前与销售沟通</t>
  </si>
  <si>
    <t>2020/02/26 19:10:00</t>
  </si>
  <si>
    <t>投诉编号：【448903】  投诉时间： 2020-02-26 18:57  投诉品牌： 郑州日产  投诉车系： 途达  投诉车型： 2020款 2.5L 自动 四驱 豪华版        投诉内容  我是郑州的，一月一日提的车，目前行驶了1800公里。我的2020款四驱豪华版途达已经出现三次跑电情</t>
  </si>
  <si>
    <t>2020/02/26 18:57:00</t>
  </si>
  <si>
    <t>投诉编号：【448902】  投诉时间： 2020-02-26 18:45  投诉品牌： 众泰汽车  投诉车系： 众泰Z700  投诉车型： 2018款 1.8T DCT 尊享型 Z700H        投诉内容  导航黑屏换了屏幕多次维修不好，换主机也没用。我自己找人花三百块就修好了。给我换的主</t>
  </si>
  <si>
    <t>2020/02/26 18:45:00</t>
  </si>
  <si>
    <t>投诉编号：【448898】  投诉时间： 2020-02-26 18:21  投诉品牌： 上汽集团  投诉车系： 名爵6  投诉车型： 2019款 20T 手动 运动版        投诉内容  上汽名爵6启动后发动机故障灯亮，存在质量问题，希望厂家处理。      投诉回复  车质网已将您的投诉转</t>
  </si>
  <si>
    <t>2020/02/26 18:21:00</t>
  </si>
  <si>
    <t>启动后空挡发出哒哒声音，踩下离合器后消失，松开后又有，请问这是什么原因导致的？</t>
  </si>
  <si>
    <t>2020/02/26 18:08:39</t>
  </si>
  <si>
    <t>投诉编号：【448892】  投诉时间： 2020-02-26 17:58  投诉品牌： 广汽丰田  投诉车系： 凯美瑞  投诉车型： 2015款 2.0G 自动 领先版        投诉内容  方向盘不正，跑偏，方向盘真皮破损，倒车有异响。      投诉回复  车质网已将您的投诉转给生产企业以</t>
  </si>
  <si>
    <t>2020/02/26 17:58:00</t>
  </si>
  <si>
    <t>投诉编号：【448890】投诉时间：2020-02-2617:55投诉品牌：一汽丰田投诉车系：威驰投诉车型：2017款1.5L手动创行版投诉内容车仪表台右侧异响，4S店表示无法解决，2345档低于1500转，车身会严重共振，4S店表示无法解决，倒车影像模糊不清，4S店表示无法解决，难道异响共振就不是</t>
  </si>
  <si>
    <t>2020/02/26 17:55:00</t>
  </si>
  <si>
    <t>投诉编号：【448888】  投诉时间： 2020-02-26 17:49  投诉品牌： 广汽丰田  投诉车系： 凯美瑞  投诉车型： 2015款 2.0G 自动 领先版        投诉内容  1购车时间3年多，平常使用车辆也比较爱惜，在3万多公里时候发现左边漏油已经处理，约在19年8月份去洛阳</t>
  </si>
  <si>
    <t>2020/02/26 17:49:00</t>
  </si>
  <si>
    <t>听说雷凌异味问题很严重，据说车里用了沥青材料减震，想问2019款新车还存在这个问题吗，用了半年会不会缓解？求车主回答。</t>
  </si>
  <si>
    <t>沁园天骄</t>
  </si>
  <si>
    <t>2020/02/26 17:48:00</t>
  </si>
  <si>
    <t>2019款雷凌异味问题很严重听说雷凌异味问题很严重，据说车里用了沥青材料减震，想问2019款新车还存在这个问题吗，用了半年会不会缓解？求车主回答。</t>
  </si>
  <si>
    <t>投诉编号：【448885】  投诉时间： 2020-02-26 17:44  投诉品牌： 东风标致  投诉车系： 标致3008  投诉车型： 2013款 1.6T 自动 THP至尚版        投诉内容  节温器故障导致发动机故障灯亮起。不仅如此，之前更换过两次高压油泵，而且去年年底，还维修过发</t>
  </si>
  <si>
    <t>2020/02/26 17:44:00</t>
  </si>
  <si>
    <t>传祺GS5 2019款270T豪华版，探歌 2020款280TSI DSG两驱舒适版，逍客 2019款2.0L CVT智享版。近期要买车 求大神解答 谢谢！！！</t>
  </si>
  <si>
    <t>2020/02/26 17:43:08</t>
  </si>
  <si>
    <t>点火挂D挡起步的时候点了一点点油感觉挡没换上来，呜呜的响，过了一会走了点距离后突突两下才感觉挡换了上去才走顺了，以前不会突突这种感觉的，这种情况行驶中减速踩刹车在点点油门也会出现。</t>
  </si>
  <si>
    <t>2020/02/26 17:38:57</t>
  </si>
  <si>
    <t>投诉编号：【448884】  投诉时间： 2020-02-26 17:23  投诉品牌： 东风日产  投诉车系： 骐达TIIDA  投诉车型： 2011款 1.6 CVT 舒适版 新骐达        投诉内容  1.新车使用不到两个月，就发现右后门密封条外露，后左后门也出现同样情况。再后来日产打我</t>
  </si>
  <si>
    <t>2020/02/26 17:23:00</t>
  </si>
  <si>
    <t>投诉编号：【448882】  投诉时间： 2020-02-26 17:15  投诉品牌： 吉利汽车  投诉车系： 远景X6  投诉车型： 2018款 1.8L 手动 4G互联尊贵型        投诉内容  自2019年9月份去开心4S店保养后，发动机问题，油耗巨大，提速不上了。有一次回家开了120</t>
  </si>
  <si>
    <t>2020/02/26 17:15:00</t>
  </si>
  <si>
    <t>帕萨特</t>
  </si>
  <si>
    <t>参加工作好多年了，我是还在奋斗中的80后上班族，我做药品销售的，老婆是个小医院护士，前年我们终于有了自己的小家，在市区买房定居了，今年又添置了一台漂亮的新车帕萨特，也是我们人生中的第一台车，心里特别开心，结束了通勤车和公交车代步的生活，周末的时候还能自驾游了，好好看看这个呆了好几年却没怎么看过的城市</t>
  </si>
  <si>
    <t>缺爱时期</t>
  </si>
  <si>
    <t>2020/02/26 17:13:00</t>
  </si>
  <si>
    <t>帕萨特论坛</t>
  </si>
  <si>
    <t>工薪族提帕萨特 说说购车感受参加工作好多年了，我是还在奋斗中的80后上班族，我做药品销售的，老婆是个小医院护士，前年我们终于有了自己的小家，在市区买房定居了，今年又添置了一台漂亮的新车帕萨特，也是我们人生中的第一台车，心里特别开心，结束了通勤车和公交车代步的生活，周末的时候还能自驾游了，好好看看这个</t>
  </si>
  <si>
    <t>三十岁而立之年，一定意义上是苦尽甘来之际，在自己即将30岁生日来临之际，秉着生活需要仪式感的想法，送给自己30岁的生日礼物，是自己奋斗打拼来的，也是我的第一辆车——帕萨特，希望能给自己带来好运。买车的时候，考虑了雅阁、凯美瑞，还是选择了帕萨特，归根到底还是觉得大众老牌一些，心底更信任一些吧。帕萨特外</t>
  </si>
  <si>
    <t>萝卜啊青菜</t>
  </si>
  <si>
    <t>2020/02/26 17:12:00</t>
  </si>
  <si>
    <t>送给自己的生日礼物 因为性价比选择帕萨特三十岁而立之年，一定意义上是苦尽甘来之际，在自己即将30岁生日来临之际，秉着生活需要仪式感的想法，送给自己30岁的生日礼物，是自己奋斗打拼来的，也是我的第一辆车——帕萨特，希望能给自己带来好运。买车的时候，考虑了雅阁、凯美瑞，还是选择了帕萨特，归根到底还是觉得</t>
  </si>
  <si>
    <t>帕萨特提车回家。手里攒了些钱，想着买台车开开，方便家里老小出行，也方便自己上上班下班，于是开始了选车路程。说实在话，车型还是很多的，朋友向我推荐途观L挺不错，但是我还是喜欢轿车类型。然后看的是大众帕萨特，因为这款车符合我的心目中的要求，说心里话外形也很漂亮，颜色也有很多选择，内饰方面设计的也不错，反</t>
  </si>
  <si>
    <t>栤冰柠檬</t>
  </si>
  <si>
    <t>2020/02/26 17:10:00</t>
  </si>
  <si>
    <t>帕萨特新年提车记帕萨特提车回家。手里攒了些钱，想着买台车开开，方便家里老小出行，也方便自己上上班下班，于是开始了选车路程。说实在话，车型还是很多的，朋友向我推荐途观L挺不错，但是我还是喜欢轿车类型。然后看的是大众帕萨特，因为这款车符合我的心目中的要求，说心里话外形也很漂亮，颜色也有很多选择，内饰方面</t>
  </si>
  <si>
    <t>投诉编号：【448881】  投诉时间： 2020-02-26 17:09  投诉品牌： 众泰汽车  投诉车系： 众泰T700  投诉车型： 2017款 1.8T 双离合 尊享型        投诉内容  众泰T700打方向盘沉重，转向时有异响，原地打方向很重，打不动，启动车辆就有嗡嗡的噪音，要求厂</t>
  </si>
  <si>
    <t>2020/02/26 17:09:00</t>
  </si>
  <si>
    <t>发动机加速时有不规则声音，25日上一短坡，不规则声更甚，导致中控收音机的声音也随之振动颤抖，令人烦躁。才一月的新车，如此质量，望厂方关注。</t>
  </si>
  <si>
    <t>宏伟蓝图</t>
  </si>
  <si>
    <t>沃尔沃XC40加速发动机异响声不断发动机加速时有不规则声音，25日上一短坡，不规则声更甚，导致中控收音机的声音也随之振动颤抖，令人烦躁。才一月的新车，如此质量，望厂方关注。</t>
  </si>
  <si>
    <t>时光如梭，买了帕萨特将近快一年了，这一年来“它”带给我好多的美好回忆，也是因为它，结识好多五湖四海的朋友，它又让我进入到大众这个大家庭，这个大家庭带给我好多的欢歌笑语。帕萨特带给我这么多的快乐，也希望帕萨特能给大家带来快乐，更希望帕萨特大卖，更多的车友加入帕萨特的大部队，下面给大家分享一下我的那些美</t>
  </si>
  <si>
    <t>半晓黄昏</t>
  </si>
  <si>
    <t>2020/02/26 17:08:00</t>
  </si>
  <si>
    <t>车子停放了3天，就打不着火了，严重影响使用，已经出现很多次了，这个就是问题，不是偶然的存在，要求厂家解决好车辆的问题。</t>
  </si>
  <si>
    <t>上山打虎</t>
  </si>
  <si>
    <t>一汽大众探歌挂倒挡时有异响，车身振动，挂倒档偶尔有金属碰撞声，车身伴有振动感。确认刹车已经踩到底并停稳。4S店无法解决，只能建议多开一段时间看看是否改善。至今问题依旧存在。</t>
  </si>
  <si>
    <t>金木水火土</t>
  </si>
  <si>
    <t>探歌挂倒挡时有异响质量不行呀一汽大众探歌挂倒挡时有异响，车身振动，挂倒档偶尔有金属碰撞声，车身伴有振动感。确认刹车已经踩到底并停稳。4S店无法解决，只能建议多开一段时间看看是否改善。至今问题依旧存在。</t>
  </si>
  <si>
    <t>途达电瓶亏电发动机不着火了车子停放了3天，就打不着火了，严重影响使用，已经出现很多次了，这个就是问题，不是偶然的存在，要求厂家解决好车辆的问题。</t>
  </si>
  <si>
    <t>帕萨特一年用车感受分享时光如梭，买了帕萨特将近快一年了，这一年来“它”带给我好多的美好回忆，也是因为它，结识好多五湖四海的朋友，它又让我进入到大众这个大家庭，这个大家庭带给我好多的欢歌笑语。帕萨特带给我这么多的快乐，也希望帕萨特能给大家带来快乐，更希望帕萨特大卖，更多的车友加入帕萨特的大部队，下面给</t>
  </si>
  <si>
    <t>20162018都偶尔出现过，主要在天气降温和超过两天未着车情况下出现。2019年11月开始，此情况恶化，冷车启动必异响。而VTC作动器在国外飞度上没有发生，国内车主较多出现这个问题，所以几乎可以断定是产品缺陷。考虑到是发动机内部问题，个人无法维修！希望本田召回！</t>
  </si>
  <si>
    <t>中华有为</t>
  </si>
  <si>
    <t>2020/02/26 17:07:00</t>
  </si>
  <si>
    <t>本人的标致307汽车。在2018年11月开始在车内有汽油味，但不知道是什么原因，直至2019年3月2日在保养车时维修工发现油箱底部留有一大片的油，经检查发现油箱总成回油管接头处漏油。在网上查找此类问题，发现307油箱总成漏油不是个案，而是一个很普遍的现象，鉴于油箱漏油对车辆的安全存在严重隐患，强烈要</t>
  </si>
  <si>
    <t>万籁俱静</t>
  </si>
  <si>
    <t>307汽油箱漏油 安全隐患大本人的标致307汽车。在2018年11月开始在车内有汽油味，但不知道是什么原因，直至2019年3月2日在保养车时维修工发现油箱底部留有一大片的油，经检查发现油箱总成回油管接头处漏油。在网上查找此类问题，发现307油箱总成漏油不是个案，而是一个很普遍的现象，鉴于油箱漏油对车</t>
  </si>
  <si>
    <t>飞度VTC作动器有异响20162018都偶尔出现过，主要在天气降温和超过两天未着车情况下出现。2019年11月开始，此情况恶化，冷车启动必异响。而VTC作动器在国外飞度上没有发生，国内车主较多出现这个问题，所以几乎可以断定是产品缺陷。考虑到是发动机内部问题，个人无法维修！希望本田召回！</t>
  </si>
  <si>
    <t>我的大众帕萨特从提车到现在跟它相处已经整整一年的时间了，回想起提车那会仿佛就是在昨天记忆犹新，到现在帕萨特开了一年整跑了两万公里，车上的每个配置和每个感受都很熟悉了，就想跟大家分享一下我的用车感受。这就是我的帕萨特了，380TSI，2.0的动力，非常得劲！霸气的前脸搭配上蝶翼式的大嘴进气格栅显得很漂</t>
  </si>
  <si>
    <t>东南农庄</t>
  </si>
  <si>
    <t>2020/02/26 17:06:00</t>
  </si>
  <si>
    <t>帕萨特开了一年 来和大家分享用车感受我的大众帕萨特从提车到现在跟它相处已经整整一年的时间了，回想起提车那会仿佛就是在昨天记忆犹新，到现在帕萨特开了一年整跑了两万公里，车上的每个配置和每个感受都很熟悉了，就想跟大家分享一下我的用车感受。这就是我的帕萨特了，380TSI，2.0的动力，非常得劲！霸气的前</t>
  </si>
  <si>
    <t>投诉编号：【448879】  投诉时间： 2020-02-26 17:00  投诉品牌： 一汽-大众奥迪  投诉车系： 奥迪Q3  投诉车型： 2019款 35 TFSI 时尚动感型        投诉内容  一汽大众奥迪Q3中控屏幕花屏无法使用，中控屏幕经常出现花屏抖动。      投诉回复  车</t>
  </si>
  <si>
    <t>2020/02/26 17:00:00</t>
  </si>
  <si>
    <t>投诉编号：【448877】  投诉时间： 2020-02-26 16:56  投诉品牌： 北京越野  投诉车系： 北京BJ40  投诉车型： 2019款 PLUS 2.3T 自动 四驱 尊享版 国VI        投诉内容  转速1500-2000转共振发动机嗡嗡响油门踏板方向盘有震动感高速保持2</t>
  </si>
  <si>
    <t>2020/02/26 16:56:00</t>
  </si>
  <si>
    <t>干式双离合起步换挡时异响严重，这是什么原因导致的？</t>
  </si>
  <si>
    <t>2020/02/26 16:49:06</t>
  </si>
  <si>
    <t>投诉编号：【448873】投诉时间：2020-02-2616:41投诉品牌：东风标致投诉车系：标致307投诉车型：2010款307三厢1.6手动舒适版投诉内容本人的标致307汽车。在2018年11月开始在车内有汽油味，但不知道是什么原因，直至2019年3月2日在保养车时维修工发现油箱底部留有一大片的</t>
  </si>
  <si>
    <t>2020/02/26 16:41:00</t>
  </si>
  <si>
    <t>　　这社会总有那么一群人，他们怀揣理想，对生活工作饱含激情与要求，以实力说话于不动声色中彰显低调从容。他们逐渐成为社会的中坚力量，被称为“新精英”，引领社会的不断进步。“君子善假与物”，能与他们共同前行的必然是同道中人。而对于爱车，东风Honda INSPIRE就是这样一款能与新精英人群同步伐的车型</t>
  </si>
  <si>
    <t>2020/02/26 16:34:00</t>
  </si>
  <si>
    <t>长安逸动各方面配置都挺好的，就是不知道现在的国产防锈做的怎么样了？看见投诉车身生锈的都是国产车，而且长安逸动车身生锈排第一，到底值得购买吗？谢谢！</t>
  </si>
  <si>
    <t>2020/02/26 16:27:54</t>
  </si>
  <si>
    <t>名爵6亏电全系车都存在还是个别车型才有？</t>
  </si>
  <si>
    <t>投诉编号：【448870】  投诉时间： 2020-02-26 16:27  投诉品牌： 广汽本田  投诉车系： 飞度  投诉车型： 2014款 1.5L CVT LX舒适型        投诉内容  2014年底购买广州本田牌飞度小型汽车。2020年初在邢衡高速行驶中发动机缸体破裂，动力中断，高温</t>
  </si>
  <si>
    <t>2020/02/26 16:27:00</t>
  </si>
  <si>
    <t>帕杰罗ABS时速40码就开始工作什么原因？</t>
  </si>
  <si>
    <t>2020/02/26 16:18:58</t>
  </si>
  <si>
    <t>投诉编号：【448869】  投诉时间： 2020-02-26 16:17  投诉品牌： 郑州日产  投诉车系： 途达  投诉车型： 2020款 2.5L 自动 四驱 旗舰版        投诉内容  车子停放了3天，就打不着火了，严重影响使用，已经出现很多次了，这个就是问题，不是偶然的存在，要求厂</t>
  </si>
  <si>
    <t>2020/02/26 16:17:00</t>
  </si>
  <si>
    <t>投诉编号：【448868】  投诉时间： 2020-02-26 16:10  投诉品牌： 长安马自达  投诉车系： 马自达3 昂克赛拉  投诉车型： 2016款 1.5L 自动 豪华型 三厢        投诉内容  16年三月份徐州长安晖宏4s店买的昂克赛拉自豪版大概18年左右中控屏右上角就出现裂</t>
  </si>
  <si>
    <t>2020/02/26 16:10:00</t>
  </si>
  <si>
    <t>投诉编号：【448867】投诉时间：2020-02-2616:09投诉品牌：广汽丰田投诉车系：凯美瑞投诉车型：2007款240G豪华版投诉内容仪表台出油开裂，太阳大的时候反光眩目，手摸上去粘粘的，气味很臭，不开窗根本受不了，要求厂家处理更换。投诉回复车质网已将您的投诉转给生产企业以及国家市场监督管理</t>
  </si>
  <si>
    <t>2020/02/26 16:09:00</t>
  </si>
  <si>
    <t>现代领动点火开关故障无法启动2019年7月份首次发现问题去4S店检查，他们推断是车辆电瓶愿意。测量电瓶后发现电瓶亏电要求我把车停在店里充电一晚，第二天我去提车他们也没说到底是什么问题就让我把走开走了。一个月后又出现无法启动的问题又是4S店检查。但因为是偶发性故障他们说不能排除就又让我开走了。直到第三</t>
  </si>
  <si>
    <t>花生糖ed</t>
  </si>
  <si>
    <t>2020/02/26 16:07:00</t>
  </si>
  <si>
    <t>2019年7月份首次发现问题去4S店检查，他们推断是车辆电瓶愿意。测量电瓶后发现电瓶亏电要求我把车停在店里充电一晚，第二天我去提车他们也没说到底是什么问题就让我把走开走了。一个月后又出现无法启动的问题又是4S店检查。但因为是偶发性故障他们说不能排除就又让我开走了。直到第三次发生故障以后我再次把车开到</t>
  </si>
  <si>
    <t>奥迪A4L发动机水泵故障节温器漏水质保专员于2019年12月份电话通知我去店内做全车质保检查，因为车开着没什么异常，又是年底比较忙就没去，过完年于2020年02月16日去4s店做第三次保养，维修师傅说不知是水泵还是节温器渗水，漏水，需要自费更换，这种问题车主本人是不容易发现的，应该早就有点渗漏了，应</t>
  </si>
  <si>
    <t>睡过头</t>
  </si>
  <si>
    <t>2020/02/26 16:06:00</t>
  </si>
  <si>
    <t>天籁4S店出售库存车4S店出售库存车，也没告诉我时间，还说让我去维权好了。我原价买的。但买到了库存车。</t>
  </si>
  <si>
    <t>hedge</t>
  </si>
  <si>
    <t>4S店出售库存车，也没告诉我时间，还说让我去维权好了。我原价买的。但买到了库存车。</t>
  </si>
  <si>
    <t>质保专员于2019年12月份电话通知我去店内做全车质保检查，因为车开着没什么异常，又是年底比较忙就没去，过完年于2020年02月16日去4s店做第三次保养，维修师傅说不知是水泵还是节温器渗水，漏水，需要自费更换，这种问题车主本人是不容易发现的，应该早就有点渗漏了，应该是质量问题，因为本人去查看问题的</t>
  </si>
  <si>
    <t>帝豪车机系统应用商店无显示车机可正常联网，“天气预报”和“新闻资讯”都能正常使用，但是车机的应用商店里没有任何显示了，以前是有的。去过4S店，4S升级了车机系统，问题依旧，他们表示无法处理。打吉利服务电话4008869888和4001115555，几个部门互相推诿，均表示该问题不归他们管。</t>
  </si>
  <si>
    <t>加热带</t>
  </si>
  <si>
    <t>2020/02/26 16:05:00</t>
  </si>
  <si>
    <t>车机可正常联网，“天气预报”和“新闻资讯”都能正常使用，但是车机的应用商店里没有任何显示了，以前是有的。去过4S店，4S升级了车机系统，问题依旧，他们表示无法处理。打吉利服务电话4008869888和4001115555，几个部门互相推诿，均表示该问题不归他们管。</t>
  </si>
  <si>
    <t>本田思域优科豪马轮胎掉皮东风本田 思域 自购买半年行驶5千公里左右，所搭载的优科豪马轮胎，存在严重质量问题，掉皮严重。存在影响行车安全。</t>
  </si>
  <si>
    <t>环绕声</t>
  </si>
  <si>
    <t>2020/02/26 16:04:00</t>
  </si>
  <si>
    <t>东风本田 思域 自购买半年行驶5千公里左右，所搭载的优科豪马轮胎，存在严重质量问题，掉皮严重。存在影响行车安全。</t>
  </si>
  <si>
    <t>现代名图车门生锈鼓包车辆四个车门边框生锈鼓包，去年去4s店只给维修，维修后又生锈鼓包了，4s店不与解决。希望平台能给帮忙彻底解决。</t>
  </si>
  <si>
    <t>寒胜热</t>
  </si>
  <si>
    <t>2020/02/26 16:03:00</t>
  </si>
  <si>
    <t>启辰D60后轮吃胎偏磨偏磨去4s店检查！他们一定要求我换了轮胎再去检查！因为我那个是原车的！没拆过！我怕到时候拆过来有什么说不清的就不好了！所以我不愿意换！就这样一直拖到现在。</t>
  </si>
  <si>
    <t>如恶的</t>
  </si>
  <si>
    <t>车辆四个车门边框生锈鼓包，去年去4s店只给维修，维修后又生锈鼓包了，4s店不与解决。希望平台能给帮忙彻底解决。</t>
  </si>
  <si>
    <t>偏磨去4s店检查！他们一定要求我换了轮胎再去检查！因为我那个是原车的！没拆过！我怕到时候拆过来有什么说不清的就不好了！所以我不愿意换！就这样一直拖到现在。</t>
  </si>
  <si>
    <t>本田雅阁高速行驶中转向有卡顿车辆在低速行驶的时候打方向，回方向都会有顿挫感。在高速直线行驶的时候也会有略微的卡顿。</t>
  </si>
  <si>
    <t>惊天大</t>
  </si>
  <si>
    <t>2020/02/26 16:02:00</t>
  </si>
  <si>
    <t>车辆在低速行驶的时候打方向，回方向都会有顿挫感。在高速直线行驶的时候也会有略微的卡顿。</t>
  </si>
  <si>
    <t>丰田亚洲龙发动机异响共振油门震动车辆行驶到5000公里后出现问题，车辆行驶过程中如果发动机转速在1200到1500转时，车内能明显感觉发动机共振和嗡嗡的噪音，同时油门踏板和方向盘也能感觉到明显振动，挡位越高共振和噪音越明显。当转速超过1500转后或低于1200转后发动机声音变的很小，油门和方向盘共振</t>
  </si>
  <si>
    <t>猫头鹰r</t>
  </si>
  <si>
    <t>2020/02/26 16:01:00</t>
  </si>
  <si>
    <t>大众高尔夫变速箱顿挫升挡缓慢一汽大众高尔夫变速箱顿挫升挡缓慢，加速高转速吼叫不升挡，该升档的时候不升档，换挡逻辑有问题变速箱换挡顿挫，升挡不积极，降挡有明显顿挫感，主机厂有新的变速箱程序可以更新，4S店里不肯给客户更新变速箱程序。</t>
  </si>
  <si>
    <t>郝菲尔</t>
  </si>
  <si>
    <t>车辆行驶到5000公里后出现问题，车辆行驶过程中如果发动机转速在1200到1500转时，车内能明显感觉发动机共振和嗡嗡的噪音，同时油门踏板和方向盘也能感觉到明显振动，挡位越高共振和噪音越明显。当转速超过1500转后或低于1200转后发动机声音变的很小，油门和方向盘共振消失。车辆在5000公里前发动机</t>
  </si>
  <si>
    <t>一汽大众高尔夫变速箱顿挫升挡缓慢，加速高转速吼叫不升挡，该升档的时候不升档，换挡逻辑有问题变速箱换挡顿挫，升挡不积极，降挡有明显顿挫感，主机厂有新的变速箱程序可以更新，4S店里不肯给客户更新变速箱程序。</t>
  </si>
  <si>
    <t>投诉编号：【448865】  投诉时间： 2020-02-26 15:56  投诉品牌： 华晨宝马  投诉车系： 宝马5系  投诉车型： 2012款 523Li 2.5 领先型        投诉内容  2018年9月份因发生追尾而导致倒车影像失灵，4S店建议更换整套中控系统，让我花了7000元换了</t>
  </si>
  <si>
    <t>2020/02/26 15:56:00</t>
  </si>
  <si>
    <t>投诉编号：【448864】  投诉时间： 2020-02-26 15:53  投诉品牌： 一汽-大众  投诉车系： T-ROC探歌  投诉车型： 2019款 230TSI DSG 两驱 进取型 国VI        投诉内容  一汽大众探歌挂倒挡时有异响，车身振动，挂倒档偶尔有金属碰撞声，车身伴有振</t>
  </si>
  <si>
    <t>2020/02/26 15:53:00</t>
  </si>
  <si>
    <t>投诉编号：【448863】  投诉时间： 2020-02-26 15:45  投诉品牌： 上汽大众  投诉车系： 凌渡  投诉车型： 2015款 280TSI DSG 豪华版        投诉内容  异味来源空调出风口，经过在车友论坛了解，凌渡第一批都有这个问题，味道酸臭，夏天都不敢关窗行驶，让人</t>
  </si>
  <si>
    <t>2020/02/26 15:45:00</t>
  </si>
  <si>
    <t>投诉编号：【448860】  投诉时间： 2020-02-26 15:39  投诉品牌： 沃尔沃亚太  投诉车系： 沃尔沃XC40  投诉车型： 2020款 T3 两驱 智行 时尚版        投诉内容  发动机加速时有不规则声音，25日上一短坡，不规则声更甚，导致中控收音机的声音也随之振动颤抖</t>
  </si>
  <si>
    <t>2020/02/26 15:39:00</t>
  </si>
  <si>
    <t>投诉编号：【448861】  投诉时间： 2020-02-26 15:39  投诉品牌： 众泰汽车  投诉车系： 大迈X5  投诉车型： 2015款 1.5T CVT 地主型 国V        投诉内容  4S店检修回复待更换变速箱传感器，请厂商确认变速箱传感器配件什么时候发货?车子变速箱故障问题</t>
  </si>
  <si>
    <t>投诉编号：【448856】 
投诉时间： 2020-02-26 15:15 
投诉品牌： 东风标致 
投诉车系： 标致408 
投诉车型： 2015款 1.2T 自动 豪华版 
东风标致408发动机烧机油 发动机异响</t>
  </si>
  <si>
    <t>2020/02/26 15:34:35</t>
  </si>
  <si>
    <t>我把2016年购买的国产福特锐界刹车油管破裂，打电话给4s点要求拖车维修，他们拒绝拖车，车辆让我自己拖，他们刹车油管属于召回产品。并且车辆漏油从第一次保养就给4S店反映了此问题，开了3年没有解决。服务人员态度非常差。这个问题怎么解决</t>
  </si>
  <si>
    <t>2020/02/26 15:30:03</t>
  </si>
  <si>
    <t>车在行驶的车热了，有时在信号灯一停车自动从D挡到了P挡了。</t>
  </si>
  <si>
    <t>广汽丰田凯美瑞半轴防尘套出现漏油使用2年多保养时发现双边轴防尘套渗油，当时4S工作人员告知是正常现象，后来便无理会，至19年保养时发现渗油面积加大，现4S告诉建议更换，由于过了保质期需自费，表示十分不理解！保内出现问题不处理，问题严重了，过保后需用户承担费用。本来是设计缺陷。</t>
  </si>
  <si>
    <t>天地不容</t>
  </si>
  <si>
    <t>2020/02/26 15:23:00</t>
  </si>
  <si>
    <t>使用2年多保养时发现双边轴防尘套渗油，当时4S工作人员告知是正常现象，后来便无理会，至19年保养时发现渗油面积加大，现4S告诉建议更换，由于过了保质期需自费，表示十分不理解！保内出现问题不处理，问题严重了，过保后需用户承担费用。本来是设计缺陷。</t>
  </si>
  <si>
    <t>北京奔驰GLC倍耐力右前轮开裂2019年9月24号提的车在2020年2月8号偶然发现右前轮右侧面裂口1条胎压正常无漏气，期间车辆无任何碰撞、擦挂。我们立即联系之前的4S店销售，销售也反馈到售后，售后也没有联系我们，由于疫情的原因我们也没有联系，今天我在找销售要的售后电话发给他看他说我们压倒异物划伤的</t>
  </si>
  <si>
    <t>杀魍魉</t>
  </si>
  <si>
    <t>2020/02/26 15:22:00</t>
  </si>
  <si>
    <t>2019年9月24号提的车在2020年2月8号偶然发现右前轮右侧面裂口1条胎压正常无漏气，期间车辆无任何碰撞、擦挂。我们立即联系之前的4S店销售，销售也反馈到售后，售后也没有联系我们，由于疫情的原因我们也没有联系，今天我在找销售要的售后电话发给他看他说我们压倒异物划伤的如有外力所致，无论怎样都会有痕</t>
  </si>
  <si>
    <t>汉腾X7变速箱故障导致车辆无法加速变速箱挂挡不走车，这已经是第二次更换变速箱了！第一个变速箱也是挂挡不走车，是在2019年8月更换的，这个360DCT变速箱存在严重的质量装配问题，希望厂家改进。还在三包期内么</t>
  </si>
  <si>
    <t>正邪无用</t>
  </si>
  <si>
    <t>2020/02/26 15:21:00</t>
  </si>
  <si>
    <t>长安欧尚欧力威EV续航公里数悬殊太多了买时说续航360公里的，从买来连260公里都没跑过就没电了，新车买到家慢充也不能用，商家说充电器坏了，得等，这一等就等了一个多月。当时要求换车，经销商各种理由就是不给换。那就是虚假宣传吗？</t>
  </si>
  <si>
    <t>斩敌颅</t>
  </si>
  <si>
    <t>买时说续航360公里的，从买来连260公里都没跑过就没电了，新车买到家慢充也不能用，商家说充电器坏了，得等，这一等就等了一个多月。当时要求换车，经销商各种理由就是不给换。</t>
  </si>
  <si>
    <t>变速箱挂挡不走车，这已经是第二次更换变速箱了！第一个变速箱也是挂挡不走车，是在2019年8月更换的，这个360DCT变速箱存在严重的质量装配问题，希望厂家改进。</t>
  </si>
  <si>
    <t>上汽名爵ZS发动机故障灯报警上汽名爵ZS发动机故障灯亮希望厂家处理，发动机故障灯亮已经第二次了。不想再折腾了，希望这次就能把问题解决掉。</t>
  </si>
  <si>
    <t>踏烽火</t>
  </si>
  <si>
    <t>2020/02/26 15:17:00</t>
  </si>
  <si>
    <t>上汽名爵ZS发动机故障灯亮希望厂家处理，发动机故障灯亮已经第二次了。不想再折腾了，希望这次就能把问题解决掉。</t>
  </si>
  <si>
    <t>一汽大众宝来后备箱异响本人于2019年7月购买2019款新宝来（MQB）1.5L自动舒适型国六轿车，在行驶颠簸路段后备箱异响。非常严重。共振吧</t>
  </si>
  <si>
    <t>秋水浮萍.</t>
  </si>
  <si>
    <t>2020/02/26 15:16:00</t>
  </si>
  <si>
    <t>本人于2019年7月购买2019款新宝来（MQB）1.5L自动舒适型国六轿车，在行驶颠簸路段后备箱异响。非常严重。</t>
  </si>
  <si>
    <t>三千公里方向跑偏、后减震器漏油，首保时机油见底，六千公里发动机出现严重漏油，车身各种异响都忍了，二万五千里发动机再次严重漏油，修车修到崩溃，严重怀疑北汽汽车的是质量非常差，就想问一句可否对得起“军工品质”这四个字？</t>
  </si>
  <si>
    <t>还君明珠</t>
  </si>
  <si>
    <t>北汽绅宝X25发动机漏油三千公里方向跑偏、后减震器漏油，首保时机油见底，六千公里发动机出现严重漏油，车身各种异响都忍了，二万五千里发动机再次严重漏油，修车修到崩溃，严重怀疑北汽汽车的是质量非常差，就想问一句可否对得起“军工品质”这四个字？油封有问题？</t>
  </si>
  <si>
    <t>丰田致享购于2018年11月，2020年2月23突然自燃。停放了五天，平白无故自燃，当初本奔着丰田车耐用去选的丰田致享，但是当事情发生后厂家的态度真的让人心寒，找各种理由推脱责任，我刚买的时候换了灯泡，已经换了一年，2月17开出去买菜，2月23下午发生自燃，2.24消防和厂家来查看，厂家直接说因为灯</t>
  </si>
  <si>
    <t>雨缥缈</t>
  </si>
  <si>
    <t>2020/02/26 15:15:00</t>
  </si>
  <si>
    <t>广汽丰田致享停放自燃要求尽快处理丰田致享购于2018年11月，2020年2月23突然自燃。停放了五天，平白无故自燃，当初本奔着丰田车耐用去选的丰田致享，但是当事情发生后厂家的态度真的让人心寒，找各种理由推脱责任，我刚买的时候换了灯泡，已经换了一年，2月17开出去买菜，2月23下午发生自燃，2.24消</t>
  </si>
  <si>
    <t>雷克萨斯CT200H改装WALD款包围雷克萨斯CT200H改装WALD款包围</t>
  </si>
  <si>
    <t>2020/02/26 15:14:00</t>
  </si>
  <si>
    <t>紧急重要:1、刚买车1.5年行驶时仪表自动出现电池故障灯，之后就无法行驶。多次在路上行驶突然出现，当时非常紧张，后面有大货车差点就追尾撞上来。之后把车开到4S店检查说集成控制器故障和电池大线束故障。订货多月都没有通知说厂家缺货，致电厂家咨询进度，就踢出4S店会跟进无实质说法。跪求车主们还有汽车三包法</t>
  </si>
  <si>
    <t>名震天下</t>
  </si>
  <si>
    <t>众泰E200出现故障灯后无法加速紧急重要:1、刚买车1.5年行驶时仪表自动出现电池故障灯，之后就无法行驶。多次在路上行驶突然出现，当时非常紧张，后面有大货车差点就追尾撞上来。之后把车开到4S店检查说集成控制器故障和电池大线束故障。订货多月都没有通知说厂家缺货，致电厂家咨询进度，就踢出4S店会跟进无实</t>
  </si>
  <si>
    <t>热车20分钟后，熄火儿等待5分钟后测量机油尺机油增多！</t>
  </si>
  <si>
    <t>舞剑春秋</t>
  </si>
  <si>
    <t>2020/02/26 15:13:00</t>
  </si>
  <si>
    <t>东风本田CR-V机油乳化增多无法使用热车20分钟后，熄火儿等待5分钟后测量机油尺机油增多！</t>
  </si>
  <si>
    <t>车辆大灯发白有雾气，里面有杂质，晚上看不清路面，影响行车安全。强烈要求免费更换新大灯！</t>
  </si>
  <si>
    <t>风满楼·</t>
  </si>
  <si>
    <t>2020/02/26 15:12:00</t>
  </si>
  <si>
    <t>一汽大众探岳大灯透镜发白影响照明车辆大灯发白有雾气，里面有杂质，晚上看不清路面，影响行车安全。强烈要求免费更换新大灯！</t>
  </si>
  <si>
    <t>减震漏油，刚开始漏三分之一，现在越漏越多快一整根了，上海荣威售后提过多次，都说不符合更换条件，估计准备拖到车辆过保就跟你说要自费换。希望厂家重视，希望消费者购车前先看看车质网。</t>
  </si>
  <si>
    <t>任缥缈</t>
  </si>
  <si>
    <t>2020/02/26 15:11:00</t>
  </si>
  <si>
    <t>上汽荣威i6新能源减震器漏油严重减震漏油，刚开始漏三分之一，现在越漏越多快一整根了，上海荣威售后提过多次，都说不符合更换条件，估计准备拖到车辆过保就跟你说要自费换。希望厂家重视，希望消费者购车前先看看车质网。</t>
  </si>
  <si>
    <t>投诉编号：【448854】  投诉时间： 2020-02-26 14:59  投诉品牌： 上汽集团  投诉车系： 名爵6  投诉车型： 2017款 20T 手动 豪华智联版 国V        投诉内容  离合器异响，并且离合器踏板有设计缺陷，很多车友发生离合器踏板脱落事件，另外后减震悬挂目前异响严</t>
  </si>
  <si>
    <t>2020/02/26 14:59:00</t>
  </si>
  <si>
    <t>投诉编号：【448853】  投诉时间： 2020-02-26 14:58  投诉品牌： 比亚迪  投诉车系： 速锐  投诉车型： 2012款 1.5TID 自动 豪华型        投诉内容  比亚迪速锐二四六挡时变速箱有异响严重，需要更换变速箱分总成；但厂家只对双离合器跟电液模块延保，之前已换</t>
  </si>
  <si>
    <t>2020/02/26 14:58:00</t>
  </si>
  <si>
    <t>二手车市场鱼龙混杂，教你如何练成火眼金睛第一步先检查汽车外形： 确保车辆停放在平地上，才开始检查。这样你才能清楚地检查轮胎，以及车子是否有任何部位下沉的情况！第二步检查车漆：先看是否有锈斑、凹陷或刮痕。在阳光下面检查车漆的光亮度，先离车1~3米远，迎着太阳光斜着看一下有没有车漆的色差，车身两侧是否有</t>
  </si>
  <si>
    <t>2020/02/26 14:39:00</t>
  </si>
  <si>
    <t>投诉编号：【448845】 
投诉时间： 2020-02-26 14:28 
投诉品牌： 上汽通用五菱 
投诉车系： 五菱宏光S3 
投诉车型： 2018款 1.5T 手动 豪华型 国V 
上汽通用五菱宏光S3变速箱异响要求你更换</t>
  </si>
  <si>
    <t>2020/02/26 14:37:52</t>
  </si>
  <si>
    <t>投诉编号：【448847】  投诉时间： 2020-02-26 14:28  投诉品牌： 上汽集团  投诉车系： 荣威i6新能源  投诉车型： 2017款 45T 混动 互联智享版        投诉内容  减震漏油，刚开始漏三分之一，现在越漏越多快一整根了，上海荣威售后提过多次，都说不符合更换条件</t>
  </si>
  <si>
    <t>2020/02/26 14:28:00</t>
  </si>
  <si>
    <t>投诉编号：【448846】  投诉时间： 2020-02-26 14:28  投诉品牌： 一汽-大众  投诉车系： 高尔夫  投诉车型： 2014款 1.6L  自动 舒适型        投诉内容  一汽大众高尔夫变速箱顿挫升挡缓慢，加速高转速吼叫不升挡，该升档的时候不升档，换挡逻辑有问题变速箱换</t>
  </si>
  <si>
    <t>投诉编号：【448842】投诉时间：2020-02-2614:17投诉品牌：吉利汽车投诉车系：嘉际投诉车型：2019款1.5TDMHEVDCT悦享型投诉内容买车时经销商承诺反5000元钱，到现在3个月了也没给，给经销商打电话也不接。投诉回复车质网已将您的投诉转给生产企业以及国家市场监督管理总局缺陷产</t>
  </si>
  <si>
    <t>2020/02/26 14:17:00</t>
  </si>
  <si>
    <t>投诉编号：【448837】 
投诉时间： 2020-02-26 13:58 
投诉品牌： 华泰汽车 
投诉车系： 圣达菲 
投诉车型： 2017款 1.5T 自动 两驱 智享i3型 汽油 
华泰圣达菲车身异响发动机漏油倒车影像失灵</t>
  </si>
  <si>
    <t>2020/02/26 14:07:47</t>
  </si>
  <si>
    <t>投诉编号：【448840】投诉时间：2020-02-2614:06投诉品牌：一汽丰田投诉车系：亚洲龙投诉车型：2019款2.5L进取版国V投诉内容车辆行驶到5000公里后出现问题，车辆行驶过程中如果发动机转速在1200到1500转时，车内能明显感觉发动机共振和嗡嗡的噪音，同时油门踏板和方向盘也能感觉</t>
  </si>
  <si>
    <t>2020/02/26 14:06:00</t>
  </si>
  <si>
    <t>投诉编号：【448838】投诉时间：2020-02-2614:00投诉品牌：广汽本田投诉车系：雅阁投诉车型：2018款260TURBO豪华版国VI投诉内容车辆在低速行驶的时候打方向，回方向都会有顿挫感。在高速直线行驶的时候也会有略微的卡顿。投诉回复车质网已将您的投诉转给生产企业以及国家市场监督管理总</t>
  </si>
  <si>
    <t>2020/02/26 14:00:00</t>
  </si>
  <si>
    <t>投诉编号：【448836】  投诉时间： 2020-02-26 13:51  投诉品牌： 东风启辰  投诉车系： 启辰D60  投诉车型： 2018款 1.6L CVT 智联精英版        投诉内容  偏磨去4s店检查！他们一定要求我换了轮胎再去检查！因为我那个是原车的！没拆过！我怕到时候拆过</t>
  </si>
  <si>
    <t>2020/02/26 13:51:00</t>
  </si>
  <si>
    <t>投诉编号：【448835】投诉时间：2020-02-2613:47投诉品牌：北京现代投诉车系：名图投诉车型：2014款1.8L自动尊贵型投诉内容车辆四个车门边框生锈鼓包，去年去4s店只给维修，维修后又生锈鼓包了，4s店不与解决。希望平台能给帮忙彻底解决。投诉回复车质网已将您的投诉转给生产企业以及国家</t>
  </si>
  <si>
    <t>2020/02/26 13:47:00</t>
  </si>
  <si>
    <t>在日常生活中，可能很多小伙伴和小王一样随处都会听到以下关于汽车话题：“别买带天窗的车不结实”或者“你坐后面不用系安全带”等等，小王也是感慨大部分人其实对车辆的认知有很多误区，今天小王就仅仅作为一个爱好者来聊聊。天窗影响安全性很多人觉得原本的金属车顶割了一大块装玻璃，肯定不结实，其实这是错误的，首先车</t>
  </si>
  <si>
    <t>皮蛋01</t>
  </si>
  <si>
    <t>2020/02/26 13:40:00</t>
  </si>
  <si>
    <t>在对车辆认知方面 常见的几种误区在日常生活中，可能很多小伙伴和小王一样随处都会听到以下关于汽车话题：“别买带天窗的车不结实”或者“你坐后面不用系安全带”等等，小王也是感慨大部分人其实对车辆的认知有很多误区，今天小王就仅仅作为一个爱好者来聊聊。天窗影响安全性很多人觉得原本的金属车顶割了一大块装玻璃，肯</t>
  </si>
  <si>
    <t>冬天的到来对于大部分人来说，痛苦的事情莫过于寒冷，而对于车主们来说则意味着油耗的上升，严寒的冬季必然是要开暖气的，很多车主就会将油耗的上升全归结为暖风，事实真的如此吗？ 打开暖风的方式错误要知道，冬季开暖风比打开冷气要更加的消耗油量，这是依据发动机的制热原理，利用发动机冷却液的温度来起到保温的效果。</t>
  </si>
  <si>
    <t>2020/02/26 13:39:00</t>
  </si>
  <si>
    <t>冬天油耗增高 这5个问题要注意冬天的到来对于大部分人来说，痛苦的事情莫过于寒冷，而对于车主们来说则意味着油耗的上升，严寒的冬季必然是要开暖气的，很多车主就会将油耗的上升全归结为暖风，事实真的如此吗？ 打开暖风的方式错误要知道，冬季开暖风比打开冷气要更加的消耗油量，这是依据发动机的制热原理，利用发动机</t>
  </si>
  <si>
    <t>买车容易养车难”这是大部分车主都存在的烦恼要想让车子“健健康康”除了平时少不了的日常养护以外良好的用车习惯也非常重要养成良好的用车习惯并不是什么难事，只要在一些细节上稍加留意，久而久之就可以办到。今天上海越星为大家介绍几个用车好习惯作为参考，希望大伙儿的爱车都能“健康长寿”。启动1点火汽车的点火开关</t>
  </si>
  <si>
    <t>2020/02/26 13:38:00</t>
  </si>
  <si>
    <t>养成这些好习惯 让爱车远离故障买车容易养车难”这是大部分车主都存在的烦恼要想让车子“健健康康”除了平时少不了的日常养护以外良好的用车习惯也非常重要养成良好的用车习惯并不是什么难事，只要在一些细节上稍加留意，久而久之就可以办到。今天上海越星为大家介绍几个用车好习惯作为参考，希望大伙儿的爱车都能“健康长</t>
  </si>
  <si>
    <t>一场突如其来的疫情将大家都困在了屋里，虽然说“宅家就是做贡献”，但是家里的车子停这么久却会出现胎压不稳、电瓶电压不足等各种小问题。今天小帮就给大家说说那些在家里自己就能动手解决的汽车保养问题。【 更换机油 】机油更换是保养中一个最基础的保养项目，其实同样也可以自己解决。首先我们需要购买合适的机油，这</t>
  </si>
  <si>
    <t>2020/02/26 13:37:00</t>
  </si>
  <si>
    <t>一、机油更换（矿物质5000公里，半合成7500公里，全合成10000公里）二、转向助力油（2年或40000公里）更换三、变速箱油（40000公里）更换四、离合器油（40000—60000公里）更换五、刹车油（2年或40000公里）更换六、空气滤清器（15000公里）更换七、机油滤清器随着机油更换八</t>
  </si>
  <si>
    <t>记住用车知识 再也不怕花冤枉了一、机油更换（矿物质5000公里，半合成7500公里，全合成10000公里）二、转向助力油（2年或40000公里）更换三、变速箱油（40000公里）更换四、离合器油（40000—60000公里）更换五、刹车油（2年或40000公里）更换六、空气滤清器（15000公里）更</t>
  </si>
  <si>
    <t>疫情期间 这些保养自己就能做一场突如其来的疫情将大家都困在了屋里，虽然说“宅家就是做贡献”，但是家里的车子停这么久却会出现胎压不稳、电瓶电压不足等各种小问题。今天小帮就给大家说说那些在家里自己就能动手解决的汽车保养问题。【 更换机油 】机油更换是保养中一个最基础的保养项目，其实同样也可以自己解决。首</t>
  </si>
  <si>
    <t>为了保证行车安全，我们必须养护刹车系统，而刹车系统的养护说到底就是刹车片和刹车油两个方面，因为汽车的制动大权为它们占了大半。那么，我们该怎样对待决定着刹车效果的两大关键——刹车片和刹车油呢？</t>
  </si>
  <si>
    <t>2020/02/26 13:36:00</t>
  </si>
  <si>
    <t>安全提示 教您如何自检刹车系统为了保证行车安全，我们必须养护刹车系统，而刹车系统的养护说到底就是刹车片和刹车油两个方面，因为汽车的制动大权为它们占了大半。那么，我们该怎样对待决定着刹车效果的两大关键——刹车片和刹车油呢？</t>
  </si>
  <si>
    <t>投诉编号：【448828】 
投诉时间： 2020-02-26 13:14 
投诉品牌： 东风本田 
投诉车系： 本田CR-V 
投诉车型： 2019款 240TURBO CVT 两驱 舒适版 国
东风本田CR-V机油乳化增多无法使用</t>
  </si>
  <si>
    <t>2020/02/26 13:31:29</t>
  </si>
  <si>
    <t>质保期内方向机异响，出现问题，4s店可以说快速过坑为由不给我进行质保吗？</t>
  </si>
  <si>
    <t>2020/02/26 13:27:09</t>
  </si>
  <si>
    <t>投诉编号：【448830】  投诉时间： 2020-02-26 13:24  投诉品牌： 一汽-大众  投诉车系： 探岳  投诉车型： 2019款 330TSI 四驱 豪华型 国Ⅵ        投诉内容  车辆大灯发白有雾气，里面有杂质，晚上看不清路面，影响行车安全。      投诉回复  车质网</t>
  </si>
  <si>
    <t>2020/02/26 13:24:00</t>
  </si>
  <si>
    <t>《心花怒放》想必大家都看过，其讲述了郝义为了帮助他遭遇感情危机的好基友耿浩摆脱痛苦，于是来到了大理，开始了一段搞笑的猎艳之旅。主人公的一句话，至今让天涯君记忆犹新。    这不，天涯君也来到了大理开启了自己的“猎艳”之旅，此次的目标正是即将上市的全新一代瑞虎7。    时隔3年，瑞虎7再次迎来换代。</t>
  </si>
  <si>
    <t>2020/02/26 13:21:00</t>
  </si>
  <si>
    <t>　　《心花怒放》想必大家都看过，其讲述了郝义为了帮助他遭遇感情危机的好基友耿浩摆脱痛苦，于是来到了大理，开始了一段搞笑的猎艳之旅。主人公的一句话，至今让天涯君记忆犹新。　　这不，天涯君也来到了大理开启了自己的“猎艳”之旅，此次的目标正是即将上市的全新一代瑞虎7。　　时隔3年，瑞虎7再次迎来换代。全新</t>
  </si>
  <si>
    <t>　　旅行车在国内俗称“瓦罐儿”，这个名字源自英语“Wagon”的音译，即使它有着再多的好处，但在国内，瓦罐儿必定只是属于少数人的伙伴。不过随着汽车文化的不断深入，旅行车也在被越来越多的人所接受，涌现出了很多的“瓦罐儿迷”。价格从10万到100万，你都有合适的选择。今天我们就挑选了两辆比较热门的40万</t>
  </si>
  <si>
    <t>庞晓天</t>
  </si>
  <si>
    <t>2020/02/26 13:14:00</t>
  </si>
  <si>
    <t>投诉编号：【448827】投诉时间：2020-02-2613:14投诉品牌：众泰汽车投诉车系：众泰E200投诉车型：2018款飞鱼座投诉内容紧急重要:1、刚买车1.5年行驶时仪表自动出现电池故障灯，之后就无法行驶。多次在路上行驶突然出现，当时非常紧张，后面有大货车差点就追尾撞上来。之后把车开到4S店</t>
  </si>
  <si>
    <t>4s店检查结果是，过坑什减速带太快导致的方向机坏掉 ，他们用动平衡结果说我轮毂变形。事实上我轮胎除了扎钉子还没换过，请问下快速过坑和方向机坏了有没有什么必要的联系？</t>
  </si>
  <si>
    <t>2020/02/26 13:10:21</t>
  </si>
  <si>
    <t>虽然今年已是排放门事件的第六年，但大众需要应对的危机还远未结束。据外媒报道，大众汽车因其柴油门排放丑闻即将在美国面临首起陪审团审判，旧金山联邦法院定于2月24日开始审理此案。    大众汽车表示，该公司已经为纠正错误支付了大量费用，但依然有数百名车主拒绝接受该公司提出的100亿美元和解协议，这些车主</t>
  </si>
  <si>
    <t>2020/02/26 13:07:00</t>
  </si>
  <si>
    <t>　　虽然今年已是排放门事件的第六年，但大众需要应对的危机还远未结束。据外媒报道，大众汽车因其柴油门排放丑闻即将在美国面临首起陪审团审判，旧金山联邦法院定于2月24日开始审理此案。　　大众汽车表示，该公司已经为纠正错误支付了大量费用，但依然有数百名车主拒绝接受该公司提出的100亿美元和解协议，这些车主</t>
  </si>
  <si>
    <t>预计在未来的五年内，全球制造的所有车辆都将与不同的数字生态系统联网和互动，但车辆是否能够阻挡黑客和恶意软件成为目前越来越紧迫的安全问题。近日，盖瑞特宣布已与一家全球汽车制造商签署合同，为之提供网络入侵检测系统（IDS），并应用在2021年量产车型上。    提到盖瑞特，终端用户第一想到的肯定是涡轮增</t>
  </si>
  <si>
    <t>2020/02/26 13:01:00</t>
  </si>
  <si>
    <t>　　预计在未来的五年内，全球制造的所有车辆都将与不同的数字生态系统联网和互动，但车辆是否能够阻挡黑客和恶意软件成为目前越来越紧迫的安全问题。近日，盖瑞特宣布已与一家全球汽车制造商签署合同，为之提供网络入侵检测系统（IDS），并应用在2021年量产车型上。　　提到盖瑞特，终端用户第一想到的肯定是涡轮增</t>
  </si>
  <si>
    <t>随着智能网联汽车技术的深入发展，实现安全、舒适、节能且高效的驾驶体验已经成为众多车企奋斗的目标。在美国，有多个州市纷纷开始测试智能网联汽车技术，希望能够进一步提升用户体验。日前，奥迪就与芯片巨头高通展开合作，双方将在弗吉尼亚州北部的公路上进行C-V2X测试。『奥迪A6L』    据悉，初步技术部署将</t>
  </si>
  <si>
    <t>2020/02/26 13:00:00</t>
  </si>
  <si>
    <t>　　随着智能网联汽车技术的深入发展，实现安全、舒适、节能且高效的驾驶体验已经成为众多车企奋斗的目标。在美国，有多个州市纷纷开始测试智能网联汽车技术，希望能够进一步提升用户体验。日前，奥迪就与芯片巨头高通展开合作，双方将在弗吉尼亚州北部的公路上进行C-V2X测试。『奥迪A6L』　　据悉，初步技术部署将</t>
  </si>
  <si>
    <t>2月24日，东风雪铁龙在线上召开了2020年经销商大会，对东风雪铁龙2020年度的目标、策略和行动做出了部署，并就今年品牌的销售政策、服务政策、金融政策进行了详细解读。在股东双方的支持下，双方部署了提升品牌力和实现有质量销售两条工作主线。    雪铁龙全球CEO Vincent COBEE在致辞中指</t>
  </si>
  <si>
    <t>2020/02/26 12:57:00</t>
  </si>
  <si>
    <t>　　2月24日，东风雪铁龙在线上召开了2020年经销商大会，对东风雪铁龙2020年度的目标、策略和行动做出了部署，并就今年品牌的销售政策、服务政策、金融政策进行了详细解读。在股东双方的支持下，双方部署了提升品牌力和实现有质量销售两条工作主线。　　雪铁龙全球CEO Vincent COBEE在致辞中指</t>
  </si>
  <si>
    <t>提起特斯拉，让人印象深刻的便是Autopilot智能驾驶系统。该系统凭借先进的智能驾驶辅助技术给车主带来便捷的驾车体验，但同时也造成了麻烦，比如已经多次发生的自动驾驶事故（特斯拉实际提供的是辅助驾驶技术，暂且称之为“自动驾驶事故”）。据悉，截至目前，美国相关部门已经对涉及Autopilot的交通事故</t>
  </si>
  <si>
    <t>2020/02/26 12:55:00</t>
  </si>
  <si>
    <t>　　提起特斯拉，让人印象深刻的便是Autopilot智能驾驶系统。该系统凭借先进的智能驾驶辅助技术给车主带来便捷的驾车体验，但同时也造成了麻烦，比如已经多次发生的自动驾驶事故（特斯拉实际提供的是辅助驾驶技术，暂且称之为“自动驾驶事故”）。据悉，截至目前，美国相关部门已经对涉及Autopilot的交通</t>
  </si>
  <si>
    <t>日前，宝马宣布旗下全新concept i4概念车将在2020年日内瓦车展上迎来全球首发。据悉，全新concept i4概念车将是2017年9月发布的i vision dynamics概念车的后续产品，并将发展成为纯电动驱动的4系gran coupe车型，量产版预计将于2021年发布，届时将与3系在慕</t>
  </si>
  <si>
    <t>2020/02/26 12:54:00</t>
  </si>
  <si>
    <t>　　日前，宝马宣布旗下全新concept i4概念车将在2020年日内瓦车展上迎来全球首发。据悉，全新concept i4概念车将是2017年9月发布的i vision dynamics概念车的后续产品，并将发展成为纯电动驱动的4系gran coupe车型，量产版预计将于2021年发布，届时将与3系</t>
  </si>
  <si>
    <t>赵晨</t>
  </si>
  <si>
    <t>据《福布斯》最新报料，斯巴鲁全新一代wrx sti将于2021年问世，其最大的亮点是采用2.4l水平对置涡轮增压发动机，最终的动力输出不小于400 hp（298 kw）和489 n·m，比其现款高出90 hp（67 kw）和96 n·m。    据悉，现款wrx sti搭载2.5l水平对置ej25发</t>
  </si>
  <si>
    <t>2020/02/26 12:52:00</t>
  </si>
  <si>
    <t>　　据《福布斯》最新报料，斯巴鲁全新一代wrx sti将于2021年问世，其最大的亮点是采用2.4l水平对置涡轮增压发动机，最终的动力输出不小于400 hp（298 kw）和489 n・m，比其现款高出90 hp（67 kw）和96 n・m。　　据悉，现款wrx sti搭载2.5l水平对置ej25发</t>
  </si>
  <si>
    <t>投诉编号：【448823】  投诉时间： 2020-02-26 12:51  投诉品牌： 上汽大众  投诉车系： 朗逸  投诉车型： 2019款 280TSI DSG 舒适版 国VI        投诉内容  我上次投诉后，第二天4S店一个姓江的人给我打电话，说让我店里解决这个事，怎么解决也没说，我</t>
  </si>
  <si>
    <t>2020/02/26 12:51:00</t>
  </si>
  <si>
    <t>2009年，保时捷panamera横空出世，一举问鼎四门轿跑市场的时候，保时捷打造大型两门轿跑的传闻就不觉于耳，经典928的复活成为众多老车迷心中的夙愿。如今，随着保时捷taycan进入市场，其猎装版衍生车型cross turismo已经处于测试之中，因此，我们有理由相信，保时捷或将更进一步推出ta</t>
  </si>
  <si>
    <t>投诉编号：【448824】  投诉时间： 2020-02-26 12:51  投诉品牌： 广汽丰田  投诉车系： YARiS L 致享  投诉车型： 2017款 1.5E CVT 魅动版        投诉内容  丰田致享购于2018年11月，2020年2月23突然自燃。停放了五天，平白无故自燃，当</t>
  </si>
  <si>
    <t>　　2009年，保时捷panamera横空出世，一举问鼎四门轿跑市场的时候，保时捷打造大型两门轿跑的传闻就不觉于耳，经典928的复活成为众多老车迷心中的夙愿。如今，随着保时捷taycan进入市场，其猎装版衍生车型cross turismo已经处于测试之中，因此，我们有理由相信，保时捷或将更进一步推出</t>
  </si>
  <si>
    <t>近日，国外媒体曝光了全新宝马4系车型的无伪装测试谍照。据悉，全新宝马4系车型将在今年夏天正式发布，并将在年底开始投产。    从已经曝光的无伪装测试谍照上我们可以发现，全新宝马4系将确定搭载巨大的竖直排列双肾形中网，巨大的中网从引擎盖一直延申到前脸底部。此外，该全新车型的前后车灯获得全新设计，与宝马</t>
  </si>
  <si>
    <t>2020/02/26 12:49:00</t>
  </si>
  <si>
    <t>　　近日，国外媒体曝光了全新宝马4系车型的无伪装测试谍照。据悉，全新宝马4系车型将在今年夏天正式发布，并将在年底开始投产。　　从已经曝光的无伪装测试谍照上我们可以发现，全新宝马4系将确定搭载巨大的竖直排列双肾形中网，巨大的中网从引擎盖一直延申到前脸底部。此外，该全新车型的前后车灯获得全新设计，与宝马</t>
  </si>
  <si>
    <t>现代kona车型是市场上相对较新的产品，更确切地说，它是在现代主要面向美国市场于2018年推出的一款车型。这是有关现代小改款kona车型测试谍照的首次亮相。虽然是小改款车型，但测试车采用大量伪装。类似的情况也曾发生在小改款起亚rio车型上，从外观看起来其像是全新的车型，但实际上只是小改款。    尽</t>
  </si>
  <si>
    <t>2020/02/26 12:46:00</t>
  </si>
  <si>
    <t>　　现代kona车型是市场上相对较新的产品，更确切地说，它是在现代主要面向美国市场于2018年推出的一款车型。这是有关现代小改款kona车型测试谍照的首次亮相。虽然是小改款车型，但测试车采用大量伪装。类似的情况也曾发生在小改款起亚rio车型上，从外观看起来其像是全新的车型，但实际上只是小改款。　　尽</t>
  </si>
  <si>
    <t>据cnbc最新报道，在意大利北部爆发冠状病毒疫情后，法拉利已暂停工厂参观活动，同时关闭总部附近的两个博物馆。    据了解，意大利的冠状病毒疫情爆发主要发生在伦巴第地区，包括米兰，意大利220多个冠状病毒感染案例中，大部分患者都集中在此。当前十几个城镇进行了有效封锁，关闭了学校、企业和餐馆，并取消了</t>
  </si>
  <si>
    <t>2020/02/26 12:45:00</t>
  </si>
  <si>
    <t>　　据cnbc最新报道，在意大利北部爆发冠状病毒疫情后，法拉利已暂停工厂参观活动，同时关闭总部附近的两个博物馆。　　据了解，意大利的冠状病毒疫情爆发主要发生在伦巴第地区，包括米兰，意大利220多个冠状病毒感染案例中，大部分患者都集中在此。当前十几个城镇进行了有效封锁，关闭了学校、企业和餐馆，并取消了</t>
  </si>
  <si>
    <t>肖蒙蒙</t>
  </si>
  <si>
    <t>据德国《经理人杂志》（manager-magazin.de ）报道，大众汽车仍在与旗下id.3的大量软件问题作斗争。这意味着这款基于大众meb平台打造的首款纯电动车型的交付将被推迟。同时，预计该集团旗下的奥迪和保时捷也将在电动汽车量产方面遭遇更多困难。    《经理人》杂志称，大众id.3存在大量软</t>
  </si>
  <si>
    <t>2020/02/26 12:43:00</t>
  </si>
  <si>
    <t>　　据德国《经理人杂志》（manager-magazin.de ）报道，大众汽车仍在与旗下id.3的大量软件问题作斗争。这意味着这款基于大众meb平台打造的首款纯电动车型的交付将被推迟。同时，预计该集团旗下的奥迪和保时捷也将在电动汽车量产方面遭遇更多困难。　　《经理人》杂志称，大众id.3存在大量软</t>
  </si>
  <si>
    <t>据国外媒体报道，特斯拉首席执行官埃隆·马斯克（elon musk）吹称，特斯拉纯电动皮卡cybertuck主动悬挂系统打破游戏规则，但事实证明，福特ram 1500皮卡早在2016年就引入了一个类似的系统。    马斯克在推特上暗示，由于cybertuck搭载主动悬挂系统，具有很大优势，然而他可能没</t>
  </si>
  <si>
    <t>2020/02/26 12:42:00</t>
  </si>
  <si>
    <t>投诉编号：【448819】  投诉时间： 2020-02-26 12:42  投诉品牌： 东风本田  投诉车系： 思域  投诉车型： 2016款 220TURBO 自动 豪华版        投诉内容  东风日产思域油箱盖锁异响，方向盘跑偏，希望尽快处理。      投诉回复  车质网已将您的投诉转</t>
  </si>
  <si>
    <t>　　据国外媒体报道，特斯拉首席执行官埃隆・马斯克（elon musk）吹称，特斯拉纯电动皮卡cybertuck主动悬挂系统打破游戏规则，但事实证明，福特ram 1500皮卡早在2016年就引入了一个类似的系统。　　马斯克在推特上暗示，由于cybertuck搭载主动悬挂系统，具有很大优势，然而他可能没</t>
  </si>
  <si>
    <t>投诉编号：【448818】  投诉时间： 2020-02-26 12:41  投诉品牌： 北京汽车  投诉车系： 绅宝X25  投诉车型： 2015款 1.5L 手动 精英型        投诉内容  三千公里方向跑偏、后减震器漏油，首保时机油见底，六千公里发动机出现严重漏油，车身各种异响都忍了，二</t>
  </si>
  <si>
    <t>2020/02/26 12:41:00</t>
  </si>
  <si>
    <t>　　美国加利福尼亚州简直是自动驾驶的“天堂”，Waymo、Zoox、小马智行、AutoX等数十家公司都在这里进行自动驾驶汽车上路测试。值得一提的是，加州公用事业委员会（PUC）颁发给上述企业许可证，允许他们进行路测，但车辆需要配备人类安全员。日前，通用汽车自动驾驶企业Cruise则获得了PUC颁发的</t>
  </si>
  <si>
    <t>2020/02/26 12:38:00</t>
  </si>
  <si>
    <t>美国加利福尼亚州简直是自动驾驶的“天堂”，Waymo、Zoox、小马智行、AutoX等数十家公司都在这里进行自动驾驶汽车上路测试。值得一提的是，加州公用事业委员会（PUC）颁发给上述企业许可证，允许他们进行路测，但车辆需要配备人类安全员。日前，通用汽车自动驾驶企业Cruise则获得了PUC颁发的特殊</t>
  </si>
  <si>
    <t>什么牌子的车比较少毛病，问题少，易修，价格优惠，20万左右的车。</t>
  </si>
  <si>
    <t>2020/02/26 12:37:07</t>
  </si>
  <si>
    <t>投诉编号：【448817】  投诉时间： 2020-02-26 12:37  投诉品牌： 一汽-大众  投诉车系： 宝来  投诉车型： 2019款 1.5L 自动 舒适型        投诉内容  本人于2019年7月购买2019款新宝来（MQB）1.5L自动舒适型国六轿车，在行驶颠簸路段后备箱异响</t>
  </si>
  <si>
    <t>2020/02/26 12:37:00</t>
  </si>
  <si>
    <t>　　据外媒报道，当地时间2月25日，菲亚特克莱斯勒汽车公司（FCA）在一份文件中表示，该公司首席执行官麦明凯（Mike Manley）2019年薪酬达1328万欧元（1445万美元），符合公司设定的目标。去年，FCA为麦明凯设定的薪酬目标为1400万美元。　　FCA原首席执行官马尔乔内（Sergio</t>
  </si>
  <si>
    <t>2020/02/26 12:36:00</t>
  </si>
  <si>
    <t>据外媒报道，当地时间2月25日，菲亚特克莱斯勒汽车公司（FCA）在一份文件中表示，该公司首席执行官麦明凯（Mike Manley）2019年薪酬达1328万欧元（1445万美元），符合公司设定的目标。去年，FCA为麦明凯设定的薪酬目标为1400万美元。    FCA原首席执行官马尔乔内（Sergio</t>
  </si>
  <si>
    <t>　　当人类幻想飞翔时，从未想过有一天能登上月球；当我们还在拨号上网时，没人能想到网络将带来的巨大变化；而第一辆蒸汽三轮汽车，每运转15分钟便需停车加热15分钟，这样一台笨重的机器也不曾预示如今汽车所能达到的科技高度。正如全新路虎发现运动版，其多项领先同级的智能科技与创新配置再次革新了消费者出行驾驶习</t>
  </si>
  <si>
    <t>2020/02/26 12:33:00</t>
  </si>
  <si>
    <t xml:space="preserve">投诉编号：【448816】  投诉时间： 2020-02-26 12:33  投诉品牌： 华晨中华  投诉车系： 中华H530  投诉车型： 2012款 1.6L 自动 舒适型        投诉内容  中华H530经销商销售库存车涉嫌欺诈，4S店把3年多的库存车买给我，要求厂家解决好车辆的问题。 </t>
  </si>
  <si>
    <t>投诉编号：【448815】  投诉时间： 2020-02-26 12:33  投诉品牌： 吉利汽车  投诉车系： 帝豪  投诉车型： 2017款 1.5L 手动 向上版 三厢 百万款        投诉内容  车机可正常联网，“天气预报”和“新闻资讯”都能正常使用，但是车机的应用商店里没有任何显示了</t>
  </si>
  <si>
    <t>　　春节期间，为了避开人流高峰，我选择离开北京，去了中国的南端城市北海过年，这个城市不大，而且没有过度的商业开发，但却有着适宜的气候。在压抑的城市中憋久了，往往渴望与大自然亲密接触，沿海城市自驾游当然是最好的选择。　　目前国内的租车平台众多，但车源数量，车型质量以及租赁服务却大相径庭，我选择的是神州</t>
  </si>
  <si>
    <t>了了蓝</t>
  </si>
  <si>
    <t>2020/02/26 12:29:00</t>
  </si>
  <si>
    <t>春节期间，为了避开人流高峰，我选择离开北京，去了中国的南端城市北海过年，这个城市不大，而且没有过度的商业开发，但却有着适宜的气候。在压抑的城市中憋久了，往往渴望与大自然亲密接触，沿海城市自驾游当然是最好的选择。    目前国内的租车平台众多，但车源数量，车型质量以及租赁服务却大相径庭，我选择的是神州</t>
  </si>
  <si>
    <t>投诉编号：【448813】投诉时间：2020-02-2612:26投诉品牌：长安汽车投诉车系：睿骋CC投诉车型：2019款1.5T自动典雅型星空版国VI投诉内容1年新车，很不爽。快过年，异地4s店让自己找修理厂，钱还不报，钱不多就200，左侧异响去4s店3次，修车师傅让自己把储物盒拆了，贴个海绵。我</t>
  </si>
  <si>
    <t>2020/02/26 12:26:00</t>
  </si>
  <si>
    <t>日前，美国权威机构《消费者报告》发布了2020汽车品牌排名。其中，保时捷、捷尼赛思、斯巴鲁、马自达、雷克萨斯位列前五名。具体榜单如下图所示：『图片来自《消费者报告》，汽车之家新闻行业频道翻译』『保时捷获得第一』『捷尼赛思G70』    具体品牌层面，保时捷相比于2019年提升两位，成为今年的榜首。而</t>
  </si>
  <si>
    <t>2020/02/26 12:23:00</t>
  </si>
  <si>
    <t>　　日前，美国权威机构《消费者报告》发布了2020汽车品牌排名。其中，保时捷、捷尼赛思、斯巴鲁、马自达、雷克萨斯位列前五名。具体榜单如下图所示：『图片来自《消费者报告》，汽车之家新闻行业频道翻译』『保时捷获得第一』『捷尼赛思G70』　　具体品牌层面，保时捷相比于2019年提升两位，成为今年的榜首。而</t>
  </si>
  <si>
    <t>陈浩</t>
  </si>
  <si>
    <t>投诉编号：【448812】 
投诉时间： 2020-02-26 12:15 
投诉品牌： 长安福特 
投诉车系： 蒙迪欧 
投诉车型： 2013款 1.5T 自动 GTDi180时尚型 
水泵坏了，要求更换</t>
  </si>
  <si>
    <t>2020/02/26 12:22:48</t>
  </si>
  <si>
    <t>　　阿尔法・罗密欧有望于3月份开幕的日内瓦车展上发布一款Giulia GTA性能版车型。据悉，新车将比现款Giulia四叶草版拥有更强动力，同时还将进一步减重，该车也将成为宝马M3和奔驰AMG C63的强大竞争对手。此外，Giulia GTA也将限量进行销售。　　外观方面，新车的整体设计或与四叶草版</t>
  </si>
  <si>
    <t>2020/02/26 12:21:00</t>
  </si>
  <si>
    <t>阿尔法·罗密欧有望于3月份开幕的日内瓦车展上发布一款Giulia GTA性能版车型。据悉，新车将比现款Giulia四叶草版拥有更强动力，同时还将进一步减重，该车也将成为宝马M3和奔驰AMG C63的强大竞争对手。此外，Giulia GTA也将限量进行销售。    外观方面，新车的整体设计或与四叶草版</t>
  </si>
  <si>
    <t>内饰首曝 福特新Bronco配"飞机舱按键"</t>
  </si>
  <si>
    <t>2017年时，福特就宣布将重新打造Bronco车型，该车作为福特品牌旗下经典的硬派SUV，在海外拥有不少的拥趸。我们从海外媒体获得了一组全新Bronco内饰图片，内部不仅配有触控大屏还有近似于“飞机舱”按键的控制开关。目前，福特已于近日告知经销商，全新Bronco将在下3月份首次亮相。    新车在</t>
  </si>
  <si>
    <t>2020/02/26 12:19:00</t>
  </si>
  <si>
    <t>　　2017年时，福特就宣布将重新打造Bronco车型，该车作为福特品牌旗下经典的硬派SUV，在海外拥有不少的拥趸。我们从海外媒体获得了一组全新Bronco内饰图片，内部不仅配有触控大屏还有近似于“飞机舱”按键的控制开关。目前，福特已于近日告知经销商，全新Bronco将在下3月份首次亮相。　　新车在</t>
  </si>
  <si>
    <t>赵淳</t>
  </si>
  <si>
    <t>　　我们从外媒获得了一组法拉利新车效果图，这款被称为法拉利Stallone（暂定）的超级跑车有望成为LaFerrari车型的继任者。　　外观方面，新车仍然保持了法拉利中置发动机车型应有的优雅姿态，低矮的车头布满空气动力学设计元素。虽然不清楚整套空气动力学套件会为其增加多少下压力，但参照法拉利一贯做法</t>
  </si>
  <si>
    <t>刘可</t>
  </si>
  <si>
    <t>2020/02/26 12:16:00</t>
  </si>
  <si>
    <t>我们从外媒获得了一组法拉利新车效果图，这款被称为法拉利Stallone（暂定）的超级跑车有望成为LaFerrari车型的继任者。    外观方面，新车仍然保持了法拉利中置发动机车型应有的优雅姿态，低矮的车头布满空气动力学设计元素。虽然不清楚整套空气动力学套件会为其增加多少下压力，但参照法拉利一贯做法</t>
  </si>
  <si>
    <t>　　日产Leaf（国内译名聆风）是日产旗下最为畅销的电动车型，与轩逸・纯电同样基于日产最新的E-Platform平台打造而来，这款车凭借电池在安全、寿命和性能等方面的出色表现在过去数年中隐然成为全球紧凑型纯电动车的领头羊。日前，我们从海外媒体获悉，日产聆风将在英国推出N-Tec限量版，限量发售100</t>
  </si>
  <si>
    <t>2020/02/26 12:14:00</t>
  </si>
  <si>
    <t>日产Leaf（国内译名聆风）是日产旗下最为畅销的电动车型，与轩逸·纯电同样基于日产最新的E-Platform平台打造而来，这款车凭借电池在安全、寿命和性能等方面的出色表现在过去数年中隐然成为全球紧凑型纯电动车的领头羊。日前，我们从海外媒体获悉，日产聆风将在英国推出N-Tec限量版，限量发售1000台</t>
  </si>
  <si>
    <t xml:space="preserve">继全新一代奔驰GLA和AMG GLA 35发布后，奔驰继续发布了全新AMG GLA 45 S车型的官图。我们从官方获悉，新车整体造型基于全新一代GLA打造，非常的运动激进。相较于入门版的AMG GLA 35车型，新车在性能方面也进行了进一步的升级。据了解，新车预计将在日内瓦车展期间正式亮相。    </t>
  </si>
  <si>
    <t>2020/02/26 12:09:00</t>
  </si>
  <si>
    <t>　　继全新一代奔驰GLA和AMG GLA 35发布后，奔驰继续发布了全新AMG GLA 45 S车型的官图。我们从官方获悉，新车整体造型基于全新一代GLA打造，非常的运动激进。相较于入门版的AMG GLA 35车型，新车在性能方面也进行了进一步的升级。据了解，新车预计将在日内瓦车展期间正式亮相。　　</t>
  </si>
  <si>
    <t>　　铃木于2018年宣布正式退出中国市场，但该品牌在亚洲其他各国市场的处境却不尽相同。日前，我们从海外媒体automachi获悉，铃木已经确认将要重返马来西亚市场，Naza集团有望会成为该品牌的新代理公司。　　事实上，早去年7月份，马来西亚汽车圈一度传出消息指由马来西亚华裔富商丹斯里陈志远掌舵的成功</t>
  </si>
  <si>
    <t>2020/02/26 12:08:00</t>
  </si>
  <si>
    <t>铃木于2018年宣布正式退出中国市场，但该品牌在亚洲其他各国市场的处境却不尽相同。日前，我们从海外媒体automachi获悉，铃木已经确认将要重返马来西亚市场，Naza集团有望会成为该品牌的新代理公司。    事实上，早去年7月份，马来西亚汽车圈一度传出消息指由马来西亚华裔富商丹斯里陈志远掌舵的成功</t>
  </si>
  <si>
    <t>投诉编号：【448810】投诉时间：2020-02-2612:05投诉品牌：东风日产投诉车系：天籁投诉车型：2019款2.0TXL智领版投诉内容4S店出售库存车，也没告诉我时间，还说让我去维权好了。我原价买的。但买到了库存车。投诉回复车质网已将您的投诉转给生产企业以及国家市场监督管理总局缺陷产品管理</t>
  </si>
  <si>
    <t>2020/02/26 12:05:00</t>
  </si>
  <si>
    <t>日本汽车制造商丰田已向美国专利商标局（U.S.Patent and trademark Office）申请了“GRMN”的黑、白、红三种颜色的商标，为日后在北美地区推出GR车型做好铺垫。    目前，丰田已经在美国市场提供了丰富的性能车开发服务，其中Tacoma、4Runner和Tundra等车型已</t>
  </si>
  <si>
    <t>2020/02/26 12:04:00</t>
  </si>
  <si>
    <t>　　日本汽车制造商丰田已向美国专利商标局（U.S.Patent and trademark Office）申请了“GRMN”的黑、白、红三种颜色的商标，为日后在北美地区推出GR车型做好铺垫。　　目前，丰田已经在美国市场提供了丰富的性能车开发服务，其中Tacoma、4Runner和Tundra等车型已</t>
  </si>
  <si>
    <t>张嘉文</t>
  </si>
  <si>
    <t>日前，奥迪官方发布了全新奥迪A3的座椅预告图。新车座椅由再生材料制成，官方表示，座椅上89%的纺织品由回收的PET塑料瓶制成，这些PET塑料瓶经过加工后变成了纱线，每个座椅最多使用45个容量为1.5升的PET塑料瓶。    除此之外，全新奥迪A3的地毯由62个PET塑料瓶制成。无论是在外观还是在质感</t>
  </si>
  <si>
    <t>2020/02/26 12:01:00</t>
  </si>
  <si>
    <t>投诉编号：【448807】  投诉时间： 2020-02-26 12:01  投诉品牌： 长安汽车  投诉车系： 欧力威EV  投诉车型： 2018款 EV        投诉内容  买时说续航360公里的，从买来连260公里都没跑过就没电了，新车买到家慢充也不能用，商家说充电器坏了，得等，这一等就</t>
  </si>
  <si>
    <t>　　日前，奥迪官方发布了全新奥迪A3的座椅预告图。新车座椅由再生材料制成，官方表示，座椅上89%的纺织品由回收的PET塑料瓶制成，这些PET塑料瓶经过加工后变成了纱线，每个座椅最多使用45个容量为1.5升的PET塑料瓶。　　除此之外，全新奥迪A3的地毯由62个PET塑料瓶制成。无论是在外观还是在质感</t>
  </si>
  <si>
    <t>李娜-新闻频道</t>
  </si>
  <si>
    <t>疫情当下，很多企业不得不推迟已定的新车营销计划。不过，今年皮卡市场上依然有多款新车值得我们期待。    长城炮越野皮卡    长城炮越野皮卡曾经在2019年广州车展上发布预售，并限量99台。今年，该车有正式上市的计划。长城炮越野皮卡专为越野爱好者量身打造，是全地形智能专业伙伴、更是越野人的贴心兄弟。</t>
  </si>
  <si>
    <t>2020/02/26 11:59:00</t>
  </si>
  <si>
    <t>　　疫情当下，很多企业不得不推迟已定的新车营销计划。不过，今年皮卡市场上依然有多款新车值得我们期待。　　长城炮越野皮卡　　长城炮越野皮卡曾经在2019年广州车展上发布预售，并限量99台。今年，该车有正式上市的计划。长城炮越野皮卡专为越野爱好者量身打造，是全地形智能专业伙伴、更是越野人的贴心兄弟。其配</t>
  </si>
  <si>
    <t>投诉编号：【448806】  投诉时间： 2020-02-26 11:58  投诉品牌： 一汽-大众奥迪  投诉车系： 奥迪A4L  投诉车型： 2019款 40 TFSI 时尚型 国V        投诉内容  2月25日13时许，我与朋友前往大连市中山区东港商务区附近奥迪经销商。2月13日，我曾</t>
  </si>
  <si>
    <t>2020/02/26 11:58:00</t>
  </si>
  <si>
    <t>Polestar（极星）自2017年独立以来，已经推出了极星1与极星2两款车型，其中极星2将于今年2季度正式交付用户。根据极星此前公布的新车规划，还将推出极星3与一款代号为P519的纯电动跑车，基于SPA2架构打造。2020年2月25日，极星通过线上直播的形式发布了极星Precept概念车（官方定义</t>
  </si>
  <si>
    <t>2020/02/26 11:57:00</t>
  </si>
  <si>
    <t>　　Polestar（极星）自2017年独立以来，已经推出了极星1与极星2两款车型，其中极星2将于今年2季度正式交付用户。根据极星此前公布的新车规划，还将推出极星3与一款代号为P519的纯电动跑车，基于SPA2架构打造。2020年2月25日，极星通过线上直播的形式发布了极星Precept概念车（官方</t>
  </si>
  <si>
    <t>张卿</t>
  </si>
  <si>
    <t>投诉编号：【448805】  投诉时间： 2020-02-26 11:56  投诉品牌： 汉腾汽车  投诉车系： 汉腾X7  投诉车型： 2016款 2.0T DCT 豪华型        投诉内容  变速箱挂挡不走车，这已经是第二次更换变速箱了！第一个变速箱也是挂挡不走车，是在2019年8月更换的</t>
  </si>
  <si>
    <t>2020/02/26 11:56:00</t>
  </si>
  <si>
    <t>2020年日内瓦车展将于3月3日正式开幕，通过梳理后发现，日系至少携5款重磅车型亮相，其中不乏有本田思域TYPE R新车型、丰田GR YARiS以及日产GTR50等“性能选手”，以及新款雷克萨斯ES 300h“科技型选手”。此外，丰田将在本次车展中发布全新SUV，基于TNGA-B平台打造而来，尺寸比</t>
  </si>
  <si>
    <t>2020/02/26 11:55:00</t>
  </si>
  <si>
    <t>　　2020年日内瓦车展将于3月3日正式开幕，通过梳理后发现，日系至少携5款重磅车型亮相，其中不乏有本田思域TYPE R新车型、丰田GR YARiS以及日产GTR50等“性能选手”，以及新款雷克萨斯ES 300h“科技型选手”。此外，丰田将在本次车展中发布全新SUV，基于TNGA-B平台打造而来，尺</t>
  </si>
  <si>
    <t>福特Ranger是福特汽车旗下的一款皮卡车型，这款中型皮卡有别于福特F-150的霸气和福特猛禽的狂野，而是继承了北美SUV的特质，整车看起来虽然同样豪放不羁，但和其他美式皮卡相比始终给人一种柔弱感。尤其福特Ranger的动力水平一直为人诟病，很多皮卡爱好者希望有朝一日这款车能拥有猛禽和福特GT一样的</t>
  </si>
  <si>
    <t>2020/02/26 11:53:00</t>
  </si>
  <si>
    <t>　　福特Ranger是福特汽车旗下的一款皮卡车型，这款中型皮卡有别于福特F-150的霸气和福特猛禽的狂野，而是继承了北美SUV的特质，整车看起来虽然同样豪放不羁，但和其他美式皮卡相比始终给人一种柔弱感。尤其福特Ranger的动力水平一直为人诟病，很多皮卡爱好者希望有朝一日这款车能拥有猛禽和福特GT一</t>
  </si>
  <si>
    <t>王梓豪</t>
  </si>
  <si>
    <t>日内瓦车展是欧洲唯一每年度举办的大型车展，受全球经济下行以及新冠肺炎疫情等因素影响，目前已经有包括路虎、凯迪拉克、标致、雪铁龙在内的13家车企退出了此次展会。不过，仍有宝马在内的多家品牌希望通过有着“国际汽车潮流风向标”的日内瓦车展展示自身产品实力，尤其是电动化产品。我们梳理后发现，宝马、雷克萨斯、</t>
  </si>
  <si>
    <t>2020/02/26 11:52:00</t>
  </si>
  <si>
    <t>　　日内瓦车展是欧洲唯一每年度举办的大型车展，受全球经济下行以及新冠肺炎疫情等因素影响，目前已经有包括路虎、凯迪拉克、标致、雪铁龙在内的13家车企退出了此次展会。不过，仍有宝马在内的多家品牌希望通过有着“国际汽车潮流风向标”的日内瓦车展展示自身产品实力，尤其是电动化产品。我们梳理后发现，宝马、雷克萨</t>
  </si>
  <si>
    <t>随着全新一代本田飞度在海外地区的推出，忠实的飞度车迷再也坐不住了。近日有海外媒体基于全新一代飞度制作了一组type r车型的渲染图。虽然官方对于何时正式推出type r车型并未给予明确的消息，但是作为polo gti、雅力士gr等小型性能车最强有力的对手，相信会有众多铁粉等待着type r问世的那一</t>
  </si>
  <si>
    <t>2020/02/26 11:50:00</t>
  </si>
  <si>
    <t>　　随着全新一代本田飞度在海外地区的推出，忠实的飞度车迷再也坐不住了。近日有海外媒体基于全新一代飞度制作了一组type r车型的渲染图。虽然官方对于何时正式推出type r车型并未给予明确的消息，但是作为polo gti、雅力士gr等小型性能车最强有力的对手，相信会有众多铁粉等待着type r问世的</t>
  </si>
  <si>
    <t>日前，起亚汽车公司总裁朴汉宇在接受韩国媒体采访时，首次确认了起亚将会在今年更换新logo。据报道，新的logo将会在今年10月正式发布。『imagine概念车上的logo』    朴汉宇表示，起亚的全新logo会与此前已经发布的全新纯电动概念车imagine相似，但是细节之处还会有所不同。此外，韩国</t>
  </si>
  <si>
    <t>2020/02/26 11:48:00</t>
  </si>
  <si>
    <t>　　日前，起亚汽车公司总裁朴汉宇在接受韩国媒体采访时，首次确认了起亚将会在今年更换新logo。据报道，新的logo将会在今年10月正式发布。『imagine概念车上的logo』　　朴汉宇表示，起亚的全新logo会与此前已经发布的全新纯电动概念车imagine相似，但是细节之处还会有所不同。此外，韩国</t>
  </si>
  <si>
    <t>还记得来自美国洛杉矶的初创企业——czinger vehicles么？此前我们曾经报道过该公司即将在日内瓦车展上推出他们的全新混动超级跑车——czinger 21c。近日，这家公司公开了czinger 21c的动力配置，这款混动超跑将搭载2.88l双涡轮增压v8发动机 双电机的动力系统。    据c</t>
  </si>
  <si>
    <t>2020/02/26 11:46:00</t>
  </si>
  <si>
    <t>　　还记得来自美国洛杉矶的初创企业――czinger vehicles么？此前我们曾经报道过该公司即将在日内瓦车展上推出他们的全新混动超级跑车――czinger 21c。近日，这家公司公开了czinger 21c的动力配置，这款混动超跑将搭载2.88l双涡轮增压v8发动机 双电机的动力系统。　　据c</t>
  </si>
  <si>
    <t>日前，大众针对俄罗斯等东欧国家市场发布了polo三厢掀背车型的官图。新车基于第五代polo的pq25平台打造，但与海外版斯柯达新款昕锐互为姊妹车型，包括相同的掀背式尾门设计。此外作为2020年发布的新车，东欧版polo三厢掀背车型还采用了大众最新的内外设计语言，看起来时尚了许多。    外观方面，p</t>
  </si>
  <si>
    <t>2020/02/26 11:45:00</t>
  </si>
  <si>
    <t>　　日前，大众针对俄罗斯等东欧国家市场发布了polo三厢掀背车型的官图。新车基于第五代polo的pq25平台打造，但与海外版斯柯达新款昕锐互为姊妹车型，包括相同的掀背式尾门设计。此外作为2020年发布的新车，东欧版polo三厢掀背车型还采用了大众最新的内外设计语言，看起来时尚了许多。　　外观方面，p</t>
  </si>
  <si>
    <t>日前，现代正式发布了新款i30车型的官图，新车在外观和配置方面有所调整，动力方面配备了1.0t/1.5t汽油发动机和1.6l柴油发动机，并提供48v微混系统。『现代新款i30』『现代新款i30 n line两厢版』『现代新款i30两厢版』    新款i30共推出旅行版、两厢版和三厢版车型。从外观方面</t>
  </si>
  <si>
    <t>2020/02/26 11:44:00</t>
  </si>
  <si>
    <t>　　日前，现代正式发布了新款i30车型的官图，新车在外观和配置方面有所调整，动力方面配备了1.0t/1.5t汽油发动机和1.6l柴油发动机，并提供48v微混系统。『现代新款i30』『现代新款i30 n line两厢版』『现代新款i30两厢版』　　新款i30共推出旅行版、两厢版和三厢版车型。从外观方面</t>
  </si>
  <si>
    <t>投诉编号：【448801】  投诉时间： 2020-02-26 11:37  投诉品牌： 上汽集团  投诉车系： 名爵ZS  投诉车型： 2017款 1.5L 手动 豪华版        投诉内容  上汽名爵ZS发动机故障灯亮希望厂家处理，发动机故障等亮已经第二次了。      投诉回复  车质网已</t>
  </si>
  <si>
    <t>2020/02/26 11:37:00</t>
  </si>
  <si>
    <t>　　就在几天前，玛莎拉蒂官方宣布旗下全新跑车定名为mc20。mc20代表着maserati corse 2020，作为玛莎拉蒂全新时代的首款车型，mc20由玛莎拉蒂创新实验室研发设计，并将于五月底在摩德纳全球首发。最新消息，这款意味着三叉戟品牌将再次重返赛道的全新跑车将于年内正式上市。　　尽管mc2</t>
  </si>
  <si>
    <t>2020/02/26 11:25:00</t>
  </si>
  <si>
    <t>就在几天前，玛莎拉蒂官方宣布旗下全新跑车定名为mc20。mc20代表着maserati corse 2020，作为玛莎拉蒂全新时代的首款车型，mc20由玛莎拉蒂创新实验室研发设计，并将于五月底在摩德纳全球首发。最新消息，这款意味着三叉戟品牌将再次重返赛道的全新跑车将于年内正式上市。    尽管mc2</t>
  </si>
  <si>
    <t>　　2020年我国汽车年检的政策将有所变化，其中包括了推进“机动车检验标志电子化”、机动车年检费用有所增加等。与此同时，由于受到疫情影响，交通运输部决定将道路运输车辆年审周期延长45天。　　2月12日，交通运输部印发的《关于做好疫情期间道路运输车辆技术保障工作的通知》中指出：疫情期间，各地交通运输部</t>
  </si>
  <si>
    <t>2020/02/26 11:23:00</t>
  </si>
  <si>
    <t>2020年我国汽车年检的政策将有所变化，其中包括了推进“机动车检验标志电子化”、机动车年检费用有所增加等。与此同时，由于受到疫情影响，交通运输部决定将道路运输车辆年审周期延长45天。    2月12日，交通运输部印发的《关于做好疫情期间道路运输车辆技术保障工作的通知》中指出：疫情期间，各地交通运输部</t>
  </si>
  <si>
    <t>近日从相关渠道获悉，地图测绘和定位服务商here technologies宣布，该公司将与汽车智能语音公司cerence展开深化合作，将here的智能定位方案整合到cerence drive方案中，形成ai驱动型移动出行助理方案。    该款智能助手方案可以通过语音、触觉、手势、情感和视线等方面的创</t>
  </si>
  <si>
    <t>2020/02/26 11:21:00</t>
  </si>
  <si>
    <t>　　近日从相关渠道获悉，地图测绘和定位服务商here technologies宣布，该公司将与汽车智能语音公司cerence展开深化合作，将here的智能定位方案整合到cerence drive方案中，形成ai驱动型移动出行助理方案。　　该款智能助手方案可以通过语音、触觉、手势、情感和视线等方面的创</t>
  </si>
  <si>
    <t>我们从官方获悉，现代起亚汽车宣布成功研发全球首例可用于前方道路预测的“ict (information and communication technology)智能网联变速系统”。这一系统可帮助车辆自动识别前方道路及交通状况，并根据路况实时变换最佳挡位，在提升用户驾驶体验的同时降低油耗。现代起亚汽</t>
  </si>
  <si>
    <t>2020/02/26 11:19:00</t>
  </si>
  <si>
    <t>　　我们从官方获悉，现代起亚汽车宣布成功研发全球首例可用于前方道路预测的“ict (information and communication technology)智能网联变速系统”。这一系统可帮助车辆自动识别前方道路及交通状况，并根据路况实时变换最佳挡位，在提升用户驾驶体验的同时降低油耗。现代起</t>
  </si>
  <si>
    <t>我们从蔚来汽车官方获悉，蔚来智能电动轿跑suv ec6量产项目在合肥江淮蔚来先进制造基地正式启动。此次ec6的量产项目启动，展现了合肥江淮蔚来先进制造基地在做好疫情防控工作的同时，高效的复工能力，也标志着江淮与蔚来战略合作的进一步深化。据了解，新车预计将在2020年7月公布价格和配置，9月开启交付。</t>
  </si>
  <si>
    <t>2020/02/26 11:17:00</t>
  </si>
  <si>
    <t>　　我们从蔚来汽车官方获悉，蔚来智能电动轿跑suv ec6量产项目在合肥江淮蔚来先进制造基地正式启动。此次ec6的量产项目启动，展现了合肥江淮蔚来先进制造基地在做好疫情防控工作的同时，高效的复工能力，也标志着江淮与蔚来战略合作的进一步深化。据了解，新车预计将在2020年7月公布价格和配置，9月开启交</t>
  </si>
  <si>
    <t>　　“apollo”是百度面向汽车行业及自动驾驶领域合作伙伴的软件平台。该平台基于领先的传感器融合设计方案及车端海量数据训练验证，实现汽车智能化升级及无人驾驶等多场景应用。日前，我们获悉，百度apollo平台已满足了车企供应商条件，成功进入全球主流车企零部件供应链的管理体系。　　日前，欧洲权威认证机</t>
  </si>
  <si>
    <t>2020/02/26 11:15:00</t>
  </si>
  <si>
    <t>汽车原厂漆和4S店修补漆 区别到底在哪里雅阁有划痕险，想全车喷漆，4S店说现在很多人开几年都全车喷了，全车喷漆好吗？恕我直言，让你全车喷漆的4S店坏，你如果相信了真全车喷漆了那就是蠢。4S店喷的所谓原厂漆能跟真正的原厂漆比吗？4S店的“原厂漆”真的能替代原漆吗？真相就是4S店所谓的原厂漆，其实顶多也</t>
  </si>
  <si>
    <t>赴梦人生</t>
  </si>
  <si>
    <t>电动汽车五年内有可能比燃油车便宜吗对于现阶段的电动汽车而言在价格上面，和同款的燃油车相比还是要高出一部分，随着市面上面可选择的电动汽车种类日益的变多，在未来五年电动汽车价格有没有可能比燃油汽车便宜吗？如果要使电动车在五年内比燃油车便宜，就必须解决成本过高的问题。制约着电动汽车的价格的因素在于电动汽车</t>
  </si>
  <si>
    <t>很多汽车后排都有鼓包 为啥不能完全做平呢汽车后排中间地板平好还是鼓包好？从乘坐舒适性的角度来说，当然是后排地板做平更好，不然中间乘客坐起来会很不舒服，但是如果后排有鼓包，要看它通过后排凸起实现了什么功能，比如说后驱、四驱、车身刚性的提升等等。两相比较才能得出为了这个功能牺牲后排乘坐舒适性到底有没有必</t>
  </si>
  <si>
    <t>“apollo”是百度面向汽车行业及自动驾驶领域合作伙伴的软件平台。该平台基于领先的传感器融合设计方案及车端海量数据训练验证，实现汽车智能化升级及无人驾驶等多场景应用。日前，我们获悉，百度apollo平台已满足了车企供应商条件，成功进入全球主流车企零部件供应链的管理体系。    日前，欧洲权威认证机</t>
  </si>
  <si>
    <t>雅阁有划痕险，想全车喷漆，4S店说现在很多人开几年都全车喷了，全车喷漆好吗？恕我直言，让你全车喷漆的4S店坏，你如果相信了真全车喷漆了那就是蠢。4S店喷的所谓原厂漆能跟真正的原厂漆比吗？4S店的“原厂漆”真的能替代原漆吗？真相就是4S店所谓的原厂漆，其实顶多也就是一个色号的漆，连跟原车漆一个品牌一个</t>
  </si>
  <si>
    <t>汽车后排中间地板平好还是鼓包好？从乘坐舒适性的角度来说，当然是后排地板做平更好，不然中间乘客坐起来会很不舒服，但是如果后排有鼓包，要看它通过后排凸起实现了什么功能，比如说后驱、四驱、车身刚性的提升等等。两相比较才能得出为了这个功能牺牲后排乘坐舒适性到底有没有必要。为什么汽车后排会有鼓包？后排是否有鼓</t>
  </si>
  <si>
    <t>对于现阶段的电动汽车而言在价格上面，和同款的燃油车相比还是要高出一部分，随着市面上面可选择的电动汽车种类日益的变多，在未来五年电动汽车价格有没有可能比燃油汽车便宜吗？如果要使电动车在五年内比燃油车便宜，就必须解决成本过高的问题。制约着电动汽车的价格的因素在于电动汽车的核心三电的成本上面，以及规模效应</t>
  </si>
  <si>
    <t>上汽最新黑科技 首款"杀毒"空调将投产</t>
  </si>
  <si>
    <t>　　2月25日，上汽集团宣布，最新研发的国内首款内置式深紫外线“杀毒”汽车空调即将投产。网通社从上汽集团官方获悉，上汽荣威、上汽大众、上汽通用将率先以提供售后配件的形式为整车产品进行加装，2月29日起经销商就可为车主提供相关服务。　　此外，上汽集团还研制开发了业内首款车规级深紫外线杀菌盒，能够实现汽</t>
  </si>
  <si>
    <t>奚筱林</t>
  </si>
  <si>
    <t>2020/02/26 11:14:00</t>
  </si>
  <si>
    <t>趣味科普系列之 汽车结构轻量化不光只靠铝合金汽车诞生至今已经一个多世纪了，在其发展的过程中，节约燃油始终是汽车研发者努力的方向，这也引出一个新的设计方向：轻量化结构。在电动车铺天盖地的时代，燃油车似乎已经走到了生命末期，但是轻量化对于电动车依然非常重要。燃油车方面，虽然厂商们绞尽脑汁努力，也没见哪款</t>
  </si>
  <si>
    <t>盘点5个有趣的汽车冷知识在我们的用车生活中，无论是汽车本身、用品配件还是交通法规，都有一些看似习以为常，实则是故意为之的巧妙设计。那么接下来，牛车实验室就给您介绍五个有趣的汽车冷知识。1、转向灯为什么会有“嗒嗒声”？开启转向灯或危险报警闪光灯时，都会发出“嗒嗒声”，这已经是人人皆知，习以为常的事。但</t>
  </si>
  <si>
    <t>2月25日，上汽集团宣布，最新研发的国内首款内置式深紫外线“杀毒”汽车空调即将投产。网通社从上汽集团官方获悉，上汽荣威、上汽大众、上汽通用将率先以提供售后配件的形式为整车产品进行加装，2月29日起经销商就可为车主提供相关服务。    此外，上汽集团还研制开发了业内首款车规级深紫外线杀菌盒，能够实现汽</t>
  </si>
  <si>
    <t>在我们的用车生活中，无论是汽车本身、用品配件还是交通法规，都有一些看似习以为常，实则是故意为之的巧妙设计。那么接下来，牛车实验室就给您介绍五个有趣的汽车冷知识。1、转向灯为什么会有“嗒嗒声”？开启转向灯或危险报警闪光灯时，都会发出“嗒嗒声”，这已经是人人皆知，习以为常的事。但为什么近光灯、远光灯和雾</t>
  </si>
  <si>
    <t>汽车诞生至今已经一个多世纪了，在其发展的过程中，节约燃油始终是汽车研发者努力的方向，这也引出一个新的设计方向：轻量化结构。在电动车铺天盖地的时代，燃油车似乎已经走到了生命末期，但是轻量化对于电动车依然非常重要。燃油车方面，虽然厂商们绞尽脑汁努力，也没见哪款车的百公里综合油耗真的能控制在4升以内（实际</t>
  </si>
  <si>
    <t>水深不怕坑 教你如何鉴别二手车相比于新车来说，二手车拥有更高性价比，消费者可以花较少的钱买到更高级别的车。但同样，由于是二手物品，二手车的品质是很多消费者不敢接触的主要原因。那么接下来，就教您十条简单鉴别二手车质量的小妙招。一、检查漆面首先，消费者需要观察车辆的漆面，如果有明显色差，说明在该位置发生</t>
  </si>
  <si>
    <t>2020/02/26 11:13:00</t>
  </si>
  <si>
    <t>相比于新车来说，二手车拥有更高性价比，消费者可以花较少的钱买到更高级别的车。但同样，由于是二手物品，二手车的品质是很多消费者不敢接触的主要原因。那么接下来，就教您十条简单鉴别二手车质量的小妙招。一、检查漆面首先，消费者需要观察车辆的漆面，如果有明显色差，说明在该位置发生过补漆，也就是发生过事故，需要</t>
  </si>
  <si>
    <t>　　近日从外媒获悉，大众汽车计划推出一款全新纯电动跑车，基于meb平台打造。据悉，新车将采用id.r赛车上开发的高性能电池，并有望在2025年亮相。　　据消息称，大众已开发了多个版本原型车，其中，有基于保时捷718 boxster和cayman改造的电动版本。但根据此前报告显示，该方案不可行，保时捷</t>
  </si>
  <si>
    <t>2020/02/26 11:12:00</t>
  </si>
  <si>
    <t>汽车换空调滤芯就能防止病毒了吗突如其来的新型冠状病毒疫情对我们的生产生活造成了一定的影响，虽然从近些时日公布的数据来看，疫情已经得到了有效的控制。但是为了降低交叉感染的几率，我们的个人防护同样需要做好，所以即便是自驾出行也需要佩戴口罩。那么作为车主的我们也有一个疑问，汽车空调滤芯更换之后是否能够防止</t>
  </si>
  <si>
    <t>现在买新能源车 选择什么价位的比较好随着新能源汽车行业的不断发展，品牌和车型也是越来越多。那么对于普通消费者来说，现在购买新能源汽车选择什么价位的比较好呢？要根据自己的实际用车情况和预算进行选择。就目前来看，新能源汽车处在行业发展的初级阶段，生产成本一般高于同级别的传统燃油车，而这也是存在政策性补贴</t>
  </si>
  <si>
    <t>疫情之下能不能用酒精给新能源汽车消毒在新型冠状病毒疫情期间，驾车外出可在一定程度上降低感染的几率。但汽车虽然是一个相对密闭的空间，也会存在空气流动，病毒也就有可能进入汽车内部，所以很多车主在驾车外出返程之后对车辆进行消毒。那么能否使用酒精对新能源汽车进行消毒呢？按照公布的数据显示，75%的酒精和含氯</t>
  </si>
  <si>
    <t>近日从外媒获悉，大众汽车计划推出一款全新纯电动跑车，基于meb平台打造。据悉，新车将采用id.r赛车上开发的高性能电池，并有望在2025年亮相。    据消息称，大众已开发了多个版本原型车，其中，有基于保时捷718 boxster和cayman改造的电动版本。但根据此前报告显示，该方案不可行，保时捷</t>
  </si>
  <si>
    <t>在新型冠状病毒疫情期间，驾车外出可在一定程度上降低感染的几率。但汽车虽然是一个相对密闭的空间，也会存在空气流动，病毒也就有可能进入汽车内部，所以很多车主在驾车外出返程之后对车辆进行消毒。那么能否使用酒精对新能源汽车进行消毒呢？按照公布的数据显示，75%的酒精和含氯的消毒剂对于新型冠状病毒有较好的灭活</t>
  </si>
  <si>
    <t>突如其来的新型冠状病毒疫情对我们的生产生活造成了一定的影响，虽然从近些时日公布的数据来看，疫情已经得到了有效的控制。但是为了降低交叉感染的几率，我们的个人防护同样需要做好，所以即便是自驾出行也需要佩戴口罩。那么作为车主的我们也有一个疑问，汽车空调滤芯更换之后是否能够防止病毒呢？虽然我们驾车出行，车内</t>
  </si>
  <si>
    <t>随着新能源汽车行业的不断发展，品牌和车型也是越来越多。那么对于普通消费者来说，现在购买新能源汽车选择什么价位的比较好呢？要根据自己的实际用车情况和预算进行选择。就目前来看，新能源汽车处在行业发展的初级阶段，生产成本一般高于同级别的传统燃油车，而这也是存在政策性补贴的原因之一。以纯电动汽车为例，目前大</t>
  </si>
  <si>
    <t>日前，我们从观致汽车官方获悉，企业将三辆观致5s suv捐赠给湖北黄石防疫工作相关部门，支援当地的疫情防控工作。随后，2月25日观致汽车再向常熟市疫情防控指挥部、常熟经济技术开发区疫情防控指挥部捐赠两辆观致5s。    三辆观致5s suv历经800余公里长途跋涉，于22日傍晚抵达湖北省黄石市。在高</t>
  </si>
  <si>
    <t>2020/02/26 11:11:00</t>
  </si>
  <si>
    <t>当纯电动车续航破700km 你会舍弃燃油车吗纯电动汽车行业发展到今天，续航里程也是不断增加，但是即便如此，里程焦虑依然存在。而且从保有量上来看，纯电动汽车与传统燃油车还是存在着较大的差距。那么当纯电动汽车续航突破700公里的时候，会舍弃传统燃油车吗？其实在文青看来，是否舍弃传统燃油车，除了和纯电动汽</t>
  </si>
  <si>
    <t>纯电动汽车行业发展到今天，续航里程也是不断增加，但是即便如此，里程焦虑依然存在。而且从保有量上来看，纯电动汽车与传统燃油车还是存在着较大的差距。那么当纯电动汽车续航突破700公里的时候，会舍弃传统燃油车吗？其实在文青看来，是否舍弃传统燃油车，除了和纯电动汽车的续航表现有关系之外，还和自己的用车需求息</t>
  </si>
  <si>
    <t>　　日前，我们从观致汽车官方获悉，企业将三辆观致5s suv捐赠给湖北黄石防疫工作相关部门，支援当地的疫情防控工作。随后，2月25日观致汽车再向常熟市疫情防控指挥部、常熟经济技术开发区疫情防控指挥部捐赠两辆观致5s。　　三辆观致5s suv历经800余公里长途跋涉，于22日傍晚抵达湖北省黄石市。在高</t>
  </si>
  <si>
    <t>日前，我们从官方获悉，honda在东京总部举行了2020年fim超级摩托车世界锦标赛hrc厂商车队——“teamhrc”的发布会。发布会现场，hrc厂商车队车手alvarobautista和leonhaslam亲手揭开cbr 1000 rr-r fireblade sp赛车的“神秘面纱”，这也是该赛</t>
  </si>
  <si>
    <t>2020/02/26 11:10:00</t>
  </si>
  <si>
    <t>　　日前，我们从官方获悉，honda在东京总部举行了2020年fim超级摩托车世界锦标赛hrc厂商车队――“teamhrc”的发布会。发布会现场，hrc厂商车队车手alvarobautista和leonhaslam亲手揭开cbr 1000 rr-r fireblade sp赛车的“神秘面纱”，这也是</t>
  </si>
  <si>
    <t>　　在刚刚过去的2019年车市“遇冷”，但市场中新能源车型所占的份额越来越大。自今年以来，由于受到春节假期与疫情的影响，2020年1月，新能源市场也受到冲击，销量同比去年1月下滑五成左右。而1月新能源销量排行中，宝马5系插混发挥稳定，以3000台的销量位列第二，要知道在这份榜单中其它的选手都是来自纯</t>
  </si>
  <si>
    <t>2020/02/26 11:09:00</t>
  </si>
  <si>
    <t>我的2019款 双擎 1.8L E-CVT旗舰版，现已使用三个多月行驶五千多公里。第一次上高速时加速到100就像被拖住了跑不动，必须油门踩到底，之后就时紧时松，约跑了十公里这种状态才有所缓解。现在这种状态虽然不像第一次那么严重，但是还会偶尔出现，到目前为止已经四次，多为雨天，总共约有五百公里左右。在</t>
  </si>
  <si>
    <t>2020/02/26 11:07:01</t>
  </si>
  <si>
    <t>五菱荣光三元催化器故障怎么处理？怎么处理催化器监测？氧传感监测？</t>
  </si>
  <si>
    <t>　　2月26日，北京市迎来了2020年第一次小客车购车指标摇号，不知道在座的各位有哪些幸运儿会获得期盼已久的购车资格呢？对于取得新能源购车资格的用户而言，您一定希望能选择一款品质靠谱、性能出色的电动车。在所有备选车型中，你一定不要错过今天我们推荐的这款。　　丰田汽车一直以高品质以及可靠的口碑成为大部</t>
  </si>
  <si>
    <t>2020/02/26 11:07:00</t>
  </si>
  <si>
    <t>ex5是北汽新能源的第二款纯电suv，基于绅宝智行打造，售价区间16.99万-19.99万元，nedc综合续航415km。主打热度最高的纯电动紧凑级suv市场。比亚迪宋pro ev、威马ex5及小鹏g3等热门车型都是它的竞争对手。除了不俗的性价比外，ex5还搭载了e-motion drive电驱系统</t>
  </si>
  <si>
    <t>2020/02/26 11:03:00</t>
  </si>
  <si>
    <t>　　ex5是北汽新能源的第二款纯电suv，基于绅宝智行打造，售价区间16.99万-19.99万元，nedc综合续航415km。主打热度最高的纯电动紧凑级suv市场。比亚迪宋pro ev、威马ex5及小鹏g3等热门车型都是它的竞争对手。除了不俗的性价比外，ex5还搭载了e-motion drive电驱</t>
  </si>
  <si>
    <t>吕怀中</t>
  </si>
  <si>
    <t>开BBA不一定显档次和多有钱！但买这3款车的人绝对不差钱！现在国内汽车市场竞争愈发激烈，各大汽车品牌也都针对不同人群推出了不同的车。这其中，入门级豪车就是为了满足想开豪车但囊肿羞涩的人而出现，所以，以前还比较少见的BBA，现在已经遍布大街小巷。按照物以稀为贵的逻辑，是不是可以这样推导：开BBA不一定</t>
  </si>
  <si>
    <t>大H9</t>
  </si>
  <si>
    <t>现在国内汽车市场竞争愈发激烈，各大汽车品牌也都针对不同人群推出了不同的车。这其中，入门级豪车就是为了满足想开豪车但囊肿羞涩的人而出现，所以，以前还比较少见的BBA，现在已经遍布大街小巷。按照物以稀为贵的逻辑，是不是可以这样推导：开BBA不一定很有钱，但买下面这3款车的人家里一定不差钱！铃木 吉姆尼售</t>
  </si>
  <si>
    <t>一分钟看懂全新特斯拉Model Y，比Model 3更值得入手？怎么评价特斯拉Model Y？至少在特斯拉CEO马斯克的眼里，它会是特斯拉未来的“印钞机”。在今年1月7日的中国制造Model Y项目启动仪式上，马斯克表示Model Y的销量很有可能会超过Model 3/X/S的总和。“Model Y</t>
  </si>
  <si>
    <t>2020/02/26 11:02:00</t>
  </si>
  <si>
    <t>20万内无敌手？这台国产性能小钢炮究竟香不香领克对03车型寄予厚望，上市的时候到日本包了一个赛道发布，足够吸睛。而顺势推出03+性能版车型，则无疑打响了国产性能小钢炮的第一炮，引起国内车迷广泛关注。2.0T+四驱，18.58万起售，百公里加速5.9s，这样的硬件配置和性能表现，值得媒体一致赞誉。抛开</t>
  </si>
  <si>
    <t>怎么评价特斯拉Model Y？至少在特斯拉CEO马斯克的眼里，它会是特斯拉未来的“印钞机”。在今年1月7日的中国制造Model Y项目启动仪式上，马斯克表示Model Y的销量很有可能会超过Model 3/X/S的总和。“Model Y所在的细分市场非常重要，现在越来越多人在轿车和SUV之间倾向于选</t>
  </si>
  <si>
    <t>领克对03车型寄予厚望，上市的时候到日本包了一个赛道发布，足够吸睛。而顺势推出03+性能版车型，则无疑打响了国产性能小钢炮的第一炮，引起国内车迷广泛关注。2.0T+四驱，18.58万起售，百公里加速5.9s，这样的硬件配置和性能表现，值得媒体一致赞誉。抛开大家认为的国产品牌，领克03+绝对是一款性价</t>
  </si>
  <si>
    <t>丰田又添一员猛将，经典硬派越野造型，还配侧滑门+一张1.8大床早在2017年东京国际车展上，东道主厂家之一的丰田汽车公司在展台上摆出了一台横平竖直、风格新奇的概念车——Tj Cruiser。近日，疆哥从各大渠道获悉，这台“概念已久”的丰田车将会在今年5月份发布它的量产版本，这也意味着消费者们能买到一</t>
  </si>
  <si>
    <t>2020/02/26 11:01:00</t>
  </si>
  <si>
    <t>早在2017年东京国际车展上，东道主厂家之一的丰田汽车公司在展台上摆出了一台横平竖直、风格新奇的概念车——Tj Cruiser。近日，疆哥从各大渠道获悉，这台“概念已久”的丰田车将会在今年5月份发布它的量产版本，这也意味着消费者们能买到一款全新的Cruiser点缀的车型。Cruiser的中文意思为巡</t>
  </si>
  <si>
    <t>包括北京、上海在内的国内重点一、二线城市，在2019年年中就已经推行了国六排放标准，不少自主品牌在技术储备以及成本管控方面能力不够，造成了在一、二线城市无车可卖的境地，不得已退出了国内购买力最强的市场。而中汽协推迟国六排放落地的逻辑是由于肺炎疫情，导致2月份乃至一季度的汽车销量会受到较大的影响，而根</t>
  </si>
  <si>
    <t>“国六政策”或再被打脸，推迟落地会让谁受益？包括北京、上海在内的国内重点一、二线城市，在2019年年中就已经推行了国六排放标准，不少自主品牌在技术储备以及成本管控方面能力不够，造成了在一、二线城市无车可卖的境地，不得已退出了国内购买力最强的市场。而中汽协推迟国六排放落地的逻辑是由于肺炎疫情，导致2月</t>
  </si>
  <si>
    <t>2020/02/26 11:00:00</t>
  </si>
  <si>
    <t>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的感觉，仔细一看车型品牌，大部分都是大众，现代，雪铁龙</t>
  </si>
  <si>
    <t>都说：开不坏的丰田，修不好的大众，为何满大街出租车都用大众？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t>
  </si>
  <si>
    <t>因为汽车确实是对我们的生活来说比较方便，所以生活中没有一辆汽车的话，对一部分人来说的确是非常不方便，因此这也就导致了现在考驾照的人越来越多。其实这也是因为驾驶机动车已经成为了现代社会的一项基本技能，大家考取驾照方便出行也就无可厚非了。大部分考取的驾照也都是C1驾照，毕竟没有特殊需求的话也就足够了。可</t>
  </si>
  <si>
    <t>2020/02/26 10:59:00</t>
  </si>
  <si>
    <t>飞度这小车我意见买了将近4年时间了，刚跑过五万公里，前几天看到位值得买的车友因为导航大屏的问题写的文章，自己也安奈不住，把这四年五万公里中遇到的问题和自己的一些想法写写。五万公里：五万公里过去，目前为止用的是本田原厂紫桶机油，因为和4S师傅聊得来，他以很低的价格卖给我，我是7-8K保养一次，所以成本</t>
  </si>
  <si>
    <t>当下，汽车行业正处在一个高速变革的时期。处在汽车行业中的每一个成员都想要预见汽车技术的发展方向，以便在技术发展中掌握先机。但事实却不尽如人意，因为在绝大多数情况下，谁都无法准确预估汽车技术究竟会朝着什么方向发展。不过近期，由发改委、工信部等11个国家部委联合发布的《智能汽车创新发展战略》（下简称战略</t>
  </si>
  <si>
    <t>　　在纯电小型suv领域，比亚迪元ev、祺智ev以及名爵ezs等车型都具备一定的竞争力，与这些竞争对手相比，北汽新能源ex3虽然13.39万-16.39万元的价格略高，但百公里加速7秒、综合续航超500km的表现，足以说明它的超群实力。我们曾对这款车型进行过比较详尽的试驾体验和续航测试，关注的朋友可</t>
  </si>
  <si>
    <t>在纯电小型suv领域，比亚迪元ev、祺智ev以及名爵ezs等车型都具备一定的竞争力，与这些竞争对手相比，北汽新能源ex3虽然13.39万-16.39万元的价格略高，但百公里加速7秒、综合续航超500km的表现，足以说明它的超群实力。我们曾对这款车型进行过比较详尽的试驾体验和续航测试，关注的朋友可以前</t>
  </si>
  <si>
    <t>发改委：还有五年，L3要规模量产！我们要进入自动驾驶时代了？当下，汽车行业正处在一个高速变革的时期。处在汽车行业中的每一个成员都想要预见汽车技术的发展方向，以便在技术发展中掌握先机。但事实却不尽如人意，因为在绝大多数情况下，谁都无法准确预估汽车技术究竟会朝着什么方向发展。不过近期，由发改委、工信部等</t>
  </si>
  <si>
    <t>C1驾驶证不可以开的车 一经发现直接扣12分罚2000元因为汽车确实是对我们的生活来说比较方便，所以生活中没有一辆汽车的话，对一部分人来说的确是非常不方便，因此这也就导致了现在考驾照的人越来越多。其实这也是因为驾驶机动车已经成为了现代社会的一项基本技能，大家考取驾照方便出行也就无可厚非了。大部分考取</t>
  </si>
  <si>
    <t>不是神车也不是没毛病——本田飞度50000公里飞度这小车我意见买了将近4年时间了，刚跑过五万公里，前几天看到位值得买的车友因为导航大屏的问题写的文章，自己也安奈不住，把这四年五万公里中遇到的问题和自己的一些想法写写。五万公里：五万公里过去，目前为止用的是本田原厂紫桶机油，因为和4S师傅聊得来，他以很</t>
  </si>
  <si>
    <t>1月28日，中国疾控中心针对当下新型冠状病毒感染的肺炎疫情，发布了《私家车预防临时指南》，这也是疾控中心第十篇基于疾病流行期间发布的预防指南。　　私家车在日常预防流行疾病的过程中，无需消毒处理，处于空旷场所时，应做好通风换气。冬天开窗通风时，需注意车内外温差大而引起感冒。处于地下停车场等密闭环境，建</t>
  </si>
  <si>
    <t>2020/02/26 10:58:00</t>
  </si>
  <si>
    <t>冬天驾驶，车内玻璃起雾怎么办 ？这4种方法，让雾气消失不见天气也越来越冷了，早上在开车准备上班的时候都会发现自己的爱车玻璃上会被一些武器给遮挡住。这时候有些司机就会拿着抹布把它擦一下。但是擦过之后，不一会儿又起了一层。在你开着车的时候，也不能老是拿着抹布擦，这样也是很危险的。有的司机还会把自己的空调</t>
  </si>
  <si>
    <t>远离疫情 疾控中心提出私家车预防指南1月28日，中国疾控中心针对当下新型冠状病毒感染的肺炎疫情，发布了《私家车预防临时指南》，这也是疾控中心第十篇基于疾病流行期间发布的预防指南。　　私家车在日常预防流行疾病的过程中，无需消毒处理，处于空旷场所时，应做好通风换气。冬天开窗通风时，需注意车内外温差大而引</t>
  </si>
  <si>
    <t>冬天驾驶 车内玻璃起雾怎么办 ？冬天驾驶，车内玻璃起雾怎么办 ？这4种方法，让雾气消失不见天气也越来越冷了，早上在开车准备上班的时候都会发现自己的爱车玻璃上会被一些武器给遮挡住。这时候有些司机就会拿着抹布把它擦一下。但是擦过之后，不一会儿又起了一层。在你开着车的时候，也不能老是拿着抹布擦，这样也是很</t>
  </si>
  <si>
    <t>为助力取消省界收费站，实现全国“一张网”，新的复合通行卡CPC卡闪亮登场~CPC卡有何作用？对车主会带来什么影响？马上带大家了解下~CPC高速通行卡在全国省界收费站基本取消之前，CPC卡将取替原先的通行卡，正式在人工收费中“上岗”~概念及特点☞ CPC卡是一种复合通行卡，使用在非ETC车道中，在收费</t>
  </si>
  <si>
    <t>2020/02/26 10:57:00</t>
  </si>
  <si>
    <t>重要通知 21日起非ETC车上高速需领CPC卡为助力取消省界收费站，实现全国“一张网”，新的复合通行卡CPC卡闪亮登场~CPC卡有何作用？对车主会带来什么影响？马上带大家了解下~CPC高速通行卡在全国省界收费站基本取消之前，CPC卡将取替原先的通行卡，正式在人工收费中“上岗”~概念及特点☞ CPC卡</t>
  </si>
  <si>
    <t>近期江湖君关注到不少“驾照提高至18分”的消息，对此网友们热议纷纷，此消息究竟是真是假，到底如何执行？有无限制呢？今天江湖君整理出这些问题焦点，与大家分享。公安部日前印发了《接受交通安全教育减免道路交通安全违法行为记分工作规范（试行）》通知，规定“机动车驾驶人在本记分周期内分别参加道路交通安全法律、</t>
  </si>
  <si>
    <t>2020/02/26 10:56:00</t>
  </si>
  <si>
    <t>几天后 了解下你的18分驾照？近期江湖君关注到不少“驾照提高至18分”的消息，对此网友们热议纷纷，此消息究竟是真是假，到底如何执行？有无限制呢？今天江湖君整理出这些问题焦点，与大家分享。公安部日前印发了《接受交通安全教育减免道路交通安全违法行为记分工作规范（试行）》通知，规定“机动车驾驶人在本记分周</t>
  </si>
  <si>
    <t>疫情当前，保时捷中国捐款500万元，为一线医务人员、志愿者及其家属提供援助。保时捷中国对经销商取消一季度销售业绩考核，减负经销商，同时在道路救援、空调滤芯更换、上门取车服务和配件紧急订单等方面提供支持。同时，保时捷经销商也在国内开启便利暖心服务，提供在线购车、用车无忧、救援守护并为车主提供防疫关怀套</t>
  </si>
  <si>
    <t>2020/02/26 10:55:00</t>
  </si>
  <si>
    <t>　　疫情当前，保时捷中国捐款500万元，为一线医务人员、志愿者及其家属提供援助。保时捷中国对经销商取消一季度销售业绩考核，减负经销商，同时在道路救援、空调滤芯更换、上门取车服务和配件紧急订单等方面提供支持。同时，保时捷经销商也在国内开启便利暖心服务，提供在线购车、用车无忧、救援守护并为车主提供防疫关</t>
  </si>
  <si>
    <t>新冠肺炎疫情防控已进入关键时期，每个人都在为这场没有硝烟的战争奉献自己的力量，作为豪华汽车品牌的英菲尼迪同样高度关注疫情发展态势，并推出多项措施全力抵抗疫情。    心连心 “菲”凡关怀温暖你我    作为一名企业公民，英菲尼迪坚持“以人为本”的理念，密切关注疫情发展，他们将始终与车主“战”在一起，</t>
  </si>
  <si>
    <t>2020/02/26 10:54:00</t>
  </si>
  <si>
    <t>近日，一则题为《驾驶证不再是12分，车辆不再“年检”……有车一族赶快了解！》的文章在网上被“疯狂转发”。南昌市交管部门相关负责人表示，文章不实，目前南昌市交管部门仍严格按照“满12分制”相关规定对机动车驾驶证进行记分管理。这篇网文称，公安部通知全国范围内提高驾驶证的分数，不再是原来的12分。车主可通</t>
  </si>
  <si>
    <t>　　新冠肺炎疫情防控已进入关键时期，每个人都在为这场没有硝烟的战争奉献自己的力量，作为豪华汽车品牌的英菲尼迪同样高度关注疫情发展态势，并推出多项措施全力抵抗疫情。　　  心连心 “菲”凡关怀温暖你我　　作为一名企业公民，英菲尼迪坚持“以人为本”的理念，密切关注疫情发展，他们将始终与车主“战”在一起，</t>
  </si>
  <si>
    <t>逯雨</t>
  </si>
  <si>
    <t>自3月1日起，广东佛山市消费者购买新车可直接获得政府2000元至5000元的资金补助。其他地区还会出台什么政策支持呢？(微信公号：CNWAUTO）受新型冠状病毒感染的肺炎疫情影响，我国汽车销量继1月同比下降21.5%之后，2月上半月跌幅进一步扩大至92%，为历史最大跌幅。目前，尽管除湖北省等疫情重灾</t>
  </si>
  <si>
    <t>12月1日起驾照不再是12分 车辆不再年检？近日，一则题为《驾驶证不再是12分，车辆不再“年检”……有车一族赶快了解！》的文章在网上被“疯狂转发”。南昌市交管部门相关负责人表示，文章不实，目前南昌市交管部门仍严格按照“满12分制”相关规定对机动车驾驶证进行记分管理。这篇网文称，公安部通知全国范围内提</t>
  </si>
  <si>
    <t>2月上半月车市跌幅超90%？莫慌，政策救市来了自3月1日起，广东佛山市消费者购买新车可直接获得政府2000元至5000元的资金补助。其他地区还会出台什么政策支持呢？(微信公号：CNWAUTO）受新型冠状病毒感染的肺炎疫情影响，我国汽车销量继1月同比下降21.5%之后，2月上半月跌幅进一步扩大至92%</t>
  </si>
  <si>
    <t>相信有不少车主在跑高速的时候遇到过大暴雨，暴雨夹着雾水，严重干扰到行车的视线。很多车主都有疑问，在高速上行车视线受阻，到底是应该打开双闪灯还是雾灯？交警再说一次，还不懂的车主赶紧收藏记住了。如果在高速上遇到特大暴雨，路上的雾气很大，是不建议开双闪灯的。因为雾太大，开着双闪灯，后车会分不清你是在行驶还</t>
  </si>
  <si>
    <t>2020/02/26 10:53:00</t>
  </si>
  <si>
    <t>一说起国产汽车，大家都会想到各种低劣的名词来形容它，除了性价比什么都没有，就喜欢抄袭豪车的设计……但是你们忘了红旗吗？其实早在1958年，我们就已经有属于自己的国产高端品牌了，它就是红旗汽车。自2017年8月，长安汽车与一汽的董事长互换，徐留平先生正式被命名为一汽集团的董事长以来，红旗汽车就有了很大</t>
  </si>
  <si>
    <t>销量暴增的背后红旗经历了什么？一说起国产汽车，大家都会想到各种低劣的名词来形容它，除了性价比什么都没有，就喜欢抄袭豪车的设计……但是你们忘了红旗吗？其实早在1958年，我们就已经有属于自己的国产高端品牌了，它就是红旗汽车。自2017年8月，长安汽车与一汽的董事长互换，徐留平先生正式被命名为一汽集团的</t>
  </si>
  <si>
    <t>高速上突然下暴雨 打开雾灯还是双闪？相信有不少车主在跑高速的时候遇到过大暴雨，暴雨夹着雾水，严重干扰到行车的视线。很多车主都有疑问，在高速上行车视线受阻，到底是应该打开双闪灯还是雾灯？交警再说一次，还不懂的车主赶紧收藏记住了。如果在高速上遇到特大暴雨，路上的雾气很大，是不建议开双闪灯的。因为雾太大，</t>
  </si>
  <si>
    <t>导读：这期内容我讲新车记录仪，可能对于很多了买了行车记录的老司机，觉得这么简单的话题还需要讲吗？行车记录仪就是一个录像工具，可以录像不就好了吗？所以，再发生交通事故时，部分司机由于购买行车记录仪不合标准，导致影像流失，视频映像模糊，或者说画面取景不够，导致重要的事故细节没有拍摄进去，从而因小失大，非</t>
  </si>
  <si>
    <t>2020/02/26 10:52:00</t>
  </si>
  <si>
    <t>修补过的轮胎有没有必要更换？说真的，轻微的损失是无关紧要的，可以不换。但修补过的轮胎到底需不需要更换，什么情况下一定需要更换？如何界定？胎面的损伤视情况不同而确定要不要换轮胎，损伤严重的没必要修补，直接换掉。要是损伤很轻的，只要简单修补一下就可以继续使用了。下面就介绍2种可以修补的情况：1、胎面插钉</t>
  </si>
  <si>
    <t>　　尽管suv凭借较为全面的素质，获得了国内消费者的热捧，但是相较于轿车更高的车重，也使得它在燃油经济性上并不占优，不过好在随着新能源车型的发展，越来越多的混动suv车型开始争相面世，尤其是采用了轻混动力的本田cr-v混动，以及丰田荣放双擎版本，可谓是同级中的佼佼者。　　它们作为日系混动的代表，都有</t>
  </si>
  <si>
    <t>徐文涛1</t>
  </si>
  <si>
    <t>不注意这些 装了行车记录仪也会失效导读：这期内容我讲新车记录仪，可能对于很多了买了行车记录的老司机，觉得这么简单的话题还需要讲吗？行车记录仪就是一个录像工具，可以录像不就好了吗？所以，再发生交通事故时，部分司机由于购买行车记录仪不合标准，导致影像流失，视频映像模糊，或者说画面取景不够，导致重要的事故</t>
  </si>
  <si>
    <t>轮胎什么情况下一定需要更换？修补过的轮胎有没有必要更换？说真的，轻微的损失是无关紧要的，可以不换。但修补过的轮胎到底需不需要更换，什么情况下一定需要更换？如何界定？胎面的损伤视情况不同而确定要不要换轮胎，损伤严重的没必要修补，直接换掉。要是损伤很轻的，只要简单修补一下就可以继续使用了。下面就介绍2种</t>
  </si>
  <si>
    <t>投诉编号：【448792】  投诉时间： 2020-02-26 10:50  投诉品牌： 东风标致  投诉车系： 标致3008  投诉车型： 2014款 1.6THP 自动逐乐版        投诉内容  东风标致3008车辆停放十天发动机无法启动，过年车没开停在楼下10天左右，发动不了，拖到4S店</t>
  </si>
  <si>
    <t>2020/02/26 10:50:00</t>
  </si>
  <si>
    <t>　　前不久，雪佛兰旗下首款纯电动车型畅巡正式上市，新车共推出4款车型，补贴后售价为15.99-17.99万元。动力上，畅巡的nedc纯电巡航里程410km，快充模式下，40分钟可将电量充至80%，除此之外，我们在新车的配置表上也看到了很多主流配置，作为雪佛兰的首款纯电动车型，上汽通用也拿出了足够的诚</t>
  </si>
  <si>
    <t>陈洲cc</t>
  </si>
  <si>
    <t>挡风玻璃很容易被路上的小石子砸中，这些小洞洞虽然没什么大碍但是看着丑陋，要是没有去交玻璃险的小伙伴，要是去4S店更换一块挡风玻璃起码500元，但是只需要用三至四十元就能得到玻璃修补套装了，可以自己将玻璃修好的。1、买来酒精和玻璃清洗剂清洗破损的位置，然后挑出碎玻璃渣，总之就是让裂缝与小洞尽可能平整。</t>
  </si>
  <si>
    <t>2020/02/26 10:48:00</t>
  </si>
  <si>
    <t>高速上汽车挡风玻璃被石头砸了个洞 其实30元就可以修复挡风玻璃很容易被路上的小石子砸中，这些小洞洞虽然没什么大碍但是看着丑陋，要是没有去交玻璃险的小伙伴，要是去4S店更换一块挡风玻璃起码500元，但是只需要用三至四十元就能得到玻璃修补套装了，可以自己将玻璃修好的。1、买来酒精和玻璃清洗剂清洗破损的位</t>
  </si>
  <si>
    <t>近日，据国外媒体报道，大众arteon r是大众r计划推出的一款中型轿车，也是大众开发的最后一批燃油车之一。    新车最大的亮点就是其猎装的造型，其车身十分修长，车顶的线条略向下倾斜，同时后窗倾斜角度更大，在视觉上更加低矮。此外，新车的离地间隙有所提高，并且轮拱和侧裙更加宽大。车尾部分，新车尾灯组</t>
  </si>
  <si>
    <t>2020/02/26 10:47:00</t>
  </si>
  <si>
    <t>　　近日，据国外媒体报道，大众arteon r是大众r计划推出的一款中型轿车，也是大众开发的最后一批燃油车之一。　　新车最大的亮点就是其猎装的造型，其车身十分修长，车顶的线条略向下倾斜，同时后窗倾斜角度更大，在视觉上更加低矮。此外，新车的离地间隙有所提高，并且轮拱和侧裙更加宽大。车尾部分，新车尾灯组</t>
  </si>
  <si>
    <t>近日，据国外媒体报道，福特野马mach 1谍照曝光，从照片看，虽然伪装很厚，但新车似乎有个全新的前保险杠。外观方面，新车从各个角度看都很像gt，但前筋膜更接近于gt350。并使用了野马布利特同款高地绿色外墙涂料和少量的铬饰面。据报道，布利特也将在2020年后停产。    动力方面，mach 1会采用</t>
  </si>
  <si>
    <t>2020/02/26 10:46:00</t>
  </si>
  <si>
    <t>　　近日，据国外媒体报道，福特野马mach 1谍照曝光，从照片看，虽然伪装很厚，但新车似乎有个全新的前保险杠。外观方面，新车从各个角度看都很像gt，但前筋膜更接近于gt350。并使用了野马布利特同款高地绿色外墙涂料和少量的铬饰面。据报道，布利特也将在2020年后停产。　　动力方面，mach 1会采用</t>
  </si>
  <si>
    <t>2月25日，工业和信息化部印发《关于有序推动工业通信业企业复工复产的指导意见》，其中提及积极稳定汽车等传统大宗消费，鼓励汽车限购地区适当增加汽车号牌配额，带动汽车及相关产品消费。    以下是《关于有序推动工业通信业企业复工复产的指导意见》全文：    各省、自治区、直辖市及计划单列市、新疆生产建设</t>
  </si>
  <si>
    <t>2020/02/26 10:43:00</t>
  </si>
  <si>
    <t>　　2月25日，工业和信息化部印发《关于有序推动工业通信业企业复工复产的指导意见》，其中提及积极稳定汽车等传统大宗消费，鼓励汽车限购地区适当增加汽车号牌配额，带动汽车及相关产品消费。　　以下是《关于有序推动工业通信业企业复工复产的指导意见》全文：　　各省、自治区、直辖市及计划单列市、新疆生产建设兵团</t>
  </si>
  <si>
    <t>2月25日，我们从北京市小客车指标调控管理办公室获悉，根据当前疫情防控形势和企业复工复产情况，经市政府同意，决定继续延长部分小客车指标的使用期限，具体通告如下：    小客车指标有效期截止日在2020年1月24日至本市解除重大突发公共卫生事件响应之日后60日的指标持有人，可于解除之日后120日内办理</t>
  </si>
  <si>
    <t>2020/02/26 10:42:00</t>
  </si>
  <si>
    <t>　　2月25日，我们从北京市小客车指标调控管理办公室获悉，根据当前疫情防控形势和企业复工复产情况，经市政府同意，决定继续延长部分小客车指标的使用期限，具体通告如下：　　小客车指标有效期截止日在2020年1月24日至本市解除重大突发公共卫生事件响应之日后60日的指标持有人，可于解除之日后120日内办理</t>
  </si>
  <si>
    <t>2月25日，我们从吉利汽车官方获悉，全球知名认证机构“德国莱茵tüv集团”将全球首张001号整车级固体颗粒物/气溶胶过滤防护china-mark（中国标识）认证颁给吉利汽车。    据了解，此次认证包括通风系统过滤材料的kn95级过滤效率验证，空调过滤器过滤效率≥95%验证，空调通风系统对开关门或抽</t>
  </si>
  <si>
    <t>2020/02/26 10:41:00</t>
  </si>
  <si>
    <t>　　2月25日，我们从吉利汽车官方获悉，全球知名认证机构“德国莱茵tüv集团”将全球首张001号整车级固体颗粒物/气溶胶过滤防护china-mark（中国标识）认证颁给吉利汽车。　　据了解，此次认证包括通风系统过滤材料的kn95级过滤效率验证，空调过滤器过滤效率≥95%验证，空调通风系统对开关门或抽</t>
  </si>
  <si>
    <t>投诉编号：【448789】投诉时间：2020-02-2610:40投诉品牌：东风乘用车投诉车系：奕炫投诉车型：2020款200T手动炫悦版投诉内容我是贷款购车，当时交了订金，因为征信没有通过，4S店也不退还订金，要求厂家解决好车辆的问题。投诉回复车质网已将您的投诉转给生产企业以及国家市场监督管理总局</t>
  </si>
  <si>
    <t>2020/02/26 10:40:00</t>
  </si>
  <si>
    <t>投诉编号：【448790】  投诉时间： 2020-02-26 10:40  投诉品牌： 一汽-大众  投诉车系： 迈腾  投诉车型： 2018款 330TSI DSG 豪华型        投诉内容  一汽大众迈腾发动机启动后哒哒异响不断，4s检测后说高压油泵问题。怕己对发动机造成影响。要求厂家解</t>
  </si>
  <si>
    <t>　　我们从中国汽车流通协会获悉，中国汽车流通协会按经销商复工调研的范围和样本，对会员单位及相关企业进行了经销商节后复工情况当日调研，涵盖了北京、上海、天津、重庆、河北、内蒙古、辽宁、山东、山西、陕西、河南、安徽、湖南、江苏、浙江、江西、四川、贵州、福建、广东等省区市的82家汽车经销商集团，涉及4S店</t>
  </si>
  <si>
    <t>2020/02/26 10:39:00</t>
  </si>
  <si>
    <t>投诉编号：【448788】  投诉时间： 2020-02-26 10:38  投诉品牌： 东风雪铁龙  投诉车系： 雪铁龙C4L  投诉车型： 2013款 1.8L 自动 劲享版        投诉内容  严重烧机油，冬季发动机缺缸，尾气排放验车不合格，行驶三千公要补加三升机油！唐山地区庞大坑蒙拐骗</t>
  </si>
  <si>
    <t>2020/02/26 10:38:00</t>
  </si>
  <si>
    <t>日前，有媒体报道称，吉利汽车计划投资3亿美元入股蔚来，并指出按照蔚来汽车刚刚在一级市场进行的可转债3.07美元核算，吉利此轮投资后，将占到蔚来汽车10%不到的股份，而入股后现有股东占股摊薄，吉利有望成为蔚来汽车第三大股东。    蔚来创始人、董事长、ceo李斌否认了这一传闻，但他表示，从另一方面来看</t>
  </si>
  <si>
    <t>　　日前，有媒体报道称，吉利汽车计划投资3亿美元入股蔚来，并指出按照蔚来汽车刚刚在一级市场进行的可转债3.07美元核算，吉利此轮投资后，将占到蔚来汽车10%不到的股份，而入股后现有股东占股摊薄，吉利有望成为蔚来汽车第三大股东。　　蔚来创始人、董事长、ceo李斌否认了这一传闻，但他表示，从另一方面来看</t>
  </si>
  <si>
    <t>据欧洲汽车新闻网报道，由于新型冠状病毒疫情的影响，雷诺和标致雪铁龙（psa）已将其在中国工厂的生产活动暂停至3月12日左右。    标致雪铁龙发言人表示，何时恢复生产在华工厂生产取决于中国政府的要求。目前，标致雪铁龙与东风汽车在武汉的合资工厂暂定于3月12日恢复生产。今年1月，该集团已经撤走了在武汉</t>
  </si>
  <si>
    <t>2020/02/26 10:37:00</t>
  </si>
  <si>
    <t>　　据欧洲汽车新闻网报道，由于新型冠状病毒疫情的影响，雷诺和标致雪铁龙（psa）已将其在中国工厂的生产活动暂停至3月12日左右。　　标致雪铁龙发言人表示，何时恢复生产在华工厂生产取决于中国政府的要求。目前，标致雪铁龙与东风汽车在武汉的合资工厂暂定于3月12日恢复生产。今年1月，该集团已经撤走了在武汉</t>
  </si>
  <si>
    <t>据英国《金融时报》报道，大众汽车集团首席执行官赫伯特.迪斯（herbert diess）表示，该公司将设立新职位，聘请一位年轻的“激进”气候变化运动人士挑战该公司的环境政策。他承认，这家全球最大的汽车制造商在推出电动汽车方面进展太慢。    “我正在寻求聘用一位环境运动活动人士。我们有很多想法，但在</t>
  </si>
  <si>
    <t>2020/02/26 10:36:00</t>
  </si>
  <si>
    <t>　　据英国《金融时报》报道，大众汽车集团首席执行官赫伯特.迪斯（herbert diess）表示，该公司将设立新职位，聘请一位年轻的“激进”气候变化运动人士挑战该公司的环境政策。他承认，这家全球最大的汽车制造商在推出电动汽车方面进展太慢。　　“我正在寻求聘用一位环境运动活动人士。我们有很多想法，但在</t>
  </si>
  <si>
    <t>投诉编号：【448786】  投诉时间： 2020-02-26 10:33  投诉品牌： 一汽-大众奥迪  投诉车系： 奥迪A4L  投诉车型： 2017款 2.0T 双离合 风尚型        投诉内容  质保专员于2019年12月份电话通知我去店内做全车质保检查，因为车开着没什么异常，又是年底</t>
  </si>
  <si>
    <t>2020/02/26 10:33:00</t>
  </si>
  <si>
    <t>　　近日，美国初创电动车企lucid motors宣布，来自韩国的电池供应商lg化学将成为其长期合作伙伴，并为lucid motors的首款量产车型lucid air标准版车型提供电池。『lucid air官图』　　lucid motors对外宣称，lg化学之所以能够“雀屏中选”成为其供应商，主要是</t>
  </si>
  <si>
    <t>近日，美国初创电动车企lucid motors宣布，来自韩国的电池供应商lg化学将成为其长期合作伙伴，并为lucid motors的首款量产车型lucid air标准版车型提供电池。『lucid air官图』    lucid motors对外宣称，lg化学之所以能够“雀屏中选”成为其供应商，主要是</t>
  </si>
  <si>
    <t>投诉编号：【448787】  投诉时间： 2020-02-26 10:33  投诉品牌： 东风日产  投诉车系： 天籁  投诉车型： 2019款 2.0L XL 舒适版        投诉内容  方向打满右前轮异响挂R挡缓抬制动踏板有咯噔咯噔异响，转速1100左右车内有嗡嗡共振，车机屏幕死机无显示倒</t>
  </si>
  <si>
    <t>　　据亿欧汽车报道，2020年上半年和下半年，戴姆勒或将分别在华裁员4%，其中包括北京奔驰近百位外籍专家。同时，北京奔驰还将改变“一岗两人”的惯例，减少外派中国的德国员工。　　近日，有知情人士向媒体表示，在中国市场上，外籍员工的成本高于中方员工近7-8倍，算上工资及各种补助，奔驰每年为一名外派中国市</t>
  </si>
  <si>
    <t>2020/02/26 10:31:00</t>
  </si>
  <si>
    <t>据亿欧汽车报道，2020年上半年和下半年，戴姆勒或将分别在华裁员4%，其中包括北京奔驰近百位外籍专家。同时，北京奔驰还将改变“一岗两人”的惯例，减少外派中国的德国员工。    近日，有知情人士向媒体表示，在中国市场上，外籍员工的成本高于中方员工近7-8倍，算上工资及各种补助，奔驰每年为一名外派中国市</t>
  </si>
  <si>
    <t>　　2月25日，作为上汽通用五菱布局海外的全球化战略车型，首批478辆宝骏530将悬挂雪佛兰品牌logo正式发往中东市场。　　在国内汽车市场受疫情影响的情况下，上汽通用五菱快速调整生产计划，克服物料、人员、疫情等影响复工复产；从2月17日宝骏基地复工，到2月25日宝骏530订单交付，仅用时9天。　　</t>
  </si>
  <si>
    <t>2020/02/26 10:30:00</t>
  </si>
  <si>
    <t xml:space="preserve">2月25日，作为上汽通用五菱布局海外的全球化战略车型，首批478辆宝骏530将悬挂雪佛兰品牌logo正式发往中东市场。    在国内汽车市场受疫情影响的情况下，上汽通用五菱快速调整生产计划，克服物料、人员、疫情等影响复工复产；从2月17日宝骏基地复工，到2月25日宝骏530订单交付，仅用时9天。  </t>
  </si>
  <si>
    <t>投诉编号：【448785】  投诉时间： 2020-02-26 10:28  投诉品牌： 北京现代  投诉车系： 领动  投诉车型： 2016款 1.6L 自动 智炫·精英型        投诉内容  2019年7月份首次发现问题去4S店检查，他们推断是车辆电瓶愿意。测量电瓶后发现电瓶亏电要求我把车</t>
  </si>
  <si>
    <t>2020/02/26 10:28:00</t>
  </si>
  <si>
    <t>　　2月24日，保时捷官方宣布，于德国东部莱比锡建立的超级充电站正式落成，其更被称为欧洲最大规模的“汽车充电公园”。这座超级充电站总容量为7000kw，将采用100%可再生能源发电。　　该充电站包括了18个350kw的充电桩，其中6个专供保时捷车型使用，另外12个可供其它品牌电动车使用。此外，保时捷</t>
  </si>
  <si>
    <t>朱峰-行业频道</t>
  </si>
  <si>
    <t>2月24日，保时捷官方宣布，于德国东部莱比锡建立的超级充电站正式落成，其更被称为欧洲最大规模的“汽车充电公园”。这座超级充电站总容量为7000kw，将采用100%可再生能源发电。    该充电站包括了18个350kw的充电桩，其中6个专供保时捷车型使用，另外12个可供其它品牌电动车使用。此外，保时捷</t>
  </si>
  <si>
    <t>2月25日上午，蔚来汽车与合肥市签署合作框架协议，蔚来中国总部项目将落户合肥。安徽省及合肥市领导均出席签约现场，蔚来汽车中国总部项目投资额预计将超过百亿元。同时，江淮蔚来ec6量产项目也同步启动。    相关消息表示，蔚来汽车将建立研发、销售、生产基地，打造以合肥为中心的中国总部运营体系。项目计划融</t>
  </si>
  <si>
    <t>2020/02/26 10:27:00</t>
  </si>
  <si>
    <t>　　2月25日上午，蔚来汽车与合肥市签署合作框架协议，蔚来中国总部项目将落户合肥。安徽省及合肥市领导均出席签约现场，蔚来汽车中国总部项目投资额预计将超过百亿元。同时，江淮蔚来ec6量产项目也同步启动。　　相关消息表示，蔚来汽车将建立研发、销售、生产基地，打造以合肥为中心的中国总部运营体系。项目计划融</t>
  </si>
  <si>
    <t>2月25日，工业和信息化部印发《关于有序推动工业通信业企业复工复产的指导意见》（简称《指导意见》），《指导意见》提出，各地要积极稳定汽车等传统大宗消费，鼓励汽车限购地区适当增加汽车号牌配额，带动汽车及相关产品消费。    此外，工信部强调，要优先支持包括汽车、锂离子电池等产业以及制造业单项冠军企业，</t>
  </si>
  <si>
    <t>2020/02/26 10:26:00</t>
  </si>
  <si>
    <t>　　2月25日，工业和信息化部印发《关于有序推动工业通信业企业复工复产的指导意见》（简称《指导意见》），《指导意见》提出，各地要积极稳定汽车等传统大宗消费，鼓励汽车限购地区适当增加汽车号牌配额，带动汽车及相关产品消费。　　此外，工信部强调，要优先支持包括汽车、锂离子电池等产业以及制造业单项冠军企业，</t>
  </si>
  <si>
    <t>“嗨，大家好，我是icon，就是来自未来最科技的那个仔。”推迟十天之后，2月24日，吉利icon姗姗来迟，这次它化身“主持人”，为自己的上市“吆喝”，并“扬言”要带大家去看未来世界。吉利icon是2020年行业首款线上上市的全新车型，也是首款采用5g直播上市的新车。智能、科技、5g……这是一场关于未</t>
  </si>
  <si>
    <t>2020/02/26 10:25:00</t>
  </si>
  <si>
    <t>　　“嗨，大家好，我是icon，就是来自未来最科技的那个仔。”推迟十天之后，2月24日，吉利icon姗姗来迟，这次它化身“主持人”，为自己的上市“吆喝”，并“扬言”要带大家去看未来世界。吉利icon是2020年行业首款线上上市的全新车型，也是首款采用5g直播上市的新车。智能、科技、5g……这是一场关</t>
  </si>
  <si>
    <t>章涟漪</t>
  </si>
  <si>
    <t>遇见只是一个开始 往后一起风雨同行车子用了一年多了，主要是上下班通勤的代步工具。先说说整体感受吧，动力比较强，启动的时候非常有力，速度过了20还能明显感觉动力强劲，爬坡什么的也不费力。如果起步时候给油的话，反应速度也是很快的。超车S档，还有明显推背感，偶尔爽一爽哈哈。方向盘电子助力，非常轻，速度超过</t>
  </si>
  <si>
    <t>新三秋树</t>
  </si>
  <si>
    <t>2020/02/26 10:23:00</t>
  </si>
  <si>
    <t>水泡车的危害有多大 告诉如鉴别水泡车在准备买二手车的时候，都担心就是怕买水泡车，其中的危害到底有多大呢？为什么都会避之不及呢？什么样的车又是水泡车呢？水泡车顾名思义就是指被水泡过的车，具体可指由于暴雨的原因，部分停在地下车库及低洼地的车辆未能及时被车主转移走，而被积水长时间浸泡的汽车。车子泡水以后，</t>
  </si>
  <si>
    <t>辽宁中车检</t>
  </si>
  <si>
    <t>近日，埃克森美孚及其经销商投资公司孚筱、腾讯、途虎共同组建合资公司——上海孚创实业发展有限公司（简称“孚创”）。孚创为汽车养护服务商，旨在通过互联网线上平台，为终端消费者提供后市场汽车养护服务。    上海孚创实业发展有限公司于2020年1月在上海自贸区正式注册成立，注册资金13.5亿元，将于202</t>
  </si>
  <si>
    <t>　　近日，埃克森美孚及其经销商投资公司孚筱、腾讯、途虎共同组建合资公司――上海孚创实业发展有限公司（简称“孚创”）。孚创为汽车养护服务商，旨在通过互联网线上平台，为终端消费者提供后市场汽车养护服务。　　上海孚创实业发展有限公司于2020年1月在上海自贸区正式注册成立，注册资金13.5亿元，将于202</t>
  </si>
  <si>
    <t>　　以往丰田旗下的产品都会给我们一种耐用、好开但造型中庸的印象，而随着其tnga架构的发布，这一切也在悄然的发生变化。奕泽izoa（下文简称奕泽）就是丰田基于tnga架构打造的一款小型suv，它与同样热门的丰田c-hr互为姊妹车型，二者在外观、内饰上都有着较高的相似度，但不变的是它们都采用了十分前卫</t>
  </si>
  <si>
    <t>刘东</t>
  </si>
  <si>
    <t>　　极光刚问世的时候，大家都惊叹：路虎这是把概念车直接量产了啊，这车也太漂亮了！不过当年进口车的身份以及高企的售价(60多万可能还需要加价)让很多朋友对它望而却步。时过境迁，现在的极光不仅国产了，最低配的指导价也只需要35.58万(还有不小的优惠)，那么这台我们俗称的“丐版”车型究竟值得买吗？来看吧</t>
  </si>
  <si>
    <t>洪冰清</t>
  </si>
  <si>
    <t>2020/02/26 10:21:00</t>
  </si>
  <si>
    <t>北京现代领动一挡升二挡时变速箱有异响，变速箱在2000公里的时候出现响动，有时候卡擦一声，有时候嘶叫。去4s店检测没检测出问题。</t>
  </si>
  <si>
    <t>中国移动</t>
  </si>
  <si>
    <t>2020/02/26 10:19:00</t>
  </si>
  <si>
    <t>一挡升二挡时变速箱有异响领动的质量不行北京现代领动一挡升二挡时变速箱有异响，变速箱在2000公里的时候出现响动，有时候卡擦一声，有时候嘶叫。去4s店检测没检测出问题。</t>
  </si>
  <si>
    <t>　　提到旅行车，相信有很多人感到既熟悉又陌生。熟悉在于，大家脑海里都能有旅行车的大致样子，但想想，仿佛又想不到几款市场上在售的车型。有些听说过的进口性能车吧，贵，跟咱老百姓的日常生活实在有些距离。那么今天，咱们就来聊聊价格比较亲民、15万元能全部拿下，还有折扣的旅行车，在家来一次“亲民的旅行”。　　</t>
  </si>
  <si>
    <t>徐澄</t>
  </si>
  <si>
    <t>朗逸发动机运转时有异响质量也没谁了落地15万的新车还没有过质保期，一踩油门发动机就滋滋滋异响，去4S店多次，说都是这样通病，不给修且态度恶劣，请给我一个说法：是不是事故车，不行给我换车也行，我要一个说法！</t>
  </si>
  <si>
    <t>蜻蜓点水</t>
  </si>
  <si>
    <t>2020/02/26 10:18:00</t>
  </si>
  <si>
    <t>落地15万的新车还没有过质保期，一踩油门发动机就滋滋滋异响，去4S店多次，说都是这样通病，不给修且态度恶劣，请给我一个说法：是不是事故车，不行给我换车也行，我要一个说法！</t>
  </si>
  <si>
    <t>斯柯达柯迪亚克启动后变速箱无法挂入倒挡，车辆启动时，无法挂入倒挡。要求厂家尽快解决好车辆的问题。</t>
  </si>
  <si>
    <t>马踏飞雁</t>
  </si>
  <si>
    <t>柯迪亚克无法挂入倒挡变速箱质量不行呀斯柯达柯迪亚克启动后变速箱无法挂入倒挡，车辆启动时，无法挂入倒挡。要求厂家尽快解决好车辆的问题。</t>
  </si>
  <si>
    <t>上汽名爵HS行驶过程中变速箱有严重异响，新车才2000多公里发动机舱就开始出现叮叮叮铁链般的声音，严重影响驾驶体验，严重质量问题。</t>
  </si>
  <si>
    <t>烽火狼烟</t>
  </si>
  <si>
    <t>2020/02/26 10:17:00</t>
  </si>
  <si>
    <t>名爵HS变速箱有严重的异响质量差上汽名爵HS行驶过程中变速箱有严重异响，新车才2000多公里发动机舱就开始出现叮叮叮铁链般的声音，严重影响驾驶体验，严重质量问题。</t>
  </si>
  <si>
    <t>1:油表显示失灵的问题、2019年9月，车里还有半箱油，车打着后，油表显示一点油都没有了，便去加油站加油，加了200元，油箱就满了，但是油表显示仍没有一点油，后经4S店多次拆装油泵，后正常。2:天窗异响的问题，9月下旬，出现了天窗异响，蹦……蹦……蹦的声音，经过4S店处理，异响消失。3:中控台异响，</t>
  </si>
  <si>
    <t>九阳真经</t>
  </si>
  <si>
    <t>2020/02/26 10:16:00</t>
  </si>
  <si>
    <t>车内异响帕萨特碰撞测试A柱断裂1:油表显示失灵的问题、2019年9月，车里还有半箱油，车打着后，油表显示一点油都没有了，便去加油站加油，加了200元，油箱就满了，但是油表显示仍没有一点油，后经4S店多次拆装油泵，后正常。2:天窗异响的问题，9月下旬，出现了天窗异响，蹦……蹦……蹦的声音，经过4S店处</t>
  </si>
  <si>
    <t>买车一年多，四车门，脚踏板，前引擎盖，后备箱开始有生锈鼓漆现象，后来重新喷了漆，并且高速或者大风情况下汽车呜呜的异响，在18年十月份左右发现天窗四周也开始生锈，当时在外地也没多想，没在意，就在今日19年2月17日，打开天窗再关闭时发现关不上了，我查看车顶时才发现天窗附近的胶条已经脱落，并且天窗周围的</t>
  </si>
  <si>
    <t>天玄地黄</t>
  </si>
  <si>
    <t>2020/02/26 10:15:00</t>
  </si>
  <si>
    <t>众泰控股集团有限公司生产的轿车存在严重质量问题，在保期内出现的减震器、转向机、电子转向助力泵故障，本人在保期内进众泰售后维修站，都是自花现金维修解决，质保期内车辆质量问题导致的维修4S店不予索赔，向厂家反应也不解决，望给予消费者解决。</t>
  </si>
  <si>
    <t>群雄逐鹿</t>
  </si>
  <si>
    <t>S6天窗生锈腐烂胶条脱落买车一年多，四车门，脚踏板，前引擎盖，后备箱开始有生锈鼓漆现象，后来重新喷了漆，并且高速或者大风情况下汽车呜呜的异响，在18年十月份左右发现天窗四周也开始生锈，当时在外地也没多想，没在意，就在今日19年2月17日，打开天窗再关闭时发现关不上了，我查看车顶时才发现天窗附近的胶条</t>
  </si>
  <si>
    <t>Z500质保期内出现很多的质量问题众泰控股集团有限公司生产的轿车存在严重质量问题，在保期内出现的减震器、转向机、电子转向助力泵故障，本人在保期内进众泰售后维修站，都是自花现金维修解决，质保期内车辆质量问题导致的维修4S店不予索赔，向厂家反应也不解决，望给予消费者解决。</t>
  </si>
  <si>
    <t>东风本田思域曲轴后油封漏油，不知道是什么情况？开车很仔细，定期保养！没有任何暴力驾驶！就保养的时候突然发现渗油！请尽快处理！给一个满意的答复。</t>
  </si>
  <si>
    <t>华为手机</t>
  </si>
  <si>
    <t>2020/02/26 10:14:00</t>
  </si>
  <si>
    <t>2020年2月10日，比亚迪汽车工业有限公司变更了许可经营项目，在新的备案中增加了：成品油销售（含润滑油、柴油、汽油等）；消毒液的研发、生产和销售；医疗器械，医疗安全系列产品，工业防护用品，劳动防护用品等研发、生产、销售，以上产品的维修服务。    10秒钟读懂全文    ① 比亚迪13天组装消毒凝</t>
  </si>
  <si>
    <t>　　2020年2月10日，比亚迪汽车工业有限公司变更了许可经营项目，在新的备案中增加了：成品油销售（含润滑油、柴油、汽油等）；消毒液的研发、生产和销售；医疗器械，医疗安全系列产品，工业防护用品，劳动防护用品等研发、生产、销售，以上产品的维修服务。　　 10秒钟读懂全文    ① 比亚迪13天组装消毒</t>
  </si>
  <si>
    <t>郭枫</t>
  </si>
  <si>
    <t>思域曲轴后油封漏油严重东风本田思域曲轴后油封漏油，不知道是什么情况？开车很仔细，定期保养！没有任何暴力驾驶！就保养的时候突然发现渗油！请尽快处理！给一个满意的答复。</t>
  </si>
  <si>
    <t>投诉编号：【448782】投诉时间：2020-02-2610:13投诉品牌：一汽丰田投诉车系：威驰投诉车型：2017款1.5LCVT创行版投诉内容一汽丰田威驰向右打方向盘时右前轮有异响，新车行驶25000公里（大概出现问题时间2019-6-10）时出现左转向时右前轮处有明显异响，已经严重影响到正常使</t>
  </si>
  <si>
    <t>2020/02/26 10:13:00</t>
  </si>
  <si>
    <t>一汽马自达CX-4中控显示屏故障无法正常使用，中控显示屏乱跳，无法操作所有功能，要求厂家解决。</t>
  </si>
  <si>
    <t>京畿坦途</t>
  </si>
  <si>
    <t>奇瑞艾瑞泽5车门把手无故损坏要求处理，本周休息四天，第五天上班把手自己坏了，要求厂家解决好车辆的问题。</t>
  </si>
  <si>
    <t>楚河汉界</t>
  </si>
  <si>
    <t>艾瑞泽5车门把手无故损坏奇瑞艾瑞泽5车门把手无故损坏要求处理，本周休息四天，第五天上班把手自己坏了，要求厂家解决好车辆的问题。</t>
  </si>
  <si>
    <t>CX-4中控显示屏出现了故障一汽马自达CX-4中控显示屏故障无法正常使用，中控显示屏乱跳，无法操作所有功能，要求厂家解决。</t>
  </si>
  <si>
    <t>投诉编号：【448781】投诉时间：2020-02-2610:13投诉品牌：一汽马自达投诉车系：马自达CX-4投诉车型：2018款2.0L自动两驱蓝天活力版国VI投诉内容一直在4s店做保养，多次出现防侧滑和ABS故障灯亮，一旦出现，踩油门车无法加速，失去动力整个车还会剧烈的抖动，官方给出的解决办法就</t>
  </si>
  <si>
    <t>什么车是环保的？纯电动车吗？在polestar极星全球ceo thomas ingenlath眼里，仅仅是纯电动车或许还不能代表环保。2020年2月25日，polestar极星展示了一款概念车——precept，就像thomas ingenlath所言，该品牌的未来该走向什么方向？在polestar</t>
  </si>
  <si>
    <t>2020/02/26 10:12:00</t>
  </si>
  <si>
    <t>投诉编号：【448780】  投诉时间： 2020-02-26 10:12  投诉品牌： 众泰汽车  投诉车系： 众泰T600 Coupe  投诉车型： 2017款 1.8T 自动 尊贵型        投诉内容  方向盘跑偏右打跑偏严重，方向盘不回位，卡顿 ，问题存在严重，去4S店检查说是方向机底</t>
  </si>
  <si>
    <t>　　什么车是环保的？纯电动车吗？在polestar极星全球ceo thomas ingenlath眼里，仅仅是纯电动车或许还不能代表环保。2020年2月25日，polestar极星展示了一款概念车――precept，就像thomas ingenlath所言，该品牌的未来该走向什么方向？在polest</t>
  </si>
  <si>
    <t>2月25日，滴滴出行官方发布公告，将在8个城市组建医护车队，免费接送成都、济南、台州、宝鸡、郑州、长沙、石家庄和合肥的定点医院医护人员，为坚守在一线的医务工作者提供出行保障。    此前，滴滴出行就已在武汉、北京、上海、厦门、宁波、南京6个城市组建医护车队，此次扩充后将有14个城市共计23680名医</t>
  </si>
  <si>
    <t>2020/02/26 10:10:00</t>
  </si>
  <si>
    <t>　　2月25日，滴滴出行官方发布公告，将在8个城市组建医护车队，免费接送成都、济南、台州、宝鸡、郑州、长沙、石家庄和合肥的定点医院医护人员，为坚守在一线的医务工作者提供出行保障。　　此前，滴滴出行就已在武汉、北京、上海、厦门、宁波、南京6个城市组建医护车队，此次扩充后将有14个城市共计23680名医</t>
  </si>
  <si>
    <t>投诉编号：【448779】  投诉时间： 2020-02-26 10:08  投诉品牌： 广汽丰田  投诉车系： 凯美瑞  投诉车型： 2019款 2.0G 豪华版 国VI        投诉内容  自购车起目前总共出现过2次行驶过程中导航无声。carlife音乐正常播放，carlife导航提示音正</t>
  </si>
  <si>
    <t>2020/02/26 10:08:00</t>
  </si>
  <si>
    <t xml:space="preserve">丰田雷凌虽没有卡罗拉“全球车”的美誉，但凭借低矮运动的造型、舒适的驾乘感受和完备的主被动安全配置，依然广受消费者的青睐。雷凌系列1月终端销量23,983辆，力压思域和雅阁，同比逆势大增11.5%，目前该车已连续5个月突破2万辆（2019年9月-2020年1月），成为合资紧凑型轿车市场爆款车型之一。 </t>
  </si>
  <si>
    <t>2020/02/26 10:07:00</t>
  </si>
  <si>
    <t>　　丰田雷凌虽没有卡罗拉“全球车”的美誉，但凭借低矮运动的造型、舒适的驾乘感受和完备的主被动安全配置，依然广受消费者的青睐。雷凌系列1月终端销量23,983辆，力压思域和雅阁，同比逆势大增11.5%，目前该车已连续5个月突破2万辆（2019年9月-2020年1月），成为合资紧凑型轿车市场爆款车型之一</t>
  </si>
  <si>
    <t>近日，我们从海外媒体分别获取到了2021新款福特f-150外观内饰以及f-150混合动力版路试谍照。新车外观内饰均有着较大的变化，但整体风格与现款一致。据悉，新车预计将在2020年纽约车展或底特律车展中亮相。    我们先来看看传统版本的f-150，通过谍照来看，我们能发现最明显的变化是大灯以及中网</t>
  </si>
  <si>
    <t>2020/02/26 10:05:00</t>
  </si>
  <si>
    <t>　　近日，我们从海外媒体分别获取到了2021新款福特f-150外观内饰以及f-150混合动力版路试谍照。新车外观内饰均有着较大的变化，但整体风格与现款一致。据悉，新车预计将在2020年纽约车展或底特律车展中亮相。　　我们先来看看传统版本的f-150，通过谍照来看，我们能发现最明显的变化是大灯以及中网</t>
  </si>
  <si>
    <t>投诉编号：【448778】  投诉时间： 2020-02-26 10:02  投诉品牌： 一汽-大众  投诉车系： 探岳  投诉车型： 2019款 330TSI 两驱 豪华型 国Ⅵ        投诉内容  一汽大众探岳后备箱漆面有瑕疵，像是有气泡似的，车辆出厂漆面就有问题，后备箱漆面有问题，提车时</t>
  </si>
  <si>
    <t>2020/02/26 10:02:00</t>
  </si>
  <si>
    <t>2月26日，江淮新能源第九代硬核技术、第四代产品的首款紧凑型纯电轿跑iC5正式开启预售！它由国际大师操刀设计，被誉为“大美纯电轿跑”；综合工况续航达530公里，比肩特斯拉；7.6秒加速破百，领先同类产品；移动防疫座舱360°健康呵护，蜂窝电池全方位安全防护，彰显江淮新能源“安全可靠，值得信赖”的品牌</t>
  </si>
  <si>
    <t>　　2月26日，江淮新能源第九代硬核技术、第四代产品的首款紧凑型纯电轿跑iC5正式开启预售！它由国际大师操刀设计，被誉为“大美纯电轿跑”；综合工况续航达530公里，比肩特斯拉；7.6秒加速破百，领先同类产品；移动防疫座舱360°健康呵护，蜂窝电池全方位安全防护，彰显江淮新能源“安全可靠，值得信赖”的</t>
  </si>
  <si>
    <t>　　近日，“恒大全国75折大促”成功出圈，6天内认购近7万套，点燃全民推介购房热情的同时亦赚足了眼球。有了此次成功的“云卖房”，恒大乃至其他房企或将祭出更多售房政策，没赶上这波福利的朋友可以再等等。然而，如果没赶上2月26日的北京市新能源小客车指标发放，可能还要再等9年才能拥有北京的新能源汽车指标，</t>
  </si>
  <si>
    <t>2020/02/26 10:01:00</t>
  </si>
  <si>
    <t>2020款新高尔夫来了近日，一汽大众正式宣布，全新的2020款高尔夫来了。作为一款大众的经典车型，高尔夫虽然销量不如朗逸、速腾等高，但是高尔夫是一台货真价实的全球车型，获得全球市场的认可，对于大众而言，高尔夫的定位要更高，更何况，高尔夫销量不佳，只是相对在中国市场，在全球市场它不愁卖，铁粉众多，尤其</t>
  </si>
  <si>
    <t>我在哪我是谁</t>
  </si>
  <si>
    <t>2020/02/26 10:00:00</t>
  </si>
  <si>
    <t>近日，一汽大众正式宣布，全新的2020款高尔夫来了。作为一款大众的经典车型，高尔夫虽然销量不如朗逸、速腾等高，但是高尔夫是一台货真价实的全球车型，获得全球市场的认可，对于大众而言，高尔夫的定位要更高，更何况，高尔夫销量不佳，只是相对在中国市场，在全球市场它不愁卖，铁粉众多，尤其是欧美粉丝。这一次，一</t>
  </si>
  <si>
    <t>　　年初一场突如其来的疫情，打乱了大家原本的生活节奏，使得很多既定的计划无法正常进行，许多厂商的新品发布会也由原本的线下专场转为线上直播。近日，吉利汽车旗下全新紧凑型suv-吉利icon正式上市，这也是2020年首款线上上市的全新车型，吉利icon一共推出了传统燃油动力和mhev轻混动力两个版本共计</t>
  </si>
  <si>
    <t>输出310马力 全新Cupra LEON官图发布日前，西雅特旗下高性能子品牌Cupra带来了全新Cupra LEON车型的官图，新车基于全新一代LEON打造，引入1.4T插混动力系统，并提供旅行版可选。新车外观改动明显，中网处的Cupra三角标取代了西耶特的品牌标识，更为立体化且造型更具辨识度的中网</t>
  </si>
  <si>
    <t>2020/02/26 09:59:00</t>
  </si>
  <si>
    <t>日前，西雅特旗下高性能子品牌Cupra带来了全新Cupra LEON车型的官图，新车基于全新一代LEON打造，引入1.4T插混动力系统，并提供旅行版可选。新车外观改动明显，中网处的Cupra三角标取代了西耶特的品牌标识，更为立体化且造型更具辨识度的中网搭配了带有类三角形日间行车灯的大灯组合，让新车的</t>
  </si>
  <si>
    <t>电动“Smart”的雏形？雷诺Twingo ZE纯电版发布近日，我们从外媒获取了一组雷诺Twingo ZE的官图，全新雷诺Twingo ZE将与雷诺旗下其他搭载“E-Tech”技术的混合动力车型一同亮相即将开幕的日内瓦车展。新车外观沿用了燃油版Twingo的造型设计，只是在细节部分用蓝色装饰点缀并证</t>
  </si>
  <si>
    <t>2020/02/26 09:58:00</t>
  </si>
  <si>
    <t>长城炮是长城旗下的一款中型皮卡，搭载2.0T发动机，并分为汽油版与柴油版两种，拥有比较稳定充沛的动力输出，官方售价区间为9.78-15.98万元，推出21种车型选择，下面就来看看这款车的表现。外观方面，长城炮车前格栅为梯形样式，并加入了镀铬饰条装饰，中间悬挂了其全新的品牌LOGO，样式十分独特。前包</t>
  </si>
  <si>
    <t>近日，我们从外媒获取了一组雷诺Twingo ZE的官图，全新雷诺Twingo ZE将与雷诺旗下其他搭载“E-Tech”技术的混合动力车型一同亮相即将开幕的日内瓦车展。新车外观沿用了燃油版Twingo的造型设计，只是在细节部分用蓝色装饰点缀并证明其纯电动的身份，新车定位于纯电动微型车，前脸雷诺家族式进</t>
  </si>
  <si>
    <t>根据此前奥迪2020年在华新车规划，原计划在4月份上市销售的中期改款a4l，受疫情影响或将推迟，预计在上半年完成上市。近日我们获得了一组奥迪国产中期改款a4l的实拍图，与现款车型相比，新车升级了奥迪轿车家族最新的设计语言，同时采用了两种外观套件，分为致雅型和动感型，进一步满足了不同消费者的购车需求。</t>
  </si>
  <si>
    <t>　　根据此前奥迪2020年在华新车规划，原计划在4月份上市销售的中期改款a4l，受疫情影响或将推迟，预计在上半年完成上市。近日我们获得了一组奥迪国产中期改款a4l的实拍图，与现款车型相比，新车升级了奥迪轿车家族最新的设计语言，同时采用了两种外观套件，分为致雅型和动感型，进一步满足了不同消费者的购车需</t>
  </si>
  <si>
    <t>搭载2.0T发动机 长城炮售价9.78万起长城炮是长城旗下的一款中型皮卡，搭载2.0T发动机，并分为汽油版与柴油版两种，拥有比较稳定充沛的动力输出，官方售价区间为9.78-15.98万元，推出21种车型选择，下面就来看看这款车的表现。外观方面，长城炮车前格栅为梯形样式，并加入了镀铬饰条装饰，中间悬挂</t>
  </si>
  <si>
    <t>2020年最值得期待的韩系车——起亚新 K5还记得当年红极一时的“索八、K5、迈锐宝”吗？当年这三款车的热度就和现在的小鲜肉们一样，不可一世。可随着时间的推移，竞争对手的崛起，SUV的爆火，这三款车型销量越来越低迷。不过起亚2019年在本土发布了最新K5之后，情况似乎有些好转。新K5的外观设计非常前</t>
  </si>
  <si>
    <t>2020/02/26 09:57:00</t>
  </si>
  <si>
    <t>2020年这几款日韩系新车即将上市2020年最值得期待的韩系车——起亚新 K5还记得当年红极一时的“索八、K5、迈锐宝”吗？当年这三款车的热度就和现在的小鲜肉们一样，不可一世。可随着时间的推移，竞争对手的崛起，SUV的爆火，这三款车型销量越来越低迷。不过起亚2019年在本土发布了最新K5之后，情况似</t>
  </si>
  <si>
    <t>大多数消费者印象中，奥迪旗下车型的售价要略低奔驰、宝马同级别竞品，不过奥迪即将于今年上半年推出的中期改款a4l似乎要打破这个规则。我们获取了一组奥迪中期改款a4l的信息，资料显示售价上调后的新车预估价格将达到30.8-40万元（现款起售价为28.68万），高于宝马3系29.39万元的起售价。（下图分</t>
  </si>
  <si>
    <t>2020/02/26 09:56:00</t>
  </si>
  <si>
    <t>宝马全新3系作为新一代的设计语言正式登场，7系也在中期改款增大了格栅面积并且调整了前后大灯，目前最为关注的自然就是5系将怎样改款。近日海外正式曝光了宝马全新M5的测试照片，尽管前后保险杠部位有着伪装，但是前大灯和格栅轮廓依然透露出未来中期改款5系的效果。现款5系天使眼现款5系现款7系全新M5虽然整体</t>
  </si>
  <si>
    <t>宝马全新5系曝光 正式告别天使眼宝马全新3系作为新一代的设计语言正式登场，7系也在中期改款增大了格栅面积并且调整了前后大灯，目前最为关注的自然就是5系将怎样改款。近日海外正式曝光了宝马全新M5的测试照片，尽管前后保险杠部位有着伪装，但是前大灯和格栅轮廓依然透露出未来中期改款5系的效果。现款5系天使眼</t>
  </si>
  <si>
    <t>　　大多数消费者印象中，奥迪旗下车型的售价要略低奔驰、宝马同级别竞品，不过奥迪即将于今年上半年推出的中期改款a4l似乎要打破这个规则。我们获取了一组奥迪中期改款a4l的信息，资料显示售价上调后的新车预估价格将达到30.8-40万元（现款起售价为28.68万），高于宝马3系29.39万元的起售价。（下</t>
  </si>
  <si>
    <t>投诉编号：【448775】  投诉时间： 2020-02-26 09:55  投诉品牌： 吉利汽车  投诉车系： 博越  投诉车型： 2016款 1.8TD 自动 两驱 智慧型        投诉内容  才25000公里的车就转向异响：踩刹车异响：踩刹车挡杆异响：走烂路左前轮异响不知道以后还有多少问</t>
  </si>
  <si>
    <t>2020/02/26 09:55:00</t>
  </si>
  <si>
    <t>30万元预算买什么车？这五款车型很有性价比一直以来中型轿车都是各大品牌竞争最为激烈的战场，它们可以被看作是一个品牌的销量支柱，如果表现不好无疑将牵连旗下所有车款。在即将结束的2019年，大部分主流品牌都已完成了新款车型的发布，今天我们将列举其中的5款流量车型进行比较，至于都是谁，就请各位车友继续往下</t>
  </si>
  <si>
    <t>2020/02/26 09:54:00</t>
  </si>
  <si>
    <t>一直以来中型轿车都是各大品牌竞争最为激烈的战场，它们可以被看作是一个品牌的销量支柱，如果表现不好无疑将牵连旗下所有车款。在即将结束的2019年，大部分主流品牌都已完成了新款车型的发布，今天我们将列举其中的5款流量车型进行比较，至于都是谁，就请各位车友继续往下看吧。捷豹XEL【厂商指导售价：28.98</t>
  </si>
  <si>
    <t>2月25日，安徽省合肥市政府（微博id：合肥市人民政府发布）发布微博显示，蔚来汽车中国总部项目正式“云”签约。“该项目包括在合肥成立蔚来汽车中国总部，建立研发、销售、生产基地，打造以合肥为中心的中国总部运营体系。”    “项目计划融资145亿元，用于公司研发、市场体系建立和运营；同时，规划建设总部</t>
  </si>
  <si>
    <t>2020/02/26 09:53:00</t>
  </si>
  <si>
    <t>　　2月25日，安徽省合肥市政府（微博id：合肥市人民政府发布）发布微博显示，蔚来汽车中国总部项目正式“云”签约。“该项目包括在合肥成立蔚来汽车中国总部，建立研发、销售、生产基地，打造以合肥为中心的中国总部运营体系。”　　“项目计划融资145亿元，用于公司研发、市场体系建立和运营；同时，规划建设总部</t>
  </si>
  <si>
    <t>李超</t>
  </si>
  <si>
    <t>年轻人买车最喜欢什么？肯定是动力了。但是往往动力都是和钱挂钩的，动力越好，需要支付的费用自然也是更高。奥迪RS3够强吧，50多万；奔驰C63也够强吧，100来万；宝马M5更强吧，100好几十万。这些性能车的速度都是足以和一些超跑相提并论了，但它的售价也是不低的，对于广大的普通消费者来说，还是有不小的</t>
  </si>
  <si>
    <t>2020/02/26 09:52:00</t>
  </si>
  <si>
    <t>今天就给大家介绍2019款名爵6 20T自动Trophy超级运动互联网这款车！2019款名爵6 20T自动Trophy超级运动互联网外观方面采用Trophy专属的星辉骑盾格栅、伦敦眼全LED大灯、渐进式LED转向灯、Trophy专属徽标、18寸运动轮毂等。车身颜色上并提供名爵红、珠光白、曜石黑、碳素</t>
  </si>
  <si>
    <t>名爵6 20T自动Trophy超级运动互联网版今天就给大家介绍2019款名爵6 20T自动Trophy超级运动互联网这款车！2019款名爵6 20T自动Trophy超级运动互联网外观方面采用Trophy专属的星辉骑盾格栅、伦敦眼全LED大灯、渐进式LED转向灯、Trophy专属徽标、18寸运动轮毂等</t>
  </si>
  <si>
    <t>20w内 加速最快的4款轿车年轻人买车最喜欢什么？肯定是动力了。但是往往动力都是和钱挂钩的，动力越好，需要支付的费用自然也是更高。奥迪RS3够强吧，50多万；奔驰C63也够强吧，100来万；宝马M5更强吧，100好几十万。这些性能车的速度都是足以和一些超跑相提并论了，但它的售价也是不低的，对于广大的</t>
  </si>
  <si>
    <t>马自达在所有汽车品牌中都是十分特立独行的，比如一门心思研发转子发动机，独一份的“魂动”设计，注重操控性而轻视空间等，这一些都让它成为了与整个汽车圈格格不入的先锋分子。日前，网上曝光了全新一代马自达6的技术专利，包括纵置直列6缸发动机、纵置8AT变速箱、后轮驱动等，相比现款马自达6阿特兹来说，新车的技</t>
  </si>
  <si>
    <t>2020/02/26 09:51:00</t>
  </si>
  <si>
    <t>林肯冒险家已经到店，24.8万起的官方预售价格让喜欢美系豪华suv的朋友有了新的选择。作为拥有百年历史林肯，在内饰的设计理念上肯定不会用一块悬浮大屏敷衍了事，通过多种材质的相互结合，营造出的豪华氛围非一般车企能及，下面我们就来看看冒险家的内饰是怎样打动消费者的。</t>
  </si>
  <si>
    <t>回顾2019年，一汽-大众奥迪品牌在中国市场总共销售新车688,888辆，同比增长4.2%，在大放异彩的同时，也创下了国内销量的新高，圆满结束了该品牌在21世纪10年代的销量历史。其中，A4L、A3、Q2L三款车型拿下细分市场销量第一，A6L、Q5L也稳定在细分市场前三名。并且，一汽-大众奥迪旗下的</t>
  </si>
  <si>
    <t>关于沃德十佳的争议，行业上众说纷纭，但不管我们圈内人怎么讨论，只要消费者认可那就必然有它存在的意义。沃德十佳每年都会评出汽车的各种榜单，比如汽车、内饰、设计等等。而由于发动机的应用周期比较长，所以它的榜单也是出来得最早。2020年沃德十佳的第一个榜单已经出炉，我们一起来看看明年最优秀的十套动力系统都</t>
  </si>
  <si>
    <t>疫情结束后经销商会降价促销吗？可能性不大。从需求端来看，疫情结束后消费需求强烈。受新冠肺炎疫情的影响，汽车行业2月份的销量数据很难看。乘联会公布的周度数据显示，2月第一周（1-9日）日均零售仅811台，同比增速下降96%，第二周（10-16日）的零售为日均4098台，同比增速下降89%。毫无疑问，疫</t>
  </si>
  <si>
    <t>2020年奥迪将完成产品大换代 将推出23款新车回顾2019年，一汽-大众奥迪品牌在中国市场总共销售新车688,888辆，同比增长4.2%，在大放异彩的同时，也创下了国内销量的新高，圆满结束了该品牌在21世纪10年代的销量历史。其中，A4L、A3、Q2L三款车型拿下细分市场销量第一，A6L、Q5L也</t>
  </si>
  <si>
    <t>疫情结束后汽车经销商会不会降价促销？疫情结束后经销商会降价促销吗？可能性不大。从需求端来看，疫情结束后消费需求强烈。受新冠肺炎疫情的影响，汽车行业2月份的销量数据很难看。乘联会公布的周度数据显示，2月第一周（1-9日）日均零售仅811台，同比增速下降96%，第二周（10-16日）的零售为日均4098</t>
  </si>
  <si>
    <t>2020还没到 沃德十佳发动机就已经出来了关于沃德十佳的争议，行业上众说纷纭，但不管我们圈内人怎么讨论，只要消费者认可那就必然有它存在的意义。沃德十佳每年都会评出汽车的各种榜单，比如汽车、内饰、设计等等。而由于发动机的应用周期比较长，所以它的榜单也是出来得最早。2020年沃德十佳的第一个榜单已经出炉</t>
  </si>
  <si>
    <t>这才是真正的马自达 配直列6缸+后驱+8AT马自达在所有汽车品牌中都是十分特立独行的，比如一门心思研发转子发动机，独一份的“魂动”设计，注重操控性而轻视空间等，这一些都让它成为了与整个汽车圈格格不入的先锋分子。日前，网上曝光了全新一代马自达6的技术专利，包括纵置直列6缸发动机、纵置8AT变速箱、后轮</t>
  </si>
  <si>
    <t>　　林肯冒险家已经到店，24.8万起的官方预售价格让喜欢美系豪华suv的朋友有了新的选择。作为拥有百年历史林肯，在内饰的设计理念上肯定不会用一块悬浮大屏敷衍了事，通过多种材质的相互结合，营造出的豪华氛围非一般车企能及，下面我们就来看看冒险家的内饰是怎样打动消费者的。　　可以说在林肯冒险家在同级别车型</t>
  </si>
  <si>
    <t>说到本田雅阁，想必大家都不陌生了，作为B级车的标杆，多年来它的口碑一直都很不错，尤其这一代的雅阁，无论是颜值还是配置，同级相比别绝对当属其中的佼佼者！而除此之外，可能熟悉的朋友都已了解，雅阁不但有高功率2.0T的版本，而且还正在研发一款Type R版本，并且渲染图也已经曝光，下面就来一起详细了解下！</t>
  </si>
  <si>
    <t>2020/02/26 09:50:00</t>
  </si>
  <si>
    <t>近日，在一场网上新闻发布会上，商务部再次提到了汽车消费的问题，并针对“国内1月乘用车销量大跌”的问题进行回应：“这是由多种因素叠加造成的：一是去年以来汽车行业整体处于发展调整期；二是今年春节长假在元月，有效工作日比去年少了5天。而且往年春节期间也并非汽车消费的旺季；三是此次疫情对消费者购车产生了滞后</t>
  </si>
  <si>
    <t>新雅阁曝光 比帕萨特还帅气说到本田雅阁，想必大家都不陌生了，作为B级车的标杆，多年来它的口碑一直都很不错，尤其这一代的雅阁，无论是颜值还是配置，同级相比别绝对当属其中的佼佼者！而除此之外，可能熟悉的朋友都已了解，雅阁不但有高功率2.0T的版本，而且还正在研发一款Type R版本，并且渲染图也已经曝光</t>
  </si>
  <si>
    <t>国家都表态了 当下购车优惠多近日，在一场网上新闻发布会上，商务部再次提到了汽车消费的问题，并针对“国内1月乘用车销量大跌”的问题进行回应：“这是由多种因素叠加造成的：一是去年以来汽车行业整体处于发展调整期；二是今年春节长假在元月，有效工作日比去年少了5天。而且往年春节期间也并非汽车消费的旺季；三是此</t>
  </si>
  <si>
    <t>凯雷德一直以来都是凯迪拉克SUV家族的旗舰车型，定位于全尺寸SUV。近日，凯迪拉克在美国洛杉矶正式发布全新2021款凯雷德车型。打眼一看，全新一代凯雷德外观更加气宇轩昂，豪华气质扑面而来，闲言少叙，我们赶紧来看看它具体的表现。比起上一代运用五个独立 LED 小透镜的纵向前大灯，全新2021款凯雷德的</t>
  </si>
  <si>
    <t>2020/02/26 09:49:00</t>
  </si>
  <si>
    <t>奔腾t77目前在售的国vi版全系搭载1.2t发动机，官方价格区间为9.08万-13.68万元。前不久，奔腾t77的1.5t版本车型进行了申报，相比现款车型动力更为强劲，参数与哈弗h6 1.5t版本保持一致。近日我们从奔腾官方获悉，奔腾t77 pro（1.5t版本）将于3月7日正式上市。以在售的1.2</t>
  </si>
  <si>
    <t>前几天在二手车网站的时候，我留意到一个有趣的数据。大家知道目前二手车卖得最好的价格区间是哪个区间吗？是3万元附近，占比整个二手车市场的30%左右。也就是说，大部分人对选一台小汽车代步还是有刚需的。但几万块的二手车，难免会有很多隐藏的小问题，如果稍微加多一点钱就能买一台好开、省油、空间大的新车，你愿意</t>
  </si>
  <si>
    <t>要说5万多就能买到的新车 我第一个想到它前几天在二手车网站的时候，我留意到一个有趣的数据。大家知道目前二手车卖得最好的价格区间是哪个区间吗？是3万元附近，占比整个二手车市场的30%左右。也就是说，大部分人对选一台小汽车代步还是有刚需的。但几万块的二手车，难免会有很多隐藏的小问题，如果稍微加多一点钱就</t>
  </si>
  <si>
    <t>　　奔腾t77目前在售的国vi版全系搭载1.2t发动机，官方价格区间为9.08万-13.68万元。前不久，奔腾t77的1.5t版本车型进行了申报，相比现款车型动力更为强劲，参数与哈弗h6 1.5t版本保持一致。近日我们从奔腾官方获悉，奔腾t77 pro（1.5t版本）将于3月7日正式上市。以在售的1</t>
  </si>
  <si>
    <t>这才叫美式豪车 全新一代2021款凯雷德凯雷德一直以来都是凯迪拉克SUV家族的旗舰车型，定位于全尺寸SUV。近日，凯迪拉克在美国洛杉矶正式发布全新2021款凯雷德车型。打眼一看，全新一代凯雷德外观更加气宇轩昂，豪华气质扑面而来，闲言少叙，我们赶紧来看看它具体的表现。比起上一代运用五个独立 LED 小</t>
  </si>
  <si>
    <t>　　一年一度的日内瓦车展将于3月3日正式开幕，届时大众、奔驰、宝马等在内的车企将推出数十款车型。我们提前梳理了此次车展的六款重磅车型，包括奔驰中期改款e级、宝马4系、奥迪全新a3、大众全新高尔夫gti、起亚全新索兰特、长安引力。价格方面，预计最便宜的长安引力起售价仅11万元。　　 奔驰中期改款e级　</t>
  </si>
  <si>
    <t>2020/02/26 09:48:00</t>
  </si>
  <si>
    <t xml:space="preserve">一年一度的日内瓦车展将于3月3日正式开幕，届时大众、奔驰、宝马等在内的车企将推出数十款车型。我们提前梳理了此次车展的六款重磅车型，包括奔驰中期改款e级、宝马4系、奥迪全新a3、大众全新高尔夫gti、起亚全新索兰特、长安引力。价格方面，预计最便宜的长安引力起售价仅11万元。     奔驰中期改款e级 </t>
  </si>
  <si>
    <t>曾经，豪华SUV这个词让很多普通家庭望尘莫及，但如今人们的生活水平越来越高，同时汽车的发展也越来越快。豪华SUV已经不仅限于BBA了，价格也在逐步下探。现在就让我们来看看即将上市的几款豪华SUV，是否有你中意的款。【 奥迪Q7 】或许是上一代Q7的印象太过深刻，因此现款Q7似乎在外观上给人变化不大的</t>
  </si>
  <si>
    <t>2020/02/26 09:47:00</t>
  </si>
  <si>
    <t>3款即将上市的豪华SUV 先来饱饱眼福曾经，豪华SUV这个词让很多普通家庭望尘莫及，但如今人们的生活水平越来越高，同时汽车的发展也越来越快。豪华SUV已经不仅限于BBA了，价格也在逐步下探。现在就让我们来看看即将上市的几款豪华SUV，是否有你中意的款。【 奥迪Q7 】或许是上一代Q7的印象太过深刻，</t>
  </si>
  <si>
    <t>　　要说20万左右外观最酷的suv，我觉得这头衔非皓影莫属了。自从广汽本田皓影亮相以来，纯黑的外观配色就被冠以“黑武士”之美誉，丰富的配置以及本田引以为傲的灵活空间都使其极具竞争力。今天探店小分队就来到广汽本田4s店为您带来皓影的优惠和现车消息。　　对国内的消费者来说由于用车需求越来越多样化，针对s</t>
  </si>
  <si>
    <t>2020/02/26 09:45:00</t>
  </si>
  <si>
    <t>智能汽车 十万亿级新产业将崛起在全球汽车产业聚焦智能汽车科技创新与战略发展的关键时期，国家发展和改革委员会等十一部门共同印发了《智能汽车创新发展战略》（以下简称《战略》），以中国标准智能汽车为发展方向，以智能汽车强国为建设目标，围绕构建智能汽车技术创新体系、产业生态体系、基础设施体系、法规标准体系、</t>
  </si>
  <si>
    <t>昭辉00</t>
  </si>
  <si>
    <t>2020/02/26 09:39:00</t>
  </si>
  <si>
    <t>2021年7月实施国六排放去年影响国内皮卡市场的关键词是“国六”，考验了车企的技术储备和对政策的反应速度，而今年突发的“疫情”又将对国内汽车市场产生影响。所以，中汽协于近日向相关部门提交了推迟全国范围内实施国六排放标准的建议，但是如何看待这个建议，值得我们辩证思考。此前，按照国家环保部与国家质检总局</t>
  </si>
  <si>
    <t>由于疫情影响，今年的北京车展将会延期举行，调整后具体时间待定。倘若这场灾难没有发生，今年的众多新车或许正是当下我们津津乐道的话题。虽然2020年的开端很难，也给各个行业都蒙上了一层阴霾，但我们的生活终将重返正轨。不妨一起来看看，今年都有哪些值得我们期待的新车吧！比亚迪 汉说到今年自主品牌值得期待的新</t>
  </si>
  <si>
    <t>2020/02/26 09:37:00</t>
  </si>
  <si>
    <t xml:space="preserve">今年的重磅新车 你最期待哪款？由于疫情影响，今年的北京车展将会延期举行，调整后具体时间待定。倘若这场灾难没有发生，今年的众多新车或许正是当下我们津津乐道的话题。虽然2020年的开端很难，也给各个行业都蒙上了一层阴霾，但我们的生活终将重返正轨。不妨一起来看看，今年都有哪些值得我们期待的新车吧！比亚迪 </t>
  </si>
  <si>
    <t>2020/02/26 09:36:00</t>
  </si>
  <si>
    <t>最近看到几个车企陆续开始从三缸机向回转，开始又回流到四缸机阵营，对于这种振奋性的消息，笔者不得不说广大的消费者终于成熟了，不要被车企所左右。三缸机为什么被普及，甚至被强推，这就涉及到燃油车的排放标致，还有国家推行的积分政策。随着时代的发展，对于环境的要求越来越严格，节能减排是必须要走的路，国家推行更</t>
  </si>
  <si>
    <t>三缸机的战役 消费者赢了最近看到几个车企陆续开始从三缸机向回转，开始又回流到四缸机阵营，对于这种振奋性的消息，笔者不得不说广大的消费者终于成熟了，不要被车企所左右。三缸机为什么被普及，甚至被强推，这就涉及到燃油车的排放标致，还有国家推行的积分政策。随着时代的发展，对于环境的要求越来越严格，节能减排是</t>
  </si>
  <si>
    <t>在所有的造车新势力中，来自美国的特斯拉名头最大，逼格也高。国内的很多造成新势力如蔚来汽车、小鹏汽车等对标的产品也是特斯拉。在刚刚过去的2019年，特斯拉在国内市场虽然经历了集体维权事件，但是从目前的情况来看，影响并不大。再加上特斯拉已经在上海建厂，国产后售价将会大大降低，对于众多的国内造车新势力来说</t>
  </si>
  <si>
    <t>开不坏的丰田 修不好的大众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的感觉，仔细一看车型品牌，大</t>
  </si>
  <si>
    <t>投资者抛售股票 特斯拉股价大跌在所有的造车新势力中，来自美国的特斯拉名头最大，逼格也高。国内的很多造成新势力如蔚来汽车、小鹏汽车等对标的产品也是特斯拉。在刚刚过去的2019年，特斯拉在国内市场虽然经历了集体维权事件，但是从目前的情况来看，影响并不大。再加上特斯拉已经在上海建厂，国产后售价将会大大降低</t>
  </si>
  <si>
    <t>在上一期对不同级别、国别轿车产品的盘点中，我们通过一个新颖的角度观察到了轿车市场的现状；在紧凑型轿车市场里，德系紧凑型轿车与日系紧凑型轿车是市场的热门选择，美系紧凑型轿车紧随其后；中国品牌紧凑型轿车产品与德系品牌的产品矩阵相比，更像是在单兵作战；由此可见一个品牌在某一细分市场的销量，除了与单品竞争力</t>
  </si>
  <si>
    <t>2020/02/26 09:35:00</t>
  </si>
  <si>
    <t>铃木印度发布全新的维特拉Brezza。维特拉Brezza是印度市场最受欢迎的紧凑型SUV。2016年开始在印度市场推出，不到四年卖出了50万辆。最近印度汽车市场低迷，维特拉销量也下跌，在2020年1月卖出10,134辆，同比跌23.1%。起步价73.4万印度卢比，大约人民币7.3万元。新维特拉Bre</t>
  </si>
  <si>
    <t>2016年登场的北京BJ80，曾经在亮相伊始引出了不少的话题，而这些话题所有的内容无一例外的都指向了它的造型。没错，和奔驰G级高度的相似，让北京BJ80随时都充满着话题。由于北汽和戴姆勒之间存在着一定的持股关系，所以对于北京BJ80这种近乎于赤裸的复刻行为，戴姆勒基本上也保留了睁一只眼闭一只眼的态度</t>
  </si>
  <si>
    <t>铃木印度发布全新维特拉Brezza铃木印度发布全新的维特拉Brezza。维特拉Brezza是印度市场最受欢迎的紧凑型SUV。2016年开始在印度市场推出，不到四年卖出了50万辆。最近印度汽车市场低迷，维特拉销量也下跌，在2020年1月卖出10,134辆，同比跌23.1%。起步价73.4万印度卢比，大</t>
  </si>
  <si>
    <t>比虚荣心更可怕的是淘宝套件2016年登场的北京BJ80，曾经在亮相伊始引出了不少的话题，而这些话题所有的内容无一例外的都指向了它的造型。没错，和奔驰G级高度的相似，让北京BJ80随时都充满着话题。由于北汽和戴姆勒之间存在着一定的持股关系，所以对于北京BJ80这种近乎于赤裸的复刻行为，戴姆勒基本上也保</t>
  </si>
  <si>
    <t>一定有你喜欢的 12款促销SUV大盘点在上一期对不同级别、国别轿车产品的盘点中，我们通过一个新颖的角度观察到了轿车市场的现状；在紧凑型轿车市场里，德系紧凑型轿车与日系紧凑型轿车是市场的热门选择，美系紧凑型轿车紧随其后；中国品牌紧凑型轿车产品与德系品牌的产品矩阵相比，更像是在单兵作战；由此可见一个品牌</t>
  </si>
  <si>
    <t>为啥要买三缸机？同预算区间内拥有更好的四缸机可以选择，三缸机还值得被推荐的理由，除了被充值，我想不到更好合理的解释。热销榜TOP10中，热销的三缸机车型只有英朗一款，分析销量占比，英朗单月2.5万台销量，仅仅占到前十销量的8%左右，三缸机真的开始统治市场了？我看未必。只看到了极个别三缸机的走量，却看</t>
  </si>
  <si>
    <t>2020/02/26 09:34:00</t>
  </si>
  <si>
    <t>导读：丰田汉兰达自进入中国以来，成为了大中型SUV中极具影响力的车型，国内当前款汉兰达车型已经6年没有大换代了。丰田六年磨一剑，全新汉兰达终于全面升级归来，让我们来看一下吧。海外版全新丰田汉兰达海外版全新丰田汉兰达海外版全新丰田汉兰达全新汉兰达海外版已曝光，新款汉兰达出自丰田引以为傲的TNGA架构，</t>
  </si>
  <si>
    <t>请拉黑极力让你买三缸机的那个人为啥要买三缸机？同预算区间内拥有更好的四缸机可以选择，三缸机还值得被推荐的理由，除了被充值，我想不到更好合理的解释。热销榜TOP10中，热销的三缸机车型只有英朗一款，分析销量占比，英朗单月2.5万台销量，仅仅占到前十销量的8%左右，三缸机真的开始统治市场了？我看未必。只</t>
  </si>
  <si>
    <t>六年磨一剑 丰田汉兰达全面升级归来导读：丰田汉兰达自进入中国以来，成为了大中型SUV中极具影响力的车型，国内当前款汉兰达车型已经6年没有大换代了。丰田六年磨一剑，全新汉兰达终于全面升级归来，让我们来看一下吧。海外版全新丰田汉兰达海外版全新丰田汉兰达海外版全新丰田汉兰达全新汉兰达海外版已曝光，新款汉兰</t>
  </si>
  <si>
    <t>GranTurismo论坛</t>
  </si>
  <si>
    <t>玛莎拉蒂GT改MC玛莎拉蒂GT改MC</t>
  </si>
  <si>
    <t>2020/02/26 09:33:00</t>
  </si>
  <si>
    <t>前两天在路边停了一辆崭新的蒙迪欧，我看了又看，毕竟这是我曾经做梦都想买的车型，那个时候蒙迪欧一车难求，月销量过万都是常事，19.28-27.98万售价，终端一点让利都没有，但依然让人趋之若鹜。蒙迪欧，算是每个少年的一个梦吧！时过境迁，曾经一车难求的神车，终究败给了时光，蒙迪欧如今的月销量仅仅只有千台</t>
  </si>
  <si>
    <t>蒙迪欧的落败 福特要负全责前两天在路边停了一辆崭新的蒙迪欧，我看了又看，毕竟这是我曾经做梦都想买的车型，那个时候蒙迪欧一车难求，月销量过万都是常事，19.28-27.98万售价，终端一点让利都没有，但依然让人趋之若鹜。蒙迪欧，算是每个少年的一个梦吧！时过境迁，曾经一车难求的神车，终究败给了时光，蒙迪</t>
  </si>
  <si>
    <t>你如果问世界上最漂亮的车型是哪款，答案恐怕会有很多，因为仁者见仁，自身审美观的不同与喜好的不同肯定会有多种选择。但是如果你加一个前缀，最漂亮的旅行车是哪款，那肯定会有沃尔沃的身影，其旗下的V90算得上最漂亮的旅行车之一。谈起沃尔沃，大多数人会给出这几个标签，二线豪华、北欧风格、安全以及漂亮。当然缺点</t>
  </si>
  <si>
    <t>日向天</t>
  </si>
  <si>
    <t>2020/02/26 09:32:00</t>
  </si>
  <si>
    <t>说起目前关注度较高的中大型合资品牌SUV，别克昂科旗绝对要算一个。凭借着和凯迪拉克XT6同平台的产品背景以及别克良好的口碑，一经上市就受到许多消费者的追捧，目前昂科旗的行情如何？有没有优惠和现车？别急！车市探店小分队现在就帮您去了解一下。昂科旗不论外观还是内饰都给人一种强大的气场和豪华的感觉，此外在</t>
  </si>
  <si>
    <t>30万出头就能办齐美系中大型SUV 别克昂科旗真值说起目前关注度较高的中大型合资品牌SUV，别克昂科旗绝对要算一个。凭借着和凯迪拉克XT6同平台的产品背景以及别克良好的口碑，一经上市就受到许多消费者的追捧，目前昂科旗的行情如何？有没有优惠和现车？别急！车市探店小分队现在就帮您去了解一下。昂科旗不论外</t>
  </si>
  <si>
    <t>被吹爆的进口旅行车鲜有人问津 新沃尔沃V90能改变局面吗你如果问世界上最漂亮的车型是哪款，答案恐怕会有很多，因为仁者见仁，自身审美观的不同与喜好的不同肯定会有多种选择。但是如果你加一个前缀，最漂亮的旅行车是哪款，那肯定会有沃尔沃的身影，其旗下的V90算得上最漂亮的旅行车之一。谈起沃尔沃，大多数人会给</t>
  </si>
  <si>
    <t>投诉编号：【448772】投诉时间：2020-02-2609:31投诉品牌：广汽乘用车投诉车系：传祺GS5投诉车型：2019款270T自动尊享版投诉内容2019年元月13购买了一款广汽传祺GS5自动尊享版，使用10个月时间问题不断出现，电瓶无故亏电3次，经4S店对电瓶维护后到现在没有出现过。怠速不稳</t>
  </si>
  <si>
    <t>2020/02/26 09:31:00</t>
  </si>
  <si>
    <t>近日，大众汽车发布了一组途锐R车型的官图，作为大众R系列的性能版车型，自然有着毋庸置疑的性能。同时大众途锐R首次采用了插电式混合动力，最大输出功率将达339kW（462Ps）。据了解，途锐R将于日内瓦车展正式发布亮相。外观上，途锐R在途锐基础上，增加了大量R系列性能套件，运动气息更加浓厚，整体设计与</t>
  </si>
  <si>
    <t>2020/02/26 09:30:00</t>
  </si>
  <si>
    <t>造型一般、内饰廉价、配置基本没有续航里程更是不敢恭维，这是几年前对于不足10万元售价的新能源车型的概述。但今非昔比，随着技术的进步和竞争的加剧，不足10万元已经可以买到一款各方面都不错的新能源车型。至于怎么选，相信各位一定会将比亚迪旗下车型视为首选，的确如此，比亚迪在新能源领域的功力非同一般。那么，</t>
  </si>
  <si>
    <t>首款混合动力R系列车型 大众途锐R官图发布近日，大众汽车发布了一组途锐R车型的官图，作为大众R系列的性能版车型，自然有着毋庸置疑的性能。同时大众途锐R首次采用了插电式混合动力，最大输出功率将达339kW（462Ps）。据了解，途锐R将于日内瓦车展正式发布亮相。外观上，途锐R在途锐基础上，增加了大量R</t>
  </si>
  <si>
    <t>9万元买到的比亚迪电动车 除了双大屏还有什么？造型一般、内饰廉价、配置基本没有续航里程更是不敢恭维，这是几年前对于不足10万元售价的新能源车型的概述。但今非昔比，随着技术的进步和竞争的加剧，不足10万元已经可以买到一款各方面都不错的新能源车型。至于怎么选，相信各位一定会将比亚迪旗下车型视为首选，的确</t>
  </si>
  <si>
    <t>预算20来万 买大五座SUV怎么选SUV品类，正走入越来越多的中国家庭，相比轿车，它们高头大马般驾驶体验总让人心仪。今天，就由小编为大家一探究竟。大众探岳当看到大众探岳时，我的第一印象是，这是一款足够锋刃、立体的车型。车头采用了多边形元素拼接设计，包覆式前中网也将大灯组妥善且有风格地收纳其中。大灯造</t>
  </si>
  <si>
    <t>宝马全新iX3谍照曝光！即将国产续航达440km近日，有海外媒体曝光了宝马iX3正在进行路试的照片，该车配有新款空气动力学轮毂。新车将于今年首发，并计划7月由华晨宝马在华投产。外观方面，新车采用了新款空气动力学设计的轮毂，这样的造型设计可以非常有效的减少前进时的空气阻力。另外，得益于结构与使用的特殊</t>
  </si>
  <si>
    <t>2020/02/26 09:29:00</t>
  </si>
  <si>
    <t>这些二手车 谁买谁后悔前几期推文给大家推荐了各个价位段比较受欢迎的几款二手车，但二手车市场鱼龙混杂，有些看似光鲜的二手车实际是个陷阱，谁买回去都会后悔。本期我们一起盘点一下绝对不能买的二手车。首先要排除的就是事故车和水泡车。这里说的事故车是指碰撞伤到车身结构的二手车，比如遭受过侧面撞击或者翻滚的车辆</t>
  </si>
  <si>
    <t>近日，有海外媒体曝光了宝马iX3正在进行路试的照片，该车配有新款空气动力学轮毂。新车将于今年首发，并计划7月由华晨宝马在华投产。外观方面，新车采用了新款空气动力学设计的轮毂，这样的造型设计可以非常有效的减少前进时的空气阻力。另外，得益于结构与使用的特殊材料，相比常规的铝合金轮毂，这种轮毂更轻，同样达</t>
  </si>
  <si>
    <t>奇瑞设计陷入迷茫期？凯文·莱斯跳槽意大利平宁法利纳2月19日，奇瑞集团前设计副总裁兼首席设计师凯文·赖斯（Kevin Rice）发布消息称，目前已经从奇瑞离职，加盟平宁法利纳汽车设计公司（Pininfarina SpA），担任首席创意官，并直接向首席执行官Silvio pietro angori汇报</t>
  </si>
  <si>
    <t>2020/02/26 09:28:00</t>
  </si>
  <si>
    <t>吉利也当“价格屠夫”？顶配不到13万 光看颜值就爱了2月24日，华为在巴塞罗那召开了它开年以来的第一场发布会，用“时间不长，内容丰富”这八个字便足以概括。毫无疑问，华为作为中国5G时代的代言人，无论是5G技术还是5G手机研发，均走在全球科技公司的前列。本次发布会上亮相的第二代折叠手机Mate Xs、</t>
  </si>
  <si>
    <t>2月19日，奇瑞集团前设计副总裁兼首席设计师凯文·赖斯（Kevin Rice）发布消息称，目前已经从奇瑞离职，加盟平宁法利纳汽车设计公司（Pininfarina SpA），担任首席创意官，并直接向首席执行官Silvio pietro angori汇报工作。自2018年从马自达离职到当年9月29日加盟</t>
  </si>
  <si>
    <t>2月24日，华为在巴塞罗那召开了它开年以来的第一场发布会，用“时间不长，内容丰富”这八个字便足以概括。毫无疑问，华为作为中国5G时代的代言人，无论是5G技术还是5G手机研发，均走在全球科技公司的前列。本次发布会上亮相的第二代折叠手机Mate Xs、全球首款Wi-Fi6+路由器等新品，已然成为科技行业</t>
  </si>
  <si>
    <t>黑棚图曝出几何C 设计美学与科技智能兼备 近日，几何汽车首款纯电SUV车型几何C最新黑棚图曝出，再次引发市场对其外观设计的关注和讨论。从图片上看几何C运用了“多维、流动”的设计语言，车身线条流畅、充满动感，细节处体现平衡对称之美，整体看上去科技感与运动范十足。    几何C的前大灯采用了“一字型”的</t>
  </si>
  <si>
    <t>2020/02/26 09:27:00</t>
  </si>
  <si>
    <t>实话实说：国产变速箱全球地位有多高？国产变速箱与外资变速箱的差距，比想象中的更大，虽然说当下东安、盛瑞量产出AT变速箱，但目前装备国产AT变速箱口碑并没有想象中的好，变速箱硬性考核标准为随车报废，装备一年左右的国产AT变速箱，还有很长耐久性考核期。目前装备在自主品牌上的AT变速箱依然以爱信、派沃泰变</t>
  </si>
  <si>
    <t>众所周知，国内豪华有三将，奥迪奔驰和宝马，而他们之间的关系也很微妙，处于相爱相杀的阶段，谁都想成为国内豪华车汽车市场霸主。因此，他们各自旗下的产品都在相互较着劲，以更美的姿态引起消费者的注意，方能坐上宝座。这不，本期的主角奥迪A5就是一个狠角色，配10气囊+无框门，搭2.0T+252马力等，数据上有</t>
  </si>
  <si>
    <t>近日，几何汽车首款纯电SUV车型几何C最新黑棚图曝出，再次引发市场对其外观设计的关注和讨论。从图片上看几何C运用了“多维、流动”的设计语言，车身线条流畅、充满动感，细节处体现平衡对称之美，整体看上去科技感与运动范十足。    几何C的前大灯采用了“一字型”的矩阵设计，共包含80颗LED光源，造型犀利</t>
  </si>
  <si>
    <t>国产变速箱与外资变速箱的差距，比想象中的更大，虽然说当下东安、盛瑞量产出AT变速箱，但目前装备国产AT变速箱口碑并没有想象中的好，变速箱硬性考核标准为随车报废，装备一年左右的国产AT变速箱，还有很长耐久性考核期。目前装备在自主品牌上的AT变速箱依然以爱信、派沃泰变速箱为主，凭借着售价低廉、稳定性高两</t>
  </si>
  <si>
    <t>最懂你味蕾的车 奥迪大将来袭众所周知，国内豪华有三将，奥迪奔驰和宝马，而他们之间的关系也很微妙，处于相爱相杀的阶段，谁都想成为国内豪华车汽车市场霸主。因此，他们各自旗下的产品都在相互较着劲，以更美的姿态引起消费者的注意，方能坐上宝座。这不，本期的主角奥迪A5就是一个狠角色，配10气囊+无框门，搭2.</t>
  </si>
  <si>
    <t>捷达VS7尝鲜价格公布 10.68万元起/3月20日上市日前，行车视线了解到，一汽-大众捷达品牌官方公布了捷达VS7的尝鲜价。新车共推出四款车型，尝鲜价格区间为10.68-13.68万元。同时我们了解到，捷达VS7将于今年3月20日正式上市。配置方面，捷达VS7可以分为三大配置级，分别为进取版、悦享</t>
  </si>
  <si>
    <t>2020/02/26 09:26:00</t>
  </si>
  <si>
    <t>日前，行车视线了解到，一汽-大众捷达品牌官方公布了捷达VS7的尝鲜价。新车共推出四款车型，尝鲜价格区间为10.68-13.68万元。同时我们了解到，捷达VS7将于今年3月20日正式上市。配置方面，捷达VS7可以分为三大配置级，分别为进取版、悦享版和荣耀版。其中，进取版车型提供手动挡和自动挡车型供消费</t>
  </si>
  <si>
    <t>你想要的它们都有 8.98万起这些新车要火你想要的它们都有，8.98万起这些新车要火搞错了，再来...在汽车产品中，虽然厂商尽可能的把自己的产品做到完美，但事实上却有或多或少的缺点存在，这些便是汽车术语中的口碑。广大消费者的口碑情况，很是影响车企今后的产品策略目标，毕竟良好的口碑对车型的形象及销量有</t>
  </si>
  <si>
    <t>2020/02/26 09:25:00</t>
  </si>
  <si>
    <t>你想要的它们都有，8.98万起这些新车要火搞错了，再来...在汽车产品中，虽然厂商尽可能的把自己的产品做到完美，但事实上却有或多或少的缺点存在，这些便是汽车术语中的口碑。广大消费者的口碑情况，很是影响车企今后的产品策略目标，毕竟良好的口碑对车型的形象及销量有着间接的推动作用。除了核心三大件之外，新车</t>
  </si>
  <si>
    <t>去年此刻，捷达品牌在大众总部——德国沃尔夫斯堡诞生，如同呱呱坠地的婴儿般。这个世界对它充满了期望。    在所有关注的目光下成长，捷达品牌的每一步坚定而踏实。对于这个德系血统的新品牌来说，回报消费者的速度与质量，同等重要。因此，在这一年中，捷达品牌高效地完成了品牌发布、渠道建设、产品上市等重要工作，</t>
  </si>
  <si>
    <t>2020/02/26 09:22:00</t>
  </si>
  <si>
    <t>　　去年此刻，捷达品牌在大众总部――德国沃尔夫斯堡诞生，如同呱呱坠地的婴儿般。这个世界对它充满了期望。　　在所有关注的目光下成长，捷达品牌的每一步坚定而踏实。对于这个德系血统的新品牌来说，回报消费者的速度与质量，同等重要。因此，在这一年中，捷达品牌高效地完成了品牌发布、渠道建设、产品上市等重要工作，</t>
  </si>
  <si>
    <t>　　说起目前关注度较高的中大型合资品牌suv，别克昂科旗绝对要算一个。凭借着和凯迪拉克xt6同平台的产品背景以及别克良好的口碑，一经上市就受到许多消费者的追捧，目前昂科旗的行情如何？有没有优惠和现车？别急！探店小分队现在就帮您去了解一下。　　昂科旗不论外观还是内饰都给人一种强大的气场和豪华的感觉，此</t>
  </si>
  <si>
    <t>2020/02/26 09:21:00</t>
  </si>
  <si>
    <t>为应对新冠肺炎疫情，国务院延长春节假期，各地也将企业复工时间延后，从当前全国复工情况来看，必需行业生产恢复较快，部分服务行业也通过线上方式复工，但工业和建筑业企业生产恢复程度偏低。不过我们从长城官方得到消息，自2月18日起，长城汽车已吹响了恢复生产工作的“集结号”。    面对疫情的严峻考验，长城汽</t>
  </si>
  <si>
    <t>2020/02/26 09:19:00</t>
  </si>
  <si>
    <t>　　为应对新冠肺炎疫情，国务院延长春节假期，各地也将企业复工时间延后，从当前全国复工情况来看，必需行业生产恢复较快，部分服务行业也通过线上方式复工，但工业和建筑业企业生产恢复程度偏低。不过我们从长城官方得到消息，自2月18日起，长城汽车已吹响了恢复生产工作的“集结号”。　　面对疫情的严峻考验，长城汽</t>
  </si>
  <si>
    <t>前不久我们解析了林肯冒险家的内饰设计，相信许多朋友都对新车奢华的内饰用料赞叹不已，乘坐舒适度也是考量一款豪华suv是否合格的条件之一，下面就让我们来一起看看，林肯冒险家的座椅舒适程度以及空间表现是否能够令您满意。    悬架方面，林肯冒险家采用前麦弗逊独立、后多连杆独立悬架，并且搭载适时四驱系统，具</t>
  </si>
  <si>
    <t>2020/02/26 09:18:00</t>
  </si>
  <si>
    <t>投诉编号：【448769】  投诉时间： 2020-02-26 09:18  投诉品牌： 东风雪铁龙  投诉车系： 雪铁龙C4L  投诉车型： 2014款 1.8L 手动 智驱版 劲智型        投诉内容  本人雪铁龙C4L2014款1.8L手动挡，购于2013年12月，现行驶32500公里，</t>
  </si>
  <si>
    <t>投诉编号：【448770】  投诉时间： 2020-02-26 09:18  投诉品牌： 东风雪铁龙  投诉车系： 雪铁龙C4L  投诉车型： 2013款 1.8L 自动 劲智版        投诉内容  2019年12月前一切正常。12月底从安徽南陵跑了一次南京长途回来后，就出现了方向盘松动问题。</t>
  </si>
  <si>
    <t>　　前不久我们解析了林肯冒险家的内饰设计，相信许多朋友都对新车奢华的内饰用料赞叹不已，乘坐舒适度也是考量一款豪华suv是否合格的条件之一，下面就让我们来一起看看，林肯冒险家的座椅舒适程度以及空间表现是否能够令您满意。　　悬架方面，林肯冒险家采用前麦弗逊独立、后多连杆独立悬架，并且搭载适时四驱系统，具</t>
  </si>
  <si>
    <t>除了保值率和异响，对这台车好感还是不少的，也在考虑逍客，怎么选择？</t>
  </si>
  <si>
    <t>2020/02/26 09:17:59</t>
  </si>
  <si>
    <t>排气管发黑，用手一摸有黑色粉末，跑了2万公里，正常吗？</t>
  </si>
  <si>
    <t>　　前不久，我们曾在《黑天鹅事件！疫情引发的汽车业“意想不到”5大巨变》一文中谈到，伴随着补贴退坡的影响持续、疫情给消费者带来的巨大不安感，新能源汽车的消费需求或许将被进一步抑制。　　基于此，国家极有可能出台相应的刺激政策以鼓励新能源汽车消费。目前已有消息称，一些限牌、限购城市有望陆续新增一批新能源</t>
  </si>
  <si>
    <t>江德洲</t>
  </si>
  <si>
    <t>2020/02/26 09:15:00</t>
  </si>
  <si>
    <t>作为此次新冠疫情反应最迅速、最快履行企业社会的豪华车企之一，梅赛德斯-奔驰于1月26日通过中国青少年发展基金会梅赛德斯-奔驰星愿基金捐赠爱心资金1,000万元，全力驰援全国范围的肺炎疫情防控工作。目前该笔资金已经火速用于购买防控物资，资助一线医护人员子女、因疫致困青少年等方面。    2月25日，梅</t>
  </si>
  <si>
    <t>2020/02/26 09:14:00</t>
  </si>
  <si>
    <t>　　作为此次新冠疫情反应最迅速、最快履行企业社会的豪华车企之一，梅赛德斯-奔驰于1月26日通过中国青少年发展基金会梅赛德斯-奔驰星愿基金捐赠爱心资金1,000万元，全力驰援全国范围的肺炎疫情防控工作。目前该笔资金已经火速用于购买防控物资，资助一线医护人员子女、因疫致困青少年等方面。　　2月25日，梅</t>
  </si>
  <si>
    <t>杨益春</t>
  </si>
  <si>
    <t>走出舒适区，挑战自己！这句话近些年激励了不少在舒适区的职场人迈出勇敢的第一步。而车企的职场人保时捷，其实早就开始这样做了。要说保时捷的造车历史，可追溯到1931年在德国斯图加特有费迪南德·保时捷创办的汽车研发公司开始，直到1948年首款以保时捷命名的356诞生，才标志着保时捷走向了由设计团队到汽车制</t>
  </si>
  <si>
    <t>2020/02/26 09:12:00</t>
  </si>
  <si>
    <t>投诉编号：【448767】  投诉时间： 2020-02-26 09:12  投诉品牌： 一汽-大众  投诉车系： 探岳  投诉车型： 2019款 330TSI 两驱 豪华型 国V        投诉内容  1:大灯不亮，有次夜间行驶差点与前方转弯车辆造成事故才发现大灯出问题！（大灯处模糊如塑料一般</t>
  </si>
  <si>
    <t>　　走出舒适区，挑战自己！这句话近些年激励了不少在舒适区的职场人迈出勇敢的第一步。而车企的职场人保时捷，其实早就开始这样做了。要说保时捷的造车历史，可追溯到1931年在德国斯图加特有费迪南德・保时捷创办的汽车研发公司开始，直到1948年首款以保时捷命名的356诞生，才标志着保时捷走向了由设计团队到汽</t>
  </si>
  <si>
    <t>施一帆</t>
  </si>
  <si>
    <t>　　2019年，全球经济形式复杂多变，约90%的经济体放慢了发展的脚步，与此同时，全球汽车产业也正处于负增长状态。作为全球最大的汽车市场，中国车市也不可避免的遭遇到了“寒流”的持续侵袭，整体市场继续承压下行。在这样的大环境下，能够应对过去的车企少之又少，真正实现逆势增长的更是凤毛麟角，而一汽丰田和一</t>
  </si>
  <si>
    <t>王磊</t>
  </si>
  <si>
    <t>2020/02/26 09:11:00</t>
  </si>
  <si>
    <t>　　预算在40万左右，比较看好豪华中型suv，应该如何选？想必这是很多追求品质的消费者在买车时会重点思考的事情。那么为了帮大家解开这个疑问，今天我们就来仔细的研究下，有哪些车型凭借着不错的产品力可以多留意和关注？同时近期内的行情又如何？　　奥迪q5l全系共推出6款车型，售价区间为38.78-49.8</t>
  </si>
  <si>
    <t>2020/02/26 09:08:00</t>
  </si>
  <si>
    <t>　　2020年2月26日，对于很多人来说只是漫长历史长河中很普通的一天。但对于生在北京、却没有私家汽车的消费者来说，可谓是具有决定性意义的一天。除了传统燃油车型指标，一号难求之外。就连曾经很容易得到的新能源指标也是排起了大队，那么得到新能源指标的那些“幸运儿”有哪些靠谱的选择呢？好在时间已经来到了2</t>
  </si>
  <si>
    <t>2020/02/26 09:05:00</t>
  </si>
  <si>
    <t>　　造型一般、内饰廉价、配置基本没有续航里程更是不敢恭维，这是几年前对于不足10万元售价的新能源车型的概述。但今非昔比，随着技术的进步和竞争的加剧，不足10万元已经可以买到一款各方面都不错的新能源车型。至于怎么选，相信各位一定会将比亚迪旗下车型视为首选，的确如此，比亚迪在新能源领域的功力非同一般。那</t>
  </si>
  <si>
    <t>2020/02/26 09:03:00</t>
  </si>
  <si>
    <t>根据乘联会公布的最新数据，2019年1-11月份，我国乘用车市场的累计销量为1856.3万辆，同比下降7.9%，即使目前还有部分车企未公布2019年的销量数据，但2019年对活跃在中国市场的大部分车企来说，这个寒冬真的不好过。然而，在车市整体销量处于下滑的态势中，车企推出新产品的速度却没有因此而放慢</t>
  </si>
  <si>
    <t>2020/02/26 09:02:00</t>
  </si>
  <si>
    <t>2020新车盘点 哪一款是你所期待的？根据乘联会公布的最新数据，2019年1-11月份，我国乘用车市场的累计销量为1856.3万辆，同比下降7.9%，即使目前还有部分车企未公布2019年的销量数据，但2019年对活跃在中国市场的大部分车企来说，这个寒冬真的不好过。然而，在车市整体销量处于下滑的态势中</t>
  </si>
  <si>
    <t>近日，有海外媒体曝光了宝马ix3正在进行路试的照片，该车配有新款空气动力学轮毂。新车将于今年首发，并计划7月启由华晨宝马在华投产。　　外观方面，新车采用了新款空气动力学设计的轮毂，这样的造型设计可以非常有效的减少前进时的空气阻力。另外，得益于结构与使用的特殊材料，相比常规的铝合金轮毂，这种轮毂更轻，</t>
  </si>
  <si>
    <t>2020/02/26 09:01:00</t>
  </si>
  <si>
    <t>又一款豪车清库存降价 最高可优惠13万元在B级车领域，本田雅阁和丰田凯美瑞可谓当之无愧的网红姐妹花，无论是颜值、价格，还是性能，都颇受消费者认可，这种认可也体现在了居高不下的销量上。然而，真正懂车的人就会知道，雅阁、凯美瑞虽好，却并不是性价比最高的选择。豪华品牌对于很多人来说，很具诱惑力，现如今很多</t>
  </si>
  <si>
    <t>玛莎拉蒂GT改装DMC大包围玛莎拉蒂GT改装DMC大包围</t>
  </si>
  <si>
    <t>近日，有海外媒体曝光了宝马ix3正在进行路试的照片，该车配有新款空气动力学轮毂。新车将于今年首发，并计划7月启由华晨宝马在华投产。    外观方面，新车采用了新款空气动力学设计的轮毂，这样的造型设计可以非常有效的减少前进时的空气阻力。另外，得益于结构与使用的特殊材料，相比常规的铝合金轮毂，这种轮毂更</t>
  </si>
  <si>
    <t>在B级车领域，本田雅阁和丰田凯美瑞可谓当之无愧的网红姐妹花，无论是颜值、价格，还是性能，都颇受消费者认可，这种认可也体现在了居高不下的销量上。然而，真正懂车的人就会知道，雅阁、凯美瑞虽好，却并不是性价比最高的选择。豪华品牌对于很多人来说，很具诱惑力，现如今很多豪华品牌车型价格逐渐走低，导致很多车型并</t>
  </si>
  <si>
    <t>实话说2019年大家的日子都不好过，你没赚够钱买车，车企的销量数字自然也好看不到哪里去。像是上汽通用，在2019年全年累计销量146.33万辆，相比2018年还下降了25.7%，旗下的别克、雪佛兰、凯迪拉克三大品牌，无一例外呈现下降趋势。经济差、车市遇冷是销量下跌的最大原因，除此之外这跟上汽通用大范</t>
  </si>
  <si>
    <t>2020/02/26 09:00:00</t>
  </si>
  <si>
    <t>钱包直呼受不了！通用今年给你准备了15款新车实话说2019年大家的日子都不好过，你没赚够钱买车，车企的销量数字自然也好看不到哪里去。像是上汽通用，在2019年全年累计销量146.33万辆，相比2018年还下降了25.7%，旗下的别克、雪佛兰、凯迪拉克三大品牌，无一例外呈现下降趋势。经济差、车市遇冷是</t>
  </si>
  <si>
    <t>不知为何，笔者回老家过年，发现了一个有意思的现象，那就是左邻右舍均已经购置新车；而且无一例外，都是SUV车型。其实这也不能见怪，毕竟SUV凭借着较高的车身底盘，有着较高的通过性，尤其是农村，非铺装路面非常广泛，而底盘较低的轿车反而通过性较差，所以SUV在此有着得天独道的优势；其次是国人目前还是存在“</t>
  </si>
  <si>
    <t>2020/02/26 08:58:00</t>
  </si>
  <si>
    <t>性价比高的SUV 千万别忽视这几款不知为何，笔者回老家过年，发现了一个有意思的现象，那就是左邻右舍均已经购置新车；而且无一例外，都是SUV车型。其实这也不能见怪，毕竟SUV凭借着较高的车身底盘，有着较高的通过性，尤其是农村，非铺装路面非常广泛，而底盘较低的轿车反而通过性较差，所以SUV在此有着得天独</t>
  </si>
  <si>
    <t>　　近日，标致在其官方社交账号上发布了一组标致508 Sport插电混动性能版的官方图片，新车为508 Sport Engineer版概念车的量产版本，曾于2019年法兰克福车展上亮相。据悉，新车将在3月3日开幕的日内瓦车展上正式亮相，并在未来几周实现量产。　　外观方面，官图显示新车基本延续了此前概</t>
  </si>
  <si>
    <t>2020/02/26 08:55:00</t>
  </si>
  <si>
    <t>近日，标致在其官方社交账号上发布了一组标致508 Sport插电混动性能版的官方图片，新车为508 Sport Engineer版概念车的量产版本，曾于2019年法兰克福车展上亮相。据悉，新车将在3月3日开幕的日内瓦车展上正式亮相，并在未来几周实现量产。    外观方面，官图显示新车基本延续了此前概</t>
  </si>
  <si>
    <t>日前，野马汽车发布了一组2020款博骏车型的官图，并宣布该车将于近期正式上市。新车针对外观设计做出调整，配置得到了升级。增加1.5L发动机+CVT无级变速箱的车型，价格有望在7万元左右。    外观方面，2020款博骏采用了直瀑式镀铬格栅，前大灯与之衔接，整体风格显年轻。灯腔布局也有所变化，LED日</t>
  </si>
  <si>
    <t>2020/02/26 08:45:00</t>
  </si>
  <si>
    <t>新车共推出4款车型，售价区间为11.58-12.88万元。全新车型外形十分个性，并提供7种颜色车漆，还有双色车身可以选择。内饰同样采用了较为个性的撞色设计。那么这么一款个性车型选哪款最合适呢？由于4个车款差价并不是很大，所以个人推荐顶配的i9 BSG（售价：12.88万元），下面就来说说为什么推荐了</t>
  </si>
  <si>
    <t>vv16811</t>
  </si>
  <si>
    <t>2020/02/26 08:40:00</t>
  </si>
  <si>
    <t>吉利ICON选哪款？不妨直接上顶配新车共推出4款车型，售价区间为11.58-12.88万元。全新车型外形十分个性，并提供7种颜色车漆，还有双色车身可以选择。内饰同样采用了较为个性的撞色设计。那么这么一款个性车型选哪款最合适呢？由于4个车款差价并不是很大，所以个人推荐顶配的i9 BSG（售价：12.8</t>
  </si>
  <si>
    <t>近年来随着自动挡的推出，如果你想要一辆具有驾驶乐趣的手动挡车，可以选择的余地并不多。今天就给大家推荐3款在售的手动挡车型，它们不仅运动时尚，操控以及可玩性都足够的高，都是手动党们的最爱。高尔夫作为国内两厢车的代表之一，高尔夫是能满足众多消费者需求的车系，无论是从普通家用还是到性能钢炮，总有一款适合你</t>
  </si>
  <si>
    <t>2020/02/26 08:39:00</t>
  </si>
  <si>
    <t>用"厚积薄发"这个词汇来描述目前中国汽车品牌的现状是最合适不过的，各家车企都在自己擅长的领域寻求着进步，例如从商用车向乘用车转型，从低价位产品向高价位拔高，从普通品牌向豪华品牌突破。而像领克、WEY、星途等这些中国汽车品牌旗下的高端品牌，它们的车型都有着很高的原创设计、不错的配置，最关键的是在保证产</t>
  </si>
  <si>
    <t>想要手动挡 从这3款中选吧近年来随着自动挡的推出，如果你想要一辆具有驾驶乐趣的手动挡车，可以选择的余地并不多。今天就给大家推荐3款在售的手动挡车型，它们不仅运动时尚，操控以及可玩性都足够的高，都是手动党们的最爱。高尔夫作为国内两厢车的代表之一，高尔夫是能满足众多消费者需求的车系，无论是从普通家用还是</t>
  </si>
  <si>
    <t>长城WEY VV7值不值得买？用"厚积薄发"这个词汇来描述目前中国汽车品牌的现状是最合适不过的，各家车企都在自己擅长的领域寻求着进步，例如从商用车向乘用车转型，从低价位产品向高价位拔高，从普通品牌向豪华品牌突破。而像领克、WEY、星途等这些中国汽车品牌旗下的高端品牌，它们的车型都有着很高的原创设计、</t>
  </si>
  <si>
    <t>1月份的SUV销量已经出炉，哈弗H6凭借26414辆的成绩又㕛叒叕再一次的坐上冠军宝座，要知道在1月份除了有春节假期导致工作日减少外，还受到了疫情的影响。然而即便如此，哈弗H6的表现依然强势，是什么让消费者在重大疫情期间依然选择哈弗H6呢？茶哥决定在其热销车型哈弗H6运动版上去寻求答案。强悍配置守护</t>
  </si>
  <si>
    <t>2020/02/26 08:38:00</t>
  </si>
  <si>
    <t>哈弗H6运动版为何值得信任？1月份的SUV销量已经出炉，哈弗H6凭借26414辆的成绩又㕛叒叕再一次的坐上冠军宝座，要知道在1月份除了有春节假期导致工作日减少外，还受到了疫情的影响。然而即便如此，哈弗H6的表现依然强势，是什么让消费者在重大疫情期间依然选择哈弗H6呢？茶哥决定在其热销车型哈弗H6运动</t>
  </si>
  <si>
    <t>　　近日，几何汽车官方发布了旗下首款纯电动SUV车型几何C的预告图。从外观设计上看，几何C拥有着动感流畅的车身线条，此外新车还采用了时下流行的悬浮式车顶以及隐藏式车门把手。据悉，几何C的风阻系数仅为Cd0.273，能够有效助力其在续航方面的表现。　　根据官方表示，几何C的前大灯采用的是“一字型”矩阵</t>
  </si>
  <si>
    <t>2020/02/26 08:36:00</t>
  </si>
  <si>
    <t>近日，几何汽车官方发布了旗下首款纯电动SUV车型几何C的预告图。从外观设计上看，几何C拥有着动感流畅的车身线条，此外新车还采用了时下流行的悬浮式车顶以及隐藏式车门把手。据悉，几何C的风阻系数仅为Cd0.273，能够有效助力其在续航方面的表现。    根据官方表示，几何C的前大灯采用的是“一字型”矩阵</t>
  </si>
  <si>
    <t>日前，据特斯拉官方表示，在1月份小批量生产后，特斯拉计划将首批Model Y车型于3月份交付到客户手中，且交付时间不早于3月15日。    Model Y不仅是特斯拉第五款量产车型，同时也是首款中型纯电动SUV。新车于2019年3月正式发布，直到量产也仅用了一年不到的时间，可谓非常迅速。此外，Mod</t>
  </si>
  <si>
    <t>2020/02/26 08:35:00</t>
  </si>
  <si>
    <t>　　日前，Polestar极星正式发布了旗下全新概念车Precept，新车采用了全新的品牌设计语言，并为今后产品引领方向。据悉，新车将于2020年日内瓦车展亮相。　　外观方面，新车前脸造型较为简洁，同时LED日间行车灯依旧延续了雷神之锤设计语言，点亮后极具识别度，此外，优雅的车身轮廓和低车身也展现出</t>
  </si>
  <si>
    <t>2020/02/26 08:32:00</t>
  </si>
  <si>
    <t>日前，Polestar极星正式发布了旗下全新概念车Precept，新车采用了全新的品牌设计语言，并为今后产品引领方向。据悉，新车将于2020年日内瓦车展亮相。    外观方面，新车前脸造型较为简洁，同时LED日间行车灯依旧延续了雷神之锤设计语言，点亮后极具识别度，此外，优雅的车身轮廓和低车身也展现出</t>
  </si>
  <si>
    <t>日前，雷诺正式发布了Twingo Z.E.车型的官方图片。新车基于第三代Twingo中期改款车型进行打造，定位于一款纯电微型车，动力上将搭载一块22kWh的电池组，WLTP工况下综合续航为180km。    外观方面，Twingo Z.E.与现款燃油版车型基本保持一致，但针对细节进行了一定修改。其中</t>
  </si>
  <si>
    <t>2020/02/26 08:18:00</t>
  </si>
  <si>
    <t>　　日前，雷诺正式发布了Twingo Z.E.车型的官方图片。新车基于第三代Twingo中期改款车型进行打造，定位于一款纯电微型车，动力上将搭载一块22kWh的电池组，WLTP工况下综合续航为180km。　　外观方面，Twingo Z.E.与现款燃油版车型基本保持一致，但针对细节进行了一定修改。其中</t>
  </si>
  <si>
    <t>投诉编号：【448764】  投诉时间： 2020-02-26 08:17  投诉品牌： 一汽马自达  投诉车系： 马自达CX-4  投诉车型： 2016款 2.0L 自动 两驱蓝天领先版        投诉内容  一汽马自达CX-4中控显示屏故障无法正常使用，中控显示屏乱跳，无法操作所有功能，要求</t>
  </si>
  <si>
    <t>2020/02/26 08:17:00</t>
  </si>
  <si>
    <t>　　日前，DS官方正式发布了旗下全新旗舰级轿车DS9车型的官图，新车基于PSA集团的EMP2平台打造，定位为中型车，全系标配插电式混动系统。据悉，该车将实现国产化，并有望于今年下半年正式上市。　　外观方面，DS 9采用了DS品牌鲜明的家族式设计风格，标志性的“三维立体钻石”六边形前格栅已经出现在大多</t>
  </si>
  <si>
    <t>2020/02/26 08:16:00</t>
  </si>
  <si>
    <t>日前，DS官方正式发布了旗下全新旗舰级轿车DS9车型的官图，新车基于PSA集团的EMP2平台打造，定位为中型车，全系标配插电式混动系统。据悉，该车将实现国产化，并有望于今年下半年正式上市。    外观方面，DS 9采用了DS品牌鲜明的家族式设计风格，标志性的“三维立体钻石”六边形前格栅已经出现在大多</t>
  </si>
  <si>
    <t>思域1.0t三缸发动机咋样？有车主投诉抖动问题吗？最早一批车主反馈好吗？</t>
  </si>
  <si>
    <t>2020/02/26 08:04:53</t>
  </si>
  <si>
    <t>日产劲客2020款智联豪华版有没有日间行车灯？</t>
  </si>
  <si>
    <t>投诉编号：【448763】投诉时间：2020-02-2608:04投诉品牌：奇瑞汽车投诉车系：艾瑞泽5投诉车型：2016款1.5LCVT领锐版投诉内容奇瑞艾瑞泽5车门把手无故损坏要求处理，本周休息四天，第五天上班把手自己坏了，要求厂家解决好车辆的问题。投诉回复车质网已将您的投诉转给生产企业以及国家市</t>
  </si>
  <si>
    <t>2020/02/26 08:04:00</t>
  </si>
  <si>
    <t>哪款问题少点，怕后面买了车一大堆问题。F7听说车机问题很多。</t>
  </si>
  <si>
    <t>2020/02/26 07:44:51</t>
  </si>
  <si>
    <t>晚上经过一段路的时候一只狗蹦出来撞到了前面，然后引擎盖就蹦一生就弹起来了，想问问该怎么处理。</t>
  </si>
  <si>
    <t>比亚迪宋双离合变速箱是干式的还是湿式的。</t>
  </si>
  <si>
    <t>本人新手初次买车，预算十万左右。自动挡。以上两款车三大件对比质量怎么样。品控怎么样。谢谢老师的回答。</t>
  </si>
  <si>
    <t>2020/02/26 07:36:13</t>
  </si>
  <si>
    <t>吉利远景X3可以换帝豪GS的中控屏幕吗？</t>
  </si>
  <si>
    <t>沃尔沃V90CC这款车怎么样可以购买吗？</t>
  </si>
  <si>
    <t>2020/02/26 07:32:47</t>
  </si>
  <si>
    <t>为什么启动时刹车踩一半，踩不下去啊。</t>
  </si>
  <si>
    <t>2020/02/26 07:25:14</t>
  </si>
  <si>
    <t>东风小康C32提不起速是怎么回事？</t>
  </si>
  <si>
    <t>放眼全球，新能源汽车的发展势头早已不可阻挡。国内众多自主品牌和造车新势力借着这股热潮，盼着能够早日实现“弯道超车”。新能源大潮来袭，的确给传统汽车品牌带来了不小的压力。有实力的大品牌纷纷转型，向新能源发展方向靠拢。经典、个性小众的传统汽车品牌也开始有所准备，比如年轻人都非常喜欢的MINI。日前，MI</t>
  </si>
  <si>
    <t>2020/02/26 07:10:00</t>
  </si>
  <si>
    <t>多年以来，宝马“X”车系中的“大哥”角色一直都是由X5来担当，虽然尽职尽责，可终究还是无法弥补宝马在大型SUV领域内的市场空白。如此尴尬局面直到宝马X7的推出才得以终结，而随着X7的上市，宝马在轿车以及SUV两条产品线上也终于是全部具备了真正意义上的旗舰产品。不得不说，宝马X7来的实在是有些太晚了，</t>
  </si>
  <si>
    <t>据国内领先的缺陷汽车产品信息收集平台车质网的统计数据显示，2019年国内微型车总投诉量为930宗，与2018年相比增加了452宗，上涨94.6%。其中，至少发生过一次车主投诉的微型车有50款，较2018年增加15款车型。榜单前十名依旧全部自主品牌车型。去除投诉人自愿申请撤诉的信息后，2019年国内微</t>
  </si>
  <si>
    <t>以往，自主品牌车型给人的印象大多是价格便宜、空间大、配置足，不太关注对于外表的修饰。而随着人们审美的提升，消费者对于汽车造型颜值的要求也越来越高，促使国内汽车市场刮起了一阵“颜值风暴”，席卷了各大汽车品牌及细分领域。作为最受消费者欢迎的车型分类，SUV在造型设计上无疑具有更强的可塑性，因此诞生了像博</t>
  </si>
  <si>
    <t>　　放眼全球，新能源汽车的发展势头早已不可阻挡。国内众多自主品牌和造车新势力借着这股热潮，盼着能够早日实现“弯道超车”。新能源大潮来袭，的确给传统汽车品牌带来了不小的压力。有实力的大品牌纷纷转型，向新能源发展方向靠拢。经典、个性小众的传统汽车品牌也开始有所准备，比如年轻人都非常喜欢的MINI。日前，</t>
  </si>
  <si>
    <t>　　据国内领先的缺陷汽车产品信息收集平台车质网的统计数据显示，2019年国内微型车总投诉量为930宗，与2018年相比增加了452宗，上涨94.6%。其中，至少发生过一次车主投诉的微型车有50款，较2018年增加15款车型。榜单前十名依旧全部自主品牌车型。去除投诉人自愿申请撤诉的信息后，2019年国</t>
  </si>
  <si>
    <t>　　多年以来，宝马“X”车系中的“大哥”角色一直都是由X5来担当，虽然尽职尽责，可终究还是无法弥补宝马在大型SUV领域内的市场空白。如此尴尬局面直到宝马X7的推出才得以终结，而随着X7的上市，宝马在轿车以及SUV两条产品线上也终于是全部具备了真正意义上的旗舰产品。不得不说，宝马X7来的实在是有些太晚</t>
  </si>
  <si>
    <t>　　以往，自主品牌车型给人的印象大多是价格便宜、空间大、配置足，不太关注对于外表的修饰。而随着人们审美的提升，消费者对于汽车造型颜值的要求也越来越高，促使国内汽车市场刮起了一阵“颜值风暴”，席卷了各大汽车品牌及细分领域。作为最受消费者欢迎的车型分类，SUV在造型设计上无疑具有更强的可塑性，因此诞生了</t>
  </si>
  <si>
    <t>劲客论坛</t>
  </si>
  <si>
    <t>日产颈客20款豪华版 没有日行灯宣传与实际不符，没有日行灯</t>
  </si>
  <si>
    <t>鲍鱼</t>
  </si>
  <si>
    <t>2020/02/26 06:49:00</t>
  </si>
  <si>
    <t>投诉编号：【448761】  投诉时间： 2020-02-26 04:32  投诉品牌： 东风本田  投诉车系： 思域  投诉车型： 2016款 220TURBO 自动 豪华版        投诉内容  东风本田思域曲轴后油封漏油，不知道是什么情况？开车很仔细，定期保养！没有任何暴力驾驶！就保养的时</t>
  </si>
  <si>
    <t>2020/02/26 04:32:00</t>
  </si>
  <si>
    <t>投诉编号：【448760】 
投诉时间： 2020-02-26 01:48 
投诉品牌： 北汽银翔 
投诉车系： 幻速S6 
投诉车型： 2016款 1.5T 手动 智能型 
北汽幻速S6天窗生锈腐烂胶条脱落并且漏水</t>
  </si>
  <si>
    <t>2020/02/26 04:18:29</t>
  </si>
  <si>
    <t>投诉编号：【448757】 
投诉时间： 2020-02-26 00:38 
投诉品牌： 上汽通用别克 
投诉车系： 凯越 
投诉车型： 2008款 1.6 自动 LE 
别克凯越中控台饰板翘起存在严重安全隐患</t>
  </si>
  <si>
    <t>2020/02/26 01:58:04</t>
  </si>
  <si>
    <t>投诉编号：【448758】  投诉时间： 2020-02-26 00:54  投诉品牌： 众泰汽车  投诉车系： 众泰Z500  投诉车型： 2015款 1.5T 手动 尊贵型        投诉内容  众泰控股集团有限公司生产的轿车存在严重质量问题，在保期内出现的减震器、转向机、电子转向助力泵故障</t>
  </si>
  <si>
    <t>2020/02/26 00:54:00</t>
  </si>
  <si>
    <t>投诉编号：【448755】  投诉时间： 2020-02-26 00:02  投诉品牌： 上汽大众  投诉车系： 帕萨特  投诉车型： 2019款 330TSI 豪华版 国VI        投诉内容  1:油表显示失灵的问题、2019年9月，车里还有半箱油，车打着后，油表显示一点油都没有了，便去加</t>
  </si>
  <si>
    <t>2020/02/26 00:02:00</t>
  </si>
  <si>
    <t>投诉编号：【448751】 
投诉时间： 2020-02-25 23:35 
投诉品牌： 北京现代 
投诉车系： 索纳塔九 
投诉车型： 2017款 1.6T 双离合 GLS智能型 
高速微调反向盘卡顿</t>
  </si>
  <si>
    <t>2020/02/25 23:59:59</t>
  </si>
  <si>
    <t>投诉编号：【448753】  投诉时间： 2020-02-25 23:48  投诉品牌： 上汽集团  投诉车系： 名爵HS  投诉车型： 2019款 20T 自动 两驱 豪华版 国VI        投诉内容  上汽名爵HS行驶过程中变速箱有严重异响，新车才2000多公里发动机舱就开始出现叮叮叮铁链</t>
  </si>
  <si>
    <t>2020/02/25 23:48:00</t>
  </si>
  <si>
    <t>投诉编号：【448740】 
投诉时间： 2020-02-25 21:39 
投诉品牌： 上汽通用别克 
投诉车系： 君威 
投诉车型： 2017款 28T 自动 尊享型 
漏汽油，后排座椅浸水，刹车干扰收音，雷达无故失效</t>
  </si>
  <si>
    <t>2020/02/25 23:10:28</t>
  </si>
  <si>
    <t>投诉编号：【448749】  投诉时间： 2020-02-25 23:08  投诉品牌： 江淮汽车  投诉车系： 嘉悦A5  投诉车型： 2020款 1.5T CVT 精英型        投诉内容  车辆驾驶室及后排大量进水，出厂存在质量缺陷，要求换车。      投诉回复  车质网已将您的投诉转</t>
  </si>
  <si>
    <t>2020/02/25 23:08:00</t>
  </si>
  <si>
    <t>投诉编号：【448734】 
投诉时间： 2020-02-25 21:14 
投诉品牌： 猎豹汽车 
投诉车系： 猎豹CS9 
投诉车型： 2017款 1.5L 手动 风尚型 
转向系统有意向，电瓶缺电打不着火</t>
  </si>
  <si>
    <t>2020/02/25 22:08:02</t>
  </si>
  <si>
    <t>投诉编号：【448736】 
投诉时间： 2020-02-25 21:27 
投诉品牌： 江淮汽车 
投诉车系： 瑞风S3 
投诉车型： 2014款 1.5L 手动 豪华型 
严重吃胎</t>
  </si>
  <si>
    <t>2020/02/25 22:08:00</t>
  </si>
  <si>
    <t>投诉编号：【448737】  投诉时间： 2020-02-25 21:31  投诉品牌： 长安汽车  投诉车系： 睿骋  投诉车型： 2014款 1.8T 自动 尊贵周年版 国IV        投诉内容  车辆异味太严重了，每次开车都要开窗，购车到现在异味依然没有好转，严重影响健康，希望得到妥善处</t>
  </si>
  <si>
    <t>2020/02/25 21:31:00</t>
  </si>
  <si>
    <t>投诉编号：【448735】  投诉时间： 2020-02-25 21:19  投诉品牌： 广汽丰田  投诉车系： 凯美瑞  投诉车型： 2015款 2.0G 自动 领先版        投诉内容  15年的凯美瑞。刚过质保期。前面两个半轴防尘套出现严重漏油情况，网上很多反应是通病。      投诉回</t>
  </si>
  <si>
    <t>2020/02/25 21:19:00</t>
  </si>
  <si>
    <t>投诉编号：【448732】  投诉时间： 2020-02-25 21:09  投诉品牌： 东风日产  投诉车系： 天籁  投诉车型： 2020款 2.0L XL 舒适版        投诉内容  汽车转速1100转左右车辆共振噪音。油箱加满后异响，行驶不平整的路出现咕噜咕噜声音，1000公里时出现拐</t>
  </si>
  <si>
    <t>2020/02/25 21:09:00</t>
  </si>
  <si>
    <t>投诉编号：【448730】 
投诉时间： 2020-02-25 20:12 
投诉品牌： 上汽斯柯达 
投诉车系： 明锐 
投诉车型： 2018款 TSI230 DSG 豪华版 旅行版 
冷车左转向时，左前轮异响</t>
  </si>
  <si>
    <t>2020/02/25 20:15:27</t>
  </si>
  <si>
    <t>投诉编号：【448727】  投诉时间： 2020-02-25 19:56  投诉品牌： 北京奔驰  投诉车系： 奔驰GLC  投诉车型： 2020款 GLC 300 L 4MATIC 动感型        投诉内容  2019年9月24号提的车在2020年2月8号偶然发现右前轮右侧面裂口1条胎压正</t>
  </si>
  <si>
    <t>2020/02/25 19:56:00</t>
  </si>
  <si>
    <t>投诉编号：【448726】  投诉时间： 2020-02-25 19:54  投诉品牌： 广汽本田  投诉车系： 雅阁  投诉车型： 2016款 2.0L E-CVT 锐酷版 混动        投诉内容  车买上之后发现电瓶就亏电。车是库存车给厂家反映了好多次只换了启动电瓶，动力电瓶不给解决。现在</t>
  </si>
  <si>
    <t>2020/02/25 19:54:00</t>
  </si>
  <si>
    <t>投诉编号：【448725】  投诉时间： 2020-02-25 19:48  投诉品牌： 一汽-大众  投诉车系： 速腾  投诉车型： 2019款 280TSI DSG 舒适型 国V        投诉内容  从年前开始，每次下雨副驾驶便有水漏进来，检查发现天窗排水孔并无堵塞，天窗也无法正常关闭，每</t>
  </si>
  <si>
    <t>2020/02/25 19:48:00</t>
  </si>
  <si>
    <t>投诉编号：【448724】  投诉时间： 2020-02-25 19:45  投诉品牌： 长城汽车  投诉车系： 哈弗H7  投诉车型： 2018款 2.0T 智享型 蓝标        投诉内容  哈弗H7后备箱盖生锈严重影响美观，希望尽快处理。      投诉回复  车质网已将您的投诉转给生产企</t>
  </si>
  <si>
    <t>2020/02/25 19:45:00</t>
  </si>
  <si>
    <t>投诉编号：【448721】  投诉时间： 2020-02-25 19:30  投诉品牌： 北京现代  投诉车系： 途胜  投诉车型： 2015款 1.6T   双离合 两驱 智能型        投诉内容  变速箱漏油一周，汽车行驶过程中油门顿挫时间较长，已连续出现一年，去4S店检查过几次，也换过压</t>
  </si>
  <si>
    <t>2020/02/25 19:30:00</t>
  </si>
  <si>
    <t>投诉编号：【448720】  投诉时间： 2020-02-25 19:24  投诉品牌： 广汽丰田  投诉车系： 凯美瑞  投诉车型： 2015款 2.0G 自动 领先版        投诉内容  使用2年多保养时发现双边轴防尘套渗油，当时4S工作人员告知是正常现象，后来便无理会，至19年保养时发现</t>
  </si>
  <si>
    <t>2020/02/25 19:24:00</t>
  </si>
  <si>
    <t>投诉编号：【448718】  投诉时间： 2020-02-25 19:17  投诉品牌： 一汽-大众  投诉车系： 探岳  投诉车型： 2019款 330TSI 四驱 豪华型 国V        投诉内容  车灯透镜里面有白色一层，严重影响灯光效果。      投诉回复  车质网已将您的投诉转给生产</t>
  </si>
  <si>
    <t>2020/02/25 19:17:00</t>
  </si>
  <si>
    <t>投诉编号：【448717】  投诉时间： 2020-02-25 19:12  投诉品牌： 长城汽车  投诉车系： 哈弗M6  投诉车型： 2018款 1.5T DCT 两驱 精英型 改款        投诉内容  驾驶位车门附近异响，道路稍有不平，就特别明显。      投诉回复  车质网已将您的投</t>
  </si>
  <si>
    <t>2020/02/25 19:12:00</t>
  </si>
  <si>
    <t>投诉编号：【448715】  投诉时间： 2020-02-25 19:07  投诉品牌： 吉利汽车  投诉车系： 缤越  投诉车型： 2019款 260T DCT 骑士 国VI        投诉内容  购车时加装led大灯花费2000元，回来之后发现只有近光是led灯，远光是卤素灯，没有提前告知。</t>
  </si>
  <si>
    <t>2020/02/25 19:07:00</t>
  </si>
  <si>
    <t>投诉编号：【448713】  投诉时间： 2020-02-25 18:54  投诉品牌： 东风日产  投诉车系： 天籁  投诉车型： 2019款 2.0T XL Upper 智享版        投诉内容  提车三个月，1000公里首保的时候发现变速箱漏油，检查的时候发动机下护板海绵已经被机油滴出一</t>
  </si>
  <si>
    <t>2020/02/25 18:54:00</t>
  </si>
  <si>
    <t>投诉编号：【448710】  投诉时间： 2020-02-25 18:51  投诉品牌： 广汽本田  投诉车系： 雅阁  投诉车型： 2018款 2.0L 锐智版 锐·混动 国VI        投诉内容  广汽本田雅阁转向卡顿严重影响安全，希望尽快得到处理。      投诉回复  车质网已将您的投</t>
  </si>
  <si>
    <t>2020/02/25 18:51:00</t>
  </si>
  <si>
    <t>投诉编号：【448708】  投诉时间： 2020-02-25 18:48  投诉品牌： 上汽集团  投诉车系： 荣威i6新能源  投诉车型： 2019款 PLUS 50T 互联网荣耀旗舰版        投诉内容  19年8月购买荣威ei6汽车，行驶25000km，20年2月LED大灯不亮。4S检</t>
  </si>
  <si>
    <t>2020/02/25 18:48:00</t>
  </si>
  <si>
    <t>投诉编号：【448706】  投诉时间： 2020-02-25 18:42  投诉品牌： 一汽丰田  投诉车系： RAV4荣放  投诉车型： 2020款 2.0L CVT 两驱 风尚版        投诉内容  一汽丰田RAV4荣放发动机多处进泥浆，现在厂家那边放任不管。      投诉回复  车质</t>
  </si>
  <si>
    <t>2020/02/25 18:42:00</t>
  </si>
  <si>
    <t>投诉编号：【448707】  投诉时间： 2020-02-25 18:42  投诉品牌： 一汽-大众  投诉车系： 探岳  投诉车型： 2019款 330TSI 两驱 豪华型 国Ⅵ        投诉内容  前大灯透镜起雾有斑点影响亮度。油箱活性碳罐电磁阀漏气发动机报故障已经维修换件一次，二次报警。</t>
  </si>
  <si>
    <t>日前，梅赛德斯-奔驰（中国）汽车销售有限公司根据《缺陷汽车产品召回管理条例》和《缺陷汽车产品召回管理条例实施办法》的要求，向国家市场监督管理总局备案了召回计划。将自2020年3月27日起，扩大召回2018年5月31日至2019年1月24日生产的部分进口E级两驱汽车，共计1531辆。    本次召回范</t>
  </si>
  <si>
    <t>2020/02/25 18:39:00</t>
  </si>
  <si>
    <t>　　日前，梅赛德斯-奔驰（中国）汽车销售有限公司根据《缺陷汽车产品召回管理条例》和《缺陷汽车产品召回管理条例实施办法》的要求，向国家市场监督管理总局备案了召回计划。将自2020年3月27日起，扩大召回2018年5月31日至2019年1月24日生产的部分进口E级两驱汽车，共计1531辆。　　本次召回范</t>
  </si>
  <si>
    <t>　　日前，梅赛德斯-奔驰（中国）汽车销售有限公司根据《缺陷汽车产品召回管理条例》和《缺陷汽车产品召回管理条例实施办法》的要求，向国家市场监督管理总局备案了召回计划。自2020年3月30日起，召回部分2018年6月2日至2018年10月31日生产的进口C级、E级、G级、CLS级、GLC SUV、AMG</t>
  </si>
  <si>
    <t>2020/02/25 18:33:00</t>
  </si>
  <si>
    <t>日前，梅赛德斯-奔驰（中国）汽车销售有限公司根据《缺陷汽车产品召回管理条例》和《缺陷汽车产品召回管理条例实施办法》的要求，向国家市场监督管理总局备案了召回计划。自2020年3月30日起，召回部分2018年6月2日至2018年10月31日生产的进口C级、E级、G级、CLS级、GLC SUV、AMG G</t>
  </si>
  <si>
    <t>日前，宝马（中国）汽车贸易有限公司根据《缺陷汽车产品召回管理条例》和《缺陷汽车产品召回管理条例实施办法》的要求，向国家市场监督管理总局备案了召回计划。自2020年2月29日起，召回2016年4月23日至2019年11月30日之间生产的进口C400GT、C400X、G310GS、G310R摩托车，共计</t>
  </si>
  <si>
    <t>2020/02/25 18:30:00</t>
  </si>
  <si>
    <t>　　日前，宝马（中国）汽车贸易有限公司根据《缺陷汽车产品召回管理条例》和《缺陷汽车产品召回管理条例实施办法》的要求，向国家市场监督管理总局备案了召回计划。自2020年2月29日起，召回2016年4月23日至2019年11月30日之间生产的进口C400GT、C400X、G310GS、G310R摩托车，</t>
  </si>
  <si>
    <t>投诉编号：【448703】  投诉时间： 2020-02-25 17:48  投诉品牌： 长安汽车  投诉车系： 睿骋  投诉车型： 2014款 1.8T 自动 尊贵周年版 国IV        投诉内容  刚开始买的时候轮胎挺好的，时间稍久就发现轮胎开裂，原地打方向竟然爆了，也是无语了，家里亲戚也</t>
  </si>
  <si>
    <t>2020/02/25 17:48:00</t>
  </si>
  <si>
    <t>投诉编号：【448701】  投诉时间： 2020-02-25 17:41  投诉品牌： 北京奔驰  投诉车系： 奔驰GLB  投诉车型： 2020款 GLB 200 动感型        投诉内容  2020年1月17日下午五点从4S店出发回家，因下班高峰路上行驶较慢，行驶一个多钟到市区后我下车到</t>
  </si>
  <si>
    <t>2020/02/25 17:41:00</t>
  </si>
  <si>
    <t>投诉编号：【448699】投诉时间：2020-02-2517:30投诉品牌：吉利汽车投诉车系：远景投诉车型：2018款1.5L手动幸福版投诉内容前门左右门缝隙固定位置螺丝边生锈，开车过坎时座椅和车窗异响，中控屏出现过黑屏，挂倒挡时出现过无信号。投诉回复车质网已将您的投诉转给生产企业以及国家市场监督管</t>
  </si>
  <si>
    <t>2020/02/25 17:30:00</t>
  </si>
  <si>
    <t>投诉编号：【448698】  投诉时间： 2020-02-25 17:26  投诉品牌： 一汽-大众奥迪  投诉车系： 奥迪A6L  投诉车型： 2018款 35 TFSI 双离合 时尚型        投诉内容  新车不到半年时间就开始出现变速箱顿挫，去4S店，服务人员也试驾有明显顿挫感，现在在低</t>
  </si>
  <si>
    <t>2020/02/25 17:26:00</t>
  </si>
  <si>
    <t>投诉编号：【448696】投诉时间：2020-02-2517:14投诉品牌：北京现代投诉车系：领动投诉车型：2016款1.6L自动智炫・精英型投诉内容太无语了！整车其他的小毛病问题我能忍！但是，这个方向盘我真的忍不了，什么电子助力，这根本就是0助力！之前方向卡顿换过方向管柱了，现在又特别沉重！开起来</t>
  </si>
  <si>
    <t>2020/02/25 17:14:00</t>
  </si>
  <si>
    <t>投诉编号：【448695】  投诉时间： 2020-02-25 17:13  投诉品牌： 上汽大众  投诉车系： 凌渡  投诉车型： 2015款 280TSI DSG 舒适版        投诉内容  车子刚过质保六个月就出现变速箱问题，4S店检测变速箱机电单元损坏，维修费用达到17000元。我觉得</t>
  </si>
  <si>
    <t>2020/02/25 17:13:00</t>
  </si>
  <si>
    <t>宝骏530自动挡质量怎么样？</t>
  </si>
  <si>
    <t>2020/02/25 17:06:10</t>
  </si>
  <si>
    <t>投诉编号：【448694】投诉时间：2020-02-2516:49投诉品牌：广汽三菱投诉车系：欧蓝德投诉车型：2019款2.4L四驱致享版7座国VI投诉内容2019年8月提的车，每次加满油后前几公里都会有几次顿挫，像是刹车一样，几公里后就会消失，这个到底是变速箱问题还是油泵的问题，那么多反映的为什么</t>
  </si>
  <si>
    <t>2020/02/25 16:49:00</t>
  </si>
  <si>
    <t>去年买的车，开了10个月，跑了6000+，今天发现速度达到80码左右就会听到一种像吹哨子一样的声音，而且近段时间水温上升较快，水箱风扇经常启动，请问是什么问题？</t>
  </si>
  <si>
    <t>2020/02/25 16:48:09</t>
  </si>
  <si>
    <t>长安CS75 PLUS发动机故障灯亮是什么原因？</t>
  </si>
  <si>
    <t>2020/02/25 16:34:55</t>
  </si>
  <si>
    <t>实践证明，勤劳的维护自己的爱车是延长爱车使用寿命的重要方法。因此为了您的安全，在每次出车前，提醒您较好做以下检查：①环视汽车，看看灯光装置有没有损坏，后视镜的位置是否正确，车身有没有倾斜；②检查发动机机油油面高度、制动液液面高度和动力转向储油罐液面高度，检查冷却液液面高度、风窗清洗液液面高度，并检查</t>
  </si>
  <si>
    <t>2020/02/25 16:30:00</t>
  </si>
  <si>
    <t>车辆保养每天应该做哪些事情实践证明，勤劳的维护自己的爱车是延长爱车使用寿命的重要方法。因此为了您的安全，在每次出车前，提醒您较好做以下检查：①环视汽车，看看灯光装置有没有损坏，后视镜的位置是否正确，车身有没有倾斜；②检查发动机机油油面高度、制动液液面高度和动力转向储油罐液面高度，检查冷却液液面高度、</t>
  </si>
  <si>
    <t>请问专家：雪铁龙C3-XR、新捷达VS5、雪佛兰创酷三款车谁更值得入手。请专家指点。谢谢！</t>
  </si>
  <si>
    <t>2020/02/25 16:26:50</t>
  </si>
  <si>
    <t>投诉编号：【448691】投诉时间：2020-02-2516:08投诉品牌：广汽丰田投诉车系：凯美瑞投诉车型：2007款240G豪华版投诉内容广汽丰田凯美瑞仪表台开裂，且发光发油发软，不开窗户受不了，太阳射进来反光严重影响正常行车安全，明显的是质量问题，要求厂家解决车质量问题。投诉回复车质网已将您的</t>
  </si>
  <si>
    <t>2020/02/25 16:08:00</t>
  </si>
  <si>
    <t>投诉编号：【448691】 
投诉时间： 2020-02-25 16:08 
投诉品牌： 广汽丰田 
投诉车系： 凯美瑞 
投诉车型： 2007款 240G 豪华版 
一汽奔腾T77车身漆面存在明显色差</t>
  </si>
  <si>
    <t>2020/02/25 15:58:59</t>
  </si>
  <si>
    <t>投诉编号：【448688】  投诉时间： 2020-02-25 15:56  投诉品牌： 大众（进口）  投诉车系： 尚酷  投诉车型： 2011款 1.4TSI 舒适版        投诉内容  进口大众尚酷变速箱阀体损坏不予质保，大众尚酷11年1.4t变速箱阀体坏了，当初说十年16万公里免费修现</t>
  </si>
  <si>
    <t>2020/02/25 15:56:00</t>
  </si>
  <si>
    <t>投诉编号：【448686】  投诉时间： 2020-02-25 15:55  投诉品牌： 众泰汽车  投诉车系： 众泰T600  投诉车型： 2016款 1.5T 手动 尊享型 运动版        投诉内容  我在2019年11月3号在甘肃庆4s店维修大灯，维修好到2019年11月.14号，大灯L</t>
  </si>
  <si>
    <t>2020/02/25 15:55:00</t>
  </si>
  <si>
    <t>投诉编号：【448684】投诉时间：2020-02-2515:50投诉品牌：上汽集团投诉车系：名爵ZS投诉车型：2018款1.5L自动豪华版国V投诉内容底盘、悬架、副车架、摆臂、拉杆、转向杆、中控台、后桥、排气管等部件大面积生锈，从首保时候我就发现生锈，找4S店售后人员，回复说正常，二保就严重了，4</t>
  </si>
  <si>
    <t>2020/02/25 15:50:00</t>
  </si>
  <si>
    <t>投诉编号：【448681】  投诉时间： 2020-02-25 15:44  投诉品牌： 一汽-大众奥迪  投诉车系： 奥迪A3  投诉车型： 2019款 Sportback 35 TFSI 时尚型 国VI        投诉内容  一汽大众奥迪A3谈好的免费保养一直不给加把客户当傻子，一直在拖，销</t>
  </si>
  <si>
    <t>2020/02/25 15:44:00</t>
  </si>
  <si>
    <t>投诉编号：【448677】  投诉时间： 2020-02-25 15:28  投诉品牌： 广汽丰田  投诉车系： 凯美瑞  投诉车型： 2008款 240G 2.4 自动        投诉内容  本车辆从2013年开始烧机油，当时公里数为8万多公里，在5000公里做保养时机油尺就到下限了，本人在4</t>
  </si>
  <si>
    <t>2020/02/25 15:28:00</t>
  </si>
  <si>
    <t>投诉编号：【448673】  投诉时间： 2020-02-25 15:23  投诉品牌： 广汽丰田  投诉车系： 凯美瑞  投诉车型： 2013款 2.0 自动 舒适版        投诉内容  该车2014.7.26在该店购买，后一直在该店养护，到60000公里时发动机开始渗漏和气门底托响（该店维</t>
  </si>
  <si>
    <t>2020/02/25 15:23:00</t>
  </si>
  <si>
    <t>投诉编号：【448670】 
投诉时间： 2020-02-25 15:11 
投诉品牌： 上汽斯柯达 
投诉车系： 昊锐 
投诉车型： 2009款 2.0TSI 自动 尊雅版 
斯柯达昊锐车内异味严重影响人员健康</t>
  </si>
  <si>
    <t>2020/02/25 15:22:37</t>
  </si>
  <si>
    <t>投诉编号：【448672】  投诉时间： 2020-02-25 15:18  投诉品牌： 北京现代  投诉车系： 朗动  投诉车型： 2015款 1.6L 自动 尊贵型        投诉内容  4个车门生绣，密封胶条撕开一点点就能看到，如图，4个车门的排水孔有不同程度的生绣，希望厂家可以安排工作人</t>
  </si>
  <si>
    <t>2020/02/25 15:18:00</t>
  </si>
  <si>
    <t xml:space="preserve">
    投诉编号：【448659】
    投诉时间： 2020-02-25 14:28
    投诉品牌： 上汽通用雪佛兰
    投诉车系： 科沃兹
    投诉车型： 2019款 320 自动 欣享天窗版
雪佛兰科沃兹打方向卡滞行驶中跑偏</t>
  </si>
  <si>
    <t>2020/02/25 15:04:08</t>
  </si>
  <si>
    <t>投诉编号：【448668】  投诉时间： 2020-02-25 15:02  投诉品牌： 广汽丰田  投诉车系： 雷凌  投诉车型： 2019款 185T CVT 豪华版 国V        投诉内容  广汽丰田雷凌挂P或N挡转速指针不稳定，水温上来之后，等红绿灯时挂P/N挡转速指针飘忽不定，指针在</t>
  </si>
  <si>
    <t>2020/02/25 15:02:00</t>
  </si>
  <si>
    <t>迈凯伦650S改装LB</t>
  </si>
  <si>
    <t>2020/02/25 15:01:00</t>
  </si>
  <si>
    <t>迈凯伦650S改装LB迈凯伦650S改装LB</t>
  </si>
  <si>
    <t>投诉编号：【448666】投诉时间：2020-02-2515:00投诉品牌：北汽银翔投诉车系：幻速S6投诉车型：2017款1.5T手动智能型投诉内容发动机响声很大，内后视镜防眩功能损坏不能使用，外后视镜漆面颜色变色，本来是棕色的现在变成白色了。倒车影像时有时无，一直托到现在不处理，老是说没配件。投诉</t>
  </si>
  <si>
    <t>2020/02/25 15:00:00</t>
  </si>
  <si>
    <t>投诉编号：【448665】投诉时间：2020-02-2514:54投诉品牌：东风悦达起亚投诉车系：KXCROSS投诉车型：2018款1.6L自动灵动天窗版投诉内容买的是新车价格，行驶不到3000公里，2个月不到。发现主驾驶车门B柱焊点开裂，变形，车门关不平。前后车门不在一条平行线。行驶中车内和车外有</t>
  </si>
  <si>
    <t>2020/02/25 14:54:00</t>
  </si>
  <si>
    <t>受到疫情的影响，很多人都宅在家，而一些房车车友虽然也想开着房车出行，但无奈限制出行，只能将爱车闲置一旁。听很多人说车辆闲置很容易“放坏”，那么房车闲置不用时应该如何保养呢？本期小美就来说说房车闲置时的保养措施。注意车内排水：目前大部分地区的气温都在零上，而北方地区则存在零下的气温，因此车友们遇到气温</t>
  </si>
  <si>
    <t>爱玩爱野</t>
  </si>
  <si>
    <t>2020/02/25 14:52:00</t>
  </si>
  <si>
    <t>国产越野房车该如何保养呢？受到疫情的影响，很多人都宅在家，而一些房车车友虽然也想开着房车出行，但无奈限制出行，只能将爱车闲置一旁。听很多人说车辆闲置很容易“放坏”，那么房车闲置不用时应该如何保养呢？本期小美就来说说房车闲置时的保养措施。注意车内排水：目前大部分地区的气温都在零上，而北方地区则存在零下</t>
  </si>
  <si>
    <t>投诉编号：【448659】 
投诉时间： 2020-02-25 14:28 
投诉品牌： 上汽通用雪佛兰 
投诉车系： 科沃兹 
投诉车型： 2019款 320 自动 欣享天窗版 
中控屏黑屏打不开</t>
  </si>
  <si>
    <t>2020/02/25 14:42:54</t>
  </si>
  <si>
    <t>投诉编号：【448662】  投诉时间： 2020-02-25 14:40  投诉品牌： 奇瑞汽车  投诉车系： 瑞虎5  投诉车型： 2014款 2.0L CVT 家悦版        投诉内容  前两天刚好下雨，汽车一开始启动是好难打着火，停了两天，这次彻底打不着火了，就给修理厂修理，修理厂找到</t>
  </si>
  <si>
    <t>2020/02/25 14:40:00</t>
  </si>
  <si>
    <t>我打算买艾瑞泽GX冠军版，这个油耗怎么样，故障率如何？麻烦熟悉的朋友告知一下，多谢您了！</t>
  </si>
  <si>
    <t>2020/02/25 14:28:52</t>
  </si>
  <si>
    <t>挡杆锁止故障修一下大概要多少钱</t>
  </si>
  <si>
    <t>2020/02/25 14:24:11</t>
  </si>
  <si>
    <t>投诉编号：【448657】投诉时间：2020-02-2514:22投诉品牌：广汽丰田投诉车系：YARiSL致炫投诉车型：2016款1.5ECVT魅动版改款投诉内容2020年1月4号在本4S店保养后做了刹车保养，出现方向盘越来越重，而且方向盘回正也加重，没有方向回正吃力，通知丰田4s店售后回到本店检测</t>
  </si>
  <si>
    <t>2020/02/25 14:22:00</t>
  </si>
  <si>
    <t>投诉编号：【448655】投诉时间：2020-02-2514:21投诉品牌：上汽集团投诉车系：名爵HS投诉车型：2018款20T自动两驱荷尔蒙激情版国V投诉内容车辆熄火后5分钟内，经常提示电瓶电压不足，造成车内的电器元件不能用；车辆停放不能超过一周，电瓶就亏的没电了，才1年的新车，电瓶就出现问题，看</t>
  </si>
  <si>
    <t>2020/02/25 14:21:00</t>
  </si>
  <si>
    <t>投诉编号：【448652】投诉时间：2020-02-2514:03投诉品牌：一汽丰田投诉车系：奕泽IZOA投诉车型：2018款2.0L奕驰版国V投诉内容车辆行驶半年后陆续出现了好多问题:（1）刹车系统故障，突发在行驶当中，刹车踏板震动剧烈无法下踩，制动困难，经店内维修（使用过两次吊架）1小时后，问题</t>
  </si>
  <si>
    <t>2020/02/25 14:03:00</t>
  </si>
  <si>
    <t>投诉编号：【448650】  投诉时间： 2020-02-25 13:59  投诉品牌： 广汽本田  投诉车系： 缤智  投诉车型： 2019款 220 TURBO CVT 精英版 国VI        投诉内容  新车2230公里，怠速抖动，冷启声音大，转速高，座椅明显能感觉到震动，排气筒偶尔有突</t>
  </si>
  <si>
    <t>2020/02/25 13:59:00</t>
  </si>
  <si>
    <t>投诉编号：【448649】  投诉时间： 2020-02-25 13:56  投诉品牌： 一汽奔腾  投诉车系： 奔腾T77  投诉车型： 2019款 230 TID 自动 豪华型 国V        投诉内容  快二次保养了到4s店发现发动机漏油，现在还没有给处理。      投诉回复  车质网已</t>
  </si>
  <si>
    <t>2020/02/25 13:56:00</t>
  </si>
  <si>
    <t>投诉编号：【448646】  投诉时间： 2020-02-25 13:46  投诉品牌： 广汽本田  投诉车系： 奥德赛  投诉车型： 2017款 2.4L CVT 智享版        投诉内容  车辆在2017年6月15购买，当车行驶不到2万公里的时候发现烧机油，厂家让贴封条跑了4600公里烧了</t>
  </si>
  <si>
    <t>2020/02/25 13:46:00</t>
  </si>
  <si>
    <t>投诉编号：【448645】投诉时间：2020-02-2513:41投诉品牌：一汽-大众奥迪投诉车系：奥迪A6L投诉车型：2018款35TFSI典藏版投诉内容行驶中突然间没有挡位，怠速时窜到五千转左右，去四S店N次电脑检测不出故障，最后四S店给换了个变速箱电子件，和售后联系过多次，他们推给四S店。到现</t>
  </si>
  <si>
    <t>2020/02/25 13:41:00</t>
  </si>
  <si>
    <t>平时大家肯定都特别爱惜自己的车，对于很多人来说，车就是伙伴和朋友，每天陪着我们上下班，休息的时候带着全家出游。虽然我们很爱惜车，但是在很多用车的细节上，还真的不一定能注意到，今天咱们就汇总一些爱车小秘籍吧。1、天窗不怎么用也要经常开启有天窗但不怎么用的车主大有人在，多数是因为城市里空气环境太差，开天</t>
  </si>
  <si>
    <t>OUTLAWSA</t>
  </si>
  <si>
    <t>2020/02/25 13:35:00</t>
  </si>
  <si>
    <t>呵护爱车小秘籍整理 全做到可真不容易平时大家肯定都特别爱惜自己的车，对于很多人来说，车就是伙伴和朋友，每天陪着我们上下班，休息的时候带着全家出游。虽然我们很爱惜车，但是在很多用车的细节上，还真的不一定能注意到，今天咱们就汇总一些爱车小秘籍吧。1、天窗不怎么用也要经常开启有天窗但不怎么用的车主大有人在</t>
  </si>
  <si>
    <t>除了轮胎，我们的车窗角落上同样隐藏着很多符号代码，接下来牛车实验室就为大家解读车窗上字母和数字符号的含义。汽车玻璃的符号位于车窗角落处，可以很轻松找到。以下图为例，汽车玻璃角标总共向我展示了八种含义，其中前三种为符号或Logo形式，最好理解。1、代表汽车品牌，样图中的为中华牌。2、3C（中国强制性产</t>
  </si>
  <si>
    <t>2020/02/25 13:34:00</t>
  </si>
  <si>
    <t xml:space="preserve">汽车轮胎如同我们脚掌上的鞋子，鞋更合脚，走路才能更舒服。汽车轮胎同样如此，在选择汽车轮胎时，不仅尺寸要合适，还要选择更适合自己驾驶环境的轮胎。那么接下来，牛车实验室就带您聊聊汽车轮胎上的各种编号都代表着什么含义。一、轮胎规格轮胎规格是我们最常提到的数值，这也是汽车轮胎的最基本参数。例如235/50 </t>
  </si>
  <si>
    <t>小车窗大学问 解读车窗角标的含义除了轮胎，我们的车窗角落上同样隐藏着很多符号代码，接下来牛车实验室就为大家解读车窗上字母和数字符号的含义。汽车玻璃的符号位于车窗角落处，可以很轻松找到。以下图为例，汽车玻璃角标总共向我展示了八种含义，其中前三种为符号或Logo形式，最好理解。1、代表汽车品牌，样图中的</t>
  </si>
  <si>
    <t>重要信息不能忽略 解读轮胎上字母与数字的含义汽车轮胎如同我们脚掌上的鞋子，鞋更合脚，走路才能更舒服。汽车轮胎同样如此，在选择汽车轮胎时，不仅尺寸要合适，还要选择更适合自己驾驶环境的轮胎。那么接下来，牛车实验室就带您聊聊汽车轮胎上的各种编号都代表着什么含义。一、轮胎规格轮胎规格是我们最常提到的数值，这</t>
  </si>
  <si>
    <t>随着新能源汽车的竞争不断的增加，越来越多的新能源汽车进入到眼帘，一提新能源，第一印象就是环保节能。从纯电动汽车到氢能源汽车，新能源汽车的产品不断的增加，随着氢能源技术的发展，也逐渐的让人所知道，如果氢能源车普及，你会选择它吗？ 氢能源顾名思义是以氢作为能源的汽车，将氢反应所产生的化学能转换为机械能以</t>
  </si>
  <si>
    <t>2020/02/25 13:33:00</t>
  </si>
  <si>
    <t>对于车辆的车牌，我们都最为熟悉了，车辆要上路就需要取得机动车号牌，根据机动车的号牌来看，有蓝牌，黄牌，以及现在的新能源汽车号牌，从车辆的号牌当中新能源汽车的号牌比蓝牌多一位？对于新能源汽车号牌相对于蓝牌而言要多一位，这是根据新能源汽车的种类识别代号来决定的，根据新能源汽车号牌的组成来看，前端是由省的</t>
  </si>
  <si>
    <t>疫情的发生，使得各行各业都进入了短暂的停产休息之中，从疫情带来的影响，也是给了很多的思考和启示，汽车作为公共出行的一份子，担负着使用需求和安全性能等方面，新型肺炎疫情这只“黑天鹅”对于汽车行业的影响也是比较大的，无论在生产，销售还是研发当面都带来了一定的影响，那么从研发的角度上面去看，疫情会影响汽车</t>
  </si>
  <si>
    <t>如果氢能源车普及你会选择它吗随着新能源汽车的竞争不断的增加，越来越多的新能源汽车进入到眼帘，一提新能源，第一印象就是环保节能。从纯电动汽车到氢能源汽车，新能源汽车的产品不断的增加，随着氢能源技术的发展，也逐渐的让人所知道，如果氢能源车普及，你会选择它吗？ 氢能源顾名思义是以氢作为能源的汽车，将氢反应</t>
  </si>
  <si>
    <t>新能源号牌为什么要比蓝牌多一位对于车辆的车牌，我们都最为熟悉了，车辆要上路就需要取得机动车号牌，根据机动车的号牌来看，有蓝牌，黄牌，以及现在的新能源汽车号牌，从车辆的号牌当中新能源汽车的号牌比蓝牌多一位？对于新能源汽车号牌相对于蓝牌而言要多一位，这是根据新能源汽车的种类识别代号来决定的，根据新能源汽</t>
  </si>
  <si>
    <t>疫情会影响汽车研发的方向吗疫情的发生，使得各行各业都进入了短暂的停产休息之中，从疫情带来的影响，也是给了很多的思考和启示，汽车作为公共出行的一份子，担负着使用需求和安全性能等方面，新型肺炎疫情这只“黑天鹅”对于汽车行业的影响也是比较大的，无论在生产，销售还是研发当面都带来了一定的影响，那么从研发的角</t>
  </si>
  <si>
    <t>如今的新型冠状病毒疫情对人们的生产生活造成了很大的影响，在汽车行业中，很多车企也是延迟复工复产，经销商线下店面开始营业的数量更少。根据中国汽车流通协会公布的数据显示，截止到2月12日，协会监测调研的60家汽车经销商集团共3997家4S店，综合复工率仅为约8.4%。而为了降低新型冠状病毒疫情的影响，很</t>
  </si>
  <si>
    <t>2020/02/25 13:32:00</t>
  </si>
  <si>
    <t>来自疫情的思考 汽车会实现无接触交付吗如今的新型冠状病毒疫情对人们的生产生活造成了很大的影响，在汽车行业中，很多车企也是延迟复工复产，经销商线下店面开始营业的数量更少。根据中国汽车流通协会公布的数据显示，截止到2月12日，协会监测调研的60家汽车经销商集团共3997家4S店，综合复工率仅为约8.4%</t>
  </si>
  <si>
    <t>新型冠状病毒疫情对我们的生产生活造成了很大的影响，对于汽车行业来说，很多企业都选择了延迟复工复产，汽车经销商开门营业的更是少数，由此带来汽车销量不同程度的下滑。而根据乘联会最新一期的汽车销量数据显示，2020年2月份上半月，受新型冠状病毒疫情影响，国内乘用车厂家零售销量同比下降约92%，跌幅创历史最</t>
  </si>
  <si>
    <t>2020/02/25 13:31:00</t>
  </si>
  <si>
    <t>随着近些年新能源汽车行业的发展，保有量也在稳步增加，而且目前很多国家出台了禁售燃油车的时间表。根据媒体报道，新加坡近期就宣布，在2040年前逐步淘汰化石燃油汽车，鼓励使用混合动力和纯电动等清洁能源汽车。那么我国禁售燃油车究竟是什么时候呢？我国自2009年大力发展新能源汽车以来，所取得的成就也是有目共</t>
  </si>
  <si>
    <t>投诉编号：【448643】投诉时间：2020-02-2513:31投诉品牌：一汽奔腾投诉车系：奔腾B30投诉车型：2017款1.6L手动豪华型投诉内容转向卡顿，车身生锈，有问题厂家不闻不问的也不召回的，千方百计推脱。投诉回复车质网已将您的投诉转给生产企业以及国家市场监督管理总局缺陷产品管理中心，我们</t>
  </si>
  <si>
    <t>投诉编号：【448642】投诉时间：2020-02-2513:31投诉品牌：上汽通用五菱投诉车系：宝骏630投诉车型：2011款1.5L手动舒适型投诉内容几年的车底部全烂了，宝骏汽车二三年就开始烂，上次投诉厂家不理不睬，也不给回复，车质量有问题，底部都烂透了，严重影响行驶安全。厂家让我自己花钱换整个</t>
  </si>
  <si>
    <t>投诉编号：【448644】  投诉时间： 2020-02-25 13:31  投诉品牌： 奇瑞汽车  投诉车系： 瑞虎8  投诉车型： 2019款 1.6TGDI 自动 尊贵型        投诉内容  1.挂入R挡N档P挡有咔咔声。2.购车5个月出现过5次仪表盘报变速箱故障，出来故障码后挂不了R挡</t>
  </si>
  <si>
    <t>新加坡宣布计划2040年前淘汰燃油车 我国是什么时候随着近些年新能源汽车行业的发展，保有量也在稳步增加，而且目前很多国家出台了禁售燃油车的时间表。根据媒体报道，新加坡近期就宣布，在2040年前逐步淘汰化石燃油汽车，鼓励使用混合动力和纯电动等清洁能源汽车。那么我国禁售燃油车究竟是什么时候呢？我国自20</t>
  </si>
  <si>
    <t>疫情或导致新能源汽车补贴将延长新型冠状病毒疫情对我们的生产生活造成了很大的影响，对于汽车行业来说，很多企业都选择了延迟复工复产，汽车经销商开门营业的更是少数，由此带来汽车销量不同程度的下滑。而根据乘联会最新一期的汽车销量数据显示，2020年2月份上半月，受新型冠状病毒疫情影响，国内乘用车厂家零售销量</t>
  </si>
  <si>
    <t>随着汽车行业的不断发展，车型也是越来越丰富。而在目前的汽车行业中，新能源汽车所受到的关注度不断增加，目前也有很多国家宣布了禁售燃油车的时间表。那么随着燃油车被禁售，混动车也会被禁售吗？其实要回答这个问题，我们首先需要了解一下什么叫做混动车。就目前的汽车市场上来看，常见的混动车有两种，一种是插电式混合</t>
  </si>
  <si>
    <t>2020/02/25 13:30:00</t>
  </si>
  <si>
    <t>燃油车禁售会导致混动车也被禁售吗随着汽车行业的不断发展，车型也是越来越丰富。而在目前的汽车行业中，新能源汽车所受到的关注度不断增加，目前也有很多国家宣布了禁售燃油车的时间表。那么随着燃油车被禁售，混动车也会被禁售吗？其实要回答这个问题，我们首先需要了解一下什么叫做混动车。就目前的汽车市场上来看，常见</t>
  </si>
  <si>
    <t>我以前换挡都用手拨，今天发现挡杆都不用手拨了，我一个刹车他自己就跑到上去换挡了，这是哪里的问题，我能自己解决吗。</t>
  </si>
  <si>
    <t>2020/02/25 13:27:05</t>
  </si>
  <si>
    <t>大神们，传祺GS5豪华版和逍客智享版怎么选？或者上路15万以内什么SUV可以考虑。</t>
  </si>
  <si>
    <t>2020/02/25 13:13:28</t>
  </si>
  <si>
    <t>新车怎么买保险？</t>
  </si>
  <si>
    <t>坊间流传一句名言“无论年龄,人生总绕不开一台BMW 3系”，不过在我看来，更多是绕不开一台后驱车。要知道，以提升车内空间和节省制造成本为目的开发的前驱车，从来都不是爱好运动风格驾驶者的首选。但在市场需求的驱使下，保留纯粹驾驶体验的后驱车型已经逐渐淡出人们的视野，不过对于崇尚驾驶乐趣的消费者而言，依然</t>
  </si>
  <si>
    <t>2020/02/25 13:08:00</t>
  </si>
  <si>
    <t>横置四驱车型事实上并不少，但玩得动这样奇葩布局四驱系统的企业可不多，横置四驱系统多出现在家用车中，这种四驱系统有一个关键点为横置发动机布局，这是最为普通的家用车布局方式。为了最大程度保证民用前驱车传动效率以及稳定性，横置发动机结构简单不过多占用空间，成为了民用车首选，但民用车也得玩性能，玩越野，在这</t>
  </si>
  <si>
    <t>保留驾驶的乐趣 四款中型后驱轿车推荐坊间流传一句名言“无论年龄,人生总绕不开一台BMW 3系”，不过在我看来，更多是绕不开一台后驱车。要知道，以提升车内空间和节省制造成本为目的开发的前驱车，从来都不是爱好运动风格驾驶者的首选。但在市场需求的驱使下，保留纯粹驾驶体验的后驱车型已经逐渐淡出人们的视野，不</t>
  </si>
  <si>
    <t>为何只有三菱才玩的动“横置四驱”？横置四驱车型事实上并不少，但玩得动这样奇葩布局四驱系统的企业可不多，横置四驱系统多出现在家用车中，这种四驱系统有一个关键点为横置发动机布局，这是最为普通的家用车布局方式。为了最大程度保证民用前驱车传动效率以及稳定性，横置发动机结构简单不过多占用空间，成为了民用车首选</t>
  </si>
  <si>
    <t>很多人喜欢用“新手”去指代那些对车辆操作不当、开车不熟练的人。“新手”是每位老司机成长的必经阶段，但“新手阶段”本应该是短暂的，当你积累了一定的驾驶里程和经验之后，就不应该再用“新手”作为自己开车犯迷糊甚至违章的挡箭牌了——毕竟大家都是经受住“地狱式”的科目二和科目三考验的人，开车上路的行为还是不靠</t>
  </si>
  <si>
    <t>一束蓝光</t>
  </si>
  <si>
    <t>2020/02/25 13:07:00</t>
  </si>
  <si>
    <t>开车慢也招车祸？拒做“马路杀手” 这几点要谨记很多人喜欢用“新手”去指代那些对车辆操作不当、开车不熟练的人。“新手”是每位老司机成长的必经阶段，但“新手阶段”本应该是短暂的，当你积累了一定的驾驶里程和经验之后，就不应该再用“新手”作为自己开车犯迷糊甚至违章的挡箭牌了——毕竟大家都是经受住“地狱式”的</t>
  </si>
  <si>
    <t>请问我今年一月份提的车，过了两天就出现停红绿灯的时候速度提不起只有十几码，转速表达到了三千左右，然后我怎么踩油门都不行，有时候用力踩油门转速表达到四千多油门转速会冲破，有时候踩到底速度也起不来，我想问问大家有人和我一样情况吗？为何厂家说是正常？还说装了这个软件，我真想知道什么软件害我一天出现个N次，</t>
  </si>
  <si>
    <t>2020/02/25 13:05:53</t>
  </si>
  <si>
    <t>TopGear（英国疯狂汽车秀）是英国BBC电视台出品的一档汽车节目，因三位专业而且幽默的主持人，再加上几乎“’不计成本”的节目制作及创意，在全球都收获了相当多的粉丝，在消费者心中也有一定的影响力。如今，TopGear评选了十佳家用车榜单，但在小编来看，TopGear的评选标准似乎性能占了很大一块，</t>
  </si>
  <si>
    <t>2020/02/25 13:05:00</t>
  </si>
  <si>
    <t>TopGear评选的十佳家用车 哪款最适合你？TopGear（英国疯狂汽车秀）是英国BBC电视台出品的一档汽车节目，因三位专业而且幽默的主持人，再加上几乎“’不计成本”的节目制作及创意，在全球都收获了相当多的粉丝，在消费者心中也有一定的影响力。如今，TopGear评选了十佳家用车榜单，但在小编来看，</t>
  </si>
  <si>
    <t>投诉编号：【448638】  投诉时间： 2020-02-25 13:04  投诉品牌： 长安汽车  投诉车系： 睿骋  投诉车型： 2014款 1.8T 自动 尊贵周年版 国IV        投诉内容  1、发动机异常抖动主要在冷车时特别明显，行驶几十公里后会大为改善，但下次冷车同样会出现这个问</t>
  </si>
  <si>
    <t>2020/02/25 13:04:00</t>
  </si>
  <si>
    <t>前段时间铺天盖地的都是小排量涡轮增压技术与新能源车型的消息，不过最近这一两个月，各大厂商的重点好像又变了方向。不可否认的是，环保化绝对是未来汽车的发展趋势，但是提前瞎着急也没用啊。正如很多厂家打算放弃三缸重回四缸一样，在消费者没接受之前，操之过急根本不是办法，起码在三五年内，燃油车仍是绝对的主流。并</t>
  </si>
  <si>
    <t>抹茶色</t>
  </si>
  <si>
    <t>2020/02/25 13:03:00</t>
  </si>
  <si>
    <t>1990年，它的家乡还很贫瘠。海南汽车冲压件厂，也就是它的家，生存的非常辛苦，空有成套的加工设备却没有可加工的产品，生活举步维艰。 正在一筹莫展的时候，海南汽车厂生命中最重要的伙伴——日本马自达出现了。当时的马自达同样非常落魄，在自己的家乡遭遇重创无力反击，所以流落海外寻求帮助。就这样，同病相怜一对</t>
  </si>
  <si>
    <t>落寞的经典 在无限的遗憾中走下舞台1990年，它的家乡还很贫瘠。海南汽车冲压件厂，也就是它的家，生存的非常辛苦，空有成套的加工设备却没有可加工的产品，生活举步维艰。 正在一筹莫展的时候，海南汽车厂生命中最重要的伙伴——日本马自达出现了。当时的马自达同样非常落魄，在自己的家乡遭遇重创无力反击，所以流落</t>
  </si>
  <si>
    <t>喜欢大马力性能车的进来：近期性能狠货集中亮相前段时间铺天盖地的都是小排量涡轮增压技术与新能源车型的消息，不过最近这一两个月，各大厂商的重点好像又变了方向。不可否认的是，环保化绝对是未来汽车的发展趋势，但是提前瞎着急也没用啊。正如很多厂家打算放弃三缸重回四缸一样，在消费者没接受之前，操之过急根本不是办</t>
  </si>
  <si>
    <t>你好，2020款的C-HR的轮胎有三个牌子的，是不是米其林的性价比最好呢？望答复，谢谢！还有这三个牌子的性价比就是普通市区开和内环高速的话，你建议哪个牌子比较好？</t>
  </si>
  <si>
    <t>2020/02/25 13:01:26</t>
  </si>
  <si>
    <t>　　日前，有媒体了解到，知名改装厂AC Schnitzer发布了全新宝马1系F40改装预览版，新车加入了众多运动套件，配备了短簧套件、19英寸AC1轻合金轮圈以及运动排气等，提升视觉效果的同时增强车辆操控性。　　新车在原厂基础上采用了全新的空气动力学套件，并配备19英寸AC1轻合金轮圈，提供双色与黑</t>
  </si>
  <si>
    <t>2020/02/25 12:59:00</t>
  </si>
  <si>
    <t>日前，有媒体了解到，知名改装厂AC Schnitzer发布了全新宝马1系F40改装预览版，新车加入了众多运动套件，配备了短簧套件、19英寸AC1轻合金轮圈以及运动排气等，提升视觉效果的同时增强车辆操控性。    新车在原厂基础上采用了全新的空气动力学套件，并配备19英寸AC1轻合金轮圈，提供双色与黑</t>
  </si>
  <si>
    <t>　　提到北京现代的胜达，相信很多人的记忆还在上一代车型上。上代胜达凭借良好的性价比在中国市场积累了可观的用户群体，不过经历了去年的换代后似乎就销声匿迹了，如今见到现款车型的几率并不高，而官方对这款车型给予的期望还是很高的。销量的不明朗主要也与他所在的这个细分市场有很大关系，简单来说就是他的对手太强大</t>
  </si>
  <si>
    <t>2020/02/25 12:55:00</t>
  </si>
  <si>
    <t>　　大部分国内消费者对车的审美其实与欧洲人是截然相反的，当然也根据用车环境有很大关系。旅行车在国内水土不服的想象不是一年两年的事儿，而两厢车似乎也没办法讨得大部分国人的喜欢，比起小巧精致、其实大气感才是国内消费者最在乎的。因此三厢车相比两厢车有着与生俱来的优势，当你去询问凌派车主购车前看过哪些车，会</t>
  </si>
  <si>
    <t>2020/02/25 12:53:00</t>
  </si>
  <si>
    <t>投诉编号：【448636】投诉时间：2020-02-2512:51投诉品牌：东风小康投诉车系：风光370投诉车型：2016款1.3T欧洲柴油版7座投诉内容2019年12月到现在就没开车了，发动机起动不了，供不上油。希望厂家处理问题。投诉回复车质网已将您的投诉转给生产企业以及国家市场监督管理总局缺陷产</t>
  </si>
  <si>
    <t>2020/02/25 12:51:00</t>
  </si>
  <si>
    <t xml:space="preserve">百度apollo自动驾驶平台在国内已经算是“家喻户晓”，不久前还有消息曝出，百度apollo生态合作伙伴的无人驾驶小车已经投入抗疫一线，承担消毒、物流配送等任务。现如今，百度apollo又取得新进展，获得成为车企供应商的条件。    日前，国际知名标准认证机构tv nord北德向百度颁发了iatf </t>
  </si>
  <si>
    <t xml:space="preserve">投诉编号：【448635】  投诉时间： 2020-02-25 12:51  投诉品牌： 江淮汽车  投诉车系： 瑞风S3  投诉车型： 2016款 1.5L 手动 豪华智能型        投诉内容  前后轮胎吃胎，前期前轮在4s店已维修一次！现在又出现这种问题并且后轮也出现了偏磨现象。     </t>
  </si>
  <si>
    <t xml:space="preserve">　　百度apollo自动驾驶平台在国内已经算是“家喻户晓”，不久前还有消息曝出，百度apollo生态合作伙伴的无人驾驶小车已经投入抗疫一线，承担消毒、物流配送等任务。现如今，百度apollo又取得新进展，获得成为车企供应商的条件。　　日前，国际知名标准认证机构tv nord北德向百度颁发了iatf </t>
  </si>
  <si>
    <t>当你开车遭遇恶劣天气时，车辆的语音助理可以帮助你快速寻找到附近的避雨场所；当你的电动车电量过低时，语音助理也可帮你寻找到最近的电动车充电站。通过自然语音用会话式体验来完成移动出行，已经不再是电影中的高科技桥段。    日前，地图测绘和定位服务商here technologies与cerence深化合</t>
  </si>
  <si>
    <t>2020/02/25 12:50:00</t>
  </si>
  <si>
    <t>　　当你开车遭遇恶劣天气时，车辆的语音助理可以帮助你快速寻找到附近的避雨场所；当你的电动车电量过低时，语音助理也可帮你寻找到最近的电动车充电站。通过自然语音用会话式体验来完成移动出行，已经不再是电影中的高科技桥段。　　日前，地图测绘和定位服务商here technologies与cerence深化合</t>
  </si>
  <si>
    <t>　　近日，DS宣布旗下全新轿车DS 9正式发布，计划于今年日内瓦车展正式亮相。新车基于EMP2平台打造而来，提供插电式混动及纯燃油版本可选。据悉，新车将在中国生产，随后在今年下半年全球销售。　　DS 9在外观设计上时尚前卫，家族式前脸十分精致，新车采用了六边形前脸格栅内嵌蜂窝式装饰，并且搭载标志性的</t>
  </si>
  <si>
    <t>小倨试车</t>
  </si>
  <si>
    <t>2020/02/25 12:44:00</t>
  </si>
  <si>
    <t>近日，DS宣布旗下全新轿车DS 9正式发布，计划于今年日内瓦车展正式亮相。新车基于EMP2平台打造而来，提供插电式混动及纯燃油版本可选。据悉，新车将在中国生产，随后在今年下半年全球销售。    DS 9在外观设计上时尚前卫，家族式前脸十分精致，新车采用了六边形前脸格栅内嵌蜂窝式装饰，并且搭载标志性的</t>
  </si>
  <si>
    <t>　　日前，2020年合肥市重大产业项目集中(云)签约和江淮蔚来 EC6 量产项目启动仪式正式举行。根据报道，蔚来汽车董事长李斌表示，蔚来将与合肥市签署框架协议，未来蔚来中国总部项目将落户合肥。　　根据此前报道，蔚来曾与北京亦庄国际投资发展有限公司签订过框架协议，但最终并未达成一致。此次蔚来落户合肥，</t>
  </si>
  <si>
    <t>李桐</t>
  </si>
  <si>
    <t>2020/02/25 12:43:00</t>
  </si>
  <si>
    <t>日前，2020年合肥市重大产业项目集中(云)签约和江淮蔚来 EC6 量产项目启动仪式正式举行。根据报道，蔚来汽车董事长李斌表示，蔚来将与合肥市签署框架协议，未来蔚来中国总部项目将落户合肥。    根据此前报道，蔚来曾与北京亦庄国际投资发展有限公司签订过框架协议，但最终并未达成一致。此次蔚来落户合肥，</t>
  </si>
  <si>
    <t>图片来源：LG化学官网　　当地时间2月25日，韩国LG化学表示，将为美国电动汽车制造商Lucid Motors独家供应电动车电池。　　LG化学的客户包括通用汽车和大众汽车等，将从今年下半年开始为Lucid Motors的Lucid Air车型提供圆柱形电池，Lucid Motors计划今年晚些时候开</t>
  </si>
  <si>
    <t>2020/02/25 12:41:00</t>
  </si>
  <si>
    <t>图片来源：LG化学官网    当地时间2月25日，韩国LG化学表示，将为美国电动汽车制造商Lucid Motors独家供应电动车电池。    LG化学的客户包括通用汽车和大众汽车等，将从今年下半年开始为Lucid Motors的Lucid Air车型提供圆柱形电池，Lucid Motors计划今年晚</t>
  </si>
  <si>
    <t>投诉编号：【448633】投诉时间：2020-02-2512:40投诉品牌：上汽斯柯达投诉车系：速派投诉车型：2016款TSI280DSG创行版投诉内容我在2016年12月15日购买此车，在2019年12月15日满3年质保，里程数88000公里，主要是上下班用，走的都是沥青路，在2020年2月13日</t>
  </si>
  <si>
    <t>2020/02/25 12:40:00</t>
  </si>
  <si>
    <t>图片来源：Cruise　　据外媒报道，本周，通用汽车旗下自动驾驶子公司Cruise获得了加州公共事业委员会（CPUC）的许可，将允许Cruise用自动驾驶雪佛兰Bolt为乘客提供服务，而且可以不配备安全驾驶员。此次获得许可是该州正在进行的自动驾驶汽车乘客服务试点（Autonomous Vehicle</t>
  </si>
  <si>
    <t>图片来源：Cruise    据外媒报道，本周，通用汽车旗下自动驾驶子公司Cruise获得了加州公共事业委员会（CPUC）的许可，将允许Cruise用自动驾驶雪佛兰Bolt为乘客提供服务，而且可以不配备安全驾驶员。此次获得许可是该州正在进行的自动驾驶汽车乘客服务试点（Autonomous Vehic</t>
  </si>
  <si>
    <t>图片来源：固特异　　据外媒报道，美国固特异轮胎与橡胶公司（Goodyear Tire &amp; Rubber Company）最近公布了300万英里的道路测试和实地测试数据，此类数据与该公司的联网轮胎有关。内置传感器的联网轮胎能够与车辆和道路“对话”，并测量轮胎的特性，从而提高车辆的性能和安全性。　　事实</t>
  </si>
  <si>
    <t>2020/02/25 12:38:00</t>
  </si>
  <si>
    <t xml:space="preserve">图片来源：固特异    据外媒报道，美国固特异轮胎与橡胶公司（Goodyear Tire &amp; Rubber Company）最近公布了300万英里的道路测试和实地测试数据，此类数据与该公司的联网轮胎有关。内置传感器的联网轮胎能够与车辆和道路“对话”，并测量轮胎的特性，从而提高车辆的性能和安全性。  </t>
  </si>
  <si>
    <t>投诉编号：【448632】投诉时间：2020-02-2512:37投诉品牌：一汽-大众奥迪投诉车系：奥迪A4L投诉车型：2019款40TFSI进取型国VI投诉内容一汽大众奥迪A4L行驶500km变速器故障，质量差，退换车，希望厂家可以安排工作人员尽快解决。投诉回复车质网已将您的投诉转给生产企业以及国</t>
  </si>
  <si>
    <t>2020/02/25 12:37:00</t>
  </si>
  <si>
    <t>投诉编号：【448631】投诉时间：2020-02-2512:37投诉品牌：北京汽车投诉车系：威旺M50F投诉车型：2017款1.3T舒适型投诉内容车子分别在行驶二万公里、三万公里、五万公里同一部件坏了三次。前二次分别维修一个月的时间，第三次坏了二个多月了，厂家一直未修复，说没配件。投诉回复车质网已</t>
  </si>
  <si>
    <t>　　日前，有媒体从工信部获悉，东风标致508L PHEV车型的纯电续航里程为56km。据了解，东风标致508L PHEV车型搭载1.6T发动机与电动机所组成的插电式混合动力系统，按规划将于5月20日上市销售。　　造型方面，插电式混动版与在售的燃油版车型在造型方面基本保持一致，采用了“狮吼式”设计的前</t>
  </si>
  <si>
    <t>2020/02/25 12:36:00</t>
  </si>
  <si>
    <t>日前，有媒体从工信部获悉，东风标致508L PHEV车型的纯电续航里程为56km。据了解，东风标致508L PHEV车型搭载1.6T发动机与电动机所组成的插电式混合动力系统，按规划将于5月20日上市销售。    造型方面，插电式混动版与在售的燃油版车型在造型方面基本保持一致，采用了“狮吼式”设计的前</t>
  </si>
  <si>
    <t>日前，有媒体从工信部获得了上汽MAXUS旗下插电式混动MPV EUNIQ 5 PLUG IN的主要性能参数。申报信息显示，该车纯电续航里程达到了62km。相比纯电动车型而言，插电式混动车型无疑适应性要更强一些。以下配图均为EUNIQ 5纯电动版车型    考虑到命名方式，预计EUNIQ 5插混版和纯</t>
  </si>
  <si>
    <t>2020/02/25 12:34:00</t>
  </si>
  <si>
    <t>　　日前，有媒体从工信部获得了上汽MAXUS旗下插电式混动MPV EUNIQ 5 PLUG IN的主要性能参数。申报信息显示，该车纯电续航里程达到了62km。相比纯电动车型而言，插电式混动车型无疑适应性要更强一些。以下配图均为EUNIQ 5纯电动版车型　　考虑到命名方式，预计EUNIQ 5插混版和纯</t>
  </si>
  <si>
    <t>　　中大型豪华SUV这个细分市场内，向来的主角都是BBA，当然保时捷卡宴也是他们强有力的搅局者，不过当年的百万级SUV如今的门槛也一降再降，你很难想象70万元的价格就能买到当年落地百万的X5以及GLE了，2.0T盛行的年代，在中大型豪华SUV这个战场，还能坚守阵地的恐怕只有保时捷卡宴了。所以在目前看</t>
  </si>
  <si>
    <t>2020/02/25 12:30:00</t>
  </si>
  <si>
    <t>投诉编号：【448630】  投诉时间： 2020-02-25 12:25  投诉品牌： 猎豹汽车  投诉车系： 猎豹CS10  投诉车型： 2017款 1.5T 手动 尊贵型        投诉内容  2018年买车，2019年方向异响，去售后服务中心调整一下，过了几天又坏了，到现在足足有4个多月</t>
  </si>
  <si>
    <t>2020/02/25 12:25:00</t>
  </si>
  <si>
    <t>投诉编号：【448629】  投诉时间： 2020-02-25 12:24  投诉品牌： 众泰汽车  投诉车系： 众泰E200  投诉车型： 2016款 纯电动 三门两座科技版        投诉内容  众泰E200充电机无法充电一直无配件提供，充电机无法充电，需更换，无配件，现在已经影响了使用，希</t>
  </si>
  <si>
    <t>2020/02/25 12:24:00</t>
  </si>
  <si>
    <t>投诉编号：【448617】 
投诉时间： 2020-02-25 11:48 
投诉品牌： 上汽斯柯达 
投诉车系： 明锐 
投诉车型： 2018款 1.6L 自动 舒适版 
发动机及ESP故障灯亮</t>
  </si>
  <si>
    <t>2020/02/25 12:23:22</t>
  </si>
  <si>
    <t>投诉编号：【448627】  投诉时间： 2020-02-25 12:17  投诉品牌： 吉利汽车  投诉车系： 帝豪GL  投诉车型： 2018款 1.4T 自动 精英智联型        投诉内容  正常行驶时偶尔会有发动机异响、提速时发动机空转等情况，后来打开发动机舱检查发现驱动皮带有毛边、开</t>
  </si>
  <si>
    <t>2020/02/25 12:17:00</t>
  </si>
  <si>
    <t>投诉编号：【448621】 
投诉时间： 2020-02-25 11:59 
投诉品牌： 长城汽车 
投诉车系： 哈弗H6 
投诉车型： 2017款 1.5T 手动 四驱 精英型 运动版
轮胎胎噪相当大而且吃胎。</t>
  </si>
  <si>
    <t>2020/02/25 12:15:07</t>
  </si>
  <si>
    <t>投诉编号：【448625】  投诉时间： 2020-02-25 12:13  投诉品牌： 北京现代  投诉车系： 名图  投诉车型： 2016款 1.6T 自动 智能型GLS        投诉内容  下摆臂变形，导致的轮胎吃胎，我去找4S店，他们说我的车虽然在质保期内，但是下摆臂有剐蹭，不能索赔。</t>
  </si>
  <si>
    <t>2020/02/25 12:13:00</t>
  </si>
  <si>
    <t>投诉编号：【448623】  投诉时间： 2020-02-25 12:10  投诉品牌： 广汽丰田  投诉车系： 凯美瑞  投诉车型： 2008款 240G 2.4 自动        投诉内容  广汽丰田凯美瑞仪表台皮革出油粘手，没有办法搞卫生，影响驾驶。      投诉回复  车质网已将您的投诉</t>
  </si>
  <si>
    <t>2020/02/25 12:10:00</t>
  </si>
  <si>
    <t>投诉编号：【448622】  投诉时间： 2020-02-25 12:03  投诉品牌： 上汽通用五菱  投诉车系： 新宝骏RM-5  投诉车型： 2019款 1.5L CVT 24小时在线精英型 7座        投诉内容  正常行驶中突然出现转向系统故障，2019年11月18日提的新车，于20</t>
  </si>
  <si>
    <t>2020/02/25 12:03:00</t>
  </si>
  <si>
    <t>投诉编号：【448619】  投诉时间： 2020-02-25 11:51  投诉品牌： 上汽集团  投诉车系： 名爵ZS  投诉车型： 2017款 1.5L 自动 豪华版        投诉内容  上汽名爵ZS大灯进水起雾厂家不予质保，4s店没人联系，售后太差了，希望厂家可以安排工作人员尽快解决。</t>
  </si>
  <si>
    <t>2020/02/25 11:51:00</t>
  </si>
  <si>
    <t>投诉编号：【448618】  投诉时间： 2020-02-25 11:50  投诉品牌： 一汽-大众奥迪  投诉车系： 奥迪A6L  投诉车型： 2018款 TFSI 双离合 进取型        投诉内容  在质保时间内，多次发生问题，首先拨挡杆发生异响，正常行驶中突然熄火，现在SOS老报警，要求</t>
  </si>
  <si>
    <t>2020/02/25 11:50:00</t>
  </si>
  <si>
    <t>威朗加固件加固有效果吗？</t>
  </si>
  <si>
    <t>2020/02/25 11:41:18</t>
  </si>
  <si>
    <t>你好，长安逸动DT的国六发动机是国六A还是国六B？</t>
  </si>
  <si>
    <t>特斯拉不是神，不能点石成金。 文｜信天游图｜来源网络 2020年2月，新冠状病毒疫情的阴霾依然笼罩着神州大地，对于绝大数人们而言，疫情什么时候过去、生活什么时候回归正常、单位什么时候能够正常复工、学校什么时候可以开学、这些都是他们最关心的问题。   而在2月18日那天，一则引自外媒关于宁德时代将为特</t>
  </si>
  <si>
    <t>2020/02/25 11:39:00</t>
  </si>
  <si>
    <t>看特斯拉“钦点”的磷酸铁锂到底有多牛 特斯拉不是神，不能点石成金。 文｜信天游图｜来源网络 2020年2月，新冠状病毒疫情的阴霾依然笼罩着神州大地，对于绝大数人们而言，疫情什么时候过去、生活什么时候回归正常、单位什么时候能够正常复工、学校什么时候可以开学、这些都是他们最关心的问题。   而在2月18</t>
  </si>
  <si>
    <t>投诉编号：【448621】 
投诉时间： 2020-02-25 11:59 
投诉品牌： 长城汽车 
投诉车系： 哈弗H6 
投诉车型： 2017款 1.5T 手动 四驱 精英型 运动版
东风标致207后桥变形导致有异响现象</t>
  </si>
  <si>
    <t>2020/02/25 11:35:22</t>
  </si>
  <si>
    <t>2020年2月24日，传统的龙抬头的日子。吉利集团选择在这个日子将旗下BMA架构的新产品——吉利ICON发布由于疫情的关系，该车从本来计划的线下发布会仓促改在线上，我觉得本次发布会很失败作为线上发布会，虽然在各大媒体均有露出及投放，但是竟然没有准备线上发布的互动以及礼品，十分不妥，太对不起守候这台车</t>
  </si>
  <si>
    <t>2020/02/25 11:33:00</t>
  </si>
  <si>
    <t>吉利ICON上市了有惊喜有失落2020年2月24日，传统的龙抬头的日子。吉利集团选择在这个日子将旗下BMA架构的新产品——吉利ICON发布由于疫情的关系，该车从本来计划的线下发布会仓促改在线上，我觉得本次发布会很失败作为线上发布会，虽然在各大媒体均有露出及投放，但是竟然没有准备线上发布的互动以及礼品</t>
  </si>
  <si>
    <t>　　中级车领域从来都是各大车企热衷的板块之一，尤其是二十万这一级别的竞争，更是愈演愈烈。而在这一领域，最受国内消费者热宠的无疑就是德、日系两大派系。而本篇《宿敌较量》我们也为大家带来了两款派系的代表车型，一汽-大众新迈腾与东风日产天籁。通过全方位的比对，来看看哪款车型更适合你。　　外观：不再油腻 两</t>
  </si>
  <si>
    <t>2020/02/25 11:32:00</t>
  </si>
  <si>
    <t>请教大家一下，经典轩逸变速箱起步时速度20到40公里时有啸叫，吹口哨声音，能不能得到维修或更换的质量保证，4S店各种理由推脱！！</t>
  </si>
  <si>
    <t>2020/02/25 11:31:30</t>
  </si>
  <si>
    <t>投诉编号：【448614】投诉时间：2020-02-2511:30投诉品牌：吉利汽车投诉车系：博越投诉车型：2018款1.8TD自动两驱智慧型4G互联版投诉内容2020年1月8日之前有D挡等红灯会有轻微顿挫，8日那天联系4s店，叫我去做所谓的变速箱升级，中间维修人员多次进不了升级系统，于是我人先回了</t>
  </si>
  <si>
    <t>2020/02/25 11:30:00</t>
  </si>
  <si>
    <t>近日，海外媒体报道了一组新一代路虎揽胜的谍照，目前它正在进行冬季测试，据悉新车有望于2021年正式发布，届时它将更换全新平台，以全新的样貌展现在世人面前，不过在动力方面宝马将有望助其一臂之力。    通过此次曝光的谍照可以看出，新一代路虎揽胜保持了路虎家族方正的造型设计，不过新车的前后尾灯组造型还是</t>
  </si>
  <si>
    <t>2020/02/25 11:28:00</t>
  </si>
  <si>
    <t>　　近日，海外媒体报道了一组新一代路虎揽胜的谍照，目前它正在进行冬季测试，据悉新车有望于2021年正式发布，届时它将更换全新平台，以全新的样貌展现在世人面前，不过在动力方面宝马将有望助其一臂之力。　　通过此次曝光的谍照可以看出，新一代路虎揽胜保持了路虎家族方正的造型设计，不过新车的前后尾灯组造型还是</t>
  </si>
  <si>
    <t>日前，大众汽车官方正式发布了途锐R车型的官图，新车作为大众R系列性能版车型，首次采用了插电混合动力，最大功率可达462马力。新车将于2020日内瓦车展正式亮相。    外观方面，途锐R仍旧延续了大众家族最新设计语言并配备了R系列车身套件，整体设计与R-Line套件版车型颇为相似。此外新车将进气格栅和</t>
  </si>
  <si>
    <t>2020/02/25 11:27:00</t>
  </si>
  <si>
    <t>　　日前，大众汽车官方正式发布了途锐R车型的官图，新车作为大众R系列性能版车型，首次采用了插电混合动力，最大功率可达462马力。新车将于2020日内瓦车展正式亮相。　　外观方面，途锐R仍旧延续了大众家族最新设计语言并配备了R系列车身套件，整体设计与R-Line套件版车型颇为相似。此外新车将进气格栅和</t>
  </si>
  <si>
    <t>　　日前，英国摩根汽车宣布将会在日内瓦车展期间发布一款基于新平台打造的全新车型，该车会配备四缸发动机。　　目前官方仅仅发布了一张新车的预告图，从两侧隆起的轮拱、长发动机舱等元素可以看出来，该车预计会继续保持家族式的复古设计风格。这款新车将会基于官方称为CX-Generation的铝制底盘进行打造，自</t>
  </si>
  <si>
    <t>2020/02/25 11:25:00</t>
  </si>
  <si>
    <t>日前，英国摩根汽车宣布将会在日内瓦车展期间发布一款基于新平台打造的全新车型，该车会配备四缸发动机。    目前官方仅仅发布了一张新车的预告图，从两侧隆起的轮拱、长发动机舱等元素可以看出来，该车预计会继续保持家族式的复古设计风格。这款新车将会基于官方称为CX-Generation的铝制底盘进行打造，自</t>
  </si>
  <si>
    <t>　　相信关注紧凑型SUV的客观老爷们都会注意到去年下半年丰田和本田相继带来了新产品，即全新一代RAV4荣放和本田皓影。两大品牌从来不缺明星车型，在售的所有车型都能称为各个级别中的“常青树”，而在紧凑型SUV火热的中国市场，更由不得怠慢。其实从上一代车型开始，RAV4荣放与CR-V之间无声的战争就打了</t>
  </si>
  <si>
    <t>2020/02/25 11:22:00</t>
  </si>
  <si>
    <t>投诉编号：【448612】  投诉时间： 2020-02-25 11:21  投诉品牌： 吉利汽车  投诉车系： 远景  投诉车型： 2016款 1.5L 自动 幸福版        投诉内容  16年底卖的远景自动挡汽车，3年多点，7万多公里，行驶中突然没有动力了，差点被追尾，拖到维修站4S店检查</t>
  </si>
  <si>
    <t>2020/02/25 11:21:00</t>
  </si>
  <si>
    <t>　　不知道从啥时候开始，7座SUV成了二胎家庭的又一个标签儿，毕竟有需求就有生产力，这今年问世的7座SUV车型数量有很多，但卖得好的始终还是那几款车。于去年11月份上市的别克昂科旗，也把对标产品定为了汉兰达、途昂、锐界等几款经典车型，昂科旗也是别克专门为中国市场所打造的产品，拥有和凯迪拉克XT6同样</t>
  </si>
  <si>
    <t>2020/02/25 11:19:00</t>
  </si>
  <si>
    <t>　　凭借着经过70多年历史的沉淀，保时捷的豪华品牌形象已经在人们心中根深蒂固。如果说卡宴是保时捷敲开中国市场的车型，那么Macan绝对算得上保时捷真正的销量担当。而本篇选车3+2就为大家带来保时捷整个家族中，我们最容易企及的SUV车型――保时捷Macan。　　优点1：高于BBA的豪华品牌形象 绝对不</t>
  </si>
  <si>
    <t>2020/02/25 11:17:00</t>
  </si>
  <si>
    <t>　　在日系品牌中，客观的说马自达还真属于“小众品牌”，至少在中国市场来看是这样的，毕竟无论是一汽马自达还是长安马自达都没有一款稳定走量的产品，所以这也导致其产品线上能让人记住的车型不多，很多小白脑海里浮现出的只有当年的马六。不过在SUV兴起的这几年中马自达也带来了相应产品，比起CX-5，反倒是CX-</t>
  </si>
  <si>
    <t>2020/02/25 11:15:00</t>
  </si>
  <si>
    <t>投诉编号：【448611】投诉时间：2020-02-2511:14投诉品牌：一汽-大众投诉车系：高尔夫投诉车型：2016款1.6L自动时尚型</t>
  </si>
  <si>
    <t>2020/02/25 11:14:00</t>
  </si>
  <si>
    <t>2020款新奥迪A4L—用细节打动消费者在中国豪华B级轿车市场中，奥迪A4L整体的产品力和性价比都很高，销量一直居首位，20多万的一线豪华轿车，颜面十足。随着宝马三系已经完成更新换代，奥迪也是紧跟步伐，号称"小A6"的2020款奥迪A4也来了。全新奥迪A4L的前脸变得十分犀利，由于现在B级豪华轿车市</t>
  </si>
  <si>
    <t>2020/02/25 11:13:00</t>
  </si>
  <si>
    <t>在中国豪华B级轿车市场中，奥迪A4L整体的产品力和性价比都很高，销量一直居首位，20多万的一线豪华轿车，颜面十足。随着宝马三系已经完成更新换代，奥迪也是紧跟步伐，号称"小A6"的2020款奥迪A4也来了。全新奥迪A4L的前脸变得十分犀利，由于现在B级豪华轿车市场已经被年轻消费者占据多数，所以运动化风</t>
  </si>
  <si>
    <t>　　提到奥迪A7，就不得不提他的两个对手，奔驰CLS最先换代并在2018年6月份上市，而在2018年年底现款A7也正式上市，而宝马6系的换代情况现在来看也还是个未知数。由此可见的是三大豪华品牌对该细分市场的重视程度。其实轿车上的掀背设计，源自于奔驰CLS，不过很多人都说现款CLS经历了之前的换代后逐</t>
  </si>
  <si>
    <t>车启动后ABS灯、ESP灯、手刹灯全亮，方向盘没助力，频繁出现同样的问题，1到3天就会出现。</t>
  </si>
  <si>
    <t>2020/02/25 11:12:26</t>
  </si>
  <si>
    <t>原厂美孚速霸半合成5w40，三保时加了200换了美孚1号5w30(4s只有这两种型)使用发现机油消耗很快！ 查询信息看到很多说30的机油油膜粘度不行会烧机油……之前还好几次运动模式激烈驾驶过，不知道对发动机有损害吗？ （厂家都推荐5w40了，4s店怎么加钱了还用5w30！！真是无语）</t>
  </si>
  <si>
    <t>上市时骂声一片 如今一年大卖15.4万台上市骂声一片，如今一年大卖15.4万台，10w可落地，来自本田自从节能减排以来，不少车企都推出了搭载3缸发动机的车型，比如福特福克斯、吉利缤越、别克英朗，还有本文的主角本田凌派。大家都了解3缸发动机会产生不小的抖动和噪音，是不少消费者所不喜的装备。所以当3缸本</t>
  </si>
  <si>
    <t>2020/02/25 11:12:00</t>
  </si>
  <si>
    <t>上市骂声一片，如今一年大卖15.4万台，10w可落地，来自本田自从节能减排以来，不少车企都推出了搭载3缸发动机的车型，比如福特福克斯、吉利缤越、别克英朗，还有本文的主角本田凌派。大家都了解3缸发动机会产生不小的抖动和噪音，是不少消费者所不喜的装备。所以当3缸本田凌派正式上市的时候，这款车在网上骂声一</t>
  </si>
  <si>
    <t>日，一汽大众正式宣布，全新的2020款高尔夫来了。作为一款大众的经典车型，高尔夫虽然销量不如朗逸、速腾等高，但是高尔夫是一台货真价实的全球车型，获得全球市场的认可，对于大众而言，高尔夫的定位要更高，更何况，高尔夫销量不佳，只是相对在中国市场，在全球市场它不愁卖，铁粉众多，尤其是欧美粉丝。这一次，一汽</t>
  </si>
  <si>
    <t>2020款新高尔夫来了 起售价14.13万日，一汽大众正式宣布，全新的2020款高尔夫来了。作为一款大众的经典车型，高尔夫虽然销量不如朗逸、速腾等高，但是高尔夫是一台货真价实的全球车型，获得全球市场的认可，对于大众而言，高尔夫的定位要更高，更何况，高尔夫销量不佳，只是相对在中国市场，在全球市场它不愁</t>
  </si>
  <si>
    <t>本田新款思域TYPE R亮相本届芝加哥车展，新车外观较普通版车型相比拥有更为激进的运动套件及空气动力学设计，而前铲、侧裙、轮毂及卡钳融入的红色元素则成为了整车的点睛之笔。此外，新车还将提供Boost Blue的专属车漆。动力方面，新款思域TYPE R搭载2.0T涡轮增压发动机，最大输出功率为320马</t>
  </si>
  <si>
    <t>2020/02/25 11:11:00</t>
  </si>
  <si>
    <t>　　在过去的2019年底，一汽-大众推出了旗下的小型SUV――探影。这也是继探岳、探歌之后，一汽-大众再次将SUV细分而诞生的车型。其实上汽大众在探影上市之前，推出了途铠，这两个车定位相同，也就是我们常说的姊妹车型。在这两款车到来之前，这一价位的小型SUV市场一直都是被日系车型所占有，在本田XR-V</t>
  </si>
  <si>
    <t>本田新思域TYPE R 2.0T发动机 你心动了吗本田新款思域TYPE R亮相本届芝加哥车展，新车外观较普通版车型相比拥有更为激进的运动套件及空气动力学设计，而前铲、侧裙、轮毂及卡钳融入的红色元素则成为了整车的点睛之笔。此外，新车还将提供Boost Blue的专属车漆。动力方面，新款思域TYPE R</t>
  </si>
  <si>
    <t>2011年日内瓦车展上，兰博基尼曾经展出一台输出功率达700hp的Aventador，此后其又推出一款LP720-4车型，并历经小改款升级，不过这中间并未有较大的升级改进，有消息表示全新车型将于2024年推出，而如今有相关业界人士做出了这款新车型的描绘图，不管真假，我们先来看一看。这款描绘图出自独立</t>
  </si>
  <si>
    <t>2020/02/25 11:10:00</t>
  </si>
  <si>
    <t>这样的兰博基尼新Aventador个不个性2011年日内瓦车展上，兰博基尼曾经展出一台输出功率达700hp的Aventador，此后其又推出一款LP720-4车型，并历经小改款升级，不过这中间并未有较大的升级改进，有消息表示全新车型将于2024年推出，而如今有相关业界人士做出了这款新车型的描绘图，不</t>
  </si>
  <si>
    <t>　　千呼万唤始出来，在一番争议与期待之后，江淮大众终于在2019年带来了旗下的首款车型――思皓E20X。抛开一切不谈，从一款车的设计研发、生产制造的整个周期来讲，在短时间内完成一辆崭新的车型几乎是不可能完成的任务，而江淮大众确确实实短时间内交出了思皓E20X这款车型。而本篇文章，我们就来看看这款车究</t>
  </si>
  <si>
    <t>近日，2020款凯迪拉克CT6正式上市，共计推出6款车型，售价区间为37.97-52.77万元。此次上市，凯迪拉克CT6均搭载2.0T发动机，并没有外观和动力上的改变，只是在小细节及配置上有所调整。凯迪拉克CT6的挡把更换了全新的造型，并且娱乐系统也进行了一定的升级，增加了酷我音乐、喜马拉雅FM及Z</t>
  </si>
  <si>
    <t>2020/02/25 11:09:00</t>
  </si>
  <si>
    <t>配置调整 2020款凯迪拉克CT6如何选近日，2020款凯迪拉克CT6正式上市，共计推出6款车型，售价区间为37.97-52.77万元。此次上市，凯迪拉克CT6均搭载2.0T发动机，并没有外观和动力上的改变，只是在小细节及配置上有所调整。凯迪拉克CT6的挡把更换了全新的造型，并且娱乐系统也进行了一定</t>
  </si>
  <si>
    <t>亨利福特曾经说过他要让所有美国人都买得起福特汽车，而比亚迪F3做到了让所有中国人都买的起了。由此可见这款车的价格是真的亲民。这款车也承载着这个时代，为梦想起步的年轻人，和为生活奔波的中年人，记载着这个人间的人生百味。那我们就一起来看一看这款车吧。 我们先来说一说这款车的优点吧，便宜！便宜！便宜！重要</t>
  </si>
  <si>
    <t>2020/02/25 11:08:00</t>
  </si>
  <si>
    <t>比亚迪2020款F3仅需4万元亨利福特曾经说过他要让所有美国人都买得起福特汽车，而比亚迪F3做到了让所有中国人都买的起了。由此可见这款车的价格是真的亲民。这款车也承载着这个时代，为梦想起步的年轻人，和为生活奔波的中年人，记载着这个人间的人生百味。那我们就一起来看一看这款车吧。 我们先来说一说这款车的</t>
  </si>
  <si>
    <t>投诉编号：【448609】  投诉时间： 2020-02-25 11:08  投诉品牌： 宝马（进口）  投诉车系： 宝马X1  投诉车型： 2012款 2.0L 自动  sDrive18i 豪华型        投诉内容  车内异味严重，特别是空调打开后，有严重的类似皮子橡胶的味道刺鼻，希望厂家处</t>
  </si>
  <si>
    <t>仪表盘挡位灯红且亮，但排挡上面的灯不亮啥原因？</t>
  </si>
  <si>
    <t>2020/02/25 11:07:47</t>
  </si>
  <si>
    <t>今年的车市怎么样，其实我觉得还是未知数。尤其是在疫情过去之后，没准汽车市场会迎来大爆发。所以说，我们还是要用乐观的眼光去看待问题。这不，今年凯迪拉克依然会有大动作，那就是预计会在今年的上半年推出一款重磅级的轿车，这款车型咱们并不陌生，没错，就是凯迪拉克CT4。这款车型呢，定位会比凯迪拉克CT5低，那</t>
  </si>
  <si>
    <t>2020/02/25 11:07:00</t>
  </si>
  <si>
    <t>销量暴增的背后红旗经历了什么一说起国产汽车，大家都会想到各种低劣的名词来形容它，除了性价比什么都没有，就喜欢抄袭豪车的设计……但是你们忘了红旗吗？其实早在1958年，我们就已经有属于自己的国产高端品牌了，它就是红旗汽车。自2017年8月，长安汽车与一汽的董事长互换，徐留平先生正式被命名为一汽集团的董</t>
  </si>
  <si>
    <t>凯迪拉克CT4上市后 会让迈腾 亚洲龙颤抖今年的车市怎么样，其实我觉得还是未知数。尤其是在疫情过去之后，没准汽车市场会迎来大爆发。所以说，我们还是要用乐观的眼光去看待问题。这不，今年凯迪拉克依然会有大动作，那就是预计会在今年的上半年推出一款重磅级的轿车，这款车型咱们并不陌生，没错，就是凯迪拉克CT4</t>
  </si>
  <si>
    <t>　　如果给2019年推出的全部车型的热度做一个排名，那么我想全新一代的宝马3系无疑会是名列前茅的车型。凭借着多年来的更新迭代打造的运动形象，使得宝马3系俘获了不少热衷于后驱、运动的粉丝。同样的，提来运动，不得不提的一款车型就是捷豹XE了，强劲的动力以及先天的运动特质，使得捷豹XE戴得粉丝也不在少数。</t>
  </si>
  <si>
    <t>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款——第三方公司不得早于2022年1月在中国进行销售。所以，国产全新</t>
  </si>
  <si>
    <t>2020/02/25 11:06:00</t>
  </si>
  <si>
    <t>国产的奥迪A7L 究竟要不要死等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款——第三方公司不得早于2022年1</t>
  </si>
  <si>
    <t>　　虽说近两年整个汽车市场都在偏向SUV，但20万元的B级轿车刚需始终很大，在这个细分市场中雅阁有着非常高的地位，连续两年获得了销冠。十代雅阁在中国市场的成功可能就连官方也没有想到，毕竟雅阁本是重点针对北美市场的日本车型，所以本田将第十代雅阁的首发市场放在了北美，可不曾想第十代雅阁在北美遇冷，持续低</t>
  </si>
  <si>
    <t>自动变速箱里的挡油板为什么会变形和破裂了，是不是给有一次去换变速箱油，他没放出旧的油，又把新的油又加进去了，正常变速里是四升多油，结果没有放出旧油，又加新的油进去，里面共有八九升油，换变速箱油第二天跑了一次长途，没开多远显示表就提示变速箱故障，后来第二天去异地4S店去检查，就放出来了多余的变速箱油，</t>
  </si>
  <si>
    <t>2020/02/25 11:03:52</t>
  </si>
  <si>
    <t>投诉编号：【448607】投诉时间：2020-02-2511:03投诉品牌：上汽集团投诉车系：名爵ZS投诉车型：2017款1.5L手动豪华版投诉内容上汽名爵ZS发动机故障灯亮，已经是第二次发动机故障（如图所示），希望厂家重视处理。投诉回复车质网已将您的投诉转给生产企业以及国家市场监督管理总局缺陷产品</t>
  </si>
  <si>
    <t>2020/02/25 11:03:00</t>
  </si>
  <si>
    <t>前一阵子有幸试驾了北京现代昂希诺纯电动，其凭借顺滑好开的驾驶感、丰富的科技配置以及扎实的续航能力等，给我留下了深刻的印象。拜疫情所赐，经过了漫长的宅家之旅后，我们迎来了第一台试驾车——北京现代菲斯塔纯电动，得知消息的我可谓是无比兴奋，毕竟菲斯塔曾经可是名噪一时能秒思域的小钢炮，而经过新能源动力的加持</t>
  </si>
  <si>
    <t>2020/02/25 11:02:00</t>
  </si>
  <si>
    <t>　　前一阵子有幸试驾了北京现代昂希诺纯电动，其凭借顺滑好开的驾驶感、丰富的科技配置以及扎实的续航能力等，给我留下了深刻的印象。拜疫情所赐，经过了漫长的宅家之旅后，我们迎来了第一台试驾车――北京现代菲斯塔纯电动，得知消息的我可谓是无比兴奋，毕竟菲斯塔曾经可是名噪一时能秒思域的小钢炮，而经过新能源动力的</t>
  </si>
  <si>
    <t>朱光宇</t>
  </si>
  <si>
    <t>投诉编号：【448605】  投诉时间： 2020-02-25 11:01  投诉品牌： 北京汽车  投诉车系： 绅宝X35  投诉车型： 2016款 1.5L 自动 豪华版        投诉内容  绅宝X35手机互联功能无法正常使用，汽车在卖出时清晰的记录了该款汽车的一些功能，其中包括手机互联，</t>
  </si>
  <si>
    <t>2020/02/25 11:01:00</t>
  </si>
  <si>
    <t>　　这次疫情，影响最深的恐怕就是服务业了，大多数餐馆、理发店、洗车房等地方全都歇业了，这给我们的生活带来了不小的影响。在家宅了这么久，我悟出了一个道理：特殊时期，自己动手，丰衣足食才是王道啊。我最近钻研自己做饭，甚至下单了一个理发器准备自己理发，能自己搞定的尽量自己搞定，潇洒自在。今天我们就来给大家</t>
  </si>
  <si>
    <t>2020/02/25 11:00:00</t>
  </si>
  <si>
    <t>这次疫情，影响最深的恐怕就是服务业了，大多数餐馆、理发店、洗车房等地方全都歇业了，这给我们的生活带来了不小的影响。在家宅了这么久，我悟出了一个道理：特殊时期，自己动手，丰衣足食才是王道啊。我最近钻研自己做饭，甚至下单了一个理发器准备自己理发，能自己搞定的尽量自己搞定，潇洒自在。今天我们就来给大家推荐</t>
  </si>
  <si>
    <t>　　前两天发现很多网友在讨论一个比较有意思的问题，汽车前后轮胎需不需要每行驶一定距离后互换位置。有些人认为行驶一两万公里互换一下前后轮有必要，但有些人觉得很麻烦，平时车子使用中路况也比较理想，没有明显不适就不需要更换。　　那么这个前后轮胎到底有没有必要对调呢？今天的爱卡用车课就和大家来聊一聊这个问题</t>
  </si>
  <si>
    <t>杨宇飞</t>
  </si>
  <si>
    <t>2020/02/25 10:58:00</t>
  </si>
  <si>
    <t>前两天发现很多网友在讨论一个比较有意思的问题，汽车前后轮胎需不需要每行驶一定距离后互换位置。有些人认为行驶一两万公里互换一下前后轮有必要，但有些人觉得很麻烦，平时车子使用中路况也比较理想，没有明显不适就不需要更换。    那么这个前后轮胎到底有没有必要对调呢？今天的爱卡用车课就和大家来聊一聊这个问题</t>
  </si>
  <si>
    <t>投诉编号：【448603】投诉时间：2020-02-2510:56投诉品牌：上汽集团投诉车系：名爵6投诉车型：2017款20T自动豪华智联版国V投诉内容1月22号开始首次电瓶亏电，2月5号再次亏电，2月18日搭电，20日再次亏电无法启动，倒车影像模糊，车载过滤系统无法使用！投诉回复车质网已将您的投诉</t>
  </si>
  <si>
    <t>2020/02/25 10:56:00</t>
  </si>
  <si>
    <t>日前，海外媒体Motor1基于此前多次曝光的谍照绘制了一组全一代宝马4系的渲染图，全新的造型显得格外前卫动感，动力方面除了多款传统发动机之外，还包括一套插电式混动系统。据悉，新车或将于2021年初正式亮相。    外观方面，造型夸张的双肾型前格栅显得格外醒目，格栅内部采用了点阵装饰，两侧的头灯线条格</t>
  </si>
  <si>
    <t>　　日前，海外媒体Motor1基于此前多次曝光的谍照绘制了一组全一代宝马4系的渲染图，全新的造型显得格外前卫动感，动力方面除了多款传统发动机之外，还包括一套插电式混动系统。据悉，新车或将于2021年初正式亮相。　　外观方面，造型夸张的双肾型前格栅显得格外醒目，格栅内部采用了点阵装饰，两侧的头灯线条格</t>
  </si>
  <si>
    <t>　　日前，海外媒体曝光了一组新款宝马M5的路试谍照，新车针对前脸和尾部进行了定向调整，同时动力系统有望得到提升。据悉，新车或将于今年年底之前正式亮相。　　外观方面，标志性的双肾型前格栅毫无疑问得以保留，但有望在最终定型时得以放大。格栅两侧的LED大灯进行了全新设计，辨识度有所提高，前保险杠也进行了略</t>
  </si>
  <si>
    <t>2020/02/25 10:55:00</t>
  </si>
  <si>
    <t>日前，海外媒体曝光了一组新款宝马M5的路试谍照，新车针对前脸和尾部进行了定向调整，同时动力系统有望得到提升。据悉，新车或将于今年年底之前正式亮相。    外观方面，标志性的双肾型前格栅毫无疑问得以保留，但有望在最终定型时得以放大。格栅两侧的LED大灯进行了全新设计，辨识度有所提高，前保险杠也进行了略</t>
  </si>
  <si>
    <t>　　捷豹F-Pace是捷豹旗下首款跨界SUV，在2019年，F-Pace占据了捷豹品牌所有销量的一半，这可能就是汽车制造商正在为该车型准备中期更新的原因。近日，有外媒曝光了一组捷豹F-Pace的雪地测试谍照。　　从谍照来看，路试车的外观进行了大面积的伪装，从整体轮廓上判断，新款捷豹F-PACE的前脸</t>
  </si>
  <si>
    <t>2020/02/25 10:53:00</t>
  </si>
  <si>
    <t>捷豹F-Pace是捷豹旗下首款跨界SUV，在2019年，F-Pace占据了捷豹品牌所有销量的一半，这可能就是汽车制造商正在为该车型准备中期更新的原因。近日，有外媒曝光了一组捷豹F-Pace的雪地测试谍照。    从谍照来看，路试车的外观进行了大面积的伪装，从整体轮廓上判断，新款捷豹F-PACE的前脸</t>
  </si>
  <si>
    <t>本田希望到2030年，本田在全球的产品有三分之二实现电动化，这也意味着该品牌未来的性能车型最终可能是电动汽车，本田思域Type R项目负责人Hideki Kakinuma 向 Motor Trend 谈到了可能发生的情况：“是的，当然，电动R型是可行的。” 他指出，最大的挑战是以合理的价格提供必要的</t>
  </si>
  <si>
    <t>2020/02/25 10:52:00</t>
  </si>
  <si>
    <t>　　本田希望到2030年，本田在全球的产品有三分之二实现电动化，这也意味着该品牌未来的性能车型最终可能是电动汽车，本田思域Type R项目负责人Hideki Kakinuma 向 Motor Trend 谈到了可能发生的情况：“是的，当然，电动R型是可行的。” 他指出，最大的挑战是以合理的价格提供必</t>
  </si>
  <si>
    <t>　　日前，野马汽车对外发布了2020款博骏的外观图片。新车在外观和内饰方面做了部分调整，并优化配置，新增了1.5L+CVT全新动力组合的车型，进一步增加博骏的性价比。据悉，2020款博骏车将于近期上市。　　2020款博骏最大的变化主要体现在外观方面，新车采用了更加年轻运动的造型设计，并且与现有车型形</t>
  </si>
  <si>
    <t>2020/02/25 10:50:00</t>
  </si>
  <si>
    <t>日前，野马汽车对外发布了2020款博骏的外观图片。新车在外观和内饰方面做了部分调整，并优化配置，新增了1.5L+CVT全新动力组合的车型，进一步增加博骏的性价比。据悉，2020款博骏车将于近期上市。    2020款博骏最大的变化主要体现在外观方面，新车采用了更加年轻运动的造型设计，并且与现有车型形</t>
  </si>
  <si>
    <t>　　上周斯柯达昕锐刚刚上市，我就收到许多网友朋友们的留言，纷纷表达了对这款车型的关注。除了新款昕锐年轻化的外观相当吸睛之外，究竟选哪款车型也是他们最纠结的问题。那么昕锐的4款车型中，谁会是哪个性价比最高，配置最齐全的选择呢？我们今天就一起来看一看。　　推荐顶配车型自动舒适版 配置最为齐全　　斯柯达昕</t>
  </si>
  <si>
    <t>都邦</t>
  </si>
  <si>
    <t>2020/02/25 10:49:00</t>
  </si>
  <si>
    <t>投诉编号：【448602】  投诉时间： 2020-02-25 10:48  投诉品牌： 吉利汽车  投诉车系： 帝豪GS  投诉车型： 2016款 1.3T 自动 领尚型 运动版        投诉内容  吉利帝豪GS更换大灯后亮度不一致，2019年10份发生了追尾，更换了大灯。就变成那样了。4s</t>
  </si>
  <si>
    <t>2020/02/25 10:48:00</t>
  </si>
  <si>
    <t>　　一场突如其来的疫情让我们的春节假期一再延后，作为上班族的我们终究还是得老老实实回归岗位。很多单位自下周起，已经正式上班。面对严峻的疫情，浩浩荡荡的“返工潮”，如何让自己的出行更加安全有效呢？特殊时期强烈建议大家独自驾车出行，避免乘坐交通工具减少与人群的接触，那对于私家车出行期间车辆该怎样进行正确</t>
  </si>
  <si>
    <t>杨泽同学</t>
  </si>
  <si>
    <t>2020/02/25 10:46:00</t>
  </si>
  <si>
    <t>一场突如其来的疫情让我们的春节假期一再延后，作为上班族的我们终究还是得老老实实回归岗位。很多单位自下周起，已经正式上班。面对严峻的疫情，浩浩荡荡的“返工潮”，如何让自己的出行更加安全有效呢？特殊时期强烈建议大家独自驾车出行，避免乘坐交通工具减少与人群的接触，那对于私家车出行期间车辆该怎样进行正确的消</t>
  </si>
  <si>
    <t>　　近日我们从一汽奔腾获悉，奔腾t77 pro将于3月7日正式上市。新车与t77外观内饰保持一致，仅针对配置、动力方面做出调整和升级。新车将搭载1.5t动力，最大功率169马力。　　据悉，全新奔腾t77 pro将在外观内饰方面与现款保持一致，但针对配置方面进行调整。t77 pro将搭载acc自适应巡</t>
  </si>
  <si>
    <t>陈睿杰</t>
  </si>
  <si>
    <t>2020/02/25 10:45:00</t>
  </si>
  <si>
    <t>近年来，在国内汽车行情趋稳的情况下，比亚迪努力拓展海外新能源汽车市场，海外订单不断增加。目前，比亚迪的新能源汽车销售已经遍布五大洲，覆盖50多个国家和地区、300多座城市。在新能源客车方面，比亚迪已累计向全球合作伙伴交付超过5万辆纯电动巴士，纯电动大客车累计销量全球第一，业务遍布英国、日本、澳大利亚</t>
  </si>
  <si>
    <t>菲亚特旗下全新纯电微型车——500e位于都灵Mirafiori工厂的生产线已经竣工，预计量产版车型将于6月开始投产。据悉，都灵Mirafiori工厂占地15万平方米，目前已经开始进行500e原型车的生产测试工作。此外，Mirafiori工厂已于2019年10月开始建设一座全新电池组装厂，该电池组装厂</t>
  </si>
  <si>
    <t>比亚迪纯电动大客车销量全球第一近年来，在国内汽车行情趋稳的情况下，比亚迪努力拓展海外新能源汽车市场，海外订单不断增加。目前，比亚迪的新能源汽车销售已经遍布五大洲，覆盖50多个国家和地区、300多座城市。在新能源客车方面，比亚迪已累计向全球合作伙伴交付超过5万辆纯电动巴士，纯电动大客车累计销量全球第一</t>
  </si>
  <si>
    <t>菲亚特500e将于6月投产菲亚特旗下全新纯电微型车——500e位于都灵Mirafiori工厂的生产线已经竣工，预计量产版车型将于6月开始投产。据悉，都灵Mirafiori工厂占地15万平方米，目前已经开始进行500e原型车的生产测试工作。此外，Mirafiori工厂已于2019年10月开始建设一座全</t>
  </si>
  <si>
    <t>近日我们从一汽奔腾获悉，奔腾t77 pro将于3月7日正式上市。新车与t77外观内饰保持一致，仅针对配置、动力方面做出调整和升级。新车将搭载1.5t动力，最大功率169马力。    据悉，全新奔腾t77 pro将在外观内饰方面与现款保持一致，但针对配置方面进行调整。t77 pro将搭载acc自适应巡</t>
  </si>
  <si>
    <t>1月销量同比下滑超过20%、创下自2005年来最低增速，2020年的中国车市显然没能迎来一个开门红，而新冠疫情的出现更是让第一季度的市场几乎“报废”。但在这一片消沉中，新能源车企似乎并没有停止前进的脚步，在2020年初就开始向着700公里续航大关进发。特斯拉、小鹏瞄准700公里毫无疑问，特斯拉是20</t>
  </si>
  <si>
    <t>2020/02/25 10:44:00</t>
  </si>
  <si>
    <t>如今市场里，新能源车也就纯电动汽车和混合动力汽车可以选择，燃料电池汽车虽然研究那么多年，但是真正投入市场中使用的并不多。纯电动汽车续航里程普遍较短，所以更多消费者还是把目光转移到混合动力汽车中，今天我们就来详细聊一聊混合动力汽车的优缺点，让你知道买混合动力汽车后不后悔。混合动力汽车其实是一个概括，实</t>
  </si>
  <si>
    <t>混合动力汽车的优缺点如今市场里，新能源车也就纯电动汽车和混合动力汽车可以选择，燃料电池汽车虽然研究那么多年，但是真正投入市场中使用的并不多。纯电动汽车续航里程普遍较短，所以更多消费者还是把目光转移到混合动力汽车中，今天我们就来详细聊一聊混合动力汽车的优缺点，让你知道买混合动力汽车后不后悔。混合动力汽</t>
  </si>
  <si>
    <t>中国人真的需要一辆续航700公里的电动车吗？1月销量同比下滑超过20%、创下自2005年来最低增速，2020年的中国车市显然没能迎来一个开门红，而新冠疫情的出现更是让第一季度的市场几乎“报废”。但在这一片消沉中，新能源车企似乎并没有停止前进的脚步，在2020年初就开始向着700公里续航大关进发。特斯</t>
  </si>
  <si>
    <t>　　这次疫情改变了很多人的生活方式，在各地逐渐复工之后，不少消费者被逼上了“开车上班”的道路。但对初次购车的人来说，有可能平时对汽车了解较少，怎么选车就成了非常现实的问题。在我前几天的直播中，就有网友提出了自己纠结的问题：　　”预算不多，8万元左右是先来个轿车，还是买suv？”　　那么到底是suv划</t>
  </si>
  <si>
    <t>沈诚</t>
  </si>
  <si>
    <t>2020/02/25 10:43:00</t>
  </si>
  <si>
    <t>前几天股价飙涨的特斯拉着实风光了一把，屏幕外却是酸声一片，不少股民都快酸成柠檬精了。燃油巨头们也是一肚子火儿。2月3日，特斯拉股价还在飙涨时，通用集团自动驾驶和电动汽车的两位高管接受了外媒的专访，酸的头顶上直冒泡泡的老牌巨头隔空喊话，不过这次他们拿出的武器不是新能源整车，而是瞄准了另一个不起眼的配件</t>
  </si>
  <si>
    <t>一个悄无声息的隐形杀手前几天股价飙涨的特斯拉着实风光了一把，屏幕外却是酸声一片，不少股民都快酸成柠檬精了。燃油巨头们也是一肚子火儿。2月3日，特斯拉股价还在飙涨时，通用集团自动驾驶和电动汽车的两位高管接受了外媒的专访，酸的头顶上直冒泡泡的老牌巨头隔空喊话，不过这次他们拿出的武器不是新能源整车，而是瞄</t>
  </si>
  <si>
    <t>在正常情况下，我们很多朋友考虑一台车的品质，主要还是从三大件来看，在当前的汽车市场当中许多合资品牌车型在这个方面做的是比较不错，特别是10万以上的车型，合资品牌所拥有的群众基础会更高一些。在最近几年的发展当中，我们自主品牌的车型也有着较为可观的变化。特别是10万以内的一些车型，我们自主品牌在三大件方</t>
  </si>
  <si>
    <t>2020/02/25 10:42:00</t>
  </si>
  <si>
    <t>你的车是不是这三款发动机在正常情况下，我们很多朋友考虑一台车的品质，主要还是从三大件来看，在当前的汽车市场当中许多合资品牌车型在这个方面做的是比较不错，特别是10万以上的车型，合资品牌所拥有的群众基础会更高一些。在最近几年的发展当中，我们自主品牌的车型也有着较为可观的变化。特别是10万以内的一些车型</t>
  </si>
  <si>
    <t>【佰咖汽车·海外新车资讯】关于阿尔法·罗密欧的消息少之又少，但这个意大利品牌正在积极为下周举行的日内瓦车展做准备。该公司在社交媒体上发布了一段相当神秘的预告，宣布“重大回归”的活动计划3月3日在瑞士第一个媒体日举行。【阿尔法·罗密欧Giulia】虽然这段简短的预告视频没有包含任何其它细节，除了刺耳的</t>
  </si>
  <si>
    <t>2020/02/25 10:41:00</t>
  </si>
  <si>
    <t>阿尔法·罗密欧发布日内瓦车展重大回归【佰咖汽车·海外新车资讯】关于阿尔法·罗密欧的消息少之又少，但这个意大利品牌正在积极为下周举行的日内瓦车展做准备。该公司在社交媒体上发布了一段相当神秘的预告，宣布“重大回归”的活动计划3月3日在瑞士第一个媒体日举行。【阿尔法·罗密欧Giulia】虽然这段简短的预告</t>
  </si>
  <si>
    <t>　　为了更安全的出行，更舒适的驾乘享受，更便捷的空间体验，很多消费者在选车时会考虑一款高品质的suv。而拥有更大空间、更强实用性的7座suv，对很多刚需购车者，依然有着相当强的吸引力。30万元左右价位，从以上四款suv中比较的话，最近刚上市的发现运动版是否能成为综合实力最佳的购车选择。　　由于发现运</t>
  </si>
  <si>
    <t>杜伊斯dUYi</t>
  </si>
  <si>
    <t>2020/02/25 10:40:00</t>
  </si>
  <si>
    <t>北京时间2月25日，华人运通与博世在柏林博世物联网大会（BCW）上签署协议，宣布将与博世共同推进新一代动力电池云端管理系统（以下简称云端电池）领域的合作。根据官方的介绍，这项技术能够将车辆的动力电池与云端进行连接，由此来提高电池的可靠性，并且还称这项技术能够延长动力电池20%的寿命。另外根据介绍，基</t>
  </si>
  <si>
    <t>提起MPV，相信大家最先想到的是埃尔法，但是埃尔法高昂的售价对于消费者来说，始终是土豪了一些，如果说真正在市场中有着极高的保有量的还是要属一些稍微亲民一点的MPV车型，比如别克GL8，传祺GM8等，尤其是GL8。（图为GL8 Avenir概念车）目前在国内市场，中高端MPV领域可以说是被别克GL8给</t>
  </si>
  <si>
    <t>别克GL8 四座版来了提起MPV，相信大家最先想到的是埃尔法，但是埃尔法高昂的售价对于消费者来说，始终是土豪了一些，如果说真正在市场中有着极高的保有量的还是要属一些稍微亲民一点的MPV车型，比如别克GL8，传祺GM8等，尤其是GL8。（图为GL8 Avenir概念车）目前在国内市场，中高端MPV领域</t>
  </si>
  <si>
    <t>华人运通与博世签署合作协议北京时间2月25日，华人运通与博世在柏林博世物联网大会（BCW）上签署协议，宣布将与博世共同推进新一代动力电池云端管理系统（以下简称云端电池）领域的合作。根据官方的介绍，这项技术能够将车辆的动力电池与云端进行连接，由此来提高电池的可靠性，并且还称这项技术能够延长动力电池20</t>
  </si>
  <si>
    <t>[懂车帝原创 产品] 虽然合资公司的股份结构处于变动之中，但DS品牌官方多次强调不会退出中国市场。近日，DS官方正式公布全新豪华轿车DS 9官方图片，该车车身长度达到4.93米，接近标轴的宝马5系，成为DS品牌史上推出的最大尺寸轿车，该车在法国设计，将由中国工厂生产，今年上半年国内上市并销售海外市场</t>
  </si>
  <si>
    <t>2020/02/25 10:39:00</t>
  </si>
  <si>
    <t>DS旗舰轿车DS 9发布[懂车帝原创 产品] 虽然合资公司的股份结构处于变动之中，但DS品牌官方多次强调不会退出中国市场。近日，DS官方正式公布全新豪华轿车DS 9官方图片，该车车身长度达到4.93米，接近标轴的宝马5系，成为DS品牌史上推出的最大尺寸轿车，该车在法国设计，将由中国工厂生产，今年上半</t>
  </si>
  <si>
    <t>投诉编号：【448600】  投诉时间： 2020-02-25 10:38  投诉品牌： 海马汽车  投诉车系： 海马8S  投诉车型： 2019款 1.6TGDI 自动 潮版        投诉内容  海马8S发动机漏机油挂挡时抖动严重，发动机漏油，店说需换发动机，因此这个就是严重的质量问题，希望</t>
  </si>
  <si>
    <t>2020/02/25 10:38:00</t>
  </si>
  <si>
    <t>据公安部交通管理局发布的2019年全国机动车数据，截止到2019年年底，全国机动车保有量达到3.48亿辆，其中汽车保有量达到2.6亿辆，14个省机动车保有量超过1000万辆，66个城市汽车保有量超100万辆。为了确保全部车辆符合安全行驶与环保排放的基础标准，车辆年检的环节必不可少。    2020年</t>
  </si>
  <si>
    <t>2020/02/25 10:35:00</t>
  </si>
  <si>
    <t>　　据公安部交通管理局发布的2019年全国机动车数据，截止到2019年年底，全国机动车保有量达到3.48亿辆，其中汽车保有量达到2.6亿辆，14个省机动车保有量超过1000万辆，66个城市汽车保有量超100万辆。为了确保全部车辆符合安全行驶与环保排放的基础标准，车辆年检的环节必不可少。　　2020年</t>
  </si>
  <si>
    <t>一汽吉林曾在2018年先后推出了森雅r7c和森雅r9两款产品，其造型设计（主要是车头部分）大胆张扬且颇具一定的攻击性，更能迎合现代年轻人倾向运动化的审美需求。在2020年1月，其又推出了森雅r8，而它的整体造型看起来就相对委婉中和一些，内饰方面也与前两者有较大的差异。具体情况，我们就去详细了解一下吧</t>
  </si>
  <si>
    <t>2020/02/25 10:34:00</t>
  </si>
  <si>
    <t>　　一汽吉林曾在2018年先后推出了森雅r7c和森雅r9两款产品，其造型设计（主要是车头部分）大胆张扬且颇具一定的攻击性，更能迎合现代年轻人倾向运动化的审美需求。在2020年1月，其又推出了森雅r8，而它的整体造型看起来就相对委婉中和一些，内饰方面也与前两者有较大的差异。具体情况，我们就去详细了解一</t>
  </si>
  <si>
    <t>王亮</t>
  </si>
  <si>
    <t>日前据外媒报道，为庆祝意大利知名汽车设计公司宾尼法利纳诞生90周年，该公司将推出纪念版的battista(，这款全世界限量5台的纯电动超级跑车将获得专属空气动力学套件和标识。据悉，battista的最大功率达到了1397kw（1900ps），0-100km/h加速不到2s。    battista对</t>
  </si>
  <si>
    <t>2020/02/25 10:32:00</t>
  </si>
  <si>
    <t>　　日前据外媒报道，为庆祝意大利知名汽车设计公司宾尼法利纳诞生90周年，该公司将推出纪念版的battista(，这款全世界限量5台的纯电动超级跑车将获得专属空气动力学套件和标识。据悉，battista的最大功率达到了1397kw（1900ps），0-100km/h加速不到2s。　　battista对</t>
  </si>
  <si>
    <t>日前，网约车平台旗妙出行针对政府机构及b端企业在疫情期间特殊用车需求，推出了“商务用车信赖计划”，包含了上线定制产品、企业专属福利和安全防护三项服务内容，以支持疫情期间企业的出行及复工。旗妙出行是一汽集团旗下的出行平台，定向服务中高端政商务用户，于2019年9月正式上线。    旗妙出行在疫情期间上</t>
  </si>
  <si>
    <t>2020/02/25 10:30:00</t>
  </si>
  <si>
    <t>　　日前，网约车平台旗妙出行针对政府机构及b端企业在疫情期间特殊用车需求，推出了“商务用车信赖计划”，包含了上线定制产品、企业专属福利和安全防护三项服务内容，以支持疫情期间企业的出行及复工。旗妙出行是一汽集团旗下的出行平台，定向服务中高端政商务用户，于2019年9月正式上线。　　旗妙出行在疫情期间上</t>
  </si>
  <si>
    <t>　　2月24号，吉利旗下一款具有非常鲜明性格的紧凑型suv-吉利icon正式上市了，本次共上市4款车型，售价为11.58-12.88万元。此前已经有一台银河限量版车型上市，指导价格为13.2020万元，限量2020台。整个车系标配了“n95口罩”为过滤标准的车载空调滤芯，同时具备车内病毒隔离与防范功</t>
  </si>
  <si>
    <t>王申</t>
  </si>
  <si>
    <t>2020/02/25 10:29:00</t>
  </si>
  <si>
    <t>汽车照明与电子产品专家海拉近日宣布，其已经为新一代宝马x6开发了一套散热器格栅照明系统，该功能更加突出了车辆独特的外观。用户可根据喜好选择在打开或关闭车门及驾驶汽车时，是否点亮散热器格栅照明系统。该散热器格栅照明作为可选配件，被命名为宝马“iconic glow”。据悉，配备这套系统的新一代宝马x6</t>
  </si>
  <si>
    <t>2020/02/25 10:27:00</t>
  </si>
  <si>
    <t>　　汽车照明与电子产品专家海拉近日宣布，其已经为新一代宝马x6开发了一套散热器格栅照明系统，该功能更加突出了车辆独特的外观。用户可根据喜好选择在打开或关闭车门及驾驶汽车时，是否点亮散热器格栅照明系统。该散热器格栅照明作为可选配件，被命名为宝马“iconic glow”。据悉，配备这套系统的新一代宝马</t>
  </si>
  <si>
    <t>帕萨特申请参加中汽研碰撞测试 再撞一回在刚刚过去的2019年，汽车圈最火爆的新闻之一，莫过于大众帕萨特在中保研C-IASI汽车安全碰撞测试中的糟糕表现了。《一代“神车”，创造了中保研碰撞史上两项垫底纪录》  作为一款主力德系中级轿车，帕萨特多项测试成绩均为“P级”——较差。尤其是正面25%偏置碰撞和</t>
  </si>
  <si>
    <t>质量排名倒数 这八个品牌不推荐买前不久，美国权威机构《消费者报告》发布了2020年汽车品牌排名，通过独立客观的测试和对会员车主的调查，最终得出这一汽车品牌排名。每个品牌至少要有两款车型参加测试才能参加排名，测试内容包括：道路测试、可靠性调查、车主满意度调查以及安全性测试。年度排名中，保时捷超越斯巴鲁</t>
  </si>
  <si>
    <t>未来一年左右 特别值得期待的三款新车每当和大家分享或预告全新车型时候，网友总说我又骗你买车了。好吧，今天叫大家先别急着买车，因为再忍一忍，这三款新车都是很值得等待的。东风本田思域Hatchback两厢 传言很久，甚至说有可能在广本国产，最后东风本田还是在去年底以假装很神秘感地公布了。十代思域最牛的地</t>
  </si>
  <si>
    <t>2020/02/25 10:26:00</t>
  </si>
  <si>
    <t>入门版就够用 新款A4L配置曝光  奥迪A4L，可谓是最畅销的豪华B级车，2019年度累计168473台，排在整个轿车市场的第十五位，在豪华轿车中排名第一，从傲人的销量就可见奥迪A4L的受欢迎程度。说到奥迪A4L，不少人都知道这是一款性价比很高的车型，相对另两个一线豪华品牌奔驰、宝马而言。原因则是奥</t>
  </si>
  <si>
    <t>日前，有海外媒体曝光了一组改款mini countryman车型的内饰谍照。新车升级了全液晶仪表盘，但其它部位基本维持了现款车型的设计。另结合此前谍照来看，新车还将针对前脸和后包围造型进行调整，并且预计将在2020年下半年发布。    从内饰谍照来看，新款mini countryman的中控台整体维</t>
  </si>
  <si>
    <t>2020/02/25 10:25:00</t>
  </si>
  <si>
    <t>　　日前，有海外媒体曝光了一组改款mini countryman车型的内饰谍照。新车升级了全液晶仪表盘，但其它部位基本维持了现款车型的设计。另结合此前谍照来看，新车还将针对前脸和后包围造型进行调整，并且预计将在2020年下半年发布。　　从内饰谍照来看，新款mini countryman的中控台整体维</t>
  </si>
  <si>
    <t>沉寂已久放大招 DS旗舰轿车“DS 9”发布  [懂车帝原创 产品] 虽然合资公司的股份结构处于变动之中，但DS品牌官方多次强调不会退出中国市场。近日，DS官方正式公布全新豪华轿车DS 9官方图片，该车车身长度达到4.93米，接近标轴的宝马5系，成为DS品牌史上推出的最大尺寸轿车，该车在法国设计，将</t>
  </si>
  <si>
    <t>提到“三高”测试，相信有不少读者对此并不会陌生，汽车在量产之前，需要在非常极端的环境下对车辆的工作情况、稳定性以及发动机、变速箱的电子管理系统进行标定，“三高”测试就此诞生。通过高原、高温、高寒三种条件的试验来判断一台新车的零部件和整车是否可靠。2019年的国庆前夕，我跟随启辰的工程师们来到了西藏拉</t>
  </si>
  <si>
    <t>2020/02/25 10:23:00</t>
  </si>
  <si>
    <t>　　提到“三高”测试，相信有不少读者对此并不会陌生，汽车在量产之前，需要在非常极端的环境下对车辆的工作情况、稳定性以及发动机、变速箱的电子管理系统进行标定，“三高”测试就此诞生。通过高原、高温、高寒三种条件的试验来判断一台新车的零部件和整车是否可靠。2019年的国庆前夕，我跟随启辰的工程师们来到了西</t>
  </si>
  <si>
    <t>苗帅</t>
  </si>
  <si>
    <t>你知道什么姿势最适合你吗相信很多朋友都已经考取了驾照，但是考取了驾照之后却仍然不会开车。尤其是在实际驾驶的过程中，总会遇到这样那样的问题。一方面是因为自己的驾驶技术确实还需要进一步加强，另一方面则是因为自己对于汽车的了解不够。很多新手司机会发现，老司机开车的时候给人感觉很随意，开起车来也很随意，一点</t>
  </si>
  <si>
    <t>　　近几年，纯电动汽车迎来了黄金爆发期，路上可见的“绿牌车”越来越多。作为国家重点扶持产业，纯电动汽车的体系建设愈发完善和成熟，面对即将到来的2月26日，不能出门的我们又对选择购买什么车开始兴致盎然。此次笔者认为在20万元左右价格区间里的纯电动suv车型，就有着诸多不错的选择。小鹏g3、威马ex5、</t>
  </si>
  <si>
    <t>陈晓霞</t>
  </si>
  <si>
    <t>2020/02/25 10:21:00</t>
  </si>
  <si>
    <t>投诉编号：【448598】  投诉时间： 2020-02-25 10:20  投诉品牌： 北京现代  投诉车系： 领动  投诉车型： 2019款 1.5L CVT 智炫·精英型        投诉内容  新车还不到2000km，出现发动机故障灯亮了。多次联系北京现代售后，均以疫情为由未能开工，没办法</t>
  </si>
  <si>
    <t>2020/02/25 10:20:00</t>
  </si>
  <si>
    <t>“抱着方向盘”是最傻的开车姿势开车时“抱着方向盘”等于作死握方向盘的姿势众多，一种是“紧靠方向盘”的，一还有的“躺着开”的。意思是前者离方向盘太近，第二种是向后靠着座椅。 ▲“抱着方向盘”开车的貌似美眉比较多 先不管开车时如何最舒服，而是小编曾经看到过这么一句话：“尽可能远离驾驶员安全气囊”。驾驶员</t>
  </si>
  <si>
    <t>这是一条能救人命的推送 这是一条能救人命的推送安全带被称为“生命带”千万不要有侥幸心理不管怎么开车、乘车安全带一定要！系！好！你们真的会在开车/坐车时系好安全带么？据统计我国安全带的使用率连50%都不到。。。。。卡车撞上货车，坐在副驾驶的乘客当场被甩出。上了高速公路还不系安全带，司机在汽车翻滚几圈后</t>
  </si>
  <si>
    <t>2020/02/25 10:19:00</t>
  </si>
  <si>
    <t>　　近日，我们从相关渠道了解到，全新一代雷克萨斯nx将于2021年秋季发布。据悉，新车将基于tnga-k平台打造，并通过轻量化及高刚性的设计，进一步提升车体的防护安全及车辆的整体操控表现；动力系统方面尚未有明确消息，预计或提供2.0t、2.5l混动等多款动力总成。配图为现款雷克萨斯nx　　外观上，根</t>
  </si>
  <si>
    <t>2020/02/25 10:18:00</t>
  </si>
  <si>
    <t>近日，我们从相关渠道了解到，全新一代雷克萨斯nx将于2021年秋季发布。据悉，新车将基于tnga-k平台打造，并通过轻量化及高刚性的设计，进一步提升车体的防护安全及车辆的整体操控表现；动力系统方面尚未有明确消息，预计或提供2.0t、2.5l混动等多款动力总成。配图为现款雷克萨斯nx    外观上，根</t>
  </si>
  <si>
    <t>　　作为全球市场最久负盛名的小钢炮，大众高尔夫gti一直受到广大“玩家”级消费者的热捧，这也使得高尔夫gti的更新换代也越发受人关注。而近日，大众官方发布了一张全新一代高尔夫gti（第八代）的预告图，并宣布该新车将于3月举行的日内瓦车展上正式亮相。　　全新一代高尔夫gti造型基于第八代高尔夫打造而来</t>
  </si>
  <si>
    <t>2020/02/25 10:16:00</t>
  </si>
  <si>
    <t>作为全球市场最久负盛名的小钢炮，大众高尔夫gti一直受到广大“玩家”级消费者的热捧，这也使得高尔夫gti的更新换代也越发受人关注。而近日，大众官方发布了一张全新一代高尔夫gti（第八代）的预告图，并宣布该新车将于3月举行的日内瓦车展上正式亮相。    全新一代高尔夫gti造型基于第八代高尔夫打造而来</t>
  </si>
  <si>
    <t>投诉编号：【448621】 
投诉时间： 2020-02-25 11:59 
投诉品牌： 长城汽车 
投诉车系： 哈弗H6 
投诉车型： 2017款 1.5T 手动 四驱 精英型 运动版
奇瑞瑞虎8前大灯存在盲区存在安全隐患</t>
  </si>
  <si>
    <t>2020/02/25 10:15:21</t>
  </si>
  <si>
    <t>　　2月24日，西雅特旗下高性能子品牌cupra于2020日内瓦车展前，正式发布了cupra leon两厢版/cupra leon sportstoure旅行版车型。据悉，新车基于全新一代leon打造，基于大众mqb a1平台打造（与高尔夫同平台），整体造型更为激进运动，动力上则搭载了1.4t ph</t>
  </si>
  <si>
    <t>2020/02/25 10:15:00</t>
  </si>
  <si>
    <t>2月24日，西雅特旗下高性能子品牌cupra于2020日内瓦车展前，正式发布了cupra leon两厢版/cupra leon sportstoure旅行版车型。据悉，新车基于全新一代leon打造，基于大众mqb a1平台打造（与高尔夫同平台），整体造型更为激进运动，动力上则搭载了1.4t phev</t>
  </si>
  <si>
    <t>　　近日，有海外媒体曝光了丰田在美国市场未来产品计划，其中包括了多款皮卡以及suv。丰田红杉丰田4runner丰田坦途　　其中，新一代4runner以及红杉将于2022年推出，目前丰田正在决定新一代4runner是否依旧在北美投产，而新一代红杉未来将基于坦途而来。另外，多款皮卡也迎来换代，新一代坦途</t>
  </si>
  <si>
    <t>2020/02/25 10:13:00</t>
  </si>
  <si>
    <t>近日，有海外媒体曝光了丰田在美国市场未来产品计划，其中包括了多款皮卡以及suv。丰田红杉丰田4runner丰田坦途    其中，新一代4runner以及红杉将于2022年推出，目前丰田正在决定新一代4runner是否依旧在北美投产，而新一代红杉未来将基于坦途而来。另外，多款皮卡也迎来换代，新一代坦途</t>
  </si>
  <si>
    <t>2月20日，湖北省新冠肺炎疫情防控指挥部发布公告称，湖北省内各类企业先按不早于3月10日24时前复工。这一政策的落地，使得湖北地区汽车产业的复工复产时间再次延迟。    受疫情影响，汽车零部件企业同样也在调整生产班次，延迟复工复产。作为整车厂的上游配套供应商，零部件的断供，对整车厂的生产节奏产生重要</t>
  </si>
  <si>
    <t>2020/02/25 10:07:00</t>
  </si>
  <si>
    <t>　　2月20日，湖北省新冠肺炎疫情防控指挥部发布公告称，湖北省内各类企业先按不早于3月10日24时前复工。这一政策的落地，使得湖北地区汽车产业的复工复产时间再次延迟。　　受疫情影响，汽车零部件企业同样也在调整生产班次，延迟复工复产。作为整车厂的上游配套供应商，零部件的断供，对整车厂的生产节奏产生重要</t>
  </si>
  <si>
    <t>冯凉爽</t>
  </si>
  <si>
    <t>投诉编号：【448597】  投诉时间： 2020-02-25 10:05  投诉品牌： 上汽大众  投诉车系： 帕萨特  投诉车型： 2019款 330TSI 豪华版 国VI        投诉内容  1.设计缺陷，中保研测试A柱断裂，拆除保险杆，钢梁壁为单层冲压太薄且仅仅中间有未向两侧延伸加固，</t>
  </si>
  <si>
    <t>2020/02/25 10:05:00</t>
  </si>
  <si>
    <t>一边是销量的持续走低，一边却是因新建工厂的逐渐投发而继续增加的产能，据乘联会专家张明生透露，在2019年，我国乘用车产能利用率从2017年的66.55%降低至53.74%。图片来源：乘联会；年产能计算方式为每年250个工作日，每日双班    截至目前，已经取得工信部汽车生产企业目录公告的汽车企业中有</t>
  </si>
  <si>
    <t>　　一边是销量的持续走低，一边却是因新建工厂的逐渐投发而继续增加的产能，据乘联会专家张明生透露，在2019年，我国乘用车产能利用率从2017年的66.55%降低至53.74%。图片来源：乘联会；年产能计算方式为每年250个工作日，每日双班　　截至目前，已经取得工信部汽车生产企业目录公告的汽车企业中有</t>
  </si>
  <si>
    <t>钟琳</t>
  </si>
  <si>
    <t>2020年伊始，因春节提前，1月有效工作日减少，外加一场突如其来的新冠肺炎疫情，让本就身处严寒的车市开局成绩并不理想。据乘联会最新公布数据显示，2020年1月我国乘用车市场零售169.9万辆新车，同比下滑21.5%，这是自2005年以来的最低增速；而1月环比下滑20.8%，也是历年来最低数值。（以下</t>
  </si>
  <si>
    <t>2020/02/25 10:03:00</t>
  </si>
  <si>
    <t>GTR R35改装NISMO大包围07-17 GTR R35改装NISMO大包围</t>
  </si>
  <si>
    <t>　　2020年伊始，因春节提前，1月有效工作日减少，外加一场突如其来的新冠肺炎疫情，让本就身处严寒的车市开局成绩并不理想。据乘联会最新公布数据显示，2020年1月我国乘用车市场零售169.9万辆新车，同比下滑21.5%，这是自2005年以来的最低增速；而1月环比下滑20.8%，也是历年来最低数值。（</t>
  </si>
  <si>
    <t>　　2月19日，全国新增确诊病例820例。　　2月20日，全国新增确诊病例889例。　　2月21日，全国新增确诊病例397例。　　毋庸置疑，目前新冠肺炎疫情已经出现明显的好转。　　然而，其对汽车行业的影响却仍在持续恶化，并已波及全球多个市场。　　日本：肺炎疫情“内忧外患” 政府已介入　　根据国际贸易</t>
  </si>
  <si>
    <t>熊薇</t>
  </si>
  <si>
    <t>2020/02/25 10:01:00</t>
  </si>
  <si>
    <t>2月19日，全国新增确诊病例820例。    2月20日，全国新增确诊病例889例。    2月21日，全国新增确诊病例397例。    毋庸置疑，目前新冠肺炎疫情已经出现明显的好转。    然而，其对汽车行业的影响却仍在持续恶化，并已波及全球多个市场。    日本：肺炎疫情“内忧外患” 政府已介入</t>
  </si>
  <si>
    <t>图片来源：本田官网　　据外媒报道，本田汽车菲律宾分公司2月22日表示，由于本田的全球汽车业务面临困难，其位于该国的生产设施将于下个月关闭。　　在一系列质量问题之后，在过去的两年之中，日本第三大汽车制造商本田的盈利能力出现了大幅下滑，降幅达到一半以上。　　本田汽车菲律宾份公司在一份声明中表示，该公司位</t>
  </si>
  <si>
    <t>2020/02/25 10:00:00</t>
  </si>
  <si>
    <t>图片来源：本田官网    据外媒报道，本田汽车菲律宾分公司2月22日表示，由于本田的全球汽车业务面临困难，其位于该国的生产设施将于下个月关闭。    在一系列质量问题之后，在过去的两年之中，日本第三大汽车制造商本田的盈利能力出现了大幅下滑，降幅达到一半以上。    本田汽车菲律宾份公司在一份声明中表</t>
  </si>
  <si>
    <t>　　近期，各大车企财报及业绩预告陆续发布。从数据呈现来看，受全球经济低迷及中国车市下行影响，无论是国外品牌还是国内车企，“亏”成为一个大概率的存在。整体来看，美系车企跌势较为明显，当中尤以福特跌幅最大，特斯拉尽管同比营收大涨，不过依然处于亏损状态。对于2020年，各家车企亦陆续给出了相关预期，当中有</t>
  </si>
  <si>
    <t>任慧娟</t>
  </si>
  <si>
    <t>2020/02/25 09:59:00</t>
  </si>
  <si>
    <t>近期，各大车企财报及业绩预告陆续发布。从数据呈现来看，受全球经济低迷及中国车市下行影响，无论是国外品牌还是国内车企，“亏”成为一个大概率的存在。整体来看，美系车企跌势较为明显，当中尤以福特跌幅最大，特斯拉尽管同比营收大涨，不过依然处于亏损状态。对于2020年，各家车企亦陆续给出了相关预期，当中有谨慎</t>
  </si>
  <si>
    <t>　　德尔福科技指出，下降的主要原因是全球产量下降，特别是在中国，欧洲柴油乘用车的下降趋势以及北美某些客户生产基地的关闭。从区域来看，调整后的销售额与去年同期相比，北美下降10％，亚太地区下降9％，欧洲下降4％，南美下降4％。图片来源：德尔福科技　　据财报数据，2019年度德尔福科技营业收入为1.41</t>
  </si>
  <si>
    <t>解全敏</t>
  </si>
  <si>
    <t>2020/02/25 09:57:00</t>
  </si>
  <si>
    <t>德尔福科技指出，下降的主要原因是全球产量下降，特别是在中国，欧洲柴油乘用车的下降趋势以及北美某些客户生产基地的关闭。从区域来看，调整后的销售额与去年同期相比，北美下降10％，亚太地区下降9％，欧洲下降4％，南美下降4％。图片来源：德尔福科技    据财报数据，2019年度德尔福科技营业收入为1.41</t>
  </si>
  <si>
    <t>图片来源：特斯拉官网　　据外媒报道，美国加利福尼亚州新车经销商协会的数据显示，2019年，特斯拉Model 3在加州的主导定位得到了进一步提升，其销量超过了其他所有电动汽车的总合。此外，Model 3的销量达到了其他电动汽车总销量的两倍以上。　　这让Model 3在所有汽车的销量总榜上排在思域和凯美</t>
  </si>
  <si>
    <t>2020/02/25 09:55:00</t>
  </si>
  <si>
    <t>图片来源：特斯拉官网    据外媒报道，美国加利福尼亚州新车经销商协会的数据显示，2019年，特斯拉Model 3在加州的主导定位得到了进一步提升，其销量超过了其他所有电动汽车的总合。此外，Model 3的销量达到了其他电动汽车总销量的两倍以上。    这让Model 3在所有汽车的销量总榜上排在思</t>
  </si>
  <si>
    <t>　　据外媒报道，Ceres Holographics宣布推出最新TD（透明显示屏）原型系统，而且该系统具备关键优势，如全彩显示屏、宽广视野以及包装尺寸小，适用于汽车应用。Ceres Holographics是为下一代透明显示屏（TD）和增强现实抬头显示器（AR-HUD）研发薄膜全息光学元件（HOE）</t>
  </si>
  <si>
    <t>2020/02/25 09:53:00</t>
  </si>
  <si>
    <t>据外媒报道，Ceres Holographics宣布推出最新TD（透明显示屏）原型系统，而且该系统具备关键优势，如全彩显示屏、宽广视野以及包装尺寸小，适用于汽车应用。Ceres Holographics是为下一代透明显示屏（TD）和增强现实抬头显示器（AR-HUD）研发薄膜全息光学元件（HOE）的创</t>
  </si>
  <si>
    <t>　　据外媒报道，特斯拉首席执行官埃隆马斯克（Elon Musk）透露，特斯拉Cybertruck车型将配备一个负载和拖曳计算器，可实时显示数据，帮助驾驶员了解额外的负载会如何影响该款皮卡及其驾驶体验。图片来源：teslarati.com　　马斯克在一系列推文中确认了该功能，此类推文提到Cybertr</t>
  </si>
  <si>
    <t>2020/02/25 09:50:00</t>
  </si>
  <si>
    <t>据外媒报道，特斯拉首席执行官埃隆马斯克（Elon Musk）透露，特斯拉Cybertruck车型将配备一个负载和拖曳计算器，可实时显示数据，帮助驾驶员了解额外的负载会如何影响该款皮卡及其驾驶体验。图片来源：teslarati.com    马斯克在一系列推文中确认了该功能，此类推文提到Cybertr</t>
  </si>
  <si>
    <t>近日，有海外媒体曝光了雷克萨斯未来的产品规划，其中包括了es、ux在内的多款轿车以及suv车型。雷克萨斯ls雷克萨斯es雷克萨斯is    在轿车方面，雷克萨斯ls、es将于2022年迎来改款，而gs则正式退出市场。至于is，新一代车型将于2021年上市。此外，目前丰田正在测试一名为mirai的燃料</t>
  </si>
  <si>
    <t>2020/02/25 09:49:00</t>
  </si>
  <si>
    <t>　　近日，有海外媒体曝光了雷克萨斯未来的产品规划，其中包括了es、ux在内的多款轿车以及suv车型。雷克萨斯ls雷克萨斯es雷克萨斯is　　在轿车方面，雷克萨斯ls、es将于2022年迎来改款，而gs则正式退出市场。至于is，新一代车型将于2021年上市。此外，目前丰田正在测试一名为mirai的燃料</t>
  </si>
  <si>
    <t>投诉编号：【448594】投诉时间：2020-02-2509:45投诉品牌：郑州日产投诉车系：途达投诉车型：2020款2.5L自动四驱旗舰版投诉内容郑州日产途达，日产2020款车联网系统，导致汽车3天后亏电。停放3天后发现汽车打不着火。亏电漏电问题！希望厂家解决。投诉回复车质网已将您的投诉转给生产企</t>
  </si>
  <si>
    <t>2020/02/25 09:45:00</t>
  </si>
  <si>
    <t>日前，雷诺官方发布了一组twingo ze的官图。新车定位纯电动微型车，计划在3月开幕的2020日内瓦车展正式发布。    twingo ze延续了twingo燃油版的造型设计，风格小巧可爱。该车装配雷诺家族式样的封闭式中网，前大灯与中网两侧相接，灯内边缘环绕着led日行灯带，前脸风格精简，样貌呆萌</t>
  </si>
  <si>
    <t>　　日前，雷诺官方发布了一组twingo ze的官图。新车定位纯电动微型车，计划在3月开幕的2020日内瓦车展正式发布。　　twingo ze延续了twingo燃油版的造型设计，风格小巧可爱。该车装配雷诺家族式样的封闭式中网，前大灯与中网两侧相接，灯内边缘环绕着led日行灯带，前脸风格精简，样貌呆萌</t>
  </si>
  <si>
    <t xml:space="preserve">据海外媒体报道，有消息人士透露第二代丰田86计划在2021年中旬发布，命名将由gt86改为gr86，很有可能采用2.4l自然吸气发动机。gr是丰田旗下的高性能部门，全称为gazoo toyota racing。若转为由gr部门研发调校，新一代86预计在原厂动态表现上会有质变。    现款丰田86  </t>
  </si>
  <si>
    <t>2020/02/25 09:44:00</t>
  </si>
  <si>
    <t>　　据海外媒体报道，有消息人士透露第二代丰田86计划在2021年中旬发布，命名将由gt86改为gr86，很有可能采用2.4l自然吸气发动机。gr是丰田旗下的高性能部门，全称为gazoo toyota racing。若转为由gr部门研发调校，新一代86预计在原厂动态表现上会有质变。    现款丰田86</t>
  </si>
  <si>
    <t>近日，有媒体从外媒获得一组大众新款途观r车型渲染图，新车配备了全新的运动套件，视觉效果更为激进动感。此外，该车有望在2020年日内瓦车展亮相。    新车前脸采用最新横幅镀铬格栅，两侧新样式led光源大灯造型锐利。全新设计的下格栅造型动感，辅以黑色饰条进行环绕，中间加入贯穿式镀铬装饰点缀，更显精致。</t>
  </si>
  <si>
    <t>2020/02/25 09:42:00</t>
  </si>
  <si>
    <t>　　近日，有媒体从外媒获得一组大众新款途观r车型渲染图，新车配备了全新的运动套件，视觉效果更为激进动感。此外，该车有望在2020年日内瓦车展亮相。　　新车前脸采用最新横幅镀铬格栅，两侧新样式led光源大灯造型锐利。全新设计的下格栅造型动感，辅以黑色饰条进行环绕，中间加入贯穿式镀铬装饰点缀，更显精致。</t>
  </si>
  <si>
    <t>　　2019年11月8日，上汽大众位于上海安亭的新能源工厂正式落成，新工厂是上汽集团与大众汽车集团在电动化、智能网联化和品牌高端化等方面不断深化合作的成果，也是上汽大众转型升级的重要里程碑。2月21日，有媒体从官方获悉，上海市发改委公布了2020年上海市重大建设项目清单。其中，上汽大众MEB工厂项目</t>
  </si>
  <si>
    <t>2020/02/25 09:40:00</t>
  </si>
  <si>
    <t>2019年11月8日，上汽大众位于上海安亭的新能源工厂正式落成，新工厂是上汽集团与大众汽车集团在电动化、智能网联化和品牌高端化等方面不断深化合作的成果，也是上汽大众转型升级的重要里程碑。2月21日，有媒体从官方获悉，上海市发改委公布了2020年上海市重大建设项目清单。其中，上汽大众MEB工厂项目进入</t>
  </si>
  <si>
    <t>　　2月24日，有媒体从官方获悉，上汽大众安亭厂区迎来复工后的首辆车下线，全新朗逸缓缓驶下生产线，安亭汽车二厂正式开启生产状态。仪征、长沙、宁波工厂也相继迎来复工，其他生产基地也正启动复工前的准备工作。目前，上汽大众在做好疫情防控的同时，正逐渐恢复整车生产能力。　　面对新冠肺炎疫情，上汽大众在全力驰</t>
  </si>
  <si>
    <t>2020/02/25 09:39:00</t>
  </si>
  <si>
    <t>投诉编号：【448592】  投诉时间： 2020-02-25 09:39  投诉品牌： 陆风汽车  投诉车系： 陆风X7  投诉车型： 2015款 2.0T 全景尊贵版        投诉内容  这个车才开了两万多公里，然后腊月的时候，正在高速上超车，突然一下没动力了，差点酿成事故，下高速后到维修</t>
  </si>
  <si>
    <t>2月24日，有媒体从官方获悉，上汽大众安亭厂区迎来复工后的首辆车下线，全新朗逸缓缓驶下生产线，安亭汽车二厂正式开启生产状态。仪征、长沙、宁波工厂也相继迎来复工，其他生产基地也正启动复工前的准备工作。目前，上汽大众在做好疫情防控的同时，正逐渐恢复整车生产能力。    面对新冠肺炎疫情，上汽大众在全力驰</t>
  </si>
  <si>
    <t>　　面对突如其来的疫情，上汽通用五菱利用自身优势，快速联合供应商转产口罩。不仅如此，有媒体了解到，上汽通用五菱作为一家车企，结合用户需求推出了救援放心、保养顺心、服务安心等5大用户关爱服务行动。　　疫情期间，上汽通用五菱率先开启5大关爱举措，带来救援放心、保养顺心、服务安心、防护暖心、便利贴心等多项</t>
  </si>
  <si>
    <t>2020/02/25 09:37:00</t>
  </si>
  <si>
    <t>面对突如其来的疫情，上汽通用五菱利用自身优势，快速联合供应商转产口罩。不仅如此，有媒体了解到，上汽通用五菱作为一家车企，结合用户需求推出了救援放心、保养顺心、服务安心等5大用户关爱服务行动。    疫情期间，上汽通用五菱率先开启5大关爱举措，带来救援放心、保养顺心、服务安心、防护暖心、便利贴心等多项</t>
  </si>
  <si>
    <t>　　别克首款纯电动车微蓝（velite 6）于去年上海车展期间正式上市，随后在10月份推出了高续航版本。按照规划，别克还将推出微蓝的插电混动版车型。日前，有媒体从国家工信部了解到，别克微蓝插电混动版车的动力蓄电池总能量为9.5kwh，b状态下燃料消耗量为4.6l/100km。（注：b状态为不含电能转</t>
  </si>
  <si>
    <t>2020/02/25 09:36:00</t>
  </si>
  <si>
    <t>别克首款纯电动车微蓝（velite 6）于去年上海车展期间正式上市，随后在10月份推出了高续航版本。按照规划，别克还将推出微蓝的插电混动版车型。日前，有媒体从国家工信部了解到，别克微蓝插电混动版车的动力蓄电池总能量为9.5kwh，b状态下燃料消耗量为4.6l/100km。（注：b状态为不含电能转化的</t>
  </si>
  <si>
    <t>　　如今，智能汽车已成为全球汽车产业发展的战略方向。为顺应新一轮科技革命和产业变革趋势，抓住产业智能化发展战略机遇，加快推进智能汽车创新发展，国家发改委、工信部、交通运输部等11部委于近日联合印发《智能汽车创新发展战略》，提出了安全、高效、绿色、文明的智能汽车强国愿景。　　该文件指出，到2025年，</t>
  </si>
  <si>
    <t>2020/02/25 09:34:00</t>
  </si>
  <si>
    <t>如今，智能汽车已成为全球汽车产业发展的战略方向。为顺应新一轮科技革命和产业变革趋势，抓住产业智能化发展战略机遇，加快推进智能汽车创新发展，国家发改委、工信部、交通运输部等11部委于近日联合印发《智能汽车创新发展战略》，提出了安全、高效、绿色、文明的智能汽车强国愿景。    该文件指出，到2025年，</t>
  </si>
  <si>
    <t>　　日前，有媒体从布加迪官方获得一组chiron sport特别版车型图片，新车命名为chiron sport “edition noire sportive”，也成为chiron车型中生产的第250辆，按照原计划chiron将共生产500辆。此外，该车将在3月3日日内瓦车展首发。　　新车采用磨砂碳</t>
  </si>
  <si>
    <t>2020/02/25 09:32:00</t>
  </si>
  <si>
    <t>日前，有媒体从布加迪官方获得一组chiron sport特别版车型图片，新车命名为chiron sport “edition noire sportive”，也成为chiron车型中生产的第250辆，按照原计划chiron将共生产500辆。此外，该车将在3月3日日内瓦车展首发。    新车采用磨砂碳</t>
  </si>
  <si>
    <t>　　2019年，广汽丰田全年累计销量682,008辆，同比增长17.59%。其中，雷凌成为销量担当，售出221,629辆，多月销量突破两万台，同比增长15%。同年12月，中国汽车消费者研究及测试中心(ccrt)也公布了2019年度第四批车型评价结果，丰田雷凌综合得分为80分以上，获得2019年度推荐</t>
  </si>
  <si>
    <t>2020/02/25 09:30:00</t>
  </si>
  <si>
    <t>　　t03是零跑品牌旗下的第二款量产车，随着新车信息的陆续曝光，这款产品也愈发受到消费者的关注。近日，有媒体获得了零跑t03空间的相关数据。根据官方提供的数据，新车采用5门4座的布局，与市面上同级车型相比，零跑t03拥有良好的前排腿部空间、后排头部空间以及灵活多变的空间布局。据了解，新车预计将在20</t>
  </si>
  <si>
    <t>2020/02/25 09:28:00</t>
  </si>
  <si>
    <t>t03是零跑品牌旗下的第二款量产车，随着新车信息的陆续曝光，这款产品也愈发受到消费者的关注。近日，有媒体获得了零跑t03空间的相关数据。根据官方提供的数据，新车采用5门4座的布局，与市面上同级车型相比，零跑t03拥有良好的前排腿部空间、后排头部空间以及灵活多变的空间布局。据了解，新车预计将在2020</t>
  </si>
  <si>
    <t>我11款丰田卡罗红色防冻液，修理工操作失误损失了一部分防冻液，当时他给我补了一点含有乙二醇的红色防冻液，这种情况下混加会有问题吗？  另外 2月20日当时补到上线，今天发现已经到下线，乙二醇的红色防冻液损失过快吗？这种情况下，我现在全重新更换好，还是补点原厂的好？</t>
  </si>
  <si>
    <t>2020/02/25 09:27:15</t>
  </si>
  <si>
    <t>　　随着国内二胎家庭增加以及自驾车旅游的需要，人们对于mpv车型的需求越来越大，特别是中高端mpv，成为许多家庭出行的首选。在国内mpv市场，奥德赛可谓不折不扣的“常青树”，历经17年、四代产品，好看、好开、舒适、省油等特点让奥德赛成为宜商宜家的全能mpv代表车型之一。　　然而，国内现售的中高端mp</t>
  </si>
  <si>
    <t>2020/02/25 09:27:00</t>
  </si>
  <si>
    <t>投诉编号：【448590】  投诉时间： 2020-02-25 09:25  投诉品牌： 上汽通用五菱  投诉车系： 宝骏560  投诉车型： 2016款 1.8L 手动 豪华型        投诉内容  2017年1月底购车，目前车辆的里程是5万公里，主驾座椅塌陷严重不给处理解决问题，希望尽快协调</t>
  </si>
  <si>
    <t>2020/02/25 09:25:00</t>
  </si>
  <si>
    <t>　　在2019年suv热销榜的前十名中，前四名均为紧凑型suv，足以看出消费者对这个级别车型的热衷，因此紧凑型suv市场也成了众多车企的兵家必争之地。今天我就为大家带来了一款紧凑型suv――风行t5入门版车型的性价比分析，该车指导价仅为6.99万元，那么作为主打价格实惠的1.6l手动舒适型国vi（以</t>
  </si>
  <si>
    <t>2020/02/25 09:24:00</t>
  </si>
  <si>
    <t>大众正在计划推出一款新的电动跑车id.r，预计在2025年左右投入生产。根据大众高层消息人士透露，车辆将基于大众的meb平台打造而成，这一平台上还诞生了id.3车型。有消息称，id.r车型将会采用高性能电池技术，这款车型的推出是为了与特斯拉roadster车型进行竞争。大众id.r假想图特斯拉roa</t>
  </si>
  <si>
    <t>2020/02/25 09:22:00</t>
  </si>
  <si>
    <t>　　大众正在计划推出一款新的电动跑车id.r，预计在2025年左右投入生产。根据大众高层消息人士透露，车辆将基于大众的meb平台打造而成，这一平台上还诞生了id.3车型。有消息称，id.r车型将会采用高性能电池技术，这款车型的推出是为了与特斯拉roadster车型进行竞争。大众id.r假想图特斯拉r</t>
  </si>
  <si>
    <t>2月24日，有媒体从哈弗汽车官方获悉，新冠疫情的爆发与蔓延，为此哈弗快速响应市场需求，投入上亿元研发费用，开发出“h-clean净化系统”。据了解，“h-clean净化系统”将于3月率先在哈弗f7、哈弗h6等车型进行搭载，届时哈弗老用户也可以联系4s店进行加装。    “h-clean净化系统”是一</t>
  </si>
  <si>
    <t>2020/02/25 09:20:00</t>
  </si>
  <si>
    <t>　　2月24日，有媒体从哈弗汽车官方获悉，新冠疫情的爆发与蔓延，为此哈弗快速响应市场需求，投入上亿元研发费用，开发出“h-clean净化系统”。据了解，“h-clean净化系统”将于3月率先在哈弗f7、哈弗h6等车型进行搭载，届时哈弗老用户也可以联系4s店进行加装。　　“h-clean净化系统”是一</t>
  </si>
  <si>
    <t>日前，我们从相关渠道获悉，梅赛德斯新一代amg gle 63 s 4matic 轿跑suv将于日内瓦车展首发，该车整体设计基本延续了此前发布的amg gle 53 4matic 轿跑suv，不过在外观及内饰细节上有了更加动感的改变。作为全新gle轿跑suv的最强性能版车型，该车搭载一台4.0l双涡轮</t>
  </si>
  <si>
    <t>2020/02/25 09:19:00</t>
  </si>
  <si>
    <t>　　日前，我们从相关渠道获悉，梅赛德斯新一代amg gle 63 s 4matic 轿跑suv将于日内瓦车展首发，该车整体设计基本延续了此前发布的amg gle 53 4matic 轿跑suv，不过在外观及内饰细节上有了更加动感的改变。作为全新gle轿跑suv的最强性能版车型，该车搭载一台4.0l双</t>
  </si>
  <si>
    <t>2020年最值得期待新车1比亚迪 汉比亚迪将在2020年推出一款中级轿车，名为“汉”。其将会推出 DM （插混）和 EV 两个动力版本，而且外观造型也会大有不同。DM版（插混）DM版采用家族式的Dragon Face设计，而EV版则采用封闭式前脸，仔细看的话会发现头灯的造型也有很大不同，个人觉得EV</t>
  </si>
  <si>
    <t>加勒比海盗123</t>
  </si>
  <si>
    <t>2020/02/25 09:18:00</t>
  </si>
  <si>
    <t>明星们最常用的通勤车型 “保姆车”大盘点明星这个特殊的消费群体，买车自然以各种高端车为主，如章子怡的保时捷911，李晨的阿斯顿·马丁Rapide，范冰冰的奔驰G55，但如果说到他们最最喜欢买的汽车，那还得数各种“保姆车”，因为一台豪华舒适的“保姆车”可以让明星们在奔波的途中享受到难得的休息。以下几款</t>
  </si>
  <si>
    <t>传说中最值中型车：亚洲龙买哪款才是“值中值”最近，身边有个朋友正打算买车，纠结了许久选中了亚洲龙。但让他万万没想到的是，好不容易定了买啥车，却迟迟定不下买啥配置。我朋友这样的情况并非个例，因为亚洲龙有三种动力类型，且车型安全配置都很丰富，所以很多人都不知道从何下手。今天，我就来说说我的“小建议”，看</t>
  </si>
  <si>
    <t>最近，身边有个朋友正打算买车，纠结了许久选中了亚洲龙。但让他万万没想到的是，好不容易定了买啥车，却迟迟定不下买啥配置。我朋友这样的情况并非个例，因为亚洲龙有三种动力类型，且车型安全配置都很丰富，所以很多人都不知道从何下手。今天，我就来说说我的“小建议”，看看亚洲龙买哪款才能“值中值”！ 首先，刚刚上</t>
  </si>
  <si>
    <t>1比亚迪 汉比亚迪将在2020年推出一款中级轿车，名为“汉”。其将会推出 DM （插混）和 EV 两个动力版本，而且外观造型也会大有不同。DM版（插混）DM版采用家族式的Dragon Face设计，而EV版则采用封闭式前脸，仔细看的话会发现头灯的造型也有很大不同，个人觉得EV版更加新潮。EV版新车长</t>
  </si>
  <si>
    <t>明星这个特殊的消费群体，买车自然以各种高端车为主，如章子怡的保时捷911，李晨的阿斯顿·马丁Rapide，范冰冰的奔驰G55，但如果说到他们最最喜欢买的汽车，那还得数各种“保姆车”，因为一台豪华舒适的“保姆车”可以让明星们在奔波的途中享受到难得的休息。以下几款就是明星们最常用的通勤车型，你认为如何呢</t>
  </si>
  <si>
    <t>如果说现时汽车市场上最受欢迎的车型，那必须是合资SUV了。合资SUV最大的卖点是工艺精和动力好。合资车的价格高低不一，但并不是所有品牌汽车都呈现"一分钱一分货"的状态，有些合资SUV的定价并不高，但是外观、性能以及动力都可以吊打更高价位的汽车。今天，我们来聊聊，那些价格在20万元上下，颇受消费者喜爱</t>
  </si>
  <si>
    <t>2020/02/25 09:17:00</t>
  </si>
  <si>
    <t>近日，我们从相关渠道获悉了一组菲亚特500e的路试谍照，新车将于2020日内瓦车展亮相，菲亚特500e将基于全新的纯电动平台打造，续航里程201km，菲亚特500e有望将于今年下半年上市。    菲亚特500e将基于fca集团全新的纯电动平台打造而来，新车在外观方面采用时下流行的双色车身设计，进气格</t>
  </si>
  <si>
    <t>汽车市场上最受欢迎的合资MPV从销量上来讲，别克GL8一直是合资MPV领域的王者。在1月份，GL8甚至超过了五菱宏光，销量达到14180台。不得不承认的是，别克GL8商务气质很浓烈，因此也深受很多公司企业、或者有着家商两用需求的消费者所喜爱。但是如果只是纯粹家用，而且更看重燃油经济性的话，其实本田奥</t>
  </si>
  <si>
    <t>3款当红合资SUV 动力强悍 空间大如果说现时汽车市场上最受欢迎的车型，那必须是合资SUV了。合资SUV最大的卖点是工艺精和动力好。合资车的价格高低不一，但并不是所有品牌汽车都呈现"一分钱一分货"的状态，有些合资SUV的定价并不高，但是外观、性能以及动力都可以吊打更高价位的汽车。今天，我们来聊聊，那</t>
  </si>
  <si>
    <t>　　近日，我们从相关渠道获悉了一组菲亚特500e的路试谍照，新车将于2020日内瓦车展亮相，菲亚特500e将基于全新的纯电动平台打造，续航里程201km，菲亚特500e有望将于今年下半年上市。　　菲亚特500e将基于fca集团全新的纯电动平台打造而来，新车在外观方面采用时下流行的双色车身设计，进气格</t>
  </si>
  <si>
    <t>从销量上来讲，别克GL8一直是合资MPV领域的王者。在1月份，GL8甚至超过了五菱宏光，销量达到14180台。不得不承认的是，别克GL8商务气质很浓烈，因此也深受很多公司企业、或者有着家商两用需求的消费者所喜爱。但是如果只是纯粹家用，而且更看重燃油经济性的话，其实本田奥德赛·锐混动是一个很好的选择。</t>
  </si>
  <si>
    <t>2020/02/25 09:16:00</t>
  </si>
  <si>
    <t>沃尔沃的车是佛系的，是小众的，以至于大多数不懂车的朋友，只会认为沃尔沃除了安全并没有什么特别之处。但其实沃尔沃是独具个性的，作为一个有着近百年历史的车企，沃尔沃在设计和科技配置上都走在时代的前沿，懂它的人自然懂。自沃尔沃1953年推出首款旅行车，近70年的发展，沃尔沃的旅行车逐渐成为消费者的宠儿，今</t>
  </si>
  <si>
    <t>虽说现在的汽车市场对于运动范、性能风更加情有独钟，但是实用性更强的家用车依旧是汽车市场中长盛不衰的需求，而如今多人口家庭越来越多，家用车应人们需求也增加了六七座，因此接下来小编便为大家盘点一下10万左右、提供六七座的家用车，它们一款比一款大气、一款比一款便宜。第一款：别克GL6在知名度上，别克GL6</t>
  </si>
  <si>
    <t>日前，我们获悉了一组全新一代ds 4路试谍照，全新一代ds 4来自psa最新的cmp平台打造而来，新车经过了高度伪装，采用五门式掀背式设计。据了解，全新一代ds 4有望在今年年底或明年年初亮相。    外观方面，本次曝光的全新一代ds 4外观经过了严密的伪装，但从细节处依然可以看出，采用了两厢五门掀</t>
  </si>
  <si>
    <t>受疫情影响，没人去4S店买车，这时候去买车能拿到最大优惠吗有朋友问喵哥现在大家都不出门宅在家里，那肯定没人去看车，4S店的车就没人买了，这个时候刚好过完年，年前很多人都已经买了车，这个时候4S肯定很冷清，去买车的话是不是能够捡到便宜，比平时买车肯定优惠更多一些。今天就这个问题喵哥给大家分析一下。 这</t>
  </si>
  <si>
    <t>号称最美旅行车 比同级别BBA价格还要贵沃尔沃的车是佛系的，是小众的，以至于大多数不懂车的朋友，只会认为沃尔沃除了安全并没有什么特别之处。但其实沃尔沃是独具个性的，作为一个有着近百年历史的车企，沃尔沃在设计和科技配置上都走在时代的前沿，懂它的人自然懂。自沃尔沃1953年推出首款旅行车，近70年的发展</t>
  </si>
  <si>
    <t>轿车保值率新鲜出炉！日系再次屠榜前言“保值率”是我们买车时的一个很重要的指标，保值率越高的车，在卖车的时候也就越值钱。谁都不能保证，买了车就能把这辆车开到报废，即便有也是极少数的人。一般而言，大多数人的换车周期都在5-8年。所以选择一款保值率高的车，在日后换车时就能少损失一部分钱，这样看来保值率对于</t>
  </si>
  <si>
    <t>　　日前，我们获悉了一组全新一代ds 4路试谍照，全新一代ds 4来自psa最新的cmp平台打造而来，新车经过了高度伪装，采用五门式掀背式设计。据了解，全新一代ds 4有望在今年年底或明年年初亮相。　　外观方面，本次曝光的全新一代ds 4外观经过了严密的伪装，但从细节处依然可以看出，采用了两厢五门掀</t>
  </si>
  <si>
    <t>通用今年给你准备了15款新车实话说2019年大家的日子都不好过，你没赚够钱买车，车企的销量数字自然也好看不到哪里去。像是上汽通用，在2019年全年累计销量146.33万辆，相比2018年还下降了25.7%，旗下的别克、雪佛兰、凯迪拉克三大品牌，无一例外呈现下降趋势。经济差、车市遇冷是销量下跌的最大原</t>
  </si>
  <si>
    <t>10万左右 提供六七座的家用车虽说现在的汽车市场对于运动范、性能风更加情有独钟，但是实用性更强的家用车依旧是汽车市场中长盛不衰的需求，而如今多人口家庭越来越多，家用车应人们需求也增加了六七座，因此接下来小编便为大家盘点一下10万左右、提供六七座的家用车，它们一款比一款大气、一款比一款便宜。第一款：别</t>
  </si>
  <si>
    <t>有朋友问喵哥现在大家都不出门宅在家里，那肯定没人去看车，4S店的车就没人买了，这个时候刚好过完年，年前很多人都已经买了车，这个时候4S肯定很冷清，去买车的话是不是能够捡到便宜，比平时买车肯定优惠更多一些。今天就这个问题喵哥给大家分析一下。 这个时候到底适不适合去买车，首先从理论上来讲这个时候去买车，</t>
  </si>
  <si>
    <t>前言“保值率”是我们买车时的一个很重要的指标，保值率越高的车，在卖车的时候也就越值钱。谁都不能保证，买了车就能把这辆车开到报废，即便有也是极少数的人。一般而言，大多数人的换车周期都在5-8年。所以选择一款保值率高的车，在日后换车时就能少损失一部分钱，这样看来保值率对于选车来说的确很重要。此前，小编已</t>
  </si>
  <si>
    <t>帕萨特申请参加中汽研碰撞测试，再撞一回在刚刚过去的2019年，汽车圈最火爆的新闻之一，莫过于大众帕萨特在中保研C-IASI汽车安全碰撞测试中的糟糕表现了。《一代“神车”，创造了中保研碰撞史上两项垫底纪录》 作为一款主力德系中级轿车，帕萨特多项测试成绩均为“P级”——较差。尤其是正面25%偏置碰撞和侧</t>
  </si>
  <si>
    <t>2020/02/25 09:15:00</t>
  </si>
  <si>
    <t>在刚刚过去的2019年，汽车圈最火爆的新闻之一，莫过于大众帕萨特在中保研C-IASI汽车安全碰撞测试中的糟糕表现了。《一代“神车”，创造了中保研碰撞史上两项垫底纪录》 作为一款主力德系中级轿车，帕萨特多项测试成绩均为“P级”——较差。尤其是正面25%偏置碰撞和侧面碰撞，在同级别车型之中，属于垫底的存</t>
  </si>
  <si>
    <t>别克GL8 四座版来了，尺寸比埃尔法还大，这次真的是一家独大了提起MPV，相信大家最先想到的是埃尔法，但是埃尔法高昂的售价对于消费者来说，始终是土豪了一些，如果说真正在市场中有着极高的保有量的还是要属一些稍微亲民一点的MPV车型，比如别克GL8，传祺GM8等，尤其是GL8。 （图为GL8 Aveni</t>
  </si>
  <si>
    <t>2020/02/25 09:14:00</t>
  </si>
  <si>
    <t>国产的奥迪A7L，究竟要不要死等？最近国产A7的呼声很高，理由是这款被称之为“最美奥迪”的座驾终于实锤国产，这算得上是一个喜讯，但另一个消息却让人心燥不安，根据2017年5月，奥迪经销商联会、一汽、一汽-大众、奥迪四方根据“三亚声明”中的诉求达成共识并签署协议中的条款——第三方公司不得早于2022年</t>
  </si>
  <si>
    <t>提起MPV，相信大家最先想到的是埃尔法，但是埃尔法高昂的售价对于消费者来说，始终是土豪了一些，如果说真正在市场中有着极高的保有量的还是要属一些稍微亲民一点的MPV车型，比如别克GL8，传祺GM8等，尤其是GL8。 （图为GL8 Avenir概念车）目前在国内市场，中高端MPV领域可以说是被别克GL8</t>
  </si>
  <si>
    <t>　　随着近年来自主品牌的不断崛起，很多豪华品牌为了增强竞争力也降低了入门门槛，其中为代表的“德系三驾马车”不再是遥不可攀，入门车型也开始走向亲民化。奥迪作为在国内比较有亲和力的一个豪华品牌，更是进一步下放了入门门槛，不到20万的价格，国产a3就能选。suv领域，奥迪q2l更是当仁不让，虽然是入门车型</t>
  </si>
  <si>
    <t>当基本生活得到满足后，人们常常会去追求精神层面的满足，比如在汽车方面选购实用性突出，同时又非常有个性的车，例如大尺寸7座SUV。但需要注意的是，SUV车型的车身尺寸一般比较大，加之较高的重心以及盲区，日常驾驶时难免让人觉得劳累，而相比之下旅行车就要舒服的多，既能满足你对空间、舒适性的追求，旅行车特有</t>
  </si>
  <si>
    <t>2020/02/25 09:13:00</t>
  </si>
  <si>
    <t>质量排名倒数，这八个品牌不推荐买前不久，美国权威机构《消费者报告》发布了2020年汽车品牌排名，通过独立客观的测试和对会员车主的调查，最终得出这一汽车品牌排名。每个品牌至少要有两款车型参加测试才能参加排名，测试内容包括：道路测试、可靠性调查、车主满意度调查以及安全性测试。年度排名中，保时捷超越斯巴鲁</t>
  </si>
  <si>
    <t>随着全国各地区的逐渐返工，接近停摆的国家机器终于又重启了。虽然两个“14”天的隔离期消耗了2020年不少的时间，不过在今年的车市里，该有的热闹依然不会少。例如有经典车型的换代，全新车型的推出，还有新能源领域的持续加热……。接下来我们就来盘点盘点那些将要撼动2020年车坛的全新车型。凯迪拉克CT4作为</t>
  </si>
  <si>
    <t>2020年 能撼动车坛的 有这些车随着全国各地区的逐渐返工，接近停摆的国家机器终于又重启了。虽然两个“14”天的隔离期消耗了2020年不少的时间，不过在今年的车市里，该有的热闹依然不会少。例如有经典车型的换代，全新车型的推出，还有新能源领域的持续加热……。接下来我们就来盘点盘点那些将要撼动2020年</t>
  </si>
  <si>
    <t>未来一年左右，特别值得期待的三款新车，可以让你现在不买车每当和大家分享或预告全新车型时候，网友总说我又骗你买车了。好吧，今天叫大家先别急着买车，因为再忍一忍，这三款新车都是很值得等待的。东风本田思域Hatchback两厢 传言很久，甚至说有可能在广本国产，最后东风本田还是在去年底以假装很神秘感地公布</t>
  </si>
  <si>
    <t>情怀可以当饭吃 三款高品质旅行车推荐当基本生活得到满足后，人们常常会去追求精神层面的满足，比如在汽车方面选购实用性突出，同时又非常有个性的车，例如大尺寸7座SUV。但需要注意的是，SUV车型的车身尺寸一般比较大，加之较高的重心以及盲区，日常驾驶时难免让人觉得劳累，而相比之下旅行车就要舒服的多，既能满</t>
  </si>
  <si>
    <t>每当和大家分享或预告全新车型时候，网友总说我又骗你买车了。好吧，今天叫大家先别急着买车，因为再忍一忍，这三款新车都是很值得等待的。东风本田思域Hatchback两厢 传言很久，甚至说有可能在广本国产，最后东风本田还是在去年底以假装很神秘感地公布了。十代思域最牛的地方在于，作为一款以运动挂帅的车型上市</t>
  </si>
  <si>
    <t>前不久，美国权威机构《消费者报告》发布了2020年汽车品牌排名，通过独立客观的测试和对会员车主的调查，最终得出这一汽车品牌排名。每个品牌至少要有两款车型参加测试才能参加排名，测试内容包括：道路测试、可靠性调查、车主满意度调查以及安全性测试。年度排名中，保时捷超越斯巴鲁上升至第一位，现代旗下的豪华品牌</t>
  </si>
  <si>
    <t>除了BBA 30多万买啥豪车？SUV车型在当前的汽车市场当中，已俨然成为了绝对的销售主力，而其中受欢迎程度最高的，则是一些紧凑级与中级的SUV车型，比如本田CRV，XRV，日产奇骏等车型，都是一些销量成绩非常优秀的产品，但与此同时，我们也不应该忽视了那些在市场中，整体表现同样出色的中级SUV车型，这</t>
  </si>
  <si>
    <t>2020/02/25 09:12:00</t>
  </si>
  <si>
    <t>对于新车上市，很多人都持观望态度，有的是等优惠，有的是等待别人的真实使用体验。不过对于以下几款SUV来说，等待可能不会起太大作用，因为它们产品可靠，价格坚挺，哪怕是疫情期间乃至过后都很难迎来大幅优惠。下面，我们就一起来看看，到底哪几款车可以这么牛！一汽丰田RAV4荣放指导价：17.48-25.88万</t>
  </si>
  <si>
    <t>SUV车型在当前的汽车市场当中，已俨然成为了绝对的销售主力，而其中受欢迎程度最高的，则是一些紧凑级与中级的SUV车型，比如本田CRV，XRV，日产奇骏等车型，都是一些销量成绩非常优秀的产品，但与此同时，我们也不应该忽视了那些在市场中，整体表现同样出色的中级SUV车型，这类车型的起售价格虽然要高一些，</t>
  </si>
  <si>
    <t>这几款SUV不加价已偷笑 早买早享受对于新车上市，很多人都持观望态度，有的是等优惠，有的是等待别人的真实使用体验。不过对于以下几款SUV来说，等待可能不会起太大作用，因为它们产品可靠，价格坚挺，哪怕是疫情期间乃至过后都很难迎来大幅优惠。下面，我们就一起来看看，到底哪几款车可以这么牛！一汽丰田RAV4</t>
  </si>
  <si>
    <t>　　不久前我们解析了新款思域type r的外观设计，相信已经引发了车迷朋友的一拨儿“真香”感叹，虽然相比较激进夸张的外观，新款思域type r的内饰显得收敛了许多，但是战斗氛围依旧相当浓郁，同时在用料方面也更加讲究，例如专属红色饰条、碳纤维饰板等装饰，下面让我们一同来看看吧。　　动力方面，今天介绍的</t>
  </si>
  <si>
    <t>投诉编号：【448588】 投诉时间： 2020-02-25 09:07    投诉品牌： 众泰汽车投诉车系： 众泰T700  投诉车型： 2017款 1.8T 双离合 尊贵 众泰T700 A柱饰板自然开裂希望厂家处理</t>
  </si>
  <si>
    <t>2020/02/25 09:11:59</t>
  </si>
  <si>
    <t>　　手持10万元买车，似乎是中国车市的永恒话题。在这个区间你可以选到合资品牌的小型轿车、中国品牌的从小型到甚至中型的大多数车型。但合资品牌小型suv其实还是要再多增添几万元的预算才可以染指的，不过上汽通用作为老炮儿级别的合资厂商自然洞悉到消费者的需求。新一代的创酷价格以9.99万元低价入市，而且经过</t>
  </si>
  <si>
    <t>2020/02/25 09:11:00</t>
  </si>
  <si>
    <t>万万没想到，病毒性肺炎居然赶上了春节假期，为了避免被感染不少人选择待在家中，但我相信仍有部分人心中觉得放假还是选择游玩才会更有意义。其实，出门游玩选择人迹稀少的地方也是可以有效避免感染的，例如去一些景色不错的野外进行露营等等。那么问题来了，自驾去野外露营该选择租哪几款SUV合适呢？既然选择野外露营，</t>
  </si>
  <si>
    <t>我是个大画家</t>
  </si>
  <si>
    <t>4年前花80万买的特斯拉，现在续航多少？能卖多少？听车主怎么说4年前花80万买的特斯拉，现在续航多少？来听听车主怎么说男子4年前花80万买的特斯拉，现在续航多少？车主：纯属为了玩说起新能源，除了国内的比亚迪有着不俗的技术外，那么就要属特斯拉最具发言权了。对于特斯拉来说，它在新能源方面的技术可是有着全</t>
  </si>
  <si>
    <t>自驾选择这几款七座SUV，坐满一家人万万没想到，病毒性肺炎居然赶上了春节假期，为了避免被感染不少人选择待在家中，但我相信仍有部分人心中觉得放假还是选择游玩才会更有意义。其实，出门游玩选择人迹稀少的地方也是可以有效避免感染的，例如去一些景色不错的野外进行露营等等。那么问题来了，自驾去野外露营该选择租哪</t>
  </si>
  <si>
    <t>入门版就够用 新款A4L配置曝光 新增了不少配置 奥迪A4L，可谓是最畅销的豪华B级车，2019年度累计168473台，排在整个轿车市场的第十五位，在豪华轿车中排名第一，从傲人的销量就可见奥迪A4L的受欢迎程度。说到奥迪A4L，不少人都知道这是一款性价比很高的车型，相对另两个一线豪华品牌奔驰、宝马而</t>
  </si>
  <si>
    <t>　　随着自主品牌车企的实力和技术的不断增强，紧凑级轿车成为了它们集中发力的领域，于是在这个细分市场中，有越来越多的车型出现在了消费者的面前。那么在近期内，有哪些车型因其较强的产品力而受到的关注度比较高？同时市场行情又如何？接下来，咱们一同去研究下。　　吉利帝豪gl全系共推出6款国vi版本车型，官方售</t>
  </si>
  <si>
    <t>2020/02/25 09:09:00</t>
  </si>
  <si>
    <t>现如今无论是二胎政策还是全民创业促使7人座车型的市场不断扩大，曾经只有企业机关才购买的MPV现在都成为了老百姓家庭购车的主要备选。7人座车型不仅宽大舒适，并且载人载物能力出色，商务接待、聚会郊游都是非常好的帮手。但是7人座车也有一个特别不好的政策，那就是它不能享受小客车新车6年免上线验车，这样一来我</t>
  </si>
  <si>
    <t>2020/02/25 09:08:00</t>
  </si>
  <si>
    <t>家用 商务两不误 哪些6座车值得拥有现如今无论是二胎政策还是全民创业促使7人座车型的市场不断扩大，曾经只有企业机关才购买的MPV现在都成为了老百姓家庭购车的主要备选。7人座车型不仅宽大舒适，并且载人载物能力出色，商务接待、聚会郊游都是非常好的帮手。但是7人座车也有一个特别不好的政策，那就是它不能享受</t>
  </si>
  <si>
    <t>　　在商战中，先发制人当然可取得轰动效果，取得空前的成功。但是，后发制人，也同样是一条成功之道，这样的例子可谓是屡见不鲜。在中国，2004年9月才正式成立的广汽丰田算是名副其实的后来者，但凭借着“中级车”之王――凯美瑞在短短几年时间便得到市场的认可。而在当下，随着基于tnga架构打造的全新产品阵容逐</t>
  </si>
  <si>
    <t>徐嘉辉</t>
  </si>
  <si>
    <t>2020/02/25 09:06:00</t>
  </si>
  <si>
    <t>投诉编号：【448586】  投诉时间： 2020-02-25 09:04  投诉品牌： 东风本田  投诉车系： 享域  投诉车型： 2019款 180TURBO 手动 舒适版 国VI        投诉内容  本人于2019.8.7号购买本田享域轿车，在2019年12.24号，行驶6662公里时发</t>
  </si>
  <si>
    <t>2020/02/25 09:04:00</t>
  </si>
  <si>
    <t>　　在不少车迷的心中，本田思域type r绝对是图腾般的存在，甚至有些狂热爱好者甚至不惜重金去购买一台平行进口版思域type r，但动辄60余万元的售价还是让大多数粉丝望而却步。不过在前不久的本田中国媒体大会上已经证实了两厢思域即将国产的消息，这下粉丝们可以通过“爆改”两厢思域来圆梦了，究竟应该如何</t>
  </si>
  <si>
    <t>　　作为梅赛德斯-奔驰旗下的一款旗舰级轿车车型，s级至今已推出至第十代车型，而代号为w222的第十代奔驰s级车型于2013年在德国上市开售，至今已销售长达7年之久，而第十一代奔驰s级（代号为w223）将于今年与大家见面。据海外媒体报道，第十一代奔驰s级将于今年一季度正式亮相（或将于3月日内瓦车展亮相</t>
  </si>
  <si>
    <t>2020/02/25 09:03:00</t>
  </si>
  <si>
    <t>作为梅赛德斯-奔驰旗下的一款旗舰级轿车车型，s级至今已推出至第十代车型，而代号为w222的第十代奔驰s级车型于2013年在德国上市开售，至今已销售长达7年之久，而第十一代奔驰s级（代号为w223）将于今年与大家见面。据海外媒体报道，第十一代奔驰s级将于今年一季度正式亮相（或将于3月日内瓦车展亮相），</t>
  </si>
  <si>
    <t>　　在过去的2019年，沃尔沃在中国市场推出了xc40与s60两款全新产品，取得了全年累计销量154,559辆的成绩。有媒体梳理了沃尔沃新车规划，预计在2020年至少将有3款车型上市，分别为新款s90、v90 cross country（以下简称v90 cc）与xc40 recharge（以下简称x</t>
  </si>
  <si>
    <t>2020/02/25 09:02:00</t>
  </si>
  <si>
    <t>在过去的2019年，沃尔沃在中国市场推出了xc40与s60两款全新产品，取得了全年累计销量154,559辆的成绩。有媒体梳理了沃尔沃新车规划，预计在2020年至少将有3款车型上市，分别为新款s90、v90 cross country（以下简称v90 cc）与xc40 recharge（以下简称xc4</t>
  </si>
  <si>
    <t>每年一度的日内瓦车展即将在3月3日开幕，起亚将会带来一款重磅新品全球首发，它就是全新索兰托。相比现款，新车外观内饰进行重新设计，整体造型非常硬派，与多数起亚车型居家、经济的定位大相径庭。并且，该车尺寸大幅加长，搭载1.6t混动等新动力，绝对是汉兰达、锐界等中型suv的强力对手。    索兰托早在20</t>
  </si>
  <si>
    <t>2020/02/25 09:00:00</t>
  </si>
  <si>
    <t>　　每年一度的日内瓦车展即将在3月3日开幕，起亚将会带来一款重磅新品全球首发，它就是全新索兰托。相比现款，新车外观内饰进行重新设计，整体造型非常硬派，与多数起亚车型居家、经济的定位大相径庭。并且，该车尺寸大幅加长，搭载1.6t混动等新动力，绝对是汉兰达、锐界等中型suv的强力对手。　　索兰托早在20</t>
  </si>
  <si>
    <t>近日海外媒体曝光了大众tiguan ready2go车型的图片、海外售价以及配置等部分信息，而新车也已在西班牙地区上市开售，并有望在今年年内陆续完成交付工作。值得一提的是，新车首次换搭了大众旗下1.5t涡轮增压发动机，发动机技术以及排放等方面也得到诸多优化。    动力方面，新车将搭载一台1.5t涡</t>
  </si>
  <si>
    <t>2020/02/25 08:59:00</t>
  </si>
  <si>
    <t>　　近日海外媒体曝光了大众tiguan ready2go车型的图片、海外售价以及配置等部分信息，而新车也已在西班牙地区上市开售，并有望在今年年内陆续完成交付工作。值得一提的是，新车首次换搭了大众旗下1.5t涡轮增压发动机，发动机技术以及排放等方面也得到诸多优化。　　动力方面，新车将搭载一台1.5t涡</t>
  </si>
  <si>
    <t>近日，菲亚特·克莱斯勒汽车向美国高中学生开展设计竞赛，而此次的宣传单上采用了道奇ram皮卡的设计草图，这很可能暗示着奇ram rebel trx的未来设计，前不久有海外媒体刚刚曝光了一组道奇ram rebel trx的实车谍照，但谍照中道奇ram rebel trx的测试车有着厚厚的伪装，今天我们不</t>
  </si>
  <si>
    <t>2020/02/25 08:58:00</t>
  </si>
  <si>
    <t>　　近日，菲亚特・克莱斯勒汽车向美国高中学生开展设计竞赛，而此次的宣传单上采用了道奇ram皮卡的设计草图，这很可能暗示着奇ram rebel trx的未来设计，前不久有海外媒体刚刚曝光了一组道奇ram rebel trx的实车谍照，但谍照中道奇ram rebel trx的测试车有着厚厚的伪装，今天我</t>
  </si>
  <si>
    <t>说起沃尔沃相信大家都会将其和安全关联到一起，旗下的旗舰轿车s90凭借着优雅气质以及较为齐全的安全辅助系统成为众多不喜张扬消费者的座驾。近日沃尔沃s90终于迎来了中期改款，时隔三年，新车能够带给我们惊喜吗？    新款s90的外观虽然并没有进行明显的改动，但是像小鸭尾、流水转向灯的加入令s90更加符合</t>
  </si>
  <si>
    <t>2020/02/25 08:56:00</t>
  </si>
  <si>
    <t>20万左右的七座车 买什么好？20万这一预算有些尴尬，不能买到汉兰达和奥德赛这两款产品力较强、热度较高的产品，只能退而求其次。如果要选择SUV车型，笔者推荐三菱欧蓝德。欧蓝德的优势在于整车可靠性比较出色，大毛病没有，小毛病很少，比较省心。并且，欧蓝德不管是维修费用，还是保养费用，价格都要比主流的七座</t>
  </si>
  <si>
    <t>　　说起沃尔沃相信大家都会将其和安全关联到一起，旗下的旗舰轿车s90凭借着优雅气质以及较为齐全的安全辅助系统成为众多不喜张扬消费者的座驾。近日沃尔沃s90终于迎来了中期改款，时隔三年，新车能够带给我们惊喜吗？　　新款s90的外观虽然并没有进行明显的改动，但是像小鸭尾、流水转向灯的加入令s90更加符合</t>
  </si>
  <si>
    <t>梅赛德斯-奔驰计划在华推出eqa、eqb、eqe、eqs及eqv五款纯电动车型，近日海外媒体曝光了一组奔驰全新eqa路试谍照图片。未来eqa将成为一款价格最低的且使用奔驰车标的电动suv，对于偏爱三叉星辉车主来说自然是颇具吸引力的。    参考现款燃油版车型在中国26.48-38.58万元的售价，纯</t>
  </si>
  <si>
    <t>2020/02/25 08:55:00</t>
  </si>
  <si>
    <t>　　梅赛德斯-奔驰计划在华推出eqa、eqb、eqe、eqs及eqv五款纯电动车型，近日海外媒体曝光了一组奔驰全新eqa路试谍照图片。未来eqa将成为一款价格最低的且使用奔驰车标的电动suv，对于偏爱三叉星辉车主来说自然是颇具吸引力的。　　参考现款燃油版车型在中国26.48-38.58万元的售价，纯</t>
  </si>
  <si>
    <t>不久前，吉利高端品牌已经针对车主朋友推出了“足不出户 在线实景看车、防疫新升级 到店更安心、权益有保障 福利更暖心”三大服务政策。眼下为了解决疫情期间消费者线下看车难、选车难、购车难的痛点，领克汽车于2月18日又开启“一诺千金 为爱倍增”系列线上销售主题活动，充分发挥线上+线下三位一体渠道优势，开展</t>
  </si>
  <si>
    <t>2020/02/25 08:53:00</t>
  </si>
  <si>
    <t>　　不久前，吉利高端品牌已经针对车主朋友推出了“足不出户 在线实景看车、防疫新升级 到店更安心、权益有保障 福利更暖心”三大服务政策。眼下为了解决疫情期间消费者线下看车难、选车难、购车难的痛点，领克汽车于2月18日又开启“一诺千金 为爱倍增”系列线上销售主题活动，充分发挥线上+线下三位一体渠道优势，</t>
  </si>
  <si>
    <t>　　前日，深圳交警官方发布了最新货车限行政策，该政策自2月23日零时起正式实施，结束时间另行通知。深圳货车限行新政旨在调节城市物流需要，在防疫期间支持各类企业有序安全的复工复产，缓解疫情造成的城市物流压力和经济压力，同时优化调整城市物流资源。限行新政的实施对象为提前申报信息的各类货运车辆，包含皮卡车</t>
  </si>
  <si>
    <t>2020/02/25 08:51:00</t>
  </si>
  <si>
    <t>前日，深圳交警官方发布了最新货车限行政策，该政策自2月23日零时起正式实施，结束时间另行通知。深圳货车限行新政旨在调节城市物流需要，在防疫期间支持各类企业有序安全的复工复产，缓解疫情造成的城市物流压力和经济压力，同时优化调整城市物流资源。限行新政的实施对象为提前申报信息的各类货运车辆，包含皮卡车型的</t>
  </si>
  <si>
    <t>　　身为销量第二梯队的豪华品牌的凯迪拉克，近年来的产品布局可谓有些疯狂，一系列动作都在告诫着对手，我要抢回属于自己的市场，XT6和CT5都是很好的佐证。凯迪拉克自然也不会仅限于此，旗下紧凑型轿车CT4也即将发布，面对如狼似虎的对手，CT4激进的外表下还藏着一个杀手锏，同级别唯一前置后驱布局。那么，笔</t>
  </si>
  <si>
    <t>2020/02/25 08:48:00</t>
  </si>
  <si>
    <t>　　2020年日内瓦车展将在3月3日正式开幕，本届车展奥迪预计将会带来全新一代a3、全新一代s3、全新一代rs q3系列、e-tron s系列、中期改款q5以及中期改款rs5系列共计9款新车。其中全新一代a3、s3会迎来全球首发，国内消费者更加关心的国产a3两厢、三厢长轴距车型有望在北京车展亮相（原</t>
  </si>
  <si>
    <t>2020/02/25 08:47:00</t>
  </si>
  <si>
    <t>2020年日内瓦车展将在3月3日正式开幕，本届车展奥迪预计将会带来全新一代a3、全新一代s3、全新一代rs q3系列、e-tron s系列、中期改款q5以及中期改款rs5系列共计9款新车。其中全新一代a3、s3会迎来全球首发，国内消费者更加关心的国产a3两厢、三厢长轴距车型有望在北京车展亮相（原计划</t>
  </si>
  <si>
    <t>投诉编号：【448582】投诉时间：2020-02-2508:45投诉品牌：上汽集团投诉车系：名爵6投诉车型：2017款20T自动豪华智联版国V投诉内容上汽名爵6行驶中变速箱异响，其中低速行驶变速箱异响严重，高速行驶松油门也有咔咔异响。投诉回复车质网已将您的投诉转给生产企业以及国家市场监督管理总局缺</t>
  </si>
  <si>
    <t>2020/02/25 08:45:00</t>
  </si>
  <si>
    <t>　　“越贵的车越安全可靠”，相信这是大多数人思维中的既定认识。消费者花了更多的价格，企业理应在产品的设计研发、材质用料、安全科技等方面带来更加高级的品质。但是，对于汽车来说，安全并不是锦上添花，而是最基本、最重要的前提，无论是豪华车还是平民车都应该把守住安全这一道防线。　　在汽车安全与品质领域，中保</t>
  </si>
  <si>
    <t>吴琰</t>
  </si>
  <si>
    <t>投诉编号：【448581】投诉时间：2020-02-2508:43投诉品牌：众泰汽车投诉车系：众泰SR9投诉车型：2017款2.0T自动极致之光版投诉内容经厂家指定维修店检测，确认为因车辆发动机与变速器不匹配，导致变速器打滑，造成车辆自动停驶，车辆已停在厂家指定维修店十多天，反映厂家一直没有配件寄来</t>
  </si>
  <si>
    <t>2020/02/25 08:43:00</t>
  </si>
  <si>
    <t>　　尽管马自达日前已经表态近两年内不会推出全新车型，而是将更多精力投入到相关技术的研发中，但仍有不少人对于马自达品牌怀揣憧憬。近日，海外媒体曝光了一组马自达全新跑车RX-9的渲染图，假想中的新车融合了此前马自达多款概念车的外观设计元素，有着夸张前卫风格的造型，而动力方面则有望搭载最新的Skyacti</t>
  </si>
  <si>
    <t>尽管马自达日前已经表态近两年内不会推出全新车型，而是将更多精力投入到相关技术的研发中，但仍有不少人对于马自达品牌怀揣憧憬。近日，海外媒体曝光了一组马自达全新跑车RX-9的渲染图，假想中的新车融合了此前马自达多款概念车的外观设计元素，有着夸张前卫风格的造型，而动力方面则有望搭载最新的Skyactive</t>
  </si>
  <si>
    <t>　　不得不说，汽车一直以来作为工业革命发展的寄托，承载着人类对未来科技的憧憬与幻想。但是，当人类开辟出一条创作之路以后，随事物的被细化，各式各样的问题接踵而来。就比如说安全问题，其实安全问题所包含的范围很广，这其中就包括主动安全和被动安全，而目前疫情带来的市民出行问题非常棘手，因此家用车的空气过滤系</t>
  </si>
  <si>
    <t>李林桐</t>
  </si>
  <si>
    <t>2020/02/25 08:41:00</t>
  </si>
  <si>
    <t>　　日前，长安正式将全新车系UNI定名“引力”，旗下首款全新车型长安UNI-T将于3月日内瓦车展发布。　　外观方面，UNI-T以长安全新设计语言打造，前脸拥有很多概念元素，倒梯形无边框网格格栅极具视觉冲击力。前大灯造型犀利，与保险杠两侧导风槽融为一体。车侧线条硬朗且流畅，采用悬浮式车顶设计风格。车门</t>
  </si>
  <si>
    <t>日前，长安正式将全新车系UNI定名“引力”，旗下首款全新车型长安UNI-T将于3月日内瓦车展发布。    外观方面，UNI-T以长安全新设计语言打造，前脸拥有很多概念元素，倒梯形无边框网格格栅极具视觉冲击力。前大灯造型犀利，与保险杠两侧导风槽融为一体。车侧线条硬朗且流畅，采用悬浮式车顶设计风格。车门</t>
  </si>
  <si>
    <t>求高手… 两万公里新车，行驶中突然出现噗噗声，过四十到六十间声音最大最明显，车速越快频率越高，空挡给油正常……求解…去修理店未解决让再开开看看。</t>
  </si>
  <si>
    <t>2020/02/25 08:38:28</t>
  </si>
  <si>
    <t>做保养的时候加机油，加漏在发动机上了，这个会不会影响发动机？ 就是以后会不会易燃，或者开久了发动机盖，会不会起灰尘。</t>
  </si>
  <si>
    <t>2020/02/25 08:38:27</t>
  </si>
  <si>
    <t>投诉编号：【448580】投诉时间：2020-02-2508:37投诉品牌：上汽通用五菱投诉车系：五菱荣光投诉车型：2019款1.2LS厢式运输车基本型5座投诉内容上汽通用五菱荣光发动机导响，造成着车燥音大，车在三保范围内，4s店不给保修，未能维护消费者合法权益。希望厂家可以安排工作人员尽快解决。投</t>
  </si>
  <si>
    <t>2020/02/25 08:37:00</t>
  </si>
  <si>
    <t>一款车的可靠性是很多人买车的最为关注的，近日J.D.Power就发布了2020年年度汽车可靠性排行榜。虽然这是针对美国市场的调研，但是大部分品牌车型国内都有售，所以也是个不错的参考。1、捷恩斯今年的头名是捷尼斯（Genesis），对现代品牌稍有了解的朋友应该都知道这是它旗下的豪华品牌，其得分为89分</t>
  </si>
  <si>
    <t>钱包里都是纸</t>
  </si>
  <si>
    <t>2020/02/25 08:35:00</t>
  </si>
  <si>
    <t>2020年汽车可靠性排行榜：美系逆袭 雷克萨斯9连冠梦碎一款车的可靠性是很多人买车的最为关注的，近日J.D.Power就发布了2020年年度汽车可靠性排行榜。虽然这是针对美国市场的调研，但是大部分品牌车型国内都有售，所以也是个不错的参考。1、捷恩斯今年的头名是捷尼斯（Genesis），对现代品牌稍有</t>
  </si>
  <si>
    <t>不管在国内还是国外，中型车已经逐渐成为头部细分市场。随着消费升级，中型车市场在占有率与成交量上都呈现出上升的趋势。消费者对于中型车市场的关注度也是越来越高。那么，哪些中型车才能榜上有名，称为最佳呢？前不久，英国媒体《AUTOCAR》评选了一系列2020年“十佳”车型榜单。鬼哥仔细观察了上榜的10款车</t>
  </si>
  <si>
    <t>2020/02/25 08:34:00</t>
  </si>
  <si>
    <t>近日，有海外媒体曝光了一组福特PUMA ST的高清实车图。相比普通版PUMA车型，新车在外观上进行偏向性能化的调整，动力上则换装与嘉年华ST同款的1.5T三缸发动机。据悉，这款车将于今年在海外亮相。相比已经发布的PUMA ST-Line，货真价实的ST性能版并没有在外观上进行大刀阔斧的调整，其前脸依</t>
  </si>
  <si>
    <t>外形呆萌 内心躁动 福特PUMA ST无伪装谍照曝光近日，有海外媒体曝光了一组福特PUMA ST的高清实车图。相比普通版PUMA车型，新车在外观上进行偏向性能化的调整，动力上则换装与嘉年华ST同款的1.5T三缸发动机。据悉，这款车将于今年在海外亮相。相比已经发布的PUMA ST-Line，货真价实的</t>
  </si>
  <si>
    <t>英国人眼中十佳中级车都谁？没想到 这几款在国内也抢手不管在国内还是国外，中型车已经逐渐成为头部细分市场。随着消费升级，中型车市场在占有率与成交量上都呈现出上升的趋势。消费者对于中型车市场的关注度也是越来越高。那么，哪些中型车才能榜上有名，称为最佳呢？前不久，英国媒体《AUTOCAR》评选了一系列20</t>
  </si>
  <si>
    <t>发动机启动不了，仪表盘挡位指示灯红且亮，但排挡位指示灯都不亮为什么？</t>
  </si>
  <si>
    <t>2020/02/25 08:33:52</t>
  </si>
  <si>
    <t>对于经常关注新能源汽车的车友们来说，蔚来汽车并不是一个陌生的品牌。2019年的一次次被热搜，让蔚来汽车基本上成了一个家喻户晓的品牌。虽然大家知晓的多数是关于蔚来的负面内容，但这并没有影响蔚来一步一个脚印的往前走。2019年下半年的销量反弹，成为新创企业中唯一年销量过2万的自主品牌以及荣获2019 J</t>
  </si>
  <si>
    <t>2020/02/25 08:33:00</t>
  </si>
  <si>
    <t>随着国民收入的增加，越来越多的年轻人选择购车代步上班。这不仅说明大家生活水平的提高，同时汽车的诞生给人们的生活带来不少便利。然而今天我们就来说说年轻人适合开的两款车型，看看这些车凭什么能吸引他们！外观：指标名称宝来桑塔纳长[mm]46634282宽[mm]18151706高[mm]14731489轴</t>
  </si>
  <si>
    <t>11万预算买车你会怎么选？宝来 VS 桑塔纳,听听大家怎么说!随着国民收入的增加，越来越多的年轻人选择购车代步上班。这不仅说明大家生活水平的提高，同时汽车的诞生给人们的生活带来不少便利。然而今天我们就来说说年轻人适合开的两款车型，看看这些车凭什么能吸引他们！外观：指标名称宝来桑塔纳长[mm]4663</t>
  </si>
  <si>
    <t>蔚来汽车质量如何 我们先从蔚来合肥的“保时捷”工厂说起吧对于经常关注新能源汽车的车友们来说，蔚来汽车并不是一个陌生的品牌。2019年的一次次被热搜，让蔚来汽车基本上成了一个家喻户晓的品牌。虽然大家知晓的多数是关于蔚来的负面内容，但这并没有影响蔚来一步一个脚印的往前走。2019年下半年的销量反弹，成为</t>
  </si>
  <si>
    <t>如今中国汽车行业受疫情影响2月份发展几乎停滞，供应链上下游受影响较大。与其坐以待毙，不如自力更生。在本月举行的新德里车展上，中国汽车制造商占据了主导地位，总计展出10多款车型。中国汽车制造商正加快进军印度的步伐，以应对国内需求不断下降的局面。印度尚处于普通大众刚开始拥有汽车的阶段。长城汽车和一汽马自</t>
  </si>
  <si>
    <t>2020/02/25 08:32:00</t>
  </si>
  <si>
    <t>近日，路特斯正式宣布，位于英国诺福克郡海瑟尔总部的Evija全新工厂正式揭幕。这座集高科技和高效率于一身的现代化工厂已经准备就绪，最终测试阶段的原型车即将在此下线。并且，130辆量产版Evija将从今年夏天开始陆续驶出这座工厂，交付全球客户。这座全新工厂毗邻路特斯内部赛道。这条全长2.2英里的赛道由</t>
  </si>
  <si>
    <t>电动车、电气化、纯电动……看过太多关于汽车发展的必然方向之后，我们也已经不再怀疑它是否在根本上能做到节能环保了，至少微观的来看，的确我们已经开始接受新能源汽车能为我们，以及我们的后代，带来足够清洁的交通工具，零排放是车企的目标，也是我们的目标。就这样，我们身边的电动车渐渐多了起来，无论是传统车企，还</t>
  </si>
  <si>
    <t>路特斯品牌“重生”计划重要节点 EVIJA全新工厂揭幕近日，路特斯正式宣布，位于英国诺福克郡海瑟尔总部的Evija全新工厂正式揭幕。这座集高科技和高效率于一身的现代化工厂已经准备就绪，最终测试阶段的原型车即将在此下线。并且，130辆量产版Evija将从今年夏天开始陆续驶出这座工厂，交付全球客户。这座</t>
  </si>
  <si>
    <t>天助自助者 中国汽车制造商加速进军印度如今中国汽车行业受疫情影响2月份发展几乎停滞，供应链上下游受影响较大。与其坐以待毙，不如自力更生。在本月举行的新德里车展上，中国汽车制造商占据了主导地位，总计展出10多款车型。中国汽车制造商正加快进军印度的步伐，以应对国内需求不断下降的局面。印度尚处于普通大众刚</t>
  </si>
  <si>
    <t>自动驾驶增功能 尺寸未定 特斯拉Model Y竞争力分析电动车、电气化、纯电动……看过太多关于汽车发展的必然方向之后，我们也已经不再怀疑它是否在根本上能做到节能环保了，至少微观的来看，的确我们已经开始接受新能源汽车能为我们，以及我们的后代，带来足够清洁的交通工具，零排放是车企的目标，也是我们的目标。</t>
  </si>
  <si>
    <t>近年来，国产车越来越受到国人的喜爱，不仅外观设计时尚大气，而且油耗经济，性价比很高。今天我就给大家介绍2款适合“工薪族”的国产家用车，售价亲民，配置也非常不错，我们一起来简单了解一下。第一款 长安悦翔悦翔是定位于长安旗下小型家用车领域，前脸采用非常经典的家族式设计风格，大尺寸的中网设计造型非常独特，</t>
  </si>
  <si>
    <t>2020/02/25 08:31:00</t>
  </si>
  <si>
    <t>适合“工薪族”的2款国产家用车 油耗经济近年来，国产车越来越受到国人的喜爱，不仅外观设计时尚大气，而且油耗经济，性价比很高。今天我就给大家介绍2款适合“工薪族”的国产家用车，售价亲民，配置也非常不错，我们一起来简单了解一下。第一款 长安悦翔悦翔是定位于长安旗下小型家用车领域，前脸采用非常经典的家族式</t>
  </si>
  <si>
    <t>DS9将出插电混动版 宝能到底爱TA还是观致近日，DS官方发布了一张新车的预告图，估计是故意营造一种特殊的朦胧感，除了大灯之下非常明确的“DS”logo之外，这款车可能也只能凭借着DS家族以往的设计猜出应该还是家族式的大灯组，外加点阵式的前格栅设计，而这款车的正式亮相时间定在了2月24日。这是DS被</t>
  </si>
  <si>
    <t>被称为老年人专车 吉利引入国内首款福祉车也许对于很多人来说“福祉车”是一个陌生的概念，福祉车也叫无障碍车，就是用简易坡道和对开门或滑门的大开口设计，为轮椅乘客或老人上下车提供了方便的座椅和车身设计，这种车在英国比较盛行。而随着我国人口老龄化加剧，轿车对于老年人特别是行动不便的老年人来说，上下车不易和</t>
  </si>
  <si>
    <t>也许对于很多人来说“福祉车”是一个陌生的概念，福祉车也叫无障碍车，就是用简易坡道和对开门或滑门的大开口设计，为轮椅乘客或老人上下车提供了方便的座椅和车身设计，这种车在英国比较盛行。而随着我国人口老龄化加剧，轿车对于老年人特别是行动不便的老年人来说，上下车不易和狭小的空间等不足显然会给出行带来很大的不</t>
  </si>
  <si>
    <t>近日，DS官方发布了一张新车的预告图，估计是故意营造一种特殊的朦胧感，除了大灯之下非常明确的“DS”logo之外，这款车可能也只能凭借着DS家族以往的设计猜出应该还是家族式的大灯组，外加点阵式的前格栅设计，而这款车的正式亮相时间定在了2月24日。这是DS被宝能收购之后的首款亮相新车，同样作为被宝能收</t>
  </si>
  <si>
    <t>嘉悦A5同款设计语言 江淮全新6座SUV设计图发布近日，我们从相关渠道获得一组江淮全新SUV的设计图。设计图展示了新车前脸、车身、尾部等细节，造型厚实饱满，大气稳健，抓住了符合时代潮流的美学价值观。据悉，新车内部代号S432，将主打6座车型，以提供给家庭使用。江淮S432采用江淮最新的家族化设计语言</t>
  </si>
  <si>
    <t>2020/02/25 08:30:00</t>
  </si>
  <si>
    <t>随着90后年轻一族逐渐成为购车主力，车企们也抓住了产品年轻化的风口，推出了不少为年轻人而生的产品，例如上汽大众凌渡、东风本田思域、一汽-大众速腾以及一汽丰田卡罗拉等造型时尚、操控运动的车款就与蓬勃朝气的年轻人很搭，值得推荐。上汽大众凌渡指导价：14.29-19.69万元优惠幅度：3万元从其定价上看，</t>
  </si>
  <si>
    <t>日前，据大众高层消息人士透露，大众正在计划推出一款新的电动跑车ID.R。新车将基于大众MEB平台打造，并采用高性能电池技术。这款车型的推出是为了与特斯拉Roadster竞争。大众ID.R假想图    大众ID.R将率先使用大众内部开发的高性能电池，目前大众正在对电池的性能参数做最后的调整。此外，尽管</t>
  </si>
  <si>
    <t>时尚运动有朝气 四款适合年轻人开的合资家轿随着90后年轻一族逐渐成为购车主力，车企们也抓住了产品年轻化的风口，推出了不少为年轻人而生的产品，例如上汽大众凌渡、东风本田思域、一汽-大众速腾以及一汽丰田卡罗拉等造型时尚、操控运动的车款就与蓬勃朝气的年轻人很搭，值得推荐。上汽大众凌渡指导价：14.29-1</t>
  </si>
  <si>
    <t>日前，Polestar官方再次发布了一组旗下概念车Precept的预告图，新车将于今晚18:30通过直播在中国区正式首发。据悉，这款概念车将代表着Polestar品牌未来发展的方向。Precept概念车预告图    通过此前 官方放出的预告图不难看出，新车在尾部造型采用了和Polestar 2相似的</t>
  </si>
  <si>
    <t>2020/02/25 08:28:00</t>
  </si>
  <si>
    <t>随着汽车市场的细分，不同级别的车型表现也大不相同。就拿如今较为火热的10万级车型市场来说，各大车企纷纷发力，尤其是一些自主品牌更是打造了多款拥有出色产品力的车型，受到了众多消费者的追捧。今天，就让我们来盘点几款在10万级车型市场中，表现出众的自主车型吧。看看它们都凭借哪些优势，在竞争激烈的市场中站稳</t>
  </si>
  <si>
    <t>盘点人气较高的四款10万级自主车型 各有杀手锏随着汽车市场的细分，不同级别的车型表现也大不相同。就拿如今较为火热的10万级车型市场来说，各大车企纷纷发力，尤其是一些自主品牌更是打造了多款拥有出色产品力的车型，受到了众多消费者的追捧。今天，就让我们来盘点几款在10万级车型市场中，表现出众的自主车型吧。</t>
  </si>
  <si>
    <t>　　日前，Polestar官方再次发布了一组旗下概念车Precept的预告图，新车将于今晚18:30通过直播在中国区正式首发。据悉，这款概念车将代表着Polestar品牌未来发展的方向。Precept概念车预告图　　通过此前 官方放出的预告图不难看出，新车在尾部造型采用了和Polestar 2相似的</t>
  </si>
  <si>
    <t>顶配能在10万左右的合资车屈指可数，接下来就为大家挑选了几款还不错的产品，它们主要是以品牌和价格进行区分，所以其中既包含了紧凑型车，也包含有小型车。这几款车选择的都是顶配车型，可以看到在优惠之前有些车型的价格就已经不及10万了，而在算上优惠之后，它们的裸车价基本都可以降到10万以下。所以价格确实不高</t>
  </si>
  <si>
    <t>2020/02/25 08:27:00</t>
  </si>
  <si>
    <t>顶配10万的合资车怎么选？这四款质量更有保障顶配能在10万左右的合资车屈指可数，接下来就为大家挑选了几款还不错的产品，它们主要是以品牌和价格进行区分，所以其中既包含了紧凑型车，也包含有小型车。这几款车选择的都是顶配车型，可以看到在优惠之前有些车型的价格就已经不及10万了，而在算上优惠之后，它们的裸车</t>
  </si>
  <si>
    <t>投诉编号：【448578】  投诉时间： 2020-02-25 08:24  投诉品牌： 上汽大众  投诉车系： 朗逸  投诉车型： 2018款 280TSI DSG 舒适版 国V        投诉内容  变速箱异响严重。到4s检查多次，问题存在。4s店敷衍了事。不给解决。还说正常现象。请问就这样</t>
  </si>
  <si>
    <t>2020/02/25 08:24:00</t>
  </si>
  <si>
    <t>两侧底边严重自行生锈，在外部没有受损的情况下，先鼓包从里面开始生锈，然后锈穿，质量差到极点，望有关部门能同情消费者，维护消费者的合法权益，不胜感激！</t>
  </si>
  <si>
    <t>跑跑卡丁车</t>
  </si>
  <si>
    <t>2020/02/25 08:22:00</t>
  </si>
  <si>
    <t>第二次鼓包了。应该是质量缺陷。希望厂家重视。我们一起买吧辆车。有七辆已经鼓包了。</t>
  </si>
  <si>
    <t>拉拉吧</t>
  </si>
  <si>
    <t>现代瑞纳车身严重生锈两侧底边严重自行生锈，在外部没有受损的情况下，先鼓包从里面开始生锈，然后锈穿，质量差到极点，望有关部门能同情消费者，维护消费者的合法权益，不胜感激！</t>
  </si>
  <si>
    <t>现代领动耐克森轮胎鼓包第二次鼓包了。应该是质量缺陷。希望厂家重视。我们一起买吧辆车。有七辆已经鼓包了。</t>
  </si>
  <si>
    <t>车辆在行驶过程中，油门踩到1700到2000转，中控会出现类似共振异响。就感觉发动机只要用劲他就会异响。座椅下方生锈。</t>
  </si>
  <si>
    <t>芭娜娜</t>
  </si>
  <si>
    <t>2020/02/25 08:21:00</t>
  </si>
  <si>
    <t>车辆于2017年9月28日购买，目前里程数约2.3万公里.大概行驶8000公里的时候已经发现轮胎掉块；大概1.8万公里时，在4S店将前后轮对调；平时上下班代步，行驶环境良好.县城区域内使用，水泥路、沥青路。</t>
  </si>
  <si>
    <t>桲椤叶</t>
  </si>
  <si>
    <t>本田INSPIRE中控台共振异响 座椅生锈车辆在行驶过程中，油门踩到1700到2000转，中控会出现类似共振异响。就感觉发动机只要用劲他就会异响。座椅下方生锈。</t>
  </si>
  <si>
    <t>优科豪马轮胎起皮可以去车质网投诉吗？车辆于2017年9月28日购买，目前里程数约2.3万公里.大概行驶8000公里的时候已经发现轮胎掉块；大概1.8万公里时，在4S店将前后轮对调；平时上下班代步，行驶环境良好.县城区域内使用，水泥路、沥青路。</t>
  </si>
  <si>
    <t>前一段时间去保养发现前轮双侧半轴轴套严重漏油，经查询论坛和车质网发现是通病，请帮忙维权。谢谢！</t>
  </si>
  <si>
    <t>藐视</t>
  </si>
  <si>
    <t>2020/02/25 08:20:00</t>
  </si>
  <si>
    <t>提车的时候就觉得味道很重，告知是新车的味道，开回来正是夏天，每天敞风，味道还是非常重，每次刚开车门时候简直是刺鼻，开车的时候必须把所有车门打开，都还是觉得味道难闻，喉咙痛，同坐的家人朋友也反应这个问题，后来去4s店咨询，说这个味道是正常的，多敞气就好了，味道太重，我每天都要花时间去敞气，也不敢多开，</t>
  </si>
  <si>
    <t>金丝猴</t>
  </si>
  <si>
    <t>大致19年1月左右开始每次加油跳枪1-3次，最近每次加油会跳10次以上，这种简单的故障在沃尔沃身上不应该出现，影响品牌力。强烈要求厂家给出有力的解决方案！</t>
  </si>
  <si>
    <t>奔跑吧小汽车</t>
  </si>
  <si>
    <t>沃尔沃S60油箱加油频繁跳枪大致19年1月左右开始每次加油跳枪1-3次，最近每次加油会跳10次以上，这种简单的故障在沃尔沃身上不应该出现，影响品牌力。强烈要求厂家给出有力的解决方案！</t>
  </si>
  <si>
    <t>朗逸的异味问题可以解决吗？提车的时候就觉得味道很重，告知是新车的味道，开回来正是夏天，每天敞风，味道还是非常重，每次刚开车门时候简直是刺鼻，开车的时候必须把所有车门打开，都还是觉得味道难闻，喉咙痛，同坐的家人朋友也反应这个问题，后来去4s店咨询，说这个味道是正常的，多敞气就好了，味道太重，我每天都要</t>
  </si>
  <si>
    <t>丰田凯美瑞双侧半轴轴套漏油前一段时间去保养发现前轮双侧半轴轴套严重漏油，经查询论坛和车质网发现是通病，请帮忙维权。谢谢！</t>
  </si>
  <si>
    <t>北京现代途胜升级后发动机噪音大，油耗增加，加速无力，要求降级，要求降到出厂时的程序。</t>
  </si>
  <si>
    <t>和路雪</t>
  </si>
  <si>
    <t>2020/02/25 08:19:00</t>
  </si>
  <si>
    <t>雨刮器那里塑料配件密封不严，导致玻璃和塑料都分开了一条缝，用手轻松都可以碰掉，中控黑屏至今没有反应。</t>
  </si>
  <si>
    <t>轮轮滚滚</t>
  </si>
  <si>
    <t>东南V3菱悦无事故无泡水，车门，车架自购车3年开始碱烂，自2014年开始，车门车架开始碱烂如图片所示，多次找4s店诉说质量问题，4s以出保为理由不予理会，现以构成安全问题。</t>
  </si>
  <si>
    <t>美人鱼</t>
  </si>
  <si>
    <t>菱悦车身生锈问题怎么才能解决？东南V3菱悦无事故无泡水，车门，车架自购车3年开始碱烂，自2014年开始，车门车架开始碱烂如图片所示，多次找4s店诉说质量问题，4s以出保为理由不予理会，现以构成安全问题。</t>
  </si>
  <si>
    <t>起亚KX3傲跑玻璃压条密封不严雨刮器那里塑料配件密封不严，导致玻璃和塑料都分开了一条缝，用手轻松都可以碰掉，中控黑屏至今没有反应。</t>
  </si>
  <si>
    <t>升级后噪音大是不是途胜的通病？北京现代途胜升级后发动机噪音大，油耗增加，加速无力，要求降级，要求降到出厂时的程序。</t>
  </si>
  <si>
    <t>一、车辆基本情况1.车型：G50首发版(12.38万、19年1月31日购入)；2.行驶近11000多公里，已多次在4s升级程序；3.长期城市道路使用，山城上下坡较多；4、已按要求在售后进行了各项保养。二、存在问题1.市区油耗升高，达13个左右（平均车速20-40间）；2.开空调后明显加速无力，偶尔出</t>
  </si>
  <si>
    <t>千疮百孔</t>
  </si>
  <si>
    <t>2020/02/25 08:18:00</t>
  </si>
  <si>
    <t>车辆正常行驶中，自动驻车系统无故取消，无法再次开启，对红绿灯驻车有安全隐患，很多车友都有类似问题出现，希望快速处理。</t>
  </si>
  <si>
    <t>千变万化</t>
  </si>
  <si>
    <t>冷车启动异响，行驶过程中发动机6挡爬坡无力，加速无力，换挡延时，并带有异响和抖动，满载情况下问题更加严重，有安全隐患，已经去4s店2次，厂家回复正常现象，态度差评。</t>
  </si>
  <si>
    <t>这个杀手不太冷</t>
  </si>
  <si>
    <t>MAXUS G50发动机油耗高 变速箱异响一、车辆基本情况1.车型：G50首发版(12.38万、19年1月31日购入)；2.行驶近11000多公里，已多次在4s升级程序；3.长期城市道路使用，山城上下坡较多；4、已按要求在售后进行了各项保养。二、存在问题1.市区油耗升高，达13个左右（平均车速20-</t>
  </si>
  <si>
    <t>加速无力探岳可以去车质网投诉吗？冷车启动异响，行驶过程中发动机6挡爬坡无力，加速无力，换挡延时，并带有异响和抖动，满载情况下问题更加严重，有安全隐患，已经去4s店2次，厂家回复正常现象，态度差评。</t>
  </si>
  <si>
    <t>本田雅阁自动驻车系统无故失灵车辆正常行驶中，自动驻车系统无故取消，无法再次开启，对红绿灯驻车有安全隐患，很多车友都有类似问题出现，希望快速处理。</t>
  </si>
  <si>
    <t>上汽大众途观L变速箱异响共振，方向盘震手，各种异响，变速箱的异响，加减挡时的咣当咣当的声音，方向盘震手，黑心大众，减配酒减配了，车还一大堆毛病，还有没有天理了还，什么破车，有良心么你们。希望厂家可以安排工作人员尽快解决。</t>
  </si>
  <si>
    <t>咖啡牛奶</t>
  </si>
  <si>
    <t>2020/02/25 08:17:00</t>
  </si>
  <si>
    <t>电子手刹严重异响拉放都异响，声音尖锐，怠速抖动抖得座椅都抖抖动，通过引擎盖也可看出抖动严重，刹车盘磨损异常有凹痕。</t>
  </si>
  <si>
    <t>暴脾气</t>
  </si>
  <si>
    <t>斯柯达昊锐，车内异味巨大，经排查，车内使用严重劣质的不环保材料，黑心地毯，异味一直无法散去，严重危害驾乘人员身心健康；斯柯达官方对异味、污染源却置之不理，严重有失诚信。</t>
  </si>
  <si>
    <t>罗大腿</t>
  </si>
  <si>
    <t>雅阁电子手刹异响抖动可以解决吗？电子手刹严重异响拉放都异响，声音尖锐，怠速抖动抖得座椅都抖抖动，通过引擎盖也可看出抖动严重，刹车盘磨损异常有凹痕。</t>
  </si>
  <si>
    <t>斯柯达昊锐车内异味严重斯柯达昊锐，车内异味巨大，经排查，车内使用严重劣质的不环保材料，黑心地毯，异味一直无法散去，严重危害驾乘人员身心健康；斯柯达官方对异味、污染源却置之不理，严重有失诚信。</t>
  </si>
  <si>
    <t>途观L共振问题可以解决吗？上汽大众途观L变速箱异响共振，方向盘震手，各种异响，变速箱的异响，加减挡时的咣当咣当的声音，方向盘震手，黑心大众，减配酒减配了，车还一大堆毛病，还有没有天理了还，什么破车，有良心么你们。希望厂家可以安排工作人员尽快解决。</t>
  </si>
  <si>
    <t>一汽大众速腾右侧大灯积水，4S店以大灯右侧有擦痕为由拒绝保修。方向盘异响。</t>
  </si>
  <si>
    <t>史迪仔</t>
  </si>
  <si>
    <t>2020/02/25 08:16:00</t>
  </si>
  <si>
    <t>18年端午假期下雨天高速上行驶、19年中秋节下雨天高速上行驶（速度大概在90左右），发动机（变速箱）抖动，油门踏板加速无效，无法提速超车，发动机故障灯报警。两次出现同样的问题，都是在下雨天高速行驶超车过程中出现，十分危险。网上搜了下相关的关键词，出现这个问题的车主有很多，希望引起厂家的重视。再说一遍</t>
  </si>
  <si>
    <t>煤球王</t>
  </si>
  <si>
    <t>Jeep自由侠发动机 变速箱抖动18年端午假期下雨天高速上行驶、19年中秋节下雨天高速上行驶（速度大概在90左右），发动机（变速箱）抖动，油门踏板加速无效，无法提速超车，发动机故障灯报警。两次出现同样的问题，都是在下雨天高速行驶超车过程中出现，十分危险。网上搜了下相关的关键词，出现这个问题的车主有很</t>
  </si>
  <si>
    <t>右侧大灯进水 方向盘异响怎么才能处理？一汽大众速腾右侧大灯积水，4S店以大灯右侧有擦痕为由拒绝保修。方向盘异响。</t>
  </si>
  <si>
    <t>猎豹CS10防抱死系统故障灯亮一直无配件，ABS故障灯亮，长时间不处理，4S店回复无配件。</t>
  </si>
  <si>
    <t>鸣人雏田</t>
  </si>
  <si>
    <t>2020/02/25 08:15:00</t>
  </si>
  <si>
    <t>猎豹厂家是不是已经倒闭了？猎豹CS10防抱死系统故障灯亮一直无配件，ABS故障灯亮，长时间不处理，4S店回复无配件。</t>
  </si>
  <si>
    <t>日前，有海外媒体报道称，大众即将基于MEB平台推出一款新的ID系列电动SUV，该款车型在概念车阶段被命名为Ruggdzz。根据现有资料看，ID.Ruggdzz将采用更加硬朗的外观设计，虽然新车目前尚处于初级开发阶段，但硬派的设计风格应该会保持不变。据悉，新车计划于2023年正式亮相，可能会推出两个版</t>
  </si>
  <si>
    <t>2020/02/25 08:09:00</t>
  </si>
  <si>
    <t>　　日前，有海外媒体报道称，大众即将基于MEB平台推出一款新的ID系列电动SUV，该款车型在概念车阶段被命名为Ruggdzz。根据现有资料看，ID.Ruggdzz将采用更加硬朗的外观设计，虽然新车目前尚处于初级开发阶段，但硬派的设计风格应该会保持不变。据悉，新车计划于2023年正式亮相，可能会推出两</t>
  </si>
  <si>
    <t>锐程CC发动机抖动噪音大发动机启动那一刻车内感觉明显抖动，都可以看得到方向盘抖，大概引擎盖启动发动机，明显感到抖动，发动机噪音很大！这是什么车？</t>
  </si>
  <si>
    <t>2020/02/25 08:06:00</t>
  </si>
  <si>
    <t>发动机启动那一刻车内感觉明显抖动，都可以看得到方向盘抖，大概引擎盖启动发动机，明显感到抖动，发动机噪音很大！</t>
  </si>
  <si>
    <t>吉利帝豪发动机故障灯亮 油耗偏高刚刚开2500公里的新开，发动机检测都一直亮。到售后去检测。显示出来不止一个问题。电路短路，车身控制系统显示故障。安全气囊也有显示故障。发动机系统故障。电动助力转向系统故障。现在耗油及高 平时加100油跑100公里我已经对这辆车失去信心我也不确定修好以后。会不会有后遗</t>
  </si>
  <si>
    <t>2020/02/25 08:05:00</t>
  </si>
  <si>
    <t>刚刚开2500公里的新开，发动机检测都一直亮。到售后去检测。显示出来不止一个问题。电路短路，车身控制系统显示故障。安全气囊也有显示故障。发动机系统故障。电动助力转向系统故障。现在耗油及高 平时加100油跑100公里我已经对这辆车失去信心我也不确定修好以后。会不会有后遗症？刚买的新车就这么多故障。</t>
  </si>
  <si>
    <t>吉利远景变速箱挂挡不走存在质量缺陷车子从买到后一直在4S店按期保养，2020.2.15日保养后4S店告知需要更换变速箱，因为变速箱出现挂挡不走的问题。难道吉利汽车的变速箱是需要按期更换一次吗？这样的车谁能消费得起。变速箱无敌的存在</t>
  </si>
  <si>
    <t>哈哈色</t>
  </si>
  <si>
    <t>2020/02/25 08:04:00</t>
  </si>
  <si>
    <t>车子从买到后一直在4S店按期保养，2020.2.15日保养后4S店告知需要更换变速箱，因为变速箱出现挂挡不走的问题。难道吉利汽车的变速箱是需要按期更换一次吗？这样的车谁能消费得起。</t>
  </si>
  <si>
    <t>上汽名爵6与护栏发生碰撞气囊未弹出单独个人在高速上行驶，由于雨天视野不好，发现路上有只动物，在减速和稍微变向后，车子开始打滑，左右摇摆不定后，撞到高速中间护栏，撞击角度约60度车辆与护栏角度。而后车子熄火停止，但安全气囊没有弹出！明显的安全隐患！车子左纵柱完全变形，车内前气囊完全没有弹出。这个都不弹</t>
  </si>
  <si>
    <t>钢丝工人</t>
  </si>
  <si>
    <t>2020/02/25 08:03:00</t>
  </si>
  <si>
    <t>华晨宝马2系旅行车防冻液渗漏严重汽车于2019.12.19日出现故障（从购车起3年的保修期是2019.12.18到期），发动机温度过高谨慎驾驶，过后三次提醒关闭发动机冷却，期间传动系统报警提示传动效率降低。由于刚过保修期一天且出现问题非使用问题造成，2020.1.10日在贵网投诉经销商及平日维修的4</t>
  </si>
  <si>
    <t>半导体M</t>
  </si>
  <si>
    <t>单独个人在高速上行驶，由于雨天视野不好，发现路上有只动物，在减速和稍微变向后，车子开始打滑，左右摇摆不定后，撞到高速中间护栏，撞击角度约60度车辆与护栏角度。而后车子熄火停止，但安全气囊没有弹出！明显的安全隐患！车子左纵柱完全变形，车内前气囊完全没有弹出。</t>
  </si>
  <si>
    <t>汽车于2019.12.19日出现故障（从购车起3年的保修期是2019.12.18到期），发动机温度过高谨慎驾驶，过后三次提醒关闭发动机冷却，期间传动系统报警提示传动效率降低。由于刚过保修期一天且出现问题非使用问题造成，2020.1.10日在贵网投诉经销商及平日维修的4S店时代花园骏宝行，达成修理协议</t>
  </si>
  <si>
    <t>目前车辆行驶43408公里，车辆行驶证颠簸路面天窗异响出现塑料摩擦的声音，待车辆停稳后打开天窗看到天窗密封条脱落塌陷进去，有明显缝隙约0.5毫米，担心后期漏水！要求厂家做质量检测给予更换维修。</t>
  </si>
  <si>
    <t>专家007</t>
  </si>
  <si>
    <t>2020/02/25 08:02:00</t>
  </si>
  <si>
    <t>大众凌渡天窗密封条脱落塌陷导致异响目前车辆行驶43408公里，车辆行驶证颠簸路面天窗异响出现塑料摩擦的声音，待车辆停稳后打开天窗看到天窗密封条脱落塌陷进去，有明显缝隙约0.5毫米，担心后期漏水！要求厂家做质量检测给予更换维修。</t>
  </si>
  <si>
    <t>日产轩逸经销商出售问题车保险杠有喷漆平常都是洗车店刷车没有注意，今天我自行洗车发现前保险杠右侧明显喷漆现象，然而还是那种坑洼不平很明显的痕迹，我来到当地4s询问情况，店铺技术工告诉我是有喷漆的现象，说我买车时没有注意，这明显是欺骗消费者，以次充好，买车前店铺人员并没有告知我前保险杠是损坏以后喷漆修补</t>
  </si>
  <si>
    <t>涛声依然</t>
  </si>
  <si>
    <t>2020/02/25 08:01:00</t>
  </si>
  <si>
    <t>大众朗逸车顶海绵布脱落上汽大众朗逸车顶海绵布脱落，19年底就发现汽车顶棚布逐渐脱落，难看死了，这是存在质量问题。</t>
  </si>
  <si>
    <t>忘忧花</t>
  </si>
  <si>
    <t>平常都是洗车店刷车没有注意，今天我自行洗车发现前保险杠右侧明显喷漆现象，然而还是那种坑洼不平很明显的痕迹，我来到当地4s询问情况，店铺技术工告诉我是有喷漆的现象，说我买车时没有注意，这明显是欺骗消费者，以次充好，买车前店铺人员并没有告知我前保险杠是损坏以后喷漆修补过得次品。</t>
  </si>
  <si>
    <t>上汽大众朗逸车顶海绵布脱落，19年底就发现汽车顶棚布逐渐脱落，难看死了，这是存在质量问题。</t>
  </si>
  <si>
    <t>长安标致雪铁龙DS6天窗无法开启和关闭车子购于15年，14款DS6，平时天窗用的比较少，在一次使用中打开天窗却发现刚开了条缝就打不开也关不了，4S店回复更换天窗骨架，4千多不含工时费，在网上查了一下不是个别问题！天窗作为车辆附件不属于经常使用的易损件，大批出现问题那就是质量问题，希望厂家能给一个满意</t>
  </si>
  <si>
    <t>如醉</t>
  </si>
  <si>
    <t>2020/02/25 08:00:00</t>
  </si>
  <si>
    <t>车子购于15年，14款DS6，平时天窗用的比较少，在一次使用中打开天窗却发现刚开了条缝就打不开也关不了，4S店回复更换天窗骨架，4千多不含工时费，在网上查了一下不是个别问题！天窗作为车辆附件不属于经常使用的易损件，大批出现问题那就是质量问题，希望厂家能给一个满意的答复或解决方案，谢谢。</t>
  </si>
  <si>
    <t>如图 博瑞多个故障灯报警并且温度过高才买一年多，全车故障灯全部亮了， 我是相信吉利汽车的，可是出现问题了不给解决，让人寒心，希望厂家能解决。广告上说的是最美国产车，安全智能 。这与事实不符啊。</t>
  </si>
  <si>
    <t>汽车侠</t>
  </si>
  <si>
    <t>2020/02/25 07:59:00</t>
  </si>
  <si>
    <t>才买一年多，全车故障灯全部亮了， 我是相信吉利汽车的，可是出现问题了不给解决，让人寒心，希望厂家能解决。广告上说的是最美国产车，安全智能 。这与事实不符啊。</t>
  </si>
  <si>
    <t>　　日前，编辑从哪吒汽车官方获得了哪吒U内饰官图，其内部造型较为简约，且三连屏设计也有浓郁的科技感。根据此前报道，新车将于三月底正式上市。　　新车内饰设计较为简洁大气，同时车内双12.3英寸+8英寸的三屏设计，带给用户全新的视觉享受。中控大屏内部集成了哪吒汽车PIVOT 2.0智点系统，该系统依托I</t>
  </si>
  <si>
    <t>2020/02/25 07:48:00</t>
  </si>
  <si>
    <t>日前，编辑从哪吒汽车官方获得了哪吒U内饰官图，其内部造型较为简约，且三连屏设计也有浓郁的科技感。根据此前报道，新车将于三月底正式上市。    新车内饰设计较为简洁大气，同时车内双12.3英寸+8英寸的三屏设计，带给用户全新的视觉享受。中控大屏内部集成了哪吒汽车PIVOT 2.0智点系统，该系统依托I</t>
  </si>
  <si>
    <t>　　日前，海外媒体曝光了一组全新福特野马Mach-E的实车图片，其首辆量产版车型已于福特墨西哥工厂正式下线。新车将定位为紧凑型纯电动SUV，目标直指特斯拉Model Y。据悉，该车或将于今年秋季上市，并有望在2021年年初正式交付。　　新车一改福特野马经典的跑车造型，转而采用了溜背式轿跑SUV设计。</t>
  </si>
  <si>
    <t>2020/02/25 07:45:00</t>
  </si>
  <si>
    <t>日前，海外媒体曝光了一组全新福特野马Mach-E的实车图片，其首辆量产版车型已于福特墨西哥工厂正式下线。新车将定位为紧凑型纯电动SUV，目标直指特斯拉Model Y。据悉，该车或将于今年秋季上市，并有望在2021年年初正式交付。    新车一改福特野马经典的跑车造型，转而采用了溜背式轿跑SUV设计。</t>
  </si>
  <si>
    <t>新捷达的寿命大约是在多少公里，16年8月份手动20万公里的捷达值多少钱？   20万公里的捷达还值得购买吗？</t>
  </si>
  <si>
    <t>2020/02/25 07:42:50</t>
  </si>
  <si>
    <t>车放的时间有点长。电瓶没有电。用机械钥匙插进去扭不动。怎么办？</t>
  </si>
  <si>
    <t>2020/02/25 07:42:49</t>
  </si>
  <si>
    <t>你好，2020款大众蔚领，1.5自舒版是否值得购买？有无同价位其他性价比高的推荐？</t>
  </si>
  <si>
    <t>你好！请问suv后备箱用钥匙打开可以自动弹开吗？</t>
  </si>
  <si>
    <t>2020/02/25 07:38:13</t>
  </si>
  <si>
    <t>新车开了七个多月1.6万多公里。车速维持在75-80和114-120（表显车速）区间时发动机舱左侧（驾驶室正前方）有明显的嗡（那种感觉硬磨的声音，大声变小短暂停顿，又大声变小）侵入驾驶室。不是连续平稳的那种嗡声。车速120以上时是连续且平稳的正常声音。</t>
  </si>
  <si>
    <t>原s挡上坡2000转38、39时速这几天出现2000转10左右时速很慢，还有平路开着d挡然后减速了，在加油门感觉突突了一下之前不会这样的。</t>
  </si>
  <si>
    <t>2020/02/25 07:38:12</t>
  </si>
  <si>
    <t>新宝骏RM-5自动挡，质量怎么样？</t>
  </si>
  <si>
    <t>吉利嘉际1.8T 自动挡质量怎么样？</t>
  </si>
  <si>
    <t>2020/02/25 07:34:25</t>
  </si>
  <si>
    <t>有点犹豫，好多人不推荐我买VV7。</t>
  </si>
  <si>
    <t>2020/02/25 07:34:24</t>
  </si>
  <si>
    <t>谁知道吉利远景X6的8速cvt变速箱来自邦奇还是万里扬，cvt19还是cvt25呢？</t>
  </si>
  <si>
    <t>2020/02/25 07:34:23</t>
  </si>
  <si>
    <t>雷凌雨天行驶发动机舱内两个前轮位置会卷进泥水怎么办？</t>
  </si>
  <si>
    <t>请问一下伙伴们，你们的探歌发动机凸轮盖有渗油的迹象么？就是在发动机右侧有一个圆盖塑料的，等待回答。</t>
  </si>
  <si>
    <t>瑞虎8 1.5T自动时尚型怎么在原屏加装倒车影像？</t>
  </si>
  <si>
    <t>安倒车影像时修车师傅说盖子上四条螺丝动过，而且油漆不是原车漆，该怎么办？</t>
  </si>
  <si>
    <t>新车开了不到8个月，开了2400km，发动机噪音大，刹车冷启动，前进和倒挡异响尖叫声，现在底盘排气管好几处生锈，前挡风玻璃胶条开裂，现在又发现发动机漏油，现在都不知道怎么解决！</t>
  </si>
  <si>
    <t>2020/02/25 07:30:25</t>
  </si>
  <si>
    <t>亚洲龙自用车，保养到期了，想自己买机油保养，美孚、嘉实多、壳牌推荐哪个牌子？比较适合。</t>
  </si>
  <si>
    <t>2020/02/25 07:26:12</t>
  </si>
  <si>
    <t>东风风神AX7后轮外八字怎么办，应该如何处理？</t>
  </si>
  <si>
    <t>2020/02/25 07:22:18</t>
  </si>
  <si>
    <t>车子打不着火，另外钥匙解不了锁，一直亮着P挡！</t>
  </si>
  <si>
    <t>2020/02/25 07:22:17</t>
  </si>
  <si>
    <t>2019款雷凌1.2T进取版和2019款卡罗拉1.2T先锋版，哪一款值得购买？</t>
  </si>
  <si>
    <t>2020/02/25 07:17:08</t>
  </si>
  <si>
    <t>2017年11月30日买的起亚焕驰1.4L自动挡，2019年七月份无意间发现跑偏严重，怎么才一年多的时间就跑偏了。我们县城没有四S店，只有起亚维修站，维修站的工作人员试车后承认确实跑偏，叫我定位，反复定位，没有解决问题，还是一样的跑偏。电话咨询了达州4S店，说明了情况，叫把车开过去检查，我的车还在质</t>
  </si>
  <si>
    <t>2020/02/25 07:12:30</t>
  </si>
  <si>
    <t>去年进博会上，Genesis正式于中国市场发布了旗舰车型G90，同时宣布其品牌中文命名变更为捷尼赛思。不出意外，捷尼赛思将携手G90车型在2020年内正式重返中国市场，这是韩系品牌又一次吹响了品牌升级的号角，尽管国内消费者可能依然对此并不买账。    外观：“大嘴”造型前脸褒贬不一    如今，Ge</t>
  </si>
  <si>
    <t>2020/02/25 07:10:00</t>
  </si>
  <si>
    <t>上一周的车市算是热闹起来了，上市车型包含了全新车型以及重磅改款车型，它们分别是新款斯柯达昕锐/昕动、雪佛兰畅巡、2020款帝豪GSe以及2020款高尔夫。如果你正在关注它们，不妨看看新款都有哪些变化，废话不多说，赶快进入主题。    1、新款斯柯达昕锐/昕动    昕锐售价区间：7.84-10.24</t>
  </si>
  <si>
    <t>投诉销量比 &gt; </t>
  </si>
  <si>
    <t>据乘联会提供的全国汽车产销数据显示，受春节假期和新冠疫情双重影响，2020年开年首月国内SUV车型销量为780,303辆，环比、同比均大幅下降，达到近五年来同期销量的最低点。同期，车质网接到车主针对SUV的有效投诉2560宗，环比降幅超五成。    1月，“影音系统故障”依旧稳居SUV车型故障问题首</t>
  </si>
  <si>
    <t>　　去年进博会上，Genesis正式于中国市场发布了旗舰车型G90，同时宣布其品牌中文命名变更为捷尼赛思。不出意外，捷尼赛思将携手G90车型在2020年内正式重返中国市场，这是韩系品牌又一次吹响了品牌升级的号角，尽管国内消费者可能依然对此并不买账。　　外观：“大嘴”造型前脸褒贬不一　　如今，Gene</t>
  </si>
  <si>
    <t>　　上一周的车市算是热闹起来了，上市车型包含了全新车型以及重磅改款车型，它们分别是新款斯柯达昕锐/昕动、雪佛兰畅巡、2020款帝豪GSe以及2020款高尔夫。如果你正在关注它们，不妨看看新款都有哪些变化，废话不多说，赶快进入主题。　　1、新款斯柯达昕锐/昕动　　昕锐售价区间：7.84-10.24万元</t>
  </si>
  <si>
    <t>　　据乘联会提供的全国汽车产销数据显示，受春节假期和新冠疫情双重影响，2020年开年首月国内SUV车型销量为780,303辆，环比、同比均大幅下降，达到近五年来同期销量的最低点。同期，车质网接到车主针对SUV的有效投诉2560宗，环比降幅超五成。　　1月，“影音系统故障”依旧稳居SUV车型故障问题首</t>
  </si>
  <si>
    <t>很多新手刚拿驾照，跃跃欲试，苍茫的天涯是他们的爱，但是白天还好，一旦到了夜间行车，驾驶常识以及技巧都不熟悉，难免显得慌乱，容易发生危险事故。现在，小编总结了几点夜间行车常用的技巧，把老司机们的经验传授给你们，让你们夜间一样从容淡定。注意保持车距夜间行车，由于视线不良，驾驶员无法对道路情况一目了然，加</t>
  </si>
  <si>
    <t>2020/02/25 07:03:00</t>
  </si>
  <si>
    <t>夜间行车掌握了这几点就不会手足无措了很多新手刚拿驾照，跃跃欲试，苍茫的天涯是他们的爱，但是白天还好，一旦到了夜间行车，驾驶常识以及技巧都不熟悉，难免显得慌乱，容易发生危险事故。现在，小编总结了几点夜间行车常用的技巧，把老司机们的经验传授给你们，让你们夜间一样从容淡定。注意保持车距夜间行车，由于视线不</t>
  </si>
  <si>
    <t xml:space="preserve">    投诉编号：【448575】
    投诉时间： 2020-02-25 06:20
    投诉品牌： 猎豹汽车
    投诉车系： 猎豹CS10
    投诉车型： 2017款 1.5T CVT 精英型 ABS故障</t>
  </si>
  <si>
    <t>2020/02/25 06:57:45</t>
  </si>
  <si>
    <t>投诉编号：【448574】
    投诉时间： 2020-02-25 03:08
    投诉品牌： 一汽-大众
    投诉车系： 速腾
    投诉车型： 2018款 1.6L 自动 舒适型
一汽大众速腾右侧大灯进水。</t>
  </si>
  <si>
    <t>2020/02/25 06:45:20</t>
  </si>
  <si>
    <t xml:space="preserve">
    投诉编号：【448573】
    投诉时间： 2020-02-25 00:32
    投诉品牌： 上汽集团
    投诉车系： 荣威RX5
    投诉车型： 2016款 1.5T 自动 两驱 互联网智享版
行驶在非铺装路面上地盘咯噔咯噔响，整体质感仿佛快</t>
  </si>
  <si>
    <t>2020/02/25 01:41:40</t>
  </si>
  <si>
    <t>投诉编号：【448566】
    投诉时间： 2020-02-24 22:44
    投诉品牌： 长安汽车
    投诉车系： 长安欧尚科赛
    投诉车型： 2020款 1.5T 自动 悦尚型 7座 服务态度差，电瓶有问题，机油变黑，库存车</t>
  </si>
  <si>
    <t>2020/02/24 23:59:59</t>
  </si>
  <si>
    <t xml:space="preserve">    投诉编号：【448564】
    投诉时间： 2020-02-24 22:29
    投诉品牌： 奇瑞汽车
    投诉车系： 瑞虎8 投诉车型： 2019款 1.6TGDI 自动 豪华型 各种功能失效</t>
  </si>
  <si>
    <t>投诉编号：【448565】
    投诉时间： 2020-02-24 22:37
    投诉品牌： 广汽丰田
    投诉车系： 凯美瑞
    投诉车型： 2016款 2.0G 自动 十周年纪念豪华版 方向盘皮开裂，脱皮</t>
  </si>
  <si>
    <t>投诉编号：【448571】  投诉时间： 2020-02-24 23:41  投诉品牌： 上汽大众  投诉车系： 途观L  投诉车型： 2019款 330TSI 自动 两驱 智动豪华版 国V        投诉内容  上汽大众途观L变速箱异响共振，方向盘震手，各种异响，变速箱的异响，加减挡时的咣当咣</t>
  </si>
  <si>
    <t>2020/02/24 23:41:00</t>
  </si>
  <si>
    <t>投诉编号：【448568】  投诉时间： 2020-02-24 22:55  投诉品牌： 北京汽车  投诉车系： 绅宝X65  投诉车型： 2015款 2.0T  自动 精英型        投诉内容  2018年11月27日从老家回深圳行驶约200多公里左右，开始出现加油车身抖动，只要转速超过17</t>
  </si>
  <si>
    <t>2020/02/24 22:55:00</t>
  </si>
  <si>
    <t>投诉编号：【448563】  投诉时间： 2020-02-24 22:20  投诉品牌： 北京汽车  投诉车系： 绅宝X65  投诉车型： 2015款 2.0T  自动 精英型        投诉内容  绅宝X65高速公路行驶中加速时发动机剧烈抖动加速无力，复工返程中高速行驶有300公里时，车速定到</t>
  </si>
  <si>
    <t>2020/02/24 22:20:00</t>
  </si>
  <si>
    <t>新车开了8个月，才开2400km发动机就漏油了，发动机扣漏油发动机漏油</t>
  </si>
  <si>
    <t>18756654558</t>
  </si>
  <si>
    <t>2020/02/24 22:13:00</t>
  </si>
  <si>
    <t>新车开了2400km.出现发动机漏油新车开了8个月，才开2400km发动机就漏油了，发动机扣漏油发动机漏油</t>
  </si>
  <si>
    <t>投诉编号：【448562】
    投诉时间： 2020-02-24 21:56
    投诉品牌： 广汽本田
    投诉车系： 雅阁
    投诉车型： 2018款 260TURBO 精英版 国V
电子手刹严重异响     怠速抖动</t>
  </si>
  <si>
    <t>2020/02/24 22:02:38</t>
  </si>
  <si>
    <t>投诉编号：【448562】
    投诉时间： 2020-02-24 21:56
    投诉品牌： 广汽本田
    投诉车系： 雅阁
    投诉车型： 2018款 260TURBO 精英版 国V寒冷条件下ESP.HHC.HDC.ESP报警防侧滑失灵</t>
  </si>
  <si>
    <t>2020/02/24 21:56:11</t>
  </si>
  <si>
    <t>投诉编号：【448559】  投诉时间： 2020-02-24 21:45  投诉品牌： 一汽奔腾  投诉车系： 奔腾B30  投诉车型： 2016款 1.6L 自动 十周年纪念版        投诉内容  一汽奔腾B30车速达到60就开始卡滞，直接影响到人身安全啊，买车一年后出现了，卡滞，4S店给</t>
  </si>
  <si>
    <t>2020/02/24 21:45:00</t>
  </si>
  <si>
    <t>投诉编号：【448555】
    投诉时间： 2020-02-24 21:20
    投诉品牌： 广汽本田
    投诉车系： 飞度
    投诉车型： 2016款 1.5L LXS CVT 舒适天窗版
打火”卡吃“一声响</t>
  </si>
  <si>
    <t>2020/02/24 21:34:05</t>
  </si>
  <si>
    <t xml:space="preserve"> 投诉编号：【448554】
    投诉时间： 2020-02-24 20:50
    投诉品牌： 一汽-大众
    投诉车系： 高尔夫
    投诉车型： 2016款 1.6L 自动 舒适型
变速箱顿挫感强</t>
  </si>
  <si>
    <t>2020/02/24 21:33:45</t>
  </si>
  <si>
    <t>投诉编号：【448558】  投诉时间： 2020-02-24 21:33  投诉品牌： 广汽菲克Jeep  投诉车系： 自由侠  投诉车型： 2016款 1.4T 自动 劲能版        投诉内容  18年端午假期下雨天高速上行驶、19年中秋节下雨天高速上行驶（速度大概在90左右），发动机（变</t>
  </si>
  <si>
    <t>2020/02/24 21:33:00</t>
  </si>
  <si>
    <t xml:space="preserve">投诉编号：【448556】  投诉时间： 2020-02-24 21:20  投诉品牌： 长安标致雪铁龙DS  投诉车系： DS 5LS  投诉车型： 2015款 1.6T 舒适版THP160        投诉内容  长安标致雪铁龙DS5LS气门室盖漏油未解决，希望尽快处理。      投诉回复 </t>
  </si>
  <si>
    <t>2020/02/24 21:20:00</t>
  </si>
  <si>
    <t>投诉编号：【448547】
    投诉时间： 2020-02-24 20:27
    投诉品牌： 长安福特
    投诉车系： 福睿斯
    投诉车型： 2017款 1.5L 手动 舒适型
汽油泵有蜂鸣声，原来声音不大，现在越来越大。</t>
  </si>
  <si>
    <t>2020/02/24 21:17:48</t>
  </si>
  <si>
    <t>投诉编号：【448548】
    投诉时间： 2020-02-24 20:27
    投诉品牌： 上汽斯柯达
    投诉车系： 昊锐
    投诉车型： 2012款 1.4TSI DSG 智雅版
斯柯达车异味巨大，不环保，有所健康</t>
  </si>
  <si>
    <t>2020/02/24 21:17:42</t>
  </si>
  <si>
    <t>投诉编号：【448553】
    投诉时间： 2020-02-24 20:41
    投诉品牌： 奇瑞汽车
    投诉车系： 艾瑞泽5
    投诉车型： 2017款 1.5L 手动 领潮版
你对的起支持国产车主吗？</t>
  </si>
  <si>
    <t>2020/02/24 21:15:34</t>
  </si>
  <si>
    <t>新车开了8个月，才开2400km发动机就漏油了，新车开了8个月，才开2400km发动机就漏油了，问下这个怎么解决！严重吗</t>
  </si>
  <si>
    <t>2020/02/24 21:08:00</t>
  </si>
  <si>
    <t>荣威i5发动机漏油 这个怎么解决新车开了8个月，才开2400km发动机就漏油了，新车开了8个月，才开2400km发动机就漏油了，问下这个怎么解决！严重吗</t>
  </si>
  <si>
    <t>投诉编号：【448550】  投诉时间： 2020-02-24 20:33  投诉品牌： 众泰汽车  投诉车系： 众泰T600  投诉车型： 2016款 1.5T 手动 尊贵型        投诉内容  副驾驶座椅出现晃动，4S店订货更换一直没有货，向厂家售后反映，联系多次，一直在反馈中，没有结果，</t>
  </si>
  <si>
    <t>2020/02/24 20:33:00</t>
  </si>
  <si>
    <t>投诉编号：【448549】  投诉时间： 2020-02-24 20:28  投诉品牌： 一汽-大众奥迪  投诉车系： 奥迪Q5  投诉车型： 2013款 40 TFSI 自动 技术型        投诉内容  1、2019年8月19日和往常一样，发动机点火发现方向死锁，能挂挡可前后行进，仪表盘红色</t>
  </si>
  <si>
    <t>2020/02/24 20:28:00</t>
  </si>
  <si>
    <t>投诉编号：【448534】
    投诉时间： 2020-02-24 18:40
    投诉品牌： 比亚迪
    投诉车系： 比亚迪G5
    投诉车型： 2014款 1.5TID 自动 尊贵型
变速箱异响顿挫</t>
  </si>
  <si>
    <t>2020/02/24 19:58:00</t>
  </si>
  <si>
    <t>投诉编号：【448544】  投诉时间： 2020-02-24 19:46  投诉品牌： 凯翼汽车  投诉车系： 凯翼X5  投诉车型： 2017款 1.5T CVT 尊贵型        投诉内容  天窗有时关不上，后备箱关不上，机油感应塞漏油，车辆断电后右侧尾灯和行车灯关闭不了一直常亮，需断电，</t>
  </si>
  <si>
    <t>2020/02/24 19:46:00</t>
  </si>
  <si>
    <t>投诉编号：【448543】  投诉时间： 2020-02-24 19:45  投诉品牌： 一汽马自达  投诉车系： 阿特兹  投诉车型： 2020款 2.5L 蓝天运动版        投诉内容  后备箱靠近后门窗户那凹凸不平，其它款都没有这样的形状。      投诉回复  车质网已将您的投诉转给生</t>
  </si>
  <si>
    <t>2020/02/24 19:45:00</t>
  </si>
  <si>
    <t xml:space="preserve">    投诉编号：【448533】
    投诉时间： 2020-02-24 18:31
    投诉品牌： 奇瑞汽车
    投诉车系： 瑞虎8
    投诉车型： 2019款 1.6TGDI 自动 精英型
灯组模块设计故障</t>
  </si>
  <si>
    <t>2020/02/24 19:37:57</t>
  </si>
  <si>
    <t>投诉编号：【448541】  投诉时间： 2020-02-24 19:21  投诉品牌： 上汽大众  投诉车系： 帕萨特  投诉车型： 2019款 330TSI 精英版 国VI        投诉内容  19年几月份我不清楚五千多公里左后轮换过一次轴承，2020年二万一千公里轴承又坏了不知道是哪个位</t>
  </si>
  <si>
    <t>2020/02/24 19:21:00</t>
  </si>
  <si>
    <t>投诉编号：【448539】  投诉时间： 2020-02-24 19:10  投诉品牌： 吉利汽车  投诉车系： 博瑞  投诉车型： 2018款 MHEV 耀智版        投诉内容  才买一年多，全车故障灯全部亮了， 我是相信吉利汽车的，可是出现问题了不给解决，让人寒心，希望厂家能解决。广告上</t>
  </si>
  <si>
    <t>2020/02/24 19:10:00</t>
  </si>
  <si>
    <t>投诉编号：【448536】  投诉时间： 2020-02-24 18:57  投诉品牌： 猎豹汽车  投诉车系： 猎豹CS10  投诉车型： 2016款 2.0T 自动 尊享型        投诉内容  猎豹CS10刹车偏软存在严重安全隐患，急刹就看你的命硬不硬了，希望厂家重视处理。      投诉</t>
  </si>
  <si>
    <t>2020/02/24 18:57:00</t>
  </si>
  <si>
    <t xml:space="preserve">  投诉编号：【448530】
    投诉时间： 2020-02-24 18:24
    投诉品牌： 上汽通用凯迪拉克
    投诉车系： 凯迪拉克ATS-L
    投诉车型： 2016款 28T 时尚型
车辆检修一周无进展，服务不积极，导致问题扩大
凯迪拉克ATS-L发动机故障灯亮漏防冻液</t>
  </si>
  <si>
    <t>2020/02/24 18:42:52</t>
  </si>
  <si>
    <t>投诉编号：【448532】
    投诉时间： 2020-02-24 18:28
    投诉品牌： 一汽-大众
    投诉车系： 探岳
    投诉车型： 2019款 330TSI 两驱 豪华型 国Ⅵ
变速箱异响，换挡咯噔咯噔响，堵车变速箱严重顿挫</t>
  </si>
  <si>
    <t>2020/02/24 18:41:50</t>
  </si>
  <si>
    <t>投诉编号：【448531】  投诉时间： 2020-02-24 18:25  投诉品牌： 众泰汽车  投诉车系： 众泰E200  投诉车型： 2016款 纯电动 三门两座科技版        投诉内容  我的众泰E200是2016年5月买的，手册上包修期是4年或8万公里，车子还在包修期内。19年12</t>
  </si>
  <si>
    <t>2020/02/24 18:25:00</t>
  </si>
  <si>
    <t>投诉编号：【448529】  投诉时间： 2020-02-24 18:22  投诉品牌： 广汽本田  投诉车系： 凌派  投诉车型： 2017款 1.8L CVT 舒适特装版        投诉内容  机油和机油格是上次买了存在店里的，这次本来就做个普通保养换一下机油，给我加了杂七杂八的收费项目，什</t>
  </si>
  <si>
    <t>2020/02/24 18:22:00</t>
  </si>
  <si>
    <t>汽车方向盘重是怎么回事？如何处理？</t>
  </si>
  <si>
    <t>2020/02/24 18:10:24</t>
  </si>
  <si>
    <t>投诉编号：【448521】
    投诉时间： 2020-02-24 17:40
    投诉品牌： 江淮汽车
    投诉车系： 嘉悦A5
    投诉车型： 2020款 1.5T CVT 精英江淮嘉悦A5轮胎鼓包</t>
  </si>
  <si>
    <t>2020/02/24 18:10:08</t>
  </si>
  <si>
    <t>车子打不着火，发动机故障灯不亮，这是什么情况导致的？</t>
  </si>
  <si>
    <t>2020/02/24 18:06:08</t>
  </si>
  <si>
    <t>投诉编号：【448526】  投诉时间： 2020-02-24 18:00  投诉品牌： 东风日产  投诉车系： 劲客  投诉车型： 2017款 1.5L CVT 智行版        投诉内容  车辆优科豪马轮胎出现质量问题一年多了，厂家一直没有解决，请车质网协助快速处理。车辆使用中未碰撞击、未上</t>
  </si>
  <si>
    <t>2020/02/24 18:00:00</t>
  </si>
  <si>
    <t>因为帕萨特，论坛里都在夸中保研 其实更牛的C-NCAP大多数人对它一无所知。C-NCAP，在很长一段时间内，都是国内消费者判定一款车型安全指标的主要渠道之一。第一个NCAP碰撞测试机构，2006年在天津成立。目前全球各地，NCAP机构已经覆盖了欧、美、日、韩、中、澳大利亚、拉丁美洲、东南亚、印度、俄</t>
  </si>
  <si>
    <t>2020/02/24 17:52:00</t>
  </si>
  <si>
    <t>客观来说 C-NCAP比中保研牛多了因为帕萨特，论坛里都在夸中保研 其实更牛的C-NCAP大多数人对它一无所知。C-NCAP，在很长一段时间内，都是国内消费者判定一款车型安全指标的主要渠道之一。第一个NCAP碰撞测试机构，2006年在天津成立。目前全球各地，NCAP机构已经覆盖了欧、美、日、韩、中、</t>
  </si>
  <si>
    <t>名爵HS停放两三天蓄电池就没电了上汽名爵HS车辆停放两三天蓄电池亏电，新车买回来不到一年，停车两三天打不着车，电瓶亏电，到底是电瓶容量小，还是汽车停车线路放电快，希望厂家赶紧解决。这么多投诉量，厂家都没看见吗？</t>
  </si>
  <si>
    <t>暮霭沉沉</t>
  </si>
  <si>
    <t>2020/02/24 17:47:00</t>
  </si>
  <si>
    <t>上汽名爵HS车辆停放两三天蓄电池亏电，新车买回来不到一年，停车两三天打不着车，电瓶亏电，到底是电瓶容量小，还是汽车停车线路放电快，希望厂家赶紧解决。这么多投诉量，厂家都没看见吗？</t>
  </si>
  <si>
    <t>凯美瑞车顶漆面有爆漆的严重问题广汽丰田凯美瑞车顶漆面有爆漆的现象，车顶棚小块地方爆漆，要求厂家尽快处理。</t>
  </si>
  <si>
    <t>21天不出鸡</t>
  </si>
  <si>
    <t>2020/02/24 17:46:00</t>
  </si>
  <si>
    <t>晚上开车的时候，车辆两边照射不到，盲区大，夜间车辆转弯看(不轮是否开启转向灯）都不清路面情况，影响行车安全，存在非常大的安全隐患。</t>
  </si>
  <si>
    <t>红色蓝色</t>
  </si>
  <si>
    <t>广汽丰田凯美瑞车顶漆面有爆漆的现象，车顶棚小块地方爆漆，要求厂家尽快处理。</t>
  </si>
  <si>
    <t>瑞虎8车灯照射盲区大有安全隐患晚上开车的时候，车辆两边照射不到，盲区大，夜间车辆转弯看(不轮是否开启转向灯）都不清路面情况，影响行车安全，存在非常大的安全隐患。</t>
  </si>
  <si>
    <t>投诉编号：【448522】投诉时间：2020-02-2417:45投诉品牌：北京现代投诉车系：悦动投诉车型：2011款1.6L手动GLS豪华型投诉内容对于上两次投诉问题我没有收到厂家及4S店的任何回复和电话，这是第4次投诉，我不明白厂家为什么不回复，难道是自知理亏吗。要求厂家给我个满意回复，如果厂家</t>
  </si>
  <si>
    <t>2020/02/24 17:45:00</t>
  </si>
  <si>
    <t>新车提来第3天就开始刹车异响，开了快一年了中间修理了无数次，该换的零件都换完了，始终不好，到现在还是这样异响，而且中间方向盘管柱也更换了一次，制动系统存在隐患，质量存在隐患，都不敢跑高速，希望厂家帮我抓紧处理。</t>
  </si>
  <si>
    <t>降龙十八掌</t>
  </si>
  <si>
    <t>广汽三菱劲炫ASX底盘异响，底盘冬季异响严重，经过起伏路面好像车要散架一样，解释说是平衡杆胶套，说是通病。刹车踏板踩下或者抬起异响严重，好像金属摩擦，不是刹车盘的异响，是车内刹车踏板的异响。</t>
  </si>
  <si>
    <t>玖拾壹号</t>
  </si>
  <si>
    <t>三菱劲炫ASX底盘有严重的异响广汽三菱劲炫ASX底盘异响，底盘冬季异响严重，经过起伏路面好像车要散架一样，解释说是平衡杆胶套，说是通病。刹车踏板踩下或者抬起异响严重，好像金属摩擦，不是刹车盘的异响，是车内刹车踏板的异响。</t>
  </si>
  <si>
    <t>传祺GS5刹车有异响质量不行呀新车提来第3天就开始刹车异响，开了快一年了中间修理了无数次，该换的零件都换完了，始终不好，到现在还是这样异响，而且中间方向盘管柱也更换了一次，制动系统存在隐患，质量存在隐患，都不敢跑高速，希望厂家帮我抓紧处理。</t>
  </si>
  <si>
    <t>跑高速微调方向岀现发卡，跑去4s店说试不岀来。厂家拿顾客生命当儿戏，不召回。换过管柱同样会岀现方向发卡，变沉，左重右轻。投诉也没人理，要求厂家尽快解决好车辆的问题。</t>
  </si>
  <si>
    <t>壹拾玖号</t>
  </si>
  <si>
    <t>2020/02/24 17:44:00</t>
  </si>
  <si>
    <t>领动行驶时转向卡滞质量缺陷跑高速微调方向岀现发卡，跑去4s店说试不岀来。厂家拿顾客生命当儿戏，不召回。换过管柱同样会岀现方向发卡，变沉，左重右轻。投诉也没人理，要求厂家尽快解决好车辆的问题。</t>
  </si>
  <si>
    <t>车子起步到70迈加油门时发动机有明显的异响，鹰潭没有4s店，只能到离最近的上饶4S店进行检查，上饶4S店说该车没有在上饶4s店做保养，拒绝索赔。</t>
  </si>
  <si>
    <t>廊坊霸州</t>
  </si>
  <si>
    <t>2020/02/24 17:43:00</t>
  </si>
  <si>
    <t>上汽名爵HS电瓶有亏电的现象，从而导致发动机无法启动，车放置2、3天启动就启动不了，这问题出现了多次，要求厂家解决好车辆的问题。</t>
  </si>
  <si>
    <t>大都督渡</t>
  </si>
  <si>
    <t>名爵HS电瓶亏电发动机也启动不了了上汽名爵HS电瓶有亏电的现象，从而导致发动机无法启动，车放置2、3天启动就启动不了，这问题出现了多次，要求厂家解决好车辆的问题。</t>
  </si>
  <si>
    <t>瑞风S2发动机有很大的异响车子起步到70迈加油门时发动机有明显的异响，鹰潭没有4s店，只能到离最近的上饶4S店进行检查，上饶4S店说该车没有在上饶4s店做保养，拒绝索赔。</t>
  </si>
  <si>
    <t>过保之前就去检查了，是他们查不到问题，不是过保才去检查过保前的问题算质保内去4s店一直拖着不弄。然后找不到问题，就说这坏那坏始终都没解决。</t>
  </si>
  <si>
    <t>兔死狗烹</t>
  </si>
  <si>
    <t>2020/02/24 17:42:00</t>
  </si>
  <si>
    <t>海马S5行驶过程中发动机熄火故障灯亮，多次出现正常行驶中自动熄火，故障灯亮，重新打火后正常。要求厂家尽快解决好车辆的问题。</t>
  </si>
  <si>
    <t>汪汪小狗</t>
  </si>
  <si>
    <t>瑞虎3x发动机有异响质量不行呀过保之前就去检查了，是他们查不到问题，不是过保才去检查过保前的问题算质保内去4s店一直拖着不弄。然后找不到问题，就说这坏那坏始终都没解决。</t>
  </si>
  <si>
    <t>S5行驶中发动机熄火海马S5行驶过程中发动机熄火故障灯亮，多次出现正常行驶中自动熄火，故障灯亮，重新打火后正常。要求厂家尽快解决好车辆的问题。</t>
  </si>
  <si>
    <t>北京现代途胜降挡时变速箱有异常响声，车辆在行驶过程中三挡降到二挡时变速箱有异响，去过4S店有三次了，经过多次试车，他们能够听到异响，但是他们却说是正常的。</t>
  </si>
  <si>
    <t>缸内直喷</t>
  </si>
  <si>
    <t>2020/02/24 17:41:00</t>
  </si>
  <si>
    <t>途胜降挡时变速箱有异响北京现代途胜降挡时变速箱有异常响声，车辆在行驶过程中三挡降到二挡时变速箱有异响，去过4S店有三次了，经过多次试车，他们能够听到异响，但是他们却说是正常的。</t>
  </si>
  <si>
    <t>途胜升级后发动机油耗高质量问题多北京现代途胜召回升级后动力弱，油耗高，噪音大。要求厂家给降级，给回复，为什么好几次投诉都没有任何回复。</t>
  </si>
  <si>
    <t>卡雷拉</t>
  </si>
  <si>
    <t>2020/02/24 17:40:00</t>
  </si>
  <si>
    <t>一挡升二挡时领动变速箱有异响北京现代领动一挡升二挡时变速箱有异响，变速箱在2000公里的时候出现响动，有时候卡擦一声，有时候嘶叫。去4s店检测没检测出问题。</t>
  </si>
  <si>
    <t>会挽雕弓如满月</t>
  </si>
  <si>
    <t>北京现代途胜召回升级后动力弱，油耗高，噪音大。要求厂家给降级，给回复，为什么好几次投诉都没有任何回复。</t>
  </si>
  <si>
    <t>柯迪亚克变速箱无法挂入倒挡斯柯达柯迪亚克启动后变速箱无法挂入倒挡，车辆启动时，无法挂入倒挡。要求厂家尽快解决好车辆的问题。</t>
  </si>
  <si>
    <t>鸟尽弓藏</t>
  </si>
  <si>
    <t>2020/02/24 17:39:00</t>
  </si>
  <si>
    <t>朗逸发动机运转有异响落地15万的新车还没有过质保期，一踩油门发动机就滋滋滋异响，去4S店多次，说都是这样通病，不给修且态度恶劣，请给我一个说法：是不是事故车，不行给我换车也行，我要一个说法！</t>
  </si>
  <si>
    <t>全时四驱</t>
  </si>
  <si>
    <t>你好我的车是博越才买回来一年就出问题了。刚买回来一个多月我就发现车有问题 开到4s店检查人员也发现倒车不行。叫我开出大的问题才知道后来我就拉回来开。现在真开不了了。4s店检查说要换传感器可换了还是不行。她们说要换变速箱现在还在等通知。我真是无语了。</t>
  </si>
  <si>
    <t>2020/02/24 17:29:16</t>
  </si>
  <si>
    <t>4s店4个月没给合格证，汽车上不了牌。现在4s店销售离职，经理跑路联系不上，车子没有合格证挂不了牌上不了路。怎么解？</t>
  </si>
  <si>
    <t>投诉编号：【448519】  投诉时间： 2020-02-24 17:24  投诉品牌： 奇瑞汽车  投诉车系： 瑞虎8  投诉车型： 2019款 1.6TGDI 自动 精英型        投诉内容  车辆大灯照射面积窄，夜晚行车中左右两边盲区打，在行车中存在极大安全隐患。尤其是晚上行车很多地方看</t>
  </si>
  <si>
    <t>2020/02/24 17:24:00</t>
  </si>
  <si>
    <t>投诉编号：【448517】投诉时间：2020-02-2417:21投诉品牌：上汽集团投诉车系：名爵HS投诉车型：2018款20T自动两驱荷尔蒙劲取版国V投诉内容行车里程9651公里，19年6月份提的车，买车半个月中控黑屏，跑2公里以后才自己运行，4S一直解决不了，说车子在外面晒的温度太高系统热保护不</t>
  </si>
  <si>
    <t>2020/02/24 17:21:00</t>
  </si>
  <si>
    <t xml:space="preserve">投诉编号：【448516】  投诉时间： 2020-02-24 17:19  投诉品牌： 广汽丰田  投诉车系： 凯美瑞  投诉车型： 2015款 2.0G 自动 豪华版        投诉内容  2020年一月初去4s店做个大保养，没有发现防尘套漏油，2月换轮胎发现了漏油说不是最近才漏的。    </t>
  </si>
  <si>
    <t>2020/02/24 17:19:00</t>
  </si>
  <si>
    <t>投诉编号：【448515】  投诉时间： 2020-02-24 17:18  投诉品牌： 奔驰（进口）  投诉车系： 奔驰S级  投诉车型： 2017款 S 320 L 商务型        投诉内容  自2019年6月份车辆多次多处出现故障4S店与厂家互相推诿踢皮球，多个故障至今未得到彻底解决。故</t>
  </si>
  <si>
    <t>2020/02/24 17:18:00</t>
  </si>
  <si>
    <t>投诉编号：【448512】  投诉时间： 2020-02-24 17:01  投诉品牌： 东风乘用车  投诉车系： 风神AX7  投诉车型： 2020款 1.6T 自动 AI领航型 国VI        投诉内容  下午车里要放盆子接水，4S店里服务态度嚣张新车说要拆解。      投诉回复  车质</t>
  </si>
  <si>
    <t>2020/02/24 17:01:00</t>
  </si>
  <si>
    <t>投诉编号：【448511】投诉时间：2020-02-2416:57投诉品牌：上汽斯柯达投诉车系：柯迪亚克投诉车型：2017款TSI330两驱豪华版5座投诉内容斯柯达柯迪亚克启动后变速箱无法挂入倒挡，车辆启动时，无法挂入倒挡。要求厂家尽快解决好车辆的问题。投诉回复车质网已将您的投诉转给生产企业以及国家</t>
  </si>
  <si>
    <t>2020/02/24 16:57:00</t>
  </si>
  <si>
    <t>广汽传祺4S店，欠一批车主的合格证，现在人都联系不上，车子上不了路，是不是可以告车行欺诈？</t>
  </si>
  <si>
    <t>传祺车</t>
  </si>
  <si>
    <t>2020/02/24 16:56:00</t>
  </si>
  <si>
    <t>广汽传祺某店人去楼空 欠一批买主的合格证广汽传祺4S店，欠一批车主的合格证，现在人都联系不上，车子上不了路，是不是可以告车行欺诈？</t>
  </si>
  <si>
    <t>投诉编号：【448508】  投诉时间： 2020-02-24 16:39  投诉品牌： 东风日产  投诉车系： 轩逸  投诉车型： 2016款 1.6XE 自动 舒适版 经典        投诉内容  2017年3月15日买的经典轩逸2016自舒版，2万公里，2020年3月15日3年保修期将满！2</t>
  </si>
  <si>
    <t>2020/02/24 16:39:00</t>
  </si>
  <si>
    <t>购买新车没有几天经销商就降价怎么办？销售顾问说自己要有录音就退差价，如果不退是不是涉嫌欺诈？</t>
  </si>
  <si>
    <t>2020/02/24 16:36:04</t>
  </si>
  <si>
    <t>当前疫情防控进入了新阶段，复工复产迫在眉睫。一些公司为员工上下班专门开设了“复工专列”，来解决员工上下班交通不便的问题，不仅杜绝了疫情的传播，而且也为员工生命安全保驾护航！然而没有这种专列待遇的上班族该怎么办呢？旅美速腾D-MAX激情者四驱越野房车，既是上下班代步的最佳工具，又能起到自我隔离居家生活</t>
  </si>
  <si>
    <t>2020/02/24 16:19:00</t>
  </si>
  <si>
    <t>D-MAX激情者四驱越野房车 提供了一个最佳的生活空间当前疫情防控进入了新阶段，复工复产迫在眉睫。一些公司为员工上下班专门开设了“复工专列”，来解决员工上下班交通不便的问题，不仅杜绝了疫情的传播，而且也为员工生命安全保驾护航！然而没有这种专列待遇的上班族该怎么办呢？旅美速腾D-MAX激情者四驱越野房</t>
  </si>
  <si>
    <t>　　2020年2月24日，吉利全新ICON通过5G直播的形式正式上市，此次共上市4款车型，厂家指导价为11.58―12.88万元。　　作为一款代表吉利汽车未来数字科技的紧凑级SUV，吉利全新ICON不仅造型前卫、科技感满满，作为BMA架构的第二款SUV，它融合了科技健康、科技安全、科技造型和科技驾控</t>
  </si>
  <si>
    <t>2020/02/24 16:17:00</t>
  </si>
  <si>
    <t>2020年2月24日，吉利全新ICON通过5G直播的形式正式上市，此次共上市4款车型，厂家指导价为11.58—12.88万元。吉利ICON的上市，将进一步补强吉利精品科技SUV的序列，为吉利打开新一代产品序列，标志着吉利全球造车体系实力，进入了一个全新的阶段。    作为一款代表吉利汽车未来数字科技</t>
  </si>
  <si>
    <t xml:space="preserve">投诉编号：【448507】  投诉时间： 2020-02-24 16:16  投诉品牌： 广汽本田  投诉车系： 冠道  投诉车型： 2019款 240TURBO 两驱 精英版        投诉内容  挂挡踩油门车不走，只有发动机咆哮，进退两个挡都不走。现在我的车正在等待救援，不知道是什么原因。 </t>
  </si>
  <si>
    <t>2020/02/24 16:16:00</t>
  </si>
  <si>
    <t>投诉编号：【448506】  投诉时间： 2020-02-24 16:00  投诉品牌： 上汽大众  投诉车系： 朗逸  投诉车型： 2018款 200TSI DSG舒适版 两厢 国V        投诉内容  落地15万的新车还没有过质保期，一踩油门发动机就滋滋滋异响，去4S店多次，说都是这样通病</t>
  </si>
  <si>
    <t>2020/02/24 16:00:00</t>
  </si>
  <si>
    <t>投诉编号：【448504】  投诉时间： 2020-02-24 15:32  投诉品牌： 北京现代  投诉车系： 领动  投诉车型： 2019款 1.4T 双离合 炫动·活力型        投诉内容  北京现代领动一挡升二挡时变速箱有异响，变速箱在2000公里的时候出现响动，有时候卡擦一声，有时候</t>
  </si>
  <si>
    <t>2020/02/24 15:32:00</t>
  </si>
  <si>
    <t>引擎盖里面冒浓烟，有很重的皮毛燃烧臭味，仪表盘显示发动机异常，最后叫高速拖车，都烧冒烟发臭了，心里慌的很，怕再出现在路上冒烟，发臭，挂不了挡，存在严重的安全隐患。此问题已是广大车主遇到的通病，车子设计有缺陷，一定要解决啊，以防重大安全隐患。</t>
  </si>
  <si>
    <t>穷轮回</t>
  </si>
  <si>
    <t>2020/02/24 15:23:00</t>
  </si>
  <si>
    <t>广汽菲克菲亚特菲翔无法换挡发动机高温引擎盖里面冒浓烟，有很重的皮毛燃烧臭味，仪表盘显示发动机异常，最后叫高速拖车，都烧冒烟发臭了，心里慌的很，怕再出现在路上冒烟，发臭，挂不了挡，存在严重的安全隐患。此问题已是广大车主遇到的通病，车子设计有缺陷，一定要解决啊，以防重大安全隐患。</t>
  </si>
  <si>
    <t>汽车文化论坛</t>
  </si>
  <si>
    <t>每年的车辆保养项目有哪些车辆保养的项目有很多，而每次按时去给爱车做保养的时候，其保养项目也有所不同，所以我们应该对汽车每年进行一次比较深入的检查。下面是友途小编整理出来的每隔一年车辆必须进行的保养内容，如果您还没有做过这些保养，还是快快行动起来吧。1、检查气门间隙（机械挺杆车辆），必要时做调整。2、</t>
  </si>
  <si>
    <t>2020/02/24 15:22:00</t>
  </si>
  <si>
    <t>汽车文化</t>
  </si>
  <si>
    <t>车辆保养的项目有很多，而每次按时去给爱车做保养的时候，其保养项目也有所不同，所以我们应该对汽车每年进行一次比较深入的检查。下面是友途小编整理出来的每隔一年车辆必须进行的保养内容，如果您还没有做过这些保养，还是快快行动起来吧。1、检查气门间隙（机械挺杆车辆），必要时做调整。2、更换断电器触点和电容器。</t>
  </si>
  <si>
    <t>投诉编号：【448501】  投诉时间： 2020-02-24 15:22  投诉品牌： 一汽-大众  投诉车系： 迈腾  投诉车型： 2007款 1.8TSI 自动 技术型        投诉内容  启动困难，正时故障。一汽大众应召回免费更换。涨紧器设计不合理，易发生，涨紧器故障，导致链条变形。从</t>
  </si>
  <si>
    <t>上汽大众凌渡低速行驶时顿挫异响，挂R挡有较响的异响。</t>
  </si>
  <si>
    <t>极星辰</t>
  </si>
  <si>
    <t>电瓶出现质量问题，4S店已经核实并申请厂家发配件，但是厂家一直不发货，已经等了快半个月了，严重影响生活。</t>
  </si>
  <si>
    <t>碎苍穹</t>
  </si>
  <si>
    <t>上汽大众凌渡低速行驶时变速箱顿挫异响上汽大众凌渡低速行驶时顿挫异响，挂R挡有较响的异响。</t>
  </si>
  <si>
    <t>北京现代胜达电瓶厂家不发配件电瓶出现质量问题，4S店已经核实并申请厂家发配件，但是厂家一直不发货，已经等了快半个月了，严重影响生活。</t>
  </si>
  <si>
    <t>发动机加不起油，冒黑烟，进气管窜机油，厂家及4S店态度恶劣</t>
  </si>
  <si>
    <t>轮回劫</t>
  </si>
  <si>
    <t>2020/02/24 15:21:00</t>
  </si>
  <si>
    <t>华晨中华V6发动机烧机油 进气管窜机油发动机加不起油，冒黑烟，进气管窜机油，厂家及4S店态度恶劣</t>
  </si>
  <si>
    <t>投诉编号：【448499】投诉时间：2020-02-2415:19投诉品牌：吉利汽车投诉车系：缤越投诉车型：2019款260TDCT游侠国VI运动款投诉内容买车时说的很好听，一半的置换补贴3个月就可以下来，有时候还不用三个月，现在5个月过去了，一点反应也没有，太不拿消费者当回事了，欺骗消费者！投诉回</t>
  </si>
  <si>
    <t>2020/02/24 15:19:00</t>
  </si>
  <si>
    <t>投诉编号：【448494】  投诉时间： 2020-02-24 15:14  投诉品牌： 广汽丰田  投诉车系： 凯美瑞  投诉车型： 2008款 240V 2.4 自动 NAVI        投诉内容  1、中控台非经暴晒便可呈现极强的可塑性，指甲接触便可产生不可恢复的压痕，甚至指甲缝隙中能带走</t>
  </si>
  <si>
    <t>2020/02/24 15:14:00</t>
  </si>
  <si>
    <t>投诉编号：【448493】  投诉时间： 2020-02-24 15:11  投诉品牌： 大众（进口）  投诉车系： 辉腾  投诉车型： 2012款 3.0FSI 商务型  V6        投诉内容  上海汽车销售服务有限公司，卖给我的严重库存5年多的车子，销售始终也没告诉我此车是2012年出厂</t>
  </si>
  <si>
    <t>2020/02/24 15:11:00</t>
  </si>
  <si>
    <t>我在14年8月份买的13款锐志，结果16年玻璃升降就存在抖动异响，空调压缩机经常偷停。后在17年6月份索赔了主驾驶玻璃升降总成及空调压缩机总成，但因后面2个玻璃异响不严重所以没给索赔，现在后门2个玻璃升降存在严重抖动且异响。(2)2019年开始汽车在行驶过程中天窗抖动且异响，(3)在17年5月份前大</t>
  </si>
  <si>
    <t>万狼啸天绝</t>
  </si>
  <si>
    <t>长安CS15发动机漏油怠速不稳在夏天怠速乎高乎低，清洗节气门以后没有改善依然存在问题，夏季冷车启动两千多转，十一月份车子冷车启动高达4千转，一般三千转，去4S店维修过一次，效果不明显2500转数。问同等车型都是在1500转。希望能给迅速解决此问题。</t>
  </si>
  <si>
    <t>破空千狼影</t>
  </si>
  <si>
    <t>在夏天怠速乎高乎低，清洗节气门以后没有改善依然存在问题，夏季冷车启动两千多转，十一月份车子冷车启动高达4千转，一般三千转，去4S店维修过一次，效果不明显2500转数。问同等车型都是在1500转。希望能给迅速解决此问题。</t>
  </si>
  <si>
    <t>一汽丰田锐志配件质量差导致频繁故障我在14年8月份买的13款锐志，结果16年玻璃升降就存在抖动异响，空调压缩机经常偷停。后在17年6月份索赔了主驾驶玻璃升降总成及空调压缩机总成，但因后面2个玻璃异响不严重所以没给索赔，现在后门2个玻璃升降存在严重抖动且异响。(2)2019年开始汽车在行驶过程中天窗抖</t>
  </si>
  <si>
    <t>投诉编号：【448492】  投诉时间： 2020-02-24 15:10  投诉品牌： 北京现代  投诉车系： 途胜  投诉车型： 2015款 1.6T   双离合 两驱 智能型        投诉内容  北京现代途胜召回升级后动力弱，油耗高，噪音大。要求厂家给降级，给回复，为什么好几次投诉都没有</t>
  </si>
  <si>
    <t>2020/02/24 15:10:00</t>
  </si>
  <si>
    <t>半轴渗油，挂挡有时候挂不进去，尤其是1挡和倒挡，方向盘偶尔异响，会发出嗡嗡的声音，车身怠速抖动！仪表台也有异响偶尔！最主要的就是这个渗油的问题，希望好好解决一下。</t>
  </si>
  <si>
    <t>星辰变.</t>
  </si>
  <si>
    <t>北京现代悦纳半轴油封渗油很严重半轴渗油，挂挡有时候挂不进去，尤其是1挡和倒挡，方向盘偶尔异响，会发出嗡嗡的声音，车身怠速抖动！仪表台也有异响偶尔！最主要的就是这个渗油的问题，希望好好解决一下。</t>
  </si>
  <si>
    <t>进口宝马3系GT方向盘皮质局部褶皱褶痕20年2月23，打方向突然手感不好，突然感觉到粗糙，停车检查发现方向盘皮质出现褶皱，褶痕，影响了驾驶手感与心情，难道进口宝马就这种品质吗？现要求立即更换劣质产品。</t>
  </si>
  <si>
    <t>皇者号天令</t>
  </si>
  <si>
    <t>2020/02/24 15:09:00</t>
  </si>
  <si>
    <t>长安凌轩悬挂故障导致车身变形长安凌轩悬挂故障导致车子变形，售后不管，我提出更换车架子不给换，同意第三方鉴定后，要求我在协议上写明我自己去外面找修理厂维修。</t>
  </si>
  <si>
    <t>霸王殛</t>
  </si>
  <si>
    <t>一汽吉林森雅R7发动机冷却水泵无货一汽吉林森雅R7发动机冷却水泵无货，冷却水泵坏了噪音很大很大半年前去登记配件到现在都没有货。</t>
  </si>
  <si>
    <t>君临天下.</t>
  </si>
  <si>
    <t>20年2月23，打方向突然手感不好，突然感觉到粗糙，停车检查发现方向盘皮质出现褶皱，褶痕，影响了驾驶手感与心情，难道进口宝马就这种品质吗？现要求立即更换劣质产品。</t>
  </si>
  <si>
    <t>一汽吉林森雅R7发动机冷却水泵无货，冷却水泵坏了噪音很大很大半年前去登记配件到现在都没有货。</t>
  </si>
  <si>
    <t>长安凌轩悬挂故障导致车子变形，售后不管，我提出更换车架子不给换，同意第三方鉴定后，要求我在协议上写明我自己去外面找修理厂维修。</t>
  </si>
  <si>
    <t>东风本田思域发动机缺缸行驶过程中失速转速过2000转就会出现强烈顿挫缺缸，随后发动机失速失去动力，重启发动机恢复。路上高速行驶突然失速影响驾驶人及乘客生命安全，望厂家正视且重视问题严重性，找出原因所在，及时解决。</t>
  </si>
  <si>
    <t>狼王印</t>
  </si>
  <si>
    <t>2020/02/24 15:08:00</t>
  </si>
  <si>
    <t>正常行驶中变速箱突然无法加速，车辆只行驶了2万公里，真的太危险了，这要是在高速上前后都有车的话，突然失速后果不堪设想啊！</t>
  </si>
  <si>
    <t>虚空灭</t>
  </si>
  <si>
    <t>转速过2000转就会出现强烈顿挫缺缸，随后发动机失速失去动力，重启发动机恢复。路上高速行驶突然失速影响驾驶人及乘客生命安全，望厂家正视且重视问题严重性，找出原因所在，及时解决。</t>
  </si>
  <si>
    <t>奇瑞瑞虎5变速箱故障导致无法加速正常行驶中变速箱突然无法加速，车辆只行驶了2万公里，真的太危险了，这要是在高速上前后都有车的话，突然失速后果不堪设想啊！</t>
  </si>
  <si>
    <t>东风悦达起亚K3方向盘卡滞影响安全17年年底的车，1W4千公里最近发现方向盘修方向卡滞卡顿，低速不是很明显，高速上了八十以上尤为明显，劲小了掰不动，劲大了掰过头，修方向费劲，很大的安全隐患。</t>
  </si>
  <si>
    <t>皇室经天</t>
  </si>
  <si>
    <t>2020/02/24 15:07:00</t>
  </si>
  <si>
    <t>17年年底的车，1W4千公里最近发现方向盘修方向卡滞卡顿，低速不是很明显，高速上了八十以上尤为明显，劲小了掰不动，劲大了掰过头，修方向费劲，很大的安全隐患。</t>
  </si>
  <si>
    <t>吉利EC8仪表液晶显示屏失灵仪表中间的小液晶显示屏在太阳下无法显示，下雨阴天时候又可以显示，不知道是什么原因，这个确实影响安全行驶啊。</t>
  </si>
  <si>
    <t>金仙大罗掌</t>
  </si>
  <si>
    <t>2020/02/24 15:06:00</t>
  </si>
  <si>
    <t>仪表中间的小液晶显示屏在太阳下无法显示，下雨阴天时候又可以显示，不知道是什么原因，这个确实影响安全行驶啊。</t>
  </si>
  <si>
    <t xml:space="preserve">投诉编号：【448491】  投诉时间： 2020-02-24 15:05  投诉品牌： 众泰汽车  投诉车系： 众泰T600  投诉车型： 2016款 2.0T  自动 尊享型 运动版        投诉内容  变速器坏至便车辆无法行驶，现在也没有配件维修更换，厂家也不解决，车已经不能开了。   </t>
  </si>
  <si>
    <t>2020/02/24 15:05:00</t>
  </si>
  <si>
    <t>投诉编号：【448490】投诉时间：2020-02-2415:04投诉品牌：北京现代投诉车系：途胜投诉车型：2019款280TGDi双离合两驱时尚版国VI投诉内容北京现代途胜降挡时变速箱有异常响声，车辆在行驶过程中三挡降到二挡时变速箱有异响，去过4S店有三次了，经过多次试车，他们能够听到异响，但是他</t>
  </si>
  <si>
    <t>2020/02/24 15:04:00</t>
  </si>
  <si>
    <t>投诉编号：【448486】  投诉时间： 2020-02-24 14:46  投诉品牌： 上汽集团  投诉车系： 荣威RX5 MAX  投诉车型： 2019款 300TGI 自动 智能座舱豪华版        投诉内容  4s店在未告知我的情况下，把展车出售给我，我去4s店购车，明确提出不要展车，销</t>
  </si>
  <si>
    <t>2020/02/24 14:46:00</t>
  </si>
  <si>
    <t>我是蔚来ES8用户，汽车前方镀铬条鼓包并且伴有小气孔。厂家说是撞击前面造成的，我认为是零部件质量问题。就问一下撞击前面时候可能造成镀铬条鼓包吗？</t>
  </si>
  <si>
    <t>2020/02/24 14:40:19</t>
  </si>
  <si>
    <t>投诉编号：【448484】  投诉时间： 2020-02-24 14:39  投诉品牌： 北京现代  投诉车系： 现代ix35  投诉车型： 2019款 2.0L 自动 两驱 智勇·畅享版 国V        投诉内容  今天去4S店，工作人员回答每辆车都有这样的情况。生锈问题还要等厂家过来检修。明</t>
  </si>
  <si>
    <t>2020/02/24 14:39:00</t>
  </si>
  <si>
    <t>四轮数据正确，方向盘有点偏右，能通过微调拉杆调吗？具体怎么调？</t>
  </si>
  <si>
    <t>2020/02/24 14:35:31</t>
  </si>
  <si>
    <t>投诉编号：【448482】  投诉时间： 2020-02-24 14:29  投诉品牌： 吉利汽车  投诉车系： 吉利EC8  投诉车型： 2011款 2.0L 自动 BMBS版        投诉内容  仪表中间的小液晶显示屏在太阳下无法显示，下雨阴天时候又可以显示      投诉回复  车质网已</t>
  </si>
  <si>
    <t>2020/02/24 14:29:00</t>
  </si>
  <si>
    <t>冬天打火后起步挂挡，抖动很严重，然后熄火，2016款，2.0t自动豪华版。</t>
  </si>
  <si>
    <t>2020/02/24 14:15:21</t>
  </si>
  <si>
    <t>投诉编号：【448480】投诉时间：2020-02-2414:14投诉品牌：野马汽车投诉车系：博骏投诉车型：2019款1.5TCVT精英型投诉内容刹车时有尖锐的异响，曾向经销商反应刹车问题，，但没有得到解决。车门也有问题，钥匙经常打不开。投诉回复车质网已将您的投诉转给生产企业以及国家市场监督管理总局</t>
  </si>
  <si>
    <t>2020/02/24 14:14:00</t>
  </si>
  <si>
    <t>投诉编号：【448479】  投诉时间： 2020-02-24 14:05  投诉品牌： 奇瑞汽车  投诉车系： 瑞虎3x  投诉车型： 2017款 1.5L 手动 都市领先版        投诉内容  过保之前就去检查了，是他们查不到问题，不是过保才去检查过保前的问题算质保内去4s店一直拖着不弄。</t>
  </si>
  <si>
    <t>2020/02/24 14:05:00</t>
  </si>
  <si>
    <t>投诉编号：【448475】投诉时间：2020-02-2414:01投诉品牌：江淮汽车投诉车系：瑞风S2投诉车型：2017款1.5LCVT尚酷版投诉内容车子起步到70迈加油门时发动机有明显的异响，鹰潭没有4s店，只能到离最近的上饶4S店进行检查，上饶4S店说该车没有在上饶4s店做保养，拒绝索赔。投诉回</t>
  </si>
  <si>
    <t>2020/02/24 14:01:00</t>
  </si>
  <si>
    <t>投诉编号：【448476】  投诉时间： 2020-02-24 14:01  投诉品牌： 海马汽车  投诉车系： 海马S5  投诉车型： 2015款 1.5T CVT 智炫型 5座        投诉内容  海马S5行驶过程中发动机熄火故障灯亮，多次出现正常行驶中自动熄火，故障灯亮，重新打火后正常。</t>
  </si>
  <si>
    <t>细数那些看似无关紧要的操作，实则会对车子产生不同程度的损伤，久而久之会加速车辆零件磨损，缩短整车寿命，最终落得个花大钱收拾烂摊子的下场。这些看似无关痛痒的伤车行为，等后果严重时保证你难受！无需多虑，下面教您化险为夷。    熄车前忘关空调    不关空调就直接熄车走人，相信不少老司机都有这陋习，但我</t>
  </si>
  <si>
    <t>2020/02/24 13:44:00</t>
  </si>
  <si>
    <t>　　细数那些看似无关紧要的操作，实则会对车子产生不同程度的损伤，久而久之会加速车辆零件磨损，缩短整车寿命，最终落得个花大钱收拾烂摊子的下场。这些看似无关痛痒的伤车行为，等后果严重时保证你难受！无需多虑，下面教您化险为夷。　　熄车前忘关空调　　不关空调就直接熄车走人，相信不少老司机都有这陋习，但我劝您</t>
  </si>
  <si>
    <t>大家有没有晚上开车的经历呢？其实晚上开车是比较危险的一件事情，首先就是环境比较黑暗导致看不清路线，而在晚上的时候也会比较安静，所以很多人都会出现疲劳驾驶的情况，尤其是在深夜的时候，疲劳驾驶出现的几率会更高。大家在晚上跑普通公路的时候还可以借助灯来查看前方路况，但如果你跑的是高速公路呢，由于没有路灯所</t>
  </si>
  <si>
    <t>2020/02/24 13:42:00</t>
  </si>
  <si>
    <t>　　大家有没有晚上开车的经历呢？其实晚上开车是比较危险的一件事情，首先就是环境比较黑暗导致看不清路线，而在晚上的时候也会比较安静，所以很多人都会出现疲劳驾驶的情况，尤其是在深夜的时候，疲劳驾驶出现的几率会更高。大家在晚上跑普通公路的时候还可以借助灯来查看前方路况，但如果你跑的是高速公路呢，由于没有路</t>
  </si>
  <si>
    <t>随着各企业陆续复产复工，相信大家也都陆续回到自己的岗位上了。不过有些车主在准备用车时遇到了些麻烦，不是无法启动就是有各类小毛病。今天就跟大家分享下长时间停放车辆后需要注意的一些事项。如果接下来你的爱车有需要停放数月以上的话，这几点要注意哦。    电瓶亏电    有不少车主反应车辆长时间停放后再次用</t>
  </si>
  <si>
    <t>2020/02/24 13:41:00</t>
  </si>
  <si>
    <t>　　随着各企业陆续复产复工，相信大家也都陆续回到自己的岗位上了。不过有些车主在准备用车时遇到了些麻烦，不是无法启动就是有各类小毛病。今天就跟大家分享下长时间停放车辆后需要注意的一些事项。如果接下来你的爱车有需要停放数月以上的话，这几点要注意哦。　　电瓶亏电　　有不少车主反应车辆长时间停放后再次用车会</t>
  </si>
  <si>
    <t>投诉编号：【448472】  投诉时间： 2020-02-24 13:40  投诉品牌： 东风悦达起亚  投诉车系： 起亚K3  投诉车型： 2016款 1.6L 自动 GLS        投诉内容  17年年底的车，1W4千公里最近发现方向盘修方向卡滞卡顿，低速不是很明显，高速上了八十以上尤为明</t>
  </si>
  <si>
    <t>2020/02/24 13:40:00</t>
  </si>
  <si>
    <t>汽车配件丰富了我们的用车生活，然而在实际观察中，我们发现很多配件其实有悖于汽车安全设计。那么接下来小编就带您盘点五大最不该使用的汽车配件，如果您选择了它们，还请将它们尽快丢弃。    安全带卡扣    安全带卡扣已经是老生常谈的问题，但总是有人心存侥幸。安全带是发生交通事故时车内人员安全的最后救命稻</t>
  </si>
  <si>
    <t>　　汽车配件丰富了我们的用车生活，然而在实际观察中，我们发现很多配件其实有悖于汽车安全设计。那么接下来小编就带您盘点五大最不该使用的汽车配件，如果您选择了它们，还请将它们尽快丢弃。　　安全带卡扣　　安全带卡扣已经是老生常谈的问题，但总是有人心存侥幸。安全带是发生交通事故时车内人员安全的最后救命稻草，</t>
  </si>
  <si>
    <t>自动驾驶汽车离不开智慧基础设施的支撑，在正式上路前一般都需要在特定的场地内进行技术开发、完成产品验证。全国各地都在兴建自动驾驶示范区，上海智能网联示范区就是国内首个国家级的智能汽车示范区。近日，广州市正式批准《庆盛枢纽区块DC0304规划管理单元控制性详细规划修编》，有力支持了南沙国家级自动驾驶与智</t>
  </si>
  <si>
    <t>2020/02/24 13:38:00</t>
  </si>
  <si>
    <t>　　自动驾驶汽车离不开智慧基础设施的支撑，在正式上路前一般都需要在特定的场地内进行技术开发、完成产品验证。全国各地都在兴建自动驾驶示范区，上海智能网联示范区就是国内首个国家级的智能汽车示范区。近日，广州市正式批准《庆盛枢纽区块DC0304规划管理单元控制性详细规划修编》，有力支持了南沙国家级自动驾驶</t>
  </si>
  <si>
    <t>发动机，1缸不工作，这是什么原因导致的，出现了这种问题应该怎么办？</t>
  </si>
  <si>
    <t>2020/02/24 13:37:09</t>
  </si>
  <si>
    <t>投诉编号：【448471】  投诉时间： 2020-02-24 13:37  投诉品牌： 上汽集团  投诉车系： 名爵HS  投诉车型： 2018款 20T 自动 两驱 荷尔蒙激情版 国V        投诉内容  上汽名爵HS电瓶有亏电的现象，从而导致发动机无法启动，车放置2、3天启动就启动不了，</t>
  </si>
  <si>
    <t>2020/02/24 13:37:00</t>
  </si>
  <si>
    <t>日前，我们从哪吒汽车官方获悉，旗下纯电动紧凑型SUV哪吒U将于2020年3月下旬正式上市，新车在2019年广州车展上正式亮相并开启预售，补贴后预售价格区间为15.00-21.00万元。哪吒U    哪吒U基于Eureka 01概念车而打造，整体看起来更加圆润。车身尺寸为4530/1860/1628m</t>
  </si>
  <si>
    <t>2020/02/24 13:35:00</t>
  </si>
  <si>
    <t>　　日前，我们从哪吒汽车官方获悉，旗下纯电动紧凑型SUV哪吒U将于2020年3月下旬正式上市，新车在2019年广州车展上正式亮相并开启预售，补贴后预售价格区间为15.00-21.00万元。哪吒U　　哪吒U基于Eureka 01概念车而打造，整体看起来更加圆润。车身尺寸为4530/1860/1628m</t>
  </si>
  <si>
    <t>对于汽车产品而言，“年轻化”已经成为了近两年的流行词汇，在一个看脸的时代，奇瑞汽车将很大一部分精力花在了这款车型的外观改造上，全新一代瑞虎7在2019年的广州车展亮相之后，便受到了广大消费者的关注。接下来就让我们通过实际试驾来说说这款车的表现。    本次试驾的全新一代瑞虎7则是搭载1.5T涡轮增压</t>
  </si>
  <si>
    <t>2020/02/24 13:32:00</t>
  </si>
  <si>
    <t>　　对于汽车产品而言，“年轻化”已经成为了近两年的流行词汇，在一个看脸的时代，奇瑞汽车将很大一部分精力花在了这款车型的外观改造上，全新一代瑞虎7在2019年的广州车展亮相之后，便受到了广大消费者的关注。接下来就让我们通过实际试驾来说说这款车的表现。　　本次试驾的全新一代瑞虎7则是搭载1.5T涡轮增压</t>
  </si>
  <si>
    <t>周洋</t>
  </si>
  <si>
    <t>　　在20万左右这个价格区间，你能想到既舒适又运动的中型轿车吗？让我来告诉你，新天籁就是这样一款车，在保证舒适度的同时，天籁的加速可以跑进6.5秒以内，这样的表现是不是让你大吃一惊，但事实就是这样，所以今后大马路上看到2.0T的天籁，你还是不要轻易去招惹它。　　以北京为例，天籁的优惠幅度大约为3万元</t>
  </si>
  <si>
    <t>2020/02/24 13:30:00</t>
  </si>
  <si>
    <t>投诉编号：【448470】  投诉时间： 2020-02-24 13:29  投诉品牌： 奇瑞汽车  投诉车系： 瑞虎5  投诉车型： 2017款 1.5T CVT 舒适版        投诉内容  正常行驶中变速箱突然无法加速，车辆只行驶了2万公里      投诉回复  车质网已将您的投诉转给生产</t>
  </si>
  <si>
    <t>2020/02/24 13:29:00</t>
  </si>
  <si>
    <t>　　这么大的汽车消费市场中，SUV这些年一直以来都用销量证明着自己是热门车型之首，不分国内外。但是一直以来SUV也给人老气的感觉，年轻人大部分更偏爱轿车或跑车，少数会居家型人士会偏爱SUV。随着90、00后的崛起，汽车消费市场迎来了大量年轻人，为此主机厂们推出了不少年轻化的入门级SUV。此时宝马推出</t>
  </si>
  <si>
    <t>2020/02/24 13:28:00</t>
  </si>
  <si>
    <t>　　奇瑞捷豹路虎发现神行，是看到这个名字后是不是有点晕有点分不清楚到底是一款什么车。其实它是继揽胜极光之后路虎国产的第二款车型，在国产之后它除了名字变长了，售价也更为亲民了，现在只需不到 40万就可以买到一辆尺寸不算小，动力还不错，外形很漂亮，甚至还有7座版本的奇瑞捷豹路虎发现神行（下简称：发现神行</t>
  </si>
  <si>
    <t>王京</t>
  </si>
  <si>
    <t>2020/02/24 13:26:00</t>
  </si>
  <si>
    <t>19款智联尊享版轩逸，19年5月份购车，才跑了6000多，每次车速达到25迈时变速箱有口哨声，同时底盘伴随着明显的震动和异响的声音 这质量堪忧啊</t>
  </si>
  <si>
    <t>李li1</t>
  </si>
  <si>
    <t>2020/02/24 13:23:00</t>
  </si>
  <si>
    <t>如火如荼的纯电动车型在2019年的国内似乎遇到了一些阻碍，销量骤降、大幅裁员、融资困难等，都已经给新能源市场贴上了标签。想要舒适、宜居、“正常”地使用当代BEV纯电动汽车似乎很难，能够随时找到的充电设备，行驶里程的限制，充电时间过长等等，都为纯电动汽车的普及带来了很大的麻烦。尽管其他科技，例如氢燃料</t>
  </si>
  <si>
    <t>大人中</t>
  </si>
  <si>
    <t>变速箱有口哨声且底盘还伴有震动异响19款智联尊享版轩逸，19年5月份购车，才跑了6000多，每次车速达到25迈时变速箱有口哨声，同时底盘伴随着明显的震动和异响的声音 这质量堪忧啊</t>
  </si>
  <si>
    <t>在新能源车领域 本田又下了一个天大的赌注如火如荼的纯电动车型在2019年的国内似乎遇到了一些阻碍，销量骤降、大幅裁员、融资困难等，都已经给新能源市场贴上了标签。想要舒适、宜居、“正常”地使用当代BEV纯电动汽车似乎很难，能够随时找到的充电设备，行驶里程的限制，充电时间过长等等，都为纯电动汽车的普及带</t>
  </si>
  <si>
    <t>如今特斯拉毫无疑问已经是新能源领域尤其是纯电动汽车细分领域中的王者了，去年特斯拉汽车全球大卖36.75万辆，虽然距离日本丰田以及德国大众千万级别的销量还有一定的差距，但特斯拉在纯电动车领域的技术毫无疑问是顶级存在的。特斯拉从成立起除了专注于纯电动汽车的制造之外，还一直热衷于自动驾驶技术的研发。近日，</t>
  </si>
  <si>
    <t>2020/02/24 13:22:00</t>
  </si>
  <si>
    <t>　　10万块能买到什么车？今天就带您了解一下，大空间、强动力、保值利器，而它就是我们经常谈及的“超跑GK5”――广汽本田飞度。下面我来谈一谈我对飞度的真实体验。　　问：10万块钱以下买个两厢车怎么选啊？　　甲：必须飞度啊　　乙：飞度不错，经济实惠　　丙：必须超跑“GK5”　　以上是我买车时所遇到的问</t>
  </si>
  <si>
    <t>拆解Model 3发现 特斯拉自动驾驶技术至少领先行业6年如今特斯拉毫无疑问已经是新能源领域尤其是纯电动汽车细分领域中的王者了，去年特斯拉汽车全球大卖36.75万辆，虽然距离日本丰田以及德国大众千万级别的销量还有一定的差距，但特斯拉在纯电动车领域的技术毫无疑问是顶级存在的。特斯拉从成立起除了专注于纯</t>
  </si>
  <si>
    <t>　　领动、悦动、悦纳，现代家族的这几款车一直在紧凑型车和小型车领域有着相当不错的表现，这些年也积累了一定口碑。而在这几位主力当中，悦动的关注度非常高。今天我就来聊一聊这款现代悦动究竟值不值的买？　　悦动前脸棱角分明，中网四周还设计了增强视觉张力的多条镀铬装饰，两道LED日行灯让前脸透着一丝凶悍，而该</t>
  </si>
  <si>
    <t>2020/02/24 13:20:00</t>
  </si>
  <si>
    <t>很多车友不知道仪表盘的指示灯亮了到底是在提示我们什么，下面我帮车友们收集整理了一份指示灯图解，希望可以帮到你们。</t>
  </si>
  <si>
    <t>2020/02/24 13:19:00</t>
  </si>
  <si>
    <t>汽车仪表盘指示灯大全很多车友不知道仪表盘的指示灯亮了到底是在提示我们什么，下面我帮车友们收集整理了一份指示灯图解，希望可以帮到你们。</t>
  </si>
  <si>
    <t>在这个寒冷的冬季，我们来继续欣赏别人家的女朋友。这是由美国空军改装挑战者，名为Challenger Vapor。最开始，这辆车的出现，是美国空军为了招募、宣传。对于年轻人来说，这样一辆全副武装的挑战者，足够诱惑到他们。在完成招募宣传后，Challenger Vapor也并没有成为纪念品，全副武装的他</t>
  </si>
  <si>
    <t>2020/02/24 13:18:00</t>
  </si>
  <si>
    <t>一万个人眼中有一万个挑战者在这个寒冷的冬季，我们来继续欣赏别人家的女朋友。这是由美国空军改装挑战者，名为Challenger Vapor。最开始，这辆车的出现，是美国空军为了招募、宣传。对于年轻人来说，这样一辆全副武装的挑战者，足够诱惑到他们。在完成招募宣传后，Challenger Vapor也并没</t>
  </si>
  <si>
    <t>　　当下国家在大力扶持电动车项目，市场上也已经有很多电动车出售，因为很多大城市都出台了限牌限行的政策，所以现在很多人买车也会将目光投向不限行的电动车。　　当下的电动车NEDC综合续航里程最高已经达到600公里以上，就算打个折也有400公里，如果有方便的充电条件，我认为买电动车是不错的选择。接下来我就</t>
  </si>
  <si>
    <t>月林</t>
  </si>
  <si>
    <t>近日，鉴于疫情对汽车企业产生的影响，中国汽车工业协会向相关部门提交了推迟全国范围实施国六排放标准的建议。对此中汽协回应称，确实递交“推迟实施国六排放标准”建议，是否采纳暂未可知。与去年国五切换国六不同的是，本次国六排放标准的PN限值更高，此前，生态环境部发布的国六排放标准要求2020年7月1日轻型车</t>
  </si>
  <si>
    <t>2020/02/24 13:16:00</t>
  </si>
  <si>
    <t>国六排放标准再升级 主流车企或遇应对难题近日，鉴于疫情对汽车企业产生的影响，中国汽车工业协会向相关部门提交了推迟全国范围实施国六排放标准的建议。对此中汽协回应称，确实递交“推迟实施国六排放标准”建议，是否采纳暂未可知。与去年国五切换国六不同的是，本次国六排放标准的PN限值更高，此前，生态环境部发布的</t>
  </si>
  <si>
    <t>　　风格时尚、驾驶轻松的小型SUV，虽然近两年的热度有所下降，但也正在成为越来越多年轻人的选择，而日产劲客，则是年轻范SUV中一个较为典型的代表。今天我们就来聊聊劲客究竟值不值得购买？　　劲客是一款日产的一款战略车型，剑指本田的XR-V和缤智，还未上市就获得了极大的市场关注。也曾有过月销量过万的战绩</t>
  </si>
  <si>
    <t>2019年车市迎来了20年来首个全年下跌。而经过2019年市场的淘汰与结构调整，无论是厂商、专家还是投资者都对2020年车市抱有殷切希望，中性预期多为持平甚至微增。但是2020年复杂的开局却再一次将车市踢入谷底。因为今年的早春，往年在2月的春节假期移到了1月，让今年1月比往年减少5个工作日，节后又因</t>
  </si>
  <si>
    <t>2020/02/24 13:14:00</t>
  </si>
  <si>
    <t>中央出手救市 汽车市场有望绝地反弹2019年车市迎来了20年来首个全年下跌。而经过2019年市场的淘汰与结构调整，无论是厂商、专家还是投资者都对2020年车市抱有殷切希望，中性预期多为持平甚至微增。但是2020年复杂的开局却再一次将车市踢入谷底。因为今年的早春，往年在2月的春节假期移到了1月，让今年</t>
  </si>
  <si>
    <t>投诉编号：【448467】  投诉时间： 2020-02-24 13:12  投诉品牌： 东风本田  投诉车系： 思域  投诉车型： 2016款 220TURBO 自动 豪华版        投诉内容  转速过2000转就会出现强烈顿挫缺缸，随后发动机失速失去动力，重启发动机恢复。路上高速行驶突然失</t>
  </si>
  <si>
    <t>2020/02/24 13:12:00</t>
  </si>
  <si>
    <t>　　我们此前曾报道过菲亚特纯电动微型车500e将于2020年日内瓦车展亮相的消息。近日据外媒报道，500e位于都灵Mirafiori工厂的生产线已经竣工，预计量产版车型将于6月开始投产。菲亚特500e媒体假想图　　都灵Mirafiori工厂占地15万平方米，菲亚特500e的生产线目前正在生产用于测试</t>
  </si>
  <si>
    <t>我们此前曾报道过菲亚特纯电动微型车500e将于2020年日内瓦车展亮相的消息。近日据外媒报道，500e位于都灵Mirafiori工厂的生产线已经竣工，预计量产版车型将于6月开始投产。菲亚特500e媒体假想图    都灵Mirafiori工厂占地15万平方米，菲亚特500e的生产线目前正在生产用于测试</t>
  </si>
  <si>
    <t>一：福特锐际 四驱嘉享款福特锐际是前不久推出的一款SUV，它可谓是福特在华市场的翻身之作，因此从配置到价位，福特都拿出了最好的诚意，当下其四驱嘉享款终端裸车价为20万元左右。从性能来看，锐际全系搭载2.0T高功率发动机，最大功率达到248马力，最大扭矩达到393牛·米，动力水平在同级别车型中傲视群雄</t>
  </si>
  <si>
    <t>2020/02/24 13:10:00</t>
  </si>
  <si>
    <t>裸车20万预算 什么SUV最值得买？一：福特锐际 四驱嘉享款福特锐际是前不久推出的一款SUV，它可谓是福特在华市场的翻身之作，因此从配置到价位，福特都拿出了最好的诚意，当下其四驱嘉享款终端裸车价为20万元左右。从性能来看，锐际全系搭载2.0T高功率发动机，最大功率达到248马力，最大扭矩达到393牛</t>
  </si>
  <si>
    <t>每当和大家分享或预告全新车型时候，网友总说我又骗你买车了。好吧，今天叫大家先别急着买车，因为再忍一忍，这三款新车都是很值得等待的。东风本田思域Hatchback两厢传言很久，甚至说有可能在广本国产，最后东风本田还是在去年底以假装很神秘感地公布了。十代思域最牛的地方在于，作为一款以运动挂帅的车型上市了</t>
  </si>
  <si>
    <t>2020/02/24 13:09:00</t>
  </si>
  <si>
    <t>玩越野的朋友都知道，在国内的越野市场中，虽然普拉多、酷路泽、途乐、牧马人等车型的越野能力都非常出色，但被誉为“山猫”的帕杰罗绝对是越野圈中的“硬汉”。曾经帕杰罗的产品力以及越野能力都在普拉多之上，是出了名的“买发动机送车”，车辆的耐用性丝毫不逊普拉多，不过，三菱帕杰罗常年不进行改款换代，最终还是面临</t>
  </si>
  <si>
    <t>在去年的CES展上，奔驰发布了全新一代CLA，近日有消息显示，该车或将于今年2月在国内上市，下面就让我们再来回顾一下这款新车。外观方面，全新一代CLA换装了新样式的进气格栅和保险杠，同时大灯进行了“瘦身”处理，看着比现款车型犀利多了。车身侧面来看，新/老车型的差别不是很大，作为Coupe车型，下压式</t>
  </si>
  <si>
    <t>等了一年 全新CLA终于要在国内上市了在去年的CES展上，奔驰发布了全新一代CLA，近日有消息显示，该车或将于今年2月在国内上市，下面就让我们再来回顾一下这款新车。外观方面，全新一代CLA换装了新样式的进气格栅和保险杠，同时大灯进行了“瘦身”处理，看着比现款车型犀利多了。车身侧面来看，新/老车型的差</t>
  </si>
  <si>
    <t>三菱开始走上坡路 全系搭载V6引擎玩越野的朋友都知道，在国内的越野市场中，虽然普拉多、酷路泽、途乐、牧马人等车型的越野能力都非常出色，但被誉为“山猫”的帕杰罗绝对是越野圈中的“硬汉”。曾经帕杰罗的产品力以及越野能力都在普拉多之上，是出了名的“买发动机送车”，车辆的耐用性丝毫不逊普拉多，不过，三菱帕杰</t>
  </si>
  <si>
    <t>未来一年值得期待的三款新车每当和大家分享或预告全新车型时候，网友总说我又骗你买车了。好吧，今天叫大家先别急着买车，因为再忍一忍，这三款新车都是很值得等待的。东风本田思域Hatchback两厢传言很久，甚至说有可能在广本国产，最后东风本田还是在去年底以假装很神秘感地公布了。十代思域最牛的地方在于，作为</t>
  </si>
  <si>
    <t>离合器变松动无力无法换挡(平常换挡有挫顿感)刹车盘生锈腐蚀，车趴窝在湛江。</t>
  </si>
  <si>
    <t>2020/02/24 13:08:05</t>
  </si>
  <si>
    <t>　　日前，有海外媒体曝光了一组新款本田锋范（海外名为CITY）两厢版车型的专利图。新车基于2019年11月发布的新款本田锋范打造，而与三厢版车型一样，新车未来将主要在东南亚、印度以及巴西市场销售，同时外媒报道称这些市场或因两厢版锋范的存在而无缘全新一代飞度。新款锋范两厢版专利图新款锋范RS版　　外观</t>
  </si>
  <si>
    <t>2020/02/24 13:08:00</t>
  </si>
  <si>
    <t>日前，有海外媒体曝光了一组新款本田锋范（海外名为CITY）两厢版车型的专利图。新车基于2019年11月发布的新款本田锋范打造，而与三厢版车型一样，新车未来将主要在东南亚、印度以及巴西市场销售，同时外媒报道称这些市场或因两厢版锋范的存在而无缘全新一代飞度。新款锋范两厢版专利图新款锋范RS版    外观</t>
  </si>
  <si>
    <t>　　阿斯顿・马丁日前发布了DBX By Q车型的官图，新车由阿斯顿・马丁定制部门Q打造，整车相比普通版DBX有不少细节处的调整，这款定制版车型将于2020日内瓦车展亮相。　　外观方面，DBX By Q依旧采用了传承自DB系列的设计语言，标志性的进气格栅造型源自阿斯顿・马丁经典车型。新车最大的区别是采</t>
  </si>
  <si>
    <t>2020/02/24 13:07:00</t>
  </si>
  <si>
    <t>阿斯顿·马丁日前发布了DBX By Q车型的官图，新车由阿斯顿·马丁定制部门Q打造，整车相比普通版DBX有不少细节处的调整，这款定制版车型将于2020日内瓦车展亮相。    外观方面，DBX By Q依旧采用了传承自DB系列的设计语言，标志性的进气格栅造型源自阿斯顿·马丁经典车型。新车最大的区别是采</t>
  </si>
  <si>
    <t>　　日前，我们从外媒获悉，奥迪因供应链问题被迫在比利时布鲁塞尔工厂停产旗下旗舰纯电动SUV车型e-tron。目前，奥迪官方已经证实该消息，表示该车型需停产几日，但未公布具体原因。　　尽管官方未公布具体停产原因，但业界普遍推测是因为LG化学在波兰的动力电池工厂产能有限，而导致动力电池供应不足。有传言表</t>
  </si>
  <si>
    <t>2020/02/24 13:05:00</t>
  </si>
  <si>
    <t>日前，我们从外媒获悉，奥迪因供应链问题被迫在比利时布鲁塞尔工厂停产旗下旗舰纯电动SUV车型e-tron。目前，奥迪官方已经证实该消息，表示该车型需停产几日，但未公布具体原因。    尽管官方未公布具体停产原因，但业界普遍推测是因为LG化学在波兰的动力电池工厂产能有限，而导致动力电池供应不足。有传言表</t>
  </si>
  <si>
    <t>　　日前，深圳市发改委发布了《深圳市2019-2020年新能源汽车推广应用财政补贴实施细则》（简称《细则》）。《细则》明确了深圳市2019-2020年新能源汽车补贴标准。　　就2019年来说，深圳补贴细则与2019年的新能源补贴都设置过渡期，并分三种情况执行购置补贴：1．2019年1月1日至2019</t>
  </si>
  <si>
    <t>2020/02/24 13:03:00</t>
  </si>
  <si>
    <t>日前，深圳市发改委发布了《深圳市2019-2020年新能源汽车推广应用财政补贴实施细则》（简称《细则》）。《细则》明确了深圳市2019-2020年新能源汽车补贴标准。    就2019年来说，深圳补贴细则与2019年的新能源补贴都设置过渡期，并分三种情况执行购置补贴：1．2019年1月1日至2019</t>
  </si>
  <si>
    <t>　　近日，汽车零部件企业佛吉亚在法国宣布完成对SAS的收购，以2.25亿欧元（约合17.52亿元人民币）从大陆集团购回剩余50%的股份。SAS是佛吉亚与大陆集团于1996年成立的合资公司。该项收购将推动佛吉亚“智享未来座舱”战略，进一步增强其系统集成能力。　　实际上，这一收购项目是在2019年10月</t>
  </si>
  <si>
    <t>2020/02/24 13:02:00</t>
  </si>
  <si>
    <t>近日，汽车零部件企业佛吉亚在法国宣布完成对SAS的收购，以2.25亿欧元（约合17.52亿元人民币）从大陆集团购回剩余50%的股份。SAS是佛吉亚与大陆集团于1996年成立的合资公司。该项收购将推动佛吉亚“智享未来座舱”战略，进一步增强其系统集成能力。    实际上，这一收购项目是在2019年10月</t>
  </si>
  <si>
    <t>taycan基于保时捷mission e概念车打造，从外观到性能都高度还原，于2019年正式开售，是保时捷推出的首款纯电动量产车。    taycan基于保时捷mission e概念车打造，从外观到性能都高度还原，于2019年正式开售，是保时捷推出的首款纯电动量产车。近日，有海外媒体曝光了保时捷ta</t>
  </si>
  <si>
    <t>2020/02/24 12:59:00</t>
  </si>
  <si>
    <t>　　taycan基于保时捷mission e概念车打造，从外观到性能都高度还原，于2019年正式开售，是保时捷推出的首款纯电动量产车。　　taycan基于保时捷mission e概念车打造，从外观到性能都高度还原，于2019年正式开售，是保时捷推出的首款纯电动量产车。近日，有海外媒体曝光了保时捷ta</t>
  </si>
  <si>
    <t>近日，有媒体获悉，特斯拉首席执行官埃隆·马斯克在某社交媒体上透露了一些关于量产版cybertruck车型的最新信息，其中包括了车身尺寸的变化。马斯克指出，cybertruck量产版车型要比亮相之初更窄一些，宽度为2.08米，并非在发布会亮相时的2.13米。 此外，该皮卡还配置了“激光刀片灯”，此种大</t>
  </si>
  <si>
    <t>2020/02/24 12:58:00</t>
  </si>
  <si>
    <t>　　近日，有媒体获悉，特斯拉首席执行官埃隆・马斯克在某社交媒体上透露了一些关于量产版cybertruck车型的最新信息，其中包括了车身尺寸的变化。马斯克指出，cybertruck量产版车型要比亮相之初更窄一些，宽度为2.08米，并非在发布会亮相时的2.13米。 此外，该皮卡还配置了“激光刀片灯”，此</t>
  </si>
  <si>
    <t>　　去年11月，玛莎拉蒂官方发布了一组全新跑车的路试谍照。日前，有媒体从玛莎拉蒂官方获悉，全新跑车定名为mc20，新车由玛莎拉蒂创新实验室研发设计，将在摩德纳工厂进行生产，并于五月份正式亮相。　　mc20是玛莎拉蒂全新时代的首款车型，mc20代表着maserati corse（玛莎拉蒂赛车部门）20</t>
  </si>
  <si>
    <t>2020/02/24 12:54:00</t>
  </si>
  <si>
    <t>去年11月，玛莎拉蒂官方发布了一组全新跑车的路试谍照。日前，有媒体从玛莎拉蒂官方获悉，全新跑车定名为mc20，新车由玛莎拉蒂创新实验室研发设计，将在摩德纳工厂进行生产，并于五月份正式亮相。    mc20是玛莎拉蒂全新时代的首款车型，mc20代表着maserati corse（玛莎拉蒂赛车部门）20</t>
  </si>
  <si>
    <t>　　在售的全新宋max ev（纯电动）智行限量版，采用6座布局，补贴后指导价17.98万元起。有媒体获得了一组疑似新款比亚迪宋max ev的图片。新车主要针对前格栅和雾灯区进行了调整，相比现款更加贴近于新能源车型的设计风格。　　现款宋max ev的车身长宽高分别为4680×1810×1690mm，轴</t>
  </si>
  <si>
    <t>2020/02/24 12:53:00</t>
  </si>
  <si>
    <t>在售的全新宋max ev（纯电动）智行限量版，采用6座布局，补贴后指导价17.98万元起。有媒体获得了一组疑似新款比亚迪宋max ev的图片。新车主要针对前格栅和雾灯区进行了调整，相比现款更加贴近于新能源车型的设计风格。    现款宋max ev的车身长宽高分别为4680×1810×1690mm，轴</t>
  </si>
  <si>
    <t>投诉编号：【448465】  投诉时间： 2020-02-24 12:51  投诉品牌： 长安汽车  投诉车系： 凌轩  投诉车型： 2017款 1.6L 手动 幸福型        投诉内容  长安凌轩悬挂故障导致车子变形，售后不管，我提出更换车架子不给换，同意第三方鉴定后，要求我在协议上写明我自</t>
  </si>
  <si>
    <t>2020/02/24 12:51:00</t>
  </si>
  <si>
    <t>　　近日，我们从外媒获悉到一组大众cc r的谍照。cc从第一代开始就被誉为最美大众车，但cc在国内只提供了普通家用轿车的动力，对动力有更多需求的消费者得不到满足。随着cc r的推出，对动力感到不满，但又喜欢cc外观造型的消费者这次可以选择cc r了。　　大众此次推出的cc r在外观上与普通版的cc区</t>
  </si>
  <si>
    <t>近日，我们从外媒获悉到一组大众cc r的谍照。cc从第一代开始就被誉为最美大众车，但cc在国内只提供了普通家用轿车的动力，对动力有更多需求的消费者得不到满足。随着cc r的推出，对动力感到不满，但又喜欢cc外观造型的消费者这次可以选择cc r了。    大众此次推出的cc r在外观上与普通版的cc区</t>
  </si>
  <si>
    <t>　　近日，有媒体了解到，科尼赛克举行了一场私人展会，展示了至少5款车型，其中包含一款代号为kg12的全新车型。据悉，新车或将限量300台发售，并有望在日内瓦车展亮相。　　据看到全新车型的人士称，该车采用了环绕式挡风玻璃、玻璃发动机罩设计，还配有两面同步螺旋门。此外，这款全新车型将加入电器化动力系统，</t>
  </si>
  <si>
    <t>2020/02/24 12:49:00</t>
  </si>
  <si>
    <t>近日，有媒体了解到，科尼赛克举行了一场私人展会，展示了至少5款车型，其中包含一款代号为kg12的全新车型。据悉，新车或将限量300台发售，并有望在日内瓦车展亮相。    据看到全新车型的人士称，该车采用了环绕式挡风玻璃、玻璃发动机罩设计，还配有两面同步螺旋门。此外，这款全新车型将加入电器化动力系统，</t>
  </si>
  <si>
    <t xml:space="preserve">　　近日，我们从外媒获悉到一组大众tiguanr的谍照。海外版的tiguan在国产化后也就是国内的途观，它一直以来都是合资中型suv的销量冠军，如今曝光的tiguan r车型在未来将满足对动力有更高要求的消费者。　　作为一款家喻户晓的车型，tiguan r没有使用任何的伪装，这也意味着tiguan </t>
  </si>
  <si>
    <t>2020/02/24 12:48:00</t>
  </si>
  <si>
    <t xml:space="preserve">近日，我们从外媒获悉到一组大众tiguanr的谍照。海外版的tiguan在国产化后也就是国内的途观，它一直以来都是合资中型suv的销量冠军，如今曝光的tiguan r车型在未来将满足对动力有更高要求的消费者。    作为一款家喻户晓的车型，tiguan r没有使用任何的伪装，这也意味着tiguan </t>
  </si>
  <si>
    <t>　　据海外媒体报道，宝马m340d xdrive将在日内瓦车展上首发。同时发布的还有改款车型的旅行车版本。预计这两款车将于今年四月正式上市。售价从64550欧元（约合49.17万元人民币）起，轿车版本比旅行车版本便宜1300欧元（约合9903元人民币）。　　这是宝马首次为3系高性能版本配备柴油发动机</t>
  </si>
  <si>
    <t>2020/02/24 12:47:00</t>
  </si>
  <si>
    <t>据海外媒体报道，宝马m340d xdrive将在日内瓦车展上首发。同时发布的还有改款车型的旅行车版本。预计这两款车将于今年四月正式上市。售价从64550欧元（约合49.17万元人民币）起，轿车版本比旅行车版本便宜1300欧元（约合9903元人民币）。    这是宝马首次为3系高性能版本配备柴油发动机</t>
  </si>
  <si>
    <t>　　据国外媒体报道，奔驰公司近日公布了gls车型的售价。据悉，全新奔驰gls车型的起售价为75040英镑（折合人民币约68万元），预计将在春天开始在英国市场开始销售。　　全新奔驰gls车型为第三代车型，奔驰在2007年推出了第一代gls车型，该车型基于奔驰ml suv打造，是面向七座suv市场推出的</t>
  </si>
  <si>
    <t>2020/02/24 12:45:00</t>
  </si>
  <si>
    <t>据国外媒体报道，奔驰公司近日公布了gls车型的售价。据悉，全新奔驰gls车型的起售价为75040英镑（折合人民币约68万元），预计将在春天开始在英国市场开始销售。    全新奔驰gls车型为第三代车型，奔驰在2007年推出了第一代gls车型，该车型基于奔驰ml suv打造，是面向七座suv市场推出的</t>
  </si>
  <si>
    <t>　　日前，据海外媒体报道，此前，雷克萨斯对外发布过lc500的概念车，据悉，雷克萨斯lc500敞篷版将在日内瓦车展上首发亮相，新车将搭载5.0升v8自然吸气发动机。目前，官方还未发布新车售价。　　雷克萨斯lc500敞篷版车型兼具优雅的外观和强劲的动力。除搭载动力强劲的发动机外，还在后轴位置装配有输出</t>
  </si>
  <si>
    <t>2020/02/24 12:44:00</t>
  </si>
  <si>
    <t>日前，据海外媒体报道，此前，雷克萨斯对外发布过lc500的概念车，据悉，雷克萨斯lc500敞篷版将在日内瓦车展上首发亮相，新车将搭载5.0升v8自然吸气发动机。目前，官方还未发布新车售价。    雷克萨斯lc500敞篷版车型兼具优雅的外观和强劲的动力。除搭载动力强劲的发动机外，还在后轴位置装配有输出</t>
  </si>
  <si>
    <t xml:space="preserve">投诉编号：【448462】  投诉时间： 2020-02-24 12:41  投诉品牌： 一汽吉林  投诉车系： 森雅R7  投诉车型： 2017款 1.6L 自动 智能型        投诉内容  一汽吉林森雅R7发动机冷却水泵无货，冷却水泵坏了噪音很大很大半年前去登记配件到现在都没有货。    </t>
  </si>
  <si>
    <t>2020/02/24 12:41:00</t>
  </si>
  <si>
    <t>因为疫情原因无法处理故障能延长延保期吗？</t>
  </si>
  <si>
    <t>2020/02/24 12:40:39</t>
  </si>
  <si>
    <t>请问一下点火发动转速无信号是什么意思？</t>
  </si>
  <si>
    <t>16年5月上市，哪位网友有GS换代的消息，期待换代颜值！</t>
  </si>
  <si>
    <t>据国外媒体报道，路特斯（莲花）公司旗下的全新evija车型即将投产。为了生产这款全新车型，路特斯公司建造了全新的生产线。    全新路特斯evija车型将在全新的工厂和生存线上生产。路特斯公司在其总部的2.2英里测试跑道旁建造了一个新的工厂。路特斯公司将生产130辆量产版evija，所有这些车已经卖</t>
  </si>
  <si>
    <t>2020/02/24 12:40:00</t>
  </si>
  <si>
    <t>　　据国外媒体报道，路特斯（莲花）公司旗下的全新evija车型即将投产。为了生产这款全新车型，路特斯公司建造了全新的生产线。　　全新路特斯evija车型将在全新的工厂和生存线上生产。路特斯公司在其总部的2.2英里测试跑道旁建造了一个新的工厂。路特斯公司将生产130辆量产版evija，所有这些车已经卖</t>
  </si>
  <si>
    <t>据国外媒体报道，现代和起亚两家公司在本周联合发布了首款带有预测换挡功能的变速器，并将该款变速箱称为信息互联变速系统（ict）。    新的变速器技术从本质上来说，能使车辆在识别前方道路和交通状况后自动切换至最佳档位。车辆识别道路时使用的数据来自车载摄像头、雷达以及3d导航系统。    目前，被称为“</t>
  </si>
  <si>
    <t>2020/02/24 12:39:00</t>
  </si>
  <si>
    <t>　　据国外媒体报道，现代和起亚两家公司在本周联合发布了首款带有预测换挡功能的变速器，并将该款变速箱称为信息互联变速系统（ict）。　　新的变速器技术从本质上来说，能使车辆在识别前方道路和交通状况后自动切换至最佳档位。车辆识别道路时使用的数据来自车载摄像头、雷达以及3d导航系统。　　目前，被称为“智能</t>
  </si>
  <si>
    <t>2月24日，雷克萨斯官方宣布旗下高端mpv车型——雷克萨斯lm正式上市，雷克萨斯lm 300h共推出两款车型，包括七座隽雅版及四座御世版，售价分别为116.6万元和146.6万元。尤其四座御世版，有着奢华的内装和丰富的舒适配置；动力方面，雷克萨斯lm 300h搭载2.5l自然吸气发动机 永磁同步电机</t>
  </si>
  <si>
    <t>2020/02/24 12:38:00</t>
  </si>
  <si>
    <t>　　2月24日，雷克萨斯官方宣布旗下高端mpv车型――雷克萨斯lm正式上市，雷克萨斯lm 300h共推出两款车型，包括七座隽雅版及四座御世版，售价分别为116.6万元和146.6万元。尤其四座御世版，有着奢华的内装和丰富的舒适配置；动力方面，雷克萨斯lm 300h搭载2.5l自然吸气发动机 永磁同步</t>
  </si>
  <si>
    <t>请问师傅车速传感器在哪里？是否曲轴传感器？</t>
  </si>
  <si>
    <t>2020/02/24 12:36:45</t>
  </si>
  <si>
    <t>　　project vector概念车采用未来自动驾驶电动车平台打造，具有无与伦比的内部空间和十分灵活的车辆配置，向人们展示了一种先进技术、空间组合变化多样的多用途电动车，并能实现自动驾驶，可为当今的城市交通挑战提供解决方案。　　全新project vector概念车是在捷豹路虎位于英国考文垂的国家</t>
  </si>
  <si>
    <t>2020/02/24 12:34:00</t>
  </si>
  <si>
    <t>project vector概念车采用未来自动驾驶电动车平台打造，具有无与伦比的内部空间和十分灵活的车辆配置，向人们展示了一种先进技术、空间组合变化多样的多用途电动车，并能实现自动驾驶，可为当今的城市交通挑战提供解决方案。    全新project vector概念车是在捷豹路虎位于英国考文垂的国家</t>
  </si>
  <si>
    <t>　　近日获悉，零跑t03有望于4月上市发售。作为一款微型电动车，零跑t03采用小巧可爱的设计路线，nedc综合续航里程分为300km及400km两种版本。　　外观方面，零跑t03采用了非常可爱的设计风格，大量的圆形元素有望获得更多女性消费者的青睐。细节方面，其采用了电动车常备的封闭式前格栅，椭圆形的</t>
  </si>
  <si>
    <t>2020/02/24 12:31:00</t>
  </si>
  <si>
    <t>近日获悉，零跑t03有望于4月上市发售。作为一款微型电动车，零跑t03采用小巧可爱的设计路线，nedc综合续航里程分为300km及400km两种版本。    外观方面，零跑t03采用了非常可爱的设计风格，大量的圆形元素有望获得更多女性消费者的青睐。细节方面，其采用了电动车常备的封闭式前格栅，椭圆形的</t>
  </si>
  <si>
    <t>投诉编号：【448461】投诉时间：2020-02-2412:22投诉品牌：吉利汽车投诉车系：远景投诉车型：2018款1.5L手动幸福版投诉内容买来半年左右的时候前后保险杠漆面起泡和车门几个绣点，现在车门生锈，四个车门都有，才一年左右的车子，这质量太差了，希望可以帮我解决，谢谢！投诉回复车质网已将您</t>
  </si>
  <si>
    <t>2020/02/24 12:22:00</t>
  </si>
  <si>
    <t>投诉编号：【448458】  投诉时间： 2020-02-24 11:59  投诉品牌： 广汽本田  投诉车系： 奥德赛  投诉车型： 2017款 2.4L CVT 豪华版        投诉内容  4s店说是每个人开法不一样，难道4s店的人去开就不抖了吗？接受不了。      投诉回复  车质网已</t>
  </si>
  <si>
    <t>2020/02/24 11:59:00</t>
  </si>
  <si>
    <t>投诉编号：【448457】  投诉时间： 2020-02-24 11:54  投诉品牌： 江铃福特  投诉车系： 全顺  投诉车型： 2017款 2.0T 多功能商用车 中轴 中顶 国V 柴油        投诉内容  江铃福特全顺冷车启动离合器异响希望处理，已经影响正常使用了。      投诉回复</t>
  </si>
  <si>
    <t>2020/02/24 11:54:00</t>
  </si>
  <si>
    <t>　　作为美国最畅销的车型，福特f-150系列即将迎来其第十三代车型。日前，全新一代f-150的原型车已经在美国密歇根州东南部的公共道路上开始测试，让我们抢先了解一下。　　从此次曝光的谍照来看，新车的前后均出现了较大的变化。前脸最大的变化是格栅和大灯，它们并没有经过任何伪装，可以看到两者的造型都经过了</t>
  </si>
  <si>
    <t>倪同伟</t>
  </si>
  <si>
    <t>2020/02/24 11:39:00</t>
  </si>
  <si>
    <t>作为美国最畅销的车型，福特f-150系列即将迎来其第十三代车型。日前，全新一代f-150的原型车已经在美国密歇根州东南部的公共道路上开始测试，让我们抢先了解一下。    从此次曝光的谍照来看，新车的前后均出现了较大的变化。前脸最大的变化是格栅和大灯，它们并没有经过任何伪装，可以看到两者的造型都经过了</t>
  </si>
  <si>
    <t>投诉编号：【448454】
    投诉时间： 2020-02-24 11:26
    投诉品牌： 北京现代
    投诉车系： 胜达
    投诉车型： 2019款 380 TGDi TOP 自动 四驱 旗北京现代胜达电瓶厂家不发配件希望处理</t>
  </si>
  <si>
    <t>2020/02/24 11:38:03</t>
  </si>
  <si>
    <t>投诉编号：【448456】  投诉时间： 2020-02-24 11:38  投诉品牌： 华晨中华  投诉车系： 中华V6  投诉车型： 2018款 1.5T 手动 豪华型        投诉内容  发动机加不起油，冒黑烟，进气管窜机油，厂家及4S店态度恶劣      投诉回复  车质网已将您的投诉</t>
  </si>
  <si>
    <t>2020/02/24 11:38:00</t>
  </si>
  <si>
    <t>尽管全球销量持续下滑，但是考虑到370z跑车对于品牌形象的重要性，日产仍打算让其继续服役，并计划推出全新一代车型（或称为390z）。不过，新车的定位可能会有所改变，日产考虑将其推向高端市场，加大尺寸并提升性能，gt风格应运而生。    由独立设计师dan paduraru发表的效果图率先展示了全新一</t>
  </si>
  <si>
    <t>2020/02/24 11:37:00</t>
  </si>
  <si>
    <t>　　尽管全球销量持续下滑，但是考虑到370z跑车对于品牌形象的重要性，日产仍打算让其继续服役，并计划推出全新一代车型（或称为390z）。不过，新车的定位可能会有所改变，日产考虑将其推向高端市场，加大尺寸并提升性能，gt风格应运而生。　　由独立设计师dan paduraru发表的效果图率先展示了全新一</t>
  </si>
  <si>
    <t>金嘉麟</t>
  </si>
  <si>
    <t>近日，国外媒体曝光了全新宝马4系车型的效果图。据悉，全新宝马4系将确定使用巨大的双肾形中网。据悉，全新宝马4系车型将有望在三月的日内瓦车展上正式发布。    全新宝马4系车型基于宝马去年在法兰克福车展上发布的concept 4概念车打造。该全新车型最大的变化在于全新的中网设计。全新宝马4系车型使用了</t>
  </si>
  <si>
    <t>2020/02/24 11:36:00</t>
  </si>
  <si>
    <t>　　近日，国外媒体曝光了全新宝马4系车型的效果图。据悉，全新宝马4系将确定使用巨大的双肾形中网。据悉，全新宝马4系车型将有望在三月的日内瓦车展上正式发布。　　全新宝马4系车型基于宝马去年在法兰克福车展上发布的concept 4概念车打造。该全新车型最大的变化在于全新的中网设计。全新宝马4系车型使用了</t>
  </si>
  <si>
    <t>根据海外媒体的最新消息，现代捷恩斯品牌全球负责人威廉·李表示，捷恩斯有可能推出一款G70旅行版车型。如果这款车型获得了生产许可，该全新车型有望在明年上市。　　全新现代杰恩斯G70旅行版车型将基于最新的G70车型打造，这款旅行车线条流畅，具有较大的储物空间，车顶曲线保持了普通款G70的设计，十分动感。</t>
  </si>
  <si>
    <t>2020/02/24 11:35:00</t>
  </si>
  <si>
    <t>根据海外媒体的最新消息，现代捷恩斯品牌全球负责人威廉・李表示，捷恩斯有可能推出一款G70旅行版车型。如果这款车型获得了生产许可，该全新车型有望在明年上市。　　全新现代杰恩斯G70旅行版车型将基于最新的G70车型打造，这款旅行车线条流畅，具有较大的储物空间，车顶曲线保持了普通款G70的设计，十分动感。</t>
  </si>
  <si>
    <t>根据海外媒体的最新消息，现代捷恩斯品牌全球负责人威廉·李表示，捷恩斯有可能推出一款G70旅行版车型。如果这款车型获得了生产许可，该全新车型有望在明年上市。    全新现代杰恩斯G70旅行版车型将基于最新的G70车型打造，这款旅行车线条流畅，具有较大的储物空间，车顶曲线保持了普通款G70的设计，十分动</t>
  </si>
  <si>
    <t>近日，有消息称，长安新能源e-rock预计于今年4月份左右正式上市。作为一款紧凑型纯电动suv，该车在长安cs55 plus的基础上打造而来，在细节处融入了新能源元素。长安汽车官方表示，e-rock的nedc续航里程将会达到605km。    在外观上，新车与cs55 plus有颇多相似之处：与大灯</t>
  </si>
  <si>
    <t>2020/02/24 11:32:00</t>
  </si>
  <si>
    <t>　　近日，有消息称，长安新能源e-rock预计于今年4月份左右正式上市。作为一款紧凑型纯电动suv，该车在长安cs55 plus的基础上打造而来，在细节处融入了新能源元素。长安汽车官方表示，e-rock的nedc续航里程将会达到605km。　　在外观上，新车与cs55 plus有颇多相似之处：与大灯</t>
  </si>
  <si>
    <t>刘航</t>
  </si>
  <si>
    <t>投诉编号：【448455】  投诉时间： 2020-02-24 11:31  投诉品牌： 上汽大众  投诉车系： 途岳  投诉车型： 2019款 280TSI 两驱 豪华版 国V        投诉内容  车辆发动机舱左前方在低速行驶时有共振，特别是在30到60码时，共振较明显。      投诉回复</t>
  </si>
  <si>
    <t>2020/02/24 11:31:00</t>
  </si>
  <si>
    <t>2022年推出 林肯新电动SUV将"借腹产子"</t>
  </si>
  <si>
    <t>几天前我们曾经报道过，林肯即将今年停产mkz轿车，并计划和电动车公司rivian合作推出全新电动车型来替代的消息。除此之外，林肯的suv车型也将有望与该公司合作2022年推出。林肯电动suv假想图    近日，外媒根据信息绘制了一张林肯电动suv的假想图，该车和林肯飞行家、rivian r1s电动7</t>
  </si>
  <si>
    <t>2020/02/24 11:30:00</t>
  </si>
  <si>
    <t>　　几天前我们曾经报道过，林肯即将今年停产mkz轿车，并计划和电动车公司rivian合作推出全新电动车型来替代的消息。除此之外，林肯的suv车型也将有望与该公司合作2022年推出。林肯电动suv假想图　　近日，外媒根据信息绘制了一张林肯电动suv的假想图，该车和林肯飞行家、rivian r1s电动7</t>
  </si>
  <si>
    <t>近日，有海外媒体发布了全新凯迪拉克凯雷德的双门版假想图。不过鉴于凯雷德的定位，所以双门版车型并不会作为量产车型出现，但是最为定制版或者特别版倒是有些希望。    双门版凯雷德假想图    四门版凯雷德    作为一款标准轴距车身长度5359mm，长轴距版车身长度5763mm的全尺寸suv，双门版的凯</t>
  </si>
  <si>
    <t>2020/02/24 11:28:00</t>
  </si>
  <si>
    <t>　　近日，有海外媒体发布了全新凯迪拉克凯雷德的双门版假想图。不过鉴于凯雷德的定位，所以双门版车型并不会作为量产车型出现，但是最为定制版或者特别版倒是有些希望。    双门版凯雷德假想图    四门版凯雷德　　作为一款标准轴距车身长度5359mm，长轴距版车身长度5763mm的全尺寸suv，双门版的凯</t>
  </si>
  <si>
    <t>在最新一批工信部新能源汽车推广目录中，吉利新能源发布了两款几何c车型的信息，两者nedc综合续航里程分别为400km以及520km。    从申报信息来看，几何c电机最大功率为204马力，最大扭矩310n·m，最高车速为150km/h。不同的是，该车分为400km续航和520km续航。其中前者（40</t>
  </si>
  <si>
    <t>2020/02/24 11:27:00</t>
  </si>
  <si>
    <t>　　在最新一批工信部新能源汽车推广目录中，吉利新能源发布了两款几何c车型的信息，两者nedc综合续航里程分别为400km以及520km。　　从申报信息来看，几何c电机最大功率为204马力，最大扭矩310n・m，最高车速为150km/h。不同的是，该车分为400km续航和520km续航。其中前者（40</t>
  </si>
  <si>
    <t>日前，意大利著名超级跑车制造商帕加尼发布了以圣马力诺伊莫拉（imola）赛道命名的帕加尼huayra imola的官方照片。据悉，该款车型的最大输出功率将达到827马力，堪称帕加尼历史上动力最强的超级跑车。帕加尼huayra imola的单车不含税售价为500万欧元（约合3785万人民币），只限量生</t>
  </si>
  <si>
    <t>2020/02/24 11:26:00</t>
  </si>
  <si>
    <t>　　日前，意大利著名超级跑车制造商帕加尼发布了以圣马力诺伊莫拉（imola）赛道命名的帕加尼huayra imola的官方照片。据悉，该款车型的最大输出功率将达到827马力，堪称帕加尼历史上动力最强的超级跑车。帕加尼huayra imola的单车不含税售价为500万欧元（约合3785万人民币），只限</t>
  </si>
  <si>
    <t>日前，有海外媒体拍摄到了一组现代45概念车的测试车谍照，新车有望在2021年发布。据悉，该车首发于2019年的法兰克福车展，因其c柱采用了45°设计，因此被命名为45。    45概念车作为纪念现代pony coupe概念车发布45周年的车型发布，其定位紧凑级电动suv。从谍照来看，现代45电动车的</t>
  </si>
  <si>
    <t>2020/02/24 11:25:00</t>
  </si>
  <si>
    <t>　　日前，有海外媒体拍摄到了一组现代45概念车的测试车谍照，新车有望在2021年发布。据悉，该车首发于2019年的法兰克福车展，因其c柱采用了45°设计，因此被命名为45。　　45概念车作为纪念现代pony coupe概念车发布45周年的车型发布，其定位紧凑级电动suv。从谍照来看，现代45电动车的</t>
  </si>
  <si>
    <t>在工信部最新一批新能源汽车推广目录中，荣威发布了其新款ei6的消息，从信息来看该车在nedc标准下的综合续航里程为605km。另外，由于官方此前表示将在4月北京车展中发布，但是由于车展延期原因，所以该车尚不明确何时发布。    荣威ei6是i6的纯电动版本，其长宽高分别为4724/1835/1493</t>
  </si>
  <si>
    <t>2020/02/24 11:22:00</t>
  </si>
  <si>
    <t>　　在工信部最新一批新能源汽车推广目录中，荣威发布了其新款ei6的消息，从信息来看该车在nedc标准下的综合续航里程为605km。另外，由于官方此前表示将在4月北京车展中发布，但是由于车展延期原因，所以该车尚不明确何时发布。　　荣威ei6是i6的纯电动版本，其长宽高分别为4724/1835/1493</t>
  </si>
  <si>
    <t>日前，外媒曝光了菲亚特全新皮卡汽车官图，该车将命名为strada。菲亚特strada主要为南美市场打造，动力方面将搭载1.3l/1.4l发动机，预计新车下月开始接受预定。    从菲亚特strada的官图中，可以看出它的外观有着菲亚特toro设计风格的影子，但整体更为时尚。整车线条比较硬朗，前脸处的</t>
  </si>
  <si>
    <t>2020/02/24 11:21:00</t>
  </si>
  <si>
    <t>　　日前，外媒曝光了菲亚特全新皮卡汽车官图，该车将命名为strada。菲亚特strada主要为南美市场打造，动力方面将搭载1.3l/1.4l发动机，预计新车下月开始接受预定。　　从菲亚特strada的官图中，可以看出它的外观有着菲亚特toro设计风格的影子，但整体更为时尚。整车线条比较硬朗，前脸处的</t>
  </si>
  <si>
    <t>在今年3月的日内瓦车展，现代即将发布全新i20车型。日前，该车的官图先行发布；新车采用的是“sensuous sportiness”（感性运动）设计语言，并配备两块10.25英寸液晶显示屏。    新车知识点    1.更精致的外观设计    全新一代i20采用的是“sensuous sportin</t>
  </si>
  <si>
    <t>2020/02/24 11:20:00</t>
  </si>
  <si>
    <t>　　在今年3月的日内瓦车展，现代即将发布全新i20车型。日前，该车的官图先行发布；新车采用的是“sensuous sportiness”（感性运动）设计语言，并配备两块10.25英寸液晶显示屏。　　新车知识点　　1.更精致的外观设计　　全新一代i20采用的是“sensuous sportiness”</t>
  </si>
  <si>
    <t>郝凡/leo</t>
  </si>
  <si>
    <t>近日，丰田发布了一款全新车型的预告图，该车将传统suv与小型轿车相结合的跨界款车型，暂时被命名为“b-suv”。虽然欧洲已经被各类小型跨界车市场充斥，但丰田依然打算在3月的日内瓦车展上发布。    从预告图来看，新款丰田b-suv在后挡板下方的两个标识和蓝色的toyota徽章，意味这该款车型可能是四</t>
  </si>
  <si>
    <t>2020/02/24 11:18:00</t>
  </si>
  <si>
    <t>　　近日，丰田发布了一款全新车型的预告图，该车将传统suv与小型轿车相结合的跨界款车型，暂时被命名为“b-suv”。虽然欧洲已经被各类小型跨界车市场充斥，但丰田依然打算在3月的日内瓦车展上发布。　　从预告图来看，新款丰田b-suv在后挡板下方的两个标识和蓝色的toyota徽章，意味这该款车型可能是四</t>
  </si>
  <si>
    <t>1月初，本田推出了2020 civic type r，并在几周前在北美芝加哥车展上首次亮相。 建议零售价为36,995美元，比上一年增加695美元。加上955美元的强制目的地运费，在进行选装前的整体费用为37,950美元。    由于本田通过优化调整悬架来提高civic type r的操控性以及提升</t>
  </si>
  <si>
    <t>2020/02/24 11:17:00</t>
  </si>
  <si>
    <t>　　1月初，本田推出了2020 civic type r，并在几周前在北美芝加哥车展上首次亮相。 建议零售价为36,995美元，比上一年增加695美元。加上955美元的强制目的地运费，在进行选装前的整体费用为37,950美元。　　由于本田通过优化调整悬架来提高civic type r的操控性以及提升</t>
  </si>
  <si>
    <t>潘现阳</t>
  </si>
  <si>
    <t>投诉编号：【448451】
    投诉时间： 2020-02-24 11:16
    投诉品牌： 上汽大众
    投诉车系： 朗逸
    投诉车型： 2017款 1.6L 自动 风尚版维修之后发现后面悬挂件变形不处理</t>
  </si>
  <si>
    <t>2020/02/24 11:16:22</t>
  </si>
  <si>
    <t>近日，根据美国epa发布的最新数据来看，2020款特斯拉model y performance满电状态下续航里程可达505km，这与最初发布的450km续航相比多出50km，并于今年3月交付第一批新车。    据了解，epa方面明确表示，model y在使用全轮驱动的工况下，最大epa续航里程也能达</t>
  </si>
  <si>
    <t>2020/02/24 11:15:00</t>
  </si>
  <si>
    <t>　　近日，根据美国epa发布的最新数据来看，2020款特斯拉model y performance满电状态下续航里程可达505km，这与最初发布的450km续航相比多出50km，并于今年3月交付第一批新车。　　据了解，epa方面明确表示，model y在使用全轮驱动的工况下，最大epa续航里程也能达</t>
  </si>
  <si>
    <t>郑鹏展</t>
  </si>
  <si>
    <t>投诉编号：【448450】  投诉时间： 2020-02-24 11:14  投诉品牌： 猎豹汽车  投诉车系： 猎豹CS10  投诉车型： 2017款 2.0T 自动 都市型        投诉内容  2019年6月份确定方向机异响 ，发起索赔至今 都还没更换 咨询服务维修服务站给到的答复是他们也</t>
  </si>
  <si>
    <t>2020/02/24 11:14:00</t>
  </si>
  <si>
    <t>近日，有海外媒体报道，新款现代i30将搭载全新的1.5t涡轮增压发动机，并匹配8速双离合变速箱。作为中期改款车型，新款i30将在3月3日开幕的2020年日内瓦车展中首发。    外观方面，官方此前发布了新款i30 n line车型的预告图。通过图片可以看到，新车采用最新的家族化设计语言，大灯组也经过</t>
  </si>
  <si>
    <t>2020/02/24 11:11:00</t>
  </si>
  <si>
    <t>　　近日，有海外媒体报道，新款现代i30将搭载全新的1.5t涡轮增压发动机，并匹配8速双离合变速箱。作为中期改款车型，新款i30将在3月3日开幕的2020年日内瓦车展中首发。　　外观方面，官方此前发布了新款i30 n line车型的预告图。通过图片可以看到，新车采用最新的家族化设计语言，大灯组也经过</t>
  </si>
  <si>
    <t>邱振威</t>
  </si>
  <si>
    <t>日前，西雅特发布了纯电动赛车cupra e-racer的官图，该车针对2021年开始的etcr赛事开发，搭载了四个电动机。    这款赛车的外观设计元素源于cupra leon，但由于采用了纯电驱动，该车减少了大量进气结构，在车身造型上能最大限度地照顾空气动力学性能进行设计。更平滑的车身线条只为拥有</t>
  </si>
  <si>
    <t>2020/02/24 11:10:00</t>
  </si>
  <si>
    <t>　　日前，西雅特发布了纯电动赛车cupra e-racer的官图，该车针对2021年开始的etcr赛事开发，搭载了四个电动机。　　这款赛车的外观设计元素源于cupra leon，但由于采用了纯电驱动，该车减少了大量进气结构，在车身造型上能最大限度地照顾空气动力学性能进行设计。更平滑的车身线条只为拥有</t>
  </si>
  <si>
    <t>日前，我们从相关渠道获悉了宝马最新的电动车产品规划。其中，中型纯电动suv——ix3将于今年年底量产上市，宝马i系全新车型宝马i4概念车将会在2020年日内瓦车展上亮相，而该车量产车型以及宝马inext概念车的量产版车型都将在2021年正式发布。    宝马ix3    年内上市/wltp工况续航4</t>
  </si>
  <si>
    <t>2020/02/24 11:09:00</t>
  </si>
  <si>
    <t>　　日前，我们从相关渠道获悉了宝马最新的电动车产品规划。其中，中型纯电动suv――ix3将于今年年底量产上市，宝马i系全新车型宝马i4概念车将会在2020年日内瓦车展上亮相，而该车量产车型以及宝马inext概念车的量产版车型都将在2021年正式发布。　　宝马ix3　　年内上市/wltp工况续航440</t>
  </si>
  <si>
    <t>相信不少朋友对于czinger这个品牌十分陌生。czinger是一个美国初创超跑公司，其总部位于美国洛杉矶。近日该公司正式公布了旗下首款超跑czinger c21的官方图，此前消息称，这款新车将于日内瓦车展正式亮相。    czinger c21的车身结构大量采用碳纤维材料，其驾驶舱内的两个座椅如同</t>
  </si>
  <si>
    <t>2020/02/24 11:07:00</t>
  </si>
  <si>
    <t>　　相信不少朋友对于czinger这个品牌十分陌生。czinger是一个美国初创超跑公司，其总部位于美国洛杉矶。近日该公司正式公布了旗下首款超跑czinger c21的官方图，此前消息称，这款新车将于日内瓦车展正式亮相。　　czinger c21的车身结构大量采用碳纤维材料，其驾驶舱内的两个座椅如同</t>
  </si>
  <si>
    <t>近日，英国跑车制造商apex公司继推出ap-1超跑后，即将于今年3月5日开幕的2020日内瓦车展上推出一款全新纯电动超跑——ap-0。据悉，新车将采用纯碳纤维座舱，其整备质量仅为1200公斤。    根据目前已知消息，此款车型是由前宝马、沃克斯豪尔和大宇公司的设计盖伊?科尔伯恩领导的工程师团队在英国</t>
  </si>
  <si>
    <t>2020/02/24 11:06:00</t>
  </si>
  <si>
    <t>　　近日，英国跑车制造商apex公司继推出ap-1超跑后，即将于今年3月5日开幕的2020日内瓦车展上推出一款全新纯电动超跑――ap-0。据悉，新车将采用纯碳纤维座舱，其整备质量仅为1200公斤。　　根据目前已知消息，此款车型是由前宝马、沃克斯豪尔和大宇公司的设计盖伊?科尔伯恩领导的工程师团队在英国</t>
  </si>
  <si>
    <t>　　近日，有海外媒体曝出，全新一代宝马7系纯电版或将提供80kw・h和120kw・h两种容量的动力电池，分别命名为i7和i7s，其中120kw・h版本续航里程有望突破698.5km。　　据悉，全新一代宝马7系目前还处于早期开发阶段，因此目前还无具体谍照，不过可以确定的是，新车将于2020年正式推出。</t>
  </si>
  <si>
    <t>2020/02/24 11:05:00</t>
  </si>
  <si>
    <t>近日，有海外媒体曝出，全新一代宝马7系纯电版或将提供80kw·h和120kw·h两种容量的动力电池，分别命名为i7和i7s，其中120kw·h版本续航里程有望突破698.5km。    据悉，全新一代宝马7系目前还处于早期开发阶段，因此目前还无具体谍照，不过可以确定的是，新车将于2020年正式推出。</t>
  </si>
  <si>
    <t>　　不久前，2020款一汽-大众探歌正式上市，售价区间为13.58-20.38万元，相比2019款在设计和配置上都有所调整。若您已经打算购买探歌，一定会发现其全系有11款车型可选，那么哪款探歌最值得购买呢？品牌专家将会给您提供合理的购买建议：　　大众尾标带字母的段子早已深入人心，所以大众也很乐意在新</t>
  </si>
  <si>
    <t>小面糊</t>
  </si>
  <si>
    <t>2020/02/24 11:03:00</t>
  </si>
  <si>
    <t>“日产将在2-3年内破产。”日产前执行长戈恩以如同电影的方式潜逃出境后，持续不断公开放话。近日其辩护律师说，戈恩在逃出日本前，即已表示日产将在2到3年内破产，但并没有说明其原因。这句话一经传出引起了广泛热议，而绝大多数人觉得戈恩只不过是在胡说八道。日产作为全球最大的汽车厂商之一，怎么可能会在短短的3</t>
  </si>
  <si>
    <t>2020/02/24 10:59:00</t>
  </si>
  <si>
    <t>日产 破产？“日产将在2-3年内破产。”日产前执行长戈恩以如同电影的方式潜逃出境后，持续不断公开放话。近日其辩护律师说，戈恩在逃出日本前，即已表示日产将在2到3年内破产，但并没有说明其原因。这句话一经传出引起了广泛热议，而绝大多数人觉得戈恩只不过是在胡说八道。日产作为全球最大的汽车厂商之一，怎么可能</t>
  </si>
  <si>
    <t>　　在大家的固化印象中，自主车型的优点特别无非是配置丰富和价格便宜，不，现在我们的想法需要改变了。自主车型在其他方面也做的非常不错，甚至超越了合资品牌。比如去年年底上市的车型-长安欧尚x7，在“汽车三大件”上就有重大突破，此前我们已经详细讲解了底盘和发动机，今天我们就来聊聊动力传动的灵魂-变速器。　</t>
  </si>
  <si>
    <t>马文杰</t>
  </si>
  <si>
    <t>2020/02/24 10:58:00</t>
  </si>
  <si>
    <t>我一直认为菲斯塔是北京现代”感性运动“设计语言中最特点的一个，也是整车比例最协调的一个。虽然la festa这个名字取自于意大利语，但总是透着一股法系的浪漫，天生自带热情活力和自由奔放的属性。菲斯塔纯电动的“性格”也是如此，只不过在细节之处有着一些自己的理解，至于相比菲斯塔燃油版是内敛了还是更凶猛了</t>
  </si>
  <si>
    <t>2020/02/24 10:56:00</t>
  </si>
  <si>
    <t>　　我一直认为菲斯塔是北京现代”感性运动“设计语言中最特点的一个，也是整车比例最协调的一个。虽然la festa这个名字取自于意大利语，但总是透着一股法系的浪漫，天生自带热情活力和自由奔放的属性。菲斯塔纯电动的“性格”也是如此，只不过在细节之处有着一些自己的理解，至于相比菲斯塔燃油版是内敛了还是更凶</t>
  </si>
  <si>
    <t>I齐鹏I</t>
  </si>
  <si>
    <t>2020年1月，易车联合北京理工大学电动车辆国家工程实验室(该实验室是国内最早从事电动车辆研究的单位，是国家电动车行业标准制定者之一)，对东风本田首款纯电动suv车型——x-nv进行了性能测试。就x-nv的动力性能、操控性能、三电系统进行了严苛的分析和测试。作为东风本田的品牌专家，我也参与其中，对东</t>
  </si>
  <si>
    <t>2020/02/24 10:55:00</t>
  </si>
  <si>
    <t>随着汽车成为我们生活中越来越重要的交通代步工具，很多人都开始给自己配备上了一辆车，这也是为了出行相对方便一些。在买完车之后，不少人出于新买物品的心理，都是相当爱护的，就是害怕出现一些磕碰，到时候车主肯定会相当心疼。除此之外，对汽车的养护清洗也是一个方面，有的人经常性地去洗车，有些人则是很长时间也不见</t>
  </si>
  <si>
    <t>这是很多人关心的一个问题，由于日常的应酬和聚会，喝酒一事总是不能避免；为了不耽误正常的工作和学习，大多数人喜欢在晚餐饮酒，而且还喜欢饮用酒精度数较高的“白酒”，那问题就来了，晚上喝完白酒，第二天早上开车是否还能被测出是酒驾？酒驾的标准如何？白酒是一种常见的酒水，对于它，您各位同样要有一个“公正+洗脑</t>
  </si>
  <si>
    <t>投诉编号：【448449】投诉时间：2020-02-2410:55投诉品牌：奇瑞汽车投诉车系：瑞虎8投诉车型：2019款1.6TGDI自动豪华型投诉内容车辆大灯窄，夜晚开车盲区大，存在极大安全隐患，尤其是晚上很多地方看不清楚，比较危险。投诉回复车质网已将您的投诉转给生产企业以及国家市场监督管理总局缺</t>
  </si>
  <si>
    <t>喝酒后 要过多长时间才能开车？这是很多人关心的一个问题，由于日常的应酬和聚会，喝酒一事总是不能避免；为了不耽误正常的工作和学习，大多数人喜欢在晚餐饮酒，而且还喜欢饮用酒精度数较高的“白酒”，那问题就来了，晚上喝完白酒，第二天早上开车是否还能被测出是酒驾？酒驾的标准如何？白酒是一种常见的酒水，对于它，</t>
  </si>
  <si>
    <t>“一月不洗车”与“经常洗车”两者哪种更伤车？现在知道还来得及随着汽车成为我们生活中越来越重要的交通代步工具，很多人都开始给自己配备上了一辆车，这也是为了出行相对方便一些。在买完车之后，不少人出于新买物品的心理，都是相当爱护的，就是害怕出现一些磕碰，到时候车主肯定会相当心疼。除此之外，对汽车的养护清洗</t>
  </si>
  <si>
    <t>　　2020年1月，易车联合北京理工大学电动车辆国家工程实验室(该实验室是国内最早从事电动车辆研究的单位，是国家电动车行业标准制定者之一)，对东风本田首款纯电动suv车型――x-nv进行了性能测试。就x-nv的动力性能、操控性能、三电系统进行了严苛的分析和测试。作为东风本田的品牌专家，我也参与其中，</t>
  </si>
  <si>
    <t>　　作为一名汽车编辑，针对网友们的不同购车需求，我们究竟是如何pk出最优选项、再向大家做推荐的呢？本文当中，我就来为大家演示一遍这一流程。从收到购车需求，到做出初期判断，再与竞品车型进一步pk…看似简单的选车流程当中，究竟哪些是值得潜在车主们注意的？在本文中我也会重点提及。</t>
  </si>
  <si>
    <t>刘�</t>
  </si>
  <si>
    <t>2020/02/24 10:52:00</t>
  </si>
  <si>
    <t>　　2020年2月24日，雷克萨斯lm正式上市销售。目前发布有两款车型，7座版2020款 300h 隽雅版，厂商建议零售价为人民币116.6万元，4座版2020款 300h 御世版，厂商建议零售价为人民币146.6万元。目前北京地区经销商处尚无现车，按照丰田阿尔法的销售形势，雷克萨斯lm无论是出于稀</t>
  </si>
  <si>
    <t>2020/02/24 10:50:00</t>
  </si>
  <si>
    <t>2020年2月24日，雷克萨斯lm正式上市销售。目前发布有两款车型，7座版2020款 300h 隽雅版，厂商建议零售价为人民币116.6万元，4座版2020款 300h 御世版，厂商建议零售价为人民币146.6万元。目前北京地区经销商处尚无现车，按照丰田阿尔法的销售形势，雷克萨斯lm无论是出于稀少的</t>
  </si>
  <si>
    <t>目前全国进入防控疫情阶段除了要做好个人防护：少出门，勤洗手，戴口罩之外做好汽车消毒也至关重要.一旦车内消毒不及时间接接触也易感染病毒今天，小编就来说说车内消毒这件事哪些部位需要消毒？1、汽车4个门把手、后备厢开关、车钥匙2、座椅和安全带3、方向盘4、挡把5、一键启动、中控等常用按钮6、仪表盘和屏幕7</t>
  </si>
  <si>
    <t>2020/02/24 10:47:00</t>
  </si>
  <si>
    <t>私家车消毒指南 你需要认真看目前全国进入防控疫情阶段除了要做好个人防护：少出门，勤洗手，戴口罩之外做好汽车消毒也至关重要.一旦车内消毒不及时间接接触也易感染病毒今天，小编就来说说车内消毒这件事哪些部位需要消毒？1、汽车4个门把手、后备厢开关、车钥匙2、座椅和安全带3、方向盘4、挡把5、一键启动、中控</t>
  </si>
  <si>
    <t>国产车为什么很少有六缸以上的发动机我们很少在自主品牌研发的车型看到六缸以上的发动机，当然我们也不能一概而论的说没有，早先红旗H7的V6发动机和吉利博越的六缸机还历历在目，包括一汽大众在12年前造出的12缸发动机。但是不得不承认我国的汽车制造水平在更高维度的竞赛上缺少经验，自主的12缸发动机不仅在油耗</t>
  </si>
  <si>
    <t>famous911</t>
  </si>
  <si>
    <t>我们很少在自主品牌研发的车型看到六缸以上的发动机，当然我们也不能一概而论的说没有，早先红旗H7的V6发动机和吉利博越的六缸机还历历在目，包括一汽大众在12年前造出的12缸发动机。但是不得不承认我国的汽车制造水平在更高维度的竞赛上缺少经验，自主的12缸发动机不仅在油耗上比老牌欧美车企高出了很多，动力上</t>
  </si>
  <si>
    <t>开车时“抱着方向盘”等于作死握方向盘的姿势众多，一种是“紧靠方向盘”的，一还有的“躺着开”的。意思是前者离方向盘太近，第二种是向后靠着座椅。▲“抱着方向盘”开车的貌似美眉比较多先不管开车时如何最舒服，而是小编曾经看到过这么一句话：“尽可能远离驾驶员安全气囊”。驾驶员安全气囊安装在方向盘的中心位置，而</t>
  </si>
  <si>
    <t>2020/02/24 10:46:00</t>
  </si>
  <si>
    <t>“抱着方向盘”是最傻的开车姿势开车时“抱着方向盘”等于作死握方向盘的姿势众多，一种是“紧靠方向盘”的，一还有的“躺着开”的。意思是前者离方向盘太近，第二种是向后靠着座椅。▲“抱着方向盘”开车的貌似美眉比较多先不管开车时如何最舒服，而是小编曾经看到过这么一句话：“尽可能远离驾驶员安全气囊”。驾驶员安全</t>
  </si>
  <si>
    <t>怎样开车最省油 这些经验学会一个月省500怎么开车更省油永远是车主们最津津乐道的话题之一，毕竟九涨一跌的油价实在是让普通老百姓越发的吃不消。我自己的老帕萨特还要喝95号油，加之平时用车很多压力真的大，所以熟悉我的朋友都知道我当真是动了买辆电动汽车的念头。关于怎么省油的小技巧网上真的一搜一大把，但是那</t>
  </si>
  <si>
    <t>汽车的车门翼子板这些大件是怎么造出来的汽车制造系统是非常庞大的，汽车上大型的外观件比如前后盖，车门，车顶大多都是来源于冲压车间。今天我就先从汽车的四大工艺的起点——冲压开始聊。汽车的四大工艺先科普一下什么是四大工艺，自从福特1913年发明了流水线，经过一百多年的演化，你今天在一个标准的汽车工厂里至少</t>
  </si>
  <si>
    <t>为什么说买车后悔一时 不买车后悔一辈子有关于到底该不该买车的话题已经被市场热议了很多年，早年间人们生活开始一天天变好之后，无论是城市还是农村都开始了一阵买车热潮，包括结婚陪嫁的标配里至少要有一辆车才显得更有牌面。然而随着交通压力的与日俱增，城市道路一天比一天堵，不仅是大城市的限牌令，某些一线城市更是</t>
  </si>
  <si>
    <t>怎么开车更省油永远是车主们最津津乐道的话题之一，毕竟九涨一跌的油价实在是让普通老百姓越发的吃不消。我自己的老帕萨特还要喝95号油，加之平时用车很多压力真的大，所以熟悉我的朋友都知道我当真是动了买辆电动汽车的念头。关于怎么省油的小技巧网上真的一搜一大把，但是那些个边边角角的细碎知识点真的能省多少油呢？</t>
  </si>
  <si>
    <t>有关于到底该不该买车的话题已经被市场热议了很多年，早年间人们生活开始一天天变好之后，无论是城市还是农村都开始了一阵买车热潮，包括结婚陪嫁的标配里至少要有一辆车才显得更有牌面。然而随着交通压力的与日俱增，城市道路一天比一天堵，不仅是大城市的限牌令，某些一线城市更是一牌难求，车都买了两三年了，拍照还没摇</t>
  </si>
  <si>
    <t>汽车制造系统是非常庞大的，汽车上大型的外观件比如前后盖，车门，车顶大多都是来源于冲压车间。今天我就先从汽车的四大工艺的起点——冲压开始聊。汽车的四大工艺先科普一下什么是四大工艺，自从福特1913年发明了流水线，经过一百多年的演化，你今天在一个标准的汽车工厂里至少能看到四个车间，分别是冲压车间，焊装车</t>
  </si>
  <si>
    <t>2020年2月22日，我们从海外媒体获得了一组奔驰eqa和奔驰eqb的低伪装谍照，未来推出后将与现有的奔驰eqc壮大奔驰eq纯电动“家族”。    本次披露的谍照中，eqa和eqb只有车头和车尾用伪装胶带覆盖，其余的车身则暴露在外。从外形上看，eqa和eqb与全新gla和glb使用相同的车身，并且仅</t>
  </si>
  <si>
    <t>2020/02/24 10:44:00</t>
  </si>
  <si>
    <t>　　2020年2月22日，我们从海外媒体获得了一组奔驰eqa和奔驰eqb的低伪装谍照，未来推出后将与现有的奔驰eqc壮大奔驰eq纯电动“家族”。　　本次披露的谍照中，eqa和eqb只有车头和车尾用伪装胶带覆盖，其余的车身则暴露在外。从外形上看，eqa和eqb与全新gla和glb使用相同的车身，并且仅</t>
  </si>
  <si>
    <t>2020/02/24 10:43:00</t>
  </si>
  <si>
    <t>这是一条能救人命的推送！安全带被称为“生命带”千万不要有侥幸心理不管怎么开车、乘车安全带一定要！系！好！你们真的会在开车/坐车时系好安全带么？据统计我国安全带的使用率连50%都不到。。。。。卡车撞上货车，坐在副驾驶的乘客当场被甩出。上了高速公路还不系安全带，司机在汽车翻滚几圈后被甩飞。碰撞后汽车当场</t>
  </si>
  <si>
    <t>安全带被称为“生命带”千万不要有侥幸心理不管怎么开车、乘车安全带一定要！系！好！你们真的会在开车/坐车时系好安全带么？据统计我国安全带的使用率连50%都不到。。。。。卡车撞上货车，坐在副驾驶的乘客当场被甩出。上了高速公路还不系安全带，司机在汽车翻滚几圈后被甩飞。碰撞后汽车当场散架，司机由于惯性被抛上</t>
  </si>
  <si>
    <t>高速行驶手自一体能否随意切换到手动挡自动挡越来越被市场接受之后，手动挡的粉丝和自动挡的粉丝之间从来都不缺乏战争。我们经常可以看到手动挡成为了“低端车”的代名词，而自动挡亦是被戏谑成“傻子车”。在用户们的口水战中，一个新的产品诞生了——手自一体变速箱。既可以在拥堵复杂的路段实用自动挡，降低驾驶的难度，</t>
  </si>
  <si>
    <t>2020/02/24 10:42:00</t>
  </si>
  <si>
    <t>自动挡越来越被市场接受之后，手动挡的粉丝和自动挡的粉丝之间从来都不缺乏战争。我们经常可以看到手动挡成为了“低端车”的代名词，而自动挡亦是被戏谑成“傻子车”。在用户们的口水战中，一个新的产品诞生了——手自一体变速箱。既可以在拥堵复杂的路段实用自动挡，降低驾驶的难度，又能在高速或者畅通的道路上使用手动挡</t>
  </si>
  <si>
    <t>投诉编号：【448446】投诉时间：2020-02-2410:41投诉品牌：吉利汽车投诉车系：帝豪GS投诉车型：2019款1.4TCVT雅投诉内容新车两百多公里出现发动机故障灯亮，一直亮着，闹心。投诉回复车质网已将您的投诉转给生产企业以及国家市场监督管理总局缺陷产品管理中心，我们将会对此投诉继续跟踪</t>
  </si>
  <si>
    <t>2020/02/24 10:41:00</t>
  </si>
  <si>
    <t>加了高标号汽油反而更省油吗即使在私家车越发普及的今天，关于汽油标号的无谓争论依然充斥在我们的生活中。最最普遍的一个说法就是发动机要求加92号汽油的车辆，如果添加95号汽油，虽然单价更贵了，但是可以省油，总的算起来花费更少。甚至我们能看到很多帖子说是老司机实测，看起来似乎有理有据，但实际上真的是这样吗</t>
  </si>
  <si>
    <t>发动机大修后有可能达到原车品质吗很多车主在爱车使用一定年限之后面临大修发动机的问题，后市场大修发动机的价格参差不齐，但是因为工时太长，基本上没有5位数下不来。最令车主纠结是事情无异于花了那么多钱到底能达到怎样的效果，还能恢复原来的工况和动力吗？很遗憾一开始就要给面临大修发动机的车主泼一盆冷水了，无论</t>
  </si>
  <si>
    <t>即使在私家车越发普及的今天，关于汽油标号的无谓争论依然充斥在我们的生活中。最最普遍的一个说法就是发动机要求加92号汽油的车辆，如果添加95号汽油，虽然单价更贵了，但是可以省油，总的算起来花费更少。甚至我们能看到很多帖子说是老司机实测，看起来似乎有理有据，但实际上真的是这样吗？无论是理论还是实际上，这</t>
  </si>
  <si>
    <t>很多车主在爱车使用一定年限之后面临大修发动机的问题，后市场大修发动机的价格参差不齐，但是因为工时太长，基本上没有5位数下不来。最令车主纠结是事情无异于花了那么多钱到底能达到怎样的效果，还能恢复原来的工况和动力吗？很遗憾一开始就要给面临大修发动机的车主泼一盆冷水了，无论怎样大修后的发动机都没法让人有太</t>
  </si>
  <si>
    <t>送药又送菜 自动驾驶技术在疫情中表现突出2019年，车企们讲了一年的自动驾驶，然而目前量产车中大多车型只能搭载L2级别驾驶辅助系统，离预期中的自动驾驶场景有着云泥之别。对于很多人来说，自动驾驶其实是很遥远的一项技术，这是因为在实际的应用中，自动驾驶受到了太多领域的掣肘，任何一个领域的某一项技术陷入瓶</t>
  </si>
  <si>
    <t>2020/02/24 10:40:00</t>
  </si>
  <si>
    <t>四驱SUV有没有必要买普通的经济型家用车使用的往往都是前驱版本，而一些偏重于运动型的车企也会喜欢造后驱车，比如宝马和凯迪拉克，捷豹等等。而另一部分希望获得更加激进动力的车主开始选择四驱版本的汽车，特别是在SUV的选择是，四驱版本受到了很多车主的追捧。但实际上我个人并不是很推荐四驱版本suv，一方面是</t>
  </si>
  <si>
    <t>2019年，车企们讲了一年的自动驾驶，然而目前量产车中大多车型只能搭载L2级别驾驶辅助系统，离预期中的自动驾驶场景有着云泥之别。对于很多人来说，自动驾驶其实是很遥远的一项技术，这是因为在实际的应用中，自动驾驶受到了太多领域的掣肘，任何一个领域的某一项技术陷入瓶颈，都有可能导致自动驾驶的发展落入瓶颈。</t>
  </si>
  <si>
    <t>普通的经济型家用车使用的往往都是前驱版本，而一些偏重于运动型的车企也会喜欢造后驱车，比如宝马和凯迪拉克，捷豹等等。而另一部分希望获得更加激进动力的车主开始选择四驱版本的汽车，特别是在SUV的选择是，四驱版本受到了很多车主的追捧。但实际上我个人并不是很推荐四驱版本suv，一方面是由于我个人开车并不激进</t>
  </si>
  <si>
    <t>在严格的疫情管控下，目前关于新型冠状病毒的发展已经越来越平稳，相信此次疫情的拐点很快就会到来，对于我们而言，这无疑是个非常好的消息。与此同时，随着疫情减缓，我们不得不考虑到尽早复工的需求，在疫情影响下，有不少企业不断地推迟复工的日期，以保证我们的人身安全。而随着复工期正式到来，也意味着各地城市将迎来</t>
  </si>
  <si>
    <t>2020/02/24 10:39:00</t>
  </si>
  <si>
    <t>疫情期间驾车远距离出行 应该做好哪些准备在严格的疫情管控下，目前关于新型冠状病毒的发展已经越来越平稳，相信此次疫情的拐点很快就会到来，对于我们而言，这无疑是个非常好的消息。与此同时，随着疫情减缓，我们不得不考虑到尽早复工的需求，在疫情影响下，有不少企业不断地推迟复工的日期，以保证我们的人身安全。而随</t>
  </si>
  <si>
    <t>收费站路口的“潜规则” 有多少车主中过招？常走高速的人，上高速就需要过收费站。很多司机都以为收费站就是收费的地方，几乎没人知道收费站都有一些不为人知的潜规则。如果你不知道这些潜规则，就很容易被罚款扣分，起码下面这几种情况，是许多车主很容易就中招的：1、收费站前面下车不仅是收费站口，高速上，任何路段都</t>
  </si>
  <si>
    <t>2020/02/24 10:33:00</t>
  </si>
  <si>
    <t>常走高速的人，上高速就需要过收费站。很多司机都以为收费站就是收费的地方，几乎没人知道收费站都有一些不为人知的潜规则。如果你不知道这些潜规则，就很容易被罚款扣分，起码下面这几种情况，是许多车主很容易就中招的：1、收费站前面下车不仅是收费站口，高速上，任何路段都不能任意停车，收费站口子上停车很容易造成交</t>
  </si>
  <si>
    <t>近日，有媒体获悉，上汽通用公布了2020年1月销量成绩，其中别克品牌1月销售新车6.65万台。英朗、君威、昂科威以及gl8等多款车型均月销过万，在轿车、suv、mpv领域多点开花。其中，b级轿车君威，1月销售1.2万辆，同比增长25.6%；中型suv昂科威，销量同比增长4%；中大型 suv昂科旗在上</t>
  </si>
  <si>
    <t>2020/02/24 10:32:00</t>
  </si>
  <si>
    <t>　　近日，有媒体获悉，上汽通用公布了2020年1月销量成绩，其中别克品牌1月销售新车6.65万台。英朗、君威、昂科威以及gl8等多款车型均月销过万，在轿车、suv、mpv领域多点开花。其中，b级轿车君威，1月销售1.2万辆，同比增长25.6%；中型suv昂科威，销量同比增长4%；中大型 suv昂科旗</t>
  </si>
  <si>
    <t>投诉编号：【448445】投诉时间：2020-02-2410:27投诉品牌：一汽红旗投诉车系：红旗H5投诉车型：2019款30TD智联享动版投诉内容车是2019年10月5日提出来的，到现在跑了刚好6000公里。2.23号做的首次保，养因为保养的时候也不给进，也不知道换了些什么。两个小时后让我去开的车</t>
  </si>
  <si>
    <t>2020/02/24 10:27:00</t>
  </si>
  <si>
    <t>投诉编号：【448444】  投诉时间： 2020-02-24 10:26  投诉品牌： 上汽通用五菱  投诉车系： 新宝骏RS-3  投诉车型： 2020款 1.5L 手动 24小时在线豪华型        投诉内容  2O2O年1月14号修了一下午没搞好，又是解码，又说电路版，又说油有问题，说又</t>
  </si>
  <si>
    <t>2020/02/24 10:26:00</t>
  </si>
  <si>
    <t>为啥你全责？路口让右你一定要知道❷❸❹❺❻❼❽❾</t>
  </si>
  <si>
    <t>2020/02/24 10:25:00</t>
  </si>
  <si>
    <t>投诉编号：【448443】  投诉时间： 2020-02-24 10:25  投诉品牌： 北京现代  投诉车系： 领动  投诉车型： 2016款 1.6L 自动 智炫·精英型        投诉内容  跑高速微调方向岀现发卡，跑去4s店说试不岀来。厂家拿顾客生命当儿戏，不召回。换过管柱同样会岀现方向</t>
  </si>
  <si>
    <t>❷❸❹❺❻❼❽❾</t>
  </si>
  <si>
    <t>开车撞死闯红灯的人 机动车只负10%的责任？目前在道路行车过程当中，由于法律法规和交通法规的约束，大多数驾驶者都是谨慎驾驶，害怕出现交通事故的，但是行人和电动车等非机动车并不这么想，这也就导致我们在开车过程当中，经常能够遇到一些电动车，自行车，行人，随意变道，并线，逆行，从而发生交通事故。那么撞死闯</t>
  </si>
  <si>
    <t>2020/02/24 10:24:00</t>
  </si>
  <si>
    <t>投诉编号：【448442】  投诉时间： 2020-02-24 10:24  投诉品牌： 广汽三菱  投诉车系： 劲炫ASX  投诉车型： 2018款 1.6L 手动 两驱 时尚版        投诉内容  广汽三菱劲炫ASX底盘异响，底盘冬季异响严重，经过起伏路面好像车要散架一样，解释说是平衡杆胶</t>
  </si>
  <si>
    <t>目前在道路行车过程当中，由于法律法规和交通法规的约束，大多数驾驶者都是谨慎驾驶，害怕出现交通事故的，但是行人和电动车等非机动车并不这么想，这也就导致我们在开车过程当中，经常能够遇到一些电动车，自行车，行人，随意变道，并线，逆行，从而发生交通事故。那么撞死闯红灯的行人，机动车只负10%的责任吗？交警表</t>
  </si>
  <si>
    <t>投诉编号：【448439】  投诉时间： 2020-02-24 10:23  投诉品牌： 奇瑞汽车  投诉车系： 瑞虎8  投诉车型： 2019款 1.6TGDI 自动 豪华型        投诉内容  晚上开车的时候，车辆两边照射不到，盲区大，夜间车辆转弯看(不轮是否开启转向灯）都不清路面情况，影</t>
  </si>
  <si>
    <t>2020/02/24 10:23:00</t>
  </si>
  <si>
    <t>投诉编号：【448440】  投诉时间： 2020-02-24 10:23  投诉品牌： 广汽乘用车  投诉车系： 传祺GS5  投诉车型： 2019款 270T 自动 豪华版        投诉内容  新车提来第3天就开始刹车异响，开了快一年了中间修理了无数次，该换的零件都换完了，始终不好，到现在</t>
  </si>
  <si>
    <t>请问，四驱车的适时四驱如果不想继续使用或是有大毛病了，可以拆除永久不再使用吗？对原车电子系统有什么损害吗？</t>
  </si>
  <si>
    <t>2020/02/24 10:21:06</t>
  </si>
  <si>
    <t>投诉编号：【448436】
    投诉时间： 2020-02-24 10:03
    投诉品牌： 比亚迪
    投诉车系： 宋
    投诉车型： 2019款 1.5TI 自动 智联越动型
比亚迪宋导航无法使用 焊接处漏水</t>
  </si>
  <si>
    <t>2020/02/24 10:18:20</t>
  </si>
  <si>
    <t>2020款全新宝马X3亮相说到豪华车，中国市场上绝大多数豪华车都是德国车型：宝马、奔驰、奥迪、保时捷等。这些豪车有自己的信仰，每个人都有自己的选择。宝马X3显然是豪华车的代表，在中国也有一批忠实的车迷。宝马X3豪华车在国内市场已经上市多年，它的确是一款性价比较高的中型豪华SUV。宝马X3经过最新的改</t>
  </si>
  <si>
    <t>2020/02/24 10:10:00</t>
  </si>
  <si>
    <t>说到豪华车，中国市场上绝大多数豪华车都是德国车型：宝马、奔驰、奥迪、保时捷等。这些豪车有自己的信仰，每个人都有自己的选择。宝马X3显然是豪华车的代表，在中国也有一批忠实的车迷。宝马X3豪华车在国内市场已经上市多年，它的确是一款性价比较高的中型豪华SUV。宝马X3经过最新的改款，外观越来越大气，人气也</t>
  </si>
  <si>
    <t>装人拉货没得说 超大空间才卖15万装人拉货没得说，超大空间才卖15万，追求实用还得看它们！15万预算，不少消费者都会选择速腾、思域、逍客等热门家轿或SUV，反正跟着销量榜单买总不会出错，不过考虑到绝大部分人买车都是追求经济性和实用性，那下面这三款车其实也是个不错的选择，品牌过硬还有优惠，看它们就对了</t>
  </si>
  <si>
    <t>2020/02/24 10:09:00</t>
  </si>
  <si>
    <t>装人拉货没得说，超大空间才卖15万，追求实用还得看它们！15万预算，不少消费者都会选择速腾、思域、逍客等热门家轿或SUV，反正跟着销量榜单买总不会出错，不过考虑到绝大部分人买车都是追求经济性和实用性，那下面这三款车其实也是个不错的选择，品牌过硬还有优惠，看它们就对了。斯柯达 明锐旅行厂商指导价：12</t>
  </si>
  <si>
    <t>销量巅峰 国人为何无数次为之买单上汽大众全新一代朗逸作为针对中国市场打造的特供车型，新车也成为上汽大众品牌高品质背书的完美载体。回看朗逸系列在中国市场耕耘的10年，朗逸家族收获350万消费者的信赖，成为中国汽车市场累计销量最高的A级轿车，换言之，朗逸可以称之为中国消费者心中A级轿车的代名词。老款朗逸</t>
  </si>
  <si>
    <t>2020/02/24 10:08:00</t>
  </si>
  <si>
    <t>上汽大众全新一代朗逸作为针对中国市场打造的特供车型，新车也成为上汽大众品牌高品质背书的完美载体。回看朗逸系列在中国市场耕耘的10年，朗逸家族收获350万消费者的信赖，成为中国汽车市场累计销量最高的A级轿车，换言之，朗逸可以称之为中国消费者心中A级轿车的代名词。老款朗逸辉煌的成绩，对全新朗逸而言既是优</t>
  </si>
  <si>
    <t>2020/02/24 10:07:00</t>
  </si>
  <si>
    <t>事实证明 博越PRO其实卖的并不好诚然，寒冬市场的再度下行以及春节假期的提前，导致吉利汽车1月份仅卖了111838辆，同比下滑29.4%。不过需要承认的是，身兼重任的博越虽再度取得23472辆的佳绩，但同比14.7%的下滑实则透露着PRO版本的不尽人意。由于1月份暂时没有细化产品销量，所以可以拿去年</t>
  </si>
  <si>
    <t>2020/02/24 10:06:00</t>
  </si>
  <si>
    <t>2020/02/24 10:05:00</t>
  </si>
  <si>
    <t>销量最好的宝马 为何最没有特色在宝马轿车体系中，5系与其他产品相比，特色其实最中庸，下比不了3系的运动，4系的极致，上比不了6系的纯粹，7系的旗舰，但必须要承认的是，就是在体系内最为中庸的一款宝马，但销量却也最大。刚刚过去的2019年，宝马5系全年销量超17万台，而宝马3系去年销量仅仅为13万台，售</t>
  </si>
  <si>
    <t>在宝马轿车体系中，5系与其他产品相比，特色其实最中庸，下比不了3系的运动，4系的极致，上比不了6系的纯粹，7系的旗舰，但必须要承认的是，就是在体系内最为中庸的一款宝马，但销量却也最大。刚刚过去的2019年，宝马5系全年销量超17万台，而宝马3系去年销量仅仅为13万台，售价更便宜的宝马3系，反而没有5</t>
  </si>
  <si>
    <t>投诉编号：【448437】  投诉时间： 2020-02-24 10:04  投诉品牌： 广汽丰田  投诉车系： 凯美瑞  投诉车型： 2019款 2.5HS 锋尚版 国V        投诉内容  广汽丰田凯美瑞车顶漆面有爆漆的现象，车顶棚小块地方爆漆，要求厂家尽快处理。      投诉回复  车</t>
  </si>
  <si>
    <t>2020/02/24 10:04:00</t>
  </si>
  <si>
    <t>中保研果然没冤枉帕萨特 IIHS碰撞测试出炉前段时间，帕萨特以为在中保研的碰撞测试中得到了令人非常意外的成绩，而这也导致帕萨特在1月份的销量有明显的下降。但是，帕萨特则是表示需要再在其他的机构再测试一次，也有不少的网友表示，帕萨特没有那么差，应该是中保研的故意针对帕萨特的，有猫腻。正当大家还在期待帕</t>
  </si>
  <si>
    <t>2020/02/24 10:03:00</t>
  </si>
  <si>
    <t>逍客除了销量高 还有什么在SUV销量排行榜中，除了哈弗H6，途观，博越这样的热门车型，还有一个车型值得大家特别关注，这个车型就是逍客。从销量来看，逍客属于那种很难进到销量排行前三，但也很少掉出前十的耐力性选手，从过去一年的销量看，一年20万辆左右的销量没两把刷子是很难做到的。逍客近一年月销走势但是，</t>
  </si>
  <si>
    <t>2020/02/24 10:02:00</t>
  </si>
  <si>
    <t>在SUV销量排行榜中，除了哈弗H6，途观，博越这样的热门车型，还有一个车型值得大家特别关注，这个车型就是逍客。从销量来看，逍客属于那种很难进到销量排行前三，但也很少掉出前十的耐力性选手，从过去一年的销量看，一年20万辆左右的销量没两把刷子是很难做到的。逍客近一年月销走势但是，当我们真正沉下心来研究逍</t>
  </si>
  <si>
    <t>投诉编号：【448435】  投诉时间： 2020-02-24 10:02  投诉品牌： 上汽集团  投诉车系： 名爵HS  投诉车型： 2018款 20T 手动 两驱 荷尔蒙劲取版 国V        投诉内容  上汽名爵HS车辆停放两三天蓄电池亏电，新车买回来不到一年，停车两三天打不着车，电瓶亏</t>
  </si>
  <si>
    <t>雷克萨斯LM正式上市 指导价116.6至146.6万元2月24日，备受期待的雷克萨斯LM系列车型正式上市。早在1月15日，雷克萨斯中国就已经宣布LM开启预售，并公布了两款车型的厂商建议零售价：LM 300h七座隽雅版售价116.6万元，LM 300h四座御世版售价146.6万元。一直以来，丰田埃尔法</t>
  </si>
  <si>
    <t>2020/02/24 10:01:00</t>
  </si>
  <si>
    <t>2月24日，备受期待的雷克萨斯LM系列车型正式上市。早在1月15日，雷克萨斯中国就已经宣布LM开启预售，并公布了两款车型的厂商建议零售价：LM 300h七座隽雅版售价116.6万元，LM 300h四座御世版售价146.6万元。一直以来，丰田埃尔法（Alphard）都是国内豪华MPV市场的绝对标杆，随</t>
  </si>
  <si>
    <t>雅阁混动锐尊版和凯美瑞混动锋尚版怎么选？</t>
  </si>
  <si>
    <t>2020/02/24 09:55:27</t>
  </si>
  <si>
    <t>投诉编号：【448434】投诉时间：2020-02-2409:54投诉品牌：上汽大众投诉车系：帕萨特投诉车型：2019款330TSI精英版国VI投诉内容上汽大众帕萨特车门及中控异响，异味大噪音大，此次A柱事情先不提。车开了个把月，异味大我忍了，异响我忍不了，车门及中控里面像是装了小石子一样，音响开大</t>
  </si>
  <si>
    <t>2020/02/24 09:54:00</t>
  </si>
  <si>
    <t>　　畅巡的英文名“menlo”取于美国加州的一座城市――menlo park。爱迪生曾在这里创办实验室，并成为第二次工业革命电气化发展的重要符号。如今，雪佛兰以menlo命名在中国市场的首款纯电动车，蕴涵勇于创新，不断突破的寓意。　　2月20日，畅巡正式上市，推出星享版、星河版、星云版和星宇版4款车</t>
  </si>
  <si>
    <t>2020/02/24 09:45:00</t>
  </si>
  <si>
    <t>一季度销售计划调整、新产品“跳票”，汽车行业2020年的开局，被突如其来的新冠疫情彻底打乱了。在疫情影响相对较小的1月份（春节前置导致工作日减少为最主要原因），整体乘用车便已经出现了20.4%的跌幅，车企的销售状况可想而知。    不过值得关注的是，这种背景下仍有部分车企呈现逆市场规律“增长”，大幅</t>
  </si>
  <si>
    <t>2020/02/24 09:41:00</t>
  </si>
  <si>
    <t>　　一季度销售计划调整、新产品“跳票”，汽车行业2020年的开局，被突如其来的新冠疫情彻底打乱了。在疫情影响相对较小的1月份（春节前置导致工作日减少为最主要原因），整体乘用车便已经出现了20.4%的跌幅，车企的销售状况可想而知。　　不过值得关注的是，这种背景下仍有部分车企呈现逆市场规律“增长”，大幅</t>
  </si>
  <si>
    <t>日前，上汽大通t60柴油国六版皮卡即将上市，新车售价9.98万元起。    上汽大通t60国六柴油版延续国五车型的外观造型，车身尺寸为5365*1900*1809mm，货箱尺寸为1485*1510*530mm，轴距为3155mm；长货箱车型车身尺寸为5680*1900*1722mm，货箱尺寸为180</t>
  </si>
  <si>
    <t>2020/02/24 09:40:00</t>
  </si>
  <si>
    <t>　　日前，上汽大通t60柴油国六版皮卡即将上市，新车售价9.98万元起。　　上汽大通t60国六柴油版延续国五车型的外观造型，车身尺寸为5365*1900*1809mm，货箱尺寸为1485*1510*530mm，轴距为3155mm；长货箱车型车身尺寸为5680*1900*1722mm，货箱尺寸为180</t>
  </si>
  <si>
    <t>2020年是奥迪的产品大年，作为去年豪华b级车市场销量最好的车型，奥迪a4l预计将在上半年（原计划为4月份，受疫情影响上市时间或将延期）迎来中期改款。近日从一汽奥迪经销商处获得了中期改款a4l的配置信息，与现款车型相比，新车入门版车型增加了led大灯、全景天窗、全新12.3英寸全液晶仪表、前雷达及倒</t>
  </si>
  <si>
    <t>2020/02/24 09:37:00</t>
  </si>
  <si>
    <t>　　2020年是奥迪的产品大年，作为去年豪华b级车市场销量最好的车型，奥迪a4l预计将在上半年（原计划为4月份，受疫情影响上市时间或将延期）迎来中期改款。近日从一汽奥迪经销商处获得了中期改款a4l的配置信息，与现款车型相比，新车入门版车型增加了led大灯、全景天窗、全新12.3英寸全液晶仪表、前雷达</t>
  </si>
  <si>
    <t>奥迪去年在华推出了全新旗舰轿跑suv q8，今年还将引进其高性能版本rs q8，新车搭载一套与兰博基尼urus同款的4.0t轻混 8at动力系统。近日有媒体获得了一组奥迪rs q8在国内的路试图片，参考奥迪2020年在华产品规划，新车预计在今年9月份正式上市。    奥迪rs q8外观采用rs最新的</t>
  </si>
  <si>
    <t>2020/02/24 09:36:00</t>
  </si>
  <si>
    <t>　　奥迪去年在华推出了全新旗舰轿跑suv q8，今年还将引进其高性能版本rs q8，新车搭载一套与兰博基尼urus同款的4.0t轻混 8at动力系统。近日有媒体获得了一组奥迪rs q8在国内的路试图片，参考奥迪2020年在华产品规划，新车预计在今年9月份正式上市。　　奥迪rs q8外观采用rs最新的</t>
  </si>
  <si>
    <t xml:space="preserve">沃尔沃旗下90系列轿车车型为家族旗下的旗舰车系，其中涵盖了s90、v90以及v90 cross country三款车型。其基础车型s90在华上市时间为2016年，2018年中进行小幅改款升级。而两年后的2020年，沃尔沃品牌逐步启用轻混动力车型，旨在提高新车的排放水平，在环境保护方面更进一步。   </t>
  </si>
  <si>
    <t>2020/02/24 09:35:00</t>
  </si>
  <si>
    <t>　　沃尔沃旗下90系列轿车车型为家族旗下的旗舰车系，其中涵盖了s90、v90以及v90 cross country三款车型。其基础车型s90在华上市时间为2016年，2018年中进行小幅改款升级。而两年后的2020年，沃尔沃品牌逐步启用轻混动力车型，旨在提高新车的排放水平，在环境保护方面更进一步。　</t>
  </si>
  <si>
    <t>奥迪e-tron是旗下首款纯电动量产车型，同时该款车型是基于纵置模块化平台（mlp）打造的，并于2019年正式在国内上市，且计划在2020年在华实现国产。近日有海外媒体公布了奥迪e-tron s以及奥迪e-tron s sportback的官图，下面我们就来一起欣赏奥迪e-tron之美。    外观</t>
  </si>
  <si>
    <t>2020/02/24 09:34:00</t>
  </si>
  <si>
    <t>　　奥迪e-tron是旗下首款纯电动量产车型，同时该款车型是基于纵置模块化平台（mlp）打造的，并于2019年正式在国内上市，且计划在2020年在华实现国产。近日有海外媒体公布了奥迪e-tron s以及奥迪e-tron s sportback的官图，下面我们就来一起欣赏奥迪e-tron之美。　　外观</t>
  </si>
  <si>
    <t>mini countryman是mini首款suv车型，第一次在国内亮相是在十年前的2010年北京国际车展上，并在2011年于厦门正式上市。其跨界的风格大改之前小巧可爱的整体设计语言，但是熟悉的家族设计特征还是能让人们一眼认出这是一辆mini。近日，有海外媒体曝光了新款countryman在街头测试</t>
  </si>
  <si>
    <t>2020/02/24 09:32:00</t>
  </si>
  <si>
    <t>　　mini countryman是mini首款suv车型，第一次在国内亮相是在十年前的2010年北京国际车展上，并在2011年于厦门正式上市。其跨界的风格大改之前小巧可爱的整体设计语言，但是熟悉的家族设计特征还是能让人们一眼认出这是一辆mini。近日，有海外媒体曝光了新款countryman在街头</t>
  </si>
  <si>
    <t>　　奔驰s级轿车是德国戴姆勒集团旗下品牌梅赛德斯-奔驰推出的顶级豪华车。其上承梅赛德斯-奔驰百多年来的精湛造车艺术，下启源源不绝的科技革新，在安全性、汽车工程和环境保护方面，具备了超过三十多种先进的增强性设备，是令人信赖的优秀座驾。2013年5月15日第十代的奔驰s级在德国汉堡进行全球发布，而在七年</t>
  </si>
  <si>
    <t>2020/02/24 09:30:00</t>
  </si>
  <si>
    <t>奔驰s级轿车是德国戴姆勒集团旗下品牌梅赛德斯-奔驰推出的顶级豪华车。其上承梅赛德斯-奔驰百多年来的精湛造车艺术，下启源源不绝的科技革新，在安全性、汽车工程和环境保护方面，具备了超过三十多种先进的增强性设备，是令人信赖的优秀座驾。2013年5月15日第十代的奔驰s级在德国汉堡进行全球发布，而在七年之后</t>
  </si>
  <si>
    <t>　　斯柯达全新一代明锐于去年11月份在海外发布，和现款车型相比，新车整体造型设计变得更加运动。根据上汽大众斯柯达品牌的规划，全新明锐将于今年下半年正式引入国内市场。届时，产品竞争力大幅提升的明锐或将一改现款车型销售疲软的态势。价格方面，参考现款车型售价，预计全新明锐起售价在10-11万元之间。　　全</t>
  </si>
  <si>
    <t>2020/02/24 09:28:00</t>
  </si>
  <si>
    <t>斯柯达全新一代明锐于去年11月份在海外发布，和现款车型相比，新车整体造型设计变得更加运动。根据上汽大众斯柯达品牌的规划，全新明锐将于今年下半年正式引入国内市场。届时，产品竞争力大幅提升的明锐或将一改现款车型销售疲软的态势。价格方面，参考现款车型售价，预计全新明锐起售价在10-11万元之间。    全</t>
  </si>
  <si>
    <t>　　随着10万级高性价比suv――vs5的畅销，捷达定位更高的中型suv vs7也将于2月26日上市。和vs5一样，主打11-14万元市场的vs7（预售价11.18万-14.28万）同样秉承着捷达品牌高性价比的策略，新车上市后将成为价格门槛最低的德系中型suv，并有望成为与大众探岳、途观l同样畅销的</t>
  </si>
  <si>
    <t>2020/02/24 09:27:00</t>
  </si>
  <si>
    <t>随着10万级高性价比suv——vs5的畅销，捷达定位更高的中型suv vs7也将于2月26日上市。和vs5一样，主打11-14万元市场的vs7（预售价11.18万-14.28万）同样秉承着捷达品牌高性价比的策略，新车上市后将成为价格门槛最低的德系中型suv，并有望成为与大众探岳、途观l同样畅销的车型</t>
  </si>
  <si>
    <t>这几天，帕萨特在中保研的碰撞测试结果出来了，完败的碰撞结果让许多小伙伴大跌眼镜。德系选手不是非常结实耐撞吗？怎么就不行了？今天，我们就帮您总结一下，在中保研的碰撞测试中，25%正面偏置碰撞得分和侧面碰撞得分非常惨的几位选手。为什么只介绍这两项碰撞成绩？首先我要说明一下，之所以只介绍25%偏置碰撞和侧</t>
  </si>
  <si>
    <t>这些车千万别买 总结中保研测试碰撞这几天，帕萨特在中保研的碰撞测试结果出来了，完败的碰撞结果让许多小伙伴大跌眼镜。德系选手不是非常结实耐撞吗？怎么就不行了？今天，我们就帮您总结一下，在中保研的碰撞测试中，25%正面偏置碰撞得分和侧面碰撞得分非常惨的几位选手。为什么只介绍这两项碰撞成绩？首先我要说明一</t>
  </si>
  <si>
    <t>　　斯柯达在很多消费者的心中是一个比较均衡务实的品牌，而就在几天前，其旗下新款昕锐/昕动正式上市，各自分别推出4款车型。据了解，新款昕锐/昕动在外观上均采用最新家族式设计元素，并在配置上进行了一系列升级，让两车竞争力得到一定增强。那么，接下来咱们就来一起研究下，在这些车型中哪款更值得入手？　　首先在</t>
  </si>
  <si>
    <t>2020/02/24 09:26:00</t>
  </si>
  <si>
    <t>2.0T基础版奥迪Q7已经跌至50万，没错就是那个45TFSI舒适版车型，目前经销商处一再给出直逼50万低价的分贷价，如果在平行进口车市场转一圈，你会发现无质保的奥迪Q7 45TFSI舒适版车型车商能够给出跌破50万的售价。50万级，这是此前途锐的价格，这个价格区间闯入了奥迪Q7，途锐全然不知如何面</t>
  </si>
  <si>
    <t>奥迪Q7跌破50万，途锐该咋办？2.0T基础版奥迪Q7已经跌至50万，没错就是那个45TFSI舒适版车型，目前经销商处一再给出直逼50万低价的分贷价，如果在平行进口车市场转一圈，你会发现无质保的奥迪Q7 45TFSI舒适版车型车商能够给出跌破50万的售价。50万级，这是此前途锐的价格，这个价格区间闯</t>
  </si>
  <si>
    <t>奥迪Q5L越减配销量越高，是我们不懂车吗？根据乘联会最新数据显示，截止11月份整体SUV销量同比下降了4.3%，整体乘用车市场销量下降7.9%，在整体车市销量下滑的情况下，豪华SUV市场中的全新奥迪Q5L在11月中以14100的销量强势夺冠，同比增长了62.8%；11月奥迪Q5L销量排行第一（数据来</t>
  </si>
  <si>
    <t>　　国内suv市场的竞争激烈程度无需多言，不单是自主品牌，一些豪华品牌之间的博弈更是精彩，德系“三驾马车”之间的故事是我们喜闻乐见的，在紧凑型suv这个细分市场上，奔驰相比两个老对手似乎有些懈怠，无论是x1还是q3都十分能打，而gla却未能迎来正式换代车型。虽然未能等来gla换代上市，但全新车型gl</t>
  </si>
  <si>
    <t>2020/02/24 09:25:00</t>
  </si>
  <si>
    <t>“保值率”是我们买车时的一个很重要的指标，保值率越高的车，在卖车的时候也就越值钱。谁都不能保证，买了车就能把这辆车开到报废，即便有也是极少数的人。一般而言，大多数人的换车周期都在5-8年。所以选择一款保值率高的车，在日后换车时就能少损失一部分钱，这样看来保值率对于选车来说的确很重要。此前，小编已经为</t>
  </si>
  <si>
    <t>2020/02/24 09:24:00</t>
  </si>
  <si>
    <t>轿车保值率新鲜出炉！日系再次屠榜“保值率”是我们买车时的一个很重要的指标，保值率越高的车，在卖车的时候也就越值钱。谁都不能保证，买了车就能把这辆车开到报废，即便有也是极少数的人。一般而言，大多数人的换车周期都在5-8年。所以选择一款保值率高的车，在日后换车时就能少损失一部分钱，这样看来保值率对于选车</t>
  </si>
  <si>
    <t>越野的朋友都知道，在国内的越野市场中，虽然普拉多、酷路泽、途乐、牧马人等车型的越野能力都非常出色，但被誉为“山猫”的帕杰罗绝对是越野圈中的“硬汉”。曾经帕杰罗的产品力以及越野能力都在普拉多之上，是出了名的“买发动机送车”，车辆的耐用性丝毫不逊普拉多，不过，三菱帕杰罗常年不进行改款换代，最终还是面临着</t>
  </si>
  <si>
    <t>2020/02/24 09:22:00</t>
  </si>
  <si>
    <t>普拉多倒下了，三菱开始走上坡路，全系搭载V6引擎，价格不超26万越野的朋友都知道，在国内的越野市场中，虽然普拉多、酷路泽、途乐、牧马人等车型的越野能力都非常出色，但被誉为“山猫”的帕杰罗绝对是越野圈中的“硬汉”。曾经帕杰罗的产品力以及越野能力都在普拉多之上，是出了名的“买发动机送车”，车辆的耐用性丝</t>
  </si>
  <si>
    <t>2020年，庚子年，注定是不平凡的一年，受到疫情影响，各行各业都开局不顺，这让原本就萧条的车市变得更加的萧条。车企主机厂无法复产；4S店无法营业；想买车人也不敢出门，可是各种经费却在不断"燃烧"，一系列连锁反应让车市雪上加霜。悲观一点，2020年又将有一批车企和经销商倒下。至于是哪些嘛，造车新势力首</t>
  </si>
  <si>
    <t>2020/02/24 09:21:00</t>
  </si>
  <si>
    <t>今年上市的4款新车，将成为自主品牌的骄傲2020年，庚子年，注定是不平凡的一年，受到疫情影响，各行各业都开局不顺，这让原本就萧条的车市变得更加的萧条。车企主机厂无法复产；4S店无法营业；想买车人也不敢出门，可是各种经费却在不断"燃烧"，一系列连锁反应让车市雪上加霜。悲观一点，2020年又将有一批车企</t>
  </si>
  <si>
    <t>2020/02/24 09:20:00</t>
  </si>
  <si>
    <t>俗话说，三岁看到老，一个孩童即便只有三岁，很多时候也能看出他/她的脾气和秉性，并能大概预测未来会成长为怎样一个人。对于车企，同样如此，即便诞生不过两三年，它展现出怎样的潜力、未来会有怎样的发展轨迹，也都能看个差不多了。到现在为止，自主品牌里迄今最成功的两个高端品牌——领克和WEY，也都刚过完三岁生日</t>
  </si>
  <si>
    <t>领克和WEY三岁了，我们该更看好谁？俗话说，三岁看到老，一个孩童即便只有三岁，很多时候也能看出他/她的脾气和秉性，并能大概预测未来会成长为怎样一个人。对于车企，同样如此，即便诞生不过两三年，它展现出怎样的潜力、未来会有怎样的发展轨迹，也都能看个差不多了。到现在为止，自主品牌里迄今最成功的两个高端品牌</t>
  </si>
  <si>
    <t>　　紧凑型suv一直都是日系品牌的天下，究其原因还是在出色的空间利用率下保证了家庭生活的实用性，以及出色的燃油经济性让大家选择起suv来没有任何的负担。而作为城市suv的开山鼻祖之一，丰田的rav4自从国产以来就深受广大消费者的一致好评。在上一代更名为rav4荣放后，在临近换代之时依然可以保持着高达</t>
  </si>
  <si>
    <t>2020/02/24 09:19:00</t>
  </si>
  <si>
    <t>马自达作为车企中的一股清流或者说偏执狂，从来不按套路出牌。在车企们加速布局产品线的当下，《日本经济新闻》却报道，马自达在2022年3月之前都不会有发布任何新车的计划。并且旗下车型也不会有较大的更新。当然，对于这则新闻我们也可以间接的理解为，2022年3月，马自达将极有可能发布一款重磅新车。至于这将是</t>
  </si>
  <si>
    <t>马自达未来2年不发新车，2年后放大招马自达作为车企中的一股清流或者说偏执狂，从来不按套路出牌。在车企们加速布局产品线的当下，《日本经济新闻》却报道，马自达在2022年3月之前都不会有发布任何新车的计划。并且旗下车型也不会有较大的更新。当然，对于这则新闻我们也可以间接的理解为，2022年3月，马自达将</t>
  </si>
  <si>
    <t>消费者在选购一台suv车型时，关注的重点绝对离不开动力和安全，今天我们就将三台市场热度非常高的车型进行横评，虽然大众途观l与荣威rx5 max、全新哈弗h6铂金版在价格和定位上都不同，但本次将它纳入评选里，正是因为途观l也是一款市场热度高、销量大的suv车型，我们正是用这样的对比方式，来看看在技术核</t>
  </si>
  <si>
    <t>2020/02/24 09:17:00</t>
  </si>
  <si>
    <t>　　消费者在选购一台suv车型时，关注的重点绝对离不开动力和安全，今天我们就将三台市场热度非常高的车型进行横评，虽然大众途观l与荣威rx5 max、全新哈弗h6铂金版在价格和定位上都不同，但本次将它纳入评选里，正是因为途观l也是一款市场热度高、销量大的suv车型，我们正是用这样的对比方式，来看看在技</t>
  </si>
  <si>
    <t>魏宇轩</t>
  </si>
  <si>
    <t>　　现款大众速腾已经上市一段时间了，市场表现比较出色，得到了许多消费者的认可。不过，仍然有一些消费者因为其较高的售价而望而却步，这并不稀奇，毕竟它的入门价格就要12.89万元。今天，咱们就来看看这台不便宜的低配车。　　总结　　速腾2020年1月份的销量超过两万台，在轿车市场排名前十位，这个数据是非常</t>
  </si>
  <si>
    <t>郑雷</t>
  </si>
  <si>
    <t>2020/02/24 09:15:00</t>
  </si>
  <si>
    <t>投诉编号：【448427】投诉时间：2020-02-2409:13投诉品牌：长安马自达投诉车系：马自达3昂克赛拉投诉车型：2017款1.5L自动豪华型三厢国V投诉内容过不平路或者减速带刹车分泵有哐当哐当的金属撞击声，检查过无数次，换过一次导向销，然后问题依然没得到解决，4s告诉我这问题解决不了。投诉</t>
  </si>
  <si>
    <t>2020/02/24 09:13:00</t>
  </si>
  <si>
    <t>在华十年的老兵即将告别中国。2月19日，本田官方发布公告称，从2020年4月1日起，现honda常务执行董事兼中国本部长水野泰秀将退任中国本部长，出任honda总部汽车事业本部长。    现honda执行董事兼欧洲地区本部长井上胜史将于2020年4月1日升任honda常务执行董事，并接替水野泰秀出任</t>
  </si>
  <si>
    <t>2020/02/24 09:12:00</t>
  </si>
  <si>
    <t>　　在华十年的老兵即将告别中国。2月19日，本田官方发布公告称，从2020年4月1日起，现honda常务执行董事兼中国本部长水野泰秀将退任中国本部长，出任honda总部汽车事业本部长。　　现honda执行董事兼欧洲地区本部长井上胜史将于2020年4月1日升任honda常务执行董事，并接替水野泰秀出任</t>
  </si>
  <si>
    <t>投诉编号：【448425】
    投诉时间： 2020-02-24 08:57
    投诉品牌： 东风启辰
    投诉车系： 启辰T70
    投诉车型： 2016款 2.0L 手动 睿趣版
启辰T70高速行驶过程中方向盘有卡滞现象</t>
  </si>
  <si>
    <t>2020/02/24 09:11:00</t>
  </si>
  <si>
    <t>日前，有海外媒体曝光了雷诺对于未来新能源车型的产品规划，其首先会在欧洲市场推出一款全新的廉价电动车。据悉，雷诺的该款新车将会悬挂达契亚（Dacia）品牌在欧洲市场推出，新车会在日内瓦车展上正式亮相。    根据此前发布的车型图片来看，达契亚品牌的这款廉价电动车型正是雷诺K-ZE的换标版本。动力方面，</t>
  </si>
  <si>
    <t>2020/02/24 09:10:00</t>
  </si>
  <si>
    <t>　　日前，有海外媒体曝光了雷诺对于未来新能源车型的产品规划，其首先会在欧洲市场推出一款全新的廉价电动车。据悉，雷诺的该款新车将会悬挂达契亚（Dacia）品牌在欧洲市场推出，新车会在日内瓦车展上正式亮相。　　根据此前发布的车型图片来看，达契亚品牌的这款廉价电动车型正是雷诺K-ZE的换标版本。动力方面，</t>
  </si>
  <si>
    <t>投诉编号：【448426】投诉时间：2020-02-2409:09投诉品牌：上汽集团投诉车系：名爵HS投诉车型：2018款20T自动两驱荷尔蒙劲取版国V投诉内容前几天天天开，频繁出现要打火4次以上，才能启动汽车，今天开车隔了一天没开就打不着火了。车友群普遍反应这款车电瓶亏电。厂商也没有给出彻底的解决</t>
  </si>
  <si>
    <t>2020/02/24 09:09:00</t>
  </si>
  <si>
    <t>疫情当前，既是对汽车销售的一场考验，也是各大经销商充电的好时机。近日，一汽丰田方面透露，为提升经销商一线人员能力，同时为疫情过后开工做更好的准备，一汽丰田针对经销商店销售人员推出网络培训计划。    据悉，2019年10月，一汽丰田就启动“一汽丰田网红学院”，对全业务链精英骨干进行网上培训。从1月3</t>
  </si>
  <si>
    <t>　　疫情当前，既是对汽车销售的一场考验，也是各大经销商充电的好时机。近日，一汽丰田方面透露，为提升经销商一线人员能力，同时为疫情过后开工做更好的准备，一汽丰田针对经销商店销售人员推出网络培训计划。　　据悉，2019年10月，一汽丰田就启动“一汽丰田网红学院”，对全业务链精英骨干进行网上培训。从1月3</t>
  </si>
  <si>
    <t>　　作为雪佛兰在中国市场的首款纯电动车――畅巡已于（2020年2月20日）正式上市。新车定位为紧凑型车，nedc续航里程为410km。畅巡根据配置的不同共推出了4款车型，补贴后售价区间为15.99-17.99万元。问题来了，哪款车型最值得购买呢？　　车身/内饰颜色　　畅巡设计上采用了“肌肉立体流线”</t>
  </si>
  <si>
    <t>周楚然</t>
  </si>
  <si>
    <t>2020/02/24 09:08:00</t>
  </si>
  <si>
    <t>二十多万的SUV市场竞争的激烈程度不需多言，而且更新换代也非常迅速。很多当时上市时很具有竞争力和性价比的车辆被稍晚半年或者一年才上市的新车型冲击，是很常见的事。今天的主角就是20万左右SUV绕不开的一台车，本田冠道。冠道最被称道的一个设计细节，就是车身的侧面造型像极了兰博基尼的URUS。不是我吹，有</t>
  </si>
  <si>
    <t>八卦娱乐</t>
  </si>
  <si>
    <t>2020/02/24 09:07:00</t>
  </si>
  <si>
    <t>前两天，一位友人在朋友圈发布了这样一条信息，“疫情期间的你，是否怀念排队的火锅店？”瞬间留言无数，随后变成了火锅交友平台。事后大致统计了一番，得出如下结论：小龙坎28票，蜀大侠22票，川西坝子21票，巴蜀大宅门18票，蜀九香16票……另外，网红火锅电台巷2票，海底捞3票。虽然以上结论仅代表少数人的个</t>
  </si>
  <si>
    <t>全球最热卖的十款车 其中七款在中国前两天，一位友人在朋友圈发布了这样一条信息，“疫情期间的你，是否怀念排队的火锅店？”瞬间留言无数，随后变成了火锅交友平台。事后大致统计了一番，得出如下结论：小龙坎28票，蜀大侠22票，川西坝子21票，巴蜀大宅门18票，蜀九香16票……另外，网红火锅电台巷2票，海底捞</t>
  </si>
  <si>
    <t>严重被低估的合资中型SUV二十多万的SUV市场竞争的激烈程度不需多言，而且更新换代也非常迅速。很多当时上市时很具有竞争力和性价比的车辆被稍晚半年或者一年才上市的新车型冲击，是很常见的事。今天的主角就是20万左右SUV绕不开的一台车，本田冠道。冠道最被称道的一个设计细节，就是车身的侧面造型像极了兰博基</t>
  </si>
  <si>
    <t>坊间常道“买车不能买低配”，诚然在以前车型的低配就是为了拉低售价而来，往往配置比较简陋，没有天窗，安全配置也不够出色，对车主来说毫无舒适性可言，用车质感和体验大打折扣。但是现如今汽车行业发展，低配车型也不再寒酸，配置越来越丰富，这里就有5款车，低配也非常值得入手。WEY VV6VV6是目前WEY品牌</t>
  </si>
  <si>
    <t>2020/02/24 09:06:00</t>
  </si>
  <si>
    <t>盘点五款值得买的低配车型坊间常道“买车不能买低配”，诚然在以前车型的低配就是为了拉低售价而来，往往配置比较简陋，没有天窗，安全配置也不够出色，对车主来说毫无舒适性可言，用车质感和体验大打折扣。但是现如今汽车行业发展，低配车型也不再寒酸，配置越来越丰富，这里就有5款车，低配也非常值得入手。WEY VV</t>
  </si>
  <si>
    <t>时间回到去年2月21日，观致对外发布公告，前日产-雷诺联盟全球新能源总监矢岛和男担任新CEO（总裁），与此同时，包括首席运营官、联席技术官等在内的重要职务也清一色的换成了日系车企背景高管，这宣告了观致汽车正式进入日本管理模式时代。众所周知，尽管这些年中国车市大环境不景气，许多合资车企的日子也没以前过</t>
  </si>
  <si>
    <t>2020/02/24 09:05:00</t>
  </si>
  <si>
    <t>高层换血一年 现在的观致一地鸡毛时间回到去年2月21日，观致对外发布公告，前日产-雷诺联盟全球新能源总监矢岛和男担任新CEO（总裁），与此同时，包括首席运营官、联席技术官等在内的重要职务也清一色的换成了日系车企背景高管，这宣告了观致汽车正式进入日本管理模式时代。众所周知，尽管这些年中国车市大环境不景</t>
  </si>
  <si>
    <t>你细细的品 这些名字带"9"的国产车</t>
  </si>
  <si>
    <t>中国人在起名字时，都会讲究个意头，比如888一路发，66大顺等等，而车企在给汽车起名字的时候，同样是有寓意与期待的。自主汽车的命名与合资不同，通常都会加个数字进行区分，比如长安CS55、CS35、哈弗H6等等。不知道大家有没有发现，一般名字带9的国产车都挺牛逼的，合资估计见了都怕，一起来看看吧。北京</t>
  </si>
  <si>
    <t>2020/02/24 09:03:00</t>
  </si>
  <si>
    <t>你细细的品 这些名字带"9"的国产车中国人在起名字时，都会讲究个意头，比如888一路发，66大顺等等，而车企在给汽车起名字的时候，同样是有寓意与期待的。自主汽车的命名与合资不同，通常都会加个数字进行区分，比如长安CS55、CS35、哈弗H6等等。不知道大家有没有发现，一般名字带9的国产车都挺牛逼的，</t>
  </si>
  <si>
    <t>一辆车的舒适性可以说是其隐藏属性，因为在消费者选车及购车之前都无法知道坐在车里的感受和它的动态表现，而且这些也不会出现在配置表里。所以我们很有必要的将其量化，更直观的呈献给广大用户。今天我们继续找来三款较为热门的中国品牌紧凑型SUV，结合有车以后PT8-120舒适性测试，来看看它们在这方面的表现到底</t>
  </si>
  <si>
    <t>2020/02/24 09:02:00</t>
  </si>
  <si>
    <t>新车二手车，参谋找南哥！哈喽，兄弟们！今天看到一条美国的《消费者报告》每年都会对在售车型进行可靠性评分，主要是依据汽车的故障率来综合得出指数值。今年的十款最不可靠车型出炉了，咱们一起看看吧。一、雪佛兰·Colorado皮卡排在第一居然是辆美国车——雪佛兰Colorado皮卡，可靠性指数为4。美国对自</t>
  </si>
  <si>
    <t>10万级别最火的3台中国SUV大PK一辆车的舒适性可以说是其隐藏属性，因为在消费者选车及购车之前都无法知道坐在车里的感受和它的动态表现，而且这些也不会出现在配置表里。所以我们很有必要的将其量化，更直观的呈献给广大用户。今天我们继续找来三款较为热门的中国品牌紧凑型SUV，结合有车以后PT8-120舒适</t>
  </si>
  <si>
    <t>2019年最不可靠的十款车新车二手车，参谋找南哥！哈喽，兄弟们！今天看到一条美国的《消费者报告》每年都会对在售车型进行可靠性评分，主要是依据汽车的故障率来综合得出指数值。今年的十款最不可靠车型出炉了，咱们一起看看吧。一、雪佛兰·Colorado皮卡排在第一居然是辆美国车——雪佛兰Colorado皮卡</t>
  </si>
  <si>
    <t>　　多数是为了好看，我想这是选择宝马x4消费者的主要理由。即使是最低配车型，它依然拥有m运动套装来装扮，在颜值这一方面具备超越同级的高水准表现。在功能配置方面的表现也较为全面。今天的解读低配车，下面我们还是从外观区别以及功能配置方面下手，来看看宝马x4究竟是否值得推荐。　　总结　　如果你只喜欢m运动</t>
  </si>
  <si>
    <t>梁奇</t>
  </si>
  <si>
    <t>小伙伴们大家好，相信大家都已经挺久没出门了，毕竟情况特殊嘛~怎么说呢~坚持就是胜利吧！咱们现在少出门就是为国家减少负担。这段时间里，我估计不少人的购车计划也受到影响，毕竟很多4S店不让复工，但是大家可以多了解和关注自己心仪的车型，说不定会有惊喜哦~今天我就来跟大家分享5台优惠力度比较大的豪华品牌紧凑</t>
  </si>
  <si>
    <t>2020/02/24 09:01:00</t>
  </si>
  <si>
    <t>国产车真的很少有性能车，领克03算是比较突出的一款。那SUV呢？去年的7月份海马汽车推出的海马8S主打的就是它的“强性能”，那今天就来看看“白菜价”是不是真的能买“性能车”呢？从动力性能来看，海马8S采用了一款1.6T的涡轮增压发动机，低配采用6MT，中高配采用的是6AT变速箱，最大马力195匹，最</t>
  </si>
  <si>
    <t>20万多就能买豪华SUV 一降就是6万小伙伴们大家好，相信大家都已经挺久没出门了，毕竟情况特殊嘛~怎么说呢~坚持就是胜利吧！咱们现在少出门就是为国家减少负担。这段时间里，我估计不少人的购车计划也受到影响，毕竟很多4S店不让复工，但是大家可以多了解和关注自己心仪的车型，说不定会有惊喜哦~今天我就来跟大</t>
  </si>
  <si>
    <t>性能车也有“白菜价” 7.8秒破百国产车真的很少有性能车，领克03算是比较突出的一款。那SUV呢？去年的7月份海马汽车推出的海马8S主打的就是它的“强性能”，那今天就来看看“白菜价”是不是真的能买“性能车”呢？从动力性能来看，海马8S采用了一款1.6T的涡轮增压发动机，低配采用6MT，中高配采用的是</t>
  </si>
  <si>
    <t>90后最喜欢的几款车！花13万哪款SUV最值得入手？现在的人们生活水平十分的高，生活水平高了手里有钱了买的车也自然不会差。可是总有人在买车的时候会比较喜欢攀比，但最好的不一定是最贵的，今天我们就来对比昂科拉和途铠这两款车，看看哪款更适合你。外观：指标名称昂科拉途铠长[mm]42954218宽[mm]</t>
  </si>
  <si>
    <t>葫芦娃七兄弟</t>
  </si>
  <si>
    <t>2020/02/24 09:00:00</t>
  </si>
  <si>
    <t>现在的人们生活水平十分的高，生活水平高了手里有钱了买的车也自然不会差。可是总有人在买车的时候会比较喜欢攀比，但最好的不一定是最贵的，今天我们就来对比昂科拉和途铠这两款车，看看哪款更适合你。外观：指标名称昂科拉途铠长[mm]42954218宽[mm]17981760高[mm]16161589轴距[mm</t>
  </si>
  <si>
    <t>日前，有媒体报道“国六排放或将全国范围内推迟实施”，如今官方回应来了。中国汽车工业协会副秘书长陈士华表示，协会确实向相关部门提交了推迟全国范围内实施国六排放标准的建议，不过并未公开，是否采纳暂未可知。    按照国家环保部与国家质检总局2016年12月23日联合发布的国标gb18352.6-2016</t>
  </si>
  <si>
    <t>　　日前，有媒体报道“国六排放或将全国范围内推迟实施”，如今官方回应来了。中国汽车工业协会副秘书长陈士华表示，协会确实向相关部门提交了推迟全国范围内实施国六排放标准的建议，不过并未公开，是否采纳暂未可知。　　按照国家环保部与国家质检总局2016年12月23日联合发布的国标gb18352.6-2016</t>
  </si>
  <si>
    <t>2020/02/24 08:59:00</t>
  </si>
  <si>
    <t>日前，我们从相关渠道获悉，林肯国产飞行家将于今年下半年正式上市，作为一款豪华七座中大型SUV，国产飞行家基于福特全新的CD6后驱平台打造而来，造型方面与进口版车型保持一致，并分别提供3.0T（双增压）和3.0T PHEV插电混动两种动力选择。造型方面，国产飞行家与此前上市的进口版车型基本保持一致，新</t>
  </si>
  <si>
    <t>国产首款7座豪华SUV 尺寸超X5和Q7日前，我们从相关渠道获悉，林肯国产飞行家将于今年下半年正式上市，作为一款豪华七座中大型SUV，国产飞行家基于福特全新的CD6后驱平台打造而来，造型方面与进口版车型保持一致，并分别提供3.0T（双增压）和3.0T PHEV插电混动两种动力选择。造型方面，国产飞行</t>
  </si>
  <si>
    <t>2月23日晚，中科创达软件股份有限公司（简称“中科创达”）发布公告，为加快实施自身发展战略，推动公司各项业务快速发展，拟非公开发行股票，发行对象不超过35名，募集资金总额不超过17亿元，用于智能网联汽车操作系统研发项目、智能驾驶辅助系统研发项目、5g智能终端认证平台研发项目等。    中科创达成立于</t>
  </si>
  <si>
    <t>　　2月23日晚，中科创达软件股份有限公司（简称“中科创达”）发布公告，为加快实施自身发展战略，推动公司各项业务快速发展，拟非公开发行股票，发行对象不超过35名，募集资金总额不超过17亿元，用于智能网联汽车操作系统研发项目、智能驾驶辅助系统研发项目、5g智能终端认证平台研发项目等。　　中科创达成立于</t>
  </si>
  <si>
    <t>疫情后就会降价？这几款SUV不加价已偷笑对于新车上市，很多人都持观望态度，有的是等优惠，有的是等待别人的真实使用体验。不过对于以下几款SUV来说，等待可能不会起太大作用，因为它们产品可靠，价格坚挺，哪怕是疫情期间乃至过后都很难迎来大幅优惠。下面，我们就一起来看看，到底哪几款车可以这么牛！一汽丰田RA</t>
  </si>
  <si>
    <t>布加迪作为世界顶级超跑品牌，一向以中置四驱、8.0T W16发动机为基础打造各类“性能怪兽”，十余年来一直都在生产地表最速超级跑车。然而，布加迪在不久前发布的新车Atlantic却颠覆这一常规，旨在打造一款极致奢华的前置后驱GT跑车，改为搭载V8发动机，相对在性能上略显“寒酸”。 即便如此，但造型上</t>
  </si>
  <si>
    <t>2020/02/24 08:57:00</t>
  </si>
  <si>
    <t>日前，比亚迪宣布推出基于磷酸铁锂技术“刀片电池”，并将首发搭载计划于今年中上市的全新中大型新能源轿车比亚迪汉。    据悉，刀片电池这是由比亚迪开发的长度大于0.6m大电芯，通过阵列方式排布在一起，像“刀片”一般插入电池包的一种电池设计工艺，因此名为“刀片电池”。比亚迪方面介绍，基于磷酸铁锂技术的刀</t>
  </si>
  <si>
    <t>　　日前，比亚迪宣布推出基于磷酸铁锂技术“刀片电池”，并将首发搭载计划于今年中上市的全新中大型新能源轿车比亚迪汉。　　据悉，刀片电池这是由比亚迪开发的长度大于0.6m大电芯，通过阵列方式排布在一起，像“刀片”一般插入电池包的一种电池设计工艺，因此名为“刀片电池”。比亚迪方面介绍，基于磷酸铁锂技术的刀</t>
  </si>
  <si>
    <t>沈丹</t>
  </si>
  <si>
    <t>前置后驱搭载V8 布加迪这款新车略显“寒酸”布加迪作为世界顶级超跑品牌，一向以中置四驱、8.0T W16发动机为基础打造各类“性能怪兽”，十余年来一直都在生产地表最速超级跑车。然而，布加迪在不久前发布的新车Atlantic却颠覆这一常规，旨在打造一款极致奢华的前置后驱GT跑车，改为搭载V8发动机，相</t>
  </si>
  <si>
    <t>这款被龙哥害停产的MPV 可能换脸复活 但感觉还是凉凉咱们的信仰，大众汽车，深耕中国市场几十年，从轿车到SUV都卖得风生水起。唯独MPV领域没能打开市场，大众牌MPV夏朗、凯路威、迈特威都是进口车，贵的飞起。途安L虽是国产，奈何同级对手实在太强，销量没啥看头。如果对大众MPV有所了解，或许还有吃瓜群</t>
  </si>
  <si>
    <t>2020/02/24 08:56:00</t>
  </si>
  <si>
    <t>在很多二胎妈妈的心中，最完美的车子就是大家都有座位的7座MPV，除了两个宝宝的安全座椅，自己和先生的座位之外，难道父母不应该享受舒适的出行生活吗？尤其是在这次疫情之下，有一台舒适的出行工具就更显重要。从国产到进口，看了这么多的车子，突然发现了一个特点，那就是所有的车好像都在仿照埃尔法，真是全民皆可“</t>
  </si>
  <si>
    <t>近日，据海外媒体消息，丰田将会在海外发布卡罗拉Cross版本的两厢车型，新车外观造型更加年轻运动，并有可能更名为Venza。据悉，新卡罗拉Cross计划将于2021年9月推出。    外观方面，卡罗拉Cross采用丰田家族最新的设计，前脸风格更加激进，同时前大灯造型也极为犀利。侧面造型较为紧凑，双五</t>
  </si>
  <si>
    <t>　　近日，据海外媒体消息，丰田将会在海外发布卡罗拉Cross版本的两厢车型，新车外观造型更加年轻运动，并有可能更名为Venza。据悉，新卡罗拉Cross计划将于2021年9月推出。　　外观方面，卡罗拉Cross采用丰田家族最新的设计，前脸风格更加激进，同时前大灯造型也极为犀利。侧面造型较为紧凑，双五</t>
  </si>
  <si>
    <t>咱们的信仰，大众汽车，深耕中国市场几十年，从轿车到SUV都卖得风生水起。唯独MPV领域没能打开市场，大众牌MPV夏朗、凯路威、迈特威都是进口车，贵的飞起。途安L虽是国产，奈何同级对手实在太强，销量没啥看头。如果对大众MPV有所了解，或许还有吃瓜群众会想起大众开迪。开迪2005年正式进入中国市场，由一</t>
  </si>
  <si>
    <t>日前，一汽红旗官方公布了2020年第一个月份的销量数据。数据显示，当月一汽红旗累计销售汽车12,630辆，相比2019年同期增幅高达142.7%。考虑到春节假期和疫情的影响，这一表现相当出色了。    产品方面，目前红旗已经形成了h系列轿车和hs系列suv两条产品线。其中，中型轿车红旗h5和中型su</t>
  </si>
  <si>
    <t>　　日前，一汽红旗官方公布了2020年第一个月份的销量数据。数据显示，当月一汽红旗累计销售汽车12,630辆，相比2019年同期增幅高达142.7%。考虑到春节假期和疫情的影响，这一表现相当出色了。　　产品方面，目前红旗已经形成了h系列轿车和hs系列suv两条产品线。其中，中型轿车红旗h5和中型su</t>
  </si>
  <si>
    <t>堪比头等舱的享受 2.5L混动+211匹马力 不香吗？在很多二胎妈妈的心中，最完美的车子就是大家都有座位的7座MPV，除了两个宝宝的安全座椅，自己和先生的座位之外，难道父母不应该享受舒适的出行生活吗？尤其是在这次疫情之下，有一台舒适的出行工具就更显重要。从国产到进口，看了这么多的车子，突然发现了一个</t>
  </si>
  <si>
    <t>603马力输出 GLE 63 S Coupe一看就不好惹日前，梅赛德斯-AMG官方正式发布了全新GLE 63 S Coupe车型的官方图片，新车基于旗下中大型SUV GLE Coupe打造而来，新车也将成为该车系性能最强的产品。 作为梅赛德斯-奔驰旗下的一款热门SUV车型，GLE于2015年引入国内</t>
  </si>
  <si>
    <t>2020/02/24 08:55:00</t>
  </si>
  <si>
    <t>左手实用右手情怀 品质生活必选瓦罐 30万旅行车推荐旅行车在国内一直是一个小众车种，尽管国人接触旅行车的历史并不算短，但是叫好不叫座的局面二十多年来就一直没有明显的改变。不知是不是因祸得福，旅行车的地位也从常规轿车的附庸变成了彰显个性的欧式特色情怀车种，喜欢它的消费者大多都有着对于精致生活的追求和向</t>
  </si>
  <si>
    <t>日前，大众正式发布了全新第五代开迪，新车基于第二代MQB平台打造，外观采用最新家族设计，提供Cargo、Maxi Cargo、Life MPV和PanAmericana四个版本。    全新开迪采用最新设计，外观风格非常前卫。前脸采用分体式格栅，不同版本车型在外观细节上会存在区别。底部格栅设计新颖，</t>
  </si>
  <si>
    <t>旅行车在国内一直是一个小众车种，尽管国人接触旅行车的历史并不算短，但是叫好不叫座的局面二十多年来就一直没有明显的改变。不知是不是因祸得福，旅行车的地位也从常规轿车的附庸变成了彰显个性的欧式特色情怀车种，喜欢它的消费者大多都有着对于精致生活的追求和向往，于是在最近几年各个价位都有旅行车推出，尤其是30</t>
  </si>
  <si>
    <t>日前，梅赛德斯-AMG官方正式发布了全新GLE 63 S Coupe车型的官方图片，新车基于旗下中大型SUV GLE Coupe打造而来，新车也将成为该车系性能最强的产品。 作为梅赛德斯-奔驰旗下的一款热门SUV车型，GLE于2015年引入国内销售，其市场热度也要高于宝马X5、奥迪Q7等车型，而GL</t>
  </si>
  <si>
    <t>2月21日，长城汽车股份有限公司发布2019年度业绩快报。数据显示，2019年长城汽车全年实现营业总收入964.55亿元，净利润达45.26亿元。值得一提的是，长城汽车在2019年下半年实现净利润29.75亿元，同比大增94.3%。    2019年，在国内车市整体遇冷的环境下，长城汽车经营业绩持续</t>
  </si>
  <si>
    <t>　　2月21日，长城汽车股份有限公司发布2019年度业绩快报。数据显示，2019年长城汽车全年实现营业总收入964.55亿元，净利润达45.26亿元。值得一提的是，长城汽车在2019年下半年实现净利润29.75亿元，同比大增94.3%。　　2019年，在国内车市整体遇冷的环境下，长城汽车经营业绩持续</t>
  </si>
  <si>
    <t>　　日前，大众正式发布了全新第五代开迪，新车基于第二代MQB平台打造，外观采用最新家族设计，提供Cargo、Maxi Cargo、Life MPV和PanAmericana四个版本。　　全新开迪采用最新设计，外观风格非常前卫。前脸采用分体式格栅，不同版本车型在外观细节上会存在区别。底部格栅设计新颖，</t>
  </si>
  <si>
    <t>车内最容易脏最容易有细菌的这几个地方如何清洗？除了车身，车内很多地方都需要我们仔细清洗。No.1 清洗汽车空调夏季使用空调的频率大大增加，如果不及时清理空调系统中的污物，容易滋生细菌、螨虫和有害微生物，不但气味难闻，且严重危害健康。清洗汽车空调的好处1、 增强制冷。专用清洗剂清洗后空调内无尘无垢，气</t>
  </si>
  <si>
    <t>2020/02/24 08:54:00</t>
  </si>
  <si>
    <t>除了车身，车内很多地方都需要我们仔细清洗。No.1 清洗汽车空调夏季使用空调的频率大大增加，如果不及时清理空调系统中的污物，容易滋生细菌、螨虫和有害微生物，不但气味难闻，且严重危害健康。清洗汽车空调的好处1、 增强制冷。专用清洗剂清洗后空调内无尘无垢，气流交换顺畅，制冷效果明显增强。2、有益健康。专</t>
  </si>
  <si>
    <t>玛莎拉蒂全新跑车官方命名MC20正式公布近日，意大利超豪华汽车品牌玛莎拉蒂正式宣布，旗下备受瞩目的全新跑车将命名为MC20。全新跑车由玛莎拉蒂创新实验室研发设计，将在历史悠久的摩德纳工厂进行生产，并将于五月底在摩德纳全球首发。全新跑车的命名强调了这款重磅力作卓越的赛道基因和无与伦比的运动特性，其中，</t>
  </si>
  <si>
    <t>2020/02/24 08:53:00</t>
  </si>
  <si>
    <t>新能源扶持或将延续 国内电动车补贴有望延长？2月份，是个“春打头”的日子，应该是辞旧迎新的时刻，很多行业也都准备放弃过去的好与坏，重打鼓另开张的大干一场。但是还没开始干呢，就遭遇了一场疫情，人们不能复工，行业不能运转，中国汽车市场本已经在过去的两年中“风雨飘零”，现在又遭逢“天灾”，就在各大汽车厂商</t>
  </si>
  <si>
    <t>近日，意大利超豪华汽车品牌玛莎拉蒂正式宣布，旗下备受瞩目的全新跑车将命名为MC20。全新跑车由玛莎拉蒂创新实验室研发设计，将在历史悠久的摩德纳工厂进行生产，并将于五月底在摩德纳全球首发。全新跑车的命名强调了这款重磅力作卓越的赛道基因和无与伦比的运动特性，其中，MC是Maserati Corse（玛莎</t>
  </si>
  <si>
    <t>2月份，是个“春打头”的日子，应该是辞旧迎新的时刻，很多行业也都准备放弃过去的好与坏，重打鼓另开张的大干一场。但是还没开始干呢，就遭遇了一场疫情，人们不能复工，行业不能运转，中国汽车市场本已经在过去的两年中“风雨飘零”，现在又遭逢“天灾”，就在各大汽车厂商大大吐苦水的时候，业内的一条小道消息正在“疯</t>
  </si>
  <si>
    <t>一场突如其来的新冠肺炎疫情使处于“寒冬”各大汽车企业的日子更加难过了，疫情期间是否会对广汽本田销量产生影响？在疫情的影响下广汽本田有哪些营销举措的调整呢？带着问题爱卡汽车对话广汽本田汽车有限公司副总经理袁小华，袁小华表示，疫情对于广汽本田的销量会在2-3月份有所体现，疫情会在短期内影响销量的提升，但</t>
  </si>
  <si>
    <t>2020/02/24 08:52:00</t>
  </si>
  <si>
    <t>　　一场突如其来的新冠肺炎疫情使处于“寒冬”各大汽车企业的日子更加难过了，疫情期间是否会对广汽本田销量产生影响？在疫情的影响下广汽本田有哪些营销举措的调整呢？带着问题爱卡汽车对话广汽本田汽车有限公司副总经理袁小华，袁小华表示，疫情对于广汽本田的销量会在2-3月份有所体现，疫情会在短期内影响销量的提升</t>
  </si>
  <si>
    <t>跨界轿跑SUV 爱驰U6 ion设计草图发布2月18日，爱驰汽车正式发布了旗下第二款车型U6 ion的设计草图，该车定位为跨界轿跑SUV，基于爱驰的MAS平台所打造。根据爱驰官方的信息，新车将在2020日内瓦国际车展期间进行全球首秀。爱驰此前已经有了SUV量产车U5和MPV概念车U7 ion，现在U</t>
  </si>
  <si>
    <t>2月18日，爱驰汽车正式发布了旗下第二款车型U6 ion的设计草图，该车定位为跨界轿跑SUV，基于爱驰的MAS平台所打造。根据爱驰官方的信息，新车将在2020日内瓦国际车展期间进行全球首秀。爱驰此前已经有了SUV量产车U5和MPV概念车U7 ion，现在U6 ion也很快就要正式发布了，这样一来爱驰</t>
  </si>
  <si>
    <t>2020年1月恰逢春节假期，实际销售天数相比去年同期有所降低，而疫情又给市场再泼上了一盆冷水。疫情究竟会对汽车产业带来怎样的影响？本月，爱卡汽车就相关问题询问了大众中国ceo冯思翰博士。冯思翰博士表示，目前疫情趋势尚不明朗，现在就对销量影响做出详细预判还为时过早，我们会持续关注疫情发展态势，根据新车</t>
  </si>
  <si>
    <t>2020/02/24 08:51:00</t>
  </si>
  <si>
    <t>　　2020年1月恰逢春节假期，实际销售天数相比去年同期有所降低，而疫情又给市场再泼上了一盆冷水。疫情究竟会对汽车产业带来怎样的影响？本月，爱卡汽车就相关问题询问了大众中国ceo冯思翰博士。冯思翰博士表示，目前疫情趋势尚不明朗，现在就对销量影响做出详细预判还为时过早，我们会持续关注疫情发展态势，根据</t>
  </si>
  <si>
    <t>近日，杭州市小客车总量调控管理办公室宣布，因受新型冠状病毒肺炎疫情影响，为保障小客车指标有效使用，经研究决定：有效期截止日期在2020年2月29日到2020年5月31日（含）之间的个人和单位小客车增量指标、更新指标、其他指标（含县市指标、阶梯指标），有效期将统一延长6个月。    官方举例说明，例如</t>
  </si>
  <si>
    <t>2020/02/24 08:49:00</t>
  </si>
  <si>
    <t>　　近日，杭州市小客车总量调控管理办公室宣布，因受新型冠状病毒肺炎疫情影响，为保障小客车指标有效使用，经研究决定：有效期截止日期在2020年2月29日到2020年5月31日（含）之间的个人和单位小客车增量指标、更新指标、其他指标（含县市指标、阶梯指标），有效期将统一延长6个月。　　官方举例说明，例如</t>
  </si>
  <si>
    <t>2020年伊始中国便遭受到新型冠状病毒疫情的侵袭，汽车行业自然也受到了冲击，众多车企推迟复工时间，4s店也转为线上经营，对一季度的汽车销量造成了直接影响。日前，就疫情对全年车市的影响以及车企在营销策略上有什么针对性的调整两个问题，我们咨询了东风乘用车公司副总经理颜宏斌先生，看看他是如何看待的。东风乘</t>
  </si>
  <si>
    <t>2020/02/24 08:48:00</t>
  </si>
  <si>
    <t>　　2020年伊始中国便遭受到新型冠状病毒疫情的侵袭，汽车行业自然也受到了冲击，众多车企推迟复工时间，4s店也转为线上经营，对一季度的汽车销量造成了直接影响。日前，就疫情对全年车市的影响以及车企在营销策略上有什么针对性的调整两个问题，我们咨询了东风乘用车公司副总经理颜宏斌先生，看看他是如何看待的。东</t>
  </si>
  <si>
    <t>受到新冠肺炎疫情的影响，车企不得不面对工厂延迟复工、零部件供应脱节等问题，这将直接影响车市全年的走势。另一方面，通过这次疫情使更多消费者意识到了车内空气质量的重要性，因此车企们后续的营销策略势必会进行调整。对此，爱卡汽车就相关问题与沃尔沃汽车大中华区销售公司市场副总裁车艳华进行了沟通，车艳华女士表示</t>
  </si>
  <si>
    <t>2020/02/24 08:46:00</t>
  </si>
  <si>
    <t>投诉编号：【448423】  投诉时间： 2020-02-24 08:44  投诉品牌： 一汽丰田  投诉车系： 威驰  投诉车型： 2017款 1.5L CVT 智行版        投诉内容  发动机转速1100左右时速40到60之间发动机呼噜声特别大，太烦人了，网上查了好像是通病。要求厂家解决</t>
  </si>
  <si>
    <t>2020/02/24 08:44:00</t>
  </si>
  <si>
    <t>近日，领克宣布为全国超过26万名用户，免费更换cn95级别空调滤芯。本次更换的cn95级别空调滤芯对直径大于0.3μm的颗粒过滤效率达到95%以上。此外，未来领克全系车型都将标配过滤级别95%以上的空调滤芯。    即日起至2020年6月30日，广大用户都可在领克app预约空调滤芯更换事宜。此外，领</t>
  </si>
  <si>
    <t>2020/02/24 08:43:00</t>
  </si>
  <si>
    <t>　　近日，领克宣布为全国超过26万名用户，免费更换cn95级别空调滤芯。本次更换的cn95级别空调滤芯对直径大于0.3μm的颗粒过滤效率达到95%以上。此外，未来领克全系车型都将标配过滤级别95%以上的空调滤芯。　　即日起至2020年6月30日，广大用户都可在领克app预约空调滤芯更换事宜。此外，领</t>
  </si>
  <si>
    <t>近日，玛莎拉蒂官方宣布旗下全新跑车定名为mc20。mc20代表着maserati corse 2020，作为玛莎拉蒂全新时代的首款车型，mc20由玛莎拉蒂创新实验室研发设计，并将于五月底在摩德纳全球首发。而mc20的推出，也意味着三叉戟品牌将再次重返赛道，续写传奇。玛莎拉蒂mc20路试谍照    尽</t>
  </si>
  <si>
    <t>2020/02/24 08:41:00</t>
  </si>
  <si>
    <t>　　近日，玛莎拉蒂官方宣布旗下全新跑车定名为mc20。mc20代表着maserati corse 2020，作为玛莎拉蒂全新时代的首款车型，mc20由玛莎拉蒂创新实验室研发设计，并将于五月底在摩德纳全球首发。而mc20的推出，也意味着三叉戟品牌将再次重返赛道，续写传奇。玛莎拉蒂mc20路试谍照　　尽</t>
  </si>
  <si>
    <t>日前，有媒体获得了标致landtrek车型的官图，该车是由长安汽车和psa集团合作打造的一款皮卡车型，可以看做长安凯程f70的姊妹车型。与凯程f70不同的是，标致landtrek采用了标致的家族式设计语言，且未来主销市场为拉丁美洲和非洲。    外观部分，我们可以通过前脸明显看出标致landtrek</t>
  </si>
  <si>
    <t>2020/02/24 08:39:00</t>
  </si>
  <si>
    <t>　　日前，有媒体获得了标致landtrek车型的官图，该车是由长安汽车和psa集团合作打造的一款皮卡车型，可以看做长安凯程f70的姊妹车型。与凯程f70不同的是，标致landtrek采用了标致的家族式设计语言，且未来主销市场为拉丁美洲和非洲。　　外观部分，我们可以通过前脸明显看出标致landtrek</t>
  </si>
  <si>
    <t>近日据外媒报道，2022年3月前马自达将不会推出全新车型，同时也不会对现有车型做出重磅改款/换代，而在这两年“空窗期”，马自达将提供更多技术给予消费者。2020款马自达3昂克赛拉    其实，早在2019年3月份，马自达就提出过要研发全新大型车平台和动力系统，并称这些变动要将马自达品牌提升到高端豪华</t>
  </si>
  <si>
    <t>2020/02/24 08:38:00</t>
  </si>
  <si>
    <t>日前，ds品牌宣布将于2月24日发布旗下全新车型，并一同公布了预告图。据海外媒体的披露，这款中大型豪华轿车的身份或将是此前已现身工信部申报目录的ds 9。新车与标致508l相同，基于psa集团emp2平台打造而来。目前法国总统马克龙的专属座驾为ds 7，我们预计作为家族全新旗舰轿车的ds 9在推出后</t>
  </si>
  <si>
    <t>2020/02/24 08:36:00</t>
  </si>
  <si>
    <t>　　日前，ds品牌宣布将于2月24日发布旗下全新车型，并一同公布了预告图。据海外媒体的披露，这款中大型豪华轿车的身份或将是此前已现身工信部申报目录的ds 9。新车与标致508l相同，基于psa集团emp2平台打造而来。目前法国总统马克龙的专属座驾为ds 7，我们预计作为家族全新旗舰轿车的ds 9在推</t>
  </si>
  <si>
    <t>日前，我们从相关渠道获得了全新一代高尔夫gti车型的预告图，图中向我们展示了全新一代高尔夫gti的前脸设计。动力部分新车将继续搭载2.0t发动机，并将在3月3日开幕的日内瓦车展上正式亮相。    从预告图中我们可以看出，全新一代高尔夫gti前脸的整体设计基本与普通版车型保持一致，但为了凸显其“小刚炮</t>
  </si>
  <si>
    <t>2020/02/24 08:35:00</t>
  </si>
  <si>
    <t>　　日前，我们从相关渠道获得了全新一代高尔夫gti车型的预告图，图中向我们展示了全新一代高尔夫gti的前脸设计。动力部分新车将继续搭载2.0t发动机，并将在3月3日开幕的日内瓦车展上正式亮相。　　从预告图中我们可以看出，全新一代高尔夫gti前脸的整体设计基本与普通版车型保持一致，但为了凸显其“小刚炮</t>
  </si>
  <si>
    <t>新车君威出现无法正常启动新车一个月出现点火困难问题，至今不到9个月出现6次，4s点维修数次未修好，至今未查明故障原因。请问能申请退换车吗。</t>
  </si>
  <si>
    <t>老司机不开车</t>
  </si>
  <si>
    <t>2020/02/24 08:29:00</t>
  </si>
  <si>
    <t>日前，记者从相关渠道获取了一组西雅特旗下全新Cupra LEON ST车型的官图，新车将基于全新LEON进行打造。动力上将提供两种需求，分别为1.4T混动发动机和2.0T汽油发动机，其中，2.0T发动机将分为多种功率调教，预计新车将于3月份举办的日内瓦车展上正式亮相。    外观方面，新车外观采用了</t>
  </si>
  <si>
    <t>2020/02/24 08:25:00</t>
  </si>
  <si>
    <t>　　日前，记者从相关渠道获取了一组西雅特旗下全新Cupra LEON ST车型的官图，新车将基于全新LEON进行打造。动力上将提供两种需求，分别为1.4T混动发动机和2.0T汽油发动机，其中，2.0T发动机将分为多种功率调教，预计新车将于3月份举办的日内瓦车展上正式亮相。　　外观方面，新车外观采用了</t>
  </si>
  <si>
    <t>干式双离合变速箱升降挡异响什么原因？上汽名爵的干式双离合变速箱质量怎么这么差？</t>
  </si>
  <si>
    <t>2020/02/24 08:21:34</t>
  </si>
  <si>
    <t>清洗了节气门，更换火花塞后，热车怠速正常。冷启动怠速以前1200下降至800稳定，挂D挡怠速无变化。现在冷启动怠速是1500下降至1200，挂D挡怠速直接落到800，水温没有正常之前停车，挂N挡怠速会回升。期间怠速稳定。请问师傅这正常吗。</t>
  </si>
  <si>
    <t>2020/02/24 08:16:53</t>
  </si>
  <si>
    <t>投诉编号：【448421】
    投诉时间： 2020-02-24 08:04
    投诉品牌： 上汽通用别克
    投诉车系： 英朗
    投诉车型： 2018款 15T 双离合 进取型
太差了、这玩意</t>
  </si>
  <si>
    <t>2020/02/24 08:13:54</t>
  </si>
  <si>
    <t>君越28T尊贵版和凯美瑞HS锋尚版这两款车如何选择？</t>
  </si>
  <si>
    <t>2020/02/24 08:12:34</t>
  </si>
  <si>
    <t>车速表不转，电子方向没有压力，方向太硬，仪表上面出了防滑标志，刚开始坏了曲轴传感器，但我今天换了新的传感器，照样出现原来的故障？请师傅指教！</t>
  </si>
  <si>
    <t>2020/02/24 08:12:33</t>
  </si>
  <si>
    <t>远景X6这款车的变速箱为万里扬吗？</t>
  </si>
  <si>
    <t>2020/02/24 08:08:13</t>
  </si>
  <si>
    <t>码表不工作，显示水温高，油表显示没油，转速表不动，请问是哪里坏了，有时通电，有时不通电，但车子能开，就是电瓶正负极接反，就出现这毛病了。</t>
  </si>
  <si>
    <t>丰田皇冠故障码B2786怎么解？这是什么原因导致的？</t>
  </si>
  <si>
    <t>2020/02/24 08:03:37</t>
  </si>
  <si>
    <t>投诉编号：【448420】  投诉时间： 2020-02-24 08:03  投诉品牌： 宝马（进口）  投诉车系： 宝马3系GT  投诉车型： 2018款 2.0T 330i xDrive M运动型        投诉内容  20年2月23，打方向突然手感不好，突然感觉到粗糙，停车检查发现方向盘皮</t>
  </si>
  <si>
    <t>2020/02/24 08:03:00</t>
  </si>
  <si>
    <t>　　日前，国内媒体曝光了一组领克02 HEV油电混动车型的无伪装谍照。新车在设计上与领克02燃油版高度相似，主要区别在细节与动力部分。据悉，该车或将搭载与领克01 HEV相同的48V油电混合动力系统。　　从此次曝光的谍照来看，测试车基本没有覆盖伪装，外观设计风格与领克02燃油版几乎无异，如标志性的“</t>
  </si>
  <si>
    <t>2020/02/24 07:59:00</t>
  </si>
  <si>
    <t>日前，国内媒体曝光了一组领克02 HEV油电混动车型的无伪装谍照。新车在设计上与领克02燃油版高度相似，主要区别在细节与动力部分。据悉，该车或将搭载与领克01 HEV相同的48V油电混合动力系统。    从此次曝光的谍照来看，测试车基本没有覆盖伪装，外观设计风格与领克02燃油版几乎无异，如标志性的“</t>
  </si>
  <si>
    <t>售后服务，配件供应，服务网点等。奇瑞和比亚迪哪个品牌更好？</t>
  </si>
  <si>
    <t>2020/02/24 07:58:12</t>
  </si>
  <si>
    <t>高速车辆直行一段后(80�120车上三个人，两个人没事，)修正方向卡顿，不异响。请问怎么回事？谢谢回复</t>
  </si>
  <si>
    <t>日前，编辑从吉利汽车官方获悉，旗下全新紧凑级SUV吉利ICON将于今日正式上市。根据此前消息来看，新车将搭载N95口罩标准的车载空气滤芯，同时还将配备IAPS智能空气净化系统。在此疫情期间，吉利汽车还为消费者提供线上购车、360°AR看车、免费上门试驾、预定、交车，以及远程办理车险、金融按揭、购置税</t>
  </si>
  <si>
    <t>2020/02/24 07:40:00</t>
  </si>
  <si>
    <t>自由光19款典尚版和17款优越版配置哪里不同？</t>
  </si>
  <si>
    <t>2020/02/24 07:39:21</t>
  </si>
  <si>
    <t>10万公里奥德赛RB3.清洗了节气门，更换火花塞后热车怠速正常。冷启动怠速以前1200下降到800平稳，挂D挡怠速无变化。保养完后冷启动瞬间1500下降到1200正常，怠速稳定。挂D挡后突然下降至800。水温正常之前D挡和N挡之间切换的话，N挡怠速会升高。水温正常后，怠速全部正常。而熄火后马上启动，</t>
  </si>
  <si>
    <t>你好，那2018款的是进口发动机的话，那建议选择2018款是不是比较好？比较不太放心，国产发动机的技术。但是现在2018款的又是库存车比较多，这样的话选择一丰的弈泽呢比较好。望答复，谢谢。</t>
  </si>
  <si>
    <t>2020/02/24 07:34:03</t>
  </si>
  <si>
    <t>怎么检查点火线圈的故障，谢谢。</t>
  </si>
  <si>
    <t>2020/02/24 07:29:26</t>
  </si>
  <si>
    <t>19款长安CS55胎压监测怎么复位？</t>
  </si>
  <si>
    <t>2020/02/24 07:24:57</t>
  </si>
  <si>
    <t>昨天去途虎保养，检查发现波箱漏油，2017年3月购买的经典轩逸自动舒适版，请问给位如何维权？</t>
  </si>
  <si>
    <t>2020/02/24 07:20:01</t>
  </si>
  <si>
    <t>购车后，销售人员各种理由推脱，不给购车合同怎么办？</t>
  </si>
  <si>
    <t>2020/02/24 07:20:00</t>
  </si>
  <si>
    <t>提及菲亚特汽车，除了旗下名声显赫的法拉利和玛莎拉蒂等顶级超跑品牌，想必国人对其印象更深的还是早年间的派力奥、派朗等经典车型。作为较早走进国内家庭的轿车，南京菲亚特当年在市场中拥有极高的占有率。虽然后续由于种种原因导致南京菲亚特合资公司解体，但菲亚特很快又向国内引进了更具历史意义的车型——菲亚特500</t>
  </si>
  <si>
    <t>2020/02/24 07:10:00</t>
  </si>
  <si>
    <t>　　江铃驭胜S350定位硬派SUV，尤其是其非承载式的车身结构，在如今以城市型SUV为主流的市场当中已经并不多见了。自2010年底问世以来，江铃驭胜一直都是以“硬派”SUV的身份示人，包括非承载式车身结构、分时四驱以及柴油发动机等都是其最显著的产品标签，而这些元素也一直坚持贯彻至今。虽然柴油版车型一</t>
  </si>
  <si>
    <t>　　据乘联会提供的全国汽车产销数据显示，受春节假期和新冠肺炎疫情双重影响，2020年首月全国轿车共销售817,971辆，环比、同比双双大幅下降，其中环比下降19.7%，同比下降23.7%。同期，车质网接到车主针对轿车的有效投诉2,970宗，较2019年12月份下降27.7%，同比则降低24.3%。　</t>
  </si>
  <si>
    <t>　　提及菲亚特汽车，除了旗下名声显赫的法拉利和玛莎拉蒂等顶级超跑品牌，想必国人对其印象更深的还是早年间的派力奥、派朗等经典车型。作为较早走进国内家庭的轿车，南京菲亚特当年在市场中拥有极高的占有率。虽然后续由于种种原因导致南京菲亚特合资公司解体，但菲亚特很快又向国内引进了更具历史意义的车型――菲亚特5</t>
  </si>
  <si>
    <t xml:space="preserve">据乘联会提供的全国汽车产销数据显示，受春节假期和新冠肺炎疫情双重影响，2020年首月全国轿车共销售817,971辆，环比、同比双双大幅下降，其中环比下降19.7%，同比下降23.7%。同期，车质网接到车主针对轿车的有效投诉2,970宗，较2019年12月份下降27.7%，同比则降低24.3%。   </t>
  </si>
  <si>
    <t>投诉编号：【448417】    投诉时间： 2020-02-24 02:19
    投诉品牌： 上汽集团
    投诉车系： 名爵6
    投诉车型： 2017款 20T 自动 豪华智联版 国V
2019年6月27提的车</t>
  </si>
  <si>
    <t>2020/02/24 03:08:12</t>
  </si>
  <si>
    <t xml:space="preserve"> 投诉编号：【448416】
    投诉时间： 2020-02-24 02:08
    投诉品牌： 一汽奔腾
    投诉车系： 奔腾T77
    投诉车型： 2019款 230 TID 手动 豪华型 国VI
车联网一直未开通</t>
  </si>
  <si>
    <t>2020/02/24 02:57:07</t>
  </si>
  <si>
    <t xml:space="preserve"> 投诉编号：【448415】
    投诉时间： 2020-02-24 01:28
    投诉品牌： 长安汽车
    投诉车系： 欧诺S
    投诉车型： 2017款 1.5L 欧诺S 标准型 EA15-AB 3档经常进不去，</t>
  </si>
  <si>
    <t>2020/02/24 02:39:28</t>
  </si>
  <si>
    <t>投诉编号：【448414】
    投诉时间： 2020-02-24 00:22
    投诉品牌： 广汽三菱
    投诉车系： 欧蓝德
    投诉车型： 2019款 2.0L 两驱 畅享版 7座 国V
车辆冷车怠速抖动严重，行驶中整车抖动</t>
  </si>
  <si>
    <t>2020/02/24 02:08:05</t>
  </si>
  <si>
    <t>2020款欧兰德畅享版2.0L款，主要还是抖动，影响驾驶呢</t>
  </si>
  <si>
    <t>小生22jjj</t>
  </si>
  <si>
    <t>2020/02/24 00:39:00</t>
  </si>
  <si>
    <t>2020款欧兰德畅主要是抖动 影响驾驶2020款欧兰德畅享版2.0L款，主要还是抖动，影响驾驶呢</t>
  </si>
  <si>
    <t xml:space="preserve">    投诉编号：【448407】
    投诉时间： 2020-02-23 22:13
    投诉品牌： 东风标致
    投诉车系： 标致3008
    投诉车型： 2016款 1.6THP 自动 经典版
车之后发动机哒哒响。最近咔哧咔哧的响。</t>
  </si>
  <si>
    <t>2020/02/23 23:59:59</t>
  </si>
  <si>
    <t>投诉编号：【448411】
    投诉时间： 2020-02-23 23:45
    投诉品牌： 长安福特
     投诉车系： 福睿斯投诉车型： 2015款 1.5L 手动 舒适型
主驾驶车窗玻璃升降间歇性失灵</t>
  </si>
  <si>
    <t>新车没开多久变速箱就发现有油渍，去4s店就用貌似节气门清洗剂喷了下，油渍当时就没有了，叫我再观察一段时间，随后过了一段时间又出现了油渍，自己又去洗车店叫老板帮我洗干净了，过段时间又出现油渍，就这样反反复复的不停。有没有相同问题的车友朋友？这修得好吗？还是得换变速箱？4s店工作人员清洗渗油处</t>
  </si>
  <si>
    <t>爱5小白</t>
  </si>
  <si>
    <t>2020/02/23 22:18:00</t>
  </si>
  <si>
    <t>变速箱渗油 有相同问题的朋友吗新车没开多久变速箱就发现有油渍，去4s店就用貌似节气门清洗剂喷了下，油渍当时就没有了，叫我再观察一段时间，随后过了一段时间又出现了油渍，自己又去洗车店叫老板帮我洗干净了，过段时间又出现油渍，就这样反反复复的不停。有没有相同问题的车友朋友？这修得好吗？还是得换变速箱？4s</t>
  </si>
  <si>
    <t>投诉编号：【448406】  投诉时间： 2020-02-23 22:02  投诉品牌： 广汽丰田  投诉车系： 汉兰达  投诉车型： 2015款 2.0T 四驱 豪华版 7座        投诉内容  发动机漏油影响正常行驶和正常使用，在某网站看到大部分车友以发现问题，希望厂家尽快给广大车主一个满</t>
  </si>
  <si>
    <t>2020/02/23 22:02:00</t>
  </si>
  <si>
    <t>投诉编号：【448405】  投诉时间： 2020-02-23 21:59  投诉品牌： 一汽奔腾  投诉车系： 奔腾T77  投诉车型： 2019款 230 TID 自动 豪华型 国VI        投诉内容  一年漏水4.5次，一直修不好，一直处理不好。现在4S店一直不给解决。      投诉</t>
  </si>
  <si>
    <t>2020/02/23 21:59:00</t>
  </si>
  <si>
    <t>投诉编号：【448392】  投诉时间： 2020-02-23 20:38  投诉品牌： 上汽大众  投诉车系： 凌渡  投诉车型： 2019款 230TSI DSG 风尚版 国VI        投诉内容  上汽大众凌渡低速行驶时顿挫异响，挂R挡有较响的异响。      投诉回复  车质网已将您的</t>
  </si>
  <si>
    <t>2020/02/23 20:38:00</t>
  </si>
  <si>
    <t>投诉编号：【448389】  投诉时间： 2020-02-23 20:06  投诉品牌： 北京现代  投诉车系： 悦纳  投诉车型： 2016款 1.4L 手动 炫酷版 GLS        投诉内容  半轴渗油，挂挡有时候挂不进去，尤其是1挡和倒挡，方向盘偶尔异响，会发出嗡嗡的声音，车身怠速抖动！</t>
  </si>
  <si>
    <t>2020/02/23 20:06:00</t>
  </si>
  <si>
    <t>投诉编号：【448388】  投诉时间： 2020-02-23 19:59  投诉品牌： 长安汽车  投诉车系： 长安CS15  投诉车型： 2016款 1.5L 手动 时尚版        投诉内容  在夏天怠速乎高乎低，清洗节气门以后没有改善依然存在问题，夏季冷车启动两千多转，十一月份车子冷车启</t>
  </si>
  <si>
    <t>2020/02/23 19:59:00</t>
  </si>
  <si>
    <t>投诉编号：【448385】  投诉时间： 2020-02-23 19:27  投诉品牌： 广汽菲克菲亚特  投诉车系： 菲翔  投诉车型： 2012款 1.4T 自动 劲享版        投诉内容  引擎盖里面冒浓烟，有很重的皮毛燃烧臭味，仪表盘显示发动机异常，最后叫高速拖车，都烧冒烟发臭了，心里</t>
  </si>
  <si>
    <t>2020/02/23 19:27:00</t>
  </si>
  <si>
    <t>投诉编号：【448382】   投诉时间： 2020-02-23 19:09   投诉品牌： 长城汽车   投诉车系： 哈弗F7   投诉车型： 2019款 1.5T 两驱 i潮 国VI</t>
  </si>
  <si>
    <t>2020/02/23 19:23:48</t>
  </si>
  <si>
    <t>投诉编号：【448383】  投诉时间： 2020-02-23 19:15  投诉品牌： 长安马自达  投诉车系： 马自达3 昂克赛拉  投诉车型： 2017款 1.5L 自动 舒适型 三厢 国V        投诉内容  前段时间我去保养，发现底盘有油渍，叫师傅帮忙查一下，看到发动机和变速箱连接处</t>
  </si>
  <si>
    <t>2020/02/23 19:15:00</t>
  </si>
  <si>
    <t>投诉编号：【448381】  投诉时间： 2020-02-23 19:06  投诉品牌： 上汽大众  投诉车系： 帕萨特  投诉车型： 2019款 330TSI 领尊版 国V        投诉内容  中保研25%偏置碰撞，帕萨特A柱断裂，气囊移位未能有效保护驾驶员，我们严重怀疑新帕萨特结构设计缺陷</t>
  </si>
  <si>
    <t>2020/02/23 19:06:00</t>
  </si>
  <si>
    <t>2020/02/23 18:56:44</t>
  </si>
  <si>
    <t>投诉编号：【448372】
投诉时间： 2020-02-23 18:03
投诉品牌： 一汽丰田
投诉车系： 亚洲龙
投诉车型： 2019款 双擎 2.5L 豪华版 国V</t>
  </si>
  <si>
    <t>投诉编号：【448377】
    投诉时间： 2020-02-23 18:22
    投诉品牌： 北京现代
    投诉车系： 途胜 投诉车型： 2015款 1.6T 双离合 两驱 智能型 机油增多，动力弱，顿挫</t>
  </si>
  <si>
    <t>2020/02/23 18:55:59</t>
  </si>
  <si>
    <t>　　新冠疫情会对我国汽车产业发展特别是汽车环保产业产生哪些影响，后疫情时代我国汽车车内环保工作有关有哪些发展方向，面对即将到来的我国汽车产业和车内环保产业的复工复产，国家室内车内环境及环保产品质量监督检验中心主任、中华环保联合会车内环保专业委员会秘书长宋广生总结为四大发展影响和六项汽车产业和车内环保</t>
  </si>
  <si>
    <t>2020/02/23 18:43:00</t>
  </si>
  <si>
    <t>投诉编号：【448378】  投诉时间： 2020-02-23 18:27  投诉品牌： 上汽集团  投诉车系： 名爵HS  投诉车型： 2018款 20T 自动 两驱 荷尔蒙激情版 国V        投诉内容  上汽名爵HS电瓶亏电发动机无法正常启动，之前8天左右没打车，车没电我认了，上次四五天</t>
  </si>
  <si>
    <t>2020/02/23 18:27:00</t>
  </si>
  <si>
    <t>投诉编号：【448369】  投诉时间： 2020-02-23 17:47  投诉品牌： 一汽-大众  投诉车系： 探岳  投诉车型： 2019款 330TSI 两驱 豪华型 国Ⅵ        投诉内容  冷车启动异响，行驶过程中发动机6挡爬坡无力，加速无力，换挡延时，并带有异响和抖动，满载情况下</t>
  </si>
  <si>
    <t>2020/02/23 17:47:00</t>
  </si>
  <si>
    <t>投诉编号：【448368】  投诉时间： 2020-02-23 17:44  投诉品牌： 东南汽车  投诉车系： V3菱悦  投诉车型： 2011款 1.5 手动 风采版        投诉内容  东南V3菱悦无事故无泡水，车门，车架自购车3年开始碱烂，自2014年开始，车门车架开始碱烂如图片所示，</t>
  </si>
  <si>
    <t>2020/02/23 17:44:00</t>
  </si>
  <si>
    <t>投诉编号：【448366】  投诉时间： 2020-02-23 17:37  投诉品牌： 一汽大众  投诉车系： 捷达VS5  投诉车型： 2019款 280TSI 自动 荣耀型        投诉内容  捷达VS5四条米其林轮胎开裂严重，轮胎开裂，刚四个月的车3000公里，希望厂家可以安排工作人员</t>
  </si>
  <si>
    <t>2020/02/23 17:37:00</t>
  </si>
  <si>
    <t>投诉编号：【448365】投诉时间：2020-02-2317:35投诉品牌：北京现代投诉车系：途胜投诉车型：2018款1.6T双离合两驱15周年特别版投诉内容北京现代途胜升级后发动机噪音大，油耗增加，加速无力，要求降级，要求降到出厂时的程序。投诉回复车质网已将您的投诉转给生产企业以及国家市场监督管理</t>
  </si>
  <si>
    <t>2020/02/23 17:35:00</t>
  </si>
  <si>
    <t>投诉编号：【448364】投诉时间：2020-02-2317:34投诉品牌：上汽大众投诉车系：朗逸投诉车型：2019款280TSIDSG豪华版国VI投诉内容提车的时候就觉得味道很重，告知是新车的味道，开回来正是夏天，每天敞风，味道还是非常重，每次刚开车门时候简直是刺鼻，开车的时候必须把所有车门打开，</t>
  </si>
  <si>
    <t>2020/02/23 17:34:00</t>
  </si>
  <si>
    <t>投诉编号：【448362】
 投诉时间： 2020-02-23 17:21 投诉品牌： 上汽斯柯达 投诉车系： 明锐 投诉车型： 2017款 TSI280 DSG智行版 斯柯达明锐正常行驶中多次提示故障</t>
  </si>
  <si>
    <t>2020/02/23 17:33:24</t>
  </si>
  <si>
    <t>投诉编号：【448363】投诉时间：2020-02-2317:32投诉品牌：东风本田投诉车系：思域投诉车型：2016款220TURBO自动尊贵版投诉内容车辆于2017年9月28日购买，目前里程数约2.3万公里.大概行驶8000公里的时候已经发现轮胎掉块；大概1.8万公里时，在4S店将前后轮对调；平时</t>
  </si>
  <si>
    <t>2020/02/23 17:32:00</t>
  </si>
  <si>
    <t>投诉编号：【448360】
    投诉时间： 2020-02-23 17:20
    投诉品牌： 奇瑞汽车
    投诉车系： 瑞虎3 投诉车型： 2015款 1.6L CVT 智尚纪念版奇瑞瑞虎3车门爆漆生锈整体质量差</t>
  </si>
  <si>
    <t>2020/02/23 17:30:16</t>
  </si>
  <si>
    <t>新车发动机故障灯三个月不到的时间亮了三次，请问这属于质量问题吗？我可以怎么去维护自己的权益？</t>
  </si>
  <si>
    <t>2020/02/23 17:05:52</t>
  </si>
  <si>
    <t>你好，我想问一下，丰田C-HR、2018版和2020的发动机不一样？有什么区别和影响？望答复，谢谢！</t>
  </si>
  <si>
    <t>2020/02/23 16:48:36</t>
  </si>
  <si>
    <t>投诉编号：【448356】投诉时间：2020-02-2316:43投诉品牌：上汽大众投诉车系：帕萨特投诉车型：2019款330TSI精英版国VI投诉内容我是17款帕萨特车主，开了十多万公里，觉得挺好，就换了一款19款330精英国六帕萨特，因为相信品质，结果买完之后看到网上中保研的碰撞测试，安全性极差</t>
  </si>
  <si>
    <t>2020/02/23 16:43:00</t>
  </si>
  <si>
    <t>2019款东风本田XR-V是国六B车型吗？</t>
  </si>
  <si>
    <t>2020/02/23 16:37:06</t>
  </si>
  <si>
    <t>您好，想问下购车后，在使用成本，保养以及维修层面，CX-5和另外两田的CR-V，RAV4差别大吗？因为CX5好像是需要用全合成机油。</t>
  </si>
  <si>
    <t>2020/02/23 16:28:38</t>
  </si>
  <si>
    <t xml:space="preserve">投诉编号：【448354】  投诉时间： 2020-02-23 16:28  投诉品牌： 东风日产  投诉车系： 轩逸  投诉车型： 2016款 1.6XL CVT 尊享版        投诉内容  转速1000，加油门速度上不去。变速箱有顿挫感。4S店检查结果需变速箱大修。      投诉回复  </t>
  </si>
  <si>
    <t>2020/02/23 16:28:00</t>
  </si>
  <si>
    <t>发动机警示灯隔断时间会亮？？？</t>
  </si>
  <si>
    <t>2020/02/23 16:20:20</t>
  </si>
  <si>
    <t>为什么4S店订配件要在每周固定时间，周一需要配件，周五才能订，这几天时间只能干等，荣威的配件订单系统还是上世纪的手工记帐吗？</t>
  </si>
  <si>
    <t>投诉编号：【448349】  投诉时间： 2020-02-23 15:56  投诉品牌： 一汽丰田  投诉车系： 卡罗拉  投诉车型： 2017款 1.2T S-CVT GL 改款        投诉内容  之前一直没注意轮胎这个问题，不经意间看到的，只是发现的晚不知道什么时候就出现的这个情况的，前</t>
  </si>
  <si>
    <t>2020/02/23 15:56:00</t>
  </si>
  <si>
    <t xml:space="preserve">投诉编号：【448348】  投诉时间： 2020-02-23 15:54  投诉品牌： 吉利汽车  投诉车系： 帝豪  投诉车型： 2017款 1.5L CVT 向上版 三厢 百万款        投诉内容  吉利帝豪后挡风与车身缝隙生锈。三年的车就生锈。希望厂家可以安排工作人员尽快解决。    </t>
  </si>
  <si>
    <t>2020/02/23 15:54:00</t>
  </si>
  <si>
    <t>发动机没有下护板装了对变速箱散热有影响吗？</t>
  </si>
  <si>
    <t>2020/02/23 15:45:42</t>
  </si>
  <si>
    <t>投诉编号：【448347】投诉时间：2020-02-2315:40投诉品牌：一汽-大众奥迪投诉车系：奥迪A3投诉车型：2018款Limousine1.4T时尚型30周年年型投诉内容副驾驶位置真皮大面积皱褶，真皮和海绵部分分离，平时没有人坐，驾驶位经常坐也没有出现这种情况，4s店说属于正常？不能接受！</t>
  </si>
  <si>
    <t>2020/02/23 15:40:00</t>
  </si>
  <si>
    <t>投诉编号：【448346】投诉时间：2020-02-2315:39投诉品牌：吉利汽车投诉车系：帝豪新能源投诉车型：2016款EV精英型三厢投诉内容吉利帝豪新能源加热器损坏无法使用暖风，保修期内维修过空调，减速器，现加热器损坏无法使用暖风。到④s连过obd，确是有加热器损坏的故障。希望厂家可以安排工作</t>
  </si>
  <si>
    <t>2020/02/23 15:39:00</t>
  </si>
  <si>
    <t>投诉编号：【448344】  投诉时间： 2020-02-23 15:30  投诉品牌： 北汽昌河  投诉车系： 福瑞达K22  投诉车型： 2017款 1.5L 标准型 DK15        投诉内容  车辆在保范围内，出现质量问题，4s店说厂家没件迟迟不给解决，方向打不动，行驶跑偏，在质保范围</t>
  </si>
  <si>
    <t>2020/02/23 15:30:00</t>
  </si>
  <si>
    <t xml:space="preserve">  投诉编号：【448343】
    投诉时间： 2020-02-23 15:27
    投诉品牌： 上汽通用别克
    投诉车系： 凯越
    投诉车型： 2011款 1.6 手动 LX中控台裂开</t>
  </si>
  <si>
    <t>2020/02/23 15:29:32</t>
  </si>
  <si>
    <t>请问4s店收取解押费用才肯办理解压，合理吗？</t>
  </si>
  <si>
    <t>2020/02/23 15:16:26</t>
  </si>
  <si>
    <t xml:space="preserve">
    投诉编号：【448335】
    投诉时间： 2020-02-23 14:27
    投诉品牌： 上汽大众
    投诉车系： 帕萨特
    投诉车型： 2019款 330TSI 豪华版 国VI上汽大众帕萨特A柱变形 二挡降一挡异响</t>
  </si>
  <si>
    <t>2020/02/23 15:01:39</t>
  </si>
  <si>
    <t>奥迪车质量保养怎么样，开到五年能出现什么现象？</t>
  </si>
  <si>
    <t>2020/02/23 14:53:41</t>
  </si>
  <si>
    <t>哈弗H6出现变速器功能受限能解决吗，解决后会不会再出现？</t>
  </si>
  <si>
    <t>2020/02/23 14:53:40</t>
  </si>
  <si>
    <t>投诉编号：【448340】  投诉时间： 2020-02-23 14:52  投诉品牌： 一汽-大众  投诉车系： 迈腾  投诉车型： 2015款 1.8TSI 领先型        投诉内容  一汽大众迈腾变速箱机电控制单元损坏，希望厂家可以安排工作人员尽快解决。      投诉回复  车质网已将</t>
  </si>
  <si>
    <t>2020/02/23 14:52:00</t>
  </si>
  <si>
    <t>投诉编号：【448339】  投诉时间： 2020-02-23 14:51  投诉品牌： 华晨宝马  投诉车系： 宝马X3  投诉车型： 2019款 xDrive28i 豪华套装        投诉内容  新车约五千公里时出现行驶明显晃动，左右摇摆，失去操控性。多次去宝马4s店，本人先后自费一万多元</t>
  </si>
  <si>
    <t>2020/02/23 14:51:00</t>
  </si>
  <si>
    <t>投诉编号：【448338】  投诉时间： 2020-02-23 14:50  投诉品牌： 东风日产  投诉车系： 天籁  投诉车型： 2019款 2.0L XL Upper 智行版        投诉内容  我于2019年9月27日在贵州够买的2019款天籁2.0L智行版，在驾驶四个月后的2020年</t>
  </si>
  <si>
    <t>2020/02/23 14:50:00</t>
  </si>
  <si>
    <t>投诉编号：【448327】
    投诉时间： 2020-02-23 13:20
    投诉品牌： 江铃福特
    投诉车系： 领界
    投诉车型： 2019款 EcoBoost 145 CVT 尊领型 国VI
江铃福特领界电瓶亏电导致车辆无法启动</t>
  </si>
  <si>
    <t>2020/02/23 14:34:24</t>
  </si>
  <si>
    <t>投诉编号：【448337】  投诉时间： 2020-02-23 14:33  投诉品牌： 东风日产  投诉车系： 轩逸  投诉车型： 2018款 1.6XE+ CVT 领先版 经典        投诉内容  东风日产轩逸变速箱顿挫明显抖动，主要表现为打火后第一次挂挡经过R挡时顿挫明显有震动。希望厂家</t>
  </si>
  <si>
    <t>2020/02/23 14:33:00</t>
  </si>
  <si>
    <t>投诉编号：【448336】  投诉时间： 2020-02-23 14:31  投诉品牌： 上汽通用五菱  投诉车系： 宝骏560  投诉车型： 2017款 1.5T DCT 旗舰型 7座        投诉内容  两年5万多公里的车变速箱换已更换3个其他配件就不说了，现在主驾驶和副驾驶座椅塌陷变形，</t>
  </si>
  <si>
    <t>2020/02/23 14:31:00</t>
  </si>
  <si>
    <t>投诉编号：【448333】  投诉时间： 2020-02-23 14:23  投诉品牌： 一汽马自达  投诉车系： 阿特兹  投诉车型： 2020款 2.5L 蓝天尊崇版        投诉内容  不论是否有播放音乐，汽车音响喇叭始终有滋滋的电流声，前排电流噪音特别明显，非常难受。多次找4S店甚至厂</t>
  </si>
  <si>
    <t>2020/02/23 14:23:00</t>
  </si>
  <si>
    <t>投诉编号：【448317】
    投诉时间： 2020-02-23 12:28
    投诉品牌： 一汽红旗
    投诉车系： 红旗H5
    投诉车型： 2019款 30TD 型动版一汽红旗H5购买新车生产时间超过6个月</t>
  </si>
  <si>
    <t>2020/02/23 14:13:44</t>
  </si>
  <si>
    <t>投诉编号：【448332】  投诉时间： 2020-02-23 14:13  投诉品牌： 广汽本田  投诉车系： 飞度  投诉车型： 2014款 1.5L CVT LX舒适型        投诉内容  车辆2015年购买至今爱护有加，没有发生任何交通事故，今年过年期间在驾驶过程中，突然丧失ABS功能</t>
  </si>
  <si>
    <t>2020/02/23 14:13:00</t>
  </si>
  <si>
    <t xml:space="preserve">    投诉编号：【448314】
    投诉时间： 2020-02-23 12:13
    投诉品牌： 比亚迪
    投诉车系： 秦新能源
    投诉车型： 2018款 EV450 智联锋尚型 比亚迪秦新能源充电跳枪 配件不发货</t>
  </si>
  <si>
    <t>2020/02/23 14:08:52</t>
  </si>
  <si>
    <t>投诉编号：【448330】投诉时间：2020-02-2314:01投诉品牌：东风雪铁龙投诉车系：雪铁龙C4L投诉车型：2013款1.8L自动劲智版投诉内容东风雪铁龙C4L方方向盘松动，方向转向轴承坏了，方向盘松动，影响驾驶，希望厂家可以安排工作人员尽快解决。投诉回复车质网已将您的投诉转给生产企业以及</t>
  </si>
  <si>
    <t>2020/02/23 14:01:00</t>
  </si>
  <si>
    <t>投诉编号：【448307】
    投诉时间： 2020-02-23 11:41
    投诉品牌： 上汽通用雪佛兰
    投诉车系： 科鲁兹
    投诉车型： 2012款 1.6 SE 自动雪佛兰科鲁兹机油进入防冻液 发动机漏油</t>
  </si>
  <si>
    <t>2020/02/23 13:28:07</t>
  </si>
  <si>
    <t>投诉编号：【448328】  投诉时间： 2020-02-23 13:20  投诉品牌： 上汽斯柯达  投诉车系： 昊锐  投诉车型： 2009款 1.8TSI 自动 智雅版        投诉内容  斯柯达昊锐车内常年异味，无法去除，希望厂家可以安排工作人员尽快解决。      投诉回复  车质网</t>
  </si>
  <si>
    <t>2020/02/23 13:20:00</t>
  </si>
  <si>
    <t>投诉编号：【448326】  投诉时间： 2020-02-23 13:16  投诉品牌： 上汽大众  投诉车系： 途昂  投诉车型： 2017款 380TSI 四驱 舒适版        投诉内容  上汽大众途昂四条邓禄普轮胎龟裂，车辆行驶8千左右出现龟裂，4S店轮胎厂家给换了，现在行驶了5千公里又</t>
  </si>
  <si>
    <t>2020/02/23 13:16:00</t>
  </si>
  <si>
    <t>投诉编号：【448325】  投诉时间： 2020-02-23 13:14  投诉品牌： 东风雪铁龙  投诉车系： 世嘉  投诉车型： 2014款 1.6L 手动 品尚型        投诉内容  本人选购的东风雪铁龙世嘉车，是14年10月份购买，同类车型本人公司同事选购在70多辆左右，(公司总人数</t>
  </si>
  <si>
    <t>2020/02/23 13:14:00</t>
  </si>
  <si>
    <t>投诉编号：【448324】  投诉时间： 2020-02-23 13:06  投诉品牌： 东风日产  投诉车系： 蓝鸟  投诉车型： 2018款 1.6L CVT 炫酷潮音版        投诉内容  东风日产蓝鸟电瓶断电更换后未解决，车子买回来不到十天断电一次，一年出现四五次断电。换了一个电瓶还没</t>
  </si>
  <si>
    <t>2020/02/23 13:06:00</t>
  </si>
  <si>
    <t>投诉编号：【448321】投诉时间：2020-02-2312:59投诉品牌：众泰汽车投诉车系：众泰T300投诉车型：2017款1.5L手动尊享型投诉内容2017年12月20购买开了一年就听到方向盘异响，第一次到珠海众泰4s店去让检测又没有听到异响工作人员说没有声音检测不了，让我有声音再去检测，后面等</t>
  </si>
  <si>
    <t>2020/02/23 12:59:00</t>
  </si>
  <si>
    <t>气温低启动车辆挂入D挡后仪表台处共震异响严重，持续5、6分钟后异响会慢慢消失什么原因？</t>
  </si>
  <si>
    <t>2020/02/23 12:46:19</t>
  </si>
  <si>
    <t>老师你好，在很多自媒体跟网上的文章都说国内的奔驰e级都不认真造车，质量问题堪忧，可是我看销量很好，请老师解答。</t>
  </si>
  <si>
    <t>2020/02/23 12:46:18</t>
  </si>
  <si>
    <t>19款典尚版和17款优越版最核心的区别是什么？</t>
  </si>
  <si>
    <t>我是15年1.5T福克斯带自动启停。之前一次换电瓶换的普通电瓶启停就没法用了。前几月换的原装启停电瓶启停功能用了几次就没法用了，请专家解答一下。用不用其实无所谓主要是想知道有没有其他问题。</t>
  </si>
  <si>
    <t>投诉编号：【448319】  投诉时间： 2020-02-23 12:42  投诉品牌： 上汽通用五菱  投诉车系： 宝骏730  投诉车型： 2016款 1.5L 手动 标准型 7座        投诉内容  宝骏730轮胎轮毂存在质量问题，车辆在行驶中左后轮没气了，卸下来以后轮毂出现一道裂痕。希</t>
  </si>
  <si>
    <t>2020/02/23 12:42:00</t>
  </si>
  <si>
    <t>新车几百公里干式双离合变速箱升降挡异响什么原因？</t>
  </si>
  <si>
    <t>2020/02/23 12:33:34</t>
  </si>
  <si>
    <t>北京现代ix25，cvt变速箱是哪家的，质量是否稳定 ？</t>
  </si>
  <si>
    <t>荣威i5、1.5l+cvt、悦动1.6l+6at配置荣威完胜，其他？</t>
  </si>
  <si>
    <t>投诉编号：【448300】
    投诉时间： 2020-02-23 11:17
    投诉品牌： 北京奔驰
    投诉车系： 奔驰E级
    投诉车型： 2018款 E 300 L 豪华型打方向盘有咕咕咕声音</t>
  </si>
  <si>
    <t>2020/02/23 12:13:06</t>
  </si>
  <si>
    <t>投诉编号：【448312】  投诉时间： 2020-02-23 12:02  投诉品牌： 东风本田  投诉车系： 本田CR-V  投诉车型： 2019款 240TURBO CVT 两驱 舒适版 国V        投诉内容  我车19年4月在4s店换机油当时，2450公里后偶尔开，现行驶至8500公</t>
  </si>
  <si>
    <t>2020/02/23 12:02:00</t>
  </si>
  <si>
    <t>投诉编号：【448310】  投诉时间： 2020-02-23 11:52  投诉品牌： 东风日产  投诉车系： 天籁  投诉车型： 2012款 2.0 CVT XL 智享版 天籁        投诉内容  1：车辆于2019年9月19日因后挡玻璃漏水（分别为后座椅后侧中上方与左右两侧）到4S店进行</t>
  </si>
  <si>
    <t>2020/02/23 11:52:00</t>
  </si>
  <si>
    <t>投诉编号：【448305】  投诉时间： 2020-02-23 11:39  投诉品牌： 吉利汽车  投诉车系： 帝豪  投诉车型： 2014款 1.5L 手动 时尚型 三厢        投诉内容  吉利帝豪车门生锈要求厂家质保处理详细描述：主副驾车门生锈严重，车门生锈从车门内侧开始生锈，到后来生</t>
  </si>
  <si>
    <t>2020/02/23 11:39:00</t>
  </si>
  <si>
    <t>投诉编号：【448304】  投诉时间： 2020-02-23 11:36  投诉品牌： 上汽集团  投诉车系： 名爵ZS  投诉车型： 2018款 1.5L 手动 豪华版 国V        投诉内容  中控台在行驶不到一万公里时出现异响，4S店解释冬季塑料件比较硬，天气暖和就好，去了好几次都未解</t>
  </si>
  <si>
    <t>2020/02/23 11:36:00</t>
  </si>
  <si>
    <t>投诉编号：【448293】
    投诉时间： 2020-02-23 10:45
    投诉品牌： 上汽大众
    投诉车系： 帕萨特
    投诉车型： 2016款 330TSI DSG 尊荣版远近光灯无法切换</t>
  </si>
  <si>
    <t>2020/02/23 11:32:18</t>
  </si>
  <si>
    <t>投诉编号：【448303】投诉时间：2020-02-2311:28投诉品牌：吉利汽车投诉车系：帝豪GS投诉车型：2016款1.3T自动领尚型运动版投诉内容吉利帝豪GS车门全部生锈且大面积起泡，才将近两年的车车门全部都生锈了！生锈的旁边也都大面积起泡了！照片看不太清楚起泡的地方！要求换车门！希望厂家可</t>
  </si>
  <si>
    <t>2020/02/23 11:28:00</t>
  </si>
  <si>
    <t>投诉编号：【448302】  投诉时间： 2020-02-23 11:21  投诉品牌： 上汽通用五菱  投诉车系： 宝骏730  投诉车型： 2014款 1.5L 手动 豪华型 7座        投诉内容  宝骏730空调制冷异常4S店维修后未解决，已在指定4S店维修过一直未修复，希望厂家可以安</t>
  </si>
  <si>
    <t>2020/02/23 11:21:00</t>
  </si>
  <si>
    <t>投诉编号：【448301】投诉时间：2020-02-2311:20投诉品牌：一汽奔腾投诉车系：奔腾T77投诉车型：2019款230TID自动尊享型国V投诉内容一汽奔腾T77中控重启黑屏一直未解决，反反复复修，拆这换那。是售后无心还是厂家垃圾？一年多了，自从有了这车，心情就没好过。投诉那么多次还是一样</t>
  </si>
  <si>
    <t>2020/02/23 11:20:00</t>
  </si>
  <si>
    <t xml:space="preserve">投诉编号：【448292】
    投诉时间： 2020-02-23 10:30
    投诉品牌： 上汽通用别克
    投诉车系： 凯越
    投诉车型： 2008款 1.6 手动 LE
</t>
  </si>
  <si>
    <t>2020/02/23 10:47:50</t>
  </si>
  <si>
    <t>由新型冠状病毒感染的肺炎疫情尚在紧急防治中，疫情期间，宝马实施了抗击疫情“一揽子方案”，关注内容覆盖员工关爱、社会捐助和业务运营三个方面。同时，为进一步满足消费者的购车需求，自2月17日起，宝马集团位于沈阳的两个整车生产厂和一个发动机生产厂已逐步恢复生产。    “一揽子方案”具体来看，在员工关爱方</t>
  </si>
  <si>
    <t>2020/02/23 10:34:00</t>
  </si>
  <si>
    <t>　　由新型冠状病毒感染的肺炎疫情尚在紧急防治中，疫情期间，宝马实施了抗击疫情“一揽子方案”，关注内容覆盖员工关爱、社会捐助和业务运营三个方面。同时，为进一步满足消费者的购车需求，自2月17日起，宝马集团位于沈阳的两个整车生产厂和一个发动机生产厂已逐步恢复生产。　　“一揽子方案”具体来看，在员工关爱方</t>
  </si>
  <si>
    <t>投诉编号：【448288】
    投诉时间： 2020-02-23 10:08
    投诉品牌： 马自达（进口）
    投诉车系： 马自达3（进口）
    投诉车型： 2010款 1.6L 手动 舒适型中控台软质材料全部开裂。</t>
  </si>
  <si>
    <t>2020/02/23 10:30:10</t>
  </si>
  <si>
    <t>　　此前我们曾经报道过福特全新一代福克斯RS或将搭载2.3T发动机+轻混系统的消息。不过就在近日，据外媒报道福特正在考虑为这款动力将超过400马力的车型搭载插电式混合动力系统，以满足欧盟日益严苛的二氧化碳排放法规。全新福特福克斯RS假想图　　根据此前的报道，福特曾计划以2.3T发动机+48V辅助电机</t>
  </si>
  <si>
    <t>2020/02/23 10:28:00</t>
  </si>
  <si>
    <t>此前我们曾经报道过福特全新一代福克斯RS或将搭载2.3T发动机+轻混系统的消息。不过就在近日，据外媒报道福特正在考虑为这款动力将超过400马力的车型搭载插电式混合动力系统，以满足欧盟日益严苛的二氧化碳排放法规。全新福特福克斯RS假想图    根据此前的报道，福特曾计划以2.3T发动机+48V辅助电机</t>
  </si>
  <si>
    <t>　　日前，我们从汽车之家热心网友处获取到了一组中期改款奥迪A4 Avant车型的国内路试谍照。中期改款A4家族于去年的法兰克福车展发布，其前脸和尾部均采用了新的设计，内饰也有一定幅度的升级。根据此前曝光的规划，新款A4 Avant将与新款S4和新款A4 allroad quattro车型一起于今年8</t>
  </si>
  <si>
    <t>2020/02/23 10:24:00</t>
  </si>
  <si>
    <t>日前，我们从汽车之家热心网友处获取到了一组中期改款奥迪A4 Avant车型的国内路试谍照。中期改款A4家族于去年的法兰克福车展发布，其前脸和尾部均采用了新的设计，内饰也有一定幅度的升级。根据此前曝光的规划，新款A4 Avant将与新款S4和新款A4 allroad quattro车型一起于今年8月在</t>
  </si>
  <si>
    <t>　　北京现代菲斯塔纯电动（以下简称为菲斯塔纯电动）首次亮相于2019广州车展，当看到这台车的第一眼，感觉其外观比菲斯塔燃油版车型更加的凶悍了，但驾驶起来是否跟它的外观一样也那么具有攻击性呢？今天我们来试驾一下这款即将上市的紧凑型纯电动车，看看它能不能和其外表那样，给人带来不一般的感觉。　　驾驶感受　</t>
  </si>
  <si>
    <t>2020/02/23 10:17:00</t>
  </si>
  <si>
    <t xml:space="preserve">北京现代菲斯塔纯电动（以下简称为菲斯塔纯电动）首次亮相于2019广州车展，当看到这台车的第一眼，感觉其外观比菲斯塔燃油版车型更加的凶悍了，但驾驶起来是否跟它的外观一样也那么具有攻击性呢？今天我们来试驾一下这款即将上市的紧凑型纯电动车，看看它能不能和其外表那样，给人带来不一般的感觉。    驾驶感受 </t>
  </si>
  <si>
    <t>　　梅赛德斯-AMG GT是品牌旗下的一款跑车车型，该款车型于2015年正式引入国内市场销售，而其轿跑外观的设计更是受到了诸多性能车迷们的青睐，其顶级版车型市场售价仅次于AMG G级。近日海外媒体曝光了一组梅赛德斯-AMG GT 73路试谍照图片，新车预计将于今年年内正式亮相。　　动力方面，新车将搭</t>
  </si>
  <si>
    <t>2020/02/23 10:11:00</t>
  </si>
  <si>
    <t>梅赛德斯-AMG GT是品牌旗下的一款跑车车型，该款车型于2015年正式引入国内市场销售，而其轿跑外观的设计更是受到了诸多性能车迷们的青睐，其顶级版车型市场售价仅次于AMG G级。近日海外媒体曝光了一组梅赛德斯-AMG GT 73路试谍照图片，新车预计将于今年年内正式亮相。    动力方面，新车将搭</t>
  </si>
  <si>
    <t>投诉编号：【448290】  投诉时间： 2020-02-23 10:11  投诉品牌： 长城汽车  投诉车系： 哈弗H6 Coupe  投诉车型： 2016款 1.5T 手动 两驱都市型        投诉内容  哈弗H6 Coupe离合器异响，四挡异响明显，怠速离合异响，踩下离合消失，4挡口哨声</t>
  </si>
  <si>
    <t>第一次亮灯是在2018年一万多公里就出现了，后来自行灭了。现在2020年二月份发动机故障灯又开始亮了，4S店说要清洗喷油嘴，需要自费。我的车还在质保期，我希望能免费清洗，把问题解决。（我是19号投诉的，现在都没有结果。厂家是回复了，可电话都没有一个，问题还是没有解决，车友们有解决的吗？）</t>
  </si>
  <si>
    <t>ily138168</t>
  </si>
  <si>
    <t>2020/02/23 10:07:00</t>
  </si>
  <si>
    <t>昂克赛拉发动机故障灯亮了 （没有人投诉有结果的吗？第一次亮灯是在2018年一万多公里就出现了，后来自行灭了。现在2020年二月份发动机故障灯又开始亮了，4S店说要清洗喷油嘴，需要自费。我的车还在质保期，我希望能免费清洗，把问题解决。（我是19号投诉的，现在都没有结果。厂家是回复了，可电话都没有一个，</t>
  </si>
  <si>
    <t>投诉编号：【448287】  投诉时间： 2020-02-23 10:04  投诉品牌： 一汽-大众  投诉车系： 速腾  投诉车型： 2018款 280TSI DSG熠动版        投诉内容  半年前发现，咨询过4S店，说没有事，开到十月份又发现越来越严重，去过4S店说没有事，又开到2020</t>
  </si>
  <si>
    <t>2020/02/23 10:04:00</t>
  </si>
  <si>
    <t>最近小编接到好多遇到事故车案例，其中一车主连着检测了三台事故车，点子怎么就这么正呢？前一阵被爆光某二手车车商专门售卖二手车事故车，还有一名言“要想富，大事故”；其中含义不难理解，买一台事故车要比普通二手车利润要大很多；小编想说的是，虽然二手车有着较高的性价比，但大家选购二手车的时间一定要擦亮眼睛，对</t>
  </si>
  <si>
    <t>2020/02/23 10:01:00</t>
  </si>
  <si>
    <t>告诉你买二手车检测重点 还原车况避让事故车的关键？最近小编接到好多遇到事故车案例，其中一车主连着检测了三台事故车，点子怎么就这么正呢？前一阵被爆光某二手车车商专门售卖二手车事故车，还有一名言“要想富，大事故”；其中含义不难理解，买一台事故车要比普通二手车利润要大很多；小编想说的是，虽然二手车有着较高</t>
  </si>
  <si>
    <t xml:space="preserve">
    投诉编号：【448280】
    投诉时间： 2020-02-23 09:31
    投诉品牌： 上汽大众
    投诉车系： 帕萨特
    投诉车型： 2019款 330TSI 尊贵版 VI
四个门的手把前后间隙大</t>
  </si>
  <si>
    <t>2020/02/23 09:58:01</t>
  </si>
  <si>
    <t>2020/02/23 09:57:30</t>
  </si>
  <si>
    <t>投诉编号：【448283】
投诉时间： 2020-02-23 09:47
投诉品牌： 东风本田
投诉车系： 本田CR-V
投诉车型： 2019款 240TURBO CVT 两驱 都市版 国V</t>
  </si>
  <si>
    <t>投诉编号：【448286】  投诉时间： 2020-02-23 09:56  投诉品牌： 上汽集团  投诉车系： 名爵HS  投诉车型： 2018款 30T 自动 两驱 Trophy 荷尔蒙燃情版 国V        投诉内容  上汽名爵HS连续两天亏电第二天就启动不了，发动3小时以上第二天就启动不</t>
  </si>
  <si>
    <t>2020/02/23 09:56:00</t>
  </si>
  <si>
    <t>投诉编号：【448285】  投诉时间： 2020-02-23 09:55  投诉品牌： 江铃汽车  投诉车系： 驭胜S330  投诉车型： 2016款 1.5L GTDi  自动 两驱 旗舰版        投诉内容  车辆自出厂以来，轮毂质量问题更换了一次，电路板故障导致车辆无方向，更换两次，大</t>
  </si>
  <si>
    <t>2020/02/23 09:55:00</t>
  </si>
  <si>
    <t>　　日前，记者从大众集团官方获悉，2020年1月大众集团全球销售83.68万辆新车，同比下降5.2%。其中，奥迪品牌1月全球销量14.73万辆，同比增长1.8%，保时捷品牌销量1.99万辆，同比增长5.8%。　　具体品牌方面，大众品牌1月销售48.55万辆，同比下滑5.8%；斯柯达销售8.72万辆，</t>
  </si>
  <si>
    <t>2020/02/23 09:53:00</t>
  </si>
  <si>
    <t>日前，记者从大众集团官方获悉，2020年1月大众集团全球销售83.68万辆新车，同比下降5.2%。其中，奥迪品牌1月全球销量14.73万辆，同比增长1.8%，保时捷品牌销量1.99万辆，同比增长5.8%。    具体品牌方面，大众品牌1月销售48.55万辆，同比下滑5.8%；斯柯达销售8.72万辆，</t>
  </si>
  <si>
    <t>　　2020年是奥迪的产品大年，作为去年豪华B级车市场销量最好的车型，奥迪A4L预计将在上半年（原计划为4月份，受疫情影响上市时间或将延期）迎来中期改款。近日记者从一汽奥迪经销商处获得了中期改款A4L的配置信息，与现款车型相比，新车入门版车型增加了LED大灯、全景天窗、全新12.3英寸全液晶仪表、前</t>
  </si>
  <si>
    <t>2020/02/23 09:50:00</t>
  </si>
  <si>
    <t>2020年是奥迪的产品大年，作为去年豪华B级车市场销量最好的车型，奥迪A4L预计将在上半年（原计划为4月份，受疫情影响上市时间或将延期）迎来中期改款。近日记者从一汽奥迪经销商处获得了中期改款A4L的配置信息，与现款车型相比，新车入门版车型增加了LED大灯、全景天窗、全新12.3英寸全液晶仪表、前雷达</t>
  </si>
  <si>
    <t>投诉编号：【448284】  投诉时间： 2020-02-23 09:49  投诉品牌： 上汽集团  投诉车系： 锐腾  投诉车型： 2015款 1.5TGI 手动 精英版        投诉内容  1、5万公里后变速箱很难挂入1挡，不顺畅，生涩；2、车内有一种很难闻很刺鼻的味道，怀疑上车上隔音棉等</t>
  </si>
  <si>
    <t>2020/02/23 09:49:00</t>
  </si>
  <si>
    <t xml:space="preserve">投诉编号：【448282】  投诉时间： 2020-02-23 09:46  投诉品牌： 东风本田  投诉车系： 思域  投诉车型： 2016款 180TURBO 手动 舒适版        投诉内容  东风本田思域优科豪马轮胎掉块存在隐患，4s店推脱说一定要在质保期内才可以保质量，过保不行？   </t>
  </si>
  <si>
    <t>2020/02/23 09:46:00</t>
  </si>
  <si>
    <t>2020/02/23 09:45:29</t>
  </si>
  <si>
    <t>投诉编号：【448277】
投诉时间： 2020-02-23 08:42
投诉品牌： 上汽通用别克
投诉车系： 威朗
投诉车型： 2016款 15S 自动 领先型 轿跑</t>
  </si>
  <si>
    <t xml:space="preserve">2020年的开年有点难，新冠疫情让全国人民成了“家里蹲”，过了一个特殊的春节。春节之后的假期延长更是令“几家欢喜几家愁”，有人庆祝获得了一个小长假，有人则因为商业活动受到波及而愁容满面。随着1月份乘用车产销数据的公布，中国车市似乎成为了当下最“发愁”的行业之一。    新能源汽车销量惨遭“腰斩”  </t>
  </si>
  <si>
    <t>2020/02/23 09:45:00</t>
  </si>
  <si>
    <t>　　2020年的开年有点难，新冠疫情让全国人民成了“家里蹲”，过了一个特殊的春节。春节之后的假期延长更是令“几家欢喜几家愁”，有人庆祝获得了一个小长假，有人则因为商业活动受到波及而愁容满面。随着1月份乘用车产销数据的公布，中国车市似乎成为了当下最“发愁”的行业之一。　　新能源汽车销量惨遭“腰斩”　　</t>
  </si>
  <si>
    <t>杜泽霖</t>
  </si>
  <si>
    <t>投诉编号：【448281】  投诉时间： 2020-02-23 09:44  投诉品牌： 上汽集团  投诉车系： 荣威RX8  投诉车型： 2018款 30T 两驱 智联网 旗舰版 7座        投诉内容  1.此车发动机存在发动机抖动问题，发动机抖动引发前排座椅共振，乘坐感非常差，该问题出现</t>
  </si>
  <si>
    <t>2020/02/23 09:44:00</t>
  </si>
  <si>
    <t>日前，长城汽车发布了年度业绩快报，数据显示，这家企业在2019年实现营业总收入964.55亿元，同比下滑2.8%；营业利润为48.72亿元，同比下滑21.83%。截至上述报告期末，长城汽车总资产为1134.76亿元，相比2019年初上涨1.5%；总负债为591.85亿元，相比2019年初上涨0.12</t>
  </si>
  <si>
    <t>2020/02/23 09:41:00</t>
  </si>
  <si>
    <t>　　日前，长城汽车发布了年度业绩快报，数据显示，这家企业在2019年实现营业总收入964.55亿元，同比下滑2.8%；营业利润为48.72亿元，同比下滑21.83%。截至上述报告期末，长城汽车总资产为1134.76亿元，相比2019年初上涨1.5%；总负债为591.85亿元，相比2019年初上涨0.</t>
  </si>
  <si>
    <t>2025年中国标准智能汽车体系将形成！为顺应新一轮科技革命和产业变革趋势，抓住产业智能化发展战略机遇，加快推进智能汽车创新发展，日前，发改委、国家网信办、工信部等11个国家部委联合下发“关于印发《智能汽车创新发展战略》通知”，明确我国发展智能汽车战略愿景和主要任务。    《智能汽车创新发展战略》分</t>
  </si>
  <si>
    <t>2020/02/23 09:39:00</t>
  </si>
  <si>
    <t>　　2025年中国标准智能汽车体系将形成！为顺应新一轮科技革命和产业变革趋势，抓住产业智能化发展战略机遇，加快推进智能汽车创新发展，日前，发改委、国家网信办、工信部等11个国家部委联合下发“关于印发《智能汽车创新发展战略》通知”，明确我国发展智能汽车战略愿景和主要任务。　　《智能汽车创新发展战略》分</t>
  </si>
  <si>
    <t>布加迪官方日前发布了一组Chiron Sport特别版车型官图。这款车全名为Chiron Sport “Edition Noire Sportive”，大家可以理解为黑色运动版，据悉该车将在3月3日开幕的日内瓦车展上正式亮相。    外观来看，这款车基于Chiron Sport打造，不过采用了更加运</t>
  </si>
  <si>
    <t>2020/02/23 09:33:00</t>
  </si>
  <si>
    <t>　　布加迪官方日前发布了一组Chiron Sport特别版车型官图。这款车全名为Chiron Sport “Edition Noire Sportive”，大家可以理解为黑色运动版，据悉该车将在3月3日开幕的日内瓦车展上正式亮相。　　外观来看，这款车基于Chiron Sport打造，不过采用了更加运</t>
  </si>
  <si>
    <t>近日，我们从上汽通用官方获得消息，疫情当下，为了保障特殊时期车主的权益，凡整车质保在2020年2月、3月间到期的所有别克、雪佛兰和凯迪拉克品牌车型，均可享受3个月的延长质保服务，这一政策连同上汽通用汽车近期推出的一系列“战疫”举措，体现了上汽通用汽车的服务理念及社会责任感。    为了避免人员聚集，</t>
  </si>
  <si>
    <t>2020/02/23 09:30:00</t>
  </si>
  <si>
    <t>　　近日，我们从上汽通用官方获得消息，疫情当下，为了保障特殊时期车主的权益，凡整车质保在2020年2月、3月间到期的所有别克、雪佛兰和凯迪拉克品牌车型，均可享受3个月的延长质保服务，这一政策连同上汽通用汽车近期推出的一系列“战疫”举措，体现了上汽通用汽车的服务理念及社会责任感。　　为了避免人员聚集，</t>
  </si>
  <si>
    <t>　　日前，根据《CATARC标志认证实施规则 汽车空调滤清器过滤等级》（以下简称“CN95认证”）规则，中汽研华诚认证（天津）有限公司（以下简称“华诚认证”）现已完成首批产品的认证工作，发布结果如下：　　本批次共有9家企业申请的9个认证单元空调滤清器产品通过认证，其中比亚迪有7个产品型号通过认证，并</t>
  </si>
  <si>
    <t>2020/02/23 09:23:00</t>
  </si>
  <si>
    <t>日前，根据《CATARC标志认证实施规则 汽车空调滤清器过滤等级》（以下简称“CN95认证”）规则，中汽研华诚认证（天津）有限公司（以下简称“华诚认证”）现已完成首批产品的认证工作，发布结果如下：    本批次共有9家企业申请的9个认证单元空调滤清器产品通过认证，其中比亚迪有7个产品型号通过认证，并</t>
  </si>
  <si>
    <t>日前，记者从相关渠道获悉，新款现代i30将搭载全新的1.5T汽油发动机，传动系统匹配8速双离合变速箱，同时还提供搭载1.6T柴油发动机的车型。此外，新款i30将在3月3日开幕的日内瓦车展中首发亮相，并于6月在海外上市，其中N Line车型将在8月上市，Fastback车型及掀背车将在今年的巴黎车展（</t>
  </si>
  <si>
    <t>2020/02/23 09:20:00</t>
  </si>
  <si>
    <t>　　日前，记者从相关渠道获悉，新款现代i30将搭载全新的1.5T汽油发动机，传动系统匹配8速双离合变速箱，同时还提供搭载1.6T柴油发动机的车型。此外，新款i30将在3月3日开幕的日内瓦车展中首发亮相，并于6月在海外上市，其中N Line车型将在8月上市，Fastback车型及掀背车将在今年的巴黎车</t>
  </si>
  <si>
    <t xml:space="preserve">投诉编号：【448278】  投诉时间： 2020-02-23 09:14  投诉品牌： 上汽大众  投诉车系： 途观  投诉车型： 2017款 300TSI 两驱 丝绸之路风尚版        投诉内容  上汽大众途观主驾驶座升降玻璃异响！希望厂家可以安排工作人员尽快解决。      投诉回复  </t>
  </si>
  <si>
    <t>2020/02/23 09:14:00</t>
  </si>
  <si>
    <t>据外媒报道，作为欧洲最重要的车展之一，日内瓦车展原计划于3月5日至3月15日（媒体日为3月3日-4日）在瑞士日内瓦举办。但GlobalData公司透露，由于担心新冠肺炎疫情进一步恶化，今年的日内瓦车展或被取消。    GlobalData是一家领先的数据分析公司。该公司汽车产业分析师大卫·乐格特（D</t>
  </si>
  <si>
    <t>　　据外媒报道，作为欧洲最重要的车展之一，日内瓦车展原计划于3月5日至3月15日（媒体日为3月3日-4日）在瑞士日内瓦举办。但GlobalData公司透露，由于担心新冠肺炎疫情进一步恶化，今年的日内瓦车展或被取消。　　GlobalData是一家领先的数据分析公司。该公司汽车产业分析师大卫・乐格特（D</t>
  </si>
  <si>
    <t>名爵6手动运动版和昂克赛拉手动质美版怎么选？</t>
  </si>
  <si>
    <t>2020/02/23 09:13:10</t>
  </si>
  <si>
    <t>　　日前，DS品牌宣布将于2月24日发布旗下全新车型，并一同公布了预告图。据海外媒体的披露，这款中大型豪华轿车的身份或将是此前已现身工信部申报目录的DS 9。新车与标致508L相同，基于PSA集团EMP2平台打造而来。目前法国总统马克龙的专属座驾为DS 7，我们预计作为家族全新旗舰轿车的DS 9在推</t>
  </si>
  <si>
    <t>2020/02/23 09:10:00</t>
  </si>
  <si>
    <t>日前，DS品牌宣布将于2月24日发布旗下全新车型，并一同公布了预告图。据海外媒体的披露，这款中大型豪华轿车的身份或将是此前已现身工信部申报目录的DS 9。新车与标致508L相同，基于PSA集团EMP2平台打造而来。目前法国总统马克龙的专属座驾为DS 7，我们预计作为家族全新旗舰轿车的DS 9在推出后</t>
  </si>
  <si>
    <t>　　日前，我们从江淮汽车官方获悉，江淮嘉悦A5 EV定名为iC5，江淮iC5将于2月26日在江淮汽车APP线上开启预售，将优先供应北京市场。江准汽车将采用“线上展示+订车、线下体验+交付”的汽车新零售模式。江淮iC5动力采用纯电驱动，NEDC续航里程为530km。　　外观方面，江淮iC5车型外观与燃</t>
  </si>
  <si>
    <t>2020/02/23 09:06:00</t>
  </si>
  <si>
    <t>日前，我们从江淮汽车官方获悉，江淮嘉悦A5 EV定名为iC5，江淮iC5将于2月26日在江淮汽车APP线上开启预售，将优先供应北京市场。江准汽车将采用“线上展示+订车、线下体验+交付”的汽车新零售模式。江淮iC5动力采用纯电驱动，NEDC续航里程为530km。    外观方面，江淮iC5车型外观与燃</t>
  </si>
  <si>
    <t>　　日前，记者从外媒获得一组大众第八代高尔夫GTI最新谍照，新车采用运动化风格设计，加入了双边共两出尾排、底部扩散器等，并且还将搭载DCC自适应悬架系统。此外，全新高尔夫GTI将在日内瓦车展上进行全球首发。　　结合预告图来看，全新高尔夫GTI加入了众多运动设计元素，视觉效果更为动感。狭长的灯带贯穿前</t>
  </si>
  <si>
    <t>2020/02/23 08:58:00</t>
  </si>
  <si>
    <t>日前，记者从外媒获得一组大众第八代高尔夫GTI最新谍照，新车采用运动化风格设计，加入了双边共两出尾排、底部扩散器等，并且还将搭载DCC自适应悬架系统。此外，全新高尔夫GTI将在日内瓦车展上进行全球首发。    结合预告图来看，全新高尔夫GTI加入了众多运动设计元素，视觉效果更为动感。狭长的灯带贯穿前</t>
  </si>
  <si>
    <t>日前，我们从相关渠道获得一组北京BJ40三门版谍照，新车在外观方面与现款BJ40 PLUS基本相同。由于采用三门短轴造型，车身长度和轴距都更短一些，同时谍照车型搭载了最新的2.0T国六发动机。    从谍照悬挂的牌照看，新车是在吐鲁番地区做高温测试。新车外观方面基本定型，尾部也并未因为是三门版而有特</t>
  </si>
  <si>
    <t>2020/02/23 08:50:00</t>
  </si>
  <si>
    <t>　　日前，我们从相关渠道获得一组北京BJ40三门版谍照，新车在外观方面与现款BJ40 PLUS基本相同。由于采用三门短轴造型，车身长度和轴距都更短一些，同时谍照车型搭载了最新的2.0T国六发动机。　　从谍照悬挂的牌照看，新车是在吐鲁番地区做高温测试。新车外观方面基本定型，尾部也并未因为是三门版而有特</t>
  </si>
  <si>
    <t>　　日前，有海外媒体曝光了一组全新一代DS 4路试谍照。新车同样出自PSA最新的CMP平台，新车采用了重度伪装，正在冰雪环境下进行高寒测试。　　由谍照中的测试车可见，新车轮廓跟现款DS 4相似，仍然采用两厢五门掀背式的设计。全新的轮圈造型相当前卫。从细节看，LED前大灯和ACC自适应雷达探头都清晰可</t>
  </si>
  <si>
    <t>2020/02/23 08:48:00</t>
  </si>
  <si>
    <t>日前，有海外媒体曝光了一组全新一代DS 4路试谍照。新车同样出自PSA最新的CMP平台，新车采用了重度伪装，正在冰雪环境下进行高寒测试。    由谍照中的测试车可见，新车轮廓跟现款DS 4相似，仍然采用两厢五门掀背式的设计。全新的轮圈造型相当前卫。从细节看，LED前大灯和ACC自适应雷达探头都清晰可</t>
  </si>
  <si>
    <t>　　近日，记者从外媒获悉到一组大众全新MPV Caddy的官方图片，Caddy定位于紧凑型MPV主打家庭用户。未来这款紧凑型MPV有望引进国内，但前期Caddy还是主要针对欧洲市场。　　相较于传统的MPV，Caddy有个非常显著的特征就是长鼻子看起来很有特点，这也能与市面上千篇一律的MPV造型做出区</t>
  </si>
  <si>
    <t>2020/02/23 08:46:00</t>
  </si>
  <si>
    <t>近日，记者从外媒获悉到一组大众全新MPV Caddy的官方图片，Caddy定位于紧凑型MPV主打家庭用户。未来这款紧凑型MPV有望引进国内，但前期Caddy还是主要针对欧洲市场。    相较于传统的MPV，Caddy有个非常显著的特征就是长鼻子看起来很有特点，这也能与市面上千篇一律的MPV造型做出区</t>
  </si>
  <si>
    <t>在全国饱受疫情之苦时，五菱宝骏汽车给我们带来了太多的感动。尤其是那句响亮的口号：“人民需要什么，五菱就造什么”，简简单单的一句话却温暖了无数人的心。继五菱生产口罩、口罩机等关键医疗物资后，五菱在近日又推出了智能移动测温车，并正式交付柳州市。    此次五菱推出的智能移动测温车是基于宝骏旗下的宝骏E2</t>
  </si>
  <si>
    <t>2020/02/23 08:43:00</t>
  </si>
  <si>
    <t>　　在全国饱受疫情之苦时，五菱宝骏汽车给我们带来了太多的感动。尤其是那句响亮的口号：“人民需要什么，五菱就造什么”，简简单单的一句话却温暖了无数人的心。继五菱生产口罩、口罩机等关键医疗物资后，五菱在近日又推出了智能移动测温车，并正式交付柳州市。　　此次五菱推出的智能移动测温车是基于宝骏旗下的宝骏E2</t>
  </si>
  <si>
    <t>想了解一下宝马通病，以防以后不时之需！17年比较糊涂就买了这车。一年半左右提示防冻液缺，补一次！今天下午又提示缺防冻液。还好我们在4s店附近，赶到后检查说得防冻液管漏了，得换，还没货，就把车放4s店了！所以想了解一下还有啥别的通病！</t>
  </si>
  <si>
    <t>2020/02/23 08:39:54</t>
  </si>
  <si>
    <t>由新型冠状病毒感染的肺炎疫情尚在紧急防治中，疫情期间，新宝骏携手上汽通用五菱向柳州市政府交付了首批智能移动测温车，并推出15项关怀服务。为进一步满足消费者购车需求，新宝骏生产基地2月22日起正式复工。    事实上，新宝骏公司职能部门在2月10日就已经复工，宝骏基地通过对通勤车、餐饮、办公环境等进行</t>
  </si>
  <si>
    <t>2020/02/23 08:39:00</t>
  </si>
  <si>
    <t>　　由新型冠状病毒感染的肺炎疫情尚在紧急防治中，疫情期间，新宝骏携手上汽通用五菱向柳州市政府交付了首批智能移动测温车，并推出15项关怀服务。为进一步满足消费者购车需求，新宝骏生产基地2月22日起正式复工。　　事实上，新宝骏公司职能部门在2月10日就已经复工，宝骏基地通过对通勤车、餐饮、办公环境等进行</t>
  </si>
  <si>
    <t>　　记者日前从海外媒体获得了一组奔驰EQA和奔驰EQB的低伪装谍照，未来推出后将与现有的奔驰EQC壮大奔驰EQ纯电动“家族”。　　本次披露的谍照中，EQA和EQB只有车头和车尾用伪装胶带覆盖，其余的车身则暴露在外。从外形上看，EQA和EQB与全新GLA和GLB使用相同的车身，并且仅在前后进行了修改，</t>
  </si>
  <si>
    <t>2020/02/23 08:36:00</t>
  </si>
  <si>
    <t>记者日前从海外媒体获得了一组奔驰EQA和奔驰EQB的低伪装谍照，未来推出后将与现有的奔驰EQC壮大奔驰EQ纯电动“家族”。    本次披露的谍照中，EQA和EQB只有车头和车尾用伪装胶带覆盖，其余的车身则暴露在外。从外形上看，EQA和EQB与全新GLA和GLB使用相同的车身，并且仅在前后进行了修改，</t>
  </si>
  <si>
    <t>探岳大灯不亮问题有没有解决？</t>
  </si>
  <si>
    <t>2020/02/23 08:35:35</t>
  </si>
  <si>
    <t>最近想买款11年或者12、13的丰田普拉多2.7的，不知道将近十年的车了可不可以入手，还能不能开住！多少油耗！</t>
  </si>
  <si>
    <t>2020/02/23 08:35:32</t>
  </si>
  <si>
    <t>车辆在质保内出现严重烧机油！厂家说给换活塞环，可以吗？我要求换新机可以吗？</t>
  </si>
  <si>
    <t>2020/02/23 08:35:31</t>
  </si>
  <si>
    <t>记者日前从官方获得了奥迪e-tron S Sportback原型车官图，作为奥迪e-tron Sportback的性能版车型，0-100km/h加速时间为4.5秒，新车成为首款采用三电机的量产车型。    外观方面，奥迪e-tron S Sportback和普通版的e-tron Sportback差</t>
  </si>
  <si>
    <t>2020/02/23 08:33:00</t>
  </si>
  <si>
    <t>　　记者日前从官方获得了奥迪e-tron S Sportback原型车官图，作为奥迪e-tron Sportback的性能版车型，0-100km/h加速时间为4.5秒，新车成为首款采用三电机的量产车型。　　外观方面，奥迪e-tron S Sportback和普通版的e-tron Sportback差</t>
  </si>
  <si>
    <t>　　2月22日，记者从海外媒体获得了一组新款MINI COUNTRYMAN的内饰谍照，新车的主要变化在于升级为全液晶仪表盘，更新了多媒体娱乐系统。　　外观方面也得获得了一张无伪装谍照，新款的尾灯造型也更新成MINI家族车型最新的英国国旗图案。并且在车尾处，增加了蜂窝状的扩散器元素。　　动力方面，新款</t>
  </si>
  <si>
    <t>2020/02/23 08:30:00</t>
  </si>
  <si>
    <t>2月22日，记者从海外媒体获得了一组新款MINI COUNTRYMAN的内饰谍照，新车的主要变化在于升级为全液晶仪表盘，更新了多媒体娱乐系统。    外观方面也得获得了一张无伪装谍照，新款的尾灯造型也更新成MINI家族车型最新的英国国旗图案。并且在车尾处，增加了蜂窝状的扩散器元素。    动力方面，</t>
  </si>
  <si>
    <t>　　此前，早已有海外媒体曝出宝马7系纯电动版车型的骡车（指套用现有车身进行伪装的测试车）谍照，近日又有消息曝出，该车有望推出搭载120kWh动力电池版本的车型，其续航里程更是有望达到434英里（约合698.5公里）。此前曝光的宝马7系纯电动版车型骡车谍照　　由于新一代7系尚在前期开发阶段，经过全新设</t>
  </si>
  <si>
    <t>2020/02/23 08:28:00</t>
  </si>
  <si>
    <t>此前，早已有海外媒体曝出宝马7系纯电动版车型的骡车（指套用现有车身进行伪装的测试车）谍照，近日又有消息曝出，该车有望推出搭载120kWh动力电池版本的车型，其续航里程更是有望达到434英里（约合698.5公里）。此前曝光的宝马7系纯电动版车型骡车谍照    由于新一代7系尚在前期开发阶段，经过全新设</t>
  </si>
  <si>
    <t>广汽传祺GS4在更换了爱信6at变速箱后质量怎么样？能不能用住？关于变速箱的投诉怎么样？投诉多不多？</t>
  </si>
  <si>
    <t>2020/02/23 08:24:46</t>
  </si>
  <si>
    <t>　　日前，有海外媒体曝光了一组新款福特F-150路试谍照。新车前脸部分变化较大，但依旧是硬朗风格。据悉，新车预计将在2020年纽约车展或底特律车展中亮相。　　首先我们来看前脸，新车中网内部进行了重新设计，原本的横幅式样风格改为点阵设计，并且边框以及内部融入大量的镀铬元素装饰，看上去更加精致。两侧大灯</t>
  </si>
  <si>
    <t>2020/02/23 08:24:00</t>
  </si>
  <si>
    <t>投诉编号：【448274】  投诉时间： 2020-02-23 08:24  投诉品牌： 华晨宝马  投诉车系： 宝马5系  投诉车型： 2019款 530Li 领先型 M运动套装        投诉内容  在青岛即墨高速行驶过程中轮胎突然漏气！胎压报警，正常胎压2.5，大约10分钟下降0.1，直到</t>
  </si>
  <si>
    <t>日前，有海外媒体曝光了一组新款福特F-150路试谍照。新车前脸部分变化较大，但依旧是硬朗风格。据悉，新车预计将在2020年纽约车展或底特律车展中亮相。    首先我们来看前脸，新车中网内部进行了重新设计，原本的横幅式样风格改为点阵设计，并且边框以及内部融入大量的镀铬元素装饰，看上去更加精致。两侧大灯</t>
  </si>
  <si>
    <t>投诉编号：【448273】  投诉时间： 2020-02-23 08:22  投诉品牌： 上汽大众  投诉车系： 朗逸  投诉车型： 2015款 1.6L 手动 风尚版        投诉内容  行驶过程中发动机报警，发现第一，第二缸失火，重新启动又好了，接着发现半轴漏油，就是发动机下两轮中间连接处</t>
  </si>
  <si>
    <t>2020/02/23 08:22:00</t>
  </si>
  <si>
    <t>国六商务版为什么实车无大灯高度调节开关？</t>
  </si>
  <si>
    <t>2020/02/23 08:20:03</t>
  </si>
  <si>
    <t>传祺GS4自检发动机电瓶机油故障灯亮，发动机启动后就不亮了正常吗？</t>
  </si>
  <si>
    <t>2020/02/23 08:16:19</t>
  </si>
  <si>
    <t>购买了传祺GS8新车的散热器有伤痕了，会影响以后行车吗？如果4S店同意置换，能换吗？</t>
  </si>
  <si>
    <t>我多次用1、2挡下长坡用发动机制动频繁，会不会造成变速器换挡逻辑混乱。我的斯威汽车G01曾经在途中遇到此问题，就是只能使用D4挡行驶其他挡位全部无效，经过维修人员调试后才恢复正常，请问专家这是为什么。</t>
  </si>
  <si>
    <t>2020/02/23 08:12:03</t>
  </si>
  <si>
    <t>荣威rx5新车跑500公里后，倒车踩刹车底盘下面有当的一声异响什么原因？</t>
  </si>
  <si>
    <t>2018年8月生产的自由光2.0L、算19款典尚版吗？</t>
  </si>
  <si>
    <t>2020/02/23 08:07:22</t>
  </si>
  <si>
    <t>有索赔成功的案例，官方宣传的7挡Dsg变速器由下列部件组成：双质量飞轮，双离合器这个怎么解释呢？</t>
  </si>
  <si>
    <t>宝马5系油温表多少正常，超过多少是不正常？谢谢。没有水温表，是不是只能参考油温表来判断发动机温度？</t>
  </si>
  <si>
    <t>　　2020年2月21日至2020年3月31日，小鹏汽车在北京地区推出了0压购车礼、10倍订金礼、200元试驾礼等多重专属政策。此外由于考虑到疫情期间潜在风险，2020年2月29日前，小鹏汽车还将为用户提供上门试驾等服务。　　小鹏汽车官方消息称，2020年2月21日至2020年3月31日期间，小鹏汽</t>
  </si>
  <si>
    <t>2020/02/23 08:06:00</t>
  </si>
  <si>
    <t>2020年2月21日至2020年3月31日，小鹏汽车在北京地区推出了0压购车礼、10倍订金礼、200元试驾礼等多重专属政策。此外由于考虑到疫情期间潜在风险，2020年2月29日前，小鹏汽车还将为用户提供上门试驾等服务。    小鹏汽车官方消息称，2020年2月21日至2020年3月31日期间，小鹏汽</t>
  </si>
  <si>
    <t>请问我18年11月10号买的车，到2019年12月发现前后保险杠发黄与车身颜色不一样，这还在质保期，这种问题怎么找4s店处理？</t>
  </si>
  <si>
    <t>2020/02/23 08:03:58</t>
  </si>
  <si>
    <t>　　保时捷之前在“超级碗”上投放的广告可谓让Taycan赚足了人气，作为保时捷首款纯电动量产车，它的出现也让保时捷和特斯拉一样总能成为热门话题。　　为了增强保时捷新能源车型的实用性及扩大影响力，保时捷近日在莱比锡建立的超级充电站开门营业了。据官方介绍，这座超级充电站总容量为7000kW，这将成为目前</t>
  </si>
  <si>
    <t>李昊鹏</t>
  </si>
  <si>
    <t>2020/02/23 08:03:00</t>
  </si>
  <si>
    <t>保时捷之前在“超级碗”上投放的广告可谓让Taycan赚足了人气，作为保时捷首款纯电动量产车，它的出现也让保时捷和特斯拉一样总能成为热门话题。    为了增强保时捷新能源车型的实用性及扩大影响力，保时捷近日在莱比锡建立的超级充电站开门营业了。据官方介绍，这座超级充电站总容量为7000kW，这将成为目前</t>
  </si>
  <si>
    <t>05宝来1.8TAT，出现故障编码RND321什么意思？</t>
  </si>
  <si>
    <t>2020/02/23 07:58:45</t>
  </si>
  <si>
    <t>去修车店了，师缚说是挡位开关坏了，怎么办，更换要多少钱？</t>
  </si>
  <si>
    <t>2020/02/23 07:55:24</t>
  </si>
  <si>
    <t>今天出个情况，上坡突然感觉加不上油了，发动机故障指示灯闪烁， 牵引力关闭指示灯和车身稳定指示灯亮了，当时没再敢加速，四五十迈开了有五分钟，发动机故障指示灯灭了，路边停车熄火等了一会再打火，那两个指示灯也灭了，这是什么情况！有遇到过的吗？帮我看看！</t>
  </si>
  <si>
    <t xml:space="preserve">投诉编号：【448271】  投诉时间： 2020-02-23 07:53  投诉品牌： 长安汽车  投诉车系： 长安CS55  投诉车型： 2019款 1.5T 自动 轻年版 国VI        投诉内容  发动机转速在1300转左右，方向盘抖动明显，中控异响，右后窗异响，5挡长时间不升6挡。 </t>
  </si>
  <si>
    <t>2020/02/23 07:53:00</t>
  </si>
  <si>
    <t>　　“贵才能好，好才能贵！”听到这里是不是有些耳熟？没错，这是近期宝沃的一条广告，堪比带货王李佳琦那句“OMG买它！”宝沃这次“王婆卖瓜”式的营销，着实洗了不少消费者的脑，宝沃品牌也再次成功回到大众的视野中。借助营销的热度，宝沃顺势推出了旗下全新小型SUV车型――宝沃BX3。那么这款被宝沃给予厚望的</t>
  </si>
  <si>
    <t>2020/02/23 07:10:00</t>
  </si>
  <si>
    <t>　　吉利品牌在开启品牌向上之路后，无论是新车的外观颜值还是内饰设计，均有了非常明显的提升。时尚氛围与档次感相结合，全然摆脱了吉利在消费者心中廉价以及低端的形象。吉利缤越，正是吉利投放在小型SUV市场的一枚“重磅炸弹”，在此前吉利缤越的“百名车主评新车”调查中，大部车主对其外观、内饰设计以及性价比表示</t>
  </si>
  <si>
    <t>　　现代索纳塔，作为曾经红极一时的中级车给人们留下了深刻印象，无论是家用车、出租车还是公务用车，各种用车场景下都能看见它的身影。就在前不久，现代发布了全新一代索纳塔官方图片，它不仅在外观设计上给了我们耳目一新的感觉，同时还在配置方面进行了全新升级。根据此前报到，新车将在2020年4月上市，那么这个曾</t>
  </si>
  <si>
    <t>现代索纳塔，作为曾经红极一时的中级车给人们留下了深刻印象，无论是家用车、出租车还是公务用车，各种用车场景下都能看见它的身影。就在前不久，现代发布了全新一代索纳塔官方图片，它不仅在外观设计上给了我们耳目一新的感觉，同时还在配置方面进行了全新升级。根据此前报到，新车将在2020年4月上市，那么这个曾经的</t>
  </si>
  <si>
    <t>吉利品牌在开启品牌向上之路后，无论是新车的外观颜值还是内饰设计，均有了非常明显的提升。时尚氛围与档次感相结合，全然摆脱了吉利在消费者心中廉价以及低端的形象。吉利缤越，正是吉利投放在小型SUV市场的一枚“重磅炸弹”，在此前吉利缤越的“百名车主评新车”调查中，大部车主对其外观、内饰设计以及性价比表示认可</t>
  </si>
  <si>
    <t>投诉编号：【448269】  投诉时间： 2020-02-23 05:24  投诉品牌： 东南汽车  投诉车系： 东南DX3  投诉车型： 2018款 1.5L 手动 豪华型        投诉内容  这车离合器太沉重了！这车我到今天开了一年半，一万八千多公里，因为左脚一直在踩离合，去医院都检测出左</t>
  </si>
  <si>
    <t>2020/02/23 05:24:00</t>
  </si>
  <si>
    <t>踩离合顿挫/提不起来速/偶尔断油/怠速我2019年11月买的270TGS4，500公里后出现离合器异响或者是变速箱异响不清楚，只要踩离合器就登登的异响，顿挫，提不起来速，偶尔断油，怠速忽高忽低发动机喘，，厂家居然说正常，而且还说谁让我买的这款车说我自己当初试驾啦，试驾能试出你后期的毛病？这售后真的，</t>
  </si>
  <si>
    <t>买个破车真闹心</t>
  </si>
  <si>
    <t>2020/02/23 04:24:00</t>
  </si>
  <si>
    <t>我2019年11月买的270TGS4，500公里后出现离合器异响或者是变速箱异响不清楚，只要踩离合器就登登的异响，顿挫，提不起来速，偶尔断油，怠速忽高忽低发动机喘，，厂家居然说正常，而且还说谁让我买的这款车说我自己当初试驾啦，试驾能试出你后期的毛病？这售后真的，我奉劝大家别再上当</t>
  </si>
  <si>
    <t>投诉编号：【448268】
    投诉时间： 2020-02-23 03:49
    投诉品牌： 北京现代
    投诉车系： 途胜
    投诉车型： 2018款 1.6T 双离合 两驱 15周年特别版
北京现代途胜发动机噪音大水温上不去</t>
  </si>
  <si>
    <t>2020/02/23 04:21:26</t>
  </si>
  <si>
    <t>投诉编号：【448267】
    投诉时间： 2020-02-23 02:52
    投诉品牌： 东风雷诺
    投诉车系： 科雷傲
    投诉车型： 2018款 2.5L 两驱 尊贵版
主机黑屏，死机，卡机，短路</t>
  </si>
  <si>
    <t>2020/02/23 02:58:02</t>
  </si>
  <si>
    <t>2020/02/23 01:35:52</t>
  </si>
  <si>
    <t>投诉编号：【448265】
投诉时间： 2020-02-23 01:10
投诉品牌： 广汽本田
投诉车系： 飞度
投诉车型： 2004款 两厢飞度 1.3 AT CVT</t>
  </si>
  <si>
    <t>投诉编号：【448262】
    投诉时间： 2020-02-23 00:09
    投诉品牌： 上汽通用雪佛兰
    投诉车系： 科鲁泽
    投诉车型： 2019款 320T 双离合 爽快版 Redline 国V严重漏油</t>
  </si>
  <si>
    <t>2020/02/23 01:00:56</t>
  </si>
  <si>
    <t>投诉编号：【448264】  投诉时间： 2020-02-23 00:28  投诉品牌： 上汽大众  投诉车系： 朗行  投诉车型： 2015款 1.6L 自动 风尚型        投诉内容  前天在驾驶过程中，车子突然熄火，然后再也打不着。经修车师傅检查，为燃油泵不工作（有电，但油泵电机不工作）</t>
  </si>
  <si>
    <t>2020/02/23 00:28:00</t>
  </si>
  <si>
    <t xml:space="preserve">投诉编号：【448263】  投诉时间： 2020-02-23 00:15  投诉品牌： 上汽集团  投诉车系： 名爵HS  投诉车型： 2019款 20T 自动 两驱 Trophy超跑版 国VI        投诉内容  电瓶经常没电启动不了，最多能放3天，希望厂家可以安排工作人员尽快解决。   </t>
  </si>
  <si>
    <t>2020/02/23 00:15:00</t>
  </si>
  <si>
    <t>投诉编号：【448260】  投诉时间： 2020-02-23 00:05  投诉品牌： 北京现代  投诉车系： 领动  投诉车型： 2016款 1.6L 手动 智炫·青春型        投诉内容  我车北京现代领动，一直挺喜欢北京现代汽车的，在2017年8月25日购买了这款车。在这二年中换过2次</t>
  </si>
  <si>
    <t>2020/02/23 00:05:00</t>
  </si>
  <si>
    <t>投诉编号：【448259】  投诉时间： 2020-02-23 00:04  投诉品牌： 长安汽车  投诉车系： 长安CS55  投诉车型： 2017款 1.5T 自动 炫色型        投诉内容  空调调节到温度最低时吹出来的风依旧是热风，打开AC也是热风。      投诉回复  车质网已将您</t>
  </si>
  <si>
    <t>2020/02/23 00:04:00</t>
  </si>
  <si>
    <t xml:space="preserve"> 投诉编号：【448255】
    投诉时间： 2020-02-22 23:35
    投诉品牌： 一汽-大众
    投诉车系： 速腾
    投诉车型： 2019款 200TSI 手动 舒适型 国VI 起步，倒车出现自动补油，发动机转速过高</t>
  </si>
  <si>
    <t>2020/02/22 23:59:59</t>
  </si>
  <si>
    <t>投诉编号：【448256】  投诉时间： 2020-02-22 23:49  投诉品牌： 东风日产  投诉车系： 楼兰  投诉车型： 2017款 2.5L XL 两驱 智尚版        投诉内容  东风日产楼兰在1200到1700转有严重共振，冬季越发明显，4S店推脱不予处理，厂家推脱找专营店，</t>
  </si>
  <si>
    <t>2020/02/22 23:49:00</t>
  </si>
  <si>
    <t>投诉编号：【448247】  投诉时间： 2020-02-22 23:04
    投诉品牌： 上汽大众
    投诉车系： 帕萨特
    投诉车型： 2014款 1.8TSI DSG御尊版机电控制单元故障</t>
  </si>
  <si>
    <t>2020/02/22 23:33:46</t>
  </si>
  <si>
    <t>投诉编号：【448240】
    投诉时间： 2020-02-22 22:05
    投诉品牌： 一汽-大众奥迪
    投诉车系： 奥迪A4L
    投诉车型： 2019款 40 TFSI 进取型 国VI
行驶中左前轮嗡嗡响</t>
  </si>
  <si>
    <t>2020/02/22 23:26:05</t>
  </si>
  <si>
    <t xml:space="preserve">投诉编号：【448249】  投诉时间： 2020-02-22 23:17  投诉品牌： 奇瑞汽车  投诉车系： 艾瑞泽5  投诉车型： 2016款 1.5L 手动 领潮版        投诉内容  奇瑞艾瑞泽5车身爆漆一直无解决方案，车身爆漆没有任何外伤内伤的前提下，就这样爆漆了才两年多的车子。 </t>
  </si>
  <si>
    <t>2020/02/22 23:17:00</t>
  </si>
  <si>
    <t>投诉编号：【448246】  投诉时间： 2020-02-22 22:59  投诉品牌： 众泰汽车  投诉车系： 众泰T600  投诉车型： 2016款 1.5T 手动 豪华型        投诉内容  之前在店里修理过，但没有解决问题还是吃胎！发动机进气管爆裂，自费换过一次。涡轮增压介入发动机有是</t>
  </si>
  <si>
    <t>2020/02/22 22:59:00</t>
  </si>
  <si>
    <t>投诉编号：【448243】  投诉时间： 2020-02-22 22:27  投诉品牌： 上汽集团  投诉车系： 名爵HS  投诉车型： 2019款 30T 自动 两驱 Trophy超能版 国VI        投诉内容  2月17日下午，车辆无缘无故报警，收到斑马短信说有侵入，下楼看车，无异常，取</t>
  </si>
  <si>
    <t>2020/02/22 22:27:00</t>
  </si>
  <si>
    <t>投诉编号：【448241】  投诉时间： 2020-02-22 22:12  投诉品牌： 一汽-大众奥迪  投诉车系： 奥迪A4L  投诉车型： 2016款 2.0T CVT 舒适型 典藏版        投诉内容  发动机报警冷却液低，检查发现液位已经最低，加到最高位两周后再次到最低位置，4S店检</t>
  </si>
  <si>
    <t>2020/02/22 22:12:00</t>
  </si>
  <si>
    <t xml:space="preserve">投诉编号：【448239】  投诉时间： 2020-02-22 22:02  投诉品牌： 北京现代  投诉车系： 途胜  投诉车型： 2015款 1.6T   双离合 两驱 智能型        投诉内容  发动机烧机油过去一年了，一直拖着，标定做了3次不拿出解决办法，希望尽快维修 或者更换。   </t>
  </si>
  <si>
    <t>2020/02/22 22:02:00</t>
  </si>
  <si>
    <t xml:space="preserve">
    投诉编号：【448237】
    投诉时间： 2020-02-22 21:45
    投诉品牌： 广汽本田
    投诉车系： 锋范
    投诉车型： 2017款 1.5L CVT 舒适版底盘、避震、裙边生锈，车漆起泡，车窗异响</t>
  </si>
  <si>
    <t>2020/02/22 22:01:40</t>
  </si>
  <si>
    <t xml:space="preserve">
    投诉编号：【448234】
    投诉时间： 2020-02-22 21:22
    投诉品牌： 长城汽车
    投诉车系： 哈弗F7
    投诉车型： 2019款 1.5T 两驱 i潮
雷达控制模块更换问题</t>
  </si>
  <si>
    <t>2020/02/22 21:58:12</t>
  </si>
  <si>
    <t>2020/02/22 21:09:50</t>
  </si>
  <si>
    <t>投诉编号：【448232】
投诉时间： 2020-02-22 21:04
投诉品牌： 上汽大众
投诉车系： 桑塔纳
投诉车型： 2019款 1.5L 手动 风尚版 国VI</t>
  </si>
  <si>
    <t>投诉编号：【448231】  投诉时间： 2020-02-22 20:59  投诉品牌： 长安汽车  投诉车系： 逸动DT  投诉车型： 2019款 1.6L 手动 舒享型 国VI        投诉内容  我的车在首保做完不到3000公里，就出现起步加油门换挡时候，发动机嗷嗷叫，轰鸣声太大，然后踩</t>
  </si>
  <si>
    <t>2020/02/22 20:59:00</t>
  </si>
  <si>
    <t>投诉编号：【448230】  投诉时间： 2020-02-22 20:58  投诉品牌： 长安汽车  投诉车系： 睿骋CC  投诉车型： 2018款 1.5T 自动 尊雅型 国V        投诉内容  车自购买之日毛病不断，异响时常怠速不稳，时常闯挡窜车有时给油没反应车无力！19年开始油耗增加，</t>
  </si>
  <si>
    <t>2020/02/22 20:58:00</t>
  </si>
  <si>
    <t>投诉编号：【448227】  投诉时间： 2020-02-22 20:51  投诉品牌： 吉利汽车  投诉车系： 帝豪  投诉车型： 2015款 1.5L 手动 向上版 两厢 RS        投诉内容  帝豪后排两侧门体严重生锈！其中一个门体已经锈穿！要求厂家免费更换！(由于前期只是一个漆面起皮</t>
  </si>
  <si>
    <t>2020/02/22 20:51:00</t>
  </si>
  <si>
    <t>投诉编号：【448226】  投诉时间： 2020-02-22 20:39  投诉品牌： 一汽马自达  投诉车系： 睿翼  投诉车型： 2012款 2.0L 自动 精英版        投诉内容  一汽马自达睿翼副驾驶仪表台开裂，副驾驶仪表台开裂，存在质量问题，希望得到解决，希望厂家可以安排工作人员</t>
  </si>
  <si>
    <t>2020/02/22 20:39:00</t>
  </si>
  <si>
    <t>投诉编号：【448225】  投诉时间： 2020-02-22 20:38  投诉品牌： 郑州日产  投诉车系： 途达  投诉车型： 2020款 2.5L 自动 四驱 旗舰版        投诉内容  郑州日产途达停驶7天后电瓶亏电，无法启动，停驶7天就启动不了，深圳这边。望厂家尽快查明原因，希望厂</t>
  </si>
  <si>
    <t>2020/02/22 20:38:00</t>
  </si>
  <si>
    <t>投诉编号：【448224】  投诉时间： 2020-02-22 20:31  投诉品牌： 广汽本田  投诉车系： 雅阁  投诉车型： 2018款 260TURBO 精英版 国VI        投诉内容  广汽本田雅阁中控异响，挡杆松动，音响破音，油耗较高，开到1300公里的时候出现异响，希望厂家可</t>
  </si>
  <si>
    <t>2020/02/22 20:31:00</t>
  </si>
  <si>
    <t>投诉编号：【448221】  投诉时间： 2020-02-22 19:58  投诉品牌： 郑州日产  投诉车系： 途达  投诉车型： 2020款 2.5L 自动 四驱 豪华版        投诉内容  郑州日产途达停放一段时间后无法启动，于2020.2.11出现全车没电，弃电启动，放置三天后，又出现</t>
  </si>
  <si>
    <t>2020/02/22 19:58:00</t>
  </si>
  <si>
    <t>2020/02/22 19:57:35</t>
  </si>
  <si>
    <t>投诉编号：【448215】
投诉时间： 2020-02-22 19:35
投诉品牌： 上汽大众
投诉车系： 帕萨特
投诉车型： 2019款 330TSI 精英版 国VI</t>
  </si>
  <si>
    <t>投诉编号：【448216】  投诉时间： 2020-02-22 19:40  投诉品牌： 吉利汽车  投诉车系： 帝豪  投诉车型： 2014款 1.5L 手动 时尚型 三厢        投诉内容  我的车是2014款新帝豪1.5手动时尚版，2015年3月购于滨州市黄河十路渤海五路京武帝豪汽车，该</t>
  </si>
  <si>
    <t>2020/02/22 19:40:00</t>
  </si>
  <si>
    <t>上坡突然感觉加不上油了 发动机故障指示灯闪烁今天出个情况，上坡突然感觉加不上油了，发动机故障指示灯闪烁， 牵引力关闭指示灯和车身稳定指示灯亮了，当时没再敢加速，四五十迈开了有五分钟，发动机故障指示灯灭了，路边停车熄火等了一会再打火，那两个指示灯也灭了，这是什么情况！有遇到过的吗？帮我看看</t>
  </si>
  <si>
    <t>RSE李冬</t>
  </si>
  <si>
    <t>2020/02/22 19:38:00</t>
  </si>
  <si>
    <t>今天出个情况，上坡突然感觉加不上油了，发动机故障指示灯闪烁， 牵引力关闭指示灯和车身稳定指示灯亮了，当时没再敢加速，四五十迈开了有五分钟，发动机故障指示灯灭了，路边停车熄火等了一会再打火，那两个指示灯也灭了，这是什么情况！有遇到过的吗？帮我看看</t>
  </si>
  <si>
    <t>各位师傅，我的发电机传动皮带吱吱响，转速越快响声越大，请问师傅这是什么原因？</t>
  </si>
  <si>
    <t>2020/02/22 19:37:38</t>
  </si>
  <si>
    <t>捷途X70质量怎么样啊？</t>
  </si>
  <si>
    <t>2020/02/22 19:33:50</t>
  </si>
  <si>
    <t>2020/02/22 19:32:05</t>
  </si>
  <si>
    <t>投诉编号：【448210】
投诉时间： 2020-02-22 18:54
投诉品牌： 北京越野
投诉车系： 北京BJ20
投诉车型： 2018款 1.5T CVT 豪华型</t>
  </si>
  <si>
    <t>2020/02/22 19:29:32</t>
  </si>
  <si>
    <t>投诉编号：【448206】
投诉时间： 2020-02-22 18:28
投诉品牌： 东风日产
投诉车系： 天籁
投诉车型： 2020款 2.0L XL Upper 智行版</t>
  </si>
  <si>
    <t>投诉编号：【448212】  投诉时间： 2020-02-22 19:21  投诉品牌： 广汽本田  投诉车系： 飞度  投诉车型： 2014款 1.5L CVT LX舒适型        投诉内容  VTC执行器冷车启动时异响，已开始响2年有余，大部分飞度存在此问题，严重时可能导致执行器断裂，异物</t>
  </si>
  <si>
    <t>2020/02/22 19:21:00</t>
  </si>
  <si>
    <t>06锐志跑了185000就是费油，14.7百公里咋回事？</t>
  </si>
  <si>
    <t>2020/02/22 18:58:15</t>
  </si>
  <si>
    <t>投诉编号：【448208】  投诉时间： 2020-02-22 18:35  投诉品牌： 东风小康  投诉车系： 风光370  投诉车型： 2016款 1.5L 标准型 7座 SFG15-02        投诉内容  挂倒档倒车影像时有时无没反应，去4s说让花1500换导航，我去外面修车店花15块</t>
  </si>
  <si>
    <t>2020/02/22 18:35:00</t>
  </si>
  <si>
    <t>投诉编号：【448205】投诉时间：2020-02-2218:22投诉品牌：吉利汽车投诉车系：远景投诉车型：2016款1.5L自动幸福版投诉内容正常行驶中，突然加油没有动力，差点造成交通事故，且存在加油门转速高，速度不动，无法行驶。同时倒车无动力。希望给予解决处理。投诉回复车质网已将您的投诉转给生产</t>
  </si>
  <si>
    <t>2020/02/22 18:22:00</t>
  </si>
  <si>
    <t>投诉编号：【448204】  投诉时间： 2020-02-22 18:18  投诉品牌： 东风悦达起亚  投诉车系： KX3傲跑  投诉车型： 2020款 1.5L CVT 潮流版        投诉内容  刹车送开时会有咔咔的响声，中控会有塑料碰撞的响声，中控屏偶尔会自动黑屏2秒左右，大概出现了2</t>
  </si>
  <si>
    <t>2020/02/22 18:18:00</t>
  </si>
  <si>
    <t>投诉编号：【448203】  投诉时间： 2020-02-22 18:16  投诉品牌： 吉利汽车  投诉车系： 帝豪  投诉车型： 2016款 1.5L CVT 豪华版 三厢        投诉内容  加油门卡卡的响，提速也慢，今天开去4S店检查了一下，师傅说要换飞轮，变速箱油，全部自费，4千多，</t>
  </si>
  <si>
    <t>2020/02/22 18:16:00</t>
  </si>
  <si>
    <t>投诉编号：【448202】  投诉时间： 2020-02-22 18:11  投诉品牌： 吉利汽车  投诉车系： 远景X6  投诉车型： 2016款 1.8L 手动 豪华型        投诉内容  吉利远景X6底盘生锈严重，车内座椅生锈，之前发现座椅生锈，去4s店拍了几张照让我们回去等通知，昨天保</t>
  </si>
  <si>
    <t>2020/02/22 18:11:00</t>
  </si>
  <si>
    <t>投诉编号：【448201】  投诉时间： 2020-02-22 17:53  投诉品牌： 众泰汽车  投诉车系： 众泰T500  投诉车型： 2018款 1.5T 手动 尊享型 5座        投诉内容  汽车铝圈轮毂氧化严重，新车提车时内饰装饰有被刮伤的口子，左前叶子板漆面见底色，销售人员称出</t>
  </si>
  <si>
    <t>2020/02/22 17:53:00</t>
  </si>
  <si>
    <t>2020/02/22 17:41:29</t>
  </si>
  <si>
    <t>投诉编号：【448197】
投诉时间： 2020-02-22 17:30
投诉品牌： 一汽丰田
投诉车系： 卡罗拉
投诉车型： 2017款 1.2T S-CVT GL-i 改款</t>
  </si>
  <si>
    <t>开着新帕萨特的感觉 真的是非常不错工作了几年，我终于提了自己的第一台车——大众帕萨特.买车的原因其实大同小异，无非就是代步，提升生活质量，我同样也是如此。很早的时候就和大众结过缘，家里人选车的时候就逛过大众的门店，当时觉得这牌子有知名度，口碑也还可以，观感不错。可惜后来选了雅阁，就没有再看过了。现在</t>
  </si>
  <si>
    <t>蟹黄汤包</t>
  </si>
  <si>
    <t>2020/02/22 17:28:00</t>
  </si>
  <si>
    <t>工作了几年，我终于提了自己的第一台车——大众帕萨特.买车的原因其实大同小异，无非就是代步，提升生活质量，我同样也是如此。很早的时候就和大众结过缘，家里人选车的时候就逛过大众的门店，当时觉得这牌子有知名度，口碑也还可以，观感不错。可惜后来选了雅阁，就没有再看过了。现在到了我买车，也就把大众的车纳入了考</t>
  </si>
  <si>
    <t>希望帕萨特在未来的几年里 为我们全家保驾护航吧~大概一个多月前吧，提了车，当时的心情，挺激动的，人生中的第一台车啊，应该比小时候刚拿到新玩具的心情还要激动吧。一个多月的时间过去了，对于全新帕萨特这台车，我觉得有些东西可以说一下了，整理一下，分享给大家。选择帕萨特这台车呢，最直接的还是颜值问题，看脸的</t>
  </si>
  <si>
    <t>重拾幸福</t>
  </si>
  <si>
    <t>2020/02/22 17:27:00</t>
  </si>
  <si>
    <t>大概一个多月前吧，提了车，当时的心情，挺激动的，人生中的第一台车啊，应该比小时候刚拿到新玩具的心情还要激动吧。一个多月的时间过去了，对于全新帕萨特这台车，我觉得有些东西可以说一下了，整理一下，分享给大家。选择帕萨特这台车呢，最直接的还是颜值问题，看脸的时代，一个好看的设计真的很重要。全新帕萨特的设计</t>
  </si>
  <si>
    <t>车子开着发闷，没劲，跑到100就提不起速度了，怠速运转加油时，空滤口有啪啪的响声 .。</t>
  </si>
  <si>
    <t>2020/02/22 17:26:16</t>
  </si>
  <si>
    <t>投诉编号：【448196】  投诉时间： 2020-02-22 17:26  投诉品牌： 一汽-大众  投诉车系： 迈腾  投诉车型： 2013款 1.8TSI 领先型        投诉内容  挡位闪烁扳手，挂挡不走，加油掉挡，失速。      投诉回复  车质网已将您的投诉转给生产企业以及国家市</t>
  </si>
  <si>
    <t>2020/02/22 17:26:00</t>
  </si>
  <si>
    <t>2020/02/22 17:25:15</t>
  </si>
  <si>
    <t>投诉编号：【448192】
投诉时间： 2020-02-22 17:07
投诉品牌： 奇瑞汽车
投诉车系： 奇瑞E5
投诉车型： 2012款 1.5L 手动 运动版</t>
  </si>
  <si>
    <t>二十万预算 我选择了帕萨特当时准备入手一辆车为家用，舒适驾驶感好，是我挑选时考虑的重要因素，现在就说说当时为何放弃了雅阁和迈腾，选择了帕萨特。首先我不是很喜欢雅阁单纯的运动风，给我浮躁的感觉，迈腾则是刻板的商务车的形象。而新款的帕萨特完全放弃了兄弟车型迈腾身上那种老态龙钟的感觉，时尚年轻外观，但依然</t>
  </si>
  <si>
    <t>恋之羁绊</t>
  </si>
  <si>
    <t>2020/02/22 17:22:00</t>
  </si>
  <si>
    <t>当时准备入手一辆车为家用，舒适驾驶感好，是我挑选时考虑的重要因素，现在就说说当时为何放弃了雅阁和迈腾，选择了帕萨特。首先我不是很喜欢雅阁单纯的运动风，给我浮躁的感觉，迈腾则是刻板的商务车的形象。而新款的帕萨特完全放弃了兄弟车型迈腾身上那种老态龙钟的感觉，时尚年轻外观，但依然不乏大气。我也算是第一批的</t>
  </si>
  <si>
    <t>现在很多B级车说自己宜商宜家，我不以为然。宜商不仅在外在方面让人觉得气派，更重要的还得让乘客觉得舒适放松。而帕萨特一直很好做到这一点，新款的帕萨特更是加长至4933mm，和迈腾、凯美瑞、雅阁等同级别对手相比，尺寸数据也是明显占优。我一米七六的个子，后排头部空间有一拳之多，腿部空间更是超过三拳。不同于</t>
  </si>
  <si>
    <t>零晨二十五点</t>
  </si>
  <si>
    <t>2020/02/22 17:21:00</t>
  </si>
  <si>
    <t>宜商也宜家 入手新款帕萨特现在很多B级车说自己宜商宜家，我不以为然。宜商不仅在外在方面让人觉得气派，更重要的还得让乘客觉得舒适放松。而帕萨特一直很好做到这一点，新款的帕萨特更是加长至4933mm，和迈腾、凯美瑞、雅阁等同级别对手相比，尺寸数据也是明显占优。我一米七六的个子，后排头部空间有一拳之多，腿</t>
  </si>
  <si>
    <t>投诉编号：【448194】  投诉时间： 2020-02-22 17:17  投诉品牌： 广汽丰田  投诉车系： 凯美瑞  投诉车型： 2019款 2.5G 豪华版 国VI        投诉内容  1月10日购买的车，目前还没行驶两个月，里程不到2000公里，下班过红绿灯，路面不平就爆胎了，人家别</t>
  </si>
  <si>
    <t>2020/02/22 17:17:00</t>
  </si>
  <si>
    <t>同为大众车 帕萨特销量远超迈腾如果说前10年是A级车天下的话,那么在2020年的后10年里，或许就将有“得B级车者得天下”之说了。随着人均收入及消费的水平提高，在满足自我出行需求的前提下，更偏向品牌力强，档次更高，科技感更好的中型轿车了。根据2019年12月份最新销量数据显示，上汽大众帕萨特以260</t>
  </si>
  <si>
    <t>美开心果</t>
  </si>
  <si>
    <t>如果说前10年是A级车天下的话,那么在2020年的后10年里，或许就将有“得B级车者得天下”之说了。随着人均收入及消费的水平提高，在满足自我出行需求的前提下，更偏向品牌力强，档次更高，科技感更好的中型轿车了。根据2019年12月份最新销量数据显示，上汽大众帕萨特以26014辆的成绩位居国内中中型轿车</t>
  </si>
  <si>
    <t>迫不及待想看车 斯柯达昕动让我对昕动比较好奇的，是基于去年年底斯柯达发布的全新草图，应用了斯柯达最新的设计语言，确实焕然一新，好看很多。这不，这车都已经上市了，我也打电话问了我们当地4S店的电话，说是还没现车，所以现在只能眼巴巴等新车到店了再去看咯。8.14-11.14万的售价其实还可以，到时候终端</t>
  </si>
  <si>
    <t>小爷爱耿妞</t>
  </si>
  <si>
    <t>2020/02/22 17:12:00</t>
  </si>
  <si>
    <t>让我对昕动比较好奇的，是基于去年年底斯柯达发布的全新草图，应用了斯柯达最新的设计语言，确实焕然一新，好看很多。这不，这车都已经上市了，我也打电话问了我们当地4S店的电话，说是还没现车，所以现在只能眼巴巴等新车到店了再去看咯。8.14-11.14万的售价其实还可以，到时候终端应该也会给个优惠的，而且斯</t>
  </si>
  <si>
    <t>2020/02/22 17:11:00</t>
  </si>
  <si>
    <t>投诉编号：【448186】
投诉时间： 2020-02-22 16:46
投诉品牌： 东风日产
投诉车系： 轩逸
投诉车型： 2019款 1.6XV CVT 智联尊享版 国V</t>
  </si>
  <si>
    <t>投诉编号：【448191】投诉时间：2020-02-2217:04投诉品牌：领克汽车投诉车系：领克01投诉车型：2017款2.0T自动两驱型投诉内容领克的夏日关怀活动，升级前未告知客户升级会造成车辆驾驶风格的改变，只告知是影音升级，但是升级包里包含了变速箱升级和发动机升级，升级后导致没有升级之前的动</t>
  </si>
  <si>
    <t>2020/02/22 17:04:00</t>
  </si>
  <si>
    <t>一辆汽油电控发动机汽车在行驶过程中打开空调A/C开关时，发动机仪表上水温表报警，水温过高，关了空调水温就降下来了！</t>
  </si>
  <si>
    <t>2020/02/22 17:00:31</t>
  </si>
  <si>
    <t>2013年迈腾变速箱保修包括飞轮吗？</t>
  </si>
  <si>
    <t>2020/02/22 16:29:26</t>
  </si>
  <si>
    <t>投诉编号：【448182】投诉时间：2020-02-2216:23投诉品牌：奇瑞汽车投诉车系：艾瑞泽EX投诉车型：2019款1.5LCVT青春版国V投诉内容刚买来没有2个月刹车盘总是会进石子，憋着气我自己修了。现在才刚七个多月，电子钥匙又坏掉了，操作一点反应都没有，真是毛病不断啊！投诉回复车质网已将</t>
  </si>
  <si>
    <t>2020/02/22 16:23:00</t>
  </si>
  <si>
    <t>投诉编号：【448180】投诉时间：2020-02-2216:07投诉品牌：奇瑞汽车投诉车系：艾瑞泽5投诉车型：2019款1.5L手动新自在版国VI投诉内容在2019年8月的样子就发现生锈的痕迹，当时没太在意，到今年2月越发严重。2020年2月21号跑高速后车牌整块掉落，连同上螺丝的铜柱一起掉落。投</t>
  </si>
  <si>
    <t>2020/02/22 16:07:00</t>
  </si>
  <si>
    <t>投诉编号：【448179】  投诉时间： 2020-02-22 16:05  投诉品牌： 广汽本田  投诉车系： 飞度  投诉车型： 2014款 1.5L 手动 LX舒适型        投诉内容  VTC执行器冷车启动时异响，已开始响一月有余，大部分飞度存在此问题，严重时可能导致执行器断裂，异物进</t>
  </si>
  <si>
    <t>2020/02/22 16:05:00</t>
  </si>
  <si>
    <t>2020/02/22 15:50:59</t>
  </si>
  <si>
    <t>投诉编号：【448175】
投诉时间： 2020-02-22 15:31
投诉品牌： 东风标致
投诉车系： 标致408
投诉车型： 2015款 1.2T 自动 豪华版</t>
  </si>
  <si>
    <t>2020/02/22 15:39:38</t>
  </si>
  <si>
    <t>投诉编号：【448174】
投诉时间： 2020-02-22 15:31
投诉品牌： 北京奔驰
投诉车系： 奔驰GLC
投诉车型： 2019款 GLC 260 4MATIC 豪华型</t>
  </si>
  <si>
    <t>投诉编号：【448172】投诉时间：2020-02-2215:20投诉品牌：上汽通用五菱投诉车系：宝骏730投诉车型：2019款1.5L手动时尚型7座国VI投诉内容1、发动机异响振动，车辆起步时有异常声音和振动2、车辆里面有异响，走不太好的路况或者速度上来了异响就来了，具体说不清那里，有可能是车门处</t>
  </si>
  <si>
    <t>2020/02/22 15:20:00</t>
  </si>
  <si>
    <t>投诉编号：【448171】  投诉时间： 2020-02-22 15:19  投诉品牌： 一汽-大众奥迪  投诉车系： 奥迪A4L  投诉车型： 2016款 2.0T CVT 自标准型 典藏版        投诉内容  2018年2月份去4S店保养，检测说是防冻液水壶渗漏，但是并没有故障灯报警，因为</t>
  </si>
  <si>
    <t>2020/02/22 15:19:00</t>
  </si>
  <si>
    <t>投诉编号：【448170】  投诉时间： 2020-02-22 15:18  投诉品牌： 吉利汽车  投诉车系： 远景  投诉车型： 2016款 1.5L 手动 幸福版        投诉内容  2016年买的车，开到17年就开始车身生锈，到今天我已经在四S店反复修理N次，现在又开始生锈了，车门换了</t>
  </si>
  <si>
    <t>2020/02/22 15:18:00</t>
  </si>
  <si>
    <t>投诉编号：【448168】投诉时间：2020-02-2215:06投诉品牌：上汽斯柯达投诉车系：昕动投诉车型：2016款1.6L手动前行版改款投诉内容5000-8000公里快修店购买机油保养。19年九月份发现机油消耗严重，每两千公里机油液面从机油尺正常位置降低到机油尺的尖端底部，其中只有一个火花塞螺</t>
  </si>
  <si>
    <t>2020/02/22 15:06:00</t>
  </si>
  <si>
    <t>投诉编号：【448166】  投诉时间： 2020-02-22 15:00  投诉品牌： 上汽集团  投诉车系： 荣威RX8  投诉车型： 2018款 30T 两驱 智联网 旗舰版 7座        投诉内容  发动机大修后引发许多问题未解决！噪音大，烧机油等！      投诉回复  车质网已将您</t>
  </si>
  <si>
    <t>2020/02/22 15:00:00</t>
  </si>
  <si>
    <t>投诉编号：【448164】  投诉时间： 2020-02-22 14:51  投诉品牌： 东风日产  投诉车系： 逍客  投诉车型： 2017款 2.0L CVT 智享版 国V        投诉内容  检查轮胎的时候，闻到机油味道，打开一看就漏油了。      投诉回复  车质网已将您的投诉转给生</t>
  </si>
  <si>
    <t>2020/02/22 14:51:00</t>
  </si>
  <si>
    <t xml:space="preserve">投诉编号：【448163】  投诉时间： 2020-02-22 14:50  投诉品牌： 上汽斯柯达  投诉车系： 柯珞克  投诉车型： 2018款 TSI280 旗舰版 国VI        投诉内容  发动机有异响，车质网也有车友有同样问题。给油油管共振，每次给油都能听出来，滋滋滋的声音。   </t>
  </si>
  <si>
    <t>2020/02/22 14:50:00</t>
  </si>
  <si>
    <t>三菱的奕歌和起亚KX5还有日产逍客哪个质量好点好点？哪个毛病少？比较推荐哪款？</t>
  </si>
  <si>
    <t>2020/02/22 13:59:15</t>
  </si>
  <si>
    <t>想问问2019款起亚KX5，2.0L这款车质量怎么样？和长安cs75、新款传祺GS4相比怎么样？</t>
  </si>
  <si>
    <t>雪佛兰迈锐宝，目前14000公里，最近一段时间发现油门变重，加速声音变大，没有推背感了，去4s检查，说没问题，机油脏了，更换机油，然后清洗节气门，好了，过了几天后又是原来问题。</t>
  </si>
  <si>
    <t>2020/02/22 13:59:14</t>
  </si>
  <si>
    <t>宝骏乐驰警报器不响是什么原因？</t>
  </si>
  <si>
    <t>发动机怠速节气门附近有摩擦的声音怎么办？</t>
  </si>
  <si>
    <t>干式双离合变速箱为什么升降挡顿挫和异响？</t>
  </si>
  <si>
    <t>2019君越豪华版有时倒挡一挂上去，电子手刹就自动解锁，无需加油，有时停车挂P挡时，又自动上锁，此现象时有时无，请问是正常现象吗？</t>
  </si>
  <si>
    <t>请问，2020款荣放和柯迪亚克GT从技术上来说那款车更新更先进？这两款车对比后期保养费用又如何？谢谢。</t>
  </si>
  <si>
    <t>专家你好，雪铁龙天逸C5质量怎么样？值得买吗？</t>
  </si>
  <si>
    <t>2020/02/22 13:59:13</t>
  </si>
  <si>
    <t>科沃兹发动机加油到两千转发动机声音哄哄的响特大声音，油门松掉就没了什么原因。</t>
  </si>
  <si>
    <t>长安欧尚机舱盖打不开了咋办？</t>
  </si>
  <si>
    <t>2020/02/22 13:54:44</t>
  </si>
  <si>
    <t>艾瑞泽5方向盘都还没有打死，打到一定的位置就有异响，感觉什么东西拉车在响一样，请问是什么问题，助力油换了。</t>
  </si>
  <si>
    <t>2020/02/22 13:54:43</t>
  </si>
  <si>
    <t>领动自动精英，才开一千公里发现发动机抖动问题大吗，严重吗？</t>
  </si>
  <si>
    <t>路速表时不时打不起，也加不起油，发动机声音大。</t>
  </si>
  <si>
    <t>开启ECO模式。对发动机会造成损伤吗？</t>
  </si>
  <si>
    <t>投诉编号：【448156】投诉时间：2020-02-2213:47投诉品牌：奔驰（进口）投诉车系：奔驰B级投诉车型：2009款2.0LCVT200时尚型投诉内容09款B200奔驰2012年3月购买，按期正常保养，6万公里时更换变速箱油。在行驶到2019年10月份突然出现变速箱故障，无法加速，打电话给</t>
  </si>
  <si>
    <t>2020/02/22 13:47:00</t>
  </si>
  <si>
    <t>2020/02/22 13:36:54</t>
  </si>
  <si>
    <t>投诉编号：【448154】
投诉时间： 2020-02-22 13:28
投诉品牌： 上汽集团
投诉车系： 荣威i5
投诉车型： 2019款 1.5L 自动 4G互联朗豪版</t>
  </si>
  <si>
    <t>2020/02/22 13:36:36</t>
  </si>
  <si>
    <t>投诉编号：【448152】
投诉时间： 2020-02-22 13:23
投诉品牌： 海马汽车
投诉车系： 海马M3
投诉车型： 2013款 1.5L 手动 基本型</t>
  </si>
  <si>
    <t>投诉编号：【448155】  投诉时间： 2020-02-22 13:30  投诉品牌： 一汽丰田  投诉车系： 卡罗拉  投诉车型： 2014款 1.6L CVT GL        投诉内容  这是第三次投诉，厂家应付差事只是让4s打个电话了解情况，了解完就把事推后了，4s店的态度就是只要出保他</t>
  </si>
  <si>
    <t>2020/02/22 13:30:00</t>
  </si>
  <si>
    <t>投诉编号：【448153】  投诉时间： 2020-02-22 13:24  投诉品牌： 东风本田  投诉车系： INSPIRE  投诉车型： 2019款 260TURBO 精致版 国VI        投诉内容  电瓶亏电，12月3日买的车，1月1日，车子停了两天，无法启动，叫了搭电服务后能启动。</t>
  </si>
  <si>
    <t>2020/02/22 13:24:00</t>
  </si>
  <si>
    <t>今天爬40多度的泥巴路坡，离合器片烧冒烟请问需要换离合器片吗，车还能动，另外故障灯亮了个小齿轮还有个跟翻书的标志是啥意思。</t>
  </si>
  <si>
    <t>2020/02/22 13:10:07</t>
  </si>
  <si>
    <t>投诉编号：【448147】投诉时间：2020-02-2212:56投诉品牌：上汽集团投诉车系：荣威RX3投诉车型：2020款1.6LCVT4G互联超爽旗舰版投诉内容购车不足3个月，底盘异响严重，在很好的路面上行驶，公里数不足2500，轮胎就鼓包了。投诉回复车质网已将您的投诉转给生产企业以及国家市场监</t>
  </si>
  <si>
    <t>2020/02/22 12:56:00</t>
  </si>
  <si>
    <t>投诉编号：【448146】  投诉时间： 2020-02-22 12:48  投诉品牌： 东风标致  投诉车系： 标致4008  投诉车型： 2017款 350THP 精英版        投诉内容  汽车右前后，两个减震漏油。买这车之后平均6个月坏一次，问题太多了，发动机熄火，3次，现在减震器又漏</t>
  </si>
  <si>
    <t>2020/02/22 12:48:00</t>
  </si>
  <si>
    <t>投诉编号：【448144】投诉时间：2020-02-2212:29投诉品牌：一汽奔腾投诉车系：奔腾T77投诉车型：2019款230TID自动尊享型国VI投诉内容新车就出现这个问题，严重影响安全问题，而且销售不专业，有欺诈消费，买的时候说的是交定金不着急等厂家提新车，结果等了一个多月提车的时候是六个月</t>
  </si>
  <si>
    <t>2020/02/22 12:29:00</t>
  </si>
  <si>
    <t>2020/02/22 12:17:35</t>
  </si>
  <si>
    <t>投诉编号：【448138】
投诉时间： 2020-02-22 11:56
投诉品牌： 一汽马自达
投诉车系： 阿特兹
投诉车型： 2018款 2.5L 蓝天运动版 国V</t>
  </si>
  <si>
    <t>2020/02/22 12:10:20</t>
  </si>
  <si>
    <t>投诉编号：【448132】
投诉时间： 2020-02-22 11:37
投诉品牌： 比亚迪
投诉车系： 比亚迪F3
投诉车型： 2010款 1.5 手动 新白金版标准型</t>
  </si>
  <si>
    <t>投诉编号：【448139】  投诉时间： 2020-02-22 12:00  投诉品牌： 吉利汽车  投诉车系： 金刚  投诉车型： 2016款 1.5L 手动 精英型 国V        投诉内容  吉利金刚电瓶漏电解液导致线路腐蚀，存在严重质量问题，希望厂家重视处理。      投诉回复  车质</t>
  </si>
  <si>
    <t>2020/02/22 12:00:00</t>
  </si>
  <si>
    <t>2020/02/22 11:59:56</t>
  </si>
  <si>
    <t>投诉编号：【448122】
投诉时间： 2020-02-22 10:35
投诉品牌： 长安福特
投诉车系： 锐界
投诉车型： 2018款 EcoBoost 245 两驱 豪锐型 7座 国VI</t>
  </si>
  <si>
    <t>投诉编号：【448137】  投诉时间： 2020-02-22 11:56  投诉品牌： 东风日产  投诉车系： 轩逸  投诉车型： 2019款 1.6XV CVT 智联尊享版 国VI        投诉内容  车速达到25迈时变速箱有异响，但是超过25迈之后恢复正常，同时车速达到25迈时底盘有明显</t>
  </si>
  <si>
    <t>2020/02/22 11:56:00</t>
  </si>
  <si>
    <t>投诉编号：【448136】  投诉时间： 2020-02-22 11:51  投诉品牌： 上汽集团  投诉车系： 名爵6  投诉车型： 2019款 20T 自动 星辉版        投诉内容  车身电子原件多处不能用，后备箱开不开，码表不能用。      投诉回复  车质网已将您的投诉转给生产企业</t>
  </si>
  <si>
    <t>2020/02/22 11:51:00</t>
  </si>
  <si>
    <t>投诉编号：【448134】  投诉时间： 2020-02-22 11:39  投诉品牌： 上汽大众  投诉车系： 帕萨特新能源  投诉车型： 2019款 430PHEV 混动 精英版        投诉内容  中保研25%正面碰撞测试A柱严重变形，说明A柱强度严重不足。方向盘位移过大，安全气囊无法起</t>
  </si>
  <si>
    <t>2020/02/22 11:39:00</t>
  </si>
  <si>
    <t xml:space="preserve">投诉编号：【448133】  投诉时间： 2020-02-22 11:37  投诉品牌： 上汽通用五菱  投诉车系： 宝骏310W  投诉车型： 2017款 1.5L 手动 时尚型 国V        投诉内容  右后轮毂内侧开裂2厘米，4S店说我是外力造成的，不给换，内侧开裂怎么回事外力造成的？ </t>
  </si>
  <si>
    <t>2020/02/22 11:37:00</t>
  </si>
  <si>
    <t>日前，江淮正式宣布，旗下嘉悦A5 EV车型正式定名为——iC5。此外官方还表示，江淮iC5将于2月26日在江淮汽车App上开启线上预售，优先供应北京市场。同时新车将采用“线上展示+订车、线下体验+交付”的新零售模式。新车续航方面，官方给出的该车NEDC综合续航里程可达530km。    江淮iC5中</t>
  </si>
  <si>
    <t>2020/02/22 10:54:00</t>
  </si>
  <si>
    <t>　　日前，江淮正式宣布，旗下嘉悦A5 EV车型正式定名为――iC5。此外官方还表示，江淮iC5将于2月26日在江淮汽车App上开启线上预售，优先供应北京市场。同时新车将采用“线上展示+订车、线下体验+交付”的新零售模式。新车续航方面，官方给出的该车NEDC综合续航里程可达530km。　　江淮iC5中</t>
  </si>
  <si>
    <t>2月21日，广东省政府印发《广东省进一步稳定和促进就业若干政策措施》，政策提出，推动有条件的地市出台老旧汽车报废更新补贴政策，鼓励广州、深圳进一步放宽汽车摇号和竞拍指标。    该政策的发布呼应了国家商务部2月20日的建议。商务部市场运行司副司长王斌2月20日表示，商务部将会同相关部门研究出台进一步</t>
  </si>
  <si>
    <t>2020/02/22 10:53:00</t>
  </si>
  <si>
    <t>　　2月21日，广东省政府印发《广东省进一步稳定和促进就业若干政策措施》，政策提出，推动有条件的地市出台老旧汽车报废更新补贴政策，鼓励广州、深圳进一步放宽汽车摇号和竞拍指标。　　该政策的发布呼应了国家商务部2月20日的建议。商务部市场运行司副司长王斌2月20日表示，商务部将会同相关部门研究出台进一步</t>
  </si>
  <si>
    <t>日前，我们在经销商处拍摄到了北京现代菲斯塔纯电动版车型。新车定位为紧凑型轿车，其外观整体与燃油版菲斯塔车型基本保持一致。关于其续航方面，官方表示该车NEDC续航里程为490km。    外观方面，新车的整体造型与燃油版车型基本保持一致，并在细节上进行调整。例如，现款菲斯塔标志性的大嘴式进气格栅被调整</t>
  </si>
  <si>
    <t>2020/02/22 10:52:00</t>
  </si>
  <si>
    <t>　　日前，我们在经销商处拍摄到了北京现代菲斯塔纯电动版车型。新车定位为紧凑型轿车，其外观整体与燃油版菲斯塔车型基本保持一致。关于其续航方面，官方表示该车NEDC续航里程为490km。　　外观方面，新车的整体造型与燃油版车型基本保持一致，并在细节上进行调整。例如，现款菲斯塔标志性的大嘴式进气格栅被调整</t>
  </si>
  <si>
    <t>　　不生产电池的博世玩电动化的套路有些与众不同。日前，中国造车新势力华人运通公司与德国博世集团在柏林举行的“互联世界”物联网大会上签署协议，宣布双方将共同推进云端电池管理系统（简称“云端电池”）领域的合作，双方共同将为华人运通智能纯电动汽车“高合HiPhi 1”开发专属云端电池模型和算法。　　201</t>
  </si>
  <si>
    <t>2020/02/22 10:50:00</t>
  </si>
  <si>
    <t>不生产电池的博世玩电动化的套路有些与众不同。日前，中国造车新势力华人运通公司与德国博世集团在柏林举行的“互联世界”物联网大会上签署协议，宣布双方将共同推进云端电池管理系统（简称“云端电池”）领域的合作，双方共同将为华人运通智能纯电动汽车“高合HiPhi 1”开发专属云端电池模型和算法。    201</t>
  </si>
  <si>
    <t>投诉编号：【448125】  投诉时间： 2020-02-22 10:46  投诉品牌： 上汽集团  投诉车系： 锐腾  投诉车型： 2015款 1.5TGI TST 豪华版        投诉内容  变速箱与发动机之间的导向轴承坏了，无法提速，且有异响，可能轴也出现了问题。厂家以没有保养记录和保养</t>
  </si>
  <si>
    <t>2020/02/22 10:46:00</t>
  </si>
  <si>
    <t>　　日前，我们从官方获悉，梅赛德斯-奔驰将在3月3日开幕的2020日内瓦车展中，全球首发新款奔驰E级以及紧凑型混合动力新车型，另外梅赛德斯-AMG将首发三款AMG车型。其中紧凑型混合动力新车型预计为CLA PHEV和新GLA PHEV，AMG车型中将会有全新AMG GLE 63轿跑SUV和AMG G</t>
  </si>
  <si>
    <t>2020/02/22 10:42:00</t>
  </si>
  <si>
    <t xml:space="preserve">日前，我们从官方获悉，梅赛德斯-奔驰将在3月3日开幕的2020日内瓦车展中，全球首发新款奔驰E级以及紧凑型混合动力新车型，另外梅赛德斯-AMG将首发三款AMG车型。其中紧凑型混合动力新车型预计为CLA PHEV和新GLA PHEV，AMG车型中将会有全新AMG GLE 63轿跑SUV和AMG GT </t>
  </si>
  <si>
    <t>（图片来源：特斯拉官网）　　据外媒报道，2月20日特斯拉获得了德国法庭的许可，可以继续对柏林附近的一片森林进行砍伐，从而为其位于欧洲的第一座汽车和电池工厂的建设做准备。此前特斯拉的砍伐遭到了当地环保主义者的反对，法庭的最新决定对于环保人士来说是一次失败。　　去年11月，特斯拉宣布将在位于柏林附近的勃</t>
  </si>
  <si>
    <t>2020/02/22 10:40:00</t>
  </si>
  <si>
    <t>（图片来源：特斯拉官网）    据外媒报道，2月20日特斯拉获得了德国法庭的许可，可以继续对柏林附近的一片森林进行砍伐，从而为其位于欧洲的第一座汽车和电池工厂的建设做准备。此前特斯拉的砍伐遭到了当地环保主义者的反对，法庭的最新决定对于环保人士来说是一次失败。    去年11月，特斯拉宣布将在位于柏林</t>
  </si>
  <si>
    <t>　　据外媒报道称，由于欧洲严格的排放标准，为避免处罚，梅赛德斯-奔驰预计在2020年将欧盟地区的纯电动车、插电式混合动力车型销量占比翻三倍。产品部分，除了EQC以外，该品牌还有望推出EQS、EQB、EQA等纯电动车型。『EQC在德国不莱梅工厂』　　首先在生产方面，此前有媒体称因电池供应不足，EQC将</t>
  </si>
  <si>
    <t>2020/02/22 10:39:00</t>
  </si>
  <si>
    <t>据外媒报道称，由于欧洲严格的排放标准，为避免处罚，梅赛德斯-奔驰预计在2020年将欧盟地区的纯电动车、插电式混合动力车型销量占比翻三倍。产品部分，除了EQC以外，该品牌还有望推出EQS、EQB、EQA等纯电动车型。『EQC在德国不莱梅工厂』    首先在生产方面，此前有媒体称因电池供应不足，EQC将</t>
  </si>
  <si>
    <t>据海外媒体报道，日本已经成立专责小组，负责处理冠状疫情对汽车业的影响。    日本经济产业省在一份声明中说，专责小组的主要工作是监督事态发展，协调沟通，并与日本政府合作，制定措施，确保零部件供应链运转正常。如果情况恶化，该小组将共享调查信息，并提供任何必要的融资和政策支持。专责小组将与日本汽车制造商</t>
  </si>
  <si>
    <t>2020/02/22 10:37:00</t>
  </si>
  <si>
    <t>　　据海外媒体报道，日本已经成立专责小组，负责处理冠状疫情对汽车业的影响。　　日本经济产业省在一份声明中说，专责小组的主要工作是监督事态发展，协调沟通，并与日本政府合作，制定措施，确保零部件供应链运转正常。如果情况恶化，该小组将共享调查信息，并提供任何必要的融资和政策支持。专责小组将与日本汽车制造商</t>
  </si>
  <si>
    <t>日前，我们从野马汽车官方获悉，其将在2020年推出包括2020款博骏、2020款斯派卡、2020款野马EC60、斯派卡EV以及全新A00级两厢纯电动轿车等多款车型在内的传统能源车和新能源车，涵盖SUV、MPV及轿车等细分市场。配图为2019款博骏    博骏是野马汽车在SUV市场打造的一款拥有越级品</t>
  </si>
  <si>
    <t>2020/02/22 10:34:00</t>
  </si>
  <si>
    <t>　　日前，我们从野马汽车官方获悉，其将在2020年推出包括2020款博骏、2020款斯派卡、2020款野马EC60、斯派卡EV以及全新A00级两厢纯电动轿车等多款车型在内的传统能源车和新能源车，涵盖SUV、MPV及轿车等细分市场。配图为2019款博骏　　博骏是野马汽车在SUV市场打造的一款拥有越级品</t>
  </si>
  <si>
    <t>据日本经济新闻社报道，马自达计划在2023年推出一个全新的大型高端车平台，不过在此之前，马自达将不再推出全新车型，并停止升级现有车型。换话话说，推出新平台前，由于没有新车，马自需要做出额外行动，保持其品牌形象，从而达成销售目标。    首先的举措是2019年推出的马自达全新高端技术Skyactiv-</t>
  </si>
  <si>
    <t>2020/02/22 10:33:00</t>
  </si>
  <si>
    <t>　　据日本经济新闻社报道，马自达计划在2023年推出一个全新的大型高端车平台，不过在此之前，马自达将不再推出全新车型，并停止升级现有车型。换话话说，推出新平台前，由于没有新车，马自需要做出额外行动，保持其品牌形象，从而达成销售目标。　　首先的举措是2019年推出的马自达全新高端技术Skyactiv-</t>
  </si>
  <si>
    <t>投诉编号：【448120】  投诉时间： 2020-02-22 10:31  投诉品牌： 上汽集团  投诉车系： 名爵HS  投诉车型： 2018款 20T 自动 两驱 荷尔蒙劲取版 国V        投诉内容  车辆停了五六天后，车门都打不开，叫保险公司搭电后，开了一小时左右，回家停车二天后又没</t>
  </si>
  <si>
    <t>2020/02/22 10:31:00</t>
  </si>
  <si>
    <t>　　2月21日，针对有媒体报道“国六排放或将全国范围内推迟实施”，中国汽车工业协会副秘书长陈士华向中国证券报记者表示，协会确实向相关部门提交了推迟全国范围内实施国六排放标准的建议，不过并未公开，是否采纳暂未可知。</t>
  </si>
  <si>
    <t>2月21日，针对有媒体报道“国六排放或将全国范围内推迟实施”，中国汽车工业协会副秘书长陈士华向中国证券报记者表示，协会确实向相关部门提交了推迟全国范围内实施国六排放标准的建议，不过并未公开，是否采纳暂未可知。</t>
  </si>
  <si>
    <t>日前，美国消费者报告刊出了一篇文章，列举出了美国人最喜爱的2020年10款热门车型。它们分别是按价格区间列出的，下面我们就给大家介绍下这10款美国人民看好的车型，一起来看吧。    低于25000美元    丰田 卡罗拉    作为一台全球最为经典的畅销家用车，卡罗拉一直保持在线，不论美国市场还是欧</t>
  </si>
  <si>
    <t>2020/02/22 10:02:00</t>
  </si>
  <si>
    <t>　　日前，美国消费者报告刊出了一篇文章，列举出了美国人最喜爱的2020年10款热门车型。它们分别是按价格区间列出的，下面我们就给大家介绍下这10款美国人民看好的车型，一起来看吧。　　低于25000美元　　丰田 卡罗拉　　作为一台全球最为经典的畅销家用车，卡罗拉一直保持在线，不论美国市场还是欧洲亦或是</t>
  </si>
  <si>
    <t>　　新冠疫情对汽车行业带来的损失，或将在2月的产销数据中开始体现。从盖世汽车收集到的信息来看，国内某主流汽车集团预估2月份销量下滑80-90%。若没有其他利好，2月、3月，以至于第一季度、甚至上半年的车市会跌至谷底。　　然，2月16日出版的今年第4期《求是》杂志上发表了国家最高领导人的文章《在中央政</t>
  </si>
  <si>
    <t>张小莎</t>
  </si>
  <si>
    <t>2020/02/22 10:00:00</t>
  </si>
  <si>
    <t>新冠疫情对汽车行业带来的损失，或将在2月的产销数据中开始体现。从盖世汽车收集到的信息来看，国内某主流汽车集团预估2月份销量下滑80-90%。若没有其他利好，2月、3月，以至于第一季度、甚至上半年的车市会跌至谷底。    然，2月16日出版的今年第4期《求是》杂志上发表了国家最高领导人的文章《在中央政</t>
  </si>
  <si>
    <t>日前，小鹏汽车官方发布消息称，App数字服务功能升级，可实现小鹏汽车G3从下定到合同签署到交付流程的线上化，从而为消费者提供更便捷的互联网+购车服务。    小鹏汽车App上线了“交付旅程”功能，用户可在该功能下查看定金支付、协议签署、车辆运输、车辆交付等全流程进度。为方便用户了解已办、待办业务，A</t>
  </si>
  <si>
    <t>2020/02/22 09:59:00</t>
  </si>
  <si>
    <t>　　日前，小鹏汽车官方发布消息称，App数字服务功能升级，可实现小鹏汽车G3从下定到合同签署到交付流程的线上化，从而为消费者提供更便捷的互联网+购车服务。　　小鹏汽车App上线了“交付旅程”功能，用户可在该功能下查看定金支付、协议签署、车辆运输、车辆交付等全流程进度。为方便用户了解已办、待办业务，A</t>
  </si>
  <si>
    <t>投诉编号：【448116】  投诉时间： 2020-02-22 09:57  投诉品牌： 上汽大众  投诉车系： 帕萨特  投诉车型： 2019款 330TSI 豪华版 国VI        投诉内容  投诉公司:上汽大众投诉车型:2019款大众-帕萨特330TSI豪华版（国六）投诉问题:经中保研测</t>
  </si>
  <si>
    <t>2020/02/22 09:57:00</t>
  </si>
  <si>
    <t>沃尔沃日前发布了新款S90/V90家族的官图。新车针对外观进行了小幅度调整升级，同时配置也得到了提升。    新款S90/V90针对前包围造型进行了调整，前雾灯、前包围饰条和进气口，以及后扰流板造型都经过重新设计，看上去更具新意，也更加精致。    新款S90/V90还针对维京之斧尾灯设计进行了更新</t>
  </si>
  <si>
    <t>　　沃尔沃日前发布了新款S90/V90家族的官图。新车针对外观进行了小幅度调整升级，同时配置也得到了提升。　　新款S90/V90针对前包围造型进行了调整，前雾灯、前包围饰条和进气口，以及后扰流板造型都经过重新设计，看上去更具新意，也更加精致。　　新款S90/V90还针对维京之斧尾灯设计进行了更新，采</t>
  </si>
  <si>
    <t>投诉编号：【448117】  投诉时间： 2020-02-22 09:57  投诉品牌： 长安汽车  投诉车系： 逸动DT  投诉车型： 2018款 1.6L 自动 智享型        投诉内容  长安逸动DT首保后就出现发动机哒哒哒异响，像拖拉机的声音，噪音大。油门响应迟钝，踩油门光嗷嗷叫转速上</t>
  </si>
  <si>
    <t>近日，有媒体从相关渠道获悉，本田官方正式发布了2020款思域Type R，新车在车身方面进行了多项升级，动力依然搭载2.0T涡轮增压发动机，与之匹配6速手动变速箱，并且将于今年冬季在海外市场上市销售。    外观方面，新款Type R基本上延续旧款车型的整体造型，并在原版车型上加入大量空气动力学套件</t>
  </si>
  <si>
    <t>2020/02/22 09:55:00</t>
  </si>
  <si>
    <t>　　近日，有媒体从相关渠道获悉，本田官方正式发布了2020款思域Type R，新车在车身方面进行了多项升级，动力依然搭载2.0T涡轮增压发动机，与之匹配6速手动变速箱，并且将于今年冬季在海外市场上市销售。　　外观方面，新款Type R基本上延续旧款车型的整体造型，并在原版车型上加入大量空气动力学套件</t>
  </si>
  <si>
    <t>去年的广州车展前夕，上汽荣威发布了“芯动2020+”新能源战略，对插电混动车型进行了更深地布局。在荣威看来，插电混动车型是传统燃油车的补充车型，动力更强，燃油经济性更好，可看作是燃油车的高配车型。开年后不久，荣威就申报了一款名为ei6 MAX的车型，车身尺寸相比现款ei6 PIUS更大。日前有媒体获</t>
  </si>
  <si>
    <t>2020/02/22 09:52:00</t>
  </si>
  <si>
    <t>　　去年的广州车展前夕，上汽荣威发布了“芯动2020+”新能源战略，对插电混动车型进行了更深地布局。在荣威看来，插电混动车型是传统燃油车的补充车型，动力更强，燃油经济性更好，可看作是燃油车的高配车型。开年后不久，荣威就申报了一款名为ei6 MAX的车型，车身尺寸相比现款ei6 PIUS更大。日前有媒</t>
  </si>
  <si>
    <t>每年一度的日内瓦车展即将在3月3日正式开幕，各大汽车厂商将带来旗下最新的产品和技术，使得该车展素有“国际汽车潮流风向标”之称。编辑通过梳理后发现，在本届日内瓦车展中，将至少有5款韩系产品发布。其中，现代旗下豪华品牌——Genesis（捷尼赛思）预计会带来全新G80，该车与奥迪A6L、奔驰E级同级，未</t>
  </si>
  <si>
    <t>2020/02/22 09:49:00</t>
  </si>
  <si>
    <t>　　每年一度的日内瓦车展即将在3月3日正式开幕，各大汽车厂商将带来旗下最新的产品和技术，使得该车展素有“国际汽车潮流风向标”之称。编辑通过梳理后发现，在本届日内瓦车展中，将至少有5款韩系产品发布。其中，现代旗下豪华品牌――Genesis（捷尼赛思）预计会带来全新G80，该车与奥迪A6L、奔驰E级同级</t>
  </si>
  <si>
    <t>　　日前上汽荣威公布了最新销量数据：1月份交强险上牌量达42,047辆，市占率逆势提升至2.28%，同比增长3.8%，环比增长13.5%。受春节假期以及疫情等因素影响，今年1月份有效销售日期相比去年少了10天左右（对应销量理论上会降低30%左右），但荣威SUV、轿车、新能源三大板块全面发力，市场表现</t>
  </si>
  <si>
    <t>2020/02/22 09:47:00</t>
  </si>
  <si>
    <t>日前上汽荣威公布了最新销量数据：1月份交强险上牌量达42,047辆，市占率逆势提升至2.28%，同比增长3.8%，环比增长13.5%。受春节假期以及疫情等因素影响，今年1月份有效销售日期相比去年少了10天左右（对应销量理论上会降低30%左右），但荣威SUV、轿车、新能源三大板块全面发力，市场表现依然</t>
  </si>
  <si>
    <t>　　在3月3日开幕的2020年日内瓦车展上，宝马将带来全新一代4系、X2插电混动版、i4概念版、3系旅行插电混动版以及3系M340d系列共6款新车。其中全新一代4系可以说是本届日内瓦车展最受关注的车型之一，新车前脸配备的巨型双肾进气格栅，高度还原了去年在法兰克福车展亮相的4系概念车。　　全新一代4系</t>
  </si>
  <si>
    <t>2020/02/22 09:43:00</t>
  </si>
  <si>
    <t>在3月3日开幕的2020年日内瓦车展上，宝马将带来全新一代4系、X2插电混动版、i4概念版、3系旅行插电混动版以及3系M340d系列共6款新车。其中全新一代4系可以说是本届日内瓦车展最受关注的车型之一，新车前脸配备的巨型双肾进气格栅，高度还原了去年在法兰克福车展亮相的4系概念车。    全新一代4系</t>
  </si>
  <si>
    <t>宝马M5是品牌旗下的中大型性能轿车，它在具备宽大车身的同时也有着夸张的动力，受到不少车迷朋友的喜爱。近日海外媒体曝光了宝马M5的低伪装照片，通过图片可以看到宝马M5正在进行冰雪路面的测试工作。如果进程顺利，预计将于今年下半年与消费者见面，并有望在明年年初正式发售。    外观方面，新车前脸换装了新的</t>
  </si>
  <si>
    <t>2020/02/22 09:41:00</t>
  </si>
  <si>
    <t>　　宝马M5是品牌旗下的中大型性能轿车，它在具备宽大车身的同时也有着夸张的动力，受到不少车迷朋友的喜爱。近日海外媒体曝光了宝马M5的低伪装照片，通过图片可以看到宝马M5正在进行冰雪路面的测试工作。如果进程顺利，预计将于今年下半年与消费者见面，并有望在明年年初正式发售。　　外观方面，新车前脸换装了新的</t>
  </si>
  <si>
    <t>作为梅赛德斯-奔驰品牌旗下的一款主力销量车型之一，GLE于2015年以进口形式引入国内市场销售，其全新一代车型也已于去年4月16日开幕的上海车展上正式开售。近日海外媒体曝光了一组奔驰全新GLE Coupe插混版车型实车街拍图片，新车计划将于今年5月登陆欧洲部分国家开售。    动力方面，新车将搭载2</t>
  </si>
  <si>
    <t>2020/02/22 09:39:00</t>
  </si>
  <si>
    <t xml:space="preserve">投诉编号：【448114】  投诉时间： 2020-02-22 09:39  投诉品牌： 东风悦达起亚  投诉车系： KX3傲跑  投诉车型： 2020款 1.5L CVT 智慧版        投诉内容  车子行驶过程左前方有异响，中控屏幕四次黑屏，前挡风玻璃两侧密封不严，右侧特别严重。     </t>
  </si>
  <si>
    <t>　　作为梅赛德斯-奔驰品牌旗下的一款主力销量车型之一，GLE于2015年以进口形式引入国内市场销售，其全新一代车型也已于去年4月16日开幕的上海车展上正式开售。近日海外媒体曝光了一组奔驰全新GLE Coupe插混版车型实车街拍图片，新车计划将于今年5月登陆欧洲部分国家开售。　　动力方面，新车将搭载2</t>
  </si>
  <si>
    <t>宝马1系作为宝马家族的入门车型，有着精致的外观和同级中优良的操控性，一直是级别内标杆的存在。近日，海外媒体曝光了宝马御用改装厂AC Schnitzer为宝马1系推出的套件车型图片。这款套件除了在车身四周有配备扰流装置，还包含了车身高度的下调，使得宝马1系更显运动风格。    这款由AC Schnit</t>
  </si>
  <si>
    <t>2020/02/22 09:36:00</t>
  </si>
  <si>
    <t>　　宝马1系作为宝马家族的入门车型，有着精致的外观和同级中优良的操控性，一直是级别内标杆的存在。近日，海外媒体曝光了宝马御用改装厂AC Schnitzer为宝马1系推出的套件车型图片。这款套件除了在车身四周有配备扰流装置，还包含了车身高度的下调，使得宝马1系更显运动风格。　　这款由AC Schnit</t>
  </si>
  <si>
    <t>投诉编号：【448113】  投诉时间： 2020-02-22 09:35  投诉品牌： 一汽丰田  投诉车系： 威驰  投诉车型： 2017款 1.3L CVT 锐行版        投诉内容  17年7月份买了辆丰田威驰，行驶一段时间发动机异响，前后跑了4s店四五次，4s店以种种理由推脱，直到最</t>
  </si>
  <si>
    <t>2020/02/22 09:35:00</t>
  </si>
  <si>
    <t>有媒体从北京现代官方获悉，菲斯塔纯电动将于下周正式上市，新车延续燃油版菲斯塔的动感造型，综合纯电续航里程为490km。作为北京现代今年重磅车型之一，续航里程大幅领先大众朗逸纯电、日产轩逸·纯电、别克微蓝和雪佛兰畅巡等同级竞品，优势明显。新车预计17万左右起售，与吉利几何A的起售价仅相差2万元左右，相</t>
  </si>
  <si>
    <t>2020/02/22 09:34:00</t>
  </si>
  <si>
    <t>　　有媒体从北京现代官方获悉，菲斯塔纯电动将于下周正式上市，新车延续燃油版菲斯塔的动感造型，综合纯电续航里程为490km。作为北京现代今年重磅车型之一，续航里程大幅领先大众朗逸纯电、日产轩逸・纯电、别克微蓝和雪佛兰畅巡等同级竞品，优势明显。新车预计17万左右起售，与吉利几何A的起售价仅相差2万元左右</t>
  </si>
  <si>
    <t>SUV车型深受中国消费者喜爱，在销量方面也成为了2019年唯一增长的市场。中国消费者喜爱SUV有几个关键的特点，就是尺寸大、空间大、视野开阔。受到道路及文化的影响，美国人的造车理念就是宽敞、功率大、排量大，如今国内的种种政策制约着美系车型发动机的排量与动力，但美系产品的大尺寸、大空间依然得到保留。编</t>
  </si>
  <si>
    <t>2020/02/22 09:28:00</t>
  </si>
  <si>
    <t>　　SUV车型深受中国消费者喜爱，在销量方面也成为了2019年唯一增长的市场。中国消费者喜爱SUV有几个关键的特点，就是尺寸大、空间大、视野开阔。受到道路及文化的影响，美国人的造车理念就是宽敞、功率大、排量大，如今国内的种种政策制约着美系车型发动机的排量与动力，但美系产品的大尺寸、大空间依然得到保留</t>
  </si>
  <si>
    <t>2020/02/22 09:26:00</t>
  </si>
  <si>
    <t>　　奔驰品牌目前只推出了EQC一款纯电动汽车来在电动市场分一杯羹，但这显然不符合未来车市的走向。近日，有海外媒体曝光了奔驰EQA、EQB两款车型低伪装照片，并且我们可以通过图片看出，这两款电动车正在进行雪地测试，整体与GLA、GLB的设计没有明显不同。　　外观方面，由于EQA和EQB分别基于GLA以</t>
  </si>
  <si>
    <t>2020/02/22 09:24:00</t>
  </si>
  <si>
    <t>奔驰品牌目前只推出了EQC一款纯电动汽车来在电动市场分一杯羹，但这显然不符合未来车市的走向。近日，有海外媒体曝光了奔驰EQA、EQB两款车型低伪装照片，并且我们可以通过图片看出，这两款电动车正在进行雪地测试，整体与GLA、GLB的设计没有明显不同。    外观方面，由于EQA和EQB分别基于GLA以</t>
  </si>
  <si>
    <t>在售的全新宋MAX EV（纯电动）智行限量版，采用6座布局，补贴后指导价17.98万元起。有媒体获得了一组疑似新款比亚迪宋MAX EV的图片。新车主要针对前格栅和雾灯区进行了调整，相比现款更加贴近于新能源车型的设计风格。    现款宋MAX EV的车身长宽高分别为4680×1810×1690mm，轴</t>
  </si>
  <si>
    <t>2020/02/22 09:21:00</t>
  </si>
  <si>
    <t>　　在售的全新宋MAX EV（纯电动）智行限量版，采用6座布局，补贴后指导价17.98万元起。有媒体获得了一组疑似新款比亚迪宋MAX EV的图片。新车主要针对前格栅和雾灯区进行了调整，相比现款更加贴近于新能源车型的设计风格。　　现款宋MAX EV的车身长宽高分别为4680×1810×1690mm，轴</t>
  </si>
  <si>
    <t>近日，彭博社从知情人士处获悉，中国正考虑进一步延长电动汽车购买补贴期限。在国内新能源汽车年度销量首次出现下滑后，相关部门就一直在考虑延长补贴的可能性。    在新能源汽车需求下降之前，政府于去年7月削减了对电动车的补贴，以帮助提高行业效率、减少对政府支持的依赖。该知情人士还透露，各方的讨论尚处于初步</t>
  </si>
  <si>
    <t>2020/02/22 09:19:00</t>
  </si>
  <si>
    <t>　　近日，彭博社从知情人士处获悉，中国正考虑进一步延长电动汽车购买补贴期限。在国内新能源汽车年度销量首次出现下滑后，相关部门就一直在考虑延长补贴的可能性。　　在新能源汽车需求下降之前，政府于去年7月削减了对电动车的补贴，以帮助提高行业效率、减少对政府支持的依赖。该知情人士还透露，各方的讨论尚处于初步</t>
  </si>
  <si>
    <t>2月20日，本田官方宣布将对新事业运营体制做出调整，计划从今年4月份起开始实施，并从汽车事业运营体制和本田技术研究所组织运营体制两方面进行改革。『本田雅阁』    本田表示，调整汽车事业运营体制的目的是，进一步加速推进“产品强化、制造和研发强化、事业强化”战略。从目前的“销售（S）、生产（E）、开发</t>
  </si>
  <si>
    <t>2020/02/22 09:17:00</t>
  </si>
  <si>
    <t>　　2月20日，本田官方宣布将对新事业运营体制做出调整，计划从今年4月份起开始实施，并从汽车事业运营体制和本田技术研究所组织运营体制两方面进行改革。『本田雅阁』　　本田表示，调整汽车事业运营体制的目的是，进一步加速推进“产品强化、制造和研发强化、事业强化”战略。从目前的“销售（S）、生产（E）、开发</t>
  </si>
  <si>
    <t>投诉编号：【448111】  投诉时间： 2020-02-22 09:11  投诉品牌： 华晨宝马  投诉车系： 宝马3系  投诉车型： 2020款 325Li M运动曜夜套装        投诉内容  不提供事先约定用于保税的资料，并且备用钥匙迄今为止未交付给我，整个销售过程中找各种理由借口拖延时</t>
  </si>
  <si>
    <t>2020/02/22 09:11:00</t>
  </si>
  <si>
    <t>投诉编号：【448108】  投诉时间： 2020-02-22 09:06  投诉品牌： 东风雪铁龙  投诉车系： 世嘉  投诉车型： 2016款 1.6L 手动 CNG   经典        投诉内容  本人于2019年12月26日在烟台君美4S店保养车辆，之后几天总听到车有异响，联系4S店，商</t>
  </si>
  <si>
    <t>2020/02/22 09:06:00</t>
  </si>
  <si>
    <t>投诉编号：【448105】  投诉时间： 2020-02-22 08:51  投诉品牌： 一汽丰田  投诉车系： 卡罗拉  投诉车型： 2017款 1.2T CVT GL-i真皮版        投诉内容  底盘过凹凸不平路段异响，过烂路时在左前避震发出来声音。      投诉回复  车质网已将您的</t>
  </si>
  <si>
    <t>2020/02/22 08:51:00</t>
  </si>
  <si>
    <t>投诉编号：【448103】  投诉时间： 2020-02-22 08:22  投诉品牌： 奇瑞汽车  投诉车系： 艾瑞泽5  投诉车型： 2017款 1.5T 手动 豪华版 SPORT        投诉内容  汽车一直在4S店保养，最美正常行驶发动机突然异响，11号送去维修，21号说问题找到了让我</t>
  </si>
  <si>
    <t>2020/02/22 08:22:00</t>
  </si>
  <si>
    <t>投诉编号：【448102】  投诉时间： 2020-02-22 08:00  投诉品牌： 一汽丰田  投诉车系： 卡罗拉  投诉车型： 2017款 1.2T S-CVT GL 改款        投诉内容  手动调节到适时油耗界面，显示当前车子瞬时油耗，此界面会不规律的返回初始界面，有1-2-3天这</t>
  </si>
  <si>
    <t>2020/02/22 08:00:00</t>
  </si>
  <si>
    <t>如今的汽车市场，新能源已是大势所趋，为缓解众多消费者的“里程焦虑”，各大厂家也是尽力提升新能源车型特别是纯电动车型的续航里程，拉近与燃油车之间的差距。不过，本田似乎并不这么想。早在2017年，本田曾推出过一款概念车，命名为Hondae。虽然它的续航只有201km，但它“解决消费者上下班等用途，并将车</t>
  </si>
  <si>
    <t>2020/02/22 07:10:00</t>
  </si>
  <si>
    <t>每年春运期间，高速路事故总是屡见不鲜。而其中还有一部分事故是由于驾乘人员没有及时避险，导致发生二次事故，造成更严重的伤害。而提及“二次事故”，近几年，不管是在网上，还是在电视上，曝光的频率越来越高。通常，相比于一次事故，二次事故造成的危害要更大，而导致二次事故的原因，往往都是因驾驶员麻痹大意产生的。</t>
  </si>
  <si>
    <t>在2019年广州车展上，合众汽车第二台量产车—哪吒U正式亮相，作为全新的紧凑型SUV，官方一直以极美设计、极智科技的理念为用户带来全新的用车体验。另外，补贴后15-21万元的预售价和500公里续航也打动不少潜在新能源汽车的消费群体。那么它会在紧凑型SUV市场有所作为吗？今天我们便从“新车产品力指数”</t>
  </si>
  <si>
    <t>　　如今的汽车市场，新能源已是大势所趋，为缓解众多消费者的“里程焦虑”，各大厂家也是尽力提升新能源车型特别是纯电动车型的续航里程，拉近与燃油车之间的差距。不过，本田似乎并不这么想。早在2017年，本田曾推出过一款概念车，命名为Hondae。虽然它的续航只有201km，但它“解决消费者上下班等用途，并</t>
  </si>
  <si>
    <t>　　每年春运期间，高速路事故总是屡见不鲜。而其中还有一部分事故是由于驾乘人员没有及时避险，导致发生二次事故，造成更严重的伤害。而提及“二次事故”，近几年，不管是在网上，还是在电视上，曝光的频率越来越高。通常，相比于一次事故，二次事故造成的危害要更大，而导致二次事故的原因，往往都是因驾驶员麻痹大意产生</t>
  </si>
  <si>
    <t>　　在2019年广州车展上，合众汽车第二台量产车―哪吒U正式亮相，作为全新的紧凑型SUV，官方一直以极美设计、极智科技的理念为用户带来全新的用车体验。另外，补贴后15-21万元的预售价和500公里续航也打动不少潜在新能源汽车的消费群体。那么它会在紧凑型SUV市场有所作为吗？今天我们便从“新车产品力指</t>
  </si>
  <si>
    <t>投诉编号：【448099】  投诉时间： 2020-02-22 03:17  投诉品牌： 奇瑞汽车  投诉车系： 捷途X70S  投诉车型： 2019款 X70S 1.5T 自动 探途版 国V        投诉内容  跑高速有时发动机灯亮，并加不上油，车很抖，熄火后再打着，发动机灯还亮，但加速正常</t>
  </si>
  <si>
    <t>2020/02/22 03:17:00</t>
  </si>
  <si>
    <t>投诉编号：【448097】  投诉时间： 2020-02-22 02:52  投诉品牌： 吉利汽车  投诉车系： 帝豪  投诉车型： 2018款 1.5L 手动 向上互联版        投诉内容  说实话，这么低级的质量问题，我都懒得来投诉了！但是这个卡扣断了以后的无限共振异响真的已经把人搞疯了！</t>
  </si>
  <si>
    <t>2020/02/22 02:52:00</t>
  </si>
  <si>
    <t>投诉编号：【448095】  投诉时间： 2020-02-22 02:25  投诉品牌： 广汽本田  投诉车系： 雅阁  投诉车型： 2016款 2.4L CVT 智睿版        投诉内容  本车前两年使用时，电子手刹释放、制动无异响；使用第三年时，电子手刹动作的同时有明显异响，2019年12</t>
  </si>
  <si>
    <t>2020/02/22 02:25:00</t>
  </si>
  <si>
    <t>投诉编号：【448093】  投诉时间： 2020-02-22 00:23  投诉品牌： 长安汽车  投诉车系： 逸动XT  投诉车型： 2016款 1.6L 自动 俊酷型 XT        投诉内容  去4s索赔了两个机脚，但是问题还在，空挡怠速座椅，车身共振，一直都没解决，共振的那么厉害，里面</t>
  </si>
  <si>
    <t>2020/02/22 00:23:00</t>
  </si>
  <si>
    <t>2020/02/21 23:59:59</t>
  </si>
  <si>
    <t>投诉编号：【448091】
投诉时间： 2020-02-21 23:58
投诉品牌： 东风本田
投诉车系： 思域
投诉车型： 2019款 220TURBO CVT 燃动版 国V</t>
  </si>
  <si>
    <t>投诉编号：【448090】
投诉时间： 2020-02-21 23:56
投诉品牌： 东风本田
投诉车系： 思域
投诉车型： 2016款 220TURBO 手动 豪华版</t>
  </si>
  <si>
    <t>投诉编号：【448089】  投诉时间： 2020-02-21 23:53  投诉品牌： 北京现代  投诉车系： 途胜  投诉车型： 2015款 1.6T   双离合 两驱 智能型        投诉内容  此投诉是投诉北京现代厂家，与4s店无关！！2018年-2019年8月，北京现代连续3次召回，</t>
  </si>
  <si>
    <t>2020/02/21 23:53:00</t>
  </si>
  <si>
    <t>投诉编号：【448086】  投诉时间： 2020-02-21 23:09  投诉品牌： 上汽通用五菱  投诉车系： 宝骏730  投诉车型： 2016款 1.5T 手动 豪华型 7座        投诉内容  当时在高速上，踩离合无反应，挂挡挂不了了，感觉像卡住了，仪表盘无任何红色提示，幸好后面车</t>
  </si>
  <si>
    <t>2020/02/21 23:09:00</t>
  </si>
  <si>
    <t>2020/02/21 23:08:39</t>
  </si>
  <si>
    <t>投诉编号：【448084】
投诉时间： 2020-02-21 23:07
投诉品牌： 长城汽车
投诉车系： 哈弗H4
投诉车型： 2018款 1.5T 风尚型 蓝标</t>
  </si>
  <si>
    <t>投诉编号：【448083】  投诉时间： 2020-02-21 22:57  投诉品牌： 一汽-大众  投诉车系： 速腾  投诉车型： 2019款 200TSI 手动 舒适型 国V        投诉内容  一汽大众速腾1挡起步和倒挡半离合时转速高，1挡起步和倒挡半离合发动机转速过高，有自助补油现象</t>
  </si>
  <si>
    <t>2020/02/21 22:57:00</t>
  </si>
  <si>
    <t>东风风光580吃轮胎4S店无法修复2万公里开始吃轮胎，4S店建议更换轮胎，更换轮胎后3万公里更换后减震器后一样吃胎，4万公里更换前减震器，6万公里更换后大梁，一个故障从2万公里维修到6万公里一共维修3次以上没有得到解决问题，现在厂家说车已过保修期。 2 厂家公示超长保质：7年/15万公里虚虚厂家公示</t>
  </si>
  <si>
    <t>为民一族</t>
  </si>
  <si>
    <t>2020/02/21 22:40:00</t>
  </si>
  <si>
    <t>2万公里开始吃轮胎，4S店建议更换轮胎，更换轮胎后3万公里更换后减震器后一样吃胎，4万公里更换前减震器，6万公里更换后大梁，一个故障从2万公里维修到6万公里一共维修3次以上没有得到解决问题，现在厂家说车已过保修期.......</t>
  </si>
  <si>
    <t>投诉编号：【448079】  投诉时间： 2020-02-21 21:54  投诉品牌： 吉利汽车  投诉车系： 帝豪  投诉车型： 2018款 1.5L 手动 向上互联版        投诉内容  底盘异响严重，到黔西南州4S维，修维修师傅说没办法修好。我就纳闷了，都能做出来为什么修不好，打电话给</t>
  </si>
  <si>
    <t>2020/02/21 21:54:00</t>
  </si>
  <si>
    <t>投诉编号：【448074】  投诉时间： 2020-02-21 20:58  投诉品牌： 上汽大众  投诉车系： 帕萨特  投诉车型： 2019款 330TSI 豪华版 国VI        投诉内容  2019八月提车，现在里程7000，首保完后，发现发动机渗油两处比较严重，正时盖和发动机缸盖，油</t>
  </si>
  <si>
    <t>2020/02/21 20:58:00</t>
  </si>
  <si>
    <t>2020/02/21 20:08:34</t>
  </si>
  <si>
    <t>投诉编号：【448068】
投诉时间： 2020-02-21 19:13
投诉品牌： 广汽本田
投诉车系： 冠道
投诉车型： 2019款 240TURBO 两驱 精英版</t>
  </si>
  <si>
    <t>投诉编号：【448071】  投诉时间： 2020-02-21 20:04  投诉品牌： 广汽本田  投诉车系： 雅阁  投诉车型： 2018款 260TURBO 豪华版 国VI        投诉内容  不超过40公里每小时的速度正常行驶，路边突然窜出的小狗撞到车，导致发动机盖弹起，下车检查车况，</t>
  </si>
  <si>
    <t>2020/02/21 20:04:00</t>
  </si>
  <si>
    <t>投诉编号：【448070】  投诉时间： 2020-02-21 19:27  投诉品牌： 上汽大众  投诉车系： 途观L  投诉车型： 2019款 330TSI 自动 两驱 全景舒适版 国VI        投诉内容  今天幸好有保安哥哥提醒，说每次看到我出去地上都有机油，让我看看是不是漏油，停好车</t>
  </si>
  <si>
    <t>2020/02/21 19:27:00</t>
  </si>
  <si>
    <t>关于帕萨特碰撞测试 我们可能都被带偏了最近家中闲来无事，翻阅汽车新闻，发现在帕萨特碰撞测试事件中，所有的新闻里面，唯独只公布了帕萨特一项不合格的成绩。那么，其他成绩呢？是否也是不合格？其他的成绩和日系车对比是个什么状况？为何不一起公布呢？这张图可以看出，正面偏置碰撞只是车内乘员安全测试中的一个子项目</t>
  </si>
  <si>
    <t>2020/02/21 19:08:00</t>
  </si>
  <si>
    <t>最近家中闲来无事，翻阅汽车新闻，发现在帕萨特碰撞测试事件中，所有的新闻里面，唯独只公布了帕萨特一项不合格的成绩。那么，其他成绩呢？是否也是不合格？其他的成绩和日系车对比是个什么状况？为何不一起公布呢？这张图可以看出，正面偏置碰撞只是车内乘员安全测试中的一个子项目，也仅仅是这个偏置碰撞表现不好，导致了</t>
  </si>
  <si>
    <t>2020/02/21 19:07:41</t>
  </si>
  <si>
    <t>投诉编号：【448067】
投诉时间： 2020-02-21 19:00
投诉品牌： 东风悦达起亚
投诉车系： KX3傲跑
投诉车型： 2020款 1.5L CVT 舒适版</t>
  </si>
  <si>
    <t>C-NCAP测试与中保研测试的差距在哪 我总结了一下中国拥有中保研和C-NCAP两个汽车安全测试机构，对于咱们来说是非常幸运的，除了中国以外，有如此“待遇”的国家，也只有美国。但不少人一味地说C-NCAP不靠谱，真的这样么？其实不同国家的测试标准不尽相同，或多或少都有地方特色。欧洲是最早将行人保护一</t>
  </si>
  <si>
    <t>2020/02/21 19:07:00</t>
  </si>
  <si>
    <t>中国拥有中保研和C-NCAP两个汽车安全测试机构，对于咱们来说是非常幸运的，除了中国以外，有如此“待遇”的国家，也只有美国。但不少人一味地说C-NCAP不靠谱，真的这样么？其实不同国家的测试标准不尽相同，或多或少都有地方特色。欧洲是最早将行人保护一项纳入测试体系的，因为他们崇尚以人为本。北美有汽车翻</t>
  </si>
  <si>
    <t>2020/02/21 19:06:45</t>
  </si>
  <si>
    <t>投诉编号：【448064】
投诉时间： 2020-02-21 18:54
投诉品牌： 东风日产
投诉车系： 逍客
投诉车型： 2017款 2.0L CVT 智享版 国V</t>
  </si>
  <si>
    <t>希望在2020年我能和帕萨特一起走过更多更远的路在我买车的时候，我没有想过一款车能这样的深入我的心扉，大众帕萨特，9月底我就提车，到现在5个月，跑了4000公里，驾驶感觉极佳，使用体验极好，如果可以打分，我会给它满分。我的宝贝黑色帕萨特。外形就深得我喜爱，不过我向来秉承着外观见仁见智的观点，所以我不</t>
  </si>
  <si>
    <t>2020/02/21 19:03:00</t>
  </si>
  <si>
    <t>在我买车的时候，我没有想过一款车能这样的深入我的心扉，大众帕萨特，9月底我就提车，到现在5个月，跑了4000公里，驾驶感觉极佳，使用体验极好，如果可以打分，我会给它满分。我的宝贝黑色帕萨特。外形就深得我喜爱，不过我向来秉承着外观见仁见智的观点，所以我不评判。但是我要说的是，外观见仁见智，但是实际的产</t>
  </si>
  <si>
    <t>投诉编号：【448065】  投诉时间： 2020-02-21 18:58  投诉品牌： 猎豹汽车  投诉车系： 猎豹CS10  投诉车型： 2017款 2.0T 自动 都市型        投诉内容  之前白城有4s店的时候转向机不好使了，订件一直不给换，一去问就说厂家没货，后来4s店黄了之后成立</t>
  </si>
  <si>
    <t>2020/02/21 18:58:00</t>
  </si>
  <si>
    <t>投诉编号：【448062】  投诉时间： 2020-02-21 18:52  投诉品牌： 上汽集团  投诉车系： 名爵3  投诉车型： 2014款 1.3L 手动 舒适版        投诉内容  自购买后家用，无事故。一直使用正品机油按时保养，先是仪表盘提示发动机故障，二次点火发动机异响抖动严重，</t>
  </si>
  <si>
    <t>2020/02/21 18:52:00</t>
  </si>
  <si>
    <t>最喜欢的季节是春天，等待着外边天气一天一天变暖和，这种感觉很惬意，没有夏天扑面而来的热浪，更有冬天一出门就刺骨的寒风，也没有秋天万物凋零的忧伤，春天是个充满生机的季节！今年年初把帕萨特提了，本来计划了一场春游，看外边这形势估计难以如期执行了，但大好时光不可辜负，今天又是开心的一天，让人觉得就要好好热</t>
  </si>
  <si>
    <t>2020/02/21 18:49:00</t>
  </si>
  <si>
    <t>冬天过去了 春天马上就来了最喜欢的季节是春天，等待着外边天气一天一天变暖和，这种感觉很惬意，没有夏天扑面而来的热浪，更有冬天一出门就刺骨的寒风，也没有秋天万物凋零的忧伤，春天是个充满生机的季节！今年年初把帕萨特提了，本来计划了一场春游，看外边这形势估计难以如期执行了，但大好时光不可辜负，今天又是开心</t>
  </si>
  <si>
    <t>昨天陪朋友去看车，大众作为自己钟爱的品牌自然是要去看看的。新帕萨特上市了一年多，作为老车主还没去“拜会”下，十分的失礼。恰好借着这个机会欣赏下全新平台的大众力作---新帕萨特。外观的颜值真是没话说，只要看一眼，就能感觉到名不虚传的“引领潮流”，车身的流动线条和精细的平面让人感觉很有档次。全新帕萨特的</t>
  </si>
  <si>
    <t>北海无泪</t>
  </si>
  <si>
    <t>2020/02/21 18:48:00</t>
  </si>
  <si>
    <t>情怀依旧---老款帕萨特车主感受新款大众帕萨特昨天陪朋友去看车，大众作为自己钟爱的品牌自然是要去看看的。新帕萨特上市了一年多，作为老车主还没去“拜会”下，十分的失礼。恰好借着这个机会欣赏下全新平台的大众力作---新帕萨特。外观的颜值真是没话说，只要看一眼，就能感觉到名不虚传的“引领潮流”，车身的流动</t>
  </si>
  <si>
    <t>我家这辆小帕一共五种驾驶模式，纯电模式，GTE模式，以及混合动力模式，蓄电池维持模式和蓄电池充电模式，后面三种模式可以统称为混合动力模式。很多人说他们的混动车发动机介入的时候感觉会比较强烈，但我在开我家小帕的时候，深踩油门踏板后，发动机的整个介入过程是比较平和的，不会有很明显的介入感。我平常上的时候</t>
  </si>
  <si>
    <t>2020/02/21 18:40:00</t>
  </si>
  <si>
    <t>五种驾驶模式 帕萨特PHEV带给我的不同驾驶乐趣我家这辆小帕一共五种驾驶模式，纯电模式，GTE模式，以及混合动力模式，蓄电池维持模式和蓄电池充电模式，后面三种模式可以统称为混合动力模式。很多人说他们的混动车发动机介入的时候感觉会比较强烈，但我在开我家小帕的时候，深踩油门踏板后，发动机的整个介入过程是</t>
  </si>
  <si>
    <t>投诉编号：【448059】  投诉时间： 2020-02-21 18:33  投诉品牌： 华晨宝马  投诉车系： 宝马X1  投诉车型： 2020款 xDrive25Li 尊享型        投诉内容  裂痕多条，四到二厘米不等大小。多条开裂。      投诉回复  车质网已将您的投诉转给生产企业</t>
  </si>
  <si>
    <t>2020/02/21 18:33:00</t>
  </si>
  <si>
    <t>从2018,10,1购车至今新逍客行驶了17,630多公里，高速行驶100迈、在深踩油门加速时，有种像划船一样（一悠一悠）的行驶感觉。请问这是啥情况？期待回答、谢谢！</t>
  </si>
  <si>
    <t>2020/02/21 17:55:47</t>
  </si>
  <si>
    <t>投诉编号：【448056】  投诉时间： 2020-02-21 17:55  投诉品牌： 一汽-大众  投诉车系： 捷达  投诉车型： 2017款 1.5L 手动 舒适型        投诉内容  冬天凉车启动后怠速时变速箱内部有异响，该故障受温度影响，温度升高后故障不出现，行驶中挂入一挡和二挡转速</t>
  </si>
  <si>
    <t>2020/02/21 17:55:00</t>
  </si>
  <si>
    <t>国内在汽车制造业领域，发展的时间要比欧美短很长时间，按理来说，从国产第一辆汽车开始到今天，也有几十年的时间了，近些年国内经济攀升，车友们手里宽裕了，生活水平逐渐提高，对汽车的需求量增大，国产汽车才得到了充分的发展。很多车友都会记得第一款国产老解放牌汽车，它的型号是CA10，记得很多70后，在学驾驶证</t>
  </si>
  <si>
    <t>2020/02/21 17:38:00</t>
  </si>
  <si>
    <t>第一款国产老解放牌汽车 手摇式点火国内在汽车制造业领域，发展的时间要比欧美短很长时间，按理来说，从国产第一辆汽车开始到今天，也有几十年的时间了，近些年国内经济攀升，车友们手里宽裕了，生活水平逐渐提高，对汽车的需求量增大，国产汽车才得到了充分的发展。很多车友都会记得第一款国产老解放牌汽车，它的型号是C</t>
  </si>
  <si>
    <t>对于那些刚刚步入社会想买台车代步或者练手的消费者来说，5万左右的预算再合适不过了，毕竟投入小、小刮小蹭也不用心疼，而且卖车时也不会亏损太多，所以天涯君今天为大家推荐5款5万元左右的车型。2017款丰田威驰1.3L手动前行版推荐车型的终端价格降到了5.68万，虽然是一台低配车型，但是买的就是丰田的这套</t>
  </si>
  <si>
    <t>2020/02/21 17:37:00</t>
  </si>
  <si>
    <t>要说，韩系大军是怎么在国内市场没落的，其中牵扯到很多因素，其中就汽车行业内部来说，国产车的崛起无疑对韩系合资是致命一击。在国产造车实力迅速提升，并且价格仍是普遍低于合资品牌车型的时期，无疑不少的消费者会去选择性价比更高的国产车，而没有太多明显核心竞争力的韩系合资车，在这种情况下的生存空间则被完全挤压</t>
  </si>
  <si>
    <t>还说韩系不行  现代领动自动挡才9万要说，韩系大军是怎么在国内市场没落的，其中牵扯到很多因素，其中就汽车行业内部来说，国产车的崛起无疑对韩系合资是致命一击。在国产造车实力迅速提升，并且价格仍是普遍低于合资品牌车型的时期，无疑不少的消费者会去选择性价比更高的国产车，而没有太多明显核心竞争力的韩系合资车</t>
  </si>
  <si>
    <t>月薪三四千也无压力 这几款5万左右的车值得购买对于那些刚刚步入社会想买台车代步或者练手的消费者来说，5万左右的预算再合适不过了，毕竟投入小、小刮小蹭也不用心疼，而且卖车时也不会亏损太多，所以天涯君今天为大家推荐5款5万元左右的车型。2017款丰田威驰1.3L手动前行版推荐车型的终端价格降到了5.68</t>
  </si>
  <si>
    <t>七万多可以考虑的家用车本田凌派有这么一款车，中国特供，你说它新车不贵二手车也不便宜，一辆A级家用车用1.8+5AT，但是基本除了动力总成没啥好夸的，这就是本田凌派。   这款车是给江西的一个兄弟找的，婚车，本来预算6-8万买起亚K3或者领动朗动，但是要么实在车子少或者价格高等等，看了也有十几辆，价格</t>
  </si>
  <si>
    <t>2020/02/21 17:36:00</t>
  </si>
  <si>
    <t>本田凌派有这么一款车，中国特供，你说它新车不贵二手车也不便宜，一辆A级家用车用1.8+5AT，但是基本除了动力总成没啥好夸的，这就是本田凌派。   这款车是给江西的一个兄弟找的，婚车，本来预算6-8万买起亚K3或者领动朗动，但是要么实在车子少或者价格高等等，看了也有十几辆，价格实在是顶，最后说凌派也</t>
  </si>
  <si>
    <t>对于很多年轻的购车用户来说，其实对于车子的需求不外乎三点，第一点，颜值高。当下买车的群体大部分都是年轻人，而年轻人对于美的东西又格外看重，所以一款长的帅、颜值高的车型自然会成为他们的首选。第二点，品牌影响力出众。这点其实也是建立在爱面子心理需求上而来的，很多人都觉得买主流品牌就能让自己脸上有光，相反</t>
  </si>
  <si>
    <t>15万买什么车既能撩妹又拉风对于很多年轻的购车用户来说，其实对于车子的需求不外乎三点，第一点，颜值高。当下买车的群体大部分都是年轻人，而年轻人对于美的东西又格外看重，所以一款长的帅、颜值高的车型自然会成为他们的首选。第二点，品牌影响力出众。这点其实也是建立在爱面子心理需求上而来的，很多人都觉得买主流</t>
  </si>
  <si>
    <t>投诉编号：【448052】投诉时间：2020-02-2117:26投诉品牌：长安标致雪铁龙DS投诉车系：DS6投诉车型：2014款1.6T尊享版THP160投诉内容车子购于15年，14款DS6，平时天窗用的比较少，在一次使用中打开天窗却发现刚开了条缝就打不开也关不了，4S店回复更换天窗骨架，4千多不</t>
  </si>
  <si>
    <t>2020/02/21 17:26:00</t>
  </si>
  <si>
    <t>投诉编号：【448051】  投诉时间： 2020-02-21 17:24  投诉品牌： 东风本田  投诉车系： 思域  投诉车型： 2016款 220TURBO 自动 豪华版        投诉内容  东风本田思域优科豪马轮胎掉渣，正常的路，轮胎掉的跟热熔胎一样，好多坑，这能是磨损吗，希望厂家可以</t>
  </si>
  <si>
    <t>2020/02/21 17:24:00</t>
  </si>
  <si>
    <t>为切实缓解疫情对经济社会发展和企业生产经营的不利影响，鼓励企业有序加快复工复产，推动贵阳市域外企业员工尽快返筑返岗，贵阳市统筹疫情防控期间经济社会发展工作领导小组决定对企业外地员工返筑返岗产生的交通费用给予补助，具体事宜如下：一、适用人员范围贵阳市域外返筑返岗和新应聘上岗的市内建筑工地、工业企业、互</t>
  </si>
  <si>
    <t>2020/02/21 17:18:00</t>
  </si>
  <si>
    <t>刚刚 贵阳发布这些措施 外地返岗人员补助交通费用！为切实缓解疫情对经济社会发展和企业生产经营的不利影响，鼓励企业有序加快复工复产，推动贵阳市域外企业员工尽快返筑返岗，贵阳市统筹疫情防控期间经济社会发展工作领导小组决定对企业外地员工返筑返岗产生的交通费用给予补助，具体事宜如下：一、适用人员范围贵阳市域</t>
  </si>
  <si>
    <t>投诉编号：【448046】投诉时间：2020-02-2117:17投诉品牌：比亚迪投诉车系：速锐投诉车型：2014款1.5L手动尊贵型投诉内容四个车门内侧，打开塑料迎宾踏板，发现四个踏板卡孔均有不同程度生锈腐蚀，其中左后最为严重，已锈透腐烂，车门处若不处理肯定也会腐烂，其实年前就发现了，由于疫情原因</t>
  </si>
  <si>
    <t>2020/02/21 17:17:00</t>
  </si>
  <si>
    <t>当你在20出头的年纪，手握35万的预算时，你可以考虑的车型非常多，比如BBA，但是谁没有一个骚动的心呢？初次见到阿尔法·罗密欧-Giulia那拉风的造型，四叶草版本强劲的动力，让每一个喜爱驾驶的小伙伴都心潮澎湃。那么本期《用车成本》让我们来看看这款十分与众不同的车型会有怎样表现呢？35万选择一个意大</t>
  </si>
  <si>
    <t>阿尔法·罗密欧-Giulia用车成本 4元/公里用车成本你还买吗？当你在20出头的年纪，手握35万的预算时，你可以考虑的车型非常多，比如BBA，但是谁没有一个骚动的心呢？初次见到阿尔法·罗密欧-Giulia那拉风的造型，四叶草版本强劲的动力，让每一个喜爱驾驶的小伙伴都心潮澎湃。那么本期《用车成本》让</t>
  </si>
  <si>
    <t>投诉编号：【448045】  投诉时间： 2020-02-21 17:17  投诉品牌： 上汽大众  投诉车系： 朗逸  投诉车型： 2011款 1.6 手动 品雅版        投诉内容  上汽大众朗逸车顶海绵布脱落，19年底就发现汽车顶棚布逐渐脱落，难看死了，这是存在质量问题。      投诉</t>
  </si>
  <si>
    <t>1月汽车销量跌了21.5% 上汽大众销量排第二受疫情影响，1月份的汽车销量狂跌21.5%，可谓惨不忍睹。而且不管是日系还是德系，都进入了负增长的行列。不过值得注意的是前段时间饱受关注的帕萨特，依然屹立在B级车销量排行榜前列。而上汽大众卖了14.6万多辆，稳稳的占据了销量榜的第二名，可见它在我门国人心</t>
  </si>
  <si>
    <t>我一直想买台车朋友介绍了个奥迪A6L，和雷克萨斯ES，说这两款车比较好让我选一个，我就去看了一下这两款车，感觉雷克萨斯ES比较安静，车里几乎听不到什么声音，而且雷克萨斯的服务也特别好，油电混的还挺省油的，而且不用找充电桩，我后来和家人商量了一下买了一台雷克萨斯的ES，我也向大家推荐一下这个车，值得一</t>
  </si>
  <si>
    <t>huzh</t>
  </si>
  <si>
    <t>2020/02/21 17:16:00</t>
  </si>
  <si>
    <t>奥迪A6L/雷克萨斯ES两款车怎么选我一直想买台车朋友介绍了个奥迪A6L，和雷克萨斯ES，说这两款车比较好让我选一个，我就去看了一下这两款车，感觉雷克萨斯ES比较安静，车里几乎听不到什么声音，而且雷克萨斯的服务也特别好，油电混的还挺省油的，而且不用找充电桩，我后来和家人商量了一下买了一台雷克萨斯的E</t>
  </si>
  <si>
    <t>不管多少钱的汽车，一旦开长时间后，那多多少少都会出现一些小毛病的，可是同样的车，为啥有些人的车跑了上十万公里也依然没问题，而有些人的车开了没3万公里，车子的性能就变差了，导致车子愈来愈难开了，上坡没力，怠速不稳，耗油升高，烧机油等情况，而这些情况八九不离十都是因碳而起的。 首先我们要知道碳的来源，就</t>
  </si>
  <si>
    <t>2020/02/21 17:13:00</t>
  </si>
  <si>
    <t>无需再为排碳发愁了 掌握一笨方式不管多少钱的汽车，一旦开长时间后，那多多少少都会出现一些小毛病的，可是同样的车，为啥有些人的车跑了上十万公里也依然没问题，而有些人的车开了没3万公里，车子的性能就变差了，导致车子愈来愈难开了，上坡没力，怠速不稳，耗油升高，烧机油等情况，而这些情况八九不离十都是因碳而起</t>
  </si>
  <si>
    <t>在国人的选车理念中，空间大和性价比高成为买车最重要的两个标准。介于这两点要求，市面上出现的中国品牌SUV车型往往能兼顾这两点。15万元同时也是多数人购车的预算区间，那么有这么三辆爆款车型成为多数人的选择，它们就是哈弗H6、长安CS75 PLUS、吉利博越。在上月销量排行中，哈弗H6依旧以超4万辆的成</t>
  </si>
  <si>
    <t>hopeX</t>
  </si>
  <si>
    <t>2020/02/21 17:12:00</t>
  </si>
  <si>
    <t>这几款SUV才是15万以内的首选在国人的选车理念中，空间大和性价比高成为买车最重要的两个标准。介于这两点要求，市面上出现的中国品牌SUV车型往往能兼顾这两点。15万元同时也是多数人购车的预算区间，那么有这么三辆爆款车型成为多数人的选择，它们就是哈弗H6、长安CS75 PLUS、吉利博越。在上月销量排</t>
  </si>
  <si>
    <t>熟悉汽车的朋友都知道，根据不同汽车厂商的不同设计要求，油门踏板分为“地板式”和“悬挂式”，两种形式的踏板在功能上没有区别，但究竟孰优孰劣呢？  地板式油门也叫“风琴式”油门，油门踏板受力臂从地板伸出，与地板形成一个角度。这样设计，人的脚部能百分百与踏板贴合，受力更均衡。在剧烈驾驶、持续保持深踩油门时</t>
  </si>
  <si>
    <t>2020/02/21 17:11:00</t>
  </si>
  <si>
    <t>开一年纯电车能比燃油车省出几个钱？经过几年的沉淀，似乎大家已经开始慢慢接受新能源车，以至于大咖在路上经常都能见到除纯电动出租车、网约车之外的私家车，如小鹏G3、特斯拉Model 3、蔚来ES8、比亚迪元EV等等。有的人跟大咖说，买新能源车无非还是免摇号、不受“开四停四”影响，也有的人说，用车保养各方</t>
  </si>
  <si>
    <t>经过几年的沉淀，似乎大家已经开始慢慢接受新能源车，以至于大咖在路上经常都能见到除纯电动出租车、网约车之外的私家车，如小鹏G3、特斯拉Model 3、蔚来ES8、比亚迪元EV等等。有的人跟大咖说，买新能源车无非还是免摇号、不受“开四停四”影响，也有的人说，用车保养各方面要比燃油车更省钱省心。那么问题就</t>
  </si>
  <si>
    <t>“地板式”油门和“悬挂式”油门有什么区别？熟悉汽车的朋友都知道，根据不同汽车厂商的不同设计要求，油门踏板分为“地板式”和“悬挂式”，两种形式的踏板在功能上没有区别，但究竟孰优孰劣呢？  地板式油门也叫“风琴式”油门，油门踏板受力臂从地板伸出，与地板形成一个角度。这样设计，人的脚部能百分百与踏板贴合，</t>
  </si>
  <si>
    <t>作为国内SUV市场的销量冠军——哈弗H6的一举一动自然是备受关注，特别是在升级和换代的时候，更是吸引了无数媒体和消费者的目光。从上市到现在，哈弗H6已经经历了几次换代，每次换代的热度都是丝毫不减，现款车型也是上市多年了，有的朋友可能比较好奇：下一代哈弗H6会长成啥样？现在就告诉你答案。在刚刚举行的印</t>
  </si>
  <si>
    <t>2020/02/21 17:10:00</t>
  </si>
  <si>
    <t>毫无疑问，中国作为全球最大的汽车市场，在经历了长达两年的销量下滑之后，短期之内确实很难迎来复苏。更为雪上加霜的是，自2020年伊始，武汉的新型肺炎疫情突如其来，这让整个行业的前景变得愈发艰难。不过，在车市整体下行的大趋势下，日系品牌却走出了一波独立行情，尤其是备受国人青睐的本田，销量不降反升，并持续</t>
  </si>
  <si>
    <t>下一代哈弗H6？作为国内SUV市场的销量冠军——哈弗H6的一举一动自然是备受关注，特别是在升级和换代的时候，更是吸引了无数媒体和消费者的目光。从上市到现在，哈弗H6已经经历了几次换代，每次换代的热度都是丝毫不减，现款车型也是上市多年了，有的朋友可能比较好奇：下一代哈弗H6会长成啥样？现在就告诉你答案</t>
  </si>
  <si>
    <t>不愧是本田 这车刚上市就火了毫无疑问，中国作为全球最大的汽车市场，在经历了长达两年的销量下滑之后，短期之内确实很难迎来复苏。更为雪上加霜的是，自2020年伊始，武汉的新型肺炎疫情突如其来，这让整个行业的前景变得愈发艰难。不过，在车市整体下行的大趋势下，日系品牌却走出了一波独立行情，尤其是备受国人青睐</t>
  </si>
  <si>
    <t>特斯拉是纯电动汽车的代表作品，也是国内电动汽车行业所超越的对象，特斯拉的产品设计总能给人惊喜，这是国产电动汽车行业不能比拟的，尤其是近期特斯拉电动皮卡的亮相，更是让人出乎意料，至少国内车友不太喜欢它的外观设计。不过海外车友对这种敢于创新的设计十分喜欢，目前订单累计18.7万辆，这是马斯克宣称的消息，</t>
  </si>
  <si>
    <t>2020/02/21 17:09:00</t>
  </si>
  <si>
    <t>国产皮卡该不该学习特斯拉皮卡特斯拉是纯电动汽车的代表作品，也是国内电动汽车行业所超越的对象，特斯拉的产品设计总能给人惊喜，这是国产电动汽车行业不能比拟的，尤其是近期特斯拉电动皮卡的亮相，更是让人出乎意料，至少国内车友不太喜欢它的外观设计。不过海外车友对这种敢于创新的设计十分喜欢，目前订单累计18.7</t>
  </si>
  <si>
    <t>红旗H9一直被误认为是H7的换代车型，但其豪华的外观和超长的车身尺寸都远超于红旗H7。虽然目前并没有公布车身尺寸，但预计该车车身可达5.2米，而轴距也惊人的达到了3.1米左右，这一点也就证实了红旗H9并不是H7的换代。而且红旗H9还采用了全新的设计理念。外观：乍一看就是劳斯莱斯整车外观上，大尺寸瀑布</t>
  </si>
  <si>
    <t>2020/02/21 17:08:00</t>
  </si>
  <si>
    <t>引言：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的感觉，仔细一看车型品牌，大部分都是大众，现代，</t>
  </si>
  <si>
    <t>为何满大街出租车都用大众？引言：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的感觉，仔细一看车型品</t>
  </si>
  <si>
    <t>静态解析红旗H9红旗H9一直被误认为是H7的换代车型，但其豪华的外观和超长的车身尺寸都远超于红旗H7。虽然目前并没有公布车身尺寸，但预计该车车身可达5.2米，而轴距也惊人的达到了3.1米左右，这一点也就证实了红旗H9并不是H7的换代。而且红旗H9还采用了全新的设计理念。外观：乍一看就是劳斯莱斯整车外</t>
  </si>
  <si>
    <t>2020款丰田凯美瑞TRD日系丰田凯美瑞在2018年进行了全面研发，迎来了良好的口碑，稳定了中级车型的销售市场。近日，有媒体报道了丰田凯美瑞2020年的各种消息。2020年丰田将保持凯美瑞的外形基本不变。不过，动力系统将有更大的改进和变化，车辆性能将受到更多关注。将增加TRD车型和可选的全轮驱动车型</t>
  </si>
  <si>
    <t>2020/02/21 17:07:00</t>
  </si>
  <si>
    <t>T-ROC探歌是大众旗下的首款SUV车型，在上市之初可谓是噱头十足，吸引了很多人的关注，也成为很多年轻人或家庭用车的首选，在销量上也获得了不错的反响，在去年全年的销量为126859辆，有着不错的表现。前一阵探歌在海外上市了敞篷版车型更是引起了不小的关注度。探歌这款车的定位本来就是偏年轻群体的紧凑级S</t>
  </si>
  <si>
    <t>丰田新Supra 2.0T版正式亮相，2.0T版相比3.0T版的车身减轻了200磅，前后重量比例为50:50，并换装了18英寸双色双五辐轮圈、330毫米的刹车盘及单活塞卡钳，同时取消了主动式差速器和自适应悬架，标配4个扬声器音响系统（可选12扬声器JBL音响），电动座椅也改成了手动调节。动力搭载的是</t>
  </si>
  <si>
    <t>日系丰田凯美瑞在2018年进行了全面研发，迎来了良好的口碑，稳定了中级车型的销售市场。近日，有媒体报道了丰田凯美瑞2020年的各种消息。2020年丰田将保持凯美瑞的外形基本不变。不过，动力系统将有更大的改进和变化，车辆性能将受到更多关注。将增加TRD车型和可选的全轮驱动车型。自从更换了新的丰田凯美瑞</t>
  </si>
  <si>
    <t>年轻人也能买得起的敞篷车T-ROC探歌是大众旗下的首款SUV车型，在上市之初可谓是噱头十足，吸引了很多人的关注，也成为很多年轻人或家庭用车的首选，在销量上也获得了不错的反响，在去年全年的销量为126859辆，有着不错的表现。前一阵探歌在海外上市了敞篷版车型更是引起了不小的关注度。探歌这款车的定位本来</t>
  </si>
  <si>
    <t>丰田版大黄蜂？新Supra 2.0T版正式亮相丰田新Supra 2.0T版正式亮相，2.0T版相比3.0T版的车身减轻了200磅，前后重量比例为50:50，并换装了18英寸双色双五辐轮圈、330毫米的刹车盘及单活塞卡钳，同时取消了主动式差速器和自适应悬架，标配4个扬声器音响系统（可选12扬声器JBL</t>
  </si>
  <si>
    <t>2019款明锐1.5自舒原地踩刹车打一点方向，底盘处有吱吱的异响声，声音大。怎么回事呢？</t>
  </si>
  <si>
    <t>2020/02/21 17:04:33</t>
  </si>
  <si>
    <t>2020/02/21 16:52:19</t>
  </si>
  <si>
    <t>投诉编号：【448038】
投诉时间： 2020-02-21 16:32
投诉品牌： 上汽大通
投诉车系： 上汽MAXUS G50
投诉车型： 2019款 1.5T 自动 豪华版 国V</t>
  </si>
  <si>
    <t>2020/02/21 16:48:28</t>
  </si>
  <si>
    <t>投诉编号：【448043】
投诉时间： 2020-02-21 16:42
投诉品牌： 东风日产
投诉车系： 轩逸
投诉车型： 2020款 1.6L XL CVT 悦享版</t>
  </si>
  <si>
    <t>2020/02/21 16:48:18</t>
  </si>
  <si>
    <t>投诉编号：【448042】
投诉时间： 2020-02-21 16:41
投诉品牌： 吉利汽车
投诉车系： 远景
投诉车型： 2016款 1.5L 自动 幸福版</t>
  </si>
  <si>
    <t>投诉编号：【448040】  投诉时间： 2020-02-21 16:40  投诉品牌： 东风日产  投诉车系： 轩逸  投诉车型： 2020款 1.6L XL CVT 智享版        投诉内容  平常都是洗车店刷车没有注意，今天我自行洗车发现前保险杠右侧明显喷漆现象，然而还是那种坑洼不平很明</t>
  </si>
  <si>
    <t>2020/02/21 16:40:00</t>
  </si>
  <si>
    <t>投诉编号：【448037】  投诉时间： 2020-02-21 16:17  投诉品牌： 广汽本田  投诉车系： 雅阁  投诉车型： 2014款 2.4L EX 豪华版        投诉内容  车辆正常行驶中，自动驻车系统无故取消，无法再次开启，对红绿灯驻车有安全隐患，很多车友都有类似问题出现，希</t>
  </si>
  <si>
    <t>2020/02/21 16:17:00</t>
  </si>
  <si>
    <t>投诉编号：【448035】  投诉时间： 2020-02-21 16:13  投诉品牌： 上汽大众  投诉车系： 凌渡  投诉车型： 2017款 230TSI DSG 风尚版        投诉内容  目前车辆行驶43408公里，车辆行驶证颠簸路面天窗异响出现塑料摩擦的声音，待车辆停稳后打开天窗看到</t>
  </si>
  <si>
    <t>2020/02/21 16:13:00</t>
  </si>
  <si>
    <t>2020/02/21 16:11:33</t>
  </si>
  <si>
    <t>投诉编号：【448030】
投诉时间： 2020-02-21 15:50
投诉品牌： 一汽-大众
投诉车系： 高尔夫
投诉车型： 2015款 1.6L 自动 舒适型</t>
  </si>
  <si>
    <t>投诉编号：【448034】  投诉时间： 2020-02-21 16:11  投诉品牌： 一汽-大众  投诉车系： 捷达  投诉车型： 2015款 1.6L 手动 时尚型        投诉内容  大灯、点烟器、空调风机同时没电！      投诉回复  车质网已将您的投诉转给生产企业以及国家市场监督</t>
  </si>
  <si>
    <t>2020/02/21 16:11:00</t>
  </si>
  <si>
    <t>投诉编号：【448032】  投诉时间： 2020-02-21 16:01  投诉品牌： 东风悦达起亚  投诉车系： KX3傲跑  投诉车型： 2020款 1.5L CVT 潮流版        投诉内容  雨刮器那里塑料配件密封不严，导致玻璃和塑料都分开了一条缝，用手轻松都可以碰掉，中控黑屏至今没</t>
  </si>
  <si>
    <t>2020/02/21 16:01:00</t>
  </si>
  <si>
    <t>投诉编号：【448031】投诉时间：2020-02-2115:50投诉品牌：上汽大众投诉车系：朗逸投诉车型：2019款1.5L自动风尚版国VI投诉内容车身中控台，车门严重异响，硬塑料太多，跟交响乐似的。投诉回复车质网已将您的投诉转给生产企业以及国家市场监督管理总局缺陷产品管理中心，我们将会对此投诉继</t>
  </si>
  <si>
    <t>2020/02/21 15:50:00</t>
  </si>
  <si>
    <t>春季车辆保养小常识 你做对了吗？由于疫情的影响大家都宅在家过了一个特别的年！春天已经悄然而至，作为一般的家用交通工具，汽车在春季也有着不太一般的保养方法。那么春季应该如何保养自己的爱车呢？几个小窍门友途车服分享给大家。春季车辆保养攻略1、更换适季机油机油是汽车的血液，按季节使用对应机油对发动机更好。</t>
  </si>
  <si>
    <t>2020/02/21 15:47:00</t>
  </si>
  <si>
    <t>由于疫情的影响大家都宅在家过了一个特别的年！春天已经悄然而至，作为一般的家用交通工具，汽车在春季也有着不太一般的保养方法。那么春季应该如何保养自己的爱车呢？几个小窍门友途车服分享给大家。春季车辆保养攻略1、更换适季机油机油是汽车的血液，按季节使用对应机油对发动机更好。说到选机油品牌或机油种类方面，也</t>
  </si>
  <si>
    <t>MAX论坛</t>
  </si>
  <si>
    <t>受到疫情影响 深受欢迎的房车旅行又会迎来什么2020年开年，全国各个行业发展就受到了疫情的制约，经济发展速度变缓。然而随着疫情得到控制，各个行业进入复工阶段，经济形势也逐步见好。那么2020年房车行业将会有什么样的发展趋势，深受大众欢迎的房车旅行又会迎来什么样的发展态势。本期小美就带大家来看看专家的</t>
  </si>
  <si>
    <t>2020/02/21 15:35:00</t>
  </si>
  <si>
    <t>2020年开年，全国各个行业发展就受到了疫情的制约，经济发展速度变缓。然而随着疫情得到控制，各个行业进入复工阶段，经济形势也逐步见好。那么2020年房车行业将会有什么样的发展趋势，深受大众欢迎的房车旅行又会迎来什么样的发展态势。本期小美就带大家来看看专家的相关预测。2019年房车行业整体发展速度加快</t>
  </si>
  <si>
    <t>MAX</t>
  </si>
  <si>
    <t>投诉编号：【448028】  投诉时间： 2020-02-21 15:25  投诉品牌： 奇瑞汽车  投诉车系： 瑞虎3  投诉车型： 2016款 1.6L CVT 智尚版        投诉内容  开车正常行驶，ESP故障灯会常亮，有时候动力会突然缺失，油门踩到底也不走，车像被淹死了一样，前后减震</t>
  </si>
  <si>
    <t>2020/02/21 15:25:00</t>
  </si>
  <si>
    <t>投诉编号：【448026】  投诉时间： 2020-02-21 15:22  投诉品牌： 华晨宝马  投诉车系： 宝马5系  投诉车型： 2014款 520Li 典雅型        投诉内容  2020年1月24日刚好除夕，下午一家人开车去我妈家里吃年夜饭，在路上我的宝马5系车在正常行驶中突然显示</t>
  </si>
  <si>
    <t>2020/02/21 15:22:00</t>
  </si>
  <si>
    <t>投诉编号：【448027】  投诉时间： 2020-02-21 15:22  投诉品牌： 长安沃尔沃  投诉车系： 沃尔沃S80L  投诉车型： 2014款 2.0T T5 智雅版        投诉内容  该车辆购买至今6年零4个月，行驶里程约91000公里左右，在行驶中出现突然熄火，然后再也无法</t>
  </si>
  <si>
    <t>丰田版大黄蜂 新Supra 2.0T版正式亮相丰田新Supra 2.0T版正式亮相，2.0T版相比3.0T版的车身减轻了200磅，前后重量比例为50:50，并换装了18英寸双色双五辐轮圈、330毫米的刹车盘及单活塞卡钳，同时取消了主动式差速器和自适应悬架，标配4个扬声器音响系统（可选12扬声器JBL</t>
  </si>
  <si>
    <t>狗shi情人节</t>
  </si>
  <si>
    <t>2020/02/21 15:17:00</t>
  </si>
  <si>
    <t>本文介绍的是新款卡罗拉的入门版本车型1.2T先锋版，可以看到相对于旧款卡罗拉，新车前脸视觉效果更低，倒梯形的进气格栅显得沉稳大气，也符合现在年轻化的设计语言，标配版的日间行车灯为左右各两颗LED光源。全新一代卡罗拉尺寸长宽高分别为4635*1780*1455mm，轴距为2700mm，同级别中属于主流</t>
  </si>
  <si>
    <t>2020/02/21 15:16:00</t>
  </si>
  <si>
    <t>提全新卡罗拉1.2T先锋版本文介绍的是新款卡罗拉的入门版本车型1.2T先锋版，可以看到相对于旧款卡罗拉，新车前脸视觉效果更低，倒梯形的进气格栅显得沉稳大气，也符合现在年轻化的设计语言，标配版的日间行车灯为左右各两颗LED光源。全新一代卡罗拉尺寸长宽高分别为4635*1780*1455mm，轴距为27</t>
  </si>
  <si>
    <t>今天说的这款车就是即将上市的比亚迪“汉”。近日，比亚迪“汉”的实车图正式发布，绽放“龙颜”，惊艳四座，气场无敌。作为比亚迪旗下中大型轿车，比亚迪汉分为混动DM版本和EV纯电动版，整体造型略有不同。新车预计将于2020年6月份上市。在外观设计方面，比亚迪“汉”传承比亚迪Dragon Face龙颜3.0</t>
  </si>
  <si>
    <t>2020/02/21 15:15:00</t>
  </si>
  <si>
    <t>奥迪在今年9月的法兰克福车展上已经首发了中期改款A4，国产版本的新奥迪A4L预计也快要到来了，据悉，新车将在明年4月份上市。国产版改款新奥迪A4L的变化与海外版保持一致，前脸完全重新设计，大灯组高度增加，上部的矩阵式日行灯带非常犀利。中网依然是六边形大嘴式，两侧比现款有所外扩，中网面积更大了。另外在</t>
  </si>
  <si>
    <t>奥迪新款A4L外观小幅改动 预计2020年4月上市奥迪在今年9月的法兰克福车展上已经首发了中期改款A4，国产版本的新奥迪A4L预计也快要到来了，据悉，新车将在明年4月份上市。国产版改款新奥迪A4L的变化与海外版保持一致，前脸完全重新设计，大灯组高度增加，上部的矩阵式日行灯带非常犀利。中网依然是六边形</t>
  </si>
  <si>
    <t>方向盘酷似迈巴赫 豪华感不输红旗H9今天说的这款车就是即将上市的比亚迪“汉”。近日，比亚迪“汉”的实车图正式发布，绽放“龙颜”，惊艳四座，气场无敌。作为比亚迪旗下中大型轿车，比亚迪汉分为混动DM版本和EV纯电动版，整体造型略有不同。新车预计将于2020年6月份上市。在外观设计方面，比亚迪“汉”传承比</t>
  </si>
  <si>
    <t>全新国产起亚K5将在明年的上半年正式上市！随着时间的不断临近，海外版的起亚K5正式现身，全新的设计呈现出较为强烈的年轻气息，进气格栅与两侧大灯相连接的设计增加了一定的和谐感，大灯的独特式设计也更加有辨识性，车身线条的设计更加凌厉，尾部采用了较为符合当下年轻消费者的贯穿式设计，排气筒的平行式设计也更加</t>
  </si>
  <si>
    <t>2020/02/21 15:14:00</t>
  </si>
  <si>
    <t>全新国产起亚K5将在明年上半年上市全新国产起亚K5将在明年的上半年正式上市！随着时间的不断临近，海外版的起亚K5正式现身，全新的设计呈现出较为强烈的年轻气息，进气格栅与两侧大灯相连接的设计增加了一定的和谐感，大灯的独特式设计也更加有辨识性，车身线条的设计更加凌厉，尾部采用了较为符合当下年轻消费者的贯</t>
  </si>
  <si>
    <t>2020/02/21 15:13:00</t>
  </si>
  <si>
    <t>现在的汽车领域，德系和日系品牌汽车占据着主要的销量，无论是德系还是日系品牌，都拥有自己的粉丝，德系在国内比较畅销的品牌是BBAD，日系品牌在国内比较畅销的有“三剑客”，丰田、本田和日产，马自达和斯巴鲁属于极具个性的品牌，在销量上要稍微差一些。德系的BBAD，奔驰、宝马、奥迪、大众这四个品牌，都有一个</t>
  </si>
  <si>
    <t>2020/02/21 15:12:00</t>
  </si>
  <si>
    <t>今年春节我很早带着老婆小孩回东北老家过年，由于爸妈都不开车，小孩子又偶尔要出去玩，表哥就主动把它的代步车威驰借给我了。而这段时间又恰逢新型冠状病毒疫情的爆发，所以也幸亏有了这辆车，让全家去超市、去备年货等出行就不用再乘坐公共交通或打出租车了——让人感慨，家里如果没车确实不方便，哪怕是一台代步车也要比</t>
  </si>
  <si>
    <t>后驱六缸 魂动设计的马自达年轻人都喜欢现在的汽车领域，德系和日系品牌汽车占据着主要的销量，无论是德系还是日系品牌，都拥有自己的粉丝，德系在国内比较畅销的品牌是BBAD，日系品牌在国内比较畅销的有“三剑客”，丰田、本田和日产，马自达和斯巴鲁属于极具个性的品牌，在销量上要稍微差一些。德系的BBAD，奔驰</t>
  </si>
  <si>
    <t>威驰用车报告 一款给普通人的普通车今年春节我很早带着老婆小孩回东北老家过年，由于爸妈都不开车，小孩子又偶尔要出去玩，表哥就主动把它的代步车威驰借给我了。而这段时间又恰逢新型冠状病毒疫情的爆发，所以也幸亏有了这辆车，让全家去超市、去备年货等出行就不用再乘坐公共交通或打出租车了——让人感慨，家里如果没车</t>
  </si>
  <si>
    <t>2020/02/21 15:10:13</t>
  </si>
  <si>
    <t>投诉编号：【448023】
投诉时间： 2020-02-21 15:09
投诉品牌： 上汽集团
投诉车系： 荣威Ei5
投诉车型： 2019款 智联旗舰版</t>
  </si>
  <si>
    <t>投诉编号：【448024】投诉时间：2020-02-2115:10投诉品牌：一汽马自达投诉车系：阿特兹投诉车型：2020款2.5L蓝天尊崇版投诉内容问题1:低速行驶时明显听到驾驶位B柱有“哒哒哒”声，类似于沙子打到玻璃的声音。问题2：车辆启动后，前挡风玻璃处下的两个Bose音响有严重的电流声，类似于</t>
  </si>
  <si>
    <t>2020/02/21 15:10:00</t>
  </si>
  <si>
    <t>吉利icon银河限量版车型售价：132020万元/限量2020辆，作为吉利打造的全新SUV车型，基于BMA模块化架构打造，外形突破吉利家族设计风格，90%高度还原概念车CONCEPT ICON。最新的设计理念表现出这种超前的科幻设计风格，成为了自主紧凑型SUV市场中新的生力军，吉利官方表示新车～吉利</t>
  </si>
  <si>
    <t>零跑首款量产车型零跑S01正式上市，新车定位两门四座轿跑车，推出两种续航里程版本，让我们来看一下性能如何。外观方面，零跑S01前脸大面积的高亮黑区还是具有相当高的辨识度，配合全系标配的LED前大灯，S01的车头还真有那么一丝“跑味”。侧面部分零跑S01侧身充满着复古的味道，干练的飞鱼式腰线一直延伸至</t>
  </si>
  <si>
    <t>零跑 S01 起售价11.99万元零跑首款量产车型零跑S01正式上市，新车定位两门四座轿跑车，推出两种续航里程版本，让我们来看一下性能如何。外观方面，零跑S01前脸大面积的高亮黑区还是具有相当高的辨识度，配合全系标配的LED前大灯，S01的车头还真有那么一丝“跑味”。侧面部分零跑S01侧身充满着复古</t>
  </si>
  <si>
    <t>吉利首台突破传统新SUV诞生 销量2020辆吉利icon银河限量版车型售价：132020万元/限量2020辆，作为吉利打造的全新SUV车型，基于BMA模块化架构打造，外形突破吉利家族设计风格，90%高度还原概念车CONCEPT ICON。最新的设计理念表现出这种超前的科幻设计风格，成为了自主紧凑型S</t>
  </si>
  <si>
    <t>18款宝来从2020年1月到现在陆陆续续出现车漆龟裂，每块面积都不大，除去四个车门别的地方都有，大概有10来处了，车漆表面平整光滑，这属于质量问题吗？可以要求4s店做出赔偿吗。</t>
  </si>
  <si>
    <t>2020/02/21 14:51:08</t>
  </si>
  <si>
    <t>投诉编号：【448021】  投诉时间： 2020-02-21 14:48  投诉品牌： 一汽-大众奥迪  投诉车系： 奥迪Q3  投诉车型： 2018款 35 TFSI 时尚型 30周年年型        投诉内容  一汽大众奥迪Q3收取定金订购配件橡胶软管，收取定金后，售后以疫情原因，配件无法配</t>
  </si>
  <si>
    <t>2020/02/21 14:48:00</t>
  </si>
  <si>
    <t>捷途X90和瑞虎8，哪款车性价比高，值得购买？</t>
  </si>
  <si>
    <t>2020/02/21 14:47:21</t>
  </si>
  <si>
    <t>2020/02/21 14:31:36</t>
  </si>
  <si>
    <t>投诉编号：【448019】
投诉时间： 2020-02-21 14:22
投诉品牌： 华晨宝马
投诉车系： 宝马2系旅行车
投诉车型： 2016款 218i 时尚型</t>
  </si>
  <si>
    <t>2020/02/21 14:27:00</t>
  </si>
  <si>
    <t>受疫情影响，1月份的汽车销量狂跌21.5%，可谓惨不忍睹。而且不管是日系还是德系，都进入了负增长的行列。不过值得注意的是前段时间饱受关注的帕萨特，依然屹立在B级车销量排行榜前列。而上汽大众卖了14.6万多辆，稳稳的占据了销量榜的第二名，可见它在我门国人心中还是有庞大的群众基础。很多人会质疑经过中保研</t>
  </si>
  <si>
    <t>开局先放一张图，证实下自驾四万公里的小昕动。开了这么长时间，这车没出现过什么毛病，兢兢业业，很让我心安。这不，看到网上说新款的昕动上市，点开图一看，哇塞，感觉不管外观，配置也升级了好多啊。斑马系统新款的昕动也安排上了，这系统，我也眼馋很久了，以后行驶过程中，直接就可以语音呼唤操作，都不用自己手动了。</t>
  </si>
  <si>
    <t>2020/02/21 14:24:00</t>
  </si>
  <si>
    <t>四万公里昕动车主听说新款昕动上市了？开局先放一张图，证实下自驾四万公里的小昕动。开了这么长时间，这车没出现过什么毛病，兢兢业业，很让我心安。这不，看到网上说新款的昕动上市，点开图一看，哇塞，感觉不管外观，配置也升级了好多啊。斑马系统新款的昕动也安排上了，这系统，我也眼馋很久了，以后行驶过程中，直接就</t>
  </si>
  <si>
    <t>在网上看到昕锐昕动上市了，话说之前就对这辆车比较期待了。七万起的售价，完全就很适合我这种刚拿驾照的新手司机，性价比很高。昕锐是三厢车，外形年轻动感。新车长4512mm，轴距2603mm，数据上和同级比起来属于中上水平。而且也配备了斯柯达一贯的大后备箱，很是居家实用。内饰上可以根据我自己的喜好选配，炫</t>
  </si>
  <si>
    <t>皇朝杀破狼</t>
  </si>
  <si>
    <t>2020/02/21 14:21:00</t>
  </si>
  <si>
    <t>昕锐昕动正式上市了 蠢蠢欲动在网上看到昕锐昕动上市了，话说之前就对这辆车比较期待了。七万起的售价，完全就很适合我这种刚拿驾照的新手司机，性价比很高。昕锐是三厢车，外形年轻动感。新车长4512mm，轴距2603mm，数据上和同级比起来属于中上水平。而且也配备了斯柯达一贯的大后备箱，很是居家实用。内饰上</t>
  </si>
  <si>
    <t>投诉编号：【448018】  投诉时间： 2020-02-21 14:20  投诉品牌： 上汽集团  投诉车系： 名爵6  投诉车型： 2018款 20T 自动 Trophy超级运动互联网版 国VI        投诉内容  单独个人在高速上行驶，由于雨天视野不好，发现路上有只动物，在减速和稍微变向</t>
  </si>
  <si>
    <t>2020/02/21 14:20:00</t>
  </si>
  <si>
    <t>投诉编号：【448017】  投诉时间： 2020-02-21 14:18  投诉品牌： 吉利汽车  投诉车系： 远景  投诉车型： 2017款 1.5L 自动 幸福版        投诉内容  车子从买到后一直在4S店按期保养，2020.2.15日保养后4S店告知需要更换变速箱，因为变速箱出现挂挡</t>
  </si>
  <si>
    <t>2020/02/21 14:18:00</t>
  </si>
  <si>
    <t>投诉编号：【448015】投诉时间：2020-02-2114:14投诉品牌：一汽-大众投诉车系：速腾投诉车型：2019款200TSIDSG舒适型国V投诉内容上坡减速时底盘异响（像手动挡上坡没及时降挡而产生的声音）不知道是变速箱问题还是离合器问题，去4S店也就试驾完就说没事。仪表盘附近踩制动踏板时就有</t>
  </si>
  <si>
    <t>2020/02/21 14:14:00</t>
  </si>
  <si>
    <t>很多初学车的朋友，哪怕通过了科目三的路考，拿到了驾驶证以后，在日常使用汽车的时候，尤其是晚上，对于灯光还是不太会用。今天，小编就和大家谈一下灯光怎么使用，怎么应对远光灯。非自动大灯类型在钥匙通电状态下或者启动车子的情况下，灯杆开关一般是旋转的，方向是逆时针旋转，从off向左旋转一下，就是打开了灯光开</t>
  </si>
  <si>
    <t>2020/02/21 14:11:00</t>
  </si>
  <si>
    <t>（1）灯光使用规则转向灯提前打转弯、变更车道、超车、掉头、靠边停车时应当提前100米至50米开启转向灯。善用灯光喇叭机动车在夜间通过急弯、坡路、拱桥、人行横道或者没有交通信号灯控制的路口时，应当交替使用远、近光灯示意。紧急情况打双蹦危险报警闪光灯，就是我们通常说的“双蹦”，它作为一种信号，提醒其他车</t>
  </si>
  <si>
    <t>现在很多车都是一键启动的，不需要插入机械钥匙打火，只需要按一下启动开关就可以。有的还是无钥匙进入，钥匙放在包里即可，开车全程不需要拿出遥控钥匙。启动原理是车内有几根天线，能够感应到遥控器发出来的电磁信号，如果与存储的信号一致，就允许车辆启动，不一致或者没有感应到遥控器就不能启动。普通的遥控器没电了，</t>
  </si>
  <si>
    <t>投诉编号：【448014】投诉时间：2020-02-2114:11投诉品牌：吉利汽车投诉车系：帝豪投诉车型：2019款领军版1.5LCVT向上互联型国V投诉内容刚刚开2500公里的新开，发动机检测都一直亮。到售后去检测。显示出来不止一个问题。电路短路，车身控制系统显示故障。安全气囊也有显示故障。发动</t>
  </si>
  <si>
    <t>夜间行驶灯光使用知识 以及情况说明（1）灯光使用规则转向灯提前打转弯、变更车道、超车、掉头、靠边停车时应当提前100米至50米开启转向灯。善用灯光喇叭机动车在夜间通过急弯、坡路、拱桥、人行横道或者没有交通信号灯控制的路口时，应当交替使用远、近光灯示意。紧急情况打双蹦危险报警闪光灯，就是我们通常说的“</t>
  </si>
  <si>
    <t>一键启动 遥控器没电了能打着火吗？现在很多车都是一键启动的，不需要插入机械钥匙打火，只需要按一下启动开关就可以。有的还是无钥匙进入，钥匙放在包里即可，开车全程不需要拿出遥控钥匙。启动原理是车内有几根天线，能够感应到遥控器发出来的电磁信号，如果与存储的信号一致，就允许车辆启动，不一致或者没有感应到遥控</t>
  </si>
  <si>
    <t>夜晚开车 怎么使用远光灯和近光灯？很多初学车的朋友，哪怕通过了科目三的路考，拿到了驾驶证以后，在日常使用汽车的时候，尤其是晚上，对于灯光还是不太会用。今天，小编就和大家谈一下灯光怎么使用，怎么应对远光灯。非自动大灯类型在钥匙通电状态下或者启动车子的情况下，灯杆开关一般是旋转的，方向是逆时针旋转，从o</t>
  </si>
  <si>
    <t>投诉编号：【448013】  投诉时间： 2020-02-21 14:11  投诉品牌： 一汽-大众  投诉车系： 探岳  投诉车型： 2019款 330TSI 两驱 豪华型 国Ⅵ        投诉内容  2019年9月3日在四川自贡市和众汽车销售服务有限公司（一气大众4S店）购买。2020年2月</t>
  </si>
  <si>
    <t>俗话说的好，眼睛是心灵的窗户，而汽车的玻璃应该算是汽车整体心灵的窗户。因此，玻璃就像汽车的眼睛，决定着汽车行驶的安全性。因此汽车玻璃要经常清洗，保持清晰的视野。01表面浮尘建议：用干布擦拭，但不要太硬，以免弄伤玻璃，然后直接用玻璃水清洁，最后用温湿布擦干净即可。02斑点建议：汽车玻璃上的斑点如果无法</t>
  </si>
  <si>
    <t>2020/02/21 14:10:00</t>
  </si>
  <si>
    <t>玻璃擦不干净？有这几个办法就够了俗话说的好，眼睛是心灵的窗户，而汽车的玻璃应该算是汽车整体心灵的窗户。因此，玻璃就像汽车的眼睛，决定着汽车行驶的安全性。因此汽车玻璃要经常清洗，保持清晰的视野。01表面浮尘建议：用干布擦拭，但不要太硬，以免弄伤玻璃，然后直接用玻璃水清洁，最后用温湿布擦干净即可。02斑</t>
  </si>
  <si>
    <t>如何应对行车的各种状况现在有不少的新手司机都卖了自己的爱车，尽管在学校中学习了基本的机动车驾驶技术，但是，在日常行驶在道路上的时候，面对复杂的车况往往新手车主还是有些手忙脚乱的，这时你可以请教一下一些成手司机讨教一下驾车经验是一个非常好的方法，也可以帮助你在行车的时候更加有信息应对各种情况，有些老司</t>
  </si>
  <si>
    <t>2020/02/21 14:09:00</t>
  </si>
  <si>
    <t>空挡滑行图什么？省油？那是上个世纪的理论了，那时还没有电喷技术，空挡滑行是省油，但也存在很大风险，秋名山老司机也不敢这么操作。空挡状态下，车辆就失去了引擎的制动力，如果是连续下坡，刹车踩的比较勤，所有的制动负载都在刹车盘片上，很容易造成刹车热衰减，导致制动失灵，尤其是载物的货车，或者是满载的客车。有</t>
  </si>
  <si>
    <t>为什么要注意着几点？安全行驶小方法如何应对行车的各种状况现在有不少的新手司机都卖了自己的爱车，尽管在学校中学习了基本的机动车驾驶技术，但是，在日常行驶在道路上的时候，面对复杂的车况往往新手车主还是有些手忙脚乱的，这时你可以请教一下一些成手司机讨教一下驾车经验是一个非常好的方法，也可以帮助你在行车的时</t>
  </si>
  <si>
    <t>有哪些开车时误以为正确的驾车习惯？空挡滑行图什么？省油？那是上个世纪的理论了，那时还没有电喷技术，空挡滑行是省油，但也存在很大风险，秋名山老司机也不敢这么操作。空挡状态下，车辆就失去了引擎的制动力，如果是连续下坡，刹车踩的比较勤，所有的制动负载都在刹车盘片上，很容易造成刹车热衰减，导致制动失灵，尤其</t>
  </si>
  <si>
    <t>投诉编号：【448012】  投诉时间： 2020-02-21 14:08  投诉品牌： 上汽通用五菱  投诉车系： 五菱荣光V  投诉车型： 2018款 1.5L 实用型        投诉内容  我的车款40300。财务打错了，现在他们不给我退钱，耍无赖。还态度不好，拖时间。现在要求我签字画押给</t>
  </si>
  <si>
    <t>2020/02/21 14:08:00</t>
  </si>
  <si>
    <t>　　据日本经济新闻社报道，马自达计划在2023年推出一个全新的大型高端车平台，不过在此之前，马自达将不再推出全新车型，并停止升级现有车型。换话话说，推出新平台前，由于没有新车，马自需要做出额外行动，保持其品牌形象，从而达成销售目标。　　首先的举措是2019年推出的马自达全新高端技术skyactiv-</t>
  </si>
  <si>
    <t>刘腾</t>
  </si>
  <si>
    <t>2020/02/21 13:56:00</t>
  </si>
  <si>
    <t>据日本经济新闻社报道，马自达计划在2023年推出一个全新的大型高端车平台，不过在此之前，马自达将不再推出全新车型，并停止升级现有车型。换话话说，推出新平台前，由于没有新车，马自需要做出额外行动，保持其品牌形象，从而达成销售目标。    首先的举措是2019年推出的马自达全新高端技术skyactiv-</t>
  </si>
  <si>
    <t>　　2020年日内瓦车展将在几周后拉开帷幕，奔驰正式宣布了其参展阵容，确认改款e级及三款梅赛德斯-amg车型全球首发，让我们抢先了解一下。　　首先，此次日内瓦车展上，奔驰展台最大的明星将是中期改款e级。从官方原型车图来看，新款奔驰e级的外观设计变化不大，主要体现在前脸和尾部采用了一些新的设计元素以及</t>
  </si>
  <si>
    <t>2020/02/21 13:53:00</t>
  </si>
  <si>
    <t>2020年日内瓦车展将在几周后拉开帷幕，奔驰正式宣布了其参展阵容，确认改款e级及三款梅赛德斯-amg车型全球首发，让我们抢先了解一下。    首先，此次日内瓦车展上，奔驰展台最大的明星将是中期改款e级。从官方原型车图来看，新款奔驰e级的外观设计变化不大，主要体现在前脸和尾部采用了一些新的设计元素以及</t>
  </si>
  <si>
    <t>投诉编号：【448011】  投诉时间： 2020-02-21 13:53  投诉品牌： 沃尔沃亚太  投诉车系： 沃尔沃S60  投诉车型： 2017款 1.5T T3 智进版        投诉内容  大致19年1月左右开始每次加油跳枪1-3次，最近每次加油会跳10次以上，这种简单的故障在沃尔沃</t>
  </si>
  <si>
    <t>　　近日，国外媒体曝光了小改款宝马m5车型的测试谍照。据悉，小改款宝马m5车型将在今年年内发布。　　在已经曝光的测试谍照中我们不难发现，小改款宝马m5车型并未使用全新宝马4系的超大格栅设计。全新宝马m5车型仍然采用传统双肾中网设计，并使用全新led日间行车灯。当前款宝马m5车型已推出两年，虽然很难看</t>
  </si>
  <si>
    <t>2020/02/21 13:52:00</t>
  </si>
  <si>
    <t>近日，国外媒体曝光了小改款宝马m5车型的测试谍照。据悉，小改款宝马m5车型将在今年年内发布。    在已经曝光的测试谍照中我们不难发现，小改款宝马m5车型并未使用全新宝马4系的超大格栅设计。全新宝马m5车型仍然采用传统双肾中网设计，并使用全新led日间行车灯。当前款宝马m5车型已推出两年，虽然很难看</t>
  </si>
  <si>
    <t>近日，据国外媒体报道，本田思域type r项目负责人hideki kakinoma在一次采访中表示，本田目前没有计划在思域以外的车型中推出type r版本。本田思域type r在美国大获成功，多年来，这款车型至今在美国市场中也没有任何优惠。    hideki kakinoma表示，思域type r</t>
  </si>
  <si>
    <t>2020/02/21 13:51:00</t>
  </si>
  <si>
    <t>　　近日，据国外媒体报道，本田思域type r项目负责人hideki kakinoma在一次采访中表示，本田目前没有计划在思域以外的车型中推出type r版本。本田思域type r在美国大获成功，多年来，这款车型至今在美国市场中也没有任何优惠。　　hideki kakinoma表示，思域type r</t>
  </si>
  <si>
    <t>　　近日，据国外媒体报道，达契亚公司首款电动车将亮相日内瓦车展。雷诺在2019年的财务业绩中曝光了达契亚未来两年推出纯电城市代步车、两款插混车型和四款油电混动车型的计划，此外也透露了雷诺2020年即将发布的twingo z.e。电动车、全新卡缤和梅甘娜插混车型以及全新clio油电混动车。　　达契亚和</t>
  </si>
  <si>
    <t>2020/02/21 13:50:00</t>
  </si>
  <si>
    <t>近日，据国外媒体报道，达契亚公司首款电动车将亮相日内瓦车展。雷诺在2019年的财务业绩中曝光了达契亚未来两年推出纯电城市代步车、两款插混车型和四款油电混动车型的计划，此外也透露了雷诺2020年即将发布的twingo z.e。电动车、全新卡缤和梅甘娜插混车型以及全新clio油电混动车。    达契亚和</t>
  </si>
  <si>
    <t>2020/02/21 13:48:54</t>
  </si>
  <si>
    <t>投诉编号：【448008】
投诉时间： 2020-02-21 13:35
投诉品牌： 广汽丰田
投诉车系： 凯美瑞
投诉车型： 2015款 2.0G 自动 领先版</t>
  </si>
  <si>
    <t>　　近日获悉，广汽丰田全新一代汉兰达将有望年底上市，新车于2019纽约车展首发，基于tnga架构进行打造，采用全新的外观内饰设计语言。　　 新车信息：　　1.六边形进气格栅搭配一条镀铬装饰，全新样式的大灯组内部采用了led光源，高配车型提供20英寸轮圈，新增磁性灰、夜空蓝、宝石红、琥珀棕5种全新车漆</t>
  </si>
  <si>
    <t>2020/02/21 13:46:00</t>
  </si>
  <si>
    <t>投诉编号：【448009】  投诉时间： 2020-02-21 13:46  投诉品牌： 东风日产  投诉车系： 轩逸  投诉车型： 2019款 1.6XE+ CVT 智联豪华版 经典        投诉内容  车停放半月亏电开不了及打不着火嗽叭不响等，联系了四s店，四s店员回应说，所有日产汽车超过</t>
  </si>
  <si>
    <t>近日获悉，广汽丰田全新一代汉兰达将有望年底上市，新车于2019纽约车展首发，基于tnga架构进行打造，采用全新的外观内饰设计语言。    新车信息：    1.六边形进气格栅搭配一条镀铬装饰，全新样式的大灯组内部采用了led光源，高配车型提供20英寸轮圈，新增磁性灰、夜空蓝、宝石红、琥珀棕5种全新车</t>
  </si>
  <si>
    <t>　　我们获悉，雷克萨斯旗下首款纯电动车型――ux300e或将于二季度正式上市。新车定位紧凑型suv，nedc综合续航里程400km。　　新车信息　　1.可预见的标志性设计　　通过预告图看，新车的前脸延续雷克萨斯标志性的纺锤形格栅，和“√”状led日行灯以及矩阵式led大灯；同时，在格栅下方的两侧还配</t>
  </si>
  <si>
    <t>2020/02/21 13:45:00</t>
  </si>
  <si>
    <t>我们获悉，雷克萨斯旗下首款纯电动车型——ux300e或将于二季度正式上市。新车定位紧凑型suv，nedc综合续航里程400km。    新车信息    1.可预见的标志性设计    通过预告图看，新车的前脸延续雷克萨斯标志性的纺锤形格栅，和“√”状led日行灯以及矩阵式led大灯；同时，在格栅下方的</t>
  </si>
  <si>
    <t>近日，我们获悉，世界著名的汽车零部件供应商博格华纳在近期宣布为宝马集团的直列六缸发动机提供新的双流道涡轮增压器，使用新涡轮增压器的六缸发动机功率最高可达280kW，扭矩也可以提升到550N·m。    直列六缸发动机一直都是宝马发动机乃至所有六缸发动机中的标杆，发展至今已经有近百年的历史。每一次直列</t>
  </si>
  <si>
    <t>2020/02/21 13:41:00</t>
  </si>
  <si>
    <t>　　近日，我们获悉，世界著名的汽车零部件供应商博格华纳在近期宣布为宝马集团的直列六缸发动机提供新的双流道涡轮增压器，使用新涡轮增压器的六缸发动机功率最高可达280kW，扭矩也可以提升到550N・m。　　直列六缸发动机一直都是宝马发动机乃至所有六缸发动机中的标杆，发展至今已经有近百年的历史。每一次直列</t>
  </si>
  <si>
    <t>2020年2月21日，我们获悉，大陆马牌轮胎在捐赠500万元的基础上再次追加50万元，助力一线医护人员抗击新型冠状病毒疫情。    此次大陆马牌轮胎将50万元捐款直接捐至合肥高新区的安徽医科大学第一附属医院，用于医院购置医用防护服、外科口罩、一次性手术服、消毒液等医护用品。    大陆马牌轮胎是全球</t>
  </si>
  <si>
    <t>2020/02/21 13:40:00</t>
  </si>
  <si>
    <t>　　2020年2月21日，我们获悉，大陆马牌轮胎在捐赠500万元的基础上再次追加50万元，助力一线医护人员抗击新型冠状病毒疫情。　　此次大陆马牌轮胎将50万元捐款直接捐至合肥高新区的安徽医科大学第一附属医院，用于医院购置医用防护服、外科口罩、一次性手术服、消毒液等医护用品。　　大陆马牌轮胎是全球知名</t>
  </si>
  <si>
    <t>通用汽车公司董事长兼CEO玛丽·博拉（Mary Barra）在近日的投资人大会上宣布，到2040年，通用在全球范围内使用的电力将100%从可再生能源（如风能、太阳能等）中获取。    据悉，截止2019年底，通用已建成23个完全由可再生能源驱动的站点；到2021年底，通用会将其扩展到28个以上，包括</t>
  </si>
  <si>
    <t>2020/02/21 13:38:00</t>
  </si>
  <si>
    <t>　　通用汽车公司董事长兼CEO玛丽・博拉（Mary Barra）在近日的投资人大会上宣布，到2040年，通用在全球范围内使用的电力将100%从可再生能源（如风能、太阳能等）中获取。　　据悉，截止2019年底，通用已建成23个完全由可再生能源驱动的站点；到2021年底，通用会将其扩展到28个以上，包括</t>
  </si>
  <si>
    <t>每个时代都有不同的审美标准，往前20多年，和我们朝夕相处的汽车大多还是很方方正正的模样。随着时间推移逐渐变成如今各种或凌厉或动感，线条飘逸流畅的“身材”。正所谓爱美之心人皆有之，汽车在设计上的不断变化，是为了迎合人们同样不断变化的审美，一定程度上加强自己的竞争力。特别如今是颜值即正义，在这个看脸的时</t>
  </si>
  <si>
    <t>2020/02/21 13:36:00</t>
  </si>
  <si>
    <t>轮胎对于汽车性能和驾驶安全有多重要，想必不用多说大家也都清楚。而说到轮胎，就不得不提及它的兄弟——备胎。作用备用轮胎，在日常用车能用到它的非常少，毕竟扎钉漏气、爆胎等轮胎损坏概率还是相对较少的。久而久之，被放置在后备厢或者车底的备胎慢慢地就被大家忽略了。但事实上，备胎也是需要进行养护的。备胎是有寿命</t>
  </si>
  <si>
    <t>现在的汽车都流行这些设计 你发现了吗每个时代都有不同的审美标准，往前20多年，和我们朝夕相处的汽车大多还是很方方正正的模样。随着时间推移逐渐变成如今各种或凌厉或动感，线条飘逸流畅的“身材”。正所谓爱美之心人皆有之，汽车在设计上的不断变化，是为了迎合人们同样不断变化的审美，一定程度上加强自己的竞争力。</t>
  </si>
  <si>
    <t>用得少也要养护 你后备厢里的备胎可还好轮胎对于汽车性能和驾驶安全有多重要，想必不用多说大家也都清楚。而说到轮胎，就不得不提及它的兄弟——备胎。作用备用轮胎，在日常用车能用到它的非常少，毕竟扎钉漏气、爆胎等轮胎损坏概率还是相对较少的。久而久之，被放置在后备厢或者车底的备胎慢慢地就被大家忽略了。但事实上</t>
  </si>
  <si>
    <t>如今汽车上变速器的挡位是越来越多了，从4AT到6AT、8AT、9AT甚至是10挡自动变速箱都冒了出来，这里有不少朋友都问到，变速箱是不是挡位越多越省油呢？下面我们一起来看看。首先，我们要知道6AT与9AT的工作原理的一样的，只是内部齿轮组数量不同，比如6AT表示有六个前进挡，挡位越多能组合出更多的传</t>
  </si>
  <si>
    <t>2020/02/21 13:35:00</t>
  </si>
  <si>
    <t>6AT 8AT 9AT该怎样选 哪个更省油如今汽车上变速器的挡位是越来越多了，从4AT到6AT、8AT、9AT甚至是10挡自动变速箱都冒了出来，这里有不少朋友都问到，变速箱是不是挡位越多越省油呢？下面我们一起来看看。首先，我们要知道6AT与9AT的工作原理的一样的，只是内部齿轮组数量不同，比如6AT</t>
  </si>
  <si>
    <t>跑车，对于普通的我们来说实在是遥不可及，能看到的也是它们在大马路上呼啸而过。除了炫酷的外形，跑车那独一无二的声浪就能让我们知道是什么车了。但对于岁数大对汽车不热爱的人来说，这就是噪音了，对此不少人还会有这样的疑问，为什么跑车加速时声音那么大，是故意为了引起别人注意力吗？首先，我们要知道声浪是和排气管</t>
  </si>
  <si>
    <t>2020/02/21 13:34:00</t>
  </si>
  <si>
    <t>为什么跑车的排气声音都这么大 是故意的吗跑车，对于普通的我们来说实在是遥不可及，能看到的也是它们在大马路上呼啸而过。除了炫酷的外形，跑车那独一无二的声浪就能让我们知道是什么车了。但对于岁数大对汽车不热爱的人来说，这就是噪音了，对此不少人还会有这样的疑问，为什么跑车加速时声音那么大，是故意为了引起别人</t>
  </si>
  <si>
    <t>找对来源是关键 这些常见的汽车异响你须知道随着年限增长，汽车上的各类零部件会开始出现老化、损伤，继而也伴随着各种各样问题的出现，而这其中异响是较为常见的一类，也是比较让车主们心烦、苦恼的问题。这些异响究竟是怎么产生的？该如何进行如理解决呢？今天就跟大家一同分享汽车异响的那些事，希望对大家有帮助。刹车</t>
  </si>
  <si>
    <t>2020/02/21 13:33:00</t>
  </si>
  <si>
    <t>爱车莫名抖动是怎么回事我们都知道汽车零部件随着使用时间的加长会出现老化的情况，汽车随着年龄的增大也会开始出现各式各样的问题，抖动就是较为典型的一个。当然如果在日常用车的时候也出现了抖动情况的话，也要引起重视。那么这些抖动主要有哪些表现呢？是什么原因造成抖动情况的出现呢？今天就跟大家聊聊车辆抖动的那些</t>
  </si>
  <si>
    <t>　　日前，王猛从长安马自达官方获悉，为致敬逆行而上的白衣天使，长安马自达面向全国医疗体系人员推出“医务人员购车补贴政策”。2020年2月20日-2020年6月30日（以开票日期为准），全国医疗体系从业人员及其直系亲属，购买CX-5、CX-8和昂克赛拉车型，除原有优惠基础外，均可再次享受官方指导价2%</t>
  </si>
  <si>
    <t>日前，王猛从长安马自达官方获悉，为致敬逆行而上的白衣天使，长安马自达面向全国医疗体系人员推出“医务人员购车补贴政策”。2020年2月20日-2020年6月30日（以开票日期为准），全国医疗体系从业人员及其直系亲属，购买CX-5、CX-8和昂克赛拉车型，除原有优惠基础外，均可再次享受官方指导价2%专项</t>
  </si>
  <si>
    <t>我们都知道汽车零部件随着使用时间的加长会出现老化的情况，汽车随着年龄的增大也会开始出现各式各样的问题，抖动就是较为典型的一个。当然如果在日常用车的时候也出现了抖动情况的话，也要引起重视。那么这些抖动主要有哪些表现呢？是什么原因造成抖动情况的出现呢？今天就跟大家聊聊车辆抖动的那些事。行驶过程抖动在行驶</t>
  </si>
  <si>
    <t>随着年限增长，汽车上的各类零部件会开始出现老化、损伤，继而也伴随着各种各样问题的出现，而这其中异响是较为常见的一类，也是比较让车主们心烦、苦恼的问题。这些异响究竟是怎么产生的？该如何进行如理解决呢？今天就跟大家一同分享汽车异响的那些事，希望对大家有帮助。刹车异响如果在日常踩刹车进行制动时，如果出现"</t>
  </si>
  <si>
    <t>开自动挡车的“四不准” 别只知道踩油门目前自动挡车型受到了广大消费者的青睐，特别是对于新手司机或女司机来说，简单好上手的自动挡简直是她们的福音。但往往越简单的事情，大家就越容易忽视，很多车主都觉得自动挡车只需要“一D到底”就不用管了。今天就来给大家说说开自动挡汽车的“四不准”，可别再说不知道了。不准</t>
  </si>
  <si>
    <t>2020/02/21 13:32:00</t>
  </si>
  <si>
    <t>目前自动挡车型受到了广大消费者的青睐，特别是对于新手司机或女司机来说，简单好上手的自动挡简直是她们的福音。但往往越简单的事情，大家就越容易忽视，很多车主都觉得自动挡车只需要“一D到底”就不用管了。今天就来给大家说说开自动挡汽车的“四不准”，可别再说不知道了。不准一停车就马上挂P挡自动挡在长时间泊车的</t>
  </si>
  <si>
    <t>清洗发动机积碳 添加剂和打吊瓶哪种方式更好最近有车友在我们的车友群留言，问到“清洗发动机积碳，添加剂和打吊瓶哪种方式更好？”关于这个问题，在我们的日常用车中还是比较常见的，今天我们就来分析一下，看看到底哪种清洁方式更值得推荐呢！其实，无论是使用添加剂还是打吊瓶，这两种方式都对积碳有一定的清洁作用，但</t>
  </si>
  <si>
    <t>2020/02/21 13:31:00</t>
  </si>
  <si>
    <t>最近有车友在我们的车友群留言，问到“清洗发动机积碳，添加剂和打吊瓶哪种方式更好？”关于这个问题，在我们的日常用车中还是比较常见的，今天我们就来分析一下，看看到底哪种清洁方式更值得推荐呢！其实，无论是使用添加剂还是打吊瓶，这两种方式都对积碳有一定的清洁作用，但在具体的使用过程中，两种清洁方式所适用的条</t>
  </si>
  <si>
    <t>近日，我们从特斯拉官方获得其2019年财报信息，2019年公司营业收入为245.78亿美元。其中，汽车业务营收230.47亿美元，中国市场营收29.79亿美元（约208亿人民币），与2018年相比增长了69.55%。    财报显示，中国市场营业收入为29.79亿美元，占比为12.12%，仅次于美国</t>
  </si>
  <si>
    <t>2020/02/21 13:30:00</t>
  </si>
  <si>
    <t>600个口罩不翼而飞 爱车长期停放如何防盗自肺炎疫情发生以来，各类口罩成为了广大市民最急需的物品，很多地区的药店都一度出现了断货的情况。而个别耍“小聪明”的人正是看上了这一点，想方设法从其他“渠道”获得口罩然后再以高价卖出，从中获利。日前，一名女车主报警称自己的车窗被砸，车内的600多个口罩被偷了。</t>
  </si>
  <si>
    <t>　　近日，我们从特斯拉官方获得其2019年财报信息，2019年公司营业收入为245.78亿美元。其中，汽车业务营收230.47亿美元，中国市场营收29.79亿美元（约208亿人民币），与2018年相比增长了69.55%。　　财报显示，中国市场营业收入为29.79亿美元，占比为12.12%，仅次于美国</t>
  </si>
  <si>
    <t>自肺炎疫情发生以来，各类口罩成为了广大市民最急需的物品，很多地区的药店都一度出现了断货的情况。而个别耍“小聪明”的人正是看上了这一点，想方设法从其他“渠道”获得口罩然后再以高价卖出，从中获利。日前，一名女车主报警称自己的车窗被砸，车内的600多个口罩被偷了。据报警的女子介绍，自己是从1月底开始在周边</t>
  </si>
  <si>
    <t>近日，我们了解到，科尼赛克举行了一场私人展会，展示了至少5款车型，其中包含一款代号为KG12的全新车型。据悉，新车或将限量300台发售，并有望在日内瓦车展亮相。    据看到全新车型的人士称，该车采用了环绕式挡风玻璃、玻璃发动机罩设计，还配有两面同步螺旋门。此外，这款全新车型将加入电器化动力系统，可</t>
  </si>
  <si>
    <t>2020/02/21 13:28:00</t>
  </si>
  <si>
    <t>车子长时间停放怎么办 这4个问题解决了就不怕近段时间全国人民都宅在了家，路上跑的车子也是寥寥无几，但我们经常提醒到，车子长时间停着不开，不仅电瓶亏电还会引起其他部位的损伤。对此，老司机表示：做到这4点，放再久也不用担心。电瓶车辆短期内用不到，也要隔几天把发动机启动一次，大概20分钟让蓄电池充充电，保</t>
  </si>
  <si>
    <t>　　近日，我们了解到，科尼赛克举行了一场私人展会，展示了至少5款车型，其中包含一款代号为KG12的全新车型。据悉，新车或将限量300台发售，并有望在日内瓦车展亮相。　　据看到全新车型的人士称，该车采用了环绕式挡风玻璃、玻璃发动机罩设计，还配有两面同步螺旋门。此外，这款全新车型将加入电器化动力系统，可</t>
  </si>
  <si>
    <t>近段时间全国人民都宅在了家，路上跑的车子也是寥寥无几，但我们经常提醒到，车子长时间停着不开，不仅电瓶亏电还会引起其他部位的损伤。对此，老司机表示：做到这4点，放再久也不用担心。电瓶车辆短期内用不到，也要隔几天把发动机启动一次，大概20分钟让蓄电池充充电，保证满电状态。当然在车辆熄火后，记得拔除所有的</t>
  </si>
  <si>
    <t>2020/02/21 13:26:32</t>
  </si>
  <si>
    <t>投诉编号：【448007】
投诉时间： 2020-02-21 13:25
投诉品牌： 宝马（进口）
投诉车系： 宝马X3
投诉车型： 2014款 2.0T 自动 xDrive20i 领先型 5座</t>
  </si>
  <si>
    <t>　　外媒曝光了新款奥迪e-tron 50 quattro车型在英国市场的售价，起售价为59,900英镑(约55万人民币），并将在年内开售。据悉，新车还将引入国内市场。　　外观设计上，新车整体延续简约风格，前脸进气格栅采用封闭式设计，前大灯采用LED光源，灯体内部采用“L”形布局，下方还加入多条灯带，</t>
  </si>
  <si>
    <t>2020/02/21 13:26:00</t>
  </si>
  <si>
    <t>外媒曝光了新款奥迪e-tron 50 quattro车型在英国市场的售价，起售价为59,900英镑(约55万人民币），并将在年内开售。据悉，新车还将引入国内市场。    外观设计上，新车整体延续简约风格，前脸进气格栅采用封闭式设计，前大灯采用LED光源，灯体内部采用“L”形布局，下方还加入多条灯带，</t>
  </si>
  <si>
    <t>"带头一哥"已复工 红旗疫情下销量破万</t>
  </si>
  <si>
    <t>新型冠状病毒席卷全国，牵动所有人的心，汽车厂商也因此受到了不同程度的冲击，面对疫情，各大车企相继出台了相关的应对措施并积极投入到这场战“疫”中。目前，疫情已逐渐进入“下半场”，不少车企正在筹划组织复工复产。日前，我们从一汽红旗官方获悉，红旗品牌响应政府号召，将于近期在确保做好防疫工作的前提下，有力有</t>
  </si>
  <si>
    <t>2020/02/21 13:25:00</t>
  </si>
  <si>
    <t>　　新型冠状病毒席卷全国，牵动所有人的心，汽车厂商也因此受到了不同程度的冲击，面对疫情，各大车企相继出台了相关的应对措施并积极投入到这场战“疫”中。目前，疫情已逐渐进入“下半场”，不少车企正在筹划组织复工复产。日前，我们从一汽红旗官方获悉，红旗品牌响应政府号召，将于近期在确保做好防疫工作的前提下，有</t>
  </si>
  <si>
    <t>进入2020年，雷诺纯电动车型在欧洲市场的销量实现了较大幅度的增长。我们从海外媒体获悉，2020年1月雷诺纯电动车辆在欧洲的销售量达到了10819辆，月销量首次破万。此前，纯电动车型月销量最高纪录是2019年12月创下的6947辆。    此次1月份的增长达到了137%，纯电动车占雷诺全球销量的7%</t>
  </si>
  <si>
    <t>2020/02/21 13:23:00</t>
  </si>
  <si>
    <t>　　进入2020年，雷诺纯电动车型在欧洲市场的销量实现了较大幅度的增长。我们从海外媒体获悉，2020年1月雷诺纯电动车辆在欧洲的销售量达到了10819辆，月销量首次破万。此前，纯电动车型月销量最高纪录是2019年12月创下的6947辆。　　此次1月份的增长达到了137%，纯电动车占雷诺全球销量的7%</t>
  </si>
  <si>
    <t>高岳</t>
  </si>
  <si>
    <t>投诉编号：【448006】投诉时间：2020-02-2113:19投诉品牌：东风本田投诉车系：INSPIRE投诉车型：2019款260TURBO精致版国V投诉内容车辆在行驶过程中，油门踩到1700到2000转，中控会出现类似共振异响。就感觉发动机只要用劲他就会异响。座椅下方生锈。投诉回复车质网已将您</t>
  </si>
  <si>
    <t>2020/02/21 13:19:00</t>
  </si>
  <si>
    <t>　　福特Bronco此前曾申请可拆卸车顶专利，该车上市后也将与牧马人展开正面交锋。日前，我们从海外媒体获悉，福特正在申请一项快速拆卸车门的专利，该专利将搭载于全新硬派SUV Bronco之上。此外，福特Bronco有望于下月开幕的纽约车展正式亮相。　　根据专利图可以看出，福特Bronco将会配备可拆</t>
  </si>
  <si>
    <t>2020/02/21 13:18:00</t>
  </si>
  <si>
    <t>福特Bronco此前曾申请可拆卸车顶专利，该车上市后也将与牧马人展开正面交锋。日前，我们从海外媒体获悉，福特正在申请一项快速拆卸车门的专利，该专利将搭载于全新硬派SUV Bronco之上。此外，福特Bronco有望于下月开幕的纽约车展正式亮相。    根据专利图可以看出，福特Bronco将会配备可拆</t>
  </si>
  <si>
    <t>　　J.D. Power 2020美国车辆可靠性排行榜（VDS）于日前正式发布，这是J.D. Power连续第31年在美国开展车辆可靠性研究，研究基于36,555位2017款车型的美国车主的真实反馈，衡量了这些车主在过去12个月中遇到的质量问题，涵盖八大类别的177个问题。　　我们从榜单中了解到，捷</t>
  </si>
  <si>
    <t>2020/02/21 13:10:00</t>
  </si>
  <si>
    <t>J.D. Power 2020美国车辆可靠性排行榜（VDS）于日前正式发布，这是J.D. Power连续第31年在美国开展车辆可靠性研究，研究基于36,555位2017款车型的美国车主的真实反馈，衡量了这些车主在过去12个月中遇到的质量问题，涵盖八大类别的177个问题。    我们从榜单中了解到，捷</t>
  </si>
  <si>
    <t>俗话说：工欲善其事，必先利其器。对于防控疫情的医护工作中来说，精良的装备必不可少，其中救护车就在转运病人的过程中发挥了极大的作用。近日，我们从依维柯汽车了解到，依维柯欧胜负压救护车即将在唐山交付，依维柯经销商唐山宁跃的工作人员为客户上门讲解车辆性能及优势，并将基型车开至现场，便于客户了解车型信息。在</t>
  </si>
  <si>
    <t>2020/02/21 13:09:00</t>
  </si>
  <si>
    <t>　　俗话说：工欲善其事，必先利其器。对于防控疫情的医护工作中来说，精良的装备必不可少，其中救护车就在转运病人的过程中发挥了极大的作用。近日，我们从依维柯汽车了解到，依维柯欧胜负压救护车即将在唐山交付，依维柯经销商唐山宁跃的工作人员为客户上门讲解车辆性能及优势，并将基型车开至现场，便于客户了解车型信息</t>
  </si>
  <si>
    <t xml:space="preserve">投诉编号：【448003】  投诉时间： 2020-02-21 13:09  投诉品牌： 一汽奔腾  投诉车系： 奔腾X40  投诉车型： 2019款 1.6L 手动 豪华型 国V        投诉内容  汽车冬天异响严重，发动机噪音大，哗啦哗啦响，中控台异响，右侧后车轮响。      投诉回复 </t>
  </si>
  <si>
    <t>2020/02/21 13:00:05</t>
  </si>
  <si>
    <t>投诉编号：【448002】
投诉时间： 2020-02-21 12:57
投诉品牌： 北京现代
投诉车系： 领动
投诉车型： 2018款 1.4T 双离合 炫动·活力型</t>
  </si>
  <si>
    <t>作为宝马家族偶数系列车型，其个造型设计均偏向年轻运动化，并区别于旗下奇数系列车型，为消费者提供更加个性的用车体验。近日海外媒体曝光了一组宝马全新4系渲染图，新车将于下月即将开幕的日内瓦车展上正式亮相，并有望在同年上市开售。    动力方面，新车将提供2.0T、3.0T两款涡轮增压发动机，最大功率分别</t>
  </si>
  <si>
    <t>2020/02/21 13:00:00</t>
  </si>
  <si>
    <t>　　作为宝马家族偶数系列车型，其个造型设计均偏向年轻运动化，并区别于旗下奇数系列车型，为消费者提供更加个性的用车体验。近日海外媒体曝光了一组宝马全新4系渲染图，新车将于下月即将开幕的日内瓦车展上正式亮相，并有望在同年上市开售。　　动力方面，新车将提供2.0T、3.0T两款涡轮增压发动机，最大功率分别</t>
  </si>
  <si>
    <t>在合资品牌中北京现代算是试水新能源市场比较早的企业了，从早期的伊兰特EV再到最近的昂希诺纯电动，都给人留下深刻的印象。特别是昂希诺纯电动，凭借扎实的续航能力，在市场中获得的较高的评价。提前剧透一下，北京现代开年第一款新车也是纯电动车型，而且无论设计还是配置都看点十足，将在下周正式发布上市售价，本期新</t>
  </si>
  <si>
    <t>2020/02/21 12:58:00</t>
  </si>
  <si>
    <t>　　在合资品牌中北京现代算是试水新能源市场比较早的企业了，从早期的伊兰特EV再到最近的昂希诺纯电动，都给人留下深刻的印象。特别是昂希诺纯电动，凭借扎实的续航能力，在市场中获得的较高的评价。提前剧透一下，北京现代开年第一款新车也是纯电动车型，而且无论设计还是配置都看点十足，将在下周正式发布上市售价，本</t>
  </si>
  <si>
    <t>沈根楠</t>
  </si>
  <si>
    <t>自动驾驶汽车之所以能够代替人类驾驶员探测车辆周边环境，离不开雷达传感器、摄像头等电子产品的技术支持。日前，零部件供应商海拉对外宣布，将在2020年春季开始批量生产最新的77GHz雷达传感器。公司表示，已经获得亚洲卡车和客车制造商的主要订单，未来还将为其他汽车制造商进行量产。    据悉，该雷达传感器</t>
  </si>
  <si>
    <t>2020/02/21 12:57:00</t>
  </si>
  <si>
    <t>　　自动驾驶汽车之所以能够代替人类驾驶员探测车辆周边环境，离不开雷达传感器、摄像头等电子产品的技术支持。日前，零部件供应商海拉对外宣布，将在2020年春季开始批量生产最新的77GHz雷达传感器。公司表示，已经获得亚洲卡车和客车制造商的主要订单，未来还将为其他汽车制造商进行量产。　　据悉，该雷达传感器</t>
  </si>
  <si>
    <t xml:space="preserve">投诉编号：【448001】  投诉时间： 2020-02-21 12:55  投诉品牌： 东风本田  投诉车系： 思域  投诉车型： 2016款 220TURBO 自动 尊耀版        投诉内容  厂家已经承认出厂装配轮胎存在严重质量问题，严重影响安全驾驶，但以过保拒绝。      投诉回复 </t>
  </si>
  <si>
    <t>2020/02/21 12:55:00</t>
  </si>
  <si>
    <t>日前，DS官方发布一张新车预告图。基于预告图来判断，该车或为DS 9。官方表示，新车将于2月24日正式亮相。从预告图来看，新车前脸设计较为大气，棱角分明。家族式大灯组搭配点阵式前格栅让前脸极具辨识度。上部的LED大灯造型凌厉，下部是竖直布置日行灯，整体侵略性十足。    『DS 9』    此前，我</t>
  </si>
  <si>
    <t>2020/02/21 12:54:00</t>
  </si>
  <si>
    <t>　　日前，DS官方发布一张新车预告图。基于预告图来判断，该车或为DS 9。官方表示，新车将于2月24日正式亮相。从预告图来看，新车前脸设计较为大气，棱角分明。家族式大灯组搭配点阵式前格栅让前脸极具辨识度。上部的LED大灯造型凌厉，下部是竖直布置日行灯，整体侵略性十足。　　『DS 9』　　此前，我们已</t>
  </si>
  <si>
    <t>动力电池作为电动汽车核心零部件，是消费者最为关心的问题之一。动力电池领域目前主要有三元锂和磷酸铁锂两大技术路线，其中三元锂电池应用最为广泛。日前，比亚迪宣布推出基于磷酸铁锂技术“刀片电池”，并将首发搭载计划于今年中上市的全新中大型新能源轿车比亚迪汉。有消息称，特斯拉也将在model 3车型搭载无钴磷</t>
  </si>
  <si>
    <t>2020/02/21 12:51:00</t>
  </si>
  <si>
    <t>　　动力电池作为电动汽车核心零部件，是消费者最为关心的问题之一。动力电池领域目前主要有三元锂和磷酸铁锂两大技术路线，其中三元锂电池应用最为广泛。日前，比亚迪宣布推出基于磷酸铁锂技术“刀片电池”，并将首发搭载计划于今年中上市的全新中大型新能源轿车比亚迪汉。有消息称，特斯拉也将在model 3车型搭载无</t>
  </si>
  <si>
    <t>　　日前，布加迪官方发布了一款全新的特别版Chiron Sport车型，新车名为Chiron Sport “Edition Noire Sportive”（直译为：黑色运动版），而新车也是布加迪生产的第250台Chiron。据悉，新车将在2020年3月3日开幕的日内瓦车展上正式首发。　　此前布加迪已</t>
  </si>
  <si>
    <t>2020/02/21 12:31:00</t>
  </si>
  <si>
    <t>日前，布加迪官方发布了一款全新的特别版Chiron Sport车型，新车名为Chiron Sport “Edition Noire Sportive”（直译为：黑色运动版），而新车也是布加迪生产的第250台Chiron。据悉，新车将在2020年3月3日开幕的日内瓦车展上正式首发。    此前布加迪已</t>
  </si>
  <si>
    <t>投诉编号：【448000】投诉时间：2020-02-2112:30投诉品牌：东风日产投诉车系：天籁投诉车型：2013款2.0LXL舒适版投诉内容投诉详情：1.从5000公里第一次保养开始发现：每次保养发动机机油都无故减少，烧机油。18年8月18日在4S店检测发现4000公里减少1.8升机油。那据此计</t>
  </si>
  <si>
    <t>2020/02/21 12:30:00</t>
  </si>
  <si>
    <t>　　2月20日，据外媒报道，宝马计划大规模裁减生产支出，至2022年底预计将减少20亿欧元，并同时保证不会进行裁员。宝马将优化对工厂的投资，持续提高生产流程从而降低支出，同时进一步在生产领域上扩展数字化应用。『宝马5系』　　宝马生产总监米兰?内德杰科维奇（Milan Nedeljkovic）在接受《</t>
  </si>
  <si>
    <t>2月20日，据外媒报道，宝马计划大规模裁减生产支出，至2022年底预计将减少20亿欧元，并同时保证不会进行裁员。宝马将优化对工厂的投资，持续提高生产流程从而降低支出，同时进一步在生产领域上扩展数字化应用。『宝马5系』    宝马生产总监米兰?内德杰科维奇（Milan Nedeljkovic）在接受《</t>
  </si>
  <si>
    <t xml:space="preserve">投诉编号：【447999】  投诉时间： 2020-02-21 12:28  投诉品牌： 郑州日产  投诉车系： 途达  投诉车型： 2020款 2.5L 自动 四驱 豪华版        投诉内容  郑州日产途达停车三天电瓶亏电不能启动，停车三天亏电不能启动！希望厂家可以安排工作人员尽快解决。  </t>
  </si>
  <si>
    <t>2020/02/21 12:28:00</t>
  </si>
  <si>
    <t>日前，玛莎拉蒂官方正式公布了旗下全新跑车的的正式名称，新车定名为mc20。其中，mc是maserati corse（玛莎拉蒂赛车部门）的缩写，数字20则代表着2020年。此前，我们已经报道了该车的官方谍照，新车采用中置发动机布局，并有望搭载6缸动力。同时，该车将在摩德纳工厂进行生产，并将于五月底在摩</t>
  </si>
  <si>
    <t>　　日前，玛莎拉蒂官方正式公布了旗下全新跑车的的正式名称，新车定名为mc20。其中，mc是maserati corse（玛莎拉蒂赛车部门）的缩写，数字20则代表着2020年。此前，我们已经报道了该车的官方谍照，新车采用中置发动机布局，并有望搭载6缸动力。同时，该车将在摩德纳工厂进行生产，并将于五月底</t>
  </si>
  <si>
    <t>日前，有海外媒体报道，新款现代i30将搭载全新的1.5t涡轮增压发动机，并匹配8速双离合变速箱。作为中期改款车型，新款i30将在3月3日开幕的2020年日内瓦车展中首发。    动力方面，新款现代i30搭载最新的1.5t涡轮增压发动机，最大功率162马力，相比现款车型增加22马力。新车还将继续提供1</t>
  </si>
  <si>
    <t>2020/02/21 12:23:00</t>
  </si>
  <si>
    <t>　　日前，有海外媒体报道，新款现代i30将搭载全新的1.5t涡轮增压发动机，并匹配8速双离合变速箱。作为中期改款车型，新款i30将在3月3日开幕的2020年日内瓦车展中首发。　　动力方面，新款现代i30搭载最新的1.5t涡轮增压发动机，最大功率162马力，相比现款车型增加22马力。新车还将继续提供1</t>
  </si>
  <si>
    <t>日前，新晋跑车品牌apex又释放了更多纯电动超跑ap-0的预告图和信息，该车将搭载高级驾驶辅助系统和ar赛道讲解，以便帮助驾驶员进行赛道驾驶学习。据悉，该车将在3月3日举办的2020日内瓦车展上正式亮相。    这次释放的预告图来自车辆的细节，结合之前的预告图，可以看出该图为车辆顶部的细节，我们可以</t>
  </si>
  <si>
    <t>2020/02/21 12:21:00</t>
  </si>
  <si>
    <t>　　日前，新晋跑车品牌apex又释放了更多纯电动超跑ap-0的预告图和信息，该车将搭载高级驾驶辅助系统和ar赛道讲解，以便帮助驾驶员进行赛道驾驶学习。据悉，该车将在3月3日举办的2020日内瓦车展上正式亮相。　　这次释放的预告图来自车辆的细节，结合之前的预告图，可以看出该图为车辆顶部的细节，我们可以</t>
  </si>
  <si>
    <t>根据大众集团官方日前公布的数据，2020年1月，大众集团全球累计交付83.7万辆新车，同比下降5.2%。    从品牌来看，奥迪、西雅特、保时捷三大品牌开年销量均实现正向增长。奥迪品牌1月全球销量14.7万辆，同比增长1.8%；保时捷销量1.99万辆，同比涨5.8%；西雅特销量为4.9万辆，同比增长</t>
  </si>
  <si>
    <t>2020/02/21 12:20:00</t>
  </si>
  <si>
    <t>　　根据大众集团官方日前公布的数据，2020年1月，大众集团全球累计交付83.7万辆新车，同比下降5.2%。　　从品牌来看，奥迪、西雅特、保时捷三大品牌开年销量均实现正向增长。奥迪品牌1月全球销量14.7万辆，同比增长1.8%；保时捷销量1.99万辆，同比涨5.8%；西雅特销量为4.9万辆，同比增长</t>
  </si>
  <si>
    <t>投诉编号：【447996】  投诉时间： 2020-02-21 12:18  投诉品牌： 长安汽车  投诉车系： 锐程CC  投诉车型： 2020款 1.5T 自动 潮锐型        投诉内容  发动机启动那一刻车内感觉明显抖动，都可以看得到方向盘抖，大概引擎盖启动发动机，明显感到抖动，发动机噪</t>
  </si>
  <si>
    <t>2020/02/21 12:18:00</t>
  </si>
  <si>
    <t>投诉编号：【447994】  投诉时间： 2020-02-21 12:06  投诉品牌： 上汽集团  投诉车系： 名爵6  投诉车型： 2017款 20T 自动 尊享互联网版 国V        投诉内容  后视镜电动折叠时灵时不灵，主驾驶一键升降失灵。      投诉回复  车质网已将您的投诉转给</t>
  </si>
  <si>
    <t>2020/02/21 12:06:00</t>
  </si>
  <si>
    <t>投诉编号：【447990】  投诉时间： 2020-02-21 11:38  投诉品牌： 江淮汽车  投诉车系： 瑞风S3  投诉车型： 2014款 1.5L CVT 豪华智能型        投诉内容  江淮瑞风S3车内异味，已经投诉了有异味，说是答复我，扯淡，根本无人联系我，车内还是异味很大，用</t>
  </si>
  <si>
    <t>2020/02/21 11:38:00</t>
  </si>
  <si>
    <t>　　近日我们从相关渠道获悉，上汽大众viloran（巍昂）将于今年二季度正式上市，作为上汽大众首款采用大众品牌新标识的车型，viloran采用了最新的家族化设计语言，动力方面将搭载2.0t高功率发动机，定位为一款主打商务的mpv车型。　　造型方面，viloran采用了新家族式设计语言，搭配较为低矮的</t>
  </si>
  <si>
    <t>2020/02/21 11:27:00</t>
  </si>
  <si>
    <t>近日我们从相关渠道获悉，上汽大众viloran（巍昂）将于今年二季度正式上市，作为上汽大众首款采用大众品牌新标识的车型，viloran采用了最新的家族化设计语言，动力方面将搭载2.0t高功率发动机，定位为一款主打商务的mpv车型。    造型方面，viloran采用了新家族式设计语言，搭配较为低矮的</t>
  </si>
  <si>
    <t>　　近日，我们从相关渠道获悉了一组大众途观r的路试谍照。与普通版车型相比，途观r采用了更加夸张的运动套件。在动力方面，据悉新车有望搭载与全新高尔夫r同款发动机。　　外观方面，途观r车型与普通版途观车型差别不大，途观r采用了更加夸张的运动套件，下格栅的进气口尺寸更大，一方面能够提升车子性能，一方面营造</t>
  </si>
  <si>
    <t>2020/02/21 11:26:00</t>
  </si>
  <si>
    <t>近日，我们从相关渠道获悉了一组大众途观r的路试谍照。与普通版车型相比，途观r采用了更加夸张的运动套件。在动力方面，据悉新车有望搭载与全新高尔夫r同款发动机。    外观方面，途观r车型与普通版途观车型差别不大，途观r采用了更加夸张的运动套件，下格栅的进气口尺寸更大，一方面能够提升车子性能，一方面营造</t>
  </si>
  <si>
    <t>　　据路透社最新报道，大众与德国消费者保护组织已同意恢复谈判，并期待就大众柴油发动机排气门引发的集体诉讼达成合解协议。　　此前，大众已经承认在2015年使用非法作弊软件通过美国柴油发动机的测试，这一排气门丑闻被业内广泛关注，大众公司也因此在汽车改装、罚款和准备金方面损失超过300亿美元（约合2106</t>
  </si>
  <si>
    <t>2020/02/21 11:25:00</t>
  </si>
  <si>
    <t>据路透社最新报道，大众与德国消费者保护组织已同意恢复谈判，并期待就大众柴油发动机排气门引发的集体诉讼达成合解协议。    此前，大众已经承认在2015年使用非法作弊软件通过美国柴油发动机的测试，这一排气门丑闻被业内广泛关注，大众公司也因此在汽车改装、罚款和准备金方面损失超过300亿美元（约合2106</t>
  </si>
  <si>
    <t>　　据彭博社报道，捷豹路虎已经搁置了在美国发行债券的计划。知情人士表示，这主要是由于投资者要求的利率过高，以补偿新型冠状病毒疫情给这家豪华汽车制造商带来的风险。　　上周，捷豹路虎聘请了美国银行美林（bank of america merrill lynch）在美国与投资者见面，以发行可能的新债券，而</t>
  </si>
  <si>
    <t>李晓红</t>
  </si>
  <si>
    <t>2020/02/21 11:24:00</t>
  </si>
  <si>
    <t>据彭博社报道，捷豹路虎已经搁置了在美国发行债券的计划。知情人士表示，这主要是由于投资者要求的利率过高，以补偿新型冠状病毒疫情给这家豪华汽车制造商带来的风险。    上周，捷豹路虎聘请了美国银行美林（bank of america merrill lynch）在美国与投资者见面，以发行可能的新债券，而</t>
  </si>
  <si>
    <t>自动挡，P挡停车中，车辆指示灯亮，车辆一键启动无法启动，也无法熄灭指示灯，怎么解决？</t>
  </si>
  <si>
    <t>2020/02/21 11:23:24</t>
  </si>
  <si>
    <t>　　今年受疫情肆虐的影响，让我们感受到了超长的春节假期，这个假期对于我们生活、工作着实造成了诸多不便，也使得全国人民变得比以往更加注重健康安全。疫情慢慢得到有效控制，大部分人都开始复工，但对于出行的健康安全着实成为聚焦点。　　在当下疫情氛围严峻的情况下，绿色的出行方式已经暂时被搁浅，更多的是鼓励私家</t>
  </si>
  <si>
    <t>2020/02/21 11:23:00</t>
  </si>
  <si>
    <t>2019年，丰田在国内推出了插电式混合动力车型—卡罗拉双擎e /雷凌双擎e ，这其中有基于市场环境作出的考虑，也有政策上的推动。而从大方向来讲，发力新能源市场是丰田在国内下一阶段的工作重点，这两款车便是丰田布局国内新能源市场的开始。根据计划，丰田到2025年将推出一大批新能源产品，尽可能的占领市场。</t>
  </si>
  <si>
    <t>2020/02/21 11:21:00</t>
  </si>
  <si>
    <t>　　2019年，丰田在国内推出了插电式混合动力车型―卡罗拉双擎e /雷凌双擎e ，这其中有基于市场环境作出的考虑，也有政策上的推动。而从大方向来讲，发力新能源市场是丰田在国内下一阶段的工作重点，这两款车便是丰田布局国内新能源市场的开始。根据计划，丰田到2025年将推出一大批新能源产品，尽可能的占领市</t>
  </si>
  <si>
    <t>崔立东同学</t>
  </si>
  <si>
    <t>求推荐几款省油suv，大约13万14万左右。</t>
  </si>
  <si>
    <t>2020/02/21 11:20:04</t>
  </si>
  <si>
    <t>投诉编号：【447987】  投诉时间： 2020-02-21 11:20  投诉品牌： 北京现代  投诉车系： 瑞纳  投诉车型： 2013款 1.4 自动 标准型 GL 三厢        投诉内容  两侧底边严重自行生锈，在外部没有受损的情况下，先鼓包从里面开始生锈，然后锈穿，质量差到极点，望</t>
  </si>
  <si>
    <t>2020/02/21 11:20:00</t>
  </si>
  <si>
    <t>近期即将上市新车这么多，有你期待的吗？按照以往的惯例，开年之后必定将会有一大波新车浪潮，还不乏许多重磅车型。然而，由于今年年初新型冠状病毒肺炎疫情的影响，同时各地也出台了各项疫情防控措施的通告，通过多种方式减少人员流动和聚集，遏制病毒的持续传播，原定于年后的新车发布会、新车试驾/品鉴会等等这些大型活</t>
  </si>
  <si>
    <t>2020/02/21 11:18:00</t>
  </si>
  <si>
    <t>BBA中挑一台大型豪华轿车，您会中意谁呢在豪华D级轿车细分市场中，奔驰S，宝马7系、奥迪A8 一直以来位居第一阵营，自从7系改款后价格没上款优惠力度高，表现平平，A8呢这几年一直排在BBA最后位。在国内前面二者总是被认为档次不如奔驰S级，同样都是德系豪华品牌，照说，这三个品牌应该是旗鼓相当的，而且它</t>
  </si>
  <si>
    <t>按照以往的惯例，开年之后必定将会有一大波新车浪潮，还不乏许多重磅车型。然而，由于今年年初新型冠状病毒肺炎疫情的影响，同时各地也出台了各项疫情防控措施的通告，通过多种方式减少人员流动和聚集，遏制病毒的持续传播，原定于年后的新车发布会、新车试驾/品鉴会等等这些大型活动基本上是都取消了。活动短时间内是举办</t>
  </si>
  <si>
    <t>在豪华D级轿车细分市场中，奔驰S，宝马7系、奥迪A8 一直以来位居第一阵营，自从7系改款后价格没上款优惠力度高，表现平平，A8呢这几年一直排在BBA最后位。在国内前面二者总是被认为档次不如奔驰S级，同样都是德系豪华品牌，照说，这三个品牌应该是旗鼓相当的，而且它们三者旗下的其它车型也都不相上下，为啥在</t>
  </si>
  <si>
    <t>二胎家庭用车推荐：侧滑门是终极神器？这是最近我一直回答的问题，因为我发现身边有二胎的家庭或者准备要二胎的家庭越来越多，他们或多或少都有一些选车的烦恼，比如7座MPV和7座SUV不知道怎么选、232和223两种座椅排列哪个比较好、能不能选个5座车型多人的时候临时挤一下之类的这些问题。大家的疑问有一定的</t>
  </si>
  <si>
    <t>2020/02/21 11:17:00</t>
  </si>
  <si>
    <t>这两个信号，将使2020年MPV市场进一步升温说到国内的MPV市场，这两年的发展有目共睹。车型推出速度之快，功能性也更加细致化。当然，能够支撑这一现象的因素有很多，比如二胎政策的开放，对大空间的需求等。我身边就有一个很现实的例子，我的发小去年有了第二个宝宝。他的那辆SUV无论是从乘坐人数上，还是从储</t>
  </si>
  <si>
    <t>说到国内的MPV市场，这两年的发展有目共睹。车型推出速度之快，功能性也更加细致化。当然，能够支撑这一现象的因素有很多，比如二胎政策的开放，对大空间的需求等。我身边就有一个很现实的例子，我的发小去年有了第二个宝宝。他的那辆SUV无论是从乘坐人数上，还是从储物空间上都已经不能满足他们一家人的出行所需。而</t>
  </si>
  <si>
    <t>这是最近我一直回答的问题，因为我发现身边有二胎的家庭或者准备要二胎的家庭越来越多，他们或多或少都有一些选车的烦恼，比如7座MPV和7座SUV不知道怎么选、232和223两种座椅排列哪个比较好、能不能选个5座车型多人的时候临时挤一下之类的这些问题。大家的疑问有一定的共性，所以我归纳了一下选7座车的几种</t>
  </si>
  <si>
    <t>　　在疫情期间，我们做了很多直播的内容，相比图文内容来说，直播有更多和网友们互动的机会，也更能听到大家的想法和心声。这不，在前天的直播中，就有网友提出了“灵魂拷问”：　　 “价格几乎差不多，广汽传祺的gs4和gs5我到底该买哪个呢？”　　从传祺gs4和gs5的指导价来看，确实有大部分的重叠，特别是在</t>
  </si>
  <si>
    <t>近些年国内SUV市场异常火爆，SUV车型也受到各个年龄段消费者的喜爱。而在这个竞争激烈且趋于成熟的市场环境中，各个厂商都不缺拿的出手的“杰出”车型。今天笔者就精选了“日美德法”四款口碑不错，且综合实力很强的SUV，在这里让它们来个相互“厮杀”，看看谁最终能得到你的认可？日系代表：广汽三菱欧蓝德官方售</t>
  </si>
  <si>
    <t>2020/02/21 11:16:00</t>
  </si>
  <si>
    <t>MPV领域在我国一直都是受到冷遇的领域，许多人宁愿去买SUV也不买MPV，当然这里面的原因很多，有的人觉得MPV长的就像面包车，有的人觉得SUV更实用一些，但在我国广袤的农村中，有一款MPV却成为许多人的好伙伴，它虽然卖的比较便宜，但2019年全年销量却超过了国产神车哈弗H6，而这款比H6还神的车，</t>
  </si>
  <si>
    <t>20万元级“日美德法”四大杰出SUV大比拼近些年国内SUV市场异常火爆，SUV车型也受到各个年龄段消费者的喜爱。而在这个竞争激烈且趋于成熟的市场环境中，各个厂商都不缺拿的出手的“杰出”车型。今天笔者就精选了“日美德法”四款口碑不错，且综合实力很强的SUV，在这里让它们来个相互“厮杀”，看看谁最终能得</t>
  </si>
  <si>
    <t>最值得买MPV，全年销量甩别克GL8MPV领域在我国一直都是受到冷遇的领域，许多人宁愿去买SUV也不买MPV，当然这里面的原因很多，有的人觉得MPV长的就像面包车，有的人觉得SUV更实用一些，但在我国广袤的农村中，有一款MPV却成为许多人的好伙伴，它虽然卖的比较便宜，但2019年全年销量却超过了国产</t>
  </si>
  <si>
    <t>韩系品牌以往比上不足，比下有余，奈何管理层过于自我膨胀，加上自主品牌崛起，以及一塌糊涂的运营管理，原本百万销量梦，如今却逐渐被边缘化。只是瘦死的骆驼比马大，哪怕销售量大幅下滑，高打性价比的韩系产品，其产品力也是不错，不然消费者又怎么会买账。而起亚最近公布全新一代索兰托就是其中之一。全新一代索兰托在造</t>
  </si>
  <si>
    <t>2020/02/21 11:15:00</t>
  </si>
  <si>
    <t>由于这次疫情的影响，本来二月份有不少新车型要上市，但现在已有不少车型选择了延期或改线上市，不过依然还是有不少新车型上市，今天小编就给大家盘点三款已上市的高端SUV，相信你一定有你心仪车型。宝马X5 xDrive45e宝马X5 xDrive45e是宝马X5的混动版车型，新车搭载了3.0T直列六缸发动机</t>
  </si>
  <si>
    <t>　　近段时间，新冠疫情一定是全民最为关心的话题，好消息是这几天全国省份的确诊感染人数逐渐减少，可见在国家的大力管控下，现阶段病毒的传播已经得到了抑制，而戴口罩、减少出门是最有效的防控手段，那么相信在疫情结束之后，很多家庭也都考虑购入一辆能提供出行私密性的车辆，给出行带来更多的安全性。个人觉得10万左</t>
  </si>
  <si>
    <t>二月新车盘点，高端SUV这三款不要错过由于这次疫情的影响，本来二月份有不少新车型要上市，但现在已有不少车型选择了延期或改线上市，不过依然还是有不少新车型上市，今天小编就给大家盘点三款已上市的高端SUV，相信你一定有你心仪车型。宝马X5 xDrive45e宝马X5 xDrive45e是宝马X5的混动版</t>
  </si>
  <si>
    <t>7座SUV不香了 它出现会刺激到你吗？韩系品牌以往比上不足，比下有余，奈何管理层过于自我膨胀，加上自主品牌崛起，以及一塌糊涂的运营管理，原本百万销量梦，如今却逐渐被边缘化。只是瘦死的骆驼比马大，哪怕销售量大幅下滑，高打性价比的韩系产品，其产品力也是不错，不然消费者又怎么会买账。而起亚最近公布全新一代</t>
  </si>
  <si>
    <t>30多万SUV，舒适、省油、保值虽然最近买不了车，但咱可以在家网上看车，30多万的预算，买个啥SUV好呢？别急，今天我就给大家介绍几款，舒适、省油、保值、冲牌面的都有。1.别克 昂科旗这个级别，如果你想买一辆乘坐舒适的SUV车型，昂科旗没上市之前我会推荐途昂，因为它大。不过昂科旗出现了，途昂在舒适性</t>
  </si>
  <si>
    <t>2020/02/21 11:14:00</t>
  </si>
  <si>
    <t>大部分男性朋友选车时都热衷于稍微大一点的SUV，不仅周末能带一家人去郊游，还能越野。目前国内市场卖的比较好的SUV，有丰田的普拉多，别克的昂科旗还有我们熟悉的大众途昂。但作为这个级别的销量冠军，确实很难能找到和途昂相竞争的产品，据悉目前其有着不少的优惠力度。外观上，途昂有着巨无霸之称。整体设计继承了</t>
  </si>
  <si>
    <t>虽然最近买不了车，但咱可以在家网上看车，30多万的预算，买个啥SUV好呢？别急，今天我就给大家介绍几款，舒适、省油、保值、冲牌面的都有。1.别克 昂科旗这个级别，如果你想买一辆乘坐舒适的SUV车型，昂科旗没上市之前我会推荐途昂，因为它大。不过昂科旗出现了，途昂在舒适性方面表现就稍显逊色了。了解别克的</t>
  </si>
  <si>
    <t>号称“真七座”SUV，空间完胜普拉多大部分男性朋友选车时都热衷于稍微大一点的SUV，不仅周末能带一家人去郊游，还能越野。目前国内市场卖的比较好的SUV，有丰田的普拉多，别克的昂科旗还有我们熟悉的大众途昂。但作为这个级别的销量冠军，确实很难能找到和途昂相竞争的产品，据悉目前其有着不少的优惠力度。外观上</t>
  </si>
  <si>
    <t>20万元级各车型最值得推荐的车导购20万左右应该是很多家庭的购车预算了，这个价格的车无论是外观内饰，还是空间动力都可以很让人满意了。当疫情被我们打败之后，很多积攒许久的购车需求将会逐步释放，那么手握20万左右想要买车的话，哪些车最值得推荐呢？看看我们的选择。 轿车如果让我自己买车的话，我会选择广汽本</t>
  </si>
  <si>
    <t>2020/02/21 11:13:00</t>
  </si>
  <si>
    <t>20万左右应该是很多家庭的购车预算了，这个价格的车无论是外观内饰，还是空间动力都可以很让人满意了。当疫情被我们打败之后，很多积攒许久的购车需求将会逐步释放，那么手握20万左右想要买车的话，哪些车最值得推荐呢？看看我们的选择。 轿车如果让我自己买车的话，我会选择广汽本田的雅阁，混合动力版本的，当然东风</t>
  </si>
  <si>
    <t>全新一代起亚k5可以说是起亚在今年最让人期待的一款车型，这款新车不同于上两代车型，尤其是在外观造型方面，有着翻天覆地般的变化。所以本篇文章，将为大家详细讲解一下它在外观方面的亮点设计，并看一下海外媒体对它的评价。</t>
  </si>
  <si>
    <t>　　全新一代起亚k5可以说是起亚在今年最让人期待的一款车型，这款新车不同于上两代车型，尤其是在外观造型方面，有着翻天覆地般的变化。所以本篇文章，将为大家详细讲解一下它在外观方面的亮点设计，并看一下海外媒体对它的评价。</t>
  </si>
  <si>
    <t>蒋一鸣</t>
  </si>
  <si>
    <t>投诉编号：【447986】投诉时间：2020-02-2111:10投诉品牌：东风本田投诉车系：思域投诉车型：2016款220TURBO手动豪华版投诉内容前轮轮胎严重掉皮，一块一块的掉，明显质量问题，买这车的都有这问题，底盘异响一万多公里开始响，走烂路格叽格叽响，现在快四万公里依然没有解决好，已经解决</t>
  </si>
  <si>
    <t>2020/02/21 11:10:00</t>
  </si>
  <si>
    <t>投诉编号：【447984】  投诉时间： 2020-02-21 11:08  投诉品牌： 吉利汽车  投诉车系： 帝豪GS  投诉车型： 2016款 1.3T 自动 臻尚型 优雅版        投诉内容  第一次出现是显示发动机故障，熄火重启后故障灯消失，可正常行驶；此故障出现有三四次后，在正常行</t>
  </si>
  <si>
    <t>2020/02/21 11:08:00</t>
  </si>
  <si>
    <t>　　在豪华B级车市场中，始终进行着“殊死搏斗”，宝马3系、奔驰C级和奥迪A4L成为了大部分消费者绕不开的选择，但几个月前全新3系的出现打破了这一局面，更运动、更豪华、更实用成为新车的标签，也迅速将竞争对手斩于马下。今天探店小分队便来到宝马4S店为您带来宝马3系的终端优惠线索。　　宝马前端装配了许多传</t>
  </si>
  <si>
    <t>2020/02/21 11:07:00</t>
  </si>
  <si>
    <t>提及本田雅阁想必大家并不陌生，该款车型早于2004年在华国产上市开售。去年全年本田雅阁在华累计销量达到了223,706，位居合资中型轿车第一的宝座，并超越同级对手大众帕萨特、丰田凯美瑞等车型。目前本田十代雅阁混动版已于今日在日本本土正式上市，新车海外市场售价为4,650,000日元（约为30万人民币</t>
  </si>
  <si>
    <t>2020/02/21 11:05:00</t>
  </si>
  <si>
    <t>　　提及本田雅阁想必大家并不陌生，该款车型早于2004年在华国产上市开售。去年全年本田雅阁在华累计销量达到了223,706，位居合资中型轿车第一的宝座，并超越同级对手大众帕萨特、丰田凯美瑞等车型。目前本田十代雅阁混动版已于今日在日本本土正式上市，新车海外市场售价为4,650,000日元（约为30万人</t>
  </si>
  <si>
    <t>　　作为大众旗下一代历久弥新的车型，高尔夫凭借着个性的外观以及出色的驾控性在业界圈粉无数，而更高性能的高尔夫GTI凭借着不错的动力水平和相比于高尔夫R更亲民的价格，成为不少车迷追求的目标。近日，有海外媒体曝光了高尔夫GTI的照片，它将于下月举办的日内瓦车展与消费者见面。　　外观方面，新车前脸继续采用</t>
  </si>
  <si>
    <t>2020/02/21 11:04:00</t>
  </si>
  <si>
    <t>作为大众旗下一代历久弥新的车型，高尔夫凭借着个性的外观以及出色的驾控性在业界圈粉无数，而更高性能的高尔夫GTI凭借着不错的动力水平和相比于高尔夫R更亲民的价格，成为不少车迷追求的目标。近日，有海外媒体曝光了高尔夫GTI的照片，它将于下月举办的日内瓦车展与消费者见面。    外观方面，新车前脸继续采用</t>
  </si>
  <si>
    <t>　　沃尔沃现在在华销售的主力车型有T3、T4、T5、T6、T8五种动力版本。其中，除T8车型为混合动力版本，其他动力总成都单纯依靠燃油，而这样的动力总成放在当下，和沃尔沃数年前对外宣布的策略是背道而驰的。　　沃尔沃很早以前就已经宣布，从2020年起将不再生产纯燃油车型，当然，这句话严格来说是为自己留</t>
  </si>
  <si>
    <t>2020/02/21 11:03:00</t>
  </si>
  <si>
    <t>沃尔沃现在在华销售的主力车型有T3、T4、T5、T6、T8五种动力版本。其中，除T8车型为混合动力版本，其他动力总成都单纯依靠燃油，而这样的动力总成放在当下，和沃尔沃数年前对外宣布的策略是背道而驰的。    沃尔沃很早以前就已经宣布，从2020年起将不再生产纯燃油车型，当然，这句话严格来说是为自己留</t>
  </si>
  <si>
    <t>投诉编号：【447981】投诉时间：2020-02-2110:59投诉品牌：上汽大众投诉车系：帕萨特投诉车型：2019款280TSI商务版国VI投诉内容机油烧的厉害，每次都到机油尺尖端位置，离合器8000公里已经更换，4s店让做机油消耗每次都说超过正常一点，烧的不算厉害，但是每次机油尺都到最下端，这</t>
  </si>
  <si>
    <t>2020/02/21 10:59:00</t>
  </si>
  <si>
    <t>投诉编号：【447980】  投诉时间： 2020-02-21 10:57  投诉品牌： 一汽-大众  投诉车系： 速腾  投诉车型： 2018款 280TSI DSG熠动版        投诉内容  刹车时候出现尖锐刺耳声音，前进刹车或者倒车刹车会出现刹车卡钳咯噔咯噔异响，检测说正常，我真不知道你</t>
  </si>
  <si>
    <t>2020/02/21 10:57:00</t>
  </si>
  <si>
    <t>　　瑞典某地，两辆伪装度非常低的测试车正在一前一后行驶。正慵懒地喝着下午茶的某海外媒体赶紧放下手中的咖啡端起了相机。稍微了解点奔驰的人都能一眼看出，这是一台全新gla和一台glb。　　虽然gla还没有量产，但此时和glb一起出现在寒冷的北极圈内，事情显然没有那么简单。很快媒体就从不“冒烟”的车尾判断</t>
  </si>
  <si>
    <t>甄强zq</t>
  </si>
  <si>
    <t>2020/02/21 10:55:00</t>
  </si>
  <si>
    <t>瑞典某地，两辆伪装度非常低的测试车正在一前一后行驶。正慵懒地喝着下午茶的某海外媒体赶紧放下手中的咖啡端起了相机。稍微了解点奔驰的人都能一眼看出，这是一台全新gla和一台glb。    虽然gla还没有量产，但此时和glb一起出现在寒冷的北极圈内，事情显然没有那么简单。很快媒体就从不“冒烟”的车尾判断</t>
  </si>
  <si>
    <t>近日，捷豹路虎发布了一款新自动概念车project vector，这家公司希望从2021年让其开始上路。 据悉，project vector没有借用现有的汽车平台、避开了捷豹路虎车库里的suv和高性能汽车，其是基于一种全新的方式打造。    外观方面自动概念车project vector，有着像是胶</t>
  </si>
  <si>
    <t>2020/02/21 10:50:00</t>
  </si>
  <si>
    <t>　　近日，捷豹路虎发布了一款新自动概念车project vector，这家公司希望从2021年让其开始上路。 据悉，project vector没有借用现有的汽车平台、避开了捷豹路虎车库里的suv和高性能汽车，其是基于一种全新的方式打造。　　外观方面自动概念车project vector，有着像是胶</t>
  </si>
  <si>
    <t>王昊</t>
  </si>
  <si>
    <t>投诉编号：【447976】  投诉时间： 2020-02-21 10:50  投诉品牌： 上汽集团  投诉车系： 名爵6  投诉车型： 2018款 20T 自动 精英智联版 国VI        投诉内容  上汽名爵6变速箱无法提速，高速上忽然失速，踩油门没反应，而且还有异响情况，各种故障码报出来，</t>
  </si>
  <si>
    <t>梅赛德斯-奔驰公司向来以高超的造车技术而举世闻名，但除了汽车之外，偶尔也会与其他公司合作推出水上以及空中交通工具产品，例如在2013年奔驰旗下高性能部门amg就在迈阿密国际游艇展中，与美国游艇制造商cigarette racing team合作，推出了一款名为cigarette 42’ huntre</t>
  </si>
  <si>
    <t>2020/02/21 10:49:00</t>
  </si>
  <si>
    <t>　　梅赛德斯-奔驰公司向来以高超的造车技术而举世闻名，但除了汽车之外，偶尔也会与其他公司合作推出水上以及空中交通工具产品，例如在2013年奔驰旗下高性能部门amg就在迈阿密国际游艇展中，与美国游艇制造商cigarette racing team合作，推出了一款名为cigarette 42’ hunt</t>
  </si>
  <si>
    <t>投诉编号：【447975】  投诉时间： 2020-02-21 10:48  投诉品牌： 领克汽车  投诉车系： 领克01  投诉车型： 2017款 2.0T 自动 两驱 耀Pro        投诉内容  买车不到一年启停不能用，说是电瓶亏电，不能用启停就算了，没想到过年回家直接车都打不着了，疫情</t>
  </si>
  <si>
    <t>2020/02/21 10:48:00</t>
  </si>
  <si>
    <t>众多品牌和厂商还是于近日陆续公布了2020年1月份新车销量成绩，虽然有春节假期以及突发疫情的双重不利因素叠加，但本田在华依然实现了同比9.8%的增长。从合资公司表现看，广汽本田销量7.6万辆，同比微增0.6%；东风本田则销售7.4万辆，同比增长21.3%。    另据消息，本田计划在今年将在华汽车年</t>
  </si>
  <si>
    <t>2020/02/21 10:47:00</t>
  </si>
  <si>
    <t>　　众多品牌和厂商还是于近日陆续公布了2020年1月份新车销量成绩，虽然有春节假期以及突发疫情的双重不利因素叠加，但本田在华依然实现了同比9.8%的增长。从合资公司表现看，广汽本田销量7.6万辆，同比微增0.6%；东风本田则销售7.4万辆，同比增长21.3%。　　另据消息，本田计划在今年将在华汽车年</t>
  </si>
  <si>
    <t xml:space="preserve">据彭博社报道，法国对雷诺前董事长卡洛斯.戈恩（carlos ghosn）的调查重点将放在与阿曼经销商的往来以及旅行和活动支出上。    巴黎附近南泰尔的检察官已经将此案交给了拥有更广泛调查权力的调查法官。根据一名检察官周三的声明，法官将对戈恩涉嫌滥用公司资金、严重违反信任、伪造文件和洗钱进行调查。 </t>
  </si>
  <si>
    <t>2020/02/21 10:44:00</t>
  </si>
  <si>
    <t>　　据彭博社报道，法国对雷诺前董事长卡洛斯.戈恩（carlos ghosn）的调查重点将放在与阿曼经销商的往来以及旅行和活动支出上。　　巴黎附近南泰尔的检察官已经将此案交给了拥有更广泛调查权力的调查法官。根据一名检察官周三的声明，法官将对戈恩涉嫌滥用公司资金、严重违反信任、伪造文件和洗钱进行调查。　</t>
  </si>
  <si>
    <t>李硕</t>
  </si>
  <si>
    <t>　　据路透社援引一位消息人士报道，大众汽车再次推迟了是否在土耳其建厂的决定。　　去年10月，该公司已经首次推迟了这一投资13亿欧元（约合14亿美元）兴建汽车工厂的计划，原因是土耳其在叙利亚北部的军事行动引发了政治动荡。　　上述熟悉大众汽车讨论的知情人士表示：“我们仍有时间，肯定能在年中做出决定。”　</t>
  </si>
  <si>
    <t>2020/02/21 10:39:00</t>
  </si>
  <si>
    <t>据路透社援引一位消息人士报道，大众汽车再次推迟了是否在土耳其建厂的决定。    去年10月，该公司已经首次推迟了这一投资13亿欧元（约合14亿美元）兴建汽车工厂的计划，原因是土耳其在叙利亚北部的军事行动引发了政治动荡。    上述熟悉大众汽车讨论的知情人士表示：“我们仍有时间，肯定能在年中做出决定。</t>
  </si>
  <si>
    <t>　　据本田官方发布公告称，从2020年4月1日起，该公司将继续推进公司的管理结构，使公司能够以更快的速度和更大的灵活性应对商业环境的变化。　　在一些列的人事变动中，本田常务执行董事兼中国本部长水野泰秀（mizuno yasuhide）将于2020年4月1日退任中国本部长，出任本田总部汽车事业本部长。</t>
  </si>
  <si>
    <t>2020/02/21 10:37:00</t>
  </si>
  <si>
    <t>据本田官方发布公告称，从2020年4月1日起，该公司将继续推进公司的管理结构，使公司能够以更快的速度和更大的灵活性应对商业环境的变化。    在一些列的人事变动中，本田常务执行董事兼中国本部长水野泰秀（mizuno yasuhide）将于2020年4月1日退任中国本部长，出任本田总部汽车事业本部长。</t>
  </si>
  <si>
    <t>据彭博社报道，根据提交给美国证券交易委员会（sec）的文件显示，埃隆·马斯克在情人节当天斥资1000万美元购买了13037股特斯拉股票。    文件显示，马斯克以每股767美元的平均价格购买了该公司的股票，这使他的持股增至3410万股，相当于特斯拉18.5%的股份。特斯拉股价今年已飙升逾一倍，周三收</t>
  </si>
  <si>
    <t>2020/02/21 10:36:00</t>
  </si>
  <si>
    <t>　　据彭博社报道，根据提交给美国证券交易委员会（sec）的文件显示，埃隆・马斯克在情人节当天斥资1000万美元购买了13037股特斯拉股票。　　文件显示，马斯克以每股767美元的平均价格购买了该公司的股票，这使他的持股增至3410万股，相当于特斯拉18.5%的股份。特斯拉股价今年已飙升逾一倍，周三收</t>
  </si>
  <si>
    <t xml:space="preserve">投诉编号：【447974】  投诉时间： 2020-02-21 10:34  投诉品牌： 一汽-大众  投诉车系： 速腾  投诉车型： 2018款 1.6L 自动 舒适型        投诉内容  一汽大众速腾低速刹车时存在尖锐异响，低速刹车异响，尖叫声特别大，希望厂家可以安排工作人员尽快解决。  </t>
  </si>
  <si>
    <t>2020/02/21 10:34:00</t>
  </si>
  <si>
    <t>　　据彭博社援引知情人士报道，中国可能将电动汽车购车补贴延长至今年以后，以提振在这个全球最大汽车市场的销量。　　上述知情人士称，在中国新能源汽车销量首次出现年度下滑后，政策制定者一直在讨论延长补贴的可能性。由于谈判是私下进行的，这些人士要求匿名。　　2019年中国新能源汽车销量首次出现负增长。据中汽</t>
  </si>
  <si>
    <t>2020/02/21 10:33:00</t>
  </si>
  <si>
    <t>据彭博社援引知情人士报道，中国可能将电动汽车购车补贴延长至今年以后，以提振在这个全球最大汽车市场的销量。    上述知情人士称，在中国新能源汽车销量首次出现年度下滑后，政策制定者一直在讨论延长补贴的可能性。由于谈判是私下进行的，这些人士要求匿名。    2019年中国新能源汽车销量首次出现负增长。据</t>
  </si>
  <si>
    <t>瑞虎3x和远景x3对比，哪个更稳定，故障更少，还有就是油耗，哪个油耗少。</t>
  </si>
  <si>
    <t>2020/02/21 10:32:53</t>
  </si>
  <si>
    <t>　　据彭博社援引知情人士透露，大众汽车首席财务官弗兰克・维特（frank witter）将于明年年中离职。该公司已经同意不按惯例将他的合同任期延长五年。　　上述知情人士称，维特的合同原定于今年晚些时候到期，但最近续签了，不过根据个人意愿只是续签到2021年6月。这样大众将有足够的时间寻找继任者，并为</t>
  </si>
  <si>
    <t>2020/02/21 10:32:00</t>
  </si>
  <si>
    <t>据彭博社援引知情人士透露，大众汽车首席财务官弗兰克·维特（frank witter）将于明年年中离职。该公司已经同意不按惯例将他的合同任期延长五年。    上述知情人士称，维特的合同原定于今年晚些时候到期，但最近续签了，不过根据个人意愿只是续签到2021年6月。这样大众将有足够的时间寻找继任者，并为</t>
  </si>
  <si>
    <t>　　2月20日，戴姆勒集团官方发布公告称，作为其可持续商业战略的一部分，该公司正在大力推进产品电气化和数字化攻势。而为了能够更快、更准确地应对未来不断变化的客户需求和复杂的市场需求，该公司正在进一步简化组织结构，目标是通过更密切和更有效的合作，改进车型、技术和服务的开发和生产过程。　　戴姆勒现任监事</t>
  </si>
  <si>
    <t>2020/02/21 10:31:00</t>
  </si>
  <si>
    <t>2月20日，戴姆勒集团官方发布公告称，作为其可持续商业战略的一部分，该公司正在大力推进产品电气化和数字化攻势。而为了能够更快、更准确地应对未来不断变化的客户需求和复杂的市场需求，该公司正在进一步简化组织结构，目标是通过更密切和更有效的合作，改进车型、技术和服务的开发和生产过程。    戴姆勒现任监事</t>
  </si>
  <si>
    <t>　　据路透社报道，宝马集团董事兼首席财务官尼古拉斯・彼得（nicolas peter）周四表示，该公司今年将继续在全球范围内增加销量，同时将欧洲的平均二氧化碳排放量降低约20%。　　彼得表示：“我们1月份开局良好，在中国的销量有所增长。”他还补充称，宝马沃1月在全球的销量约为17.5万台。　　“到2</t>
  </si>
  <si>
    <t>2020/02/21 10:30:00</t>
  </si>
  <si>
    <t>据路透社报道，宝马集团董事兼首席财务官尼古拉斯·彼得（nicolas peter）周四表示，该公司今年将继续在全球范围内增加销量，同时将欧洲的平均二氧化碳排放量降低约20%。    彼得表示：“我们1月份开局良好，在中国的销量有所增长。”他还补充称，宝马沃1月在全球的销量约为17.5万台。    “</t>
  </si>
  <si>
    <t>　　近期，国内权威碰撞测试机构中保研发布了一个振奋人心的碰撞结果，长安cs75 plus拿下了目前国产suv中最好的综合安全测试成绩，其整体评分与合资品牌相比也毫不逊色。对于汽车消费者而言，车辆安全性能的优劣会直接关系到我们自身的生命财产安全。在汽车技术不断进步的今天，中国汽车品牌在安全性能方面同样</t>
  </si>
  <si>
    <t>2020/02/21 10:27:00</t>
  </si>
  <si>
    <t>近期，国内权威碰撞测试机构中保研发布了一个振奋人心的碰撞结果，长安cs75 plus拿下了目前国产suv中最好的综合安全测试成绩，其整体评分与合资品牌相比也毫不逊色。对于汽车消费者而言，车辆安全性能的优劣会直接关系到我们自身的生命财产安全。在汽车技术不断进步的今天，中国汽车品牌在安全性能方面同样实现</t>
  </si>
  <si>
    <t>　　当下全国在加强疫情防控工作的同时，一些企业单位陆续返岗复工，城市居民也陆续开始了复工复学的生活，交通出行安全成为了一个热门话题。怎样保护保护司机和乘客安全？国家室内车内环境及环保产品质量监督检验中心主任、中华环保联合会车内环保专业委员会秘书长宋广生，为我们提供健康出行十大建议。国家室内车内环境及</t>
  </si>
  <si>
    <t>2020/02/21 10:25:00</t>
  </si>
  <si>
    <t>投诉编号：【447973】投诉时间：2020-02-2110:24投诉品牌：奇瑞汽车投诉车系：瑞虎5投诉车型：2014款2.0LCVT家尊版投诉内容2020/2/4前一天车辆正常开，第二天早上打不着火，后搭电也打不着，请外面汽修店检查半天也未查出问题，后把电瓶充满电及清障后可以启动，当天热车可以正常</t>
  </si>
  <si>
    <t>2020/02/21 10:24:00</t>
  </si>
  <si>
    <t>　　我们从相关渠道获悉，林肯国产飞行家将于今年下半年正式上市，作为一款豪华七座中大型suv，国产飞行家基于福特全新的cd6后驱平台打造而来，造型方面与进口版车型保持一致，并分别提供3.0t（双增压）和3.0t phev插电混动两种动力选择。　　看了以下要点，本文算读完一半　　国产飞行家是林肯在华推出</t>
  </si>
  <si>
    <t>2020/02/21 10:22:00</t>
  </si>
  <si>
    <t>我们从相关渠道获悉，林肯国产飞行家将于今年下半年正式上市，作为一款豪华七座中大型suv，国产飞行家基于福特全新的cd6后驱平台打造而来，造型方面与进口版车型保持一致，并分别提供3.0t（双增压）和3.0t phev插电混动两种动力选择。    看了以下要点，本文算读完一半    国产飞行家是林肯在华</t>
  </si>
  <si>
    <t>　　近日，我们从相关渠道获悉，长安福特探险者将于今年年内上市，作为家族中的第六代车型，国产探险者在最新cd6平台基础上打造而来，造型与海外版车型基本保持一致，并搭载2.3t发动机。　　看了以下要点，本文算读完一半　　家族中的第六代车型，定位7座中大型suv；　　造型与海外版车型保持一致，造型霸气硬朗</t>
  </si>
  <si>
    <t>2020/02/21 10:21:00</t>
  </si>
  <si>
    <t>近日，我们从相关渠道获悉，长安福特探险者将于今年年内上市，作为家族中的第六代车型，国产探险者在最新cd6平台基础上打造而来，造型与海外版车型基本保持一致，并搭载2.3t发动机。    看了以下要点，本文算读完一半    家族中的第六代车型，定位7座中大型suv；    造型与海外版车型保持一致，造型</t>
  </si>
  <si>
    <t>投诉编号：【447971】  投诉时间： 2020-02-21 10:19  投诉品牌： 东风悦达起亚  投诉车系： 智跑  投诉车型： 2018款 2.0L 自动 智享豪华版        投诉内容  买来1个月停车2天冷车起动后原地不动底盘中后部有共振异响，行驶3分钟左右就会消失，后到4s店检查</t>
  </si>
  <si>
    <t>2020/02/21 10:19:00</t>
  </si>
  <si>
    <t>　　宝马2系是宝马旗下的紧凑级轿跑车，凭借其短小的车身和过人的操控性受到很多车迷们的追捧。近日，有海外媒体发布了全新宝马2系gran coupe四门轿跑车的官图，这确实足以让众多宝马粉丝为之沸腾。据悉，新车最快于4月于海外市场交付。　　外观方面，新车采用了宝马家族最新一代的设计语言，双肾格栅进一步加</t>
  </si>
  <si>
    <t>宝马2系是宝马旗下的紧凑级轿跑车，凭借其短小的车身和过人的操控性受到很多车迷们的追捧。近日，有海外媒体发布了全新宝马2系gran coupe四门轿跑车的官图，这确实足以让众多宝马粉丝为之沸腾。据悉，新车最快于4月于海外市场交付。    外观方面，新车采用了宝马家族最新一代的设计语言，双肾格栅进一步加</t>
  </si>
  <si>
    <t>　　根据宝马汽车此前规划显示，到2023年宝马集团会推出25款新能源车，其中至少有13款为纯电动车。截止目前宝马汽车也已计划全新ix3中型纯电suv（2020年）、纯电动3系（2022年）以及纯电动5系（2025年）将在华实现国产。　　近日海外媒体再次曝光了疑似为宝马7系纯电版谍照图片（或为插混版车</t>
  </si>
  <si>
    <t>2020/02/21 10:18:00</t>
  </si>
  <si>
    <t>根据宝马汽车此前规划显示，到2023年宝马集团会推出25款新能源车，其中至少有13款为纯电动车。截止目前宝马汽车也已计划全新ix3中型纯电suv（2020年）、纯电动3系（2022年）以及纯电动5系（2025年）将在华实现国产。    近日海外媒体再次曝光了疑似为宝马7系纯电版谍照图片（或为插混版车</t>
  </si>
  <si>
    <t>　　拥有一辆捷达，在二十年前可谓身份的象征，配上西装领带外加一台“大哥大”，一看就是下海经商的成功企业家。但如今捷达已经成为大众旗下的独立子品牌，除了继承了大众的德味基因之余，价格也更加亲民，基本上工薪阶层都能够负担得起，这也算是圆了众多60、70后一个“捷达梦”。本期的主角是一台中型suv-捷达v</t>
  </si>
  <si>
    <t>2020/02/21 10:16:00</t>
  </si>
  <si>
    <t>拥有一辆捷达，在二十年前可谓身份的象征，配上西装领带外加一台“大哥大”，一看就是下海经商的成功企业家。但如今捷达已经成为大众旗下的独立子品牌，除了继承了大众的德味基因之余，价格也更加亲民，基本上工薪阶层都能够负担得起，这也算是圆了众多60、70后一个“捷达梦”。本期的主角是一台中型suv-捷达vs7</t>
  </si>
  <si>
    <t>　　2月13日，湖北省新冠肺炎疫情防控指挥部发布通告，要求省内各类企业不早于2月20日24时前复工。　　但事实上，此前处于封城状态的湖北大城市在此时复工的难度很大，尽管各大企业已经做好一切安全准备随时准备复工，但需要向相关政府部门提交复工申请，同时包括公共交通等配套都尚且处于停摆状态。省内许多企业表</t>
  </si>
  <si>
    <t>2020/02/21 10:15:00</t>
  </si>
  <si>
    <t>2月13日，湖北省新冠肺炎疫情防控指挥部发布通告，要求省内各类企业不早于2月20日24时前复工。    但事实上，此前处于封城状态的湖北大城市在此时复工的难度很大，尽管各大企业已经做好一切安全准备随时准备复工，但需要向相关政府部门提交复工申请，同时包括公共交通等配套都尚且处于停摆状态。省内许多企业表</t>
  </si>
  <si>
    <t>　　广汽丰田自2017年底开始加速导入tnga车型，接连推出了全新凯美瑞、c-hr以及全新雷凌等热门产品，全新suv――威兰达也即将在2月28日正式上市。但这些产品只能算是“开胃菜”，广汽丰田在未来几年还将加速推出多款tnga新车。通过梳理后发现，广汽丰田已经立项760b、942b、825b以及89</t>
  </si>
  <si>
    <t>2020/02/21 10:13:00</t>
  </si>
  <si>
    <t>广汽丰田自2017年底开始加速导入tnga车型，接连推出了全新凯美瑞、c-hr以及全新雷凌等热门产品，全新suv——威兰达也即将在2月28日正式上市。但这些产品只能算是“开胃菜”，广汽丰田在未来几年还将加速推出多款tnga新车。通过梳理后发现，广汽丰田已经立项760b、942b、825b以及892b</t>
  </si>
  <si>
    <t>　　2019年下半年至今年年初期间，国内多省市相继发布了放宽皮卡车进城限制的文件，包括重庆市、吉林省、济南市、宁波市、南昌市等，为当前的皮卡行业带来了新一轮的皮卡解禁浪潮。结合此前皮卡解禁政策的发布，当前已形成七省一直辖市对皮卡车不限行。另根据我们的实际调研尽管海南省尚未发布针对皮卡车不限行的公告文</t>
  </si>
  <si>
    <t>甄肖</t>
  </si>
  <si>
    <t>2020/02/21 10:12:00</t>
  </si>
  <si>
    <t>2019年下半年至今年年初期间，国内多省市相继发布了放宽皮卡车进城限制的文件，包括重庆市、吉林省、济南市、宁波市、南昌市等，为当前的皮卡行业带来了新一轮的皮卡解禁浪潮。结合此前皮卡解禁政策的发布，当前已形成七省一直辖市对皮卡车不限行。另根据我们的实际调研尽管海南省尚未发布针对皮卡车不限行的公告文件，</t>
  </si>
  <si>
    <t>　　在上一篇的vs7外观“开箱”中，想必很多朋友都对其棱角分明且兼具德味儿的外观赞赏有加，那么进入到vs7的车内，相信这也是你熟悉的大众风格，只不过在细节之处vs7结合国人的喜好做了对应的改变。　　动力方面，捷达vs7采用和vs5同款的1.4tsi高功率发动机，最大功率110kw，峰值扭矩250n・</t>
  </si>
  <si>
    <t>2020/02/21 10:10:00</t>
  </si>
  <si>
    <t>在上一篇的vs7外观“开箱”中，想必很多朋友都对其棱角分明且兼具德味儿的外观赞赏有加，那么进入到vs7的车内，相信这也是你熟悉的大众风格，只不过在细节之处vs7结合国人的喜好做了对应的改变。    动力方面，捷达vs7采用和vs5同款的1.4tsi高功率发动机，最大功率110kw，峰值扭矩250n·</t>
  </si>
  <si>
    <t>　　其实兰博基尼做轿车这件事也并非空穴来风，在2008年的时候兰博基尼也就四门车型发布了estoque概念车，当时的四门兰博基尼惊艳了整个世界。它的外观非常漂亮，并具有非常激进的设计（典型的lambo dna），但这款车并不是兰博基尼首次涉足四门轿跑领域，　　从兰博基尼打造urus车型时，我就在想什</t>
  </si>
  <si>
    <t>2020/02/21 10:09:00</t>
  </si>
  <si>
    <t>其实兰博基尼做轿车这件事也并非空穴来风，在2008年的时候兰博基尼也就四门车型发布了estoque概念车，当时的四门兰博基尼惊艳了整个世界。它的外观非常漂亮，并具有非常激进的设计（典型的lambo dna），但这款车并不是兰博基尼首次涉足四门轿跑领域，    从兰博基尼打造urus车型时，我就在想什</t>
  </si>
  <si>
    <t>　　在3月初开幕的日内瓦车展上，起亚将发布全新中型suv新一代sorento（国内注册车名为‘索兰托’），新车采用了起亚全新的设计风格，不但“虎啸式”前脸格栅样式再次进化，还配上了“虎眼式”日间行车灯，同时在内饰部分也有脱胎换骨的改变，豪华程度不输奔驰等高端品牌的车型。下面就来先睹为快吧。　　根据目</t>
  </si>
  <si>
    <t>2020/02/21 10:08:00</t>
  </si>
  <si>
    <t>在3月初开幕的日内瓦车展上，起亚将发布全新中型suv新一代sorento（国内注册车名为‘索兰托’），新车采用了起亚全新的设计风格，不但“虎啸式”前脸格栅样式再次进化，还配上了“虎眼式”日间行车灯，同时在内饰部分也有脱胎换骨的改变，豪华程度不输奔驰等高端品牌的车型。下面就来先睹为快吧。    根据目</t>
  </si>
  <si>
    <t>投诉编号：【447970】投诉时间：2020-02-2110:06投诉品牌：广汽本田投诉车系：奥德赛投诉车型：2017款2.4LCVT至尊版投诉内容17年8月购买17款奥德赛至尊版，首保缸体漏油，二年变速箱漏油，厂家认定是橡胶件老化，只是答应给更换油封，两年多车让你拆了心里难以接受，关键拆完还不一定</t>
  </si>
  <si>
    <t>2020/02/21 10:06:00</t>
  </si>
  <si>
    <t>在2016年日内瓦车展上，布加迪推出了veyron的继任者chiron。四年后，布加迪生产了第250台chiron，这代表着chiron车型生产周期已经过半。在这个重要节点上，布加迪自然会推出特别版车型，这次他们将第250台纪念版chiron命名为chiron sport edition noire</t>
  </si>
  <si>
    <t>投诉编号：【447969】  投诉时间： 2020-02-21 10:06  投诉品牌： 上汽集团  投诉车系： 荣威350  投诉车型： 2014款 1.5L 自动 迅悦版 350C        投诉内容  2013年6月买的车，平时上下班使用，没有上山下乡折腾车的情况，只开了4万多公里。前几天</t>
  </si>
  <si>
    <t>　　在2016年日内瓦车展上，布加迪推出了veyron的继任者chiron。四年后，布加迪生产了第250台chiron，这代表着chiron车型生产周期已经过半。在这个重要节点上，布加迪自然会推出特别版车型，这次他们将第250台纪念版chiron命名为chiron sport edition noi</t>
  </si>
  <si>
    <t>东风风光目前有6款suv在售，除了e3之外，其它全部采用汽油动力，官方价格分布在6.59万-21.59万元。今年1月，受春节放假导致有效工时减少影响，东风风光未能延续此前的强势表现。我们从小康股份获悉：旗下风光品牌suv在上个月生产12,876辆，同比减少33.00%；销售12,601辆，同比减少4</t>
  </si>
  <si>
    <t>2020/02/21 10:05:00</t>
  </si>
  <si>
    <t>　　东风风光目前有6款suv在售，除了e3之外，其它全部采用汽油动力，官方价格分布在6.59万-21.59万元。今年1月，受春节放假导致有效工时减少影响，东风风光未能延续此前的强势表现。我们从小康股份获悉：旗下风光品牌suv在上个月生产12,876辆，同比减少33.00%；销售12,601辆，同比减</t>
  </si>
  <si>
    <t>佟浩</t>
  </si>
  <si>
    <t>　　奔驰glb自打面世以来便自带光环，依托着奔驰百年豪华品质的加持使它熠熠生辉，新车有着极为硬朗的外观造型，并延续科技感爆棚的内饰设计，此外还提供了5座及7座双版本车型，可谓是颜值当道实用至上，深受年轻消费者追捧。今天车市探店小分队便来到奔驰4s店为您带来奔驰b级的终端优惠线索。　　值得一提的是，我</t>
  </si>
  <si>
    <t>2020/02/21 10:03:00</t>
  </si>
  <si>
    <t>随着去年下半年捷达轿车的停售，一汽-大众完成了10万级家轿市场的转型升级，消费者开始更多地将目光转向更主流的紧凑级轿车宝来。乘联会最新数据显示，2020年1月份一汽-大众宝来同比大幅增长20.7%至31,264辆，成为国内市场最畅销的轿车之一。另外值得一提的是，宝来的竞品上汽大众朗逸、日产轩逸、丰田</t>
  </si>
  <si>
    <t>2020/02/21 10:02:00</t>
  </si>
  <si>
    <t>　　随着去年下半年捷达轿车的停售，一汽-大众完成了10万级家轿市场的转型升级，消费者开始更多地将目光转向更主流的紧凑级轿车宝来。乘联会最新数据显示，2020年1月份一汽-大众宝来同比大幅增长20.7%至31,264辆，成为国内市场最畅销的轿车之一。另外值得一提的是，宝来的竞品上汽大众朗逸、日产轩逸、</t>
  </si>
  <si>
    <t>Q50L仪表盘显示发动机故障灯亮，同时显示启停系统错误，然后车身抖动厉害自动熄火，油门只能踩到3000转，重新启动油门加到60码以下故障灯消失可以正常行驶，请问这个是什么毛病，凸轮轴应该没有问题！</t>
  </si>
  <si>
    <t>2020/02/21 10:01:03</t>
  </si>
  <si>
    <t>在国内suv市场，小型suv虽然份额不及紧凑型，但少则近万辆多则破两万的月销数据，让不少车企都想分一杯羹。2014年底本田“双子星”缤智/x-rv上市后，迅速打开合资小型suv市场，并连续五年销量领跑，热销态势延续至今。其中广汽本田缤智在今年1月suv总销量同比下降14.5%的情况下，逆势大涨30.</t>
  </si>
  <si>
    <t>2020/02/21 10:00:00</t>
  </si>
  <si>
    <t>　　在国内suv市场，小型suv虽然份额不及紧凑型，但少则近万辆多则破两万的月销数据，让不少车企都想分一杯羹。2014年底本田“双子星”缤智/x-rv上市后，迅速打开合资小型suv市场，并连续五年销量领跑，热销态势延续至今。其中广汽本田缤智在今年1月suv总销量同比下降14.5%的情况下，逆势大涨3</t>
  </si>
  <si>
    <t>　　suv一直是当前许多消费者的首选车型，究其原因是suv拥有轿车不能比拟的空间以及通过性能。想花费十万出头购买一台日系紧凑级suv的朋友可不能错过本期的主角-广汽三菱新劲炫asx。新改款的劲炫asx目前优惠幅度如何？是否合适入手？别急！探店小分队现在就帮您去了解一下行情。　　新款劲炫asx不论是外</t>
  </si>
  <si>
    <t>2020/02/21 09:59:00</t>
  </si>
  <si>
    <t>　　中国高铁用速度和稳定性征服了世界，相比同类产品它的性价比要更高，一些欧美发达国家也开始引入我国高铁；华为、小米等中国智能手机凭借创新和实力风靡海内外；大疆成为消费级无人机市场当之无愧的领军者。可以说中国制造经过多年的摸索已经开始展露出不错竞争力，而出色的性能 超高性价比正是它们能在竞争中占据优势</t>
  </si>
  <si>
    <t>甘碧冲</t>
  </si>
  <si>
    <t>2020/02/21 09:58:00</t>
  </si>
  <si>
    <t>出现engine systems fault，有时候能打着火，有时候半天打不着火，去维修点检查，说没大问题，是什么原因？</t>
  </si>
  <si>
    <t>2020/02/21 09:56:39</t>
  </si>
  <si>
    <t>　　看到这个标题的时候，领导问我，威马ex6 plus这种购车模式跟蔚来拆电池租不是一个意思么？我说有点区别，这个可比蔚来的复杂多了。领导：哦，那你替网友把账算明白吧！啥？我的内心一开始是拒绝的，领导和大多数网友一样可能不太了解，威马这购车政策可是被称为“史上最复杂政策”。　　光是电池租赁业务，就分</t>
  </si>
  <si>
    <t>2020/02/21 09:55:00</t>
  </si>
  <si>
    <t>　　“73”这个后缀上一次见到还是在2001年的sl73车型上，那款车相当稀有，7.3升v12发动机与帕加尼zonda上的同款，近20年后，“73”这个后缀又回来了，这就是奔驰即将在今年推出的新款gt 4门轿跑的旗舰版本amg gt 73 hybrid spied，但是这次没有十二缸发动机，取而代之</t>
  </si>
  <si>
    <t>2020/02/21 09:54:00</t>
  </si>
  <si>
    <t>“73”这个后缀上一次见到还是在2001年的sl73车型上，那款车相当稀有，7.3升v12发动机与帕加尼zonda上的同款，近20年后，“73”这个后缀又回来了，这就是奔驰即将在今年推出的新款gt 4门轿跑的旗舰版本amg gt 73 hybrid spied，但是这次没有十二缸发动机，取而代之的是</t>
  </si>
  <si>
    <t>投诉编号：【447967】  投诉时间： 2020-02-21 09:52  投诉品牌： 广汽丰田  投诉车系： 凯美瑞  投诉车型： 2007款 240G 豪华版        投诉内容  投诉质量问题，主要是中控仪表台出油发亮，影响行车安全，开裂发臭。希望尽快处理更换。谢谢！      投诉回复</t>
  </si>
  <si>
    <t>2020/02/21 09:52:00</t>
  </si>
  <si>
    <t>　　在买车这件人生大事上，消费者们都会去做深入的研究和思考，于是一款30万左右的豪华中型轿车成为他们当中很多人的首选目标。那么近期之内在这个细分市场中有哪些车型应该多关注一下？同时市场行情又如何？接下来，咱们一同去看看。　　宝马3系全系共推出10款车型，官方售价区间为29.39-40.99万元。动力</t>
  </si>
  <si>
    <t>包英男</t>
  </si>
  <si>
    <t>2020/02/21 09:49:00</t>
  </si>
  <si>
    <t>投诉编号：【447966】  投诉时间： 2020-02-21 09:47  投诉品牌： 东风悦达起亚  投诉车系： KX CROSS  投诉车型： 2017款 1.4L 自动 GLS        投诉内容  东风悦达起亚KX CROSS底盘到车上面都生锈，生锈问题现在已经影响了安全使用，并且这绝</t>
  </si>
  <si>
    <t>2020/02/21 09:47:00</t>
  </si>
  <si>
    <t>增配不加价 2020款XR-V怎么选最划算？</t>
  </si>
  <si>
    <t>2020/02/21 09:46:00</t>
  </si>
  <si>
    <t>2020/02/21 09:45:01</t>
  </si>
  <si>
    <t>投诉编号：【447955】
投诉时间： 2020-02-21 08:56
投诉品牌： 众泰汽车
投诉车系： 众泰T700
投诉车型： 2017款 1.8T 双离合 尊贵型</t>
  </si>
  <si>
    <t>每年一度的日内瓦车展即将在3月3日正式开幕，各大汽车厂商将带来旗下最新的产品和技术，使得该车展素有“国际汽车潮流风向标”之称。我们通过梳理后发现，在本届日内瓦车展中，将至少有5款韩系产品发布。其中，现代旗下豪华品牌——genesis（捷尼赛思）预计会带来全新g80，该车与奥迪a6l、奔驰e级同级，未</t>
  </si>
  <si>
    <t>2020/02/21 09:44:00</t>
  </si>
  <si>
    <t>投诉编号：【447965】  投诉时间： 2020-02-21 09:44  投诉品牌： 长城汽车  投诉车系： 风骏5  投诉车型： 2017款 2.0T 两驱 欧洲版 柴油 精英型 大双排GW4D20B        投诉内容  车辆颗粒捕捉器堵塞，去4s店去检查，他们各种检查，检查不出来，我联</t>
  </si>
  <si>
    <t>　　每年一度的日内瓦车展即将在3月3日正式开幕，各大汽车厂商将带来旗下最新的产品和技术，使得该车展素有“国际汽车潮流风向标”之称。我们通过梳理后发现，在本届日内瓦车展中，将至少有5款韩系产品发布。其中，现代旗下豪华品牌――genesis（捷尼赛思）预计会带来全新g80，该车与奥迪a6l、奔驰e级同级</t>
  </si>
  <si>
    <t>　　说起奥迪a6l，可以说这是一款足以载入中国汽车历史的里程碑车型。在它身上有着无数的光环：中国最著名的公务用车、第一款国产的豪华轿车、第一款针对中国市场进行后排加长车型等等。同时在20年前它打破了豪华轿车的价格桎梏，也才有了现在越来越亲民的汽车售价。今天，20年后的现在，奥迪a6l实惠亲民的价格优</t>
  </si>
  <si>
    <t>2020/02/21 09:42:00</t>
  </si>
  <si>
    <t>开迪是大众旗下的一款mpv车型，该款车型早于2005年在一汽·大众旗下实现国产，而后并未继续推出换代以及接任者车型。近日海外媒体曝光了大众全新开迪新车官图，据悉新车将于本月底正式发布，并换搭全新动力引擎。vwcv首席执行官sedran说：“随着空间的显著增加，细节上的绝对完美，新技术和新设计动态，新</t>
  </si>
  <si>
    <t>2020/02/21 09:41:00</t>
  </si>
  <si>
    <t>　　开迪是大众旗下的一款mpv车型，该款车型早于2005年在一汽・大众旗下实现国产，而后并未继续推出换代以及接任者车型。近日海外媒体曝光了大众全新开迪新车官图，据悉新车将于本月底正式发布，并换搭全新动力引擎。vwcv首席执行官sedran说：“随着空间的显著增加，细节上的绝对完美，新技术和新设计动态</t>
  </si>
  <si>
    <t>　　大众旗下的suv各个都可以说是高销量的代名词，但在2018年之前，这个美称一直都被上汽大众独享。直至t-roc探歌上市，才宣告生产了27年轿车的一汽-大众也即将享有这个代名词。而这款个性潮流小车也没有令其失望，月销量最高达1.5万辆，这其中，中低配车型贡献最大最受消费者追捧。那么，我们今天就来看</t>
  </si>
  <si>
    <t>贾启明</t>
  </si>
  <si>
    <t>2020/02/21 09:40:00</t>
  </si>
  <si>
    <t>i30是现代旗下的一款紧凑级轿车，其市场定位与大众高尔夫/朗逸、本田思域、丰田卡罗拉车型相似，而遗憾的是该款车型尚未引入国内市场或在华国产开售，并仅布局海外市场进行销售。    近日海外媒体再次曝光了现代全新i30路试谍照图以及预告图，其基础款车型将于下月即将开幕的日内瓦车展上正式亮相，并于6月抵达</t>
  </si>
  <si>
    <t>2020/02/21 09:38:00</t>
  </si>
  <si>
    <t>投诉编号：【447963】  投诉时间： 2020-02-21 09:38  投诉品牌： 奇瑞汽车  投诉车系： 捷途X70  投诉车型： 2018款 1.5T 手动 畅行版        投诉内容  捷途X70离合器总泵漏油导致无法回位，离合器踩下去不会回位，这个问题已经严重的影响了使用，希望厂家</t>
  </si>
  <si>
    <t>　　i30是现代旗下的一款紧凑级轿车，其市场定位与大众高尔夫/朗逸、本田思域、丰田卡罗拉车型相似，而遗憾的是该款车型尚未引入国内市场或在华国产开售，并仅布局海外市场进行销售。　　近日海外媒体再次曝光了现代全新i30路试谍照图以及预告图，其基础款车型将于下月即将开幕的日内瓦车展上正式亮相，并于6月抵达</t>
  </si>
  <si>
    <t>　　2019年，网红带货无疑是年度关键词之一，李佳琦的大火让人们感受到了直播营销的潜力，有人感慨，“没有一个女人可以从李佳琦直播间空手出来。”“口红一哥”的带货能力被粉丝们称之为传奇。然而，当一台车摆在李佳琦面前时，它也会像口红一样被人们疯抢吗？网红带货式的直播购车会适合汽车圈吗？　　30秒快速阅读</t>
  </si>
  <si>
    <t>2020/02/21 09:37:00</t>
  </si>
  <si>
    <t>2019年，网红带货无疑是年度关键词之一，李佳琦的大火让人们感受到了直播营销的潜力，有人感慨，“没有一个女人可以从李佳琦直播间空手出来。”“口红一哥”的带货能力被粉丝们称之为传奇。然而，当一台车摆在李佳琦面前时，它也会像口红一样被人们疯抢吗？网红带货式的直播购车会适合汽车圈吗？    30秒快速阅读</t>
  </si>
  <si>
    <t>　　说起电动化转型，宝马应该是觉醒最早的传统车企之一，早在2004年，这家企业就开始试验轻混架构，并于2013年就推出了旗下首款纯电动车型宝马i3。然而令人想不到的是，在电动化领域无比积极的宝马，近期却公然唱起了反调，宣称未来将不会研发纯电动汽车专属平台。　　君之砒霜,吾之蜜糖，虽然惨遭宝马“抛弃”</t>
  </si>
  <si>
    <t>2020/02/21 09:35:00</t>
  </si>
  <si>
    <t>说起电动化转型，宝马应该是觉醒最早的传统车企之一，早在2004年，这家企业就开始试验轻混架构，并于2013年就推出了旗下首款纯电动车型宝马i3。然而令人想不到的是，在电动化领域无比积极的宝马，近期却公然唱起了反调，宣称未来将不会研发纯电动汽车专属平台。    君之砒霜,吾之蜜糖，虽然惨遭宝马“抛弃”</t>
  </si>
  <si>
    <t>　　如果说传统suv主打传统用车场景的话，近两年才在中国品牌中流行起来的轿跑suv则成为了既能够彰显个性，同时又保留了些许实用性的产品。星越是吉利品牌基于cma架构平台打造的全新轿跑suv，这种彰显个性的产品会不会很贵呢？星越最入门的300t 探星者指导价为13.58万元，对于一款紧凑型suv车型而</t>
  </si>
  <si>
    <t>朱力神</t>
  </si>
  <si>
    <t>2020/02/21 09:34:00</t>
  </si>
  <si>
    <t>投诉编号：【447962】投诉时间：2020-02-2109:32投诉品牌：一汽-大众投诉车系：速腾投诉车型：2019款280TSIDSG舒适型国VI投诉内容经过投诉4S同意给开出发票，但是装具费用。店内保险没有发票，上牌服务费不给发票，发票随便开，收费乱收，给不出合理解释，店内保险说好2200最后</t>
  </si>
  <si>
    <t>2020/02/21 09:32:00</t>
  </si>
  <si>
    <t>投诉编号：【447961】  投诉时间： 2020-02-21 09:32  投诉品牌： 江淮汽车  投诉车系： 瑞风S3  投诉车型： 2015款 1.5L 手动 豪华智能尊享版        投诉内容  江淮瑞风S3玻璃升降器卡顿，方向跑偏，发动机异响，新车6000公里更换全车升降器，没有三个月</t>
  </si>
  <si>
    <t>　　如果说g3是小鹏汽车跻身纯电动车市场的试水之作，那么p7将肩负着稳固品牌行业地位的重任。p7的价格区间与特斯拉国产model 3有所重叠，两者竞争关系明显，很多人认为p7是model 3的一位有力竞争者。然而我们不能忽略的是，p7是一款中大型轿车，与小一个级别的model 3竞争有点降维打击的意</t>
  </si>
  <si>
    <t>常庆林</t>
  </si>
  <si>
    <t>2020/02/21 09:31:00</t>
  </si>
  <si>
    <t>如果说g3是小鹏汽车跻身纯电动车市场的试水之作，那么p7将肩负着稳固品牌行业地位的重任。p7的价格区间与特斯拉国产model 3有所重叠，两者竞争关系明显，很多人认为p7是model 3的一位有力竞争者。然而我们不能忽略的是，p7是一款中大型轿车，与小一个级别的model 3竞争有点降维打击的意味。</t>
  </si>
  <si>
    <t>车辆化妆镜处漏水，天窗没有堵，质保期未过，过去修理，还要求收费，中控吱吱异响，特别走烂路，异响严重。贷款车辆，贷款还完，要求交100多元解押费，很不合理，乱收费。</t>
  </si>
  <si>
    <t>巴萨罗那</t>
  </si>
  <si>
    <t>2020/02/21 09:27:00</t>
  </si>
  <si>
    <t>轩逸化妆镜处漏水 中控台异响车辆化妆镜处漏水，天窗没有堵，质保期未过，过去修理，还要求收费，中控吱吱异响，特别走烂路，异响严重。贷款车辆，贷款还完，要求交100多元解押费，很不合理，乱收费。</t>
  </si>
  <si>
    <t>66的人</t>
  </si>
  <si>
    <t>2020/02/21 09:26:00</t>
  </si>
  <si>
    <t>新车买来才行驶3400公里就爆胎。我一般走高速和省道，没有走烂路。今天走高速好好的，突然就爆了。YOKOHAMA的轮胎！侧面爆开！这里还是要感谢丰田4S店工作人员能积极联系指导救援。</t>
  </si>
  <si>
    <t>精灵女王</t>
  </si>
  <si>
    <t>半轴防尘套刚过保修期就才发现漏油，一直在4s店保养的。</t>
  </si>
  <si>
    <t>镖旗勇士</t>
  </si>
  <si>
    <t>　　发现神行是路虎开始国产化进程的第一款车，距它上市也已经四年多了，这么长时间中，它让中国消费者用前所未有的低价体验到了路虎的感觉，可以说这款车对路虎来说也有着重要的意义。现在它完成了中期改款，并且还改了名变成发现运动版，近日国产版本的它也已经上市与我们见面了，那么在上市的这几款车型中，哪款最值得购</t>
  </si>
  <si>
    <t>王泽石</t>
  </si>
  <si>
    <t>丰田凯美瑞半轴防尘套漏油半轴防尘套刚过保修期就才发现漏油，一直在4s店保养的。</t>
  </si>
  <si>
    <t>丰田RAV4荣放优科豪马轮胎高速爆胎新车买来才行驶3400公里就爆胎。我一般走高速和省道，没有走烂路。今天走高速好好的，突然就爆了。YOKOHAMA的轮胎！侧面爆开！这里还是要感谢丰田4S店工作人员能积极联系指导救援。</t>
  </si>
  <si>
    <t>2020/02/21 09:25:00</t>
  </si>
  <si>
    <t>上汽MAXUS G20出现GPF满载故障码新车买回来就一直出现GPF满载故障码，去4S店刷新也没好，每天都出现，现在又出现过载，高速行驶就下去，停车在启动就又出来，现在过载不敢开了，疫情在老家又没有4S店，别人买的同款车都没这种情况，就让我碰到了。</t>
  </si>
  <si>
    <t>灰袍巫师</t>
  </si>
  <si>
    <t>新车买回来就一直出现GPF满载故障码，去4S店刷新也没好，每天都出现，现在又出现过载，高速行驶就下去，停车在启动就又出来，现在过载不敢开了，疫情在老家又没有4S店，别人买的同款车都没这种情况，就让我碰到了。</t>
  </si>
  <si>
    <t>沃尔沃这是玩什么招数？S60预售28.7万元，事情没这么简单在消费这件事儿上，有俗话说：早买早享受，晚买享折扣，不买免费送。当然了，车企是不会免费送给你汽车的，不过当今车市，作为一个二线豪华品牌，你产品不打个八九折，都不好意思出门跟人打招呼。所以，当沃尔沃S60拿出28.7万元预售价的时候，潜在的消</t>
  </si>
  <si>
    <t>2020/02/21 09:24:00</t>
  </si>
  <si>
    <t>漫哥近年试驾过很多款新车，但对于各品牌五花八门的智能科技配置并不感冒。除了ACC、自动驾驶、主动刹车这些有实质性帮助的驾驶辅助配置，其他智能配置说白了只是宣传噱头而已，车机的最核心功能其实也就是导航和听音娱乐功能，手机加一个支架完全可以做到。但漫哥这样的颜控强迫症怎么能忍受晃动的支架上插着凌乱的充电</t>
  </si>
  <si>
    <t>新车刚买不到半年时间发现轮胎坑坑洼洼像狗啃一样，而且一直在市区行驶。</t>
  </si>
  <si>
    <t>白袍巫师</t>
  </si>
  <si>
    <t>高压油泵损坏，车辆抖动，加速无力，发动机故障灯亮，仪表不能正确指示，启动后风扇强制运行，熄火后风扇强制运行5-8分钟。</t>
  </si>
  <si>
    <t>半兽人</t>
  </si>
  <si>
    <t>沃尔沃：早买早享受，晚买享折扣？沃尔沃这是玩什么招数？S60预售28.7万元，事情没这么简单在消费这件事儿上，有俗话说：早买早享受，晚买享折扣，不买免费送。当然了，车企是不会免费送给你汽车的，不过当今车市，作为一个二线豪华品牌，你产品不打个八九折，都不好意思出门跟人打招呼。所以，当沃尔沃S60拿出2</t>
  </si>
  <si>
    <t>东风本田思域优科豪马轮胎掉皮新车刚买不到半年时间发现轮胎坑坑洼洼像狗啃一样，而且一直在市区行驶。</t>
  </si>
  <si>
    <t>旧车不换车机不破线，加装无线充电和Carplay是什么体验？漫哥近年试驾过很多款新车，但对于各品牌五花八门的智能科技配置并不感冒。除了ACC、自动驾驶、主动刹车这些有实质性帮助的驾驶辅助配置，其他智能配置说白了只是宣传噱头而已，车机的最核心功能其实也就是导航和听音娱乐功能，手机加一个支架完全可以做到</t>
  </si>
  <si>
    <t>雪铁龙DS6发动机抖动 加速无力高压油泵损坏，车辆抖动，加速无力，发动机故障灯亮，仪表不能正确指示，启动后风扇强制运行，熄火后风扇强制运行5-8分钟。</t>
  </si>
  <si>
    <t>提到日产奇骏，很多网友对它的评价却褒贬不一，作为日产的主力SUV车型，奇骏在国内市场有着非常不错的销量表现，耐用性也不错，正因如此，奇骏在更新换代上是比较滞后的，尤其是设计方面，经常被网友吐槽，差不多是一线合资品牌里“最土”的SUV了，所以奇骏换代已经迫在眉睫了。就在近日，网上曝光了一组日产全新奇骏</t>
  </si>
  <si>
    <t>2020/02/21 09:23:00</t>
  </si>
  <si>
    <t>车是2015年4月买的，原车第一块电瓶用到2018年12月就打不着火了，接着先后换了两块其他牌子（雅尔塔）的电瓶，使用没几天就都打不着火，2019年1月到本地（万森）4s店，修理师傅检查之后说没发现漏电问题，之后在4s店换了一块原装电瓶，到2020年1月新电瓶就又打不着火了，找其他车搭着火后再把电瓶</t>
  </si>
  <si>
    <t>霍比特人</t>
  </si>
  <si>
    <t>日产全新奇骏曝光，整车大了一圈，内饰终于不“土”了提到日产奇骏，很多网友对它的评价却褒贬不一，作为日产的主力SUV车型，奇骏在国内市场有着非常不错的销量表现，耐用性也不错，正因如此，奇骏在更新换代上是比较滞后的，尤其是设计方面，经常被网友吐槽，差不多是一线合资品牌里“最土”的SUV了，所以奇骏换代已</t>
  </si>
  <si>
    <t>现代ix35电瓶频繁亏电 疑似漏电车是2015年4月买的，原车第一块电瓶用到2018年12月就打不着火了，接着先后换了两块其他牌子（雅尔塔）的电瓶，使用没几天就都打不着火，2019年1月到本地（万森）4s店，修理师傅检查之后说没发现漏电问题，之后在4s店换了一块原装电瓶，到2020年1月新电瓶就又打</t>
  </si>
  <si>
    <t>长安逸动双离合怎么样？怎么突然不用手自一体，改为双离合。</t>
  </si>
  <si>
    <t>2020/02/21 09:22:12</t>
  </si>
  <si>
    <t>再也不用魔改 15万直接能买到本田“法拉域”了近日，东风本田对外发布了国产思域两厢车概念版的官图，新车内外设计均大量延续日规版思域两厢车的设计，之所以命名为概念版，个人猜测或是因为新增的运动学套件还未经过路试检测其气动性能，因而后期量产车或许会在细节上有所调整。　　外观方面，相比于国产思域三厢版，新</t>
  </si>
  <si>
    <t>2020/02/21 09:22:00</t>
  </si>
  <si>
    <t>如今的车市里面，很多B级车的价格已经和A级车高度重叠了。那么很多消费者在购车的时候就会更加难了，到底是选择B级车呢还是选择A级车呢？这里我的答案就是，能上B级那就上B级，毕竟再怎么说它也是一台B级车，对吧。它就是别克君威的20T精英型。车型解析外观在聊这辆别克君威之前呢，先来一起欣赏一下它的外观吧。</t>
  </si>
  <si>
    <t>近日，东风本田对外发布了国产思域两厢车概念版的官图，新车内外设计均大量延续日规版思域两厢车的设计，之所以命名为概念版，个人猜测或是因为新增的运动学套件还未经过路试检测其气动性能，因而后期量产车或许会在细节上有所调整。　　外观方面，相比于国产思域三厢版，新车配备了全面“黑化”的运动套件，配合位于前后包</t>
  </si>
  <si>
    <t>18年夏天开风扇，一股臭脚味道，吹一会就见轻，在开制冷外循环情况下味道见轻，后来越来越严重，18年11月以后开暖风，味道巨大，再后来开吹风模式关窗就感觉头疼。19年冬天几乎没开暖风，之前新明锐索赔一批中控隔音棉，当时我去4s店保养车子，闻到过，我给技师说过我的车也有轻微的味道。技师问了下不严重，当时</t>
  </si>
  <si>
    <t>瞎白活</t>
  </si>
  <si>
    <t>　　作为最早进入中国市场的德国车企，大众曾经在国内推出过多款经典车型。除了尽人皆知的桑塔纳以及帕萨特之外，迈腾也在过去15年中，获得了无比辉煌的成绩与口碑。如今，伴随着电气化时代的到来，迈腾顺应潮流推出了插电混动版车型，而我们今天新车开箱的便是这款车型――迈腾gte。　　新车概述　　新车提取　　快速</t>
  </si>
  <si>
    <t>落地十五万左右的别克君威，20T精英型，超值如今的车市里面，很多B级车的价格已经和A级车高度重叠了。那么很多消费者在购车的时候就会更加难了，到底是选择B级车呢还是选择A级车呢？这里我的答案就是，能上B级那就上B级，毕竟再怎么说它也是一台B级车，对吧。它就是别克君威的20T精英型。车型解析外观在聊这辆</t>
  </si>
  <si>
    <t>Yeti空调异味非常严重18年夏天开风扇，一股臭脚味道，吹一会就见轻，在开制冷外循环情况下味道见轻，后来越来越严重，18年11月以后开暖风，味道巨大，再后来开吹风模式关窗就感觉头疼。19年冬天几乎没开暖风，之前新明锐索赔一批中控隔音棉，当时我去4s店保养车子，闻到过，我给技师说过我的车也有轻微的味道</t>
  </si>
  <si>
    <t>对于国内消费者而言，韩系车凭借高颜值、高性价比等优势，成为不少年轻消费者钟爱的人生第一台车首选，这其中自然以北京现代与东风悦达起亚为主导。而在2020年，这两大汽车品牌将带来多款新车，在合资品牌必争的中型车领域，它们将推出全新索纳塔、全新名图以及全新起亚K5，感兴趣的朋友不妨提前了解一下。北京现代全</t>
  </si>
  <si>
    <t>2020/02/21 09:21:00</t>
  </si>
  <si>
    <t>奥迪A4L，凭借品牌以及降幅的优势，在豪华中级车市场可谓有着十足的发言权。虽然没有奔驰C级的豪华，也没有宝马3系的运动，但相对均衡的产品力，同时不错的性价比，也然它赢得了不少消费者的认可。而如今，根据官方表示，全新一代A4L也即将上市。有望在今年4月份正式登场，到底有着怎样的表现呢？不妨一起来看看吧</t>
  </si>
  <si>
    <t>颜值不输雅阁、凯美瑞，性价比更是合资前列，这3款中级车要火对于国内消费者而言，韩系车凭借高颜值、高性价比等优势，成为不少年轻消费者钟爱的人生第一台车首选，这其中自然以北京现代与东风悦达起亚为主导。而在2020年，这两大汽车品牌将带来多款新车，在合资品牌必争的中型车领域，它们将推出全新索纳塔、全新名图</t>
  </si>
  <si>
    <t>全新奥迪A4就要来了！颜值不输A6，是时候放弃奔驰C级了奥迪A4L，凭借品牌以及降幅的优势，在豪华中级车市场可谓有着十足的发言权。虽然没有奔驰C级的豪华，也没有宝马3系的运动，但相对均衡的产品力，同时不错的性价比，也然它赢得了不少消费者的认可。而如今，根据官方表示，全新一代A4L也即将上市。有望在今</t>
  </si>
  <si>
    <t>2020/02/21 09:20:00</t>
  </si>
  <si>
    <t>2019年11月中旬开始，早晨发动汽车发动机明显抖动，噪声明显，开始没在意，到12月中旬越来越明显，行驶途中车身明显晃动，特别是转弯时逾加明显，1月份去保养时顺便检查，原因是机脚胶下沉，需要更换。我之前的斯柯达明锐，10万出头的车，用了八年都没有此类问题，这辆宝马购置价近五十万，使用不到三年就出现此</t>
  </si>
  <si>
    <t>瞎溜达</t>
  </si>
  <si>
    <t>汽车电瓶亏电，已经换了两次电池，依旧亏电，第一次停了七天，无法正常打火，第二次停了八天，这次停了一天就无法打火。</t>
  </si>
  <si>
    <t>齐步走</t>
  </si>
  <si>
    <t>　　目前疫情防控已经进入关键阶段，上汽通用五菱不仅自研口罩机，转产医用口罩，其在近日还向柳州市政府交付了首批智能移动测温车。　　上汽通用五菱打造的首批智能移动测温车是基于宝骏e200和新宝骏e300打造的，在原有车型基础上，增加了智能ai探测、红外测温系统。通过智能检测，该车能够精准识别人脸，对连续</t>
  </si>
  <si>
    <t>目前疫情防控已经进入关键阶段，上汽通用五菱不仅自研口罩机，转产医用口罩，其在近日还向柳州市政府交付了首批智能移动测温车。    上汽通用五菱打造的首批智能移动测温车是基于宝骏e200和新宝骏e300打造的，在原有车型基础上，增加了智能ai探测、红外测温系统。通过智能检测，该车能够精准识别人脸，对连续</t>
  </si>
  <si>
    <t>名爵6电瓶亏电导致车辆无法启动汽车电瓶亏电，已经换了两次电池，依旧亏电，第一次停了七天，无法正常打火，第二次停了八天，这次停了一天就无法打火。</t>
  </si>
  <si>
    <t>10-15万预算，同是大众SUV的探影和途铠，你选谁？大众集团作为国内双车型战略的开创先河者，现今也是玩的越来越极致。在今年12月4日探影正式上市后，一汽-大众探影和上汽大众途铠便形成小型SUV的双车型战略。那么问题来了，在两款车如此相近的情况下究竟购买哪款好呢？（探影）（途铠）其实探影和途铠的外观</t>
  </si>
  <si>
    <t>华晨宝马5系发动机抖动2019年11月中旬开始，早晨发动汽车发动机明显抖动，噪声明显，开始没在意，到12月中旬越来越明显，行驶途中车身明显晃动，特别是转弯时逾加明显，1月份去保养时顺便检查，原因是机脚胶下沉，需要更换。我之前的斯柯达明锐，10万出头的车，用了八年都没有此类问题，这辆宝马购置价近五十万</t>
  </si>
  <si>
    <t>有了汽车之后，出行变得更加的方便，也可以节省大量的时间。相信很多人都只是会开车，但是对于汽车上的一些小技巧却不知道。就比如说换刹车片的问题，大多数车主都不知道多久才能换一次。刹车片对于汽车来说是非常重要的，如果时间长了没有更换的话，刹车系统就会出现问题，那么是很危险的。汽车到底什么时候该换刹车片？老</t>
  </si>
  <si>
    <t>2020/02/21 09:19:00</t>
  </si>
  <si>
    <t>汽车刹车片该什么时候换？老司机：用这几个方法去判断有了汽车之后，出行变得更加的方便，也可以节省大量的时间。相信很多人都只是会开车，但是对于汽车上的一些小技巧却不知道。就比如说换刹车片的问题，大多数车主都不知道多久才能换一次。刹车片对于汽车来说是非常重要的，如果时间长了没有更换的话，刹车系统就会出现问</t>
  </si>
  <si>
    <t>　　据外媒报道，特斯拉正在开发新型110kwh电池组，一次充电即可令电动车续航里程超过400英里（约合645公里）。『model s长续航版』　　在刚刚举办的特斯拉2019年股东大会上，特斯拉首席执行官埃隆・马斯克表示，特斯拉很快会拥有400英里续航的汽车。当时，特斯拉model s长续航版本是其续</t>
  </si>
  <si>
    <t>2020/02/21 09:18:00</t>
  </si>
  <si>
    <t>据外媒报道，特斯拉正在开发新型110kwh电池组，一次充电即可令电动车续航里程超过400英里（约合645公里）。『model s长续航版』    在刚刚举办的特斯拉2019年股东大会上，特斯拉首席执行官埃隆·马斯克表示，特斯拉很快会拥有400英里续航的汽车。当时，特斯拉model s长续航版本是其续</t>
  </si>
  <si>
    <t>投诉编号：【447960】  投诉时间： 2020-02-21 09:17  投诉品牌： 一汽-大众  投诉车系： 捷达  投诉车型： 2015款 1.6L 手动 时尚型        投诉内容  车子发动后，点烟器没电，空调暖风鼓风机不转，大灯不亮，夜间行车无灯光。检查了相应位置保险没坏，线路无故</t>
  </si>
  <si>
    <t>2020/02/21 09:17:00</t>
  </si>
  <si>
    <t>　　2月20日，商务部举行网上新闻发布会，市场运行司副司长王斌就1月汽车销量下滑及商务部举措等问题作出回应。　　中汽协数据显示，2020年1月，汽车销量达194.1万辆同比下降18.0%。王斌分析表示，销量下滑是多种因素叠加造成的：一是去年以来汽车行业整体处于发展调整期；二是今年春节长假在元月，有效</t>
  </si>
  <si>
    <t>2020/02/21 09:16:00</t>
  </si>
  <si>
    <t>2月20日，商务部举行网上新闻发布会，市场运行司副司长王斌就1月汽车销量下滑及商务部举措等问题作出回应。    中汽协数据显示，2020年1月，汽车销量达194.1万辆同比下降18.0%。王斌分析表示，销量下滑是多种因素叠加造成的：一是去年以来汽车行业整体处于发展调整期；二是今年春节长假在元月，有效</t>
  </si>
  <si>
    <t>　　日前，特斯拉公布了第四座超级工厂model y车型的产量预测，如果一切顺利，特斯拉希望在德国柏林这座超级工厂内将model y车型的产能提升至每周1万辆。『model y』　　每周生产1万辆汽车，意味着特斯拉第四超级工厂需要实现每年48万辆的总产量，这将有助于特斯拉建立良好的库存水平，并使欧洲工</t>
  </si>
  <si>
    <t>2020/02/21 09:15:00</t>
  </si>
  <si>
    <t>日前，特斯拉公布了第四座超级工厂model y车型的产量预测，如果一切顺利，特斯拉希望在德国柏林这座超级工厂内将model y车型的产能提升至每周1万辆。『model y』    每周生产1万辆汽车，意味着特斯拉第四超级工厂需要实现每年48万辆的总产量，这将有助于特斯拉建立良好的库存水平，并使欧洲工</t>
  </si>
  <si>
    <t>　　由新型冠状病毒感染的肺炎疫情尚在紧急防治中，在疫情期间，奇瑞新能源针对用户推出了线上服务渠道，用户可通过官网、线上展厅等渠道在线看车，并通过“奇瑞小蚂蚁”小程序或电商平台等方式进行在线购车，全程不用出门，就能轻松享受在线购车服务。　　在线看车 足不出户　　奇瑞新能源官方推出线上vr智能展厅，用户</t>
  </si>
  <si>
    <t>2020/02/21 09:14:00</t>
  </si>
  <si>
    <t>由新型冠状病毒感染的肺炎疫情尚在紧急防治中，在疫情期间，奇瑞新能源针对用户推出了线上服务渠道，用户可通过官网、线上展厅等渠道在线看车，并通过“奇瑞小蚂蚁”小程序或电商平台等方式进行在线购车，全程不用出门，就能轻松享受在线购车服务。    在线看车 足不出户    奇瑞新能源官方推出线上vr智能展厅，</t>
  </si>
  <si>
    <t>　　日前，有海外媒体曝光了一组大众arteon r的测试谍照。大众arteon即是国内大众cc的海外版本车型，而此次曝光的arteon r则为前者的运动版。同时据海外媒体表示，该车将在今年正式发布，2021年上市。动力方面，新车将搭载全新开发的3.0升vr6涡轮增压发动机。　　外观方面，与arteo</t>
  </si>
  <si>
    <t>2020/02/21 09:13:00</t>
  </si>
  <si>
    <t>日前，有海外媒体曝光了一组大众arteon r的测试谍照。大众arteon即是国内大众cc的海外版本车型，而此次曝光的arteon r则为前者的运动版。同时据海外媒体表示，该车将在今年正式发布，2021年上市。动力方面，新车将搭载全新开发的3.0升vr6涡轮增压发动机。    外观方面，与arteo</t>
  </si>
  <si>
    <t>投诉编号：【447958】  投诉时间： 2020-02-21 09:09  投诉品牌： 一汽-大众  投诉车系： 宝来  投诉车型： 2018款 1.5L 手动 时尚型        投诉内容  大众宝来烧机油，4s点推诿扯皮说正常！大众太垃圾了，1.5自吸还烧机油！这辈子也不会买大众了。后排座椅</t>
  </si>
  <si>
    <t>2020/02/21 09:09:00</t>
  </si>
  <si>
    <t>既生瑜何生亮！简谈焕驰与大众Polo,比试之后一目了然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焕驰和大众Polo各自的表现，看</t>
  </si>
  <si>
    <t>花生酱</t>
  </si>
  <si>
    <t>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焕驰和大众Polo各自的表现，看谁更受青睐！外观：指标名称焕驰大众Polo长[mm]4</t>
  </si>
  <si>
    <t>　　在新冠肺炎疫情出现后，全国上下纷纷参与到了这场没有硝烟的“战争”中，汽车行业也涌现出一批零部件企业走在支援新型冠状病毒疫情防控的前列。近日，采埃孚集团捐赠价值400万元人民币的物资，新增口罩生产线全力支持疫情防控。　　在春节假期期间，采埃孚旗下合资公司――上海汇众萨克斯减振器有限公司，还接受了上</t>
  </si>
  <si>
    <t>在新冠肺炎疫情出现后，全国上下纷纷参与到了这场没有硝烟的“战争”中，汽车行业也涌现出一批零部件企业走在支援新型冠状病毒疫情防控的前列。近日，采埃孚集团捐赠价值400万元人民币的物资，新增口罩生产线全力支持疫情防控。    在春节假期期间，采埃孚旗下合资公司——上海汇众萨克斯减振器有限公司，还接受了上</t>
  </si>
  <si>
    <t>加快国产，造型/科技全方位进化，奔驰GLA竞争力分析奔驰几年前，伴随国内SUV市场的火爆，越来越多的豪华品牌开始了降维打击，推出足以匹配合资紧凑级SUV价位的车型，比如宝马X1、奥迪Q3，以及今天的主角奔驰GLA。其实就我个人而言，现款奔驰GLA相比其他两款车型而言，是最不像SUV的SUV，或许当时</t>
  </si>
  <si>
    <t>2020/02/21 09:08:00</t>
  </si>
  <si>
    <t>斯巴鲁翼豹e-Boxer发布，2.0L混动+四驱日前，斯巴鲁发布了IMPREZA（翼豹）e-BOXER混动版车型的宣传官图。据了解，新车基于最新款翼豹打造，搭载由2.0L发动机、电动机以及CVT变速箱组成的油电混动系统。预计该车将在近期正式发布，未来将率先在欧洲市场上市。 此前在去年年底举办的东京车</t>
  </si>
  <si>
    <t>投诉编号：【447957】投诉时间：2020-02-2109:08投诉品牌：上汽大众投诉车系：帕萨特新能源投诉车型：2019款430PHEV混动精英版投诉内容深圳市4S店不退我5000元订金，和我对接的销售与主管。只退了我一半订金，期望能退回剩下的2500块钱订金给我。因小孩得了重疾，需要大量钱治疗</t>
  </si>
  <si>
    <t>几年前，伴随国内SUV市场的火爆，越来越多的豪华品牌开始了降维打击，推出足以匹配合资紧凑级SUV价位的车型，比如宝马X1、奥迪Q3，以及今天的主角奔驰GLA。其实就我个人而言，现款奔驰GLA相比其他两款车型而言，是最不像SUV的SUV，或许当时奔驰给到它的定位也只是台跨界车吧。时至今日，基于第二代M</t>
  </si>
  <si>
    <t>日前，斯巴鲁发布了IMPREZA（翼豹）e-BOXER混动版车型的宣传官图。据了解，新车基于最新款翼豹打造，搭载由2.0L发动机、电动机以及CVT变速箱组成的油电混动系统。预计该车将在近期正式发布，未来将率先在欧洲市场上市。 此前在去年年底举办的东京车展上，中期改款的斯巴鲁IMPREZA正式亮相，而</t>
  </si>
  <si>
    <t>　　你可能无法想象人们对特斯拉电动皮卡的欢迎程度。据外媒报道，特斯拉纯电动皮卡cybertruck预订量已超过50万辆。按照车辆起售价计算，总订单金额已超200亿美元。　　2019年11月22日，特斯拉在美国洛杉矶总部正式发布了旗下首款纯电动皮卡--cybertruck，这也是特斯拉发布的第七款量产</t>
  </si>
  <si>
    <t>你可能无法想象人们对特斯拉电动皮卡的欢迎程度。据外媒报道，特斯拉纯电动皮卡cybertruck预订量已超过50万辆。按照车辆起售价计算，总订单金额已超200亿美元。    2019年11月22日，特斯拉在美国洛杉矶总部正式发布了旗下首款纯电动皮卡--cybertruck，这也是特斯拉发布的第七款量产</t>
  </si>
  <si>
    <t>小型纯电SUV市场再迎猛将，别克VELITE7申报图曝光日前，汽车品评从工信部获取到一组别克全新车型VELITE7的申报图。该车定位为小型纯电动SUV，外观延续了别克微蓝（VELITE 6）的设计语言，并采用来自LG的驱动电机，其最大输功率为30kW（177Ps），新车有望在4月北京车展前后发布亮相</t>
  </si>
  <si>
    <t>2020/02/21 09:07:00</t>
  </si>
  <si>
    <t>目标紧凑级，家用玩乐选谁好，20万元合资SUV推荐生活在这片广阔的国土上，各种各样的路况、各种各样的地形都不鲜见，常规的轿车并没有畅行天下的能力，承担不起说走就走，游于山水之间的假期出游，无法胜任日益复杂的载人载物需求，于是空间更大、通过性更强的紧凑级SUV便愈发受到消费者欢迎。虽然在这个市场中有很</t>
  </si>
  <si>
    <t>生活在这片广阔的国土上，各种各样的路况、各种各样的地形都不鲜见，常规的轿车并没有畅行天下的能力，承担不起说走就走，游于山水之间的假期出游，无法胜任日益复杂的载人载物需求，于是空间更大、通过性更强的紧凑级SUV便愈发受到消费者欢迎。虽然在这个市场中有很多堪称经典的车型，但是其中庸的表现并不能满足很多个</t>
  </si>
  <si>
    <t>日前，汽车品评从工信部获取到一组别克全新车型VELITE7的申报图。该车定位为小型纯电动SUV，外观延续了别克微蓝（VELITE 6）的设计语言，并采用来自LG的驱动电机，其最大输功率为30kW（177Ps），新车有望在4月北京车展前后发布亮相，随后会在年底左右正式上市。 外观方面，新车基本沿用别克</t>
  </si>
  <si>
    <t>　　日前现代和起亚宣布推出基于预测性信息和通讯技术打造的智能互联换挡系统（ict互联换挡系统）。该系统在车辆识别到前方道路或交通状况后，会自动将挡位调整到最佳状态，提高燃油效率/提供稳定驾驶。　　目前的自动变速箱依旧是根据驾驶员的驾驶偏好判断升降挡位，但是ict互联换挡系统会根据道路和交通状况进行自</t>
  </si>
  <si>
    <t>日前现代和起亚宣布推出基于预测性信息和通讯技术打造的智能互联换挡系统（ict互联换挡系统）。该系统在车辆识别到前方道路或交通状况后，会自动将挡位调整到最佳状态，提高燃油效率/提供稳定驾驶。    目前的自动变速箱依旧是根据驾驶员的驾驶偏好判断升降挡位，但是ict互联换挡系统会根据道路和交通状况进行自</t>
  </si>
  <si>
    <t>10万的本田混动来了，A级车空间之王披上混动，卡罗拉急了纵观目前合资紧凑型车市场，虽然竞争激烈但凭借特色都有各自的一席之地，日产的轩逸靠低廉价格外加大空间制胜，东本的思域凭借运动和口碑迷倒一片，而丰田的卡罗拉和雷凌有着混动技术的加持降服消费者。近日消息传来，向来凭借“空间大法”取胜的广本凌派宣布也要</t>
  </si>
  <si>
    <t>2020/02/21 09:06:00</t>
  </si>
  <si>
    <t>纵观目前合资紧凑型车市场，虽然竞争激烈但凭借特色都有各自的一席之地，日产的轩逸靠低廉价格外加大空间制胜，东本的思域凭借运动和口碑迷倒一片，而丰田的卡罗拉和雷凌有着混动技术的加持降服消费者。近日消息传来，向来凭借“空间大法”取胜的广本凌派宣布也要加码新增混动版本，大有要宣战卡罗拉双擎的节奏。申报信息显</t>
  </si>
  <si>
    <t>被高估的国产Model 3？实测只能开350公里特斯拉Model 3去年11月在中国生产后，售价跌至29.9万元（补贴后），热度大增，被有些媒体称为“绞杀一切国产电动车”。国产Model 3的指导价为32.38万元起，补贴后29.905万元起。现状看上去似乎是这样的。作为全球第一电动车（起码销量是这</t>
  </si>
  <si>
    <t>2020/02/21 09:05:00</t>
  </si>
  <si>
    <t>问鼎2019年销量王，看似没特点的朗逸，其实很适合消费者2018年错失年度轿车销量冠军后，2019年大众朗逸以490,944辆的销售成绩，重新夺回年度轿车销量冠军。值得注意的是，大众朗逸这一成绩不仅冠绝轿车市场，就是放到SUV、MPV等市场进行比较，也是第一名，是当之无愧的2019年销量王车型。众所</t>
  </si>
  <si>
    <t>特斯拉Model 3去年11月在中国生产后，售价跌至29.9万元（补贴后），热度大增，被有些媒体称为“绞杀一切国产电动车”。国产Model 3的指导价为32.38万元起，补贴后29.905万元起。现状看上去似乎是这样的。作为全球第一电动车（起码销量是这样的），特斯拉Model 3以其独有的操控、能量</t>
  </si>
  <si>
    <t>2018年错失年度轿车销量冠军后，2019年大众朗逸以490,944辆的销售成绩，重新夺回年度轿车销量冠军。值得注意的是，大众朗逸这一成绩不仅冠绝轿车市场，就是放到SUV、MPV等市场进行比较，也是第一名，是当之无愧的2019年销量王车型。众所周知，由于大众品牌车型外观内饰设计大同小异，朗逸相比同级</t>
  </si>
  <si>
    <t>　　2020年2月19日极星（polestar）正式发布人机交互的未来理念，将与谷歌继续合作，共同提升未来人机交互的体验。　　极星发布未来人机交互理念　　极星表示，基于原生标准化安卓车载系统，极星将继续与谷歌合作，实现更多个人专属化和场景化的体验。　　当用户靠近车辆时，车辆通过极星数字钥匙功能（po</t>
  </si>
  <si>
    <t>郑旭</t>
  </si>
  <si>
    <t>2020年2月19日极星（polestar）正式发布人机交互的未来理念，将与谷歌继续合作，共同提升未来人机交互的体验。    极星发布未来人机交互理念    极星表示，基于原生标准化安卓车载系统，极星将继续与谷歌合作，实现更多个人专属化和场景化的体验。    当用户靠近车辆时，车辆通过极星数字钥匙功</t>
  </si>
  <si>
    <t>“抗疫”持续承压，汽车业亟待政策部门“救市良药”年初新型冠状病毒疫情的爆发给了汽车行业“迎头一击”。工厂停工、经销商停业、消费者闭门不出，疫情正在给整个汽车行业造成摧枯拉朽的影响。开局不利成为了汽车市场年初的代名词，数据显示，2020年1月的汽车消费指数仅为27.5，中国汽车流通协会表示，疫情导致各</t>
  </si>
  <si>
    <t>2020/02/21 09:04:00</t>
  </si>
  <si>
    <t>一汽-大众CC Shooting Brake中国首发日前一组一汽-大众生产线新车试装的谍照曝光，让一直处于传闻中的大众CC Shooting Brake车型终于坐实。与此同时，海外冬季路测的谍照也随即曝光，但实际上这款新车早就在按序推进，2018年一季度就已经传出了一汽-大众改造生产线的消息，201</t>
  </si>
  <si>
    <t>奥迪痛失30年冠军！销量哑火，今年靠这些新车反超奔驰宝马奥迪是最早实现国产的豪华品牌，即便放眼全行业也是较早入华的一批，这般历史机遇使其在过去30多年来都能持续雄踞国内豪华品牌销量冠军地位，确实令人惊叹。然而就在2019年，奥迪的垄断地位终于被打破，无论宝马和奔驰是否分别算上MINI和Smart销量</t>
  </si>
  <si>
    <t>年初新型冠状病毒疫情的爆发给了汽车行业“迎头一击”。工厂停工、经销商停业、消费者闭门不出，疫情正在给整个汽车行业造成摧枯拉朽的影响。开局不利成为了汽车市场年初的代名词，数据显示，2020年1月的汽车消费指数仅为27.5，中国汽车流通协会表示，疫情导致各地区推迟复工，居民可支配收入下降，对汽车消费造成</t>
  </si>
  <si>
    <t>奥迪是最早实现国产的豪华品牌，即便放眼全行业也是较早入华的一批，这般历史机遇使其在过去30多年来都能持续雄踞国内豪华品牌销量冠军地位，确实令人惊叹。然而就在2019年，奥迪的垄断地位终于被打破，无论宝马和奔驰是否分别算上MINI和Smart销量，奥迪都只能以68.9万辆成绩排在BBA中的末位。不过相</t>
  </si>
  <si>
    <t>日前一组一汽-大众生产线新车试装的谍照曝光，让一直处于传闻中的大众CC Shooting Brake车型终于坐实。与此同时，海外冬季路测的谍照也随即曝光，但实际上这款新车早就在按序推进，2018年一季度就已经传出了一汽-大众改造生产线的消息，2019年11月13日，代号VW483/1的CC Shoo</t>
  </si>
  <si>
    <t>　　电是什么？在现代科技还未启蒙的古代，乌云中降临的闪电被古人认为是惩罚人类的“天神之火”。当人类于近代终于能够创造电以来，电立即成为人类生产生活最重要的能量来源。而现在，电也正在逐步替代化石燃料，越来越多悬挂绿牌正驰骋在街道上，就连曾经以大排量内燃发动机而为人知晓的美系品牌也开始将越来越多精力投入</t>
  </si>
  <si>
    <t>电是什么？在现代科技还未启蒙的古代，乌云中降临的闪电被古人认为是惩罚人类的“天神之火”。当人类于近代终于能够创造电以来，电立即成为人类生产生活最重要的能量来源。而现在，电也正在逐步替代化石燃料，越来越多悬挂绿牌正驰骋在街道上，就连曾经以大排量内燃发动机而为人知晓的美系品牌也开始将越来越多精力投入电动</t>
  </si>
  <si>
    <t>日前，有外媒报道称，特斯拉目前正在开发新型的110kWh电池组，有望将车辆续航里程提升至400英里（约合645公里）。特斯拉首席执行官埃隆·马斯克此前曾表示：“特斯拉很快就会拥有400英里续航的汽车。”    截至目前，特斯拉Model S长续航Plus版本是品牌旗下续航里程最长的车型，新车于202</t>
  </si>
  <si>
    <t>2020/02/21 08:58:00</t>
  </si>
  <si>
    <t>日前，有海外媒体拍摄到了一组新款AMG GT 73 PHEV车型的路试谍照，新车整体外观与现款AMG GT 63/63S四门轿跑车相比变化不大，只是在细节上略有差异。据悉，新车有望在3月日内瓦车展上亮相。    外观方面，谍照中的AMG GT 73 PHEV测试车基于现款AMG GT 63四门轿跑车</t>
  </si>
  <si>
    <t>2020/02/21 08:53:11</t>
  </si>
  <si>
    <t>投诉编号：【447953】
投诉时间： 2020-02-21 08:50
投诉品牌： 上汽通用五菱
投诉车系： 宝骏730
投诉车型： 2017款 1.5T 手动 尊享型 7座</t>
  </si>
  <si>
    <t>投诉编号：【447954】投诉时间：2020-02-2108:51投诉品牌：一汽-大众投诉车系：宝来投诉车型：2019款1.5L自动精英型投诉内容2019年6月份购车，到了11月份出现刹车异响，开始还不是很严重，但是最近两个月越来越严重。早上起步倒车，刹车的尖锐声，几百米外都能听到。非常让人厌烦。家</t>
  </si>
  <si>
    <t>2020/02/21 08:51:00</t>
  </si>
  <si>
    <t>这3款国产精品SUV值得推荐SUV和轿车哪个实用性更强，评心而论，对于普通老百姓来说，当然是拥有大空间、通过性好的SUV更“顾家”。特别是在四五线城市、县城及以镇区用车，轿车实用上比不上SUV。如果你需要拉一些小型家居，经常跑非铺装路面，那么轿车托底盘是常事，而SUV就显得有优势了。今天，我们推荐3</t>
  </si>
  <si>
    <t>2020/02/21 08:45:00</t>
  </si>
  <si>
    <t>SUV和轿车哪个实用性更强，评心而论，对于普通老百姓来说，当然是拥有大空间、通过性好的SUV更“顾家”。特别是在四五线城市、县城及以镇区用车，轿车实用上比不上SUV。如果你需要拉一些小型家居，经常跑非铺装路面，那么轿车托底盘是常事，而SUV就显得有优势了。今天，我们推荐3款高颜值，大空间国产精品SU</t>
  </si>
  <si>
    <t>国产全新奥迪Q3值不值得买？对于当下年轻人买车来说，汽车品牌的价值往往是很多人购车时首先考虑的要素之一，豪华品牌的入门级SUV越来越成为"真香"的存在，各大厂家也不断加强入门级产品的实力。而30万预算、豪华品牌、SUV车型也成为不少朋友选车时的首要几个要求。今天咖哥就给大家介绍一款在去年4月份上海车</t>
  </si>
  <si>
    <t>2020/02/21 08:43:00</t>
  </si>
  <si>
    <t>对于当下年轻人买车来说，汽车品牌的价值往往是很多人购车时首先考虑的要素之一，豪华品牌的入门级SUV越来越成为"真香"的存在，各大厂家也不断加强入门级产品的实力。而30万预算、豪华品牌、SUV车型也成为不少朋友选车时的首要几个要求。今天咖哥就给大家介绍一款在去年4月份上海车展上市的国产全新奥迪Q3，其</t>
  </si>
  <si>
    <t>3款热门中型纯电SUV推荐眼下，全国已经全面进入抗击新冠肺炎疫情的战斗中，延长假期、推出相关交通政策、推迟工厂复工时间等，国家、企业、人民都在这场战斗中履行着自己的职责，这些工作已经显示出了一定的成效，咖哥也相信我们一定能取得疫情防控的最终胜利。在这场没有硝烟的战"疫"结束后，一定会激起很多潜在购车</t>
  </si>
  <si>
    <t>2020/02/21 08:42:00</t>
  </si>
  <si>
    <t>眼下，全国已经全面进入抗击新冠肺炎疫情的战斗中，延长假期、推出相关交通政策、推迟工厂复工时间等，国家、企业、人民都在这场战斗中履行着自己的职责，这些工作已经显示出了一定的成效，咖哥也相信我们一定能取得疫情防控的最终胜利。在这场没有硝烟的战"疫"结束后，一定会激起很多潜在购车用户的买车欲望，必定拥有一</t>
  </si>
  <si>
    <t>　　日前，大众官方表示将在日内瓦车展上发布全新一代高尔夫GTI，根据此前发布的预热图，全新高尔夫GTI将会使用设计风格更为激进的前保险杠。预计新车在日内瓦车展首发后，将于今年下半年正式开售。全新一代高尔夫GTI预热图　　外观方面，预热图展示了全新高尔夫GTI极其前卫的车头造型，采用大众最新的家族样式</t>
  </si>
  <si>
    <t>日前，大众官方表示将在日内瓦车展上发布全新一代高尔夫GTI，根据此前发布的预热图，全新高尔夫GTI将会使用设计风格更为激进的前保险杠。预计新车在日内瓦车展首发后，将于今年下半年正式开售。全新一代高尔夫GTI预热图    外观方面，预热图展示了全新高尔夫GTI极其前卫的车头造型，采用大众最新的家族样式</t>
  </si>
  <si>
    <t>2020款长安CS75值不值得买可以说10万级SUV车型在市场上的竞争自始至终都是比较激烈的，单看每个月的销量排行榜就知道，而颜值、配置、动力这些都是核心要素，如果您要考虑性价比的话，那么一定不要小瞧中国品牌车型。今天咖哥就给大家介绍一款性价比还不错的紧凑型SUV车型，那就是长安汽车旗下的：2020</t>
  </si>
  <si>
    <t>2020/02/21 08:41:00</t>
  </si>
  <si>
    <t>可以说10万级SUV车型在市场上的竞争自始至终都是比较激烈的，单看每个月的销量排行榜就知道，而颜值、配置、动力这些都是核心要素，如果您要考虑性价比的话，那么一定不要小瞧中国品牌车型。今天咖哥就给大家介绍一款性价比还不错的紧凑型SUV车型，那就是长安汽车旗下的：2020款长安CS75，作为一款在中国品</t>
  </si>
  <si>
    <t>日前，有国外媒体曝光了斯柯达品牌2020年的产品规划。斯柯达旗下销量冠军车型--Octavia（明锐）将推出1.0T发动机版本，同时RS车型还将提供插电混动版本，新车将于3月份举办的日内瓦车展上正式亮相。全新斯柯达Octavia遐想图    通过外媒曝光的计划书可以看到，斯柯达品牌新增的RS车型将在</t>
  </si>
  <si>
    <t>日前，本田在欧洲和美国市场发布了两款思域TYPE R的新车型，分别为思域TYPE R Limited Edition和本田思域TYPE R Sport Line。前者拥有更加激进的调教，后者更加倾向舒适，两款车型在美国市场限量推出600台/欧洲市场限量100台。思域TYPE R Limited Ed</t>
  </si>
  <si>
    <t>2020/02/21 08:38:00</t>
  </si>
  <si>
    <t xml:space="preserve">　　日前，本田在欧洲和美国市场发布了两款思域TYPE R的新车型，分别为思域TYPE R Limited Edition和本田思域TYPE R Sport Line。前者拥有更加激进的调教，后者更加倾向舒适，两款车型在美国市场限量推出600台/欧洲市场限量100台。思域TYPE R Limited </t>
  </si>
  <si>
    <t>16款全新一代君越 1.5T加92#，还是95#好呢 ？</t>
  </si>
  <si>
    <t>2020/02/21 08:21:13</t>
  </si>
  <si>
    <t>投诉编号：【447952】  投诉时间： 2020-02-21 08:21  投诉品牌： 广汽菲克菲亚特  投诉车系： 致悦  投诉车型： 2014款 1.4T 自动 舒适型        投诉内容  2015年8月1日回乡下，下坡时候出现发动机异常，变速箱失效，手动不可用，打维修电话，说可能误报，</t>
  </si>
  <si>
    <t>2020/02/21 08:21:00</t>
  </si>
  <si>
    <t>车刚刚过质保期离合器就损坏，4S店说是进水造成飞轮生锈的问题，打开以后离合器铸承损坏还让我花费1万多元，明明就是技术问题质量问题，为什么不给解决，一年了还没有给我解决，这样的情况全国多着呢，为什么不给召回解决！希望有关部门给于解决，谢谢！</t>
  </si>
  <si>
    <t>子小猛傻X</t>
  </si>
  <si>
    <t>2020/02/21 08:17:00</t>
  </si>
  <si>
    <t>本人提车时间是2020年1月16日，2月17日仪表盘发动机故障灯亮起，车辆加速不顺畅。2月19日上海利星奔驰维修中心检测提示变速箱阀体问题，维修中心要求签署维修单，本人没有同意，由于该问题属于变速箱主要部件问题，所以提出了解决方案。奔驰售后再次要求维修后再谈方案，本人没有同意，担心他们动手脚，目前僵</t>
  </si>
  <si>
    <t>身心俱疲</t>
  </si>
  <si>
    <t>飞轮生锈可以免费解决am？车刚刚过质保期离合器就损坏，4S店说是进水造成飞轮生锈的问题，打开以后离合器铸承损坏还让我花费1万多元，明明就是技术问题质量问题，为什么不给解决，一年了还没有给我解决，这样的情况全国多着呢，为什么不给召回解决！希望有关部门给于解决，谢谢！</t>
  </si>
  <si>
    <t>发动机报警加速无力怎么才能解决？本人提车时间是2020年1月16日，2月17日仪表盘发动机故障灯亮起，车辆加速不顺畅。2月19日上海利星奔驰维修中心检测提示变速箱阀体问题，维修中心要求签署维修单，本人没有同意，由于该问题属于变速箱主要部件问题，所以提出了解决方案。奔驰售后再次要求维修后再谈方案，本人</t>
  </si>
  <si>
    <t>名爵的电瓶质量为什么这么差劲？上汽名爵HS新车购买几个月内电瓶亏电两次，导致车辆无法启动，售后检测说属正常，问题尚未解决。希望厂家可以安排工作人员尽快解决。</t>
  </si>
  <si>
    <t>本周上7天</t>
  </si>
  <si>
    <t>2020/02/21 08:16:00</t>
  </si>
  <si>
    <t>上汽名爵HS新车购买几个月内电瓶亏电两次，导致车辆无法启动，售后检测说属正常，问题尚未解决。希望厂家可以安排工作人员尽快解决。</t>
  </si>
  <si>
    <t>在广州市内道路行驶，在速度4o公里的情况下，发现轮胎漏气，经检测发现内轮毂有裂痕导致漏气，可能是轮毂质量导致。希望厂家可以安排工作人员尽快解决。</t>
  </si>
  <si>
    <t>剑指冠军</t>
  </si>
  <si>
    <t>轮毂内侧开裂是不是质量问题？在广州市内道路行驶，在速度4o公里的情况下，发现轮胎漏气，经检测发现内轮毂有裂痕导致漏气，可能是轮毂质量导致。希望厂家可以安排工作人员尽快解决。</t>
  </si>
  <si>
    <t>保养后发动机机油液位明显下降，4S店没有详细检查就说是正常的，我这个车不是涡轮增压的发动机为什么会有机油消耗？希望厂家给予解释。</t>
  </si>
  <si>
    <t>火箭升空</t>
  </si>
  <si>
    <t>2020/02/21 08:15:00</t>
  </si>
  <si>
    <t>发动机机油异常消耗怎么才能解决？保养后发动机机油液位明显下降，4S店没有详细检查就说是正常的，我这个车不是涡轮增压的发动机为什么会有机油消耗？希望厂家给予解释。</t>
  </si>
  <si>
    <t>华晨中华H230车辆OBD系统无法与验车厂检测仪链接，导致无法验车。</t>
  </si>
  <si>
    <t>钱不禁花怎么办</t>
  </si>
  <si>
    <t>2020/02/21 08:14:00</t>
  </si>
  <si>
    <t>华晨宝马3系仪表提示有故障灯亮，变速箱掉挡，无法继续再加速，联系了经销商告知属于变速箱阀体的问题，但是质疑的是不到半个月，就出现这样的情况，因此要求退换车。</t>
  </si>
  <si>
    <t>事笔比较多</t>
  </si>
  <si>
    <t>变速箱故障是宝马的通病吗？华晨宝马3系仪表提示有故障灯亮，变速箱掉挡，无法继续再加速，联系了经销商告知属于变速箱阀体的问题，但是质疑的是不到半个月，就出现这样的情况，因此要求退换车。</t>
  </si>
  <si>
    <t>OBD无法连接怎么才能解决？华晨中华H230车辆OBD系统无法与验车厂检测仪链接，导致无法验车。</t>
  </si>
  <si>
    <t>中保研25%正面碰撞测试A柱严重变形，说明A柱强度严重不足。方向盘位移过大，安全气囊无法起到保护驾驶员的作用。请上汽大众给广大车主一个说法，召回，退车。上汽大众帕萨特的正面25%偏置碰撞试验在两个月前已经完成，当时厂家技术人员现场跟踪并观看了碰撞试验，图片来看众多网友已经对其成绩没有太多期望，结果显</t>
  </si>
  <si>
    <t>人工牛黄甲硝唑胶囊</t>
  </si>
  <si>
    <t>2020/02/21 08:13:00</t>
  </si>
  <si>
    <t>A柱偷工减料帕萨塔还有销量吗？中保研25%正面碰撞测试A柱严重变形，说明A柱强度严重不足。方向盘位移过大，安全气囊无法起到保护驾驶员的作用。请上汽大众给广大车主一个说法，召回，退车。上汽大众帕萨特的正面25%偏置碰撞试验在两个月前已经完成，当时厂家技术人员现场跟踪并观看了碰撞试验，图片来看众多网友已</t>
  </si>
  <si>
    <t>上次是1月16日投诉冷启动冒黑烟。至今4S店没有给解决，现在又出现转向异响、刹车异响，不知道什么时候能解决问题，希望厂家可以安排工作人员尽快解决。</t>
  </si>
  <si>
    <t>牙疼不是病疼起来真要命</t>
  </si>
  <si>
    <t>2020/02/21 08:12:00</t>
  </si>
  <si>
    <t>奇骏冒黑烟是不是共性问题？上次是1月16日投诉冷启动冒黑烟。至今4S店没有给解决，现在又出现转向异响、刹车异响，不知道什么时候能解决问题，希望厂家可以安排工作人员尽快解决。</t>
  </si>
  <si>
    <t>发动机漏防冻液，免维护电瓶亏电。服务站以保养记录不全拒保，防冻液跟换机油有关系吗？电瓶跟换机油有关系吗？就拒保，是众泰厂家要倒闭了吗？我买的二手车，我上哪里去找保养手册去？还不是跟个人买的，是二手车平台买的，别人有检测的。要求厂家给我质保。</t>
  </si>
  <si>
    <t>希望可以中</t>
  </si>
  <si>
    <t>2020/02/21 08:11:00</t>
  </si>
  <si>
    <t>你好我反应的是车子还在质保期，并且还购买了延保。车子发生严重烧机油，发动机损伤厂家拒保。购买车型为：17款哈弗H9豪华7坐版本。车子在新车1保的时候快到2保的公里数时候我跑高速超车无力，加不上油的感觉。在深圳市4s店保养期间反应，并且经4s店工作人员确实为少机油。机油卡尺为最下线。我询问是不是烧机油</t>
  </si>
  <si>
    <t>一帆风顺加小鱼</t>
  </si>
  <si>
    <t>哈弗烧机油问题确实是比较多的怎么办？你好我反应的是车子还在质保期，并且还购买了延保。车子发生严重烧机油，发动机损伤厂家拒保。购买车型为：17款哈弗H9豪华7坐版本。车子在新车1保的时候快到2保的公里数时候我跑高速超车无力，加不上油的感觉。在深圳市4s店保养期间反应，并且经4s店工作人员确实为少机油。</t>
  </si>
  <si>
    <t>发动机漏防冻液电瓶亏电是众泰的通病吗？发动机漏防冻液，免维护电瓶亏电。服务站以保养记录不全拒保，防冻液跟换机油有关系吗？电瓶跟换机油有关系吗？就拒保，是众泰厂家要倒闭了吗？我买的二手车，我上哪里去找保养手册去？还不是跟个人买的，是二手车平台买的，别人有检测的。要求厂家给我质保。</t>
  </si>
  <si>
    <t>正常行驶中出现变速箱故障报警灯，打电话询问售后服务，售后给了当地维修服务商电话号码。致电当地维修服务商咨询维修，服务商说维修费用在2万元左右，不能走质保维修，服务商态度恶劣并挂断电话。（备注：质保书明确车辆包修期：3年或者行驶里程60000公里。本车行驶里程45000公里，不论从时间还是里程都未超出</t>
  </si>
  <si>
    <t>煞笔！</t>
  </si>
  <si>
    <t>2020/02/21 08:08:00</t>
  </si>
  <si>
    <t>北汽幻速S6变速箱故障灯报警 质保在么哪里！正常行驶中出现变速箱故障报警灯，打电话询问售后服务，售后给了当地维修服务商电话号码。致电当地维修服务商咨询维修，服务商说维修费用在2万元左右，不能走质保维修，服务商态度恶劣并挂断电话。（备注：质保书明确车辆包修期：3年或者行驶里程60000公里。本车行驶里</t>
  </si>
  <si>
    <t>新车不到2000公里发现行驶中发动机异响，去了三次维修站都没有解决，维修站联系厂家，厂家在没有到达现场和维修技师的情况下”就下定结论异响正常，现在维修站也不给维修，维修站让消费者走法律程序诉讼厂家。这就是奇瑞的售后，真叫消费者寒心，出了问题相互推卸责任。</t>
  </si>
  <si>
    <t>一瞬间的火花</t>
  </si>
  <si>
    <t>2020/02/21 08:06:00</t>
  </si>
  <si>
    <t>投诉编号：【447951】  投诉时间： 2020-02-21 08:06  投诉品牌： 东风本田  投诉车系： 思域  投诉车型： 2016款 220TURBO 自动 豪华版        投诉内容  轮胎掉块2019年11份向厂家索赔遭拒。2019年9月份开始，冷车起步与刹车时制动系统有嘭嘭嘭异</t>
  </si>
  <si>
    <t>艾瑞泽5行驶中发动机异响厂家不解决啊！新车不到2000公里发现行驶中发动机异响，去了三次维修站都没有解决，维修站联系厂家，厂家在没有到达现场和维修技师的情况下”就下定结论异响正常，现在维修站也不给维修，维修站让消费者走法律程序诉讼厂家。这就是奇瑞的售后，真叫消费者寒心，出了问题相互推卸责任。这是什么</t>
  </si>
  <si>
    <t>变速箱换挡异响，上坡加速无力，发动机冷车启动转速回落的时候有异常响声，希望厂家处理。</t>
  </si>
  <si>
    <t>2020/02/21 08:05:00</t>
  </si>
  <si>
    <t>探岳变速箱和发动机异响 还上坡无力变速箱换挡异响，上坡加速无力，发动机冷车启动转速回落的时候有异常响声，希望厂家处理。变速箱的问题吗？</t>
  </si>
  <si>
    <t>日前，标致汽车发布了全新皮卡车型——标致Landtrek的官方图片，新车由长安汽车与PSA集团联合打造而来，与长安凯程F70为同平台的姊妹车型。未来，标致Landtrek将主要销往拉丁美洲和撒哈拉以南的非洲地区市场。    外观方面，新车采用了标致家族式前脸设计，硕大的倒梯形进气格栅周围由镀铬材料勾</t>
  </si>
  <si>
    <t>2020/02/21 08:04:00</t>
  </si>
  <si>
    <t>新车开了12800公里，高压油泵异响，声音很大。4s店工作人员说这是奥迪1.4t通病，所有奥迪1.4都有这个毛病，就是换高压油泵跑一段时间也会响，而且厂家也解决不了！这个车就那样，并且新款车也有这问题。问了其他2个修理厂也说弄不了，即使换新高压油泵开3000公里还会响，真是郁闷死个人，平时除了上下班</t>
  </si>
  <si>
    <t>2020/02/21 08:03:00</t>
  </si>
  <si>
    <t>上汽名爵ZS中控触摸屏黑屏，由于病毒原因没有到汽车修理厂，现在不知道该怎么处理。</t>
  </si>
  <si>
    <t>名爵ZS中控触摸屏黑屏上汽名爵ZS中控触摸屏黑屏，由于病毒原因没有到汽车修理厂，现在不知道该怎么处理。名爵的问题真的是太普遍了</t>
  </si>
  <si>
    <t>大众奥迪Q3高压油泵异响新车开了12800公里，高压油泵异响，声音很大。4s店工作人员说这是奥迪1.4t通病，所有奥迪1.4都有这个毛病，就是换高压油泵跑一段时间也会响，而且厂家也解决不了！这个车就那样，并且新款车也有这问题。问了其他2个修理厂也说弄不了，即使换新高压油泵开3000公里还会响，真是郁</t>
  </si>
  <si>
    <t>领克03使用的固特异轮胎开裂，尤其是前轮特别严重，存在质量问题，希望厂家处理。</t>
  </si>
  <si>
    <t>2020/02/21 08:02:00</t>
  </si>
  <si>
    <t>2020/02/21 08:01:00</t>
  </si>
  <si>
    <t>大众帕萨特A柱碰撞测试不合格 厂家怎么说中保研25%正面碰撞测试A柱严重变形，说明A柱强度严重不足。方向盘位移过大，安全气囊无法起到保护驾驶员的作用。请上汽大众给广大车主一个说法，召回，退车。上汽大众帕萨特的正面25%偏置碰撞试验在两个月前已经完成，当时厂家技术人员现场跟踪并观看了碰撞试验，图片来看</t>
  </si>
  <si>
    <t>在无任何人为因素及事故前提下。菲翔12款尊享版自带蓝牙模块无法连接使用（无法蓝牙音乐播放，无法启动车载免提通话功能），行车里程表一直闪烁，直接影响行车安全。经过了解该款车型全国范围内同样故障普遍发生，不是不当使用问题，而是产品设计缺陷导致，属于“三包”以外的产品缺陷，应该属于汽车召回范围。经沟通4S</t>
  </si>
  <si>
    <t>2020/02/21 08:00:00</t>
  </si>
  <si>
    <t>菲亚特菲翔蓝牙连接异常这还怎么用啊！在无任何人为因素及事故前提下。菲翔12款尊享版自带蓝牙模块无法连接使用（无法蓝牙音乐播放，无法启动车载免提通话功能），行车里程表一直闪烁，直接影响行车安全。经过了解该款车型全国范围内同样故障普遍发生，不是不当使用问题，而是产品设计缺陷导致，属于“三包”以外的产品缺</t>
  </si>
  <si>
    <t>大众速腾两后锦湖轮胎不规则磨损大众速腾原厂配置锦湖轮胎，正常行驶工况下后部两轮不规则磨损，噪音严重，影响驾驶安全与成员舒适度，造成车主神经性耳鸣。经4S店检测为轮胎质量问题，但要求车主自行更换轮胎，不符合国家三包法及国家关于整车质保的最新处理意见。还有就是发动机噪音巨大:明显除气门声音外还有高压油泵</t>
  </si>
  <si>
    <t>2020/02/21 07:59:00</t>
  </si>
  <si>
    <t>大众速腾原厂配置锦湖轮胎，正常行驶工况下后部两轮不规则磨损，噪音严重，影响驾驶安全与成员舒适度，造成车主神经性耳鸣。经4S店检测为轮胎质量问题，但要求车主自行更换轮胎，不符合国家三包法及国家关于整车质保的最新处理意见。还有就是发动机噪音巨大:明显除气门声音外还有高压油泵内小盅碗震动声音。发动机抖动。</t>
  </si>
  <si>
    <t>长安睿骋胎压监测故障灯报警，联系4S店不给质保（购买的是二手车）说是通过系统查询不到相关车辆信息，说我的车不在三包范围内。</t>
  </si>
  <si>
    <t>看图 睿骋胎压监测故障灯亮长安睿骋胎压监测故障灯报警，联系4S店不给质保（购买的是二手车）说是通过系统查询不到相关车辆信息，说我的车不在三包范围内。</t>
  </si>
  <si>
    <t>2020/02/21 07:52:36</t>
  </si>
  <si>
    <t>投诉编号：【447950】
投诉时间： 2020-02-21 07:48
投诉品牌： 猎豹汽车
投诉车系： Mattu
投诉车型： 2018款 1.6T GDI 手动 精英型</t>
  </si>
  <si>
    <t>2010年大众宝来P1388故障码什么意思？</t>
  </si>
  <si>
    <t>2020/02/21 07:39:20</t>
  </si>
  <si>
    <t>　　日前，海外媒体曝光了一组全新Cupra Leon车型的官图。Cupra本为西雅特品牌旗下高性能系列车型代号，定位类似大众品牌的R系列，不过Cupra现已过渡为全新独立品牌，拥有独立的品牌徽标。据悉，新车或将于2020年年底正式亮相。全新Cupra Leon全新Cupra Leon　　外观设计上，</t>
  </si>
  <si>
    <t>2020/02/21 07:36:00</t>
  </si>
  <si>
    <t>日前，海外媒体曝光了一组全新Cupra Leon车型的官图。Cupra本为西雅特品牌旗下高性能系列车型代号，定位类似大众品牌的R系列，不过Cupra现已过渡为全新独立品牌，拥有独立的品牌徽标。据悉，新车或将于2020年年底正式亮相。全新Cupra Leon全新Cupra Leon    外观设计上，</t>
  </si>
  <si>
    <t>刚提一个多月新车，车门不好关，便好大劲才能关上，怎么办？</t>
  </si>
  <si>
    <t>2020/02/21 07:34:56</t>
  </si>
  <si>
    <t>骏派D60使用的是什么品牌发动机？</t>
  </si>
  <si>
    <t>2020/02/21 07:30:44</t>
  </si>
  <si>
    <t>请问各位大师，小汽车贴挡风玻璃的胶掉了点在叶子板上干了，怎么也洗不掉，各位大师有什么办法解决左了这黑色的胶？</t>
  </si>
  <si>
    <t>2020/02/21 07:26:35</t>
  </si>
  <si>
    <t>五菱宏光S3这款车质量怎么样？是否存在严重的内饰气味问题？</t>
  </si>
  <si>
    <t>请问大师们我的是11款伊兰特，加速时有抖动是哪里出问题了？？谢谢！</t>
  </si>
  <si>
    <t>见故障码u0293-87，故障原因:abs制动控制系统。故障描述-与hcu模块失去通信，can通信错误。怎么维修。</t>
  </si>
  <si>
    <t>2020/02/21 07:21:40</t>
  </si>
  <si>
    <t>4S店更换变速箱油后出现二挡升三挡顿挫，4S店先是更新电脑程序没有效果，又更换变速箱阀体依然顿挫，又更新电脑程序依然顿挫！现车辆购买两年四个月行驶55000公里！请问在法律上是否有说法！</t>
  </si>
  <si>
    <t>2020/02/21 07:17:44</t>
  </si>
  <si>
    <t>作为国内领先的缺陷汽车产品信息收集平台，2019年车质网共收到轮胎问题实名客诉2,605宗，共涉及到34个轮胎品牌，约占2019年度车质网总投诉量的3%，达到近三年来的最高点。同期，有9家轮胎企业受理消费者投诉并做出回复，投诉回复数为1,240个，投诉回复率达47.6%。    对汽车产品而言，质量</t>
  </si>
  <si>
    <t>2020/02/21 07:10:00</t>
  </si>
  <si>
    <t>性能车的确会让很多人无法抗拒，驾驶这些车型，能让人类体验到极强的速度感，感受极致的驾驶乐趣，享受美妙的回火声浪。当然，为了获得这些也要承担一些风险，因为大马力的性能车并不像普通家用车那样好驾驭，就像烈马难驯。作为德系性能车的代表，奥迪RS车型都搭载Quattro四驱系统，正因为它的存在，性能车的极限</t>
  </si>
  <si>
    <t>　　性能车的确会让很多人无法抗拒，驾驶这些车型，能让人类体验到极强的速度感，感受极致的驾驶乐趣，享受美妙的回火声浪。当然，为了获得这些也要承担一些风险，因为大马力的性能车并不像普通家用车那样好驾驭，就像烈马难驯。作为德系性能车的代表，奥迪RS车型都搭载Quattro四驱系统，正因为它的存在，性能车的</t>
  </si>
  <si>
    <t>　　作为国内领先的缺陷汽车产品信息收集平台，2019年车质网共收到轮胎问题实名客诉2,605宗，共涉及到34个轮胎品牌，约占2019年度车质网总投诉量的3%，达到近三年来的最高点。同期，有9家轮胎企业受理消费者投诉并做出回复，投诉回复数为1,240个，投诉回复率达47.6%。　　对汽车产品而言，质量</t>
  </si>
  <si>
    <t>荣威360跑高速方问盘卡顿，什么问题，谢谢？</t>
  </si>
  <si>
    <t>2020/02/21 07:08:42</t>
  </si>
  <si>
    <t>上汽大众汽车一年过一个月，电瓶不存电，怎么办？</t>
  </si>
  <si>
    <t>朗逸1.4T首保4S店用的是普通的机油怎么样？</t>
  </si>
  <si>
    <t>2020/02/21 07:04:42</t>
  </si>
  <si>
    <t>打开暖风，但是又担心油耗的问题怎么办？其实不用担心，因为暖风根本不会增加油耗。为啥暖风不耗油？暖风如果耗油的话，一定是你打开的方式不对。空调制冷之所以耗油是因为制冷的时候空调压缩机需要由发动机带动，压缩机的工作需要消耗发动机的能量因此产生了油耗。而开暖风的话，其工作原理是不一样的。汽车暖风不需要单独</t>
  </si>
  <si>
    <t>2020/02/21 06:55:00</t>
  </si>
  <si>
    <t>打开空调暖风会增加汽车油耗吗？打开暖风，但是又担心油耗的问题怎么办？其实不用担心，因为暖风根本不会增加油耗。为啥暖风不耗油？暖风如果耗油的话，一定是你打开的方式不对。空调制冷之所以耗油是因为制冷的时候空调压缩机需要由发动机带动，压缩机的工作需要消耗发动机的能量因此产生了油耗。而开暖风的话，其工作原理</t>
  </si>
  <si>
    <t>投诉编号：【447944】  投诉时间： 2020-02-20 23:57  投诉品牌： 上汽集团  投诉车系： 名爵6  投诉车型： 2018款 20T 自动 豪华智联版 国VI        投诉内容  汽车电瓶亏电，已经换了两次电池，依旧亏电，第一次停了七天，无法正常打火，第二次停了八天，这次</t>
  </si>
  <si>
    <t>2020/02/20 23:57:00</t>
  </si>
  <si>
    <t>2020/02/20 23:55:43</t>
  </si>
  <si>
    <t>投诉编号：【447943】
投诉时间： 2020-02-20 23:23
投诉品牌： 华晨宝马
投诉车系： 宝马5系
投诉车型： 2017款 525Li 豪华设计套装</t>
  </si>
  <si>
    <t>2020/02/20 23:22:06</t>
  </si>
  <si>
    <t>投诉编号：【447935】
投诉时间： 2020-02-20 22:58
投诉品牌： 东风雪铁龙
投诉车系： 世嘉
投诉车型： 2010款 2.0 自动 时尚型</t>
  </si>
  <si>
    <t>投诉编号：【447942】  投诉时间： 2020-02-20 23:21  投诉品牌： 上汽斯柯达  投诉车系： Yeti  投诉车型： 2014款 1.4TSI 手动 探索版        投诉内容  18年夏天开风扇，一股臭脚味道，吹一会就见轻，在开制冷外循环情况下味道见轻，后来越来越严重，1</t>
  </si>
  <si>
    <t>2020/02/20 23:21:00</t>
  </si>
  <si>
    <t>投诉编号：【447941】  投诉时间： 2020-02-20 23:16  投诉品牌： 众泰汽车  投诉车系： 众泰T700  投诉车型： 2017款 1.8T 双离合 尊贵型        投诉内容  19年初开始陆陆续续的出现这些问题，方向盘卡顿，变速箱顿挫，刹车抖动，A柱断裂，副驾驶A柱漏水</t>
  </si>
  <si>
    <t>2020/02/20 23:16:00</t>
  </si>
  <si>
    <t>投诉编号：【447939】  投诉时间： 2020-02-20 23:04  投诉品牌： 上汽集团  投诉车系： 名爵6  投诉车型： 2017款 20T 自动 精英智联版 国V        投诉内容  车子买回来用一段时间后一直顿挫异响，去了几次4s保养让检查，店里师傅都说是这个双离合变速箱就是</t>
  </si>
  <si>
    <t>2020/02/20 23:04:00</t>
  </si>
  <si>
    <t>投诉编号：【447938】  投诉时间： 2020-02-20 23:04  投诉品牌： 众泰汽车  投诉车系： 众泰T700  投诉车型： 2017款 1.8T 双离合 旗舰型        投诉内容  发动机漏防冻液，免维护电瓶亏电。服务站以保养记录不全拒保，防冻液跟换机油有关系吗？电瓶跟换机油</t>
  </si>
  <si>
    <t>投诉编号：【447936】  投诉时间： 2020-02-20 23:01  投诉品牌： 东风本田  投诉车系： 思域  投诉车型： 2016款 220TURBO 自动 尊贵版        投诉内容  东风本田思域一直正常使用，轮胎就掉皮。问过好多思域车主，都有这问题，希望商家快点帮忙解决。希望厂</t>
  </si>
  <si>
    <t>2020/02/20 23:01:00</t>
  </si>
  <si>
    <t>2020/02/20 22:18:22</t>
  </si>
  <si>
    <t>投诉编号：【447929】
投诉时间： 2020-02-20 21:28
投诉品牌： 长安福特
投诉车系： 蒙迪欧
投诉车型： 2018款 EcoBoost 180 时尚型</t>
  </si>
  <si>
    <t>投诉编号：【447933】  投诉时间： 2020-02-20 22:17  投诉品牌： 长城汽车  投诉车系： 哈弗H9  投诉车型： 2017款 2.0T 四驱 豪华型 7座 汽油        投诉内容  你好我反应的是车子还在质保期，并且还购买了延保。车子发生严重烧机油，发动机损伤厂家拒保。</t>
  </si>
  <si>
    <t>2020/02/20 22:17:00</t>
  </si>
  <si>
    <t>2020/02/20 21:58:15</t>
  </si>
  <si>
    <t>投诉编号：【447931】
投诉时间： 2020-02-20 21:42
投诉品牌： 吉利汽车
投诉车系： 帝豪
投诉车型： 2016款 1.5L CVT 向上版 三厢</t>
  </si>
  <si>
    <t>投诉编号：【447930】  投诉时间： 2020-02-20 21:37  投诉品牌： 东风日产  投诉车系： 奇骏  投诉车型： 2019款 2.0L CVT 智联舒适版 5座 2WD        投诉内容  上次是1月16日投诉冷启动冒黑烟。至今4S店没有给解决，现在又出现转向异响、刹车异响</t>
  </si>
  <si>
    <t>2020/02/20 21:37:00</t>
  </si>
  <si>
    <t>投诉编号：【447924】  投诉时间： 2020-02-20 20:21  投诉品牌： 东风标致  投诉车系： 标致308S  投诉车型： 2015款 1.2T 自动 劲驰版        投诉内容  车子加满油或油量过满的情况下 连续加速会报故障码，导致车子严重抖动，严重时至熄火，故障码为P01</t>
  </si>
  <si>
    <t>2020/02/20 20:21:00</t>
  </si>
  <si>
    <t>投诉编号：【447925】  投诉时间： 2020-02-20 20:21  投诉品牌： 一汽丰田  投诉车系： 皇冠  投诉车型： 2017款 2.0T 运动版        投诉内容  2020年1月30车子在揭阳检查左边方向机异响，右边正常，维修技术2020年2月11店邀请本人到店试车，确认之</t>
  </si>
  <si>
    <t>帕萨特 一辆值得拥有的好车自己现在已经而立之年，工作也10多年了，以前开的福特福克斯，现在觉得车小了就想换一台，开始一直纠结买轿车还是SUV,最后还是选择了轿车，后来本人觉得轿车更舒适，操控也更好确定了后就准备看车。20万选什么车，问了下周边的朋友，基本都推荐帕萨特，有说颜值高的，有说配置豪华的，也</t>
  </si>
  <si>
    <t>伟哥霸道</t>
  </si>
  <si>
    <t>2020/02/20 20:01:00</t>
  </si>
  <si>
    <t>2015款汉兰达群发故障：曲轴后油封漏油2015年5月份提的汉兰达，一直在4s店按说明书保养，两年前我发现底盘机油排放口靠右位置有一片油乎乎的，问师傅，说是换机油时溅的，不用管，然后喷了点东西，我看着就比较干燥了。之后的几次保养也没人提这事。直到今天2020-2-20到店11万公里保养，师傅跟前台接</t>
  </si>
  <si>
    <t>13901247780tlh</t>
  </si>
  <si>
    <t>2020/02/20 19:43:00</t>
  </si>
  <si>
    <t>为返程做准备 开着小帕去备货在家也待了一会时日，也看到周围人陆陆续续准备返程复工。我也和老婆商量着要回去了。帕萨特这辆车，当时是冲着家用入手的。所以我们第一个比较在意的就是空间：4933*1836*1469mm的长宽高，和同级比起来甚是优越，就连它的兄弟车型迈腾，长度也仅为4866mm。所以坐进自己</t>
  </si>
  <si>
    <t>2020/02/20 19:39:00</t>
  </si>
  <si>
    <t>西装暴徒 —— 试驾哥们的新款帕萨特要说帕萨特是西装暴徒可一点都不夸张，哥们这辆2.0T的帕萨特，搭载了大众EA888的发动机，DQ381 7速湿式双离合变速器，最大功率220马力，峰值扭矩350牛米。不仅数据上很优越，而且我实际开下来最大的感受就是起步时油门的响应也很适中，不会特别蹿，后期提速快运</t>
  </si>
  <si>
    <t>2020/02/20 19:37:00</t>
  </si>
  <si>
    <t>投诉编号：【447921】  投诉时间： 2020-02-20 19:25  投诉品牌： 北京现代  投诉车系： 悦动  投诉车型： 2018款 1.6L 自动 悦目版 GL 国V        投诉内容  从购车到现在目前为止出现了九次启动困难，有六次是第二把就能打着火，三次是需要第三把才打着火。</t>
  </si>
  <si>
    <t>2020/02/20 19:25:00</t>
  </si>
  <si>
    <t xml:space="preserve">投诉编号：【447918】  投诉时间： 2020-02-20 18:51  投诉品牌： 雷克萨斯  投诉车系： 雷克萨斯ES  投诉车型： 2020款 260 卓越版        投诉内容  发动机仓左右前轮上方有泥浆进入，找到鞍山雷克萨斯销售有限公司后，公司未能给予解决。      投诉回复 </t>
  </si>
  <si>
    <t>2020/02/20 18:51:00</t>
  </si>
  <si>
    <t>2020/02/20 18:26:28</t>
  </si>
  <si>
    <t>投诉编号：【447916】
投诉时间： 2020-02-20 18:12
投诉品牌： 广汽本田
投诉车系： 飞度
投诉车型： 2014款 1.5L CVT LX舒适型</t>
  </si>
  <si>
    <t>还没尝试过房车自驾游？那就看看这两款四驱越野房车没有体验过自驾游的人生是不完整的人生，没有体验过房车自驾游的人生更是缺少了乐趣。旅行是人生最好的修行，在旅行中感受自然的美丽，感受亲情、友情与爱情的美好，更开启不同的视角来看世界，重新认识自己，发掘自己不同的一面，多么奇妙。本期我们就来介绍一下2款可以</t>
  </si>
  <si>
    <t>2020/02/20 18:17:00</t>
  </si>
  <si>
    <t xml:space="preserve">投诉编号：【447915】  投诉时间： 2020-02-20 18:08  投诉品牌： 吉利汽车  投诉车系： 帝豪  投诉车型： 2018款 1.5L 手动 向上互联版        投诉内容  吉利帝豪车身不同部位生锈，前头盖生锈，好多地方都有类似的情况，存在质量问题。      投诉回复  </t>
  </si>
  <si>
    <t>2020/02/20 18:08:00</t>
  </si>
  <si>
    <t xml:space="preserve">投诉编号：【447914】  投诉时间： 2020-02-20 17:53  投诉品牌： 江铃汽车  投诉车系： 驭胜S350  投诉车型： 2016款 2.0T 自动 两驱 汽油 超豪华版 5座        投诉内容  驾驶位车门下角排水孔位置油漆鼓包，从车门里面向外生锈，目测车门铁皮已锈穿！ </t>
  </si>
  <si>
    <t>2020/02/20 17:53:00</t>
  </si>
  <si>
    <t>投诉编号：【447913】  投诉时间： 2020-02-20 17:43  投诉品牌： 上汽通用五菱  投诉车系： 宝骏730  投诉车型： 2016款 1.5L 手动 豪华型 7座        投诉内容  水箱漏水是最近发现的。减震咯吱咯吱的响老长时间了。      投诉回复  车质网已将您的</t>
  </si>
  <si>
    <t>2020/02/20 17:43:00</t>
  </si>
  <si>
    <t>怎样正确测量发动机机油的液位呢？</t>
  </si>
  <si>
    <t>2020/02/20 17:19:29</t>
  </si>
  <si>
    <t>三大件都一样，20万就能买丰田亚洲龙，为啥要花30万买雷克萨斯ES呢？亚洲龙目前是丰田旗下旗舰车型，上市后便获得广泛关注，特别是入门版价格低至20万，更是让消费者欲罢不能。为啥说亚洲龙比雷克萨斯ES性价比更高呢？三大件都一样，平台也一样，20万就能买亚洲龙，干嘛要花30万买雷克萨斯ES呢？ 经过仔细</t>
  </si>
  <si>
    <t>2020/02/20 17:16:00</t>
  </si>
  <si>
    <t>20万就能买亚洲龙 为啥要花30万买雷克萨斯ES呢？三大件都一样，20万就能买丰田亚洲龙，为啥要花30万买雷克萨斯ES呢？亚洲龙目前是丰田旗下旗舰车型，上市后便获得广泛关注，特别是入门版价格低至20万，更是让消费者欲罢不能。为啥说亚洲龙比雷克萨斯ES性价比更高呢？三大件都一样，平台也一样，20万就能</t>
  </si>
  <si>
    <t>有它买啥GL8？整车进口标配V6 比埃尔法豪华只要是说起MPV，比较高端点的车型肯定是GL8为首选，毕竟这款车在国内MPV市场销量最高，月销均破万可是很多SUV不能达到的水准，而且别克GL8的价格并不算低，起码是一款30万级车型，这个价位可以有太多选择，尤其是MPV相对比较冷门。其实并非GL8的产品</t>
  </si>
  <si>
    <t>2020/02/20 17:15:00</t>
  </si>
  <si>
    <t>只要是说起MPV，比较高端点的车型肯定是GL8为首选，毕竟这款车在国内MPV市场销量最高，月销均破万可是很多SUV不能达到的水准，而且别克GL8的价格并不算低，起码是一款30万级车型，这个价位可以有太多选择，尤其是MPV相对比较冷门。其实并非GL8的产品力多么出色，它的安全性在去年不又一次得到消费者</t>
  </si>
  <si>
    <t>长安PLUS系列再添新成员 长安逸动PLUS正式发布长安家族PLUS系列新成员，逸动PLUS.  逸动PLUS是长安汽车PLUS系列首款轿车产品，新车和同系列车型采用较为相似的家族化设计语言，比如逸动PLUS中网造型更具视觉冲击感，同时尺寸相比逸动也更大。 细节方面，新车进气格栅和大灯组采用类似一体</t>
  </si>
  <si>
    <t>2020/02/20 17:13:00</t>
  </si>
  <si>
    <t>20万内无敌手？这台国产性能小钢炮究竟香不香领克对03车型寄予厚望，上市的时候到日本包了一个赛道发布，足够吸睛。而顺势推出03+性能版车型，则无疑打响了国产性能小钢炮的第一炮，引起国内车迷广泛关注。  2.0T+四驱，18.58万起售，百公里加速5.9s，这样的硬件配置和性能表现，值得媒体一致赞誉。</t>
  </si>
  <si>
    <t>长安家族PLUS系列新成员，逸动PLUS.  逸动PLUS是长安汽车PLUS系列首款轿车产品，新车和同系列车型采用较为相似的家族化设计语言，比如逸动PLUS中网造型更具视觉冲击感，同时尺寸相比逸动也更大。 细节方面，新车进气格栅和大灯组采用类似一体化设计风格，使逸动PLUS前脸看上去更有视觉冲击感。</t>
  </si>
  <si>
    <t>领克对03车型寄予厚望，上市的时候到日本包了一个赛道发布，足够吸睛。而顺势推出03+性能版车型，则无疑打响了国产性能小钢炮的第一炮，引起国内车迷广泛关注。  2.0T+四驱，18.58万起售，百公里加速5.9s，这样的硬件配置和性能表现，值得媒体一致赞誉。抛开大家认为的国产品牌，领克03+绝对是一款</t>
  </si>
  <si>
    <t>年后上班第一天，小编我就收到了粉丝的私信：30万元以内买辆代步车，轿车，牌子要大，要有面儿，空间不能小，油耗不能高。推荐啥车呢？咱们一起来看一下吧！外观设计咱们今天聊的是小改款的W212 E级 2014款 E 260L豪华型（直接用今日头条app上方的搜索框搜索奔驰260了解更多），行驶里程为6.2</t>
  </si>
  <si>
    <t>2020/02/20 17:12:00</t>
  </si>
  <si>
    <t>仅需25万奔驰E 260L开回家 空间舒适有牌面儿年后上班第一天，小编我就收到了粉丝的私信：30万元以内买辆代步车，轿车，牌子要大，要有面儿，空间不能小，油耗不能高。推荐啥车呢？咱们一起来看一下吧！外观设计咱们今天聊的是小改款的W212 E级 2014款 E 260L豪华型（直接用今日头条app上方</t>
  </si>
  <si>
    <t>投诉编号：【447909】  投诉时间： 2020-02-20 17:11  投诉品牌： 广汽本田  投诉车系： 雅阁  投诉车型： 2018款 260TURBO 精英版 国V        投诉内容  十代雅阁精英高速行驶时修正方向的时候感觉方向盘有阻力卡住的感觉，转动方向盘有顿挫，不像低速的时候</t>
  </si>
  <si>
    <t>2020/02/20 17:11:00</t>
  </si>
  <si>
    <t>3系作为同级运动和操控的标杆，一直很受年轻人的追捧。新一代车型6月就已经上市了，但只有一款325车型销量也不尽人意。 于是，在这一届广州车展上，宝马又带来了更入门的320和动力更强的330车型。那320是不是只是个面子车型呢？3系家族到底哪款更推荐呢？今天我们就来好好聊一聊。  超低功率的320▼3</t>
  </si>
  <si>
    <t>最便宜的3系来了 宝马320和330同时上市3系作为同级运动和操控的标杆，一直很受年轻人的追捧。新一代车型6月就已经上市了，但只有一款325车型销量也不尽人意。 于是，在这一届广州车展上，宝马又带来了更入门的320和动力更强的330车型。那320是不是只是个面子车型呢？3系家族到底哪款更推荐呢？今天</t>
  </si>
  <si>
    <t>既撩妹又拉风？这3款高颜值紧凑型轿车你不可错过对于很多年轻的购车用户来说，其实对于车子的需求不外乎三点，第一点，颜值高。当下买车的群体大部分都是年轻人，而年轻人对于美的东西又格外看重，所以一款长的帅、颜值高的车型自然会成为他们的首选。第二点，品牌影响力出众。这点其实也是建立在爱面子心理需求上而来的，</t>
  </si>
  <si>
    <t>随着汽车保有量的不断上涨，城市拥堵与停车难也成为了城市生活的另一面，这也大幅限制了家庭所拥有的车辆数量，因此，消费者对于购车也更为慎重挑剔，尤其是放开二胎之后，7座车已经成为了不少家庭的刚需，面对市场的需求，不少豪华车型也开始相继入场，推出了多款7座豪华SUV车型，本期，我们就推荐几款入门级7座豪华</t>
  </si>
  <si>
    <t>2020/02/20 17:10:00</t>
  </si>
  <si>
    <t>最便宜的豪华7座SUV 这三款最低30万就可购买随着汽车保有量的不断上涨，城市拥堵与停车难也成为了城市生活的另一面，这也大幅限制了家庭所拥有的车辆数量，因此，消费者对于购车也更为慎重挑剔，尤其是放开二胎之后，7座车已经成为了不少家庭的刚需，面对市场的需求，不少豪华车型也开始相继入场，推出了多款7座豪</t>
  </si>
  <si>
    <t>投诉编号：【447908】投诉时间：2020-02-2017:09投诉品牌：吉利汽车投诉车系：吉利EC8投诉车型：2013款2.0L手动精英型投诉内容仪表盘小蓝屏无法正常显示，冬天气温低冷车启动能显示一会儿，开车5分钟左右则出现条纹状，无法看出文字及数字。热天完全不显示了。导致无法正常了解行驶里程数</t>
  </si>
  <si>
    <t>2020/02/20 17:09:00</t>
  </si>
  <si>
    <t>2020款本田e电动车2020款本田e电动车2020款本田e电动车屏幕在小车里面算最大的了。2020款本田e电动车还有很酷的屏保绿色的屏保很养眼2020款本田e电动车2020款本田e电动车后备箱的空间还不错车外摄像头2020款本田e电动车</t>
  </si>
  <si>
    <t>2020/02/20 17:08:00</t>
  </si>
  <si>
    <t>在刚刚开幕的布鲁塞尔车展上，雷诺推出CLIO和CAPTUR（国内称之为科雷缤）的混动车型。其中，CLIO搭载传统混合动力以及1.2 kWh电池组；而CAPTUR则采用插电混动技术，在双电机加9.8 kWh电池组的协同工作下，WLTP城市工况计算下的纯电续航里程为65公里。CAPTUR混动版外观方面，</t>
  </si>
  <si>
    <t>雷诺发布两款混动车型在刚刚开幕的布鲁塞尔车展上，雷诺推出CLIO和CAPTUR（国内称之为科雷缤）的混动车型。其中，CLIO搭载传统混合动力以及1.2 kWh电池组；而CAPTUR则采用插电混动技术，在双电机加9.8 kWh电池组的协同工作下，WLTP城市工况计算下的纯电续航里程为65公里。CAPT</t>
  </si>
  <si>
    <t>全新2020款本田e电动车2020款本田e电动车2020款本田e电动车2020款本田e电动车屏幕在小车里面算最大的了。2020款本田e电动车还有很酷的屏保绿色的屏保很养眼2020款本田e电动车2020款本田e电动车后备箱的空间还不错车外摄像头2020款本田e电动车</t>
  </si>
  <si>
    <t>狼牙特种大队</t>
  </si>
  <si>
    <t>2020/02/20 17:06:00</t>
  </si>
  <si>
    <t>截止到11月份，马自达在中国市场的是累计销量为203258辆，同比下滑19.3%，远比乘联会给出的7.9%下滑要更高，按照马自达在2019年的年销量27万辆目标来看，基本已经不可能实现，最后一个月马自达无论怎么努力也无法实现单月7万辆的销量，哪怕是终端让利放开也不可能。那么，马自达不行吗？我估计没有</t>
  </si>
  <si>
    <t>马自达为什么就是“不行”？截止到11月份，马自达在中国市场的是累计销量为203258辆，同比下滑19.3%，远比乘联会给出的7.9%下滑要更高，按照马自达在2019年的年销量27万辆目标来看，基本已经不可能实现，最后一个月马自达无论怎么努力也无法实现单月7万辆的销量，哪怕是终端让利放开也不可能。那么</t>
  </si>
  <si>
    <t>速腾新车发动机出现了故障，应该要求换新发动机吗？</t>
  </si>
  <si>
    <t>2020/02/20 17:04:02</t>
  </si>
  <si>
    <t>今天带来一款最便宜的“奥迪~"新奥迪A1最低只要16w。新奥迪A1前脸采用了黑色蜂窝状造型的大进气格栅，车熏黑化的车标，前脸灯组采用分流式设计的前脸灯组，比起老款灯组造型具有更强的视觉冲击力。新奥迪A1中网上方增加了三个小开口，更好的提升了辨识度。车身尺寸方面，长度4029mm宽度1740mm高度1</t>
  </si>
  <si>
    <t>2020/02/20 17:04:00</t>
  </si>
  <si>
    <t>三缸机的战役 我们消费者赢了最近看到几个车企陆续开始从三缸机向回转，开始又回流到四缸机阵营，对于这种振奋性的消息，笔者不得不说广大的消费者终于成熟了，不要被车企所左右。三缸机为什么被普及，甚至被强推，这就涉及到燃油车的排放标致，还有国家推行的积分政策。随着时代的发展，对于环境的要求越来越严格，节能减</t>
  </si>
  <si>
    <t>新奥迪A1美颜而来今天带来一款最便宜的“奥迪~"新奥迪A1最低只要16w。新奥迪A1前脸采用了黑色蜂窝状造型的大进气格栅，车熏黑化的车标，前脸灯组采用分流式设计的前脸灯组，比起老款灯组造型具有更强的视觉冲击力。新奥迪A1中网上方增加了三个小开口，更好的提升了辨识度。车身尺寸方面，长度4029mm宽度</t>
  </si>
  <si>
    <t>说到购买豪华品牌中型车，大部分人首先想到的应该就是德系豪华里的那三位选手了，它们分别是奔驰C级、宝马3系、奥迪A4L。的确，如果手里握着30万大洋，可能我的选择也会是它们其中一位，毕竟这可是绝对的主流B级车。但如果手里头刚好少那么点钱，只有那么22万或者25万的预算，我们还能买到德系豪华里的BBA吗</t>
  </si>
  <si>
    <t>2020/02/20 17:03:00</t>
  </si>
  <si>
    <t>看着现在市面上的新车，颜值那是个顶个的高，真叫一个漂亮！而在自主车多年不断的冲击下，新车的整体配置水平也越来越高，看上去那叫一个舒坦！但再看价格会发现，新车价格整体下降趋势非常明显，难道是车企愿意少赚些钱？恐怕不太现实，那它们又是怎样控制成本的呢？发动机舱现在很多朋友在看车时，依然有打开发动机舱、看</t>
  </si>
  <si>
    <t>捷豹XEL最低已跌至19万内 年轻人可以入手了说到购买豪华品牌中型车，大部分人首先想到的应该就是德系豪华里的那三位选手了，它们分别是奔驰C级、宝马3系、奥迪A4L。的确，如果手里握着30万大洋，可能我的选择也会是它们其中一位，毕竟这可是绝对的主流B级车。但如果手里头刚好少那么点钱，只有那么22万或者</t>
  </si>
  <si>
    <t>你的车表面上光鲜亮丽 “暗地里”却这样省成本看着现在市面上的新车，颜值那是个顶个的高，真叫一个漂亮！而在自主车多年不断的冲击下，新车的整体配置水平也越来越高，看上去那叫一个舒坦！但再看价格会发现，新车价格整体下降趋势非常明显，难道是车企愿意少赚些钱？恐怕不太现实，那它们又是怎样控制成本的呢？发动机舱</t>
  </si>
  <si>
    <t>近些年，随着小型SUV在国内汽车市场的火热，也催生出一大批不同款式的小型SUV，这类车型普遍有着一副个性时尚的外形以及不错的智能化配置，因而深受年轻消费者的青睐。以生产专业级SUV闻名于世的Jeep自然希望能在该领域占得一席之地。随着FCA和PSA两大巨头车企正式联姻后，Jeep也决定研发一款全新小</t>
  </si>
  <si>
    <t>2020/02/20 17:02:00</t>
  </si>
  <si>
    <t>自从大鼻孔开始出现在宝马X7后，我们认识的双肾形格栅似乎已不复在，尤其是在去年法兰克福车展中亮相的Concept 4，其车头上那组面积已经大到延伸至前保险杠上的格栅，似乎是在暗示全新一代宝马4系将会是大鼻孔的走向。尽管不少人都会觉得概念车的样子不见得会使用到量产版车型。然而，近日再度流出的工厂照中，</t>
  </si>
  <si>
    <t>Jeep版“吉姆尼”曝光近些年，随着小型SUV在国内汽车市场的火热，也催生出一大批不同款式的小型SUV，这类车型普遍有着一副个性时尚的外形以及不错的智能化配置，因而深受年轻消费者的青睐。以生产专业级SUV闻名于世的Jeep自然希望能在该领域占得一席之地。随着FCA和PSA两大巨头车企正式联姻后，Je</t>
  </si>
  <si>
    <t>全新一代宝马4系量产实车照自从大鼻孔开始出现在宝马X7后，我们认识的双肾形格栅似乎已不复在，尤其是在去年法兰克福车展中亮相的Concept 4，其车头上那组面积已经大到延伸至前保险杠上的格栅，似乎是在暗示全新一代宝马4系将会是大鼻孔的走向。尽管不少人都会觉得概念车的样子不见得会使用到量产版车型。然而</t>
  </si>
  <si>
    <t>投诉编号：【447907】  投诉时间： 2020-02-20 17:01  投诉品牌： 吉利汽车  投诉车系： 帝豪  投诉车型： 2016款 1.5L CVT 豪华版 三厢        投诉内容  每天早上启动之后，变速箱故障灯就亮起来，车子挂挡位加油门根本就动不了，要反复重启汽车等故障灯不亮</t>
  </si>
  <si>
    <t>2020/02/20 17:01:00</t>
  </si>
  <si>
    <t>改装千万别碰这些地方在一个如常的夜晚，“玩车交流文化群”的群友们，正在讨论着一些日常生活的琐事。正当大家讨论着群主该不该发红包活跃一下气氛的时候，有一位哥们发出了一张酷炫的图片，并且问道自己想改装这个包围，在国内是否合法的问题。于是，“玩车交流文化群”里的所有人都把视线从群主身上移开了，转移到“怎么</t>
  </si>
  <si>
    <t>在一个如常的夜晚，“玩车交流文化群”的群友们，正在讨论着一些日常生活的琐事。正当大家讨论着群主该不该发红包活跃一下气氛的时候，有一位哥们发出了一张酷炫的图片，并且问道自己想改装这个包围，在国内是否合法的问题。于是，“玩车交流文化群”里的所有人都把视线从群主身上移开了，转移到“怎么改装才算合法”这个话</t>
  </si>
  <si>
    <t>2020/02/20 17:00:41</t>
  </si>
  <si>
    <t>投诉编号：【447900】
投诉时间： 2020-02-20 16:22
投诉品牌： 上汽通用五菱
投诉车系： 宝骏730
投诉车型： 2019款 1.5T CVT 时尚型 7座 国VI</t>
  </si>
  <si>
    <t>2020/02/20 17:00:00</t>
  </si>
  <si>
    <t>投诉编号：【447906】  投诉时间： 2020-02-20 16:53  投诉品牌： 上汽大众  投诉车系： 途岳  投诉车型： 2019款 280TSI 两驱 豪华版 国VI        投诉内容  放置一两天就出现车辆无法启动现象，联系合肥上源4s店，店员却说这是正常现象，让我每天下楼发动</t>
  </si>
  <si>
    <t>2020/02/20 16:53:00</t>
  </si>
  <si>
    <t>2020/02/20 16:50:58</t>
  </si>
  <si>
    <t>投诉编号：【447898】
投诉时间： 2020-02-20 16:12
投诉品牌： 上汽通用别克
投诉车系： 英朗
投诉车型： 2015款 15N 自动 精英型</t>
  </si>
  <si>
    <t>投诉编号：【447904】  投诉时间： 2020-02-20 16:44  投诉品牌： 吉利汽车  投诉车系： 远景S1  投诉车型： 2018款 1.4T CVT 锋享型        投诉内容  1、发动机抖动，发动机启动时抖动厉害，挂当时顿挫感强烈，怠速起步时发动机抖动严重，有强烈顿挫感，2</t>
  </si>
  <si>
    <t>2020/02/20 16:44:00</t>
  </si>
  <si>
    <t>投诉编号：【447903】  投诉时间： 2020-02-20 16:39  投诉品牌： 吉利汽车  投诉车系： 星越  投诉车型： 2019款 350T AWD 驭星者        投诉内容  车机自带的播放器和手机连蓝牙放歌都有杂音（换过一次音响没用），U盘放歌没有杂音。4400公里出现过一次</t>
  </si>
  <si>
    <t>2020/02/20 16:39:00</t>
  </si>
  <si>
    <t>投诉编号：【447902】投诉时间：2020-02-2016:33投诉品牌：华晨宝马投诉车系：宝马3系投诉车型：2017款320Li时尚型投诉内容2017款B48型的宝马3系，这根冷却液水管断裂发生率极高。基本四万到五万公里都会断裂。这是由于配件的材质以及设计都有问题。并且水管断裂后引起发动机冷却液</t>
  </si>
  <si>
    <t>2020/02/20 16:33:00</t>
  </si>
  <si>
    <t>君威混动与博瑞MHEV车型哪个质量好，耐用性好</t>
  </si>
  <si>
    <t>2020/02/20 16:26:37</t>
  </si>
  <si>
    <t>思铂睿混动能不能自己加装主动刹车等主动安全配置？</t>
  </si>
  <si>
    <t>2020/02/20 16:26:36</t>
  </si>
  <si>
    <t>投诉编号：【447901】  投诉时间： 2020-02-20 16:24  投诉品牌： 奇瑞汽车  投诉车系： 艾瑞泽5  投诉车型： 2016款 1.5L 手动 领潮版        投诉内容  奇瑞艾瑞泽5车门漆面鼓包，车门生锈，车门拐角不明原因生锈，那地方不存在磕碰问题。而且右边门有起包现象</t>
  </si>
  <si>
    <t>2020/02/20 16:24:00</t>
  </si>
  <si>
    <t>投诉编号：【447897】投诉时间：2020-02-2016:07投诉品牌：吉利汽车投诉车系：博越投诉车型：2020款1.8TDDCT智慧PRO投诉内容车机系统无法升级，去4S店各种推辞。车机系统还是在最原始版本，体验很差！投诉回复车质网已将您的投诉转给生产企业以及国家市场监督管理总局缺陷产品管理中</t>
  </si>
  <si>
    <t>2020/02/20 16:07:00</t>
  </si>
  <si>
    <t>投诉编号：【447894】  投诉时间： 2020-02-20 15:54  投诉品牌： 上汽大众  投诉车系： 朗逸  投诉车型： 2015款 1.6L 手动 风尚版        投诉内容  上汽大众朗逸发动机漏油，去万州4s店修了还是漏，开起都心碎，漏油，漏起都心碎，要求厂家解决好车辆的问题。</t>
  </si>
  <si>
    <t>2020/02/20 15:54:00</t>
  </si>
  <si>
    <t>2020年是个不同寻常的一年，新型冠状病毒的突袭让人们措手不及，“健康”、“传播”、“空气”等关键词一时间被推上了热搜。与此同时，与人们日常出行息息相关的汽车也成为了广大消费者关心的焦点。对此，部分有先见之明的车企也在第一时间作出了回应，加紧研发布局“健康车”，打造出健康、安全的车内环境，为人们出行</t>
  </si>
  <si>
    <t>2020/02/20 15:47:00</t>
  </si>
  <si>
    <t>小编侃车第152期：汽车也要“戴口罩”！多家车企加速研发“健康车”2020年是个不同寻常的一年，新型冠状病毒的突袭让人们措手不及，“健康”、“传播”、“空气”等关键词一时间被推上了热搜。与此同时，与人们日常出行息息相关的汽车也成为了广大消费者关心的焦点。对此，部分有先见之明的车企也在第一时间作出了回</t>
  </si>
  <si>
    <t>投诉编号：【447893】投诉时间：2020-02-2015:42投诉品牌：东风日产投诉车系：轩逸投诉车型：2019款1.6XECVT舒适版经典投诉内容东风日产轩逸冷车时变速箱异响热车时消失，目前行驶1600公里，变速箱冷车怠速啪啪响，热车怠速就消失，老百姓买个车不容易，新车就这样，日产还是技术日产</t>
  </si>
  <si>
    <t>2020/02/20 15:42:00</t>
  </si>
  <si>
    <t>新远景制动液旁边的小圆形壶是什么作用的，里面好像什么都没有，说明书上说这是制动液储存罐。</t>
  </si>
  <si>
    <t>2020/02/20 15:40:02</t>
  </si>
  <si>
    <t>投诉编号：【447892】  投诉时间： 2020-02-20 15:30  投诉品牌： 比亚迪  投诉车系： 比亚迪F3  投诉车型： 2009款 1.5 手动 智能白金版智能型GLX-i NAVI        投诉内容  比亚迪F3行驶时变速箱异响，两侧裙边生锈，变速器行驶中异响严重，车身两侧</t>
  </si>
  <si>
    <t>2020/02/20 15:30:00</t>
  </si>
  <si>
    <t>第一次亮灯是在2018年一万多公里就出现了，后来自行灭了。现在2020年二月份发动机故障灯又开始亮了，4S店说要清洗喷油嘴，需要自费。我的车还在质保期，我希望能免费清洗，把问题解决。</t>
  </si>
  <si>
    <t>2020/02/20 15:23:00</t>
  </si>
  <si>
    <t>昂克赛拉发动机故障灯亮了质量真次呀第一次亮灯是在2018年一万多公里就出现了，后来自行灭了。现在2020年二月份发动机故障灯又开始亮了，4S店说要清洗喷油嘴，需要自费。我的车还在质保期，我希望能免费清洗，把问题解决。</t>
  </si>
  <si>
    <t>一汽丰田RAV4荣放发动机异响，刹车异响，怠速和低速行驶时发动机异响！咚咚咚作响，越来越明显了！要求厂家尽快解决好车辆的问题。</t>
  </si>
  <si>
    <t>2020/02/20 15:22:00</t>
  </si>
  <si>
    <t>RAV4荣放发动机异响车上各种异响一汽丰田RAV4荣放发动机异响，刹车异响，怠速和低速行驶时发动机异响！咚咚咚作响，越来越明显了！要求厂家尽快解决好车辆的问题。</t>
  </si>
  <si>
    <t>2020/02/20 15:21:00</t>
  </si>
  <si>
    <t>每次倒车踩刹车都会有嘣的一声，声音很大，在福清市上汽大众4s店检查过很多次，问题没有得到解决，故障现象我已经录了视频，4s看都没看就说正常。</t>
  </si>
  <si>
    <t>空劲大归还</t>
  </si>
  <si>
    <t>众泰Z500质保内出现的质量问题不予索赔众泰控股集团有限公司生产的轿车存在严重质量问题，在保期内出现的减震器、转向机、电子转向助力泵故障，本人在保期内进众泰售后维修站，都是自花现金维修解决，质保期内车辆质量问题导致的维修4S店不予索赔，向厂家反应也不解决，望给予消费者解决。</t>
  </si>
  <si>
    <t>1.引擎盖设计不合理，排水口怼着密封条，导致雨水无法正常排出引擎盖生锈。2.车机音量过大，影响车辆起步安全。车辆点火即自动打开车载音响，且无法设置初始音量。3.车辆维修期间，如皋4S店存在私用客户维修车辆行为。</t>
  </si>
  <si>
    <t>上汽大众Polo倒车踩刹车存在明显异响每次倒车踩刹车都会有嘣的一声，声音很大，在福清市上汽大众4s店检查过很多次，问题没有得到解决，故障现象我已经录了视频，4s看都没看就说正常。刹车泵有问题吧</t>
  </si>
  <si>
    <t>308S油箱故障故障灯也亮个不停呀东风标致308S油箱故障导致报警希望处理，满油情况下，激烈驾驶，会导致油箱内油串入碳罐，导致发动机报警。</t>
  </si>
  <si>
    <t>帝豪GL发动机盖生锈防锈处理不行呀1.引擎盖设计不合理，排水口怼着密封条，导致雨水无法正常排出引擎盖生锈。2.车机音量过大，影响车辆起步安全。车辆点火即自动打开车载音响，且无法设置初始音量。3.车辆维修期间，如皋4S店存在私用客户维修车辆行为。应该是材质问题</t>
  </si>
  <si>
    <t>东风标致308S油箱故障导致报警希望处理，满油情况下，激烈驾驶，会导致油箱内油串入碳罐，导致发动机报警。</t>
  </si>
  <si>
    <t>猎豹CS9行驶过程中底盘有异响，底盘异响，出现故障售后不处理，我给他们打电话，第一次打通了，后来他们再也不接电话。</t>
  </si>
  <si>
    <t>2020/02/20 15:20:00</t>
  </si>
  <si>
    <t>发动机链条拉长必须更换，才三万多公里就出现这问题让人对这牌子失望。</t>
  </si>
  <si>
    <t>光耀大江山</t>
  </si>
  <si>
    <t>A柱强度不够，起步加油门大前轮胎的位置砰砰的响，前悬挂异响。</t>
  </si>
  <si>
    <t>震乾坤</t>
  </si>
  <si>
    <t>上汽大众帕萨特A柱强度不够前轮异响A柱强度不够，起步加油门大前轮胎的位置砰砰的响，前悬挂异响。厂家偷工减料吧</t>
  </si>
  <si>
    <t>荣威360论坛</t>
  </si>
  <si>
    <t>上汽荣威360正时链条拉长希望尽快处理发动机链条拉长必须更换，才三万多公里就出现这问题让人对这牌子失望。这个就是通病</t>
  </si>
  <si>
    <t>荣威360</t>
  </si>
  <si>
    <t>CS9行驶中底盘有异响售后不处理猎豹CS9行驶过程中底盘有异响，底盘异响，出现故障售后不处理，我给他们打电话，第一次打通了，后来他们再也不接电话。</t>
  </si>
  <si>
    <t>行驶过程中不升挡，加油也一直保持在20～30迈左右，发动机报警灯常亮，倒车时影像没有，在仪表盘上不能显示挡位。电脑测试挡位开关不工作。</t>
  </si>
  <si>
    <t>十步杀一人</t>
  </si>
  <si>
    <t>2020/02/20 15:19:00</t>
  </si>
  <si>
    <t>感觉制动距离长，4S店检查发现刹车片磨损过多，车辆才行驶27000公里。</t>
  </si>
  <si>
    <t>千里不留行·</t>
  </si>
  <si>
    <t>艾瑞泽5踩刹车抖动故障灯也亮了年前发现的问题，使劲踩油门，但是发现车到1500转附近的时候直接就上不去了，不管我怎么踩油门都上不去，速度也上不去，稍微等一会后慢慢加到2000转附近的时候忽然往上串，去合肥的4s店修过，说是一个传感器有问题，但是换了之后还是没能解决，后面又去了一次，现场在那转了一两个</t>
  </si>
  <si>
    <t>一汽丰田RAV4荣放发动机报警不显示挡位行驶过程中不升挡，加油也一直保持在20～30迈左右，发动机报警灯常亮，倒车时影像没有，在仪表盘上不能显示挡位。电脑测试挡位开关不工作。</t>
  </si>
  <si>
    <t>轩逸空调压缩机异响空调质量不行呀行驶700公里后低速行驶变速箱"呜呜呜"异响，现在一万公里声音越来越大，无法忍受...夏天开空调机舱的空调压缩机"哒哒哒"响声大，比普通的车响...底盘在不平水泥路“轰轰轰"响...比同级别车响声大的多...</t>
  </si>
  <si>
    <t>华晨宝马1系刹车片异常磨损感觉制动距离长，4S店检查发现刹车片磨损过多，车辆才行驶27000公里。</t>
  </si>
  <si>
    <t>年前发现的问题，使劲踩油门，但是发现车到1500转附近的时候直接就上不去了，不管我怎么踩油门都上不去，速度也上不去，稍微等一会后慢慢加到2000转附近的时候忽然往上串，去合肥的4s店修过，说是一个传感器有问题，但是换了之后还是没能解决，后面又去了一次，现场在那转了一两个小时这个现象也没重现，后面就开</t>
  </si>
  <si>
    <t>行驶700公里后低速行驶变速箱"呜呜呜"异响，现在一万公里声音越来越大，无法忍受。夏天开空调机舱的空调压缩机"哒哒哒"响声大，比普通的车响。底盘在不平水泥路“轰轰轰"响。比同级别车响声大的多。几次去4S店，都以正常声音为借口不给解决，但确实同级车我开了并没有这种声音。</t>
  </si>
  <si>
    <t>广汽本田冠道行驶跑偏影响安全我的车跑高速时需要不停的修正方向盘，往左轻微调整一点，车辆马上往左偏，此时再往右进行微调，车辆马上向右偏离，始终无法保持正常直行。去过4s店师傅调过我的前束，但还是一样的问题没有解决。已有众多车主反应过此问题，希望商家重视。</t>
  </si>
  <si>
    <t>潇湘客</t>
  </si>
  <si>
    <t>2020/02/20 15:18:00</t>
  </si>
  <si>
    <t>欧蓝德转向时右前方异响2018年11月份天冷开始低速前进加油门时机仓咯咯咯异响问题，2019年索赔更换了一个变速箱机脚，换后异响消失。2019年11月份天冷后至现在，右转时左前方偶尔咯咯异响，响声和2018年冬天出现的异响相似，但这次的声音较小，只是右转时出现，且偶出现，声音是咯咯两三声摩擦声，是在</t>
  </si>
  <si>
    <t>我的车跑高速时需要不停的修正方向盘，往左轻微调整一点，车辆马上往左偏，此时再往右进行微调，车辆马上向右偏离，始终无法保持正常直行。去过4s店师傅调过我的前束，但还是一样的问题没有解决。已有众多车主反应过此问题，希望商家重视。</t>
  </si>
  <si>
    <t>2018年11月份天冷开始低速前进加油门时机仓咯咯咯异响问题，2019年索赔更换了一个变速箱机脚，换后异响消失。2019年11月份天冷后至现在，右转时左前方偶尔咯咯异响，响声和2018年冬天出现的异响相似，但这次的声音较小，只是右转时出现，且偶出现，声音是咯咯两三声摩擦声，是在右转时车速较快、加油门</t>
  </si>
  <si>
    <t>飞度电瓶亏电发动机也不着火了怎么办车2月5日开了，2月7日要用车，发现没电，打不着火，大灯也不亮，过年疫情期间，无法搭电，无法用车买生活用品，造成很大麻烦！2月18日下午找师傅搭电，搭着了，不敢熄火，开了一个多小时，2月20日上午要用车，再次发现没电，打不着火。新车一年不到，电瓶亏电如果严重，本人严</t>
  </si>
  <si>
    <t>2020/02/20 15:17:00</t>
  </si>
  <si>
    <t>车2月5日开了，2月7日要用车，发现没电，打不着火，大灯也不亮，过年疫情期间，无法搭电，无法用车买生活用品，造成很大麻烦！2月18日下午找师傅搭电，搭着了，不敢熄火，开了一个多小时，2月20日上午要用车，再次发现没电，打不着火。新车一年不到，电瓶亏电如果严重，本人严重怀疑这车质量有问题！当时买车，千</t>
  </si>
  <si>
    <t>车体结构出现问题，A柱断裂，安全气囊不能保护头部，上汽大众无视车主生命，国家质检总局应该对上汽大众做出严厉处罚。</t>
  </si>
  <si>
    <t>风逍遥</t>
  </si>
  <si>
    <t>2020/02/20 15:16:00</t>
  </si>
  <si>
    <t>上汽大众帕萨特A柱碰撞测试不合格车体结构出现问题，A柱断裂，安全气囊不能保护头部，上汽大众无视车主生命，国家质检总局应该对上汽大众做出严厉处罚。</t>
  </si>
  <si>
    <t>投诉编号：【447891】  投诉时间： 2020-02-20 15:15  投诉品牌： 东风本田  投诉车系： 思域  投诉车型： 2016款 220TURBO 自动 尊贵版        投诉内容  购车不到一年就出现轮胎掉皮的情况，在当地4S反应过，售后说轮胎属于磨损件，正常。直到今天在车友群</t>
  </si>
  <si>
    <t>2020/02/20 15:15:00</t>
  </si>
  <si>
    <t>上汽名爵3正时链条拉长导致故障灯亮车为14年5月份购买，平常市里上下班用，行驶路程为5万5千公里左右，昨日突然出现发动机故障灯亮，经检查为正时链条故障，打经销商售后电话以已过质保期，未在4s店为由推脱为由不予处理，但mg3保养手册明明写着正时链条终身保修，且查看网络，此问题为共性问题，并非个例，上汽</t>
  </si>
  <si>
    <t>瑶星</t>
  </si>
  <si>
    <t>华晨宝马5系后刹车片异常磨损2019年12月24日发现踩刹车后轮异响，去4S店检查发现左后轮内侧刹车盘和刹车盘严重异常磨损，同轴后轮另外3片刹车片都正常，4S店以刹车片不在保修范围内为由拒绝免费更换刹车片，本人一直在4S店保养，上次保养检查也没有提示要更换刹车片，仪表盘也没有提示故障，本人认为是刹车</t>
  </si>
  <si>
    <t>闵月</t>
  </si>
  <si>
    <t>瑞虎8变速箱有异响开车真受罪我车子12.12日上牌提车一个多月行驶了2000多公里2020.2.2日晚上正常起步听到咔咔咔响声然后自动跳档N我当时没慌了，然后熄火重新启动，心想电子产品存在故障有这个可能性，第二天晚上又是同样得情况，我没拍照，又重启了。我联系了经销商，说是疫情期间没上班，还有我之前车</t>
  </si>
  <si>
    <t>车为14年5月份购买，平常市里上下班用，行驶路程为5万5千公里左右，昨日突然出现发动机故障灯亮，经检查为正时链条故障，打经销商售后电话以已过质保期，未在4s店为由推脱为由不予处理，但mg3保养手册明明写着正时链条终身保修，且查看网络，此问题为共性问题，并非个例，上汽这么大的厂，就是这么对待这种质量问</t>
  </si>
  <si>
    <t>我车子12.12日上牌提车一个多月行驶了2000多公里2020.2.2日晚上正常起步听到咔咔咔响声然后自动跳档N我当时没慌了，然后熄火重新启动，心想电子产品存在故障有这个可能性，第二天晚上又是同样得情况，我没拍照，又重启了。我联系了经销商，说是疫情期间没上班，还有我之前车子也是奇瑞得我是置换当时说好</t>
  </si>
  <si>
    <t>2019年12月24日发现踩刹车后轮异响，去4S店检查发现左后轮内侧刹车盘和刹车盘严重异常磨损，同轴后轮另外3片刹车片都正常，4S店以刹车片不在保修范围内为由拒绝免费更换刹车片，本人一直在4S店保养，上次保养检查也没有提示要更换刹车片，仪表盘也没有提示故障，本人认为是刹车盘质量问题或者制动分泵故障导</t>
  </si>
  <si>
    <t>一汽大众捷达VS5主座椅下面线束插头没插汽车主驾驶座椅下面的电线插头没有插是怎么回事？副驾驶座椅下面的插上了，不知道是什么电器的线路，麻烦解决一下。</t>
  </si>
  <si>
    <t>锻神锋</t>
  </si>
  <si>
    <t>2020/02/20 15:14:00</t>
  </si>
  <si>
    <t>岳灵修</t>
  </si>
  <si>
    <t>探岳冷却液异常消耗大众的车就这样的质量吗一汽大众探岳冷却液异常消耗，车子行驶才12000公里就出现冷却液已达下限问题。冷却液泄露，要求厂家解决好车辆的问题。</t>
  </si>
  <si>
    <t>汽车主驾驶座椅下面的电线插头没有插是怎么回事？副驾驶座椅下面的插上了，不知道是什么电器的线路，麻烦解决一下。</t>
  </si>
  <si>
    <t>领动车门漏风是车门密封性不好吗？北京现代领动车门漏风严重，车门的问题，店内给予砸车门的修理方式，我不认可，店内一直拖，不给解决。要求厂家处理。</t>
  </si>
  <si>
    <t>2020/02/20 15:13:00</t>
  </si>
  <si>
    <t>领克01转向柱生锈半轴也出现了问题领克01方向盘下转向杆锈，其他看不到的地方可能也生锈。2019年1月12号14545KM二次保养的时候经发现驱动半轴生锈特别特别严重，上图为证，虽然给我换掉了，但是一年左右的车锈成这样子！</t>
  </si>
  <si>
    <t>速腾轮胎不规则磨损，轮胎是锦湖的大众速腾原厂配置锦湖轮胎，正常行驶工况下后部两轮不规则磨损，噪音严重，影响驾驶安全与成员舒适度，造成车主神经性耳鸣。经4S店检测为轮胎质量问题，但要求车主自行更换轮胎，不符合国家三包法及国家关于整车质保的最新处理意见。</t>
  </si>
  <si>
    <t>2020/02/20 15:12:00</t>
  </si>
  <si>
    <t>瑞虎3x后尾翼松动质量差劲正常行驶转弯老是听到异响，检查后备箱门内部发现4个螺帽，找了一下没找到是哪里掉的，过了几天发现后雨刮喷水器那一大块（尾翼）全部松动。！幸好发现及时，万一跑高速时突然掉落砸到后车后果有多么多么严重！3年3万公里的车就是这么烂，要求厂家解决好车辆的问题。</t>
  </si>
  <si>
    <t>2020/02/20 15:11:00</t>
  </si>
  <si>
    <t>凌派镀铬饰条大面积氧化质量不行呀19年9月份，买车不到一年，车身前网，尾部，门把手，车窗边等多处出现不同程度的镀铬条有白点，电话打售后，让上4s店检测，由于本地没4s店，也由于工作原因一直没去4s店，20年1月开车去的潍坊4s店保养，技师检测后答应给拍照片向本田反应让回家等通知，等了半月，期间两次致</t>
  </si>
  <si>
    <t>投诉编号：【447890】投诉时间：2020-02-2015:09投诉品牌：广汽本田投诉车系：凌派投诉车型：2016款1.8LCVT舒适版投诉内容19年9月份，买车不到一年，车身前网，尾部，门把手，车窗边等多处出现不同程度的镀铬条有白点，电话打售后，让上4s店检测，由于本地没4s店，也由于工作原因一</t>
  </si>
  <si>
    <t>2020/02/20 15:09:00</t>
  </si>
  <si>
    <t>大众宝来，买车1年半，前机盖，车顶，后备箱盖翼子板多出龟裂。</t>
  </si>
  <si>
    <t>2020/02/20 15:08:24</t>
  </si>
  <si>
    <t>请问一下消费者要怎么维护自己的正当权利？</t>
  </si>
  <si>
    <t>2020/02/20 15:04:16</t>
  </si>
  <si>
    <t>刚买的车3个月多点，你说电路有问题,去4S店维修不要钱吧！</t>
  </si>
  <si>
    <t>雪佛兰沃兰多这车质量怎么样值得入手吗？沃兰多三缸发动机抖动抑制的怎么样？</t>
  </si>
  <si>
    <t>2020/02/20 15:00:00</t>
  </si>
  <si>
    <t>我在1月10日在4s店预订探岳330尊贵国六加19寸轮毂加驾驶辅助包。其中19寸轮毂1000块钱，和国六加钱均为捆绑销售。只要买尊贵必须有的。但是至今没有交车，一直以厂家没上班为理由回复我。我询问全国热线，他们表示一无所知。只受理对4S店的投诉。大家看我这种情况怎么办呀？</t>
  </si>
  <si>
    <t>跑高速时深加油门时车会连续窜动是什么问题？</t>
  </si>
  <si>
    <t>投诉编号：【447888】  投诉时间： 2020-02-20 14:28  投诉品牌： 上汽集团  投诉车系： 荣威360  投诉车型： 2017款 1.5L 自动 豪华版        投诉内容  17年11月购车，18年初出现异响，当时倒车异响换刹车片解决，避震异响不严重，与4S店沟通后说避震</t>
  </si>
  <si>
    <t>2020/02/20 14:28:00</t>
  </si>
  <si>
    <t>投诉编号：【447887】  投诉时间： 2020-02-20 14:25  投诉品牌： 奇瑞汽车  投诉车系： 瑞虎3x  投诉车型： 2017款 1.5L 手动 豪华版        投诉内容  正常行驶转弯老是听到异响，检查后备箱门内部发现4个螺帽，找了一下没找到是哪里掉的，过了几天发现后雨刮</t>
  </si>
  <si>
    <t>2020/02/20 14:25:00</t>
  </si>
  <si>
    <t>两种增压方式的对比：涡轮增压PK机械增压在中国大陆，现在对动力改装比较流行的方法是外挂涡轮或者对原有的涡轮进行升级，由于现在加装涡轮增压的技术的普及，加装的人多了，技术自然而然地成熟了。而对于机械增压来说，近年来离心式涡轮机的广泛应用，方便了外挂机械增压的布局，也使得机械增压在全世界范围内开始流行，</t>
  </si>
  <si>
    <t>2020/02/20 14:15:00</t>
  </si>
  <si>
    <t>在中国大陆，现在对动力改装比较流行的方法是外挂涡轮或者对原有的涡轮进行升级，由于现在加装涡轮增压的技术的普及，加装的人多了，技术自然而然地成熟了。而对于机械增压来说，近年来离心式涡轮机的广泛应用，方便了外挂机械增压的布局，也使得机械增压在全世界范围内开始流行，在国内机械增压改装的增长速度也十分的很快</t>
  </si>
  <si>
    <t>投诉编号：【447886】  投诉时间： 2020-02-20 14:13  投诉品牌： 一汽-大众  投诉车系： 捷达  投诉车型： 2015款 1.6L 自动 时尚型 质惠版        投诉内容  车辆行驶过程出现转向卡顿、卡滞，高速行驶卡顿感知更为明显。由于故障发生时刚好遇上肺炎疫情经销商</t>
  </si>
  <si>
    <t>2020/02/20 14:13:00</t>
  </si>
  <si>
    <t>车叔解析：为何德系车比较容易烧机油？对汽车比较了解的朋友应该都听过德系比较容易烧机油的说法，而且德系车主在后备箱经常备一桶机油的做法也成为大家调侃德国车的一个梗。那么为什么烧机油的情况在德系车上比较多见而日系车相对比较少？其实这种现象在早些年的德系车上确实比较常见，现在的德系车烧机油现象已经得到缓解</t>
  </si>
  <si>
    <t>2020/02/20 14:10:00</t>
  </si>
  <si>
    <t>灯罩发黄怎么办？先别急着去4S店来看看攻略有不少开了七八年往上的老车，前大灯的灯罩逐渐开始发黄，照明效果极度下降，不仅仅影响了美观，还降低了行车的安全性，这是一个不容小觑的问题。今天小编就来教您如何自己动手解决这个问题~美容蜡抛光处理这也是一种解决汽车车灯灯罩长时间发黄的好办法，效果比其原先发黄的来</t>
  </si>
  <si>
    <t>对汽车比较了解的朋友应该都听过德系比较容易烧机油的说法，而且德系车主在后备箱经常备一桶机油的做法也成为大家调侃德国车的一个梗。那么为什么烧机油的情况在德系车上比较多见而日系车相对比较少？其实这种现象在早些年的德系车上确实比较常见，现在的德系车烧机油现象已经得到缓解，和日系车的表现基本一样。要明确烧机</t>
  </si>
  <si>
    <t>有不少开了七八年往上的老车，前大灯的灯罩逐渐开始发黄，照明效果极度下降，不仅仅影响了美观，还降低了行车的安全性，这是一个不容小觑的问题。今天小编就来教您如何自己动手解决这个问题~美容蜡抛光处理这也是一种解决汽车车灯灯罩长时间发黄的好办法，效果比其原先发黄的来说还是相当不错的。选用专门的美容蜡来对已经</t>
  </si>
  <si>
    <t>投诉编号：【447885】  投诉时间： 2020-02-20 14:10  投诉品牌： 一汽-大众奥迪  投诉车系： 奥迪Q3  投诉车型： 2019款 35 TFSI 时尚动感型        投诉内容  一汽大众奥迪Q3转向异响，大灯熄灭，影像抖动。购车一个月内8次前往4S店维修问题仍存在未解</t>
  </si>
  <si>
    <t>什么是车身框架结构？厢式货车底盘解析底盘又称为车架（Chassis），它如同人类骨骼的作用一样，承受着车辆在静态或者动态条件下所有的重量，包括发动机、变速箱、乘员，以及在恶劣路况与制动加速时对车辆产生的压力，这些都是由底盘一力承担，所以说，车架是一辆汽车的最重要支撑结构。无论是单车、汽车还是卡车，每</t>
  </si>
  <si>
    <t>2020/02/20 14:09:00</t>
  </si>
  <si>
    <t>悲情英雄 德•托马索曲折发展史Alejandro De Tomaso，一位才华横溢的人，他集车手、工程师、商人和作家等多重身份于一身。然而，有一个身份之于他来说，恰恰很是贴切，那就是梦想家。作为一个汽车工业的先驱，Tomaso把整个生命的激情都奉献给了汽车。出生于1928年的Alejandro De</t>
  </si>
  <si>
    <t>底盘又称为车架（Chassis），它如同人类骨骼的作用一样，承受着车辆在静态或者动态条件下所有的重量，包括发动机、变速箱、乘员，以及在恶劣路况与制动加速时对车辆产生的压力，这些都是由底盘一力承担，所以说，车架是一辆汽车的最重要支撑结构。无论是单车、汽车还是卡车，每台车都有一个底盘，但是底盘的形式就因</t>
  </si>
  <si>
    <t>Alejandro De Tomaso，一位才华横溢的人，他集车手、工程师、商人和作家等多重身份于一身。然而，有一个身份之于他来说，恰恰很是贴切，那就是梦想家。作为一个汽车工业的先驱，Tomaso把整个生命的激情都奉献给了汽车。出生于1928年的Alejandro De Tomaso，其父亲是一名阿</t>
  </si>
  <si>
    <t>手动挡怕上坡？4个方法助你征服任何坡很多人对手动挡车辆爬坡非常畏惧，主要怕爬坡时溜车或熄火。那我们今天就来讲讲手动挡如何爬坡！油离配合先松离合器至半联动，同时踩油门，松离合器的程度，要比平路上行驶时稍微大一些，发动机油门踩的深度也应该大一些，发动机转速较高，有利于防止溜车。利用手刹爬坡该方法是在油离</t>
  </si>
  <si>
    <t>2020/02/20 14:08:00</t>
  </si>
  <si>
    <t>很多人对手动挡车辆爬坡非常畏惧，主要怕爬坡时溜车或熄火。那我们今天就来讲讲手动挡如何爬坡！油离配合先松离合器至半联动，同时踩油门，松离合器的程度，要比平路上行驶时稍微大一些，发动机油门踩的深度也应该大一些，发动机转速较高，有利于防止溜车。利用手刹爬坡该方法是在油离配合之前，拉紧手刹，松离合器，踩油门</t>
  </si>
  <si>
    <t>投诉编号：【447883】  投诉时间： 2020-02-20 13:48  投诉品牌： 一汽-大众  投诉车系： 速腾  投诉车型： 2017款 230TSI 自动 舒适型        投诉内容  大众速腾原厂配置锦湖轮胎，正常行驶工况下后部两轮不规则磨损，噪音严重，影响驾驶安全与成员舒适度，造</t>
  </si>
  <si>
    <t>2020/02/20 13:48:00</t>
  </si>
  <si>
    <t>2020/02/20 13:42:00</t>
  </si>
  <si>
    <t>要说帕萨特是西装暴徒可一点都不夸张，哥们这辆2.0T的帕萨特，搭载了大众EA888的发动机，DQ381 7速湿式双离合变速器，最大功率220马力，峰值扭矩350牛米。不仅数据上很优越，而且我实际开下来最大的感受就是起步时油门的响应也很适中，不会特别蹿，后期提速快运转也平顺，调的也是恰到好处，挑不出什</t>
  </si>
  <si>
    <t>投诉编号：【447882】  投诉时间： 2020-02-20 13:40  投诉品牌： 领克汽车  投诉车系： 领克01  投诉车型： 2018款 2.0T 两驱型 +版        投诉内容  领克01方向盘下转向杆锈，其他看不到的地方可能也生锈。2019年1月12号14545KM二次保养的时</t>
  </si>
  <si>
    <t>2020/02/20 13:40:00</t>
  </si>
  <si>
    <t>投诉编号：【447880】  投诉时间： 2020-02-20 13:38  投诉品牌： 野马汽车  投诉车系： 野马T70  投诉车型： 2017款 1.5T 手动 豪华型 运动版 T70S        投诉内容  变速箱损坏，1到4挡挂不上去，异响，电子原件问题，车辆跑偏。      投诉回复</t>
  </si>
  <si>
    <t>2020/02/20 13:38:00</t>
  </si>
  <si>
    <t>　　近日，有媒体从小鹏汽车官方了解到，小鹏汽车宣布app数字服务功能再升级，实现小鹏g3从下定到合同签署办理到交付流程线上化，以“交付旅程”功能的形式展现，用户可以实时办理、查看和追踪业务的进度。　　小鹏汽车app上线“交付旅程”功能，线上即可查看包括定金支付、协议签署、车辆运输、车辆交付等全流程的</t>
  </si>
  <si>
    <t>2020/02/20 13:29:00</t>
  </si>
  <si>
    <t>近日，有媒体从小鹏汽车官方了解到，小鹏汽车宣布app数字服务功能再升级，实现小鹏g3从下定到合同签署办理到交付流程线上化，以“交付旅程”功能的形式展现，用户可以实时办理、查看和追踪业务的进度。    小鹏汽车app上线“交付旅程”功能，线上即可查看包括定金支付、协议签署、车辆运输、车辆交付等全流程的</t>
  </si>
  <si>
    <t>　　去年11月，玛莎拉蒂官方发布了一组全新跑车的路试谍照。日前，有媒体从海外媒体获悉，这款全新跑车将于2月20日正式公布车型名称，从此前曝光的谍照来看，新车外观的视觉冲击力很强，预计将于5月份亮相。　　玛莎拉蒂在instagram的官方账号发布了一条消息，透露将于中欧时间下午8:20公布这台全新跑车</t>
  </si>
  <si>
    <t>2020/02/20 13:27:00</t>
  </si>
  <si>
    <t>去年11月，玛莎拉蒂官方发布了一组全新跑车的路试谍照。日前，有媒体从海外媒体获悉，这款全新跑车将于2月20日正式公布车型名称，从此前曝光的谍照来看，新车外观的视觉冲击力很强，预计将于5月份亮相。    玛莎拉蒂在instagram的官方账号发布了一条消息，透露将于中欧时间下午8:20公布这台全新跑车</t>
  </si>
  <si>
    <t>投诉编号：【447879】  投诉时间： 2020-02-20 13:25  投诉品牌： 上汽大众  投诉车系： 朗行  投诉车型： 2017款 180TSI 双离合 舒适版        投诉内容  隐瞒消费者收取车辆出库费，检测费，当时说厂家必须让收的可是厂家不允许收的，上次投诉厂家回复已经和消</t>
  </si>
  <si>
    <t>2020/02/20 13:25:00</t>
  </si>
  <si>
    <t>　　在2020年的开端，新型冠状病毒疫情牵动着世界人民的内心。从N95、医用口罩的一“罩”难求，再到84消毒液的畅销。在这其中我们能够看出，作为消费者的我们，更加注重对空气健康的需求。也正是由于这样的原因，很多消费者在选车时也将整车空气净化功能配置作为必选配置之一。很多预算有限的朋友在问，十几万预算</t>
  </si>
  <si>
    <t>2020/02/20 13:23:00</t>
  </si>
  <si>
    <t>　　机滴滴吧吧呜 发表于 牛车网 2020.02.09 13:46　　有“换壳沃尔沃”之称的领克03自诞生之日起便背起了技术光环，作为自主高端品牌的代表，领克03向整个紧凑型轿车市场发起了挑战。作为新晋品牌，为了弥补品牌溢价的缺失，领克03提供无年限质保以提高产品竞争力，通过极度浮夸的造型以吸引年轻</t>
  </si>
  <si>
    <t>2020/02/20 13:21:00</t>
  </si>
  <si>
    <t>　　近年来，各地兴起了很多造车新势力。作为“第一个吃螃蟹的人”，它们乘着纯电动车热潮，迅速发展，成为后起之秀，走到时代前沿。然而它们成功的原因主要是因为国家政策支持，以及许多传统车企对新能源领域保持隔岸观火的态度。而随着电动车市场的逐渐发展，国家的政策补贴有所调整，奥迪等传统车企也加入了纯电动车的竞</t>
  </si>
  <si>
    <t>2020/02/20 13:20:00</t>
  </si>
  <si>
    <t>虽受多种不利因素影响，本田汽车销量却不降反升。2月19日，本田中国公布的数据显示，2020年1月，本田在华销售汽车149863辆，同比增长9.8%。    从合资公司表现看，广汽本田销量7.6万辆，同比微增0.6%；东风本田则销售7.4万辆，同比增长21.3%。本田凌派    具体车型上，2020年</t>
  </si>
  <si>
    <t>2020/02/20 13:19:00</t>
  </si>
  <si>
    <t>　　虽受多种不利因素影响，本田汽车销量却不降反升。2月19日，本田中国公布的数据显示，2020年1月，本田在华销售汽车149863辆，同比增长9.8%。　　从合资公司表现看，广汽本田销量7.6万辆，同比微增0.6%；东风本田则销售7.4万辆，同比增长21.3%。本田凌派　　具体车型上，2020年1月</t>
  </si>
  <si>
    <t>近日，雷诺官方表示，morphoz电动概念车、梅甘娜插混版本、twingo ze以及旗下dacia品牌首款纯电动车型将在3月3日举办的日内瓦车展上首发。雷诺 e诺    关于dacia全新纯电动车型，目前还没有任何详细消息，但根据海外媒体推测，新车或将是雷诺k-ze（国内为东风雷诺 e诺）的姊妹版本</t>
  </si>
  <si>
    <t>2020/02/20 13:18:00</t>
  </si>
  <si>
    <t>　　近日，雷诺官方表示，morphoz电动概念车、梅甘娜插混版本、twingo ze以及旗下dacia品牌首款纯电动车型将在3月3日举办的日内瓦车展上首发。雷诺 e诺　　关于dacia全新纯电动车型，目前还没有任何详细消息，但根据海外媒体推测，新车或将是雷诺k-ze（国内为东风雷诺 e诺）的姊妹版本</t>
  </si>
  <si>
    <t>日前，我们从外媒获得了全新斯柯达明锐rs的动力信息。新车将于2020日内瓦车展首发，并有望采用2.0t发动机和电机组成的插电式混动系统，最大功率可达245马力。全新斯柯达明锐rs旅行版官图    从外媒公布的数据来看，全新斯柯达明锐rs将于8月底在海外上市，其将首次提供2.0t发动机 电机组成的插混</t>
  </si>
  <si>
    <t>2020/02/20 13:16:00</t>
  </si>
  <si>
    <t>　　日前，我们从外媒获得了全新斯柯达明锐rs的动力信息。新车将于2020日内瓦车展首发，并有望采用2.0t发动机和电机组成的插电式混动系统，最大功率可达245马力。全新斯柯达明锐rs旅行版官图　　从外媒公布的数据来看，全新斯柯达明锐rs将于8月底在海外上市，其将首次提供2.0t发动机 电机组成的插混</t>
  </si>
  <si>
    <t>日前，一汽红旗官方公布最新销量。数据显示，2020年1月，一汽红旗累计销售汽车12630辆，与上年同期相比增幅高达142.7%。    受春节和疫情影响，乘用车市场降幅超20%，红旗在这样的背景下实现逆市暴涨，值得肯定。官方数据显示，红旗2019年销售100166辆；而机动车上险数据显示，红旗201</t>
  </si>
  <si>
    <t>2020/02/20 13:15:00</t>
  </si>
  <si>
    <t>　　日前，一汽红旗官方公布最新销量。数据显示，2020年1月，一汽红旗累计销售汽车12630辆，与上年同期相比增幅高达142.7%。　　受春节和疫情影响，乘用车市场降幅超20%，红旗在这样的背景下实现逆市暴涨，值得肯定。官方数据显示，红旗2019年销售100166辆；而机动车上险数据显示，红旗201</t>
  </si>
  <si>
    <t>日前，沃尔沃旗下polestar品牌发布了一款电动概念车的的预告图，该车预计在3月3日开幕的2020年日内瓦车展前夕正式亮相，官方称该概念车为precept，以此来表明polestar未来车型的发展方向。上图为polestar 2的细节图上图为polestar 2的细节图    官方发布的预告图比较</t>
  </si>
  <si>
    <t>2020/02/20 13:13:00</t>
  </si>
  <si>
    <t>　　日前，沃尔沃旗下polestar品牌发布了一款电动概念车的的预告图，该车预计在3月3日开幕的2020年日内瓦车展前夕正式亮相，官方称该概念车为precept，以此来表明polestar未来车型的发展方向。上图为polestar 2的细节图上图为polestar 2的细节图　　官方发布的预告图比较</t>
  </si>
  <si>
    <t>日前，我们从官方获悉，蔚来通过ota的方式向当前系统版本为2.3.0及以上的es6以及es8车主推送最新的nio os 2.5.0版本车机系统。本次系统更新对智能互联、nio pilot自动辅助驾驶以及数字座舱三大部分进行了升级。官方表示，对受疫情影响较为严重的省市，原则上蔚来将暂不推送，直至疫情有</t>
  </si>
  <si>
    <t>2020/02/20 13:12:00</t>
  </si>
  <si>
    <t>　　日前，我们从官方获悉，蔚来通过ota的方式向当前系统版本为2.3.0及以上的es6以及es8车主推送最新的nio os 2.5.0版本车机系统。本次系统更新对智能互联、nio pilot自动辅助驾驶以及数字座舱三大部分进行了升级。官方表示，对受疫情影响较为严重的省市，原则上蔚来将暂不推送，直至疫</t>
  </si>
  <si>
    <t>日前，我们从吉利官方了解到，新款帝豪gse正式上市，新车共推出两种续航版本，共计5款车型，补贴后售价为10.99-15.99万元。同时，新车搭载iaps智能空气净化系统，配备了cn95级高效复合空调滤芯。此外，官方还表示，从2月20日至3月31日期间，官方商城推出“9.9元订金抢1000元购车券”活</t>
  </si>
  <si>
    <t>2020/02/20 13:10:00</t>
  </si>
  <si>
    <t>　　日前，我们从吉利官方了解到，新款帝豪gse正式上市，新车共推出两种续航版本，共计5款车型，补贴后售价为10.99-15.99万元。同时，新车搭载iaps智能空气净化系统，配备了cn95级高效复合空调滤芯。此外，官方还表示，从2月20日至3月31日期间，官方商城推出“9.9元订金抢1000元购车券</t>
  </si>
  <si>
    <t>日前，野马汽车公布了2020年度新车计划。今年内，野马汽车将会推出博骏、斯派卡、野马ec60的年度改款车型，新车的外观、内饰及配置将有所调整，同时追加搭载1.5l cvt动力组合的车型。此外，斯派卡ev和一款全新纯电动两厢微型车也将在年内推出。     2020款博骏2019款博骏    野马博骏于</t>
  </si>
  <si>
    <t>2020/02/20 13:08:00</t>
  </si>
  <si>
    <t>　　日前，野马汽车公布了2020年度新车计划。今年内，野马汽车将会推出博骏、斯派卡、野马ec60的年度改款车型，新车的外观、内饰及配置将有所调整，同时追加搭载1.5l cvt动力组合的车型。此外，斯派卡ev和一款全新纯电动两厢微型车也将在年内推出。　　 2020款博骏2019款博骏　　野马博骏于20</t>
  </si>
  <si>
    <t>一般来说，车企都会根据收集到的用户、市场反馈，对车辆在改款、换代时做出调整，这些调整基本都是升级、正向的，他们会改掉车辆上的不足之处，并追加一些新鲜玩意儿，“买新不买旧”的道理，在汽车消费市场亦适用。但有的车型却是特例，它们改款换代后，反而舍弃掉了原来的一些优点，对比之下似乎还是买现款更香，今天我们</t>
  </si>
  <si>
    <t>别人家的孩子</t>
  </si>
  <si>
    <t>2020/02/20 13:05:00</t>
  </si>
  <si>
    <t>尽管当下国内的主流的汽车仍是轿车和SUV，但素有"保姆车"称号的MPV所具有的人气却是在持续高涨，市场份额非常可观。而究其原因，MPV的市场份额之所以充裕其实正是因为它们符合国人的需求，毕竟MPV虽然外观造型看起来像面包车，非常普通、低调，但是MPV的内部驾乘空间却十分充足，非常适合外出旅行，深得众</t>
  </si>
  <si>
    <t>耗巨资打造，曾叫板埃尔法，今却销量惨淡尽管当下国内的主流的汽车仍是轿车和SUV，但素有"保姆车"称号的MPV所具有的人气却是在持续高涨，市场份额非常可观。而究其原因，MPV的市场份额之所以充裕其实正是因为它们符合国人的需求，毕竟MPV虽然外观造型看起来像面包车，非常普通、低调，但是MPV的内部驾乘空</t>
  </si>
  <si>
    <t>新款一出就后悔了，这些车就该赶紧买老款？一般来说，车企都会根据收集到的用户、市场反馈，对车辆在改款、换代时做出调整，这些调整基本都是升级、正向的，他们会改掉车辆上的不足之处，并追加一些新鲜玩意儿，“买新不买旧”的道理，在汽车消费市场亦适用。但有的车型却是特例，它们改款换代后，反而舍弃掉了原来的一些优</t>
  </si>
  <si>
    <t>随着经济的飞速发展，人们对于生活品质的追求也越来越高，以买车为例，如今很多人开始逐渐把视线转移到豪华品牌上。不仅如此，豪华品牌车型对我们来说已不再像曾经那般遥不可及，近几年来，国内的SUV市场极为火热，各豪华品牌纷纷推出了价格亲民的中型SUV，想要买到它们，或许只需30多万元的价格。究竟有哪些车呢？</t>
  </si>
  <si>
    <t>2020/02/20 13:04:00</t>
  </si>
  <si>
    <t>随着生活水平的不断提高，我们买车也有了更高的要求，同时随着科技水平的进步，豪华车的门槛也变得越来越低，让更多的消费者开始购买豪车品牌。接下来就推荐以下三款有着高大上气息的豪华SUV，像是小编这样买不起的也不要灰心，就把它们当作目标，搬砖搬砖再搬砖。宝马X1买车还是要讲究实用性，新款宝马X1最大的特点</t>
  </si>
  <si>
    <t>30多万预算，这四款豪华中型SUV看不腻随着经济的飞速发展，人们对于生活品质的追求也越来越高，以买车为例，如今很多人开始逐渐把视线转移到豪华品牌上。不仅如此，豪华品牌车型对我们来说已不再像曾经那般遥不可及，近几年来，国内的SUV市场极为火热，各豪华品牌纷纷推出了价格亲民的中型SUV，想要买到它们，或</t>
  </si>
  <si>
    <t>这三款30万的豪华SUV，买了的人都说值随着生活水平的不断提高，我们买车也有了更高的要求，同时随着科技水平的进步，豪华车的门槛也变得越来越低，让更多的消费者开始购买豪车品牌。接下来就推荐以下三款有着高大上气息的豪华SUV，像是小编这样买不起的也不要灰心，就把它们当作目标，搬砖搬砖再搬砖。宝马X1买车</t>
  </si>
  <si>
    <t>豪华品牌2019年的在华销量已经悉数出炉，具体来看，大部分车企都实现了稳涨，由此来看，消费升级确有其事。那么，面对越来越庞大的高档汽车消费市场，我们熟悉的豪华品牌将如何应对，它们在今年又有哪些新产品呢？读了此文，你就明白了。☼奔驰代表车型：梅赛德斯-迈巴赫 GLS/全新GLA等18款新车从销量数据上</t>
  </si>
  <si>
    <t>2020/02/20 13:03:00</t>
  </si>
  <si>
    <t>转眼，2019年也已经进入了最后一个月，很多在年初就有购车计划的人，到了年末都还没有购成，甚至连心仪的目标车型都没有。今天，我就给大家盘点出2019年最值得购买的几款家用车，它们不仅空间宽敞，开回家过年还倍有面子！传祺全新GA6指导价：10.88-16.88万新车亮点：性价比高、空间大、配置丰富全新</t>
  </si>
  <si>
    <t>盘点2019年上市最值得购买的家用车转眼，2019年也已经进入了最后一个月，很多在年初就有购车计划的人，到了年末都还没有购成，甚至连心仪的目标车型都没有。今天，我就给大家盘点出2019年最值得购买的几款家用车，它们不仅空间宽敞，开回家过年还倍有面子！传祺全新GA6指导价：10.88-16.88万新车</t>
  </si>
  <si>
    <t>豪华品牌今年有哪些新车？看完此文就明白了豪华品牌2019年的在华销量已经悉数出炉，具体来看，大部分车企都实现了稳涨，由此来看，消费升级确有其事。那么，面对越来越庞大的高档汽车消费市场，我们熟悉的豪华品牌将如何应对，它们在今年又有哪些新产品呢？读了此文，你就明白了。☼奔驰代表车型：梅赛德斯-迈巴赫 G</t>
  </si>
  <si>
    <t>大部分老百姓过日子，买车图优惠，却总是有那么一些特立独行的车需要“加价”才能买到，虽然早在2017年商务部就颁布了《汽车销售管理办法》来限制经销商的加价销售行为，但尽管如此市场部分车型的加价购车情况依旧屡见不鲜。2020年，到底是会有更多的车继续加价售卖，还是更多的车退出加价行列呢？一起来看看。新晋</t>
  </si>
  <si>
    <t>2020/02/20 13:02:00</t>
  </si>
  <si>
    <t>如果想要买一台中型SUV，你会发现主流合资品牌旗下的车型都卖的太贵，性价比不高。所以我们不妨还是把目光瞄向自主品牌，基本上15万左右就可以落地一台品质不错的中型SUV，而且配置也要比合资更加丰富，性价比很高。四款车型推荐的都是5座最低配版本，推荐5座是因为这四款7座车型的第三排还是不太实用，而且7座</t>
  </si>
  <si>
    <t>2020年，哪些车将进入加价队伍大部分老百姓过日子，买车图优惠，却总是有那么一些特立独行的车需要“加价”才能买到，虽然早在2017年商务部就颁布了《汽车销售管理办法》来限制经销商的加价销售行为，但尽管如此市场部分车型的加价购车情况依旧屡见不鲜。2020年，到底是会有更多的车继续加价售卖，还是更多的车</t>
  </si>
  <si>
    <t>想要面子怎么办？来看看这四款国产中型SUV如果想要买一台中型SUV，你会发现主流合资品牌旗下的车型都卖的太贵，性价比不高。所以我们不妨还是把目光瞄向自主品牌，基本上15万左右就可以落地一台品质不错的中型SUV，而且配置也要比合资更加丰富，性价比很高。四款车型推荐的都是5座最低配版本，推荐5座是因为这</t>
  </si>
  <si>
    <t>今天是2019年的最后一天，在这个辞旧迎新的日子里，很多人都会回忆起2019年的点点滴滴，小编也从车市的角度，来回顾一下今年车市让人留下深刻印象的车型，一共五款，每一款都有着比较强的代表性。卖得最好的三缸车型：别克英朗三缸是2019年议论比较多的话题，对于很多消费者来说，只要听到三缸这两个词，就会先</t>
  </si>
  <si>
    <t>2020/02/20 13:01:00</t>
  </si>
  <si>
    <t>除了全国降温的上周五，面对日渐暖和的天气，谁不想出去撒欢呢？撒欢对车辆的驾驶体验可就要求得高了，那咱们的眼光也得提高一点，至少也是往9AT看齐。说到AT，大家都知道它代表自动变速箱，但并不是前进挡位越多就越好。齿轮咬合方案越多，确实意味着更柔顺的换挡、更经济的油耗，但这对车辆的制造工艺要求也更高。这</t>
  </si>
  <si>
    <t>这几款中型SUV最高配备9AT除了全国降温的上周五，面对日渐暖和的天气，谁不想出去撒欢呢？撒欢对车辆的驾驶体验可就要求得高了，那咱们的眼光也得提高一点，至少也是往9AT看齐。说到AT，大家都知道它代表自动变速箱，但并不是前进挡位越多就越好。齿轮咬合方案越多，确实意味着更柔顺的换挡、更经济的油耗，但这</t>
  </si>
  <si>
    <t>2019年度之最车型，这五辆入选今天是2019年的最后一天，在这个辞旧迎新的日子里，很多人都会回忆起2019年的点点滴滴，小编也从车市的角度，来回顾一下今年车市让人留下深刻印象的车型，一共五款，每一款都有着比较强的代表性。卖得最好的三缸车型：别克英朗三缸是2019年议论比较多的话题，对于很多消费者来</t>
  </si>
  <si>
    <t>日前，一汽-大众公布2020款高尔夫（国VI）和2020款高尔夫GTI（国V）正式上市，其中新款高尔夫推出2种排量共计6款车型，售价区间为14.13-18.02万元，新款高尔夫GTI售价23.42万元。2020款高尔夫    作为一款年度改款车型，新款高尔夫和高尔夫GTI并没有针对外观进行很大的升级</t>
  </si>
  <si>
    <t>2020/02/20 13:00:00</t>
  </si>
  <si>
    <t>年关将近，许多都开始计划过年回家的方式。开车，是许多距离适中的小伙伴最合适的选择。而如何选择一款合适的车型，赢得全家人的喜爱，就让很多小伙伴犯起了难。目前主流消费者年龄区间集中在85-90年之间，家庭稳定、有儿有女、父母健康，压力也不小，一辆车能否照顾全家人的感受，这就考验车辆的综合实力。回家过年的</t>
  </si>
  <si>
    <t>　　日前，一汽-大众公布2020款高尔夫（国VI）和2020款高尔夫GTI（国V）正式上市，其中新款高尔夫推出2种排量共计6款车型，售价区间为14.13-18.02万元，新款高尔夫GTI售价23.42万元。2020款高尔夫　　作为一款年度改款车型，新款高尔夫和高尔夫GTI并没有针对外观进行很大的升级</t>
  </si>
  <si>
    <t>5/6/7座任你选 高性价比大空间SUV推荐年关将近，许多都开始计划过年回家的方式。开车，是许多距离适中的小伙伴最合适的选择。而如何选择一款合适的车型，赢得全家人的喜爱，就让很多小伙伴犯起了难。目前主流消费者年龄区间集中在85-90年之间，家庭稳定、有儿有女、父母健康，压力也不小，一辆车能否照顾全家</t>
  </si>
  <si>
    <t>　　如果按着时间捋一下合资小型SUV车型，那么本田缤智绝对排在一个靠前的位置。并且这多年来的口碑以及先入为主的身份，使得东风本田X-RV与广汽本田缤智都获得了不错的销量成绩。但是随着丰田系列的奕泽、C-HR以及大众系的途铠、探影等车型后期涌入，使得这一市场的竞争也变得更为激烈。　　很显然，在动力方面</t>
  </si>
  <si>
    <t>2020/02/20 12:58:00</t>
  </si>
  <si>
    <t>路特斯今日正式宣布，位于英国诺福克郡海瑟尔总部的Evija全新工厂正式揭幕。路特斯纯电动超跑Evija最终测试阶段的原型车即将在此下线。官方表示，130辆量产版Evija将从今年夏天开始陆续驶出这座工厂，交付全球客户。目前，该车第一年的产量已经预订一空。    这座全新工厂毗邻路特斯内部赛道，这条全</t>
  </si>
  <si>
    <t>2020/02/20 12:56:00</t>
  </si>
  <si>
    <t>　　路特斯今日正式宣布，位于英国诺福克郡海瑟尔总部的Evija全新工厂正式揭幕。路特斯纯电动超跑Evija最终测试阶段的原型车即将在此下线。官方表示，130辆量产版Evija将从今年夏天开始陆续驶出这座工厂，交付全球客户。目前，该车第一年的产量已经预订一空。　　这座全新工厂毗邻路特斯内部赛道，这条全</t>
  </si>
  <si>
    <t>姚嘉</t>
  </si>
  <si>
    <t>　　思域Type R是本田旗下的一款紧凑级性能轿车，其市场定位与大众高尔夫R、福特福克斯RS、雷诺梅甘娜RS等较为相似。近日海外媒体曝光了一组本田思域Type R限量版车型图片，新车将于今年夏季登陆海外经销商处开售，且仅向美国市场提供600台供消费者选购。（以海外夏季时间为准）　　动力方面，新车将继</t>
  </si>
  <si>
    <t>2020/02/20 12:55:00</t>
  </si>
  <si>
    <t>思域Type R是本田旗下的一款紧凑级性能轿车，其市场定位与大众高尔夫R、福特福克斯RS、雷诺梅甘娜RS等较为相似。近日海外媒体曝光了一组本田思域Type R限量版车型图片，新车将于今年夏季登陆海外经销商处开售，且仅向美国市场提供600台供消费者选购。（以海外夏季时间为准）    动力方面，新车将继</t>
  </si>
  <si>
    <t>　　当90后逐渐成为这个时代的主要消费人群之后，颜值、动力、驾驶感受也逐渐成了选车的主要因素。也正是由于这样的原因，使得这两年贴上运动标签的车型越来越多，也越来越受喜爱。而本篇选车3+2就为大家来介绍一款有着运动标签的车型――捷豹XEL。　　优点1：虽然是改款 但更具年轻气息　　全新捷豹XEL采用了</t>
  </si>
  <si>
    <t>2020/02/20 12:53:00</t>
  </si>
  <si>
    <t>　　随着前一段时间的清仓甩卖，老款沃尔沃S60L渐渐退出历史舞台。取而代之，全新沃尔沃S60粉墨登场。所谓“十年磨一剑”，距上一代车型问世已有九年之久。全新的平台、全新的动力、全新的配置，一切的一切，都是新的。在这次脱胎换骨之下，沃尔沃S60产品力取得了巨大提升，本期选车3+2将为大家简析全新沃尔沃</t>
  </si>
  <si>
    <t>2020/02/20 12:51:00</t>
  </si>
  <si>
    <t>　　据中国汽车流通协会汽车市场研究分会（乘联会）最新综合销量数据统计显示，今年1月份SUV销量80.4万辆，同比下降14.5%，而广汽传祺GS4实现销售16,771辆，一举超过大众途观和日产奇骏两大合资品牌热门SUV，同比逆势增长133.0%。　　目前在售的第二代传祺GS4共拥有9款车型（3款手动挡</t>
  </si>
  <si>
    <t>2020/02/20 12:49:00</t>
  </si>
  <si>
    <t>据中国汽车流通协会汽车市场研究分会（乘联会）最新综合销量数据统计显示，今年1月份SUV销量80.4万辆，同比下降14.5%，而广汽传祺GS4实现销售16,771辆，一举超过大众途观和日产奇骏两大合资品牌热门SUV，同比逆势增长133.0%。    目前在售的第二代传祺GS4共拥有9款车型（3款手动挡</t>
  </si>
  <si>
    <t>DS4是定位豪华品牌紧凑级市场的两厢轿车，2012年曾在中国市场开卖，可惜由于市场竞争压力极大，销量成绩并不理想。近日，有海外媒体曝光了全新DS4的谍照，通过图片可以看出该车正在冰雪路面进行严寒测试，预计亮相时间要等到明年春季，通过此次换代也为DS4车型注入了新的活力。    外观方面，新车由于覆盖</t>
  </si>
  <si>
    <t>2020/02/20 12:47:00</t>
  </si>
  <si>
    <t>　　DS4是定位豪华品牌紧凑级市场的两厢轿车，2012年曾在中国市场开卖，可惜由于市场竞争压力极大，销量成绩并不理想。近日，有海外媒体曝光了全新DS4的谍照，通过图片可以看出该车正在冰雪路面进行严寒测试，预计亮相时间要等到明年春季，通过此次换代也为DS4车型注入了新的活力。　　外观方面，新车由于覆盖</t>
  </si>
  <si>
    <t>XV是斯巴鲁旗下的一款紧凑级SUV车型，该款车型于2012年以进口形式引入国内市场销售，相比同级热销车型森林人，其市场销量则显得略逊一筹，但其个性外观以及内饰设计，还是受到了细分市场消费者的喜爱。目前斯巴鲁XV混动版已在西班牙市场上市开售，新车共计推出两款车型，海外市场起售价为32,500欧元（约为</t>
  </si>
  <si>
    <t>2020/02/20 12:45:00</t>
  </si>
  <si>
    <t>日前，我们从吉利汽车官方获悉，吉利全新suv——icon将于2月24日举办线上上市发布会，吉利icon将新车版型以“i7、i9”来命名并区分高低配置。面对疫情突然来袭，吉利快速研发车载净化系统，吉利icon是吉利首款搭载真车规级“n95口罩”全新车型。不久前，吉利icon“银河限量版”车型已经上市，</t>
  </si>
  <si>
    <t>　　XV是斯巴鲁旗下的一款紧凑级SUV车型，该款车型于2012年以进口形式引入国内市场销售，相比同级热销车型森林人，其市场销量则显得略逊一筹，但其个性外观以及内饰设计，还是受到了细分市场消费者的喜爱。目前斯巴鲁XV混动版已在西班牙市场上市开售，新车共计推出两款车型，海外市场起售价为32,500欧元（</t>
  </si>
  <si>
    <t>　　日前，我们从吉利汽车官方获悉，吉利全新suv――icon将于2月24日举办线上上市发布会，吉利icon将新车版型以“i7、i9”来命名并区分高低配置。面对疫情突然来袭，吉利快速研发车载净化系统，吉利icon是吉利首款搭载真车规级“n95口罩”全新车型。不久前，吉利icon“银河限量版”车型已经上</t>
  </si>
  <si>
    <t>投诉编号：【447876】投诉时间：2020-02-2012:44投诉品牌：北京现代投诉车系：领动投诉车型：2016款1.6L自动智炫・精英型投诉内容北京现代领动车门漏风严重，车门的问题，店内给予砸车门的修理方式，我不认可，店内一直拖，不给解决。要求厂家处理。投诉回复车质网已将您的投诉转给生产企业以</t>
  </si>
  <si>
    <t>2020/02/20 12:44:00</t>
  </si>
  <si>
    <t>　　说到科鲁泽可能不是很关注汽车的人听起来有些陌生，但提起科鲁兹想必就算是不太懂车的小白也听过这款车型。而科鲁泽是一款海外车型，英文名字是MONZA，被带到中国后更名为科鲁泽。雪佛兰在A级轿车市场已经有两款产品，分别是科鲁兹和科沃兹，而科鲁泽作为主打运动的一款A级轿车似乎辨识度并不是很高，不过目前终</t>
  </si>
  <si>
    <t>2020/02/20 12:40:00</t>
  </si>
  <si>
    <t>投诉编号：【447875】  投诉时间： 2020-02-20 12:40  投诉品牌： 一汽-大众  投诉车系： 探岳  投诉车型： 2019款 330TSI 四驱 豪华型 国V        投诉内容  一汽大众探岳冷却液异常消耗，车子行驶才12000公里就出现冷却液已达下限问题。冷却液泄露，要</t>
  </si>
  <si>
    <t>2020/02/20 12:38:40</t>
  </si>
  <si>
    <t>投诉编号：【447872】
投诉时间： 2020-02-20 11:58
投诉品牌： 上汽集团
投诉车系： 名爵3
投诉车型： 2013款 1.5L 手动 超值版</t>
  </si>
  <si>
    <t>　　相比于轿车与城市SUV，旅行车就如同硬派越野车一样，在整个车市中处于相对小众的板块。但不可否认的是，真的有那么一群瓦罐（Wagon）粉丝的存在。沃尔沃V60、比斯开蓝的R36、甚至性能更为高阶的奥迪 RS6，都拥有着不少的追捧者。而本篇文章，我们就来说一说全新沃尔沃V60，这辆拥有北欧风格的旅行</t>
  </si>
  <si>
    <t>2020/02/20 12:37:00</t>
  </si>
  <si>
    <t>　　不得不说近两年美系品牌的车型已经完成了历史性的变革，不管是福特还是通用，他们新时代的产品有两个特点，一个就是发动机排量越来越小、另一个就是配置越来越高，本土化的越来越彻底。挺好，我觉得这是一件好事。而凯迪拉克品牌在中国市场更是以“超高性价“才赢得了更多的市场和更好的口碑，但我始终认为这不是一个豪</t>
  </si>
  <si>
    <t>冀磊</t>
  </si>
  <si>
    <t>2020/02/20 12:35:00</t>
  </si>
  <si>
    <t>不得不说近两年美系品牌的车型已经完成了历史性的变革，不管是福特还是通用，他们新时代的产品有两个特点，一个就是发动机排量越来越小、另一个就是配置越来越高，本土化的越来越彻底。挺好，我觉得这是一件好事。而凯迪拉克品牌在中国市场更是以“超高性价“才赢得了更多的市场和更好的口碑，但我始终认为这不是一个豪华品</t>
  </si>
  <si>
    <t>　　一场突如其来的疫情让这个春节变得很特别，全国人民都开启了一场疫情防控战，先是自行隔离，避免聚众、聚餐、外出，随后春节假期延期，疫情当前，这场全民“隔离”也随着疫情的发展而越演越烈。　　虽然大家都在为这场疫情防控战助力，但经过了一个春节，很多车主的汽车都迎来了保养周期，或是因为长时间停放出现胎压不</t>
  </si>
  <si>
    <t>2020/02/20 12:33:00</t>
  </si>
  <si>
    <t>一场突如其来的疫情让这个春节变得很特别，全国人民都开启了一场疫情防控战，先是自行隔离，避免聚众、聚餐、外出，随后春节假期延期，疫情当前，这场全民“隔离”也随着疫情的发展而越演越烈。    虽然大家都在为这场疫情防控战助力，但经过了一个春节，很多车主的汽车都迎来了保养周期，或是因为长时间停放出现胎压不</t>
  </si>
  <si>
    <t>　　现如今的汽车已经渗透进我们每个人的家中，甚至汽车已经成为家庭标配，但是与之相配套的停车位建设却总是“慢半拍”。不少司机朋友总是感叹“停车难，难于上青天”，甚至不少朋友出门干脆选择公共交通或者打车，可以说停车难已经严重影响了很多人的用车体验。　　“开车5分钟，停车半小时”现象在城市的大型公共场所附</t>
  </si>
  <si>
    <t>范泽方</t>
  </si>
  <si>
    <t>2020/02/20 12:31:00</t>
  </si>
  <si>
    <t>现如今的汽车已经渗透进我们每个人的家中，甚至汽车已经成为家庭标配，但是与之相配套的停车位建设却总是“慢半拍”。不少司机朋友总是感叹“停车难，难于上青天”，甚至不少朋友出门干脆选择公共交通或者打车，可以说停车难已经严重影响了很多人的用车体验。    “开车5分钟，停车半小时”现象在城市的大型公共场所附</t>
  </si>
  <si>
    <t>投诉编号：【447874】  投诉时间： 2020-02-20 12:13  投诉品牌： 一汽丰田  投诉车系： 锐志  投诉车型： 2013款 2.5V 菁锐版        投诉内容  我在14年8月份买的13款锐志，结果16年玻璃升降就存在抖动异响，空调压缩机经常偷停。后在17年6月份索赔了主</t>
  </si>
  <si>
    <t>2020/02/20 12:13:00</t>
  </si>
  <si>
    <t>投诉编号：【447873】  投诉时间： 2020-02-20 12:11  投诉品牌： 一汽大众  投诉车系： 捷达VS5  投诉车型： 2019款 280TSI 自动 荣耀型        投诉内容  汽车主驾驶座椅下面的电线插头没有插是怎么回事？副驾驶座椅下面的插上了，不知道是什么电器的线路，</t>
  </si>
  <si>
    <t>2020/02/20 12:11:00</t>
  </si>
  <si>
    <t>2020/02/20 11:55:07</t>
  </si>
  <si>
    <t>投诉编号：【447867】
投诉时间： 2020-02-20 11:46
投诉品牌： 郑州日产
投诉车系： 途达
投诉车型： 2020款 2.5L 自动 四驱 旗舰版</t>
  </si>
  <si>
    <t>投诉编号：【447871】  投诉时间： 2020-02-20 11:52  投诉品牌： 华晨宝马  投诉车系： 宝马5系  投诉车型： 2018款 530Li 领先型 M运动套装        投诉内容  2019年12月24日发现踩刹车后轮异响，去4S店检查发现左后轮内侧刹车盘和刹车盘严重异常磨</t>
  </si>
  <si>
    <t>2020/02/20 11:52:00</t>
  </si>
  <si>
    <t>　　据外媒报道，当地时间2月14日，俄罗斯科技巨头Yandex公布了2019年第四季度财务报表，表示迄今为止，其自动驾驶汽车已经行驶了200万英里，是10月份公布数字的2倍，8月份公布数字的4倍。图片来源：Yandex　　此外，Yandex公司还首次透露，自该公司启动自动驾驶项目以来，已经向该项目投</t>
  </si>
  <si>
    <t>2020/02/20 11:33:00</t>
  </si>
  <si>
    <t>据外媒报道，当地时间2月14日，俄罗斯科技巨头Yandex公布了2019年第四季度财务报表，表示迄今为止，其自动驾驶汽车已经行驶了200万英里，是10月份公布数字的2倍，8月份公布数字的4倍。图片来源：Yandex    此外，Yandex公司还首次透露，自该公司启动自动驾驶项目以来，已经向该项目投</t>
  </si>
  <si>
    <t>投诉编号：【447865】  投诉时间： 2020-02-20 11:31  投诉品牌： 奇瑞汽车  投诉车系： 瑞虎8  投诉车型： 2019款 1.6TGDI 自动 精英型        投诉内容  我车子12.12日上牌提车一个多月行驶了2000多公里2020.2.2日晚上正常起步听到咔咔咔响</t>
  </si>
  <si>
    <t>2020/02/20 11:31:00</t>
  </si>
  <si>
    <t>　　凭借优异的性能表现，现代汽车车辆安全性得到权威机构高度认可。2020年2月13日，以严苛著称的美国汽车安全测试机构――美国公路安全保险协会（IIHS）宣布，现代汽车凭借在美国市场销售的9款车型荣获汽车类最高安全评级“顶级安全奖（TOP SAFETY PICK+）”和“最高安全奖（TOP SAFE</t>
  </si>
  <si>
    <t>投诉编号：【447863】  投诉时间： 2020-02-20 11:29  投诉品牌： 一汽吉林  投诉车系： 森雅R9  投诉车型： 2018款 1.2T 自动 豪华智尚型        投诉内容  方向盘卡顿异响，转向不灵活，皮带自紧轮嘎吉异响。      投诉回复  车质网已将您的投诉转给生</t>
  </si>
  <si>
    <t>2020/02/20 11:29:00</t>
  </si>
  <si>
    <t>J.D. Power君迪是全球领先的消费者洞察和市场调研公司，2020年度是其第31年发布年度车辆可靠性研究。在每年的车辆可靠性研究中，J.D. Power君迪会衡量车辆使用3年后，车主在过去12个月中遇到的故障。如2020年度调研中的车辆，均为2017年款车型。总体可靠性由平均每百辆车出现的故障数</t>
  </si>
  <si>
    <t>　　J.D. Power君迪是全球领先的消费者洞察和市场调研公司，2020年度是其第31年发布年度车辆可靠性研究。在每年的车辆可靠性研究中，J.D. Power君迪会衡量车辆使用3年后，车主在过去12个月中遇到的故障。如2020年度调研中的车辆，均为2017年款车型。总体可靠性由平均每百辆车出现的故</t>
  </si>
  <si>
    <t>总销售额达779亿欧元    息税前利润为30亿欧元    大规模前期投资：每年在未来移动出行领域投入10亿欧元    人工智能：面向2万名员工开展人工智能培训计划    博世在华销售额约1097亿人民币，业绩表现优于市场平均水平2019财年关键数据    博世集团董事会主席沃尔克马尔·邓纳尔博士表</t>
  </si>
  <si>
    <t>2020/02/20 11:26:00</t>
  </si>
  <si>
    <t>　　总销售额达779亿欧元　　息税前利润为30亿欧元　　大规模前期投资：每年在未来移动出行领域投入10亿欧元　　人工智能：面向2万名员工开展人工智能培训计划　　博世在华销售额约1097亿人民币，业绩表现优于市场平均水平2019财年关键数据　　博世集团董事会主席沃尔克马尔・邓纳尔博士表示，“作为创新领</t>
  </si>
  <si>
    <t>2月10日，米其林集团正式公布2019年财报。米其林集团全年销售额为241.35亿欧元，同比增长9.6%；业务线营业利润达30.09亿欧元，按照恒定汇率计算，同比增长6.5%；净利润达17.3亿欧元，同比增长7000万欧元。    财报显示，去年市场环境依旧严峻，米其林集团轮胎销量同比下降1.2%，</t>
  </si>
  <si>
    <t>2020/02/20 11:25:00</t>
  </si>
  <si>
    <t>　　2月10日，米其林集团正式公布2019年财报。米其林集团全年销售额为241.35亿欧元，同比增长9.6%；业务线营业利润达30.09亿欧元，按照恒定汇率计算，同比增长6.5%；净利润达17.3亿欧元，同比增长7000万欧元。　　财报显示，去年市场环境依旧严峻，米其林集团轮胎销量同比下降1.2%，</t>
  </si>
  <si>
    <t>投诉编号：【447862】  投诉时间： 2020-02-20 11:24  投诉品牌： 长安汽车  投诉车系： 长安CS35  投诉车型： 2015款 1.6L 手动 尊贵型 国IV        投诉内容  车辆是15款的，这车出自长安4S店，原车主卖给二手车车行老板，我于2019年8月4S店买</t>
  </si>
  <si>
    <t>2020/02/20 11:24:00</t>
  </si>
  <si>
    <t>2月18日，阿斯顿·马丁在银石赛道测试了它们的超级跑车valkyrie的原型车，这次他们不仅一下带来了3台valkyrie的原型车，而且还邀请来了包括红牛一队两位当家车手维斯塔潘和阿尔本在内的多名车手。    维斯塔潘在试驾完valkyrie表示“去年我在银石赛道看到阿斯顿·马丁valkyrie的初</t>
  </si>
  <si>
    <t>　　2月18日，阿斯顿・马丁在银石赛道测试了它们的超级跑车valkyrie的原型车，这次他们不仅一下带来了3台valkyrie的原型车，而且还邀请来了包括红牛一队两位当家车手维斯塔潘和阿尔本在内的多名车手。　　维斯塔潘在试驾完valkyrie表示“去年我在银石赛道看到阿斯顿・马丁valkyrie的初</t>
  </si>
  <si>
    <t>姚雨辰YC</t>
  </si>
  <si>
    <t>对于长安欧尚x7，相信各位朋友已经不会太陌生了，凭借着出色的性价比，它已经斩获了超过4.3万台的订单。优秀的成绩背后离不开出色的产品力，本文我们就来跟大家聊一聊长安欧尚x7的“心脏”——发动机，看看它究竟有着怎样的独到之处。    首先介绍一下长安欧尚x7搭载的这台“中国心”十佳发动机，如果熟悉长安</t>
  </si>
  <si>
    <t>2020/02/20 11:23:00</t>
  </si>
  <si>
    <t>　　对于长安欧尚x7，相信各位朋友已经不会太陌生了，凭借着出色的性价比，它已经斩获了超过4.3万台的订单。优秀的成绩背后离不开出色的产品力，本文我们就来跟大家聊一聊长安欧尚x7的“心脏”――发动机，看看它究竟有着怎样的独到之处。　　首先介绍一下长安欧尚x7搭载的这台“中国心”十佳发动机，如果熟悉长安</t>
  </si>
  <si>
    <t>应汶佚</t>
  </si>
  <si>
    <t>　　15万落地的suv车型你怎么选？这是我在直播过程中网友问我最多的问题，有人会觉着这个条件选车是个不可能完成的任务，15万落地意味着裸车价10万元左右，但真的结合品牌、价格、使用体验等因素后，合资品牌小型suv是个能够平衡各个条件的选择，本文将给您推荐三款适合不同人群、各具个性的选择。　　追求驾驶</t>
  </si>
  <si>
    <t>韩昕柏</t>
  </si>
  <si>
    <t>2020/02/20 11:21:00</t>
  </si>
  <si>
    <t>我问一下，氧传感器怎么会坏呢？会对发动机有影响吗？</t>
  </si>
  <si>
    <t>2020/02/20 11:18:07</t>
  </si>
  <si>
    <t>　　2020是个看上去十分科幻的数字，00后都已经准备“奔三”了，太恐怖了。不过他们的买车理念的确前卫，前些天跟几个弟弟云喝酒，没有条条框框，一上来就想搞个mpv，说疫情憋坏了，等结束后拉着兄弟姐妹们出去躁，我这就得教育教育他们了，疫情结束了先拉着你们父母爷爷奶奶出去旅游孝敬孝敬！但预算不多这个我帮</t>
  </si>
  <si>
    <t>魏来</t>
  </si>
  <si>
    <t>2020/02/20 11:17:00</t>
  </si>
  <si>
    <t>老师我想问一下，山西太原有针对新能源电动车的检测机构么？问了好多人都不知道。</t>
  </si>
  <si>
    <t>2020/02/20 11:14:06</t>
  </si>
  <si>
    <t>请问2015款和2017款投诉量大吗？有严重性问题吗？有什么共性问题？这两款选哪个比较好？</t>
  </si>
  <si>
    <t>　　15万落地买什么suv？是编辑在直播过程中网友们关注度很高的一个问题。这个级别大多消费者是第一次选购家用suv，实用性是他们的主要诉求。本次我们就从空间，油耗，性价比等几个维度出发，给大家推荐合适的车型。　　对于选购15万这个级别的SUV消费者来说，更多是想要一台好开省心的家用车，所以空间大，油</t>
  </si>
  <si>
    <t>小黎来了</t>
  </si>
  <si>
    <t>2020/02/20 11:14:00</t>
  </si>
  <si>
    <t>投诉编号：【447858】  投诉时间： 2020-02-20 11:13  投诉品牌： 上汽集团  投诉车系： 荣威Ei5  投诉车型： 2018款 互联网旗舰版        投诉内容  电机噪音突然很大，关窗平地开60码测出来72分贝。售后检测说感觉不出来，不肯维修。空调口会吹出白色粉末，有异</t>
  </si>
  <si>
    <t>2020/02/20 11:13:00</t>
  </si>
  <si>
    <t>近日，有媒体从乘联会获得了1月份全国乘用车销量数据，其中一汽-大众1月销售187,414辆（广义乘用车销量）新车，稳居销量榜首。根据规划，企业今年还将推出第八代高尔夫、cc猎装版、探岳gte在内的5款新车，将有助于销量进一步增长。    通过数据可以看出，一汽-大众以187,414辆（广义乘用车销量</t>
  </si>
  <si>
    <t>2020/02/20 11:11:00</t>
  </si>
  <si>
    <t>　　近日，有媒体从乘联会获得了1月份全国乘用车销量数据，其中一汽-大众1月销售187,414辆（广义乘用车销量）新车，稳居销量榜首。根据规划，企业今年还将推出第八代高尔夫、cc猎装版、探岳gte在内的5款新车，将有助于销量进一步增长。　　通过数据可以看出，一汽-大众以187,414辆（广义乘用车销量</t>
  </si>
  <si>
    <t>近日，有媒体获得一组全新现代i20的官图，其中包含了i20外观官图以及内饰的设计草图。从图中可以看出，新车的内外风格形成了高度的统一。据悉，全新现代i20或将在2020年3月3日开幕的日内瓦车展上正式首发亮相。    就外观而言，全新现代i20走的是年轻时尚的风格，六边形格栅和棱角分明的大灯造型，让</t>
  </si>
  <si>
    <t>2020/02/20 11:09:00</t>
  </si>
  <si>
    <t>　　近日，有媒体获得一组全新现代i20的官图，其中包含了i20外观官图以及内饰的设计草图。从图中可以看出，新车的内外风格形成了高度的统一。据悉，全新现代i20或将在2020年3月3日开幕的日内瓦车展上正式首发亮相。　　就外观而言，全新现代i20走的是年轻时尚的风格，六边形格栅和棱角分明的大灯造型，让</t>
  </si>
  <si>
    <t>梁子辰</t>
  </si>
  <si>
    <t>近日，有媒体从海外网站获得少量新一代缤智渲染图，新一代缤智将衍生自新一代飞度，采用本田最新的家族化设计语言，新车高度相比现款有所降低。动力方面，新车将与新飞度共享动力总成，提供1.5t涡轮增压发动机或1.5升混合动力系统，预计将于2021年3月发布。    从渲染图来看，新车在前脸有着更强的攻击性，</t>
  </si>
  <si>
    <t>2020/02/20 11:08:00</t>
  </si>
  <si>
    <t>　　近日，有媒体从海外网站获得少量新一代缤智渲染图，新一代缤智将衍生自新一代飞度，采用本田最新的家族化设计语言，新车高度相比现款有所降低。动力方面，新车将与新飞度共享动力总成，提供1.5t涡轮增压发动机或1.5升混合动力系统，预计将于2021年3月发布。　　从渲染图来看，新车在前脸有着更强的攻击性，</t>
  </si>
  <si>
    <t>300c是克莱斯勒旗下的一款中大型轿车。近日，有媒体获得了一组克莱斯勒新款300c的官图，同时新车售价也随之公布。据了解，新车海外市场的起售价为29，590美元（约为21万人民币），并将于今年年内陆续交付。    外观方面，克莱斯勒新款300c采用了最新的家族设计理念，营造了较好的豪华氛围。前脸部分</t>
  </si>
  <si>
    <t>2020/02/20 11:06:00</t>
  </si>
  <si>
    <t>　　300c是克莱斯勒旗下的一款中大型轿车。近日，有媒体获得了一组克莱斯勒新款300c的官图，同时新车售价也随之公布。据了解，新车海外市场的起售价为29，590美元（约为21万人民币），并将于今年年内陆续交付。　　外观方面，克莱斯勒新款300c采用了最新的家族设计理念，营造了较好的豪华氛围。前脸部分</t>
  </si>
  <si>
    <t>在2019年洛杉矶车展期间，梅赛德斯-奔驰正式发布了amg gle 63。近日，有媒体获得了一组amg gle 63 s coupe的官方图片。作为全新gle轿跑suv的顶级性能产品，动力性能自然是这款车最高的关注点，新车全系均搭载了4.0升双涡轮增压v8发动机 48v轻混系统，性能也更加凶猛。那么</t>
  </si>
  <si>
    <t>2020/02/20 11:04:00</t>
  </si>
  <si>
    <t>　　在2019年洛杉矶车展期间，梅赛德斯-奔驰正式发布了amg gle 63。近日，有媒体获得了一组amg gle 63 s coupe的官方图片。作为全新gle轿跑suv的顶级性能产品，动力性能自然是这款车最高的关注点，新车全系均搭载了4.0升双涡轮增压v8发动机 48v轻混系统，性能也更加凶猛。</t>
  </si>
  <si>
    <t>你好问一下比亚迪宋pro燃油版，指导价9.98万，这款能说说它的缺点吗？还有后期会有什么问题吗？还有油耗，都麻烦说一下，谢谢！</t>
  </si>
  <si>
    <t>2020/02/20 11:02:21</t>
  </si>
  <si>
    <t>2020年2月19日，有媒体获悉到一组宝马全新m235i的官图，新的m235i开启了2系这条产品线的全新设计。包括普通版2系，以及将要发布的m2等车型采用与m235i相同的设计语言来进一步强化市场竞争力。    全新m235i的外观相比老款的2系设计可以说是颠覆性的，仅从车身尺寸的视觉上就要比老款2</t>
  </si>
  <si>
    <t>2020/02/20 11:02:00</t>
  </si>
  <si>
    <t>　　2020年2月19日，有媒体获悉到一组宝马全新m235i的官图，新的m235i开启了2系这条产品线的全新设计。包括普通版2系，以及将要发布的m2等车型采用与m235i相同的设计语言来进一步强化市场竞争力。　　全新m235i的外观相比老款的2系设计可以说是颠覆性的，仅从车身尺寸的视觉上就要比老款2</t>
  </si>
  <si>
    <t>　　2020年2月19日有媒体获悉，宝马5系的中期改款车型将于今年第三季度推出。现款宝马5系于2017年推出，取得了不错的销量。　　此前，我们从海外媒体获得谍照中可以看出，新款宝马5系主要在车头和车尾做出了改变。透过谍照可以看出前大灯组造型有所修改，内部预计依旧采用led光源，日间行车灯造型和改款后</t>
  </si>
  <si>
    <t>2020/02/20 11:01:00</t>
  </si>
  <si>
    <t>2020年2月19日有媒体获悉，宝马5系的中期改款车型将于今年第三季度推出。现款宝马5系于2017年推出，取得了不错的销量。    此前，我们从海外媒体获得谍照中可以看出，新款宝马5系主要在车头和车尾做出了改变。透过谍照可以看出前大灯组造型有所修改，内部预计依旧采用led光源，日间行车灯造型和改款后</t>
  </si>
  <si>
    <t>　　瑞虎7和瑞虎7pro即将要正式上市销售了，上市之前很多消费者都对这款车型抱有极大的兴趣，很多媒体也都对这款车型表达了很多正面的评价，到底这款车的产品力有多强？在同级别中竞争力有多强？今天就来简单的讨论一下。（以下统称为瑞虎7）　　瑞虎7的外观是很多消费者比较喜欢的部分，毕竟目前消费者选择车辆的第</t>
  </si>
  <si>
    <t>2020/02/20 10:58:00</t>
  </si>
  <si>
    <t>国产SUV发展之迅速不用多说，短短几年诞生了不少神车，有一段时间，每个月的SUV销量榜前10名至少有5名是自主SUV，特别是哈弗H6最为夸张，曾经有过蝉联58个月销量冠军的纪录，连精于品质的德系大众都没打造出一款超越H6的SUV，而接下来的吉利博越、长安CS75、荣威RX5等SUV，月销也在两万左右</t>
  </si>
  <si>
    <t>2020/02/20 10:57:00</t>
  </si>
  <si>
    <t>6.99万就是豪华型 可以质保15万公里国产SUV发展之迅速不用多说，短短几年诞生了不少神车，有一段时间，每个月的SUV销量榜前10名至少有5名是自主SUV，特别是哈弗H6最为夸张，曾经有过蝉联58个月销量冠军的纪录，连精于品质的德系大众都没打造出一款超越H6的SUV，而接下来的吉利博越、长安CS7</t>
  </si>
  <si>
    <t>目前在国内最受消费者欢迎的就是紧凑级的家庭轿车，这个级别的车型价位相对合适，而且畅销的几款都是合资大品牌旗下品质过硬，后期的费用也相对经济，所以是普通消费者购车的首选。像朗逸、轩逸等车型每个月都拥有5万多台的销量，充分说明了这一级别车型的市场需求量。在这个级别还有一款不可忽视的车型就是丰田的卡罗拉，</t>
  </si>
  <si>
    <t>2020/02/20 10:56:00</t>
  </si>
  <si>
    <t>最满意：空间比较大，方向盘还算灵活，比较轻，底盘高，视野好。轴距够长，横向空间比途观大，方向盘轻盈，从此单手开探岳都不是事，油门刹车比较灵敏，标准横式下油门舍得给，涡轮增压就开始发横，因为刚开始模不着它的习性，发动机给人的感觉就是有点冲。换到经济模式下平顺很多，特别是带着老婆孩子的时候，但相对的就没</t>
  </si>
  <si>
    <t>车长近5米比迈腾气派 自带双人床不足12万目前在国内最受消费者欢迎的就是紧凑级的家庭轿车，这个级别的车型价位相对合适，而且畅销的几款都是合资大品牌旗下品质过硬，后期的费用也相对经济，所以是普通消费者购车的首选。像朗逸、轩逸等车型每个月都拥有5万多台的销量，充分说明了这一级别车型的市场需求量。在这个级</t>
  </si>
  <si>
    <t>媳妇想买RAV4荣放 我却咬牙22万提大众探岳最满意：空间比较大，方向盘还算灵活，比较轻，底盘高，视野好。轴距够长，横向空间比途观大，方向盘轻盈，从此单手开探岳都不是事，油门刹车比较灵敏，标准横式下油门舍得给，涡轮增压就开始发横，因为刚开始模不着它的习性，发动机给人的感觉就是有点冲。换到经济模式下平</t>
  </si>
  <si>
    <t>前段时间，小编入手了一辆非常炫酷的小车——广汽丰田致炫X，于是包括朋友圈以及网上的粉丝，都有不少人向小编发来疑问：市场上有那么多车型可选，为何会选择这样的一款车呢？今天小编就跟大家聊聊选这款车的缘由，以及分享下使用感受吧。首先，就是价格打动了我，不到9万元的起步价，对于小编这样的年轻人来说非常容易接</t>
  </si>
  <si>
    <t>2020/02/20 10:55:00</t>
  </si>
  <si>
    <t>车主自述 我是如何被致炫X这款小车征服的前段时间，小编入手了一辆非常炫酷的小车——广汽丰田致炫X，于是包括朋友圈以及网上的粉丝，都有不少人向小编发来疑问：市场上有那么多车型可选，为何会选择这样的一款车呢？今天小编就跟大家聊聊选这款车的缘由，以及分享下使用感受吧。首先，就是价格打动了我，不到9万元的起</t>
  </si>
  <si>
    <t>随着人们对于汽车空间的要求越来越高，现在很多SUV车型已经开始标配7座设计了，而如今随着市场竞争的加大，奔驰汽车也加入了这个行列，它的新款SUV在近期也是亮相，可以看到这台车不仅有五座车型而且也有七座这个设计，并且价格上或不足30万，这真的算得上比较亲民了，要知道奥迪Q3的价格也差不多这样，但是它只</t>
  </si>
  <si>
    <t>2020/02/20 10:54:00</t>
  </si>
  <si>
    <t>近几年大家也是可以看到国内SUV市场的的快速崛起，这使得大量的车企纷纷进入到这个市场中企图分一杯羹。然而国内的大部分SUV市场都被国牌所占领，不管是吉利、哈弗还是长安等品牌都依靠自身足够丰富的配置以及相当亲民的价格迅速获得了消费者的认可，同时在市场中也占领了主导位置。作为美系进口的品牌，GMC也是紧</t>
  </si>
  <si>
    <t>气质不输锐界 更有2.0T+9AT为其加持近几年大家也是可以看到国内SUV市场的的快速崛起，这使得大量的车企纷纷进入到这个市场中企图分一杯羹。然而国内的大部分SUV市场都被国牌所占领，不管是吉利、哈弗还是长安等品牌都依靠自身足够丰富的配置以及相当亲民的价格迅速获得了消费者的认可，同时在市场中也占领了</t>
  </si>
  <si>
    <t>奔驰开始亲民了 新款7座SUV不足30万随着人们对于汽车空间的要求越来越高，现在很多SUV车型已经开始标配7座设计了，而如今随着市场竞争的加大，奔驰汽车也加入了这个行列，它的新款SUV在近期也是亮相，可以看到这台车不仅有五座车型而且也有七座这个设计，并且价格上或不足30万，这真的算得上比较亲民了，要</t>
  </si>
  <si>
    <t>投诉编号：【447856】  投诉时间： 2020-02-20 10:54  投诉品牌： 上汽集团  投诉车系： 锐腾  投诉车型： 2015款 1.5TGI TST 豪华版        投诉内容  本人15年9月购入15款名爵锐腾1.5t自豪版，当时参加厂家活动享受延保活动5年10万公里的保修，</t>
  </si>
  <si>
    <t>宋MAX是新时期最有有特色、个性的一款居家型MPV，如果说MPV车型只适合中老年人驾驶，那么比亚迪宋MAX完全打破你对MPV的陈旧印象。其实，从外观来看，宋MAX拥有一个非常时尚、年轻的造型，采用更年轻鲜艳的色彩车漆，如墨石蓝、钻石蓝、瑞亚银等。如果你刚结婚不久，急需要一辆家用型MPV，那么宋MAX</t>
  </si>
  <si>
    <t>2020/02/20 10:53:00</t>
  </si>
  <si>
    <t>5座座位少 7座年检麻烦 这3款6座MPV适合你宋MAX是新时期最有有特色、个性的一款居家型MPV，如果说MPV车型只适合中老年人驾驶，那么比亚迪宋MAX完全打破你对MPV的陈旧印象。其实，从外观来看，宋MAX拥有一个非常时尚、年轻的造型，采用更年轻鲜艳的色彩车漆，如墨石蓝、钻石蓝、瑞亚银等。如果你</t>
  </si>
  <si>
    <t>2020/02/20 10:51:00</t>
  </si>
  <si>
    <t>导读：这才是撩妹车，连跌7万，年轻人都抢着要，开出去比保时捷还拉风！下面就让我们一探究竟。今天说的这款车就是奥迪A7。去年11月底，2020款全新奥迪A7 Sportback 2.0T车型上市。值得一提的是，2020款全新奥迪A7 Sportback将奥迪A7的指导起售价下探至57.38万，45TF</t>
  </si>
  <si>
    <t>这才是撩妹车 连跌7万导读：这才是撩妹车，连跌7万，年轻人都抢着要，开出去比保时捷还拉风！下面就让我们一探究竟。今天说的这款车就是奥迪A7。去年11月底，2020款全新奥迪A7 Sportback 2.0T车型上市。值得一提的是，2020款全新奥迪A7 Sportback将奥迪A7的指导起售价下探至</t>
  </si>
  <si>
    <t>　　在选购新能源车您最看中的是什么？续航能力、空间、动力？实际上动力电池后期维护、维修的花费也是一件令人头疼的事，前几年还有新闻报道称，有位车主为车辆更换动力电池的费用都可以买一辆新的电动车。为了打消消费者这方面的顾虑，一些车企会适当地延长三电系统的质保期，但也有不少车企推出了“终身制”的质保/保修</t>
  </si>
  <si>
    <t>2020/02/20 10:50:00</t>
  </si>
  <si>
    <t>长安家族PLUS系列新成员，逸动PLUS.逸动PLUS是长安汽车PLUS系列首款轿车产品，新车和同系列车型采用较为相似的家族化设计语言，比如逸动PLUS中网造型更具视觉冲击感，同时尺寸相比逸动也更大。细节方面，新车进气格栅和大灯组采用类似一体化设计风格，使逸动PLUS前脸看上去更有视觉冲击感。为了进</t>
  </si>
  <si>
    <t>长安PLUS系列再添新成员 长安逸动PLUS正式发布长安家族PLUS系列新成员，逸动PLUS.逸动PLUS是长安汽车PLUS系列首款轿车产品，新车和同系列车型采用较为相似的家族化设计语言，比如逸动PLUS中网造型更具视觉冲击感，同时尺寸相比逸动也更大。细节方面，新车进气格栅和大灯组采用类似一体化设计</t>
  </si>
  <si>
    <t>拥有炫酷的无边框车门的跑车或者轿跑，对于女孩子来说有着非常大吸引力。马上就是年底了，单身的男同胞不妨拿起你丰厚的年终奖，选购一台靓车，撩上一个如花似玉的姑娘回见爹妈........放心，不贵，30万以内就能搞定！大众CC售价：24.68-30.18万元“最美大众车”可不是说着玩的，优雅的掀背轿跑设计</t>
  </si>
  <si>
    <t>替我交房租</t>
  </si>
  <si>
    <t>2020/02/20 10:49:00</t>
  </si>
  <si>
    <t>30万以内要无边框车门就看这几款拥有炫酷的无边框车门的跑车或者轿跑，对于女孩子来说有着非常大吸引力。马上就是年底了，单身的男同胞不妨拿起你丰厚的年终奖，选购一台靓车，撩上一个如花似玉的姑娘回见爹妈........放心，不贵，30万以内就能搞定！大众CC售价：24.68-30.18万元“最美大众车”可</t>
  </si>
  <si>
    <t>丰田亚洲龙是2019年新上市的中型轿车，新车外观设计得非常大气，相比凯美瑞，更有气势，而凯美瑞看上去就像亚洲龙的“弟弟”，车身尺寸与亚洲龙相比，稍微小了一些，看上去则更加运动一些。就在近日，一位车友到一汽丰田四S店看车，看到展台上停放着一台深灰色亚洲龙，这款亚洲龙与其它亚洲龙有不同的地方，而且还比较</t>
  </si>
  <si>
    <t>2020/02/20 10:48:00</t>
  </si>
  <si>
    <t>丰田亚洲龙变脸雷克萨斯丰田亚洲龙是2019年新上市的中型轿车，新车外观设计得非常大气，相比凯美瑞，更有气势，而凯美瑞看上去就像亚洲龙的“弟弟”，车身尺寸与亚洲龙相比，稍微小了一些，看上去则更加运动一些。就在近日，一位车友到一汽丰田四S店看车，看到展台上停放着一台深灰色亚洲龙，这款亚洲龙与其它亚洲龙有</t>
  </si>
  <si>
    <t>汽车本质上还是代步工具，能给我们日常出行、载物等等提供诸多的便利，不少消费者在购车还是以家用目的为主。也有网友在后台留言给茶哥，卡罗拉、轩逸和宝来，家用该选谁？的确，这三款车型在家用方面是有口皆碑，所以在销量上这三款车也是非常亮眼。今天我们就来唠嗑唠嗑，卡罗拉、轩逸和宝来，我们到底该怎么选。首先我们</t>
  </si>
  <si>
    <t>2020/02/20 10:47:00</t>
  </si>
  <si>
    <t>物竞天择适者生存，汽车市场也遵循着这个法则不断进步，一项单一优势不可让汽车品牌获得长足进步。“车场巨无霸”宝马X5，一路扶摇而上，势不可挡。“最具性价比豪车”讴歌TLX-L，堪称同档次车型的典范。当汽车品牌不断推陈出新之时，车主对车辆新特性也有新的要求。锋范是本田旗下打造的产品，凭借潮流的构型设计，</t>
  </si>
  <si>
    <t>10万级的家用利器怎么选？汽车本质上还是代步工具，能给我们日常出行、载物等等提供诸多的便利，不少消费者在购车还是以家用目的为主。也有网友在后台留言给茶哥，卡罗拉、轩逸和宝来，家用该选谁？的确，这三款车型在家用方面是有口皆碑，所以在销量上这三款车也是非常亮眼。今天我们就来唠嗑唠嗑，卡罗拉、轩逸和宝来，</t>
  </si>
  <si>
    <t>这款本田起价才7万 光后备箱就比卡罗拉大66L物竞天择适者生存，汽车市场也遵循着这个法则不断进步，一项单一优势不可让汽车品牌获得长足进步。“车场巨无霸”宝马X5，一路扶摇而上，势不可挡。“最具性价比豪车”讴歌TLX-L，堪称同档次车型的典范。当汽车品牌不断推陈出新之时，车主对车辆新特性也有新的要求。</t>
  </si>
  <si>
    <t>2020/02/20 10:46:00</t>
  </si>
  <si>
    <t>　　北京现代ix35在合资品牌紧凑型suv市场一直有着较为不错的表现，即使是大环境不佳的2019年，ix35全年销量也超过了13万辆。目前在售的ix35为2019款车型，新车配置从低到高分别为智勇・畅质版、智勇・畅享版、智勇・畅联版以及智勇・旗舰版，售价区间为11.99-16.19万元。今天编辑将为</t>
  </si>
  <si>
    <t>2020/02/20 10:45:00</t>
  </si>
  <si>
    <t>对于任何一个漂亮小姐姐来说，奔驰大G粗犷的硬派风格和背后所隐含的财富密码，是她们无法拒绝的Dream Car。虽然奔驰大G拥有强悍的越野性能，也当之无愧的是一款专业四驱悍将。但是真正舍得拿这台车去越野的车主却实在是少数，它更多的时间只出现在夜店或者高档场所门口。而对于大部分人来说，都想知道是什么样的</t>
  </si>
  <si>
    <t>2020/02/20 10:44:00</t>
  </si>
  <si>
    <t>虽然2019年的中国汽车市场成了寒冬车市，但不可否认，中级车市场形势还是一片大好。据相关数据统计，2019年全年中国市场中型轿车销量为205.4万辆，占轿车市场总销量的20.3%。其中，中国品牌中型轿车全年销量仅13.4万辆，这样的成绩还不如热销榜前6名一款车的销量，合资中型车销量则高达192万辆。</t>
  </si>
  <si>
    <t>小姐姐都喜欢奔驰大G 但不知道车内原来是这样对于任何一个漂亮小姐姐来说，奔驰大G粗犷的硬派风格和背后所隐含的财富密码，是她们无法拒绝的Dream Car。虽然奔驰大G拥有强悍的越野性能，也当之无愧的是一款专业四驱悍将。但是真正舍得拿这台车去越野的车主却实在是少数，它更多的时间只出现在夜店或者高档场所</t>
  </si>
  <si>
    <t>13万多就能买中级车虽然2019年的中国汽车市场成了寒冬车市，但不可否认，中级车市场形势还是一片大好。据相关数据统计，2019年全年中国市场中型轿车销量为205.4万辆，占轿车市场总销量的20.3%。其中，中国品牌中型轿车全年销量仅13.4万辆，这样的成绩还不如热销榜前6名一款车的销量，合资中型车销</t>
  </si>
  <si>
    <t>投诉编号：【447855】  投诉时间： 2020-02-20 10:44  投诉品牌： 广汽三菱  投诉车系： 欧蓝德  投诉车型： 2018款 2.4L 四驱 精英版 5座        投诉内容  2018年11月份天冷开始低速前进加油门时机仓咯咯咯异响问题，2019年索赔更换了一个变速箱机脚</t>
  </si>
  <si>
    <t>2020/02/20 10:43:00</t>
  </si>
  <si>
    <t>根据媒体报道，吉利汽车计划投资3亿美元（约人民币21亿元）入股蔚来汽车，并指出按照蔚来汽车刚刚在一级市场进行的可转债3.07美元核算，吉利此轮投资后，将占到蔚来汽车10%不到的股份，而入股后现有股东占股摊薄，吉利有望成为蔚来汽车第三大股东。针对相关报道，吉利汽车集团副总裁杨学良今日表示“不知道此事，</t>
  </si>
  <si>
    <t>2020/02/20 10:42:00</t>
  </si>
  <si>
    <t>曝吉利21亿元入股蔚来汽车 双方回应来了根据媒体报道，吉利汽车计划投资3亿美元（约人民币21亿元）入股蔚来汽车，并指出按照蔚来汽车刚刚在一级市场进行的可转债3.07美元核算，吉利此轮投资后，将占到蔚来汽车10%不到的股份，而入股后现有股东占股摊薄，吉利有望成为蔚来汽车第三大股东。针对相关报道，吉利汽</t>
  </si>
  <si>
    <t>图源：MIT官网    据外媒报道，麻省理工学院（MIT）研究人员提出全新电极设计，或将制造出能量密度更高、寿命更长的电池。新电极概念基于长期追求以纯锂金属为负极的目标，由巴特尔能源联盟核科学与工程教授、材料科学与工程教授Ju Li的实验室提出。    作为开发安全全固态电池概念的一部分，该设计放弃</t>
  </si>
  <si>
    <t>图源：MIT官网　　据外媒报道，麻省理工学院（MIT）研究人员提出全新电极设计，或将制造出能量密度更高、寿命更长的电池。新电极概念基于长期追求以纯锂金属为负极的目标，由巴特尔能源联盟核科学与工程教授、材料科学与工程教授Ju Li的实验室提出。　　作为开发安全全固态电池概念的一部分，该设计放弃使用传统</t>
  </si>
  <si>
    <t>今年1月份，广汽本田三品牌销量达到76,650辆，为2020年的销量达成奠定了扎实的基础。其中，第十代雅阁（ACCORD）1月份销量22,118辆，继续领跑中高级车市场；缤智（VEZEL）销量14,392辆，潮流SUV持续热销；皓影（BREEZE）销量9,539辆，保持强劲的势头，同时，皓影（BRE</t>
  </si>
  <si>
    <t>2020/02/20 10:39:00</t>
  </si>
  <si>
    <t>　　今年1月份，广汽本田三品牌销量达到76,650辆，为2020年的销量达成奠定了扎实的基础。其中，第十代雅阁（ACCORD）1月份销量22,118辆，继续领跑中高级车市场；缤智（VEZEL）销量14,392辆，潮流SUV持续热销；皓影（BREEZE）销量9,539辆，保持强劲的势头，同时，皓影（B</t>
  </si>
  <si>
    <t>毫无疑问，2020年的开局让全球汽车产业犯了难。    突如其来的新冠肺炎病毒，打乱了井然有序的汽车产业链，所有在华投产的零部件企业不得不延迟复工，受此影响，越来越多国内外车企因我国汽车零部件断供，而被迫停产。    与此同时，中国、欧盟两大汽车市场却齐迎最严苛的排放新规，挑战再度升级。为了摆脱困境</t>
  </si>
  <si>
    <t>2020/02/20 10:38:00</t>
  </si>
  <si>
    <t>　　毫无疑问，2020年的开局让全球汽车产业犯了难。　　突如其来的新冠肺炎病毒，打乱了井然有序的汽车产业链，所有在华投产的零部件企业不得不延迟复工，受此影响，越来越多国内外车企因我国汽车零部件断供，而被迫停产。　　与此同时，中国、欧盟两大汽车市场却齐迎最严苛的排放新规，挑战再度升级。为了摆脱困境，零</t>
  </si>
  <si>
    <t>图源：福田官网    据外媒报道，北京理工大学和北汽福田汽车的研发团队，提出优化阿特金森（Atkinson）循环汽油发动机性能的策略。比起传统的奥托循环发动机，这种发动机更省油，在混合动力电动汽车发展中起着关键作用。    在部分负荷工况下，传统汽油发动机存在泵气损失大、燃油经济性差等缺点，不能满足</t>
  </si>
  <si>
    <t>2020/02/20 10:36:00</t>
  </si>
  <si>
    <t>图源：福田官网　　据外媒报道，北京理工大学和北汽福田汽车的研发团队，提出优化阿特金森（Atkinson）循环汽油发动机性能的策略。比起传统的奥托循环发动机，这种发动机更省油，在混合动力电动汽车发展中起着关键作用。　　在部分负荷工况下，传统汽油发动机存在泵气损失大、燃油经济性差等缺点，不能满足混合动力</t>
  </si>
  <si>
    <t>图源：Wollongong官网　　据外媒报道，澳大利亚科学家研发一种不易燃电解液，可应用于钾和钾离子电池，促进锂技术以外的下一代储能系统发展。新型电解质基于有机磷酸盐，使电池更加安全，而且可以在低浓度下运行，这是大规模应用的必要条件。　　目前，锂离子电池技术在储能市场占据主导位置，但是，这种电池存在</t>
  </si>
  <si>
    <t>2020/02/20 10:35:00</t>
  </si>
  <si>
    <t>图源：Wollongong官网    据外媒报道，澳大利亚科学家研发一种不易燃电解液，可应用于钾和钾离子电池，促进锂技术以外的下一代储能系统发展。新型电解质基于有机磷酸盐，使电池更加安全，而且可以在低浓度下运行，这是大规模应用的必要条件。    目前，锂离子电池技术在储能市场占据主导位置，但是，这种</t>
  </si>
  <si>
    <t>据外媒报道，沃尔沃子公司Polestar正与谷歌加深合作，以让其下一代汽车能够更易于使用、更安全、更有乐趣。    当地时间2月18日，Polestar表示，与谷歌加深合作是为了提供一个能够根据用户个人偏好和终端使用应用自动进行调整的车辆环境。双方此前曾合作为Polestar 2车型配备了谷歌的安卓</t>
  </si>
  <si>
    <t>2020/02/20 10:33:00</t>
  </si>
  <si>
    <t>　　据外媒报道，沃尔沃子公司Polestar正与谷歌加深合作，以让其下一代汽车能够更易于使用、更安全、更有乐趣。　　当地时间2月18日，Polestar表示，与谷歌加深合作是为了提供一个能够根据用户个人偏好和终端使用应用自动进行调整的车辆环境。双方此前曾合作为Polestar 2车型配备了谷歌的安卓</t>
  </si>
  <si>
    <t>　　在智能制造领域，奥迪再次取得新进展。奥迪携手瑞典网络运营商爱立信，共同启动了全新的人机交互试点项目。该项目的首个运用案例是通过5G技术连接自动化生产机器人，解决生产过程中的人身安全问题。　　5G技术在制造领域的应用将带来无限可能性：未来，无时延实时通讯是确保无线机器人与工人顺畅协作的前提。5G技</t>
  </si>
  <si>
    <t>2020/02/20 10:32:00</t>
  </si>
  <si>
    <t>在智能制造领域，奥迪再次取得新进展。奥迪携手瑞典网络运营商爱立信，共同启动了全新的人机交互试点项目。该项目的首个运用案例是通过5G技术连接自动化生产机器人，解决生产过程中的人身安全问题。    5G技术在制造领域的应用将带来无限可能性：未来，无时延实时通讯是确保无线机器人与工人顺畅协作的前提。5G技</t>
  </si>
  <si>
    <t>图源：松下官网    据外媒报道，松下公司成功展示全球最强亮度的蓝色激光。在直接二极管激光器（DDL）上，采用多波长光束组合（WBC）技术，产生高质量输出光束。    采用这种技术，只需增加激光源数量，就可以调整功率，同时保持光束质量。所产生的激光强度，可能比传统蓝色激光系统高出两个量级。这项技术将</t>
  </si>
  <si>
    <t>2020/02/20 10:30:00</t>
  </si>
  <si>
    <t>图源：松下官网　　据外媒报道，松下公司成功展示全球最强亮度的蓝色激光。在直接二极管激光器（DDL）上，采用多波长光束组合（WBC）技术，产生高质量输出光束。　　采用这种技术，只需增加激光源数量，就可以调整功率，同时保持光束质量。所产生的激光强度，可能比传统蓝色激光系统高出两个量级。这项技术将促进新兴</t>
  </si>
  <si>
    <t>哈弗f7是哈弗品牌“f”系列的第二款车型，该车在2018年11月6日上市。自上市后，哈弗f7凭借着不错的性价比以及年轻运动的外观等，获得了不少消费者青睐。总体来看，哈弗f7整体销量走势较为平稳，基本上保持着月均销量过万的市场表现，这对于一款全新车型来说可圈可点。那么，哈弗f7为何能够一鸣惊人？车主朋</t>
  </si>
  <si>
    <t>2020/02/20 10:29:00</t>
  </si>
  <si>
    <t>2020年伊始，欧洲车市的表现却不十分乐观。根据欧洲汽车制造商协会（ACEA）发布的数据，2020年1月份，欧洲乘用车市场新车注册量同比下跌7.4%至1,135,116辆，是五个月以来的首次下降。这在一定程度上是因为部分欧盟国家宣布2020年基于排放量进行税改，因此一些汽车制造商赶在年底推动了高排放</t>
  </si>
  <si>
    <t>投诉编号：【447854】投诉时间：2020-02-2010:29投诉品牌：北京现代投诉车系：胜达投诉车型：2019款380TGDiGLS自动两驱豪华版国VI投诉内容四代胜达坐垫海绵塌陷太厉害！才500公里！希望厂家能给一个说法！车子都没怎么开！而且车子前雨刮器声音特别大！四个轮胎都有变形！可以看我</t>
  </si>
  <si>
    <t>　　哈弗f7是哈弗品牌“f”系列的第二款车型，该车在2018年11月6日上市。自上市后，哈弗f7凭借着不错的性价比以及年轻运动的外观等，获得了不少消费者青睐。总体来看，哈弗f7整体销量走势较为平稳，基本上保持着月均销量过万的市场表现，这对于一款全新车型来说可圈可点。那么，哈弗f7为何能够一鸣惊人？车</t>
  </si>
  <si>
    <t>数说行业</t>
  </si>
  <si>
    <t>　　2020年伊始，欧洲车市的表现却不十分乐观。根据欧洲汽车制造商协会（ACEA）发布的数据，2020年1月份，欧洲乘用车市场新车注册量同比下跌7.4%至1,135,116辆，是五个月以来的首次下降。这在一定程度上是因为部分欧盟国家宣布2020年基于排放量进行税改，因此一些汽车制造商赶在年底推动了高</t>
  </si>
  <si>
    <t>与其它品牌相比 为何日系车保值率这么高说起日系车并不陌生，这是很多人在买车的时候，第一个想到的品牌，根据日系车车主的一些反馈我们能够看得到日系油耗低，用车成本低，甚至故障率低，深受很多人的喜欢和追捧，再者从日系车的保值率上面去看，日系车的保值率比普通车辆的保值率要高，根据中国汽车流通协会公布的数据来</t>
  </si>
  <si>
    <t>2020/02/20 10:26:00</t>
  </si>
  <si>
    <t>麻省理工提出全新电池设计众所周知，随着时代的快速发展，新能源汽车会有很大的可能在不久的将来，取代当前的燃油汽车，不过这都是后话。在当前如果要选择一台新能源汽车，想必大家第一个要看的就是续航里程，换种说法就是这台车的动力电池的电量储备，能支持它跑多久。 现在市场上的新能源纯电动车型，大部分的续航里程都</t>
  </si>
  <si>
    <t>继搭载车规级cn95高效复合空调滤芯的吉利嘉际奔赴抗疫一线后，吉利汽车宣布从2月19日-3月31日，来自全国的吉利车主（在售车型）均可申请，免费更换行业首个车规级cn95高效复合空调滤芯。申请方式为联系当地服务站预约，到店更换。    据悉，车规级cn95高效复合空调滤芯采用活性炭、高效无纺布、多层</t>
  </si>
  <si>
    <t>说起日系车并不陌生，这是很多人在买车的时候，第一个想到的品牌，根据日系车车主的一些反馈我们能够看得到日系油耗低，用车成本低，甚至故障率低，深受很多人的喜欢和追捧，再者从日系车的保值率上面去看，日系车的保值率比普通车辆的保值率要高，根据中国汽车流通协会公布的数据来看，2019年度车辆品牌保值率排名，前</t>
  </si>
  <si>
    <t>众所周知，随着时代的快速发展，新能源汽车会有很大的可能在不久的将来，取代当前的燃油汽车，不过这都是后话。在当前如果要选择一台新能源汽车，想必大家第一个要看的就是续航里程，换种说法就是这台车的动力电池的电量储备，能支持它跑多久。 现在市场上的新能源纯电动车型，大部分的续航里程都在400公里左右，也可以</t>
  </si>
  <si>
    <t>　　继搭载车规级cn95高效复合空调滤芯的吉利嘉际奔赴抗疫一线后，吉利汽车宣布从2月19日-3月31日，来自全国的吉利车主（在售车型）均可申请，免费更换行业首个车规级cn95高效复合空调滤芯。申请方式为联系当地服务站预约，到店更换。　　据悉，车规级cn95高效复合空调滤芯采用活性炭、高效无纺布、多层</t>
  </si>
  <si>
    <t>2020/02/20 10:25:11</t>
  </si>
  <si>
    <t>投诉编号：【447851】
投诉时间： 2020-02-20 10:15
投诉品牌： 东风日产
投诉车系： 轩逸
投诉车型： 2019款 1.6XV CVT 智联尊享版 国VI</t>
  </si>
  <si>
    <t>很多车白天开灯 除了美观还有更关键作用近几年，有很多细心的车主都发现，现在白天开着前车灯的车已经越来越多了，但是大部分的人都不理解这样做的原因是什么，甚至以为这样做仅是为了好看。但事实并非如此，越来越多的厂家这样设计都是为了行车安全而考虑。日间行车灯的作用是：使车辆在白天行驶时更容易被人认出来。它不</t>
  </si>
  <si>
    <t>2020/02/20 10:25:00</t>
  </si>
  <si>
    <t>2月20日，戴姆勒股份公司监事会宣布延长唐仕凯（hubertus troska ）担任戴姆勒董事会成员、负责大中华区业务的合同任期至2025年12月31日。自2012年12月13日起，唐仕凯担任戴姆勒股份公司董事会成员，当前合同期截至2020年12月底。唐仕凯担任戴姆勒大中华区投资有限公司董事长兼首</t>
  </si>
  <si>
    <t>近几年，有很多细心的车主都发现，现在白天开着前车灯的车已经越来越多了，但是大部分的人都不理解这样做的原因是什么，甚至以为这样做仅是为了好看。但事实并非如此，越来越多的厂家这样设计都是为了行车安全而考虑。日间行车灯的作用是：使车辆在白天行驶时更容易被人认出来。它不是为了使驾驶员能看清路面，而是为了让别</t>
  </si>
  <si>
    <t>　　2月20日，戴姆勒股份公司监事会宣布延长唐仕凯（hubertus troska ）担任戴姆勒董事会成员、负责大中华区业务的合同任期至2025年12月31日。自2012年12月13日起，唐仕凯担任戴姆勒股份公司董事会成员，当前合同期截至2020年12月底。唐仕凯担任戴姆勒大中华区投资有限公司董事长</t>
  </si>
  <si>
    <t>2020/02/20 10:24:51</t>
  </si>
  <si>
    <t>投诉编号：【447853】
投诉时间： 2020-02-20 10:21
投诉品牌： 上汽集团
投诉车系： 荣威RX5
投诉车型： 2016款 1.5T 自动 两驱 互联网智享版</t>
  </si>
  <si>
    <t>自动驾驶不算新鲜事 能自愈的汽车才是未来趋势车价的不断下探，让越来越多的家庭、年轻人可以轻松拥有属于自己的汽车，过上便捷的有车生活。正是由于有较长的时间与汽车相处，对于汽车驾乘方面体验和理解也会发生变化，并且更渴望能与自己的爱车有更多“互动”。回想一下过去，和汽车之间的“互动”基本是靠眼前的仪表盘来</t>
  </si>
  <si>
    <t>2020/02/20 10:24:00</t>
  </si>
  <si>
    <t>撞上闯红灯的救护车是谁的责任对于警车、救护车、消防车和工程救险车这类特种车辆，我们大多数人都知道他们在执行紧急任务时享有“道路优先权”，即可以不受行驶路线、方向、速度和信号灯的限制。而且经过前段时间宣传的“45°让路法”之后，很多车主也知道在需要的时候为他们让行。同时，我们也知道如果不给开警示灯或鸣</t>
  </si>
  <si>
    <t>对于警车、救护车、消防车和工程救险车这类特种车辆，我们大多数人都知道他们在执行紧急任务时享有“道路优先权”，即可以不受行驶路线、方向、速度和信号灯的限制。而且经过前段时间宣传的“45°让路法”之后，很多车主也知道在需要的时候为他们让行。同时，我们也知道如果不给开警示灯或鸣警笛的特种车辆让行的话，可能</t>
  </si>
  <si>
    <t>车价的不断下探，让越来越多的家庭、年轻人可以轻松拥有属于自己的汽车，过上便捷的有车生活。正是由于有较长的时间与汽车相处，对于汽车驾乘方面体验和理解也会发生变化，并且更渴望能与自己的爱车有更多“互动”。回想一下过去，和汽车之间的“互动”基本是靠眼前的仪表盘来实现，里面的机械式指针和指示灯，只能完成“非</t>
  </si>
  <si>
    <t>双离合好还是CVT好 亦或者是AT更好现在很多人都会很注重汽车的质量，而汽车质量最关键的还是三大件，发动机、变速箱以及底盘。其中变速箱是非常多人针对的点，因为发动机基本上都不会出现很大问题，而至于变速箱，则是比较多人考虑的点，因为变速箱的结构很复杂，并且有几种不同类型的变速箱可以选择，就自动变速箱而</t>
  </si>
  <si>
    <t>2020/02/20 10:23:00</t>
  </si>
  <si>
    <t>上市新车延后 想买新车的朋友要等等了因为疫情的原因，目前全国上下基本每个省会都启动了重大突发公共卫生事件一级响应机制。为做好疫情防控工作，所有的现场活动、展会等等都已经取消。而在今天，北京车展主办方也宣布，原定于2020年4月21至4月30日在北京中国国际展览中心新、老展馆举办的2020（第十六届）</t>
  </si>
  <si>
    <t>因为疫情的原因，目前全国上下基本每个省会都启动了重大突发公共卫生事件一级响应机制。为做好疫情防控工作，所有的现场活动、展会等等都已经取消。而在今天，北京车展主办方也宣布，原定于2020年4月21至4月30日在北京中国国际展览中心新、老展馆举办的2020（第十六届）北京国际汽车展览会（AUTO CHI</t>
  </si>
  <si>
    <t>现在很多人都会很注重汽车的质量，而汽车质量最关键的还是三大件，发动机、变速箱以及底盘。其中变速箱是非常多人针对的点，因为发动机基本上都不会出现很大问题，而至于变速箱，则是比较多人考虑的点，因为变速箱的结构很复杂，并且有几种不同类型的变速箱可以选择，就自动变速箱而言，有双离合、AT以及CVT这三种类型</t>
  </si>
  <si>
    <t>半个月没开车 电瓶亏电打不着火怎么解决因为疫情的关系，直到现在也依然还有很多公司没有复工的，而目前疫情也开始慢慢的稳定下来了，预计在下个星期很多公司都会开始复工。而此时，有车的朋友自然是选择开车上班，但是车辆已经停放了半个多月的时间，再加上现在是天气比较寒冷，车辆的电瓶都是比较容易没电的。因此，如果</t>
  </si>
  <si>
    <t>2020/02/20 10:22:00</t>
  </si>
  <si>
    <t>复工在即 停了半个多月的车要做哪些检查在这段时间，以为疫情的关系，大家都非常少出门，大多数人目前已经半个多月没有出门，即使现在是出门，也只是到附近的超市购买一些生活的必需品以及一些食物，并不会走太远。也因为这样，大多数的车主也都半个多月没有开车，车辆一直都有在停放在的停车场里面。那么，现在疫情开始慢</t>
  </si>
  <si>
    <t>日前，乘联会和中汽协双双发布1月份销量数据，如很多人预料的，出现了较大幅度的下滑——汽车产销分别完成178.3万辆和194.1万辆，同比分别下降24.6%和18.0%。对此，中汽协解释称主要由春节假期所致，使得1月份的有效工作日较2019年同期有所减少，而1月底开始爆发的新冠肺炎疫情，因与春节假期在</t>
  </si>
  <si>
    <t>　　日前，乘联会和中汽协双双发布1月份销量数据，如很多人预料的，出现了较大幅度的下滑――汽车产销分别完成178.3万辆和194.1万辆，同比分别下降24.6%和18.0%。对此，中汽协解释称主要由春节假期所致，使得1月份的有效工作日较2019年同期有所减少，而1月底开始爆发的新冠肺炎疫情，因与春节假</t>
  </si>
  <si>
    <t>在这段时间，以为疫情的关系，大家都非常少出门，大多数人目前已经半个多月没有出门，即使现在是出门，也只是到附近的超市购买一些生活的必需品以及一些食物，并不会走太远。也因为这样，大多数的车主也都半个多月没有开车，车辆一直都有在停放在的停车场里面。那么，现在疫情开始慢慢有稳定的迹象，并且在这个星期或者下个</t>
  </si>
  <si>
    <t>因为疫情的关系，直到现在也依然还有很多公司没有复工的，而目前疫情也开始慢慢的稳定下来了，预计在下个星期很多公司都会开始复工。而此时，有车的朋友自然是选择开车上班，但是车辆已经停放了半个多月的时间，再加上现在是天气比较寒冷，车辆的电瓶都是比较容易没电的。因此，如果此时要用车的话，如果出现电瓶没电，打不</t>
  </si>
  <si>
    <t>这些用车小细节不注意很容易伤车每个人开车的习惯都是不同的，因为每个人在经常性开一辆车之后，这辆车也会随着驾驶员的驾驶习惯而产生一些微妙的变化。但是，有些习惯是大多数人都会有，却会伤到车，而这种习惯是非常不提倡的，今天，车行哥就来和大家细数一下，有哪些用车的习惯会对车辆造成损伤。熄火忘记关空调目前来说</t>
  </si>
  <si>
    <t>2020/02/20 10:21:00</t>
  </si>
  <si>
    <t>每个人开车的习惯都是不同的，因为每个人在经常性开一辆车之后，这辆车也会随着驾驶员的驾驶习惯而产生一些微妙的变化。但是，有些习惯是大多数人都会有，却会伤到车，而这种习惯是非常不提倡的，今天，车行哥就来和大家细数一下，有哪些用车的习惯会对车辆造成损伤。熄火忘记关空调目前来说依然还有很多人的车型不是自动空</t>
  </si>
  <si>
    <t>图源：宝马官网　　据外媒报道，宝马第一款纯电动运动休闲车（SAV）BMW iX3将于今年首次亮相，新车将搭载全新轻量级空气动力学轮毂，提升车辆外观质感和续航里程。　　BMW iX3的全新空气动力学轮毂，采用铝基车轮和个性化塑料嵌件，具有以下优势：（1）优化轮拱周围气流，比起宝马以前的空气动力轮毂，重</t>
  </si>
  <si>
    <t>2020/02/20 10:20:00</t>
  </si>
  <si>
    <t>图源：宝马官网    据外媒报道，宝马第一款纯电动运动休闲车（SAV）BMW iX3将于今年首次亮相，新车将搭载全新轻量级空气动力学轮毂，提升车辆外观质感和续航里程。    BMW iX3的全新空气动力学轮毂，采用铝基车轮和个性化塑料嵌件，具有以下优势：（1）优化轮拱周围气流，比起宝马以前的空气动力</t>
  </si>
  <si>
    <t>　　据外媒报道，电动汽车技术初创公司Atlis Motor Vehicles宣布举行首个Atlis电池日（Battery Day）活动，并在活动上展示其专有超高速充电电池技术和100%纯电动XP平台的早期原型。Atlis公司还曾设计了一款电动皮卡 - Atlis XT。图片来源：Atlis Moto</t>
  </si>
  <si>
    <t>2020/02/20 10:19:00</t>
  </si>
  <si>
    <t xml:space="preserve">据外媒报道，电动汽车技术初创公司Atlis Motor Vehicles宣布举行首个Atlis电池日（Battery Day）活动，并在活动上展示其专有超高速充电电池技术和100%纯电动XP平台的早期原型。Atlis公司还曾设计了一款电动皮卡 - Atlis XT。图片来源：Atlis Motor </t>
  </si>
  <si>
    <t>图片来源：日产官网　　据彭博社报道，因我国新型冠状病毒肺炎疫情导致零部件短缺，给汽车供应链带来极大破坏，日产位于欧洲和美国的工厂或面临生产中断。　　知情人士透露，日产用于全球汽车制造的约800个零部件均在湖北省生产，而湖北目前正是疫情的中心，若该省的零部件工厂在2月21日后还不能复工，日产可能面临大</t>
  </si>
  <si>
    <t>2020/02/20 10:18:00</t>
  </si>
  <si>
    <t>图片来源：日产官网    据彭博社报道，因我国新型冠状病毒肺炎疫情导致零部件短缺，给汽车供应链带来极大破坏，日产位于欧洲和美国的工厂或面临生产中断。    知情人士透露，日产用于全球汽车制造的约800个零部件均在湖北省生产，而湖北目前正是疫情的中心，若该省的零部件工厂在2月21日后还不能复工，日产可</t>
  </si>
  <si>
    <t>　　奥迪rs4 avant一直是众多车迷梦寐以求的车型，它不仅有着凶猛的外观，还有着非常极致的操控享受。近日，海外媒体曝光了奥迪rs4 avant 青铜限量版车型，并且奥迪宣布，这款产品将仅向英国市场发售25台。内饰配图为新款rs4 avant　　外观方面，新车整体保持了最新款海外版rs4 avan</t>
  </si>
  <si>
    <t>2020/02/20 10:17:00</t>
  </si>
  <si>
    <t>投诉编号：【447852】  投诉时间： 2020-02-20 10:17  投诉品牌： 奇瑞汽车  投诉车系： 艾瑞泽5  投诉车型： 2017款 1.5L CVT 时尚版        投诉内容  年前发现的问题，使劲踩油门，但是发现车到1500转附近的时候直接就上不去了，不管我怎么踩油门都上不</t>
  </si>
  <si>
    <t>奥迪rs4 avant一直是众多车迷梦寐以求的车型，它不仅有着凶猛的外观，还有着非常极致的操控享受。近日，海外媒体曝光了奥迪rs4 avant 青铜限量版车型，并且奥迪宣布，这款产品将仅向英国市场发售25台。内饰配图为新款rs4 avant    外观方面，新车整体保持了最新款海外版rs4 avan</t>
  </si>
  <si>
    <t>　　去年迎来首个完整销售年的一汽-大众中型suv探岳，月均销量达到1.4万辆，第四季度销量更是屡创新高。进入2020年1月份，国内狭义乘用车市场销量受到春节假期影响，同比下降20.4%。尽管如此，探岳的销量依然延续着良好势头，单月销售新车17,134辆，同比暴涨257.5%，位居合资suv第二位。与</t>
  </si>
  <si>
    <t>2020/02/20 10:16:00</t>
  </si>
  <si>
    <t>去年迎来首个完整销售年的一汽-大众中型suv探岳，月均销量达到1.4万辆，第四季度销量更是屡创新高。进入2020年1月份，国内狭义乘用车市场销量受到春节假期影响，同比下降20.4%。尽管如此，探岳的销量依然延续着良好势头，单月销售新车17,134辆，同比暴涨257.5%，位居合资suv第二位。与此同</t>
  </si>
  <si>
    <t>　　手握20万左右的预算，准备买一辆中型家用轿车是很多消费者会去思考的事情。那么在这个细分市场中，有哪些车型是热门选项并且可以着重考虑呢？同时现阶段它们又都有着怎样的市场行情？咱们一起来看一下。　　丰田凯美瑞全系共推出10款国vi版本车型，官方售价区间为17.98-27.98万元。动力总成上，车辆分</t>
  </si>
  <si>
    <t>2020/02/20 10:14:00</t>
  </si>
  <si>
    <t>　　日前，奥迪负责人fermínsoneira santos向媒体透露，奥迪目前正在计划打造一款小型电动车。根据欧洲小型电动车的需求调查，奥迪将利用大众集团下的meb entry平台打造一款小型电动车，目前奥迪正在规划车型方案，但尚未进入研发阶段。　　大众集团在2019年宣布meb entry平台，</t>
  </si>
  <si>
    <t>2020/02/20 10:11:00</t>
  </si>
  <si>
    <t>日前，奥迪负责人fermínsoneira santos向媒体透露，奥迪目前正在计划打造一款小型电动车。根据欧洲小型电动车的需求调查，奥迪将利用大众集团下的meb entry平台打造一款小型电动车，目前奥迪正在规划车型方案，但尚未进入研发阶段。    大众集团在2019年宣布meb entry平台，</t>
  </si>
  <si>
    <t>　　作为丰田旗下的冠军销量车型之一，凯美瑞于2019年度在华累计销量达到了185,245台，其销量数据也于本田雅阁、大众帕萨特等车型不相上下。近日海外媒体曝光了一组丰田凯美瑞四驱版车型实拍图片，新车已在部分海外国家上市开售。据悉，丰田亚洲龙四驱版车型也将于今年秋季上市开售，届时也将进一步丰富丰田旗下</t>
  </si>
  <si>
    <t>2020/02/20 10:10:00</t>
  </si>
  <si>
    <t>作为丰田旗下的冠军销量车型之一，凯美瑞于2019年度在华累计销量达到了185,245台，其销量数据也于本田雅阁、大众帕萨特等车型不相上下。近日海外媒体曝光了一组丰田凯美瑞四驱版车型实拍图片，新车已在部分海外国家上市开售。据悉，丰田亚洲龙四驱版车型也将于今年秋季上市开售，届时也将进一步丰富丰田旗下产品</t>
  </si>
  <si>
    <t>　　86是丰田旗下的一款跑车车型，该款车型于2013年正式引入国内市场开售，同时也受到了诸多日系车迷们的青睐，而二手车市场保值率更是颇高。近日海外媒体曝光更高性能的丰田gr 86车型最新消息，新车计划将于明年7月首发亮相。此外，据海外媒体透露丰田新款凯美瑞也将于今年秋季上市开售。　　动力方面，丰田g</t>
  </si>
  <si>
    <t>2020/02/20 10:09:00</t>
  </si>
  <si>
    <t>86是丰田旗下的一款跑车车型，该款车型于2013年正式引入国内市场开售，同时也受到了诸多日系车迷们的青睐，而二手车市场保值率更是颇高。近日海外媒体曝光更高性能的丰田gr 86车型最新消息，新车计划将于明年7月首发亮相。此外，据海外媒体透露丰田新款凯美瑞也将于今年秋季上市开售。    动力方面，丰田g</t>
  </si>
  <si>
    <t>　　在我们的爱车行驶了三四年之后，有许多车主因为保养不及时或者是图便宜没有按照手册进行保养，很有可能遇到行车过程中车身抖动发动机故障灯亮起的情况。今天小编就来给大家说说这个时候如何自行排查故障。　　首先我们来了解一下发动机故障灯究竟长什么样子，应该是黄色的有着类似三个阀门的不规则图案。　　如果行车状</t>
  </si>
  <si>
    <t>2020/02/20 10:07:00</t>
  </si>
  <si>
    <t>在我们的爱车行驶了三四年之后，有许多车主因为保养不及时或者是图便宜没有按照手册进行保养，很有可能遇到行车过程中车身抖动发动机故障灯亮起的情况。今天小编就来给大家说说这个时候如何自行排查故障。    首先我们来了解一下发动机故障灯究竟长什么样子，应该是黄色的有着类似三个阀门的不规则图案。    如果行</t>
  </si>
  <si>
    <t>　　近日我们从外媒获取到中型皮卡雪弗兰库罗德xtreme最新动力信息，新车将搭载一台3.6升v6发动机，最大功率308马力，峰值扭矩扭矩373牛・米。　　这样的动力参数虽说在中型皮卡算不上顶尖，但也其实也算是十分充沛的，如果这样的数据你觉得还不够理想的话，雪佛兰拥有专门的改装厂来给库罗德xtreme</t>
  </si>
  <si>
    <t>2020/02/20 10:06:00</t>
  </si>
  <si>
    <t>近日我们从外媒获取到中型皮卡雪弗兰库罗德xtreme最新动力信息，新车将搭载一台3.6升v6发动机，最大功率308马力，峰值扭矩扭矩373牛·米。    这样的动力参数虽说在中型皮卡算不上顶尖，但也其实也算是十分充沛的，如果这样的数据你觉得还不够理想的话，雪佛兰拥有专门的改装厂来给库罗德xtreme</t>
  </si>
  <si>
    <t>2020年1月份迎来了庚子年春节假期，相较过去的两年有所提前，这也让1月份汽车市场有效的销售时间缩短了一周左右。乘联会公布数据显示，1月份国内狭义乘用车市场销量达172.1万辆，同比下降20.4%。    长安汽车公布的产销数据显示：长安福特1月销量达15,358辆，实现逆势增长，同比增长4.22%</t>
  </si>
  <si>
    <t>2020/02/20 10:05:00</t>
  </si>
  <si>
    <t>　　2020年1月份迎来了庚子年春节假期，相较过去的两年有所提前，这也让1月份汽车市场有效的销售时间缩短了一周左右。乘联会公布数据显示，1月份国内狭义乘用车市场销量达172.1万辆，同比下降20.4%。　　长安汽车公布的产销数据显示：长安福特1月销量达15,358辆，实现逆势增长，同比增长4.22%</t>
  </si>
  <si>
    <t>g80是现代旗下高端子品牌捷尼赛思的一款中大型轿车，该品牌已于今年1月在韩国本土，正式亮相了旗下全新中大型suv——gv80。近日海外媒体再次曝光了一组捷尼赛思全新g80路试谍照图片，新车将于今年年内正式亮相，并有望在同年上市开售。而此前新车将于3月日内瓦车展亮相的消息也已辟谣。    动力方面，新</t>
  </si>
  <si>
    <t>2020/02/20 10:03:00</t>
  </si>
  <si>
    <t>　　g80是现代旗下高端子品牌捷尼赛思的一款中大型轿车，该品牌已于今年1月在韩国本土，正式亮相了旗下全新中大型suv――gv80。近日海外媒体再次曝光了一组捷尼赛思全新g80路试谍照图片，新车将于今年年内正式亮相，并有望在同年上市开售。而此前新车将于3月日内瓦车展亮相的消息也已辟谣。　　动力方面，新</t>
  </si>
  <si>
    <t>近日，据海外媒体报道，凯迪拉克将于4月推出其品牌的首款纯电动跨界车，或定位中型suv。目前为止凯迪拉克并未在市场布局任何纯电动汽车，仅有插电式混动汽车占领少部分新能源市场。而这款新车推出后，将与奥迪e-tron和奔驰eqc正面交锋，形成豪华品牌电动车的市场竞争新局面。最后一张图为凯迪拉克之前公布的概</t>
  </si>
  <si>
    <t>2020/02/20 10:01:00</t>
  </si>
  <si>
    <t>　　近日，据海外媒体报道，凯迪拉克将于4月推出其品牌的首款纯电动跨界车，或定位中型suv。目前为止凯迪拉克并未在市场布局任何纯电动汽车，仅有插电式混动汽车占领少部分新能源市场。而这款新车推出后，将与奥迪e-tron和奔驰eqc正面交锋，形成豪华品牌电动车的市场竞争新局面。最后一张图为凯迪拉克之前公布</t>
  </si>
  <si>
    <t>自江淮嘉悦a5推出后，别具一格的造型设计吸引到了更多消费者的关注，也再一次将大众视线转移到了江淮品牌上。前不久内部代号为s432的江淮全新suv外观专利图爆出，其延续了嘉悦a5的设计语言，让消费者们好不期待。而近日有媒体获取到了一组该车的设计图，外观细节处的设计被描绘的更加清晰，这一版设计或也是更接</t>
  </si>
  <si>
    <t>2020/02/20 10:00:00</t>
  </si>
  <si>
    <t>　　自江淮嘉悦a5推出后，别具一格的造型设计吸引到了更多消费者的关注，也再一次将大众视线转移到了江淮品牌上。前不久内部代号为s432的江淮全新suv外观专利图爆出，其延续了嘉悦a5的设计语言，让消费者们好不期待。而近日有媒体获取到了一组该车的设计图，外观细节处的设计被描绘的更加清晰，这一版设计或也是</t>
  </si>
  <si>
    <t>提及丰田雅力士想必大家并不陌生，该款车型为品牌旗下的一款小型轿车，与本田飞度、大众polo等为同级车型，其全新一代车型也于去年东京车展上正式亮相。近日海外媒体曝光了丰田全新小型suv预告图，新车将基于丰田雅力士车型所打造，并将于下月开幕的日内瓦车展上正式亮相。    动力方面，新车预计将搭载一台1.</t>
  </si>
  <si>
    <t>2020/02/20 09:59:00</t>
  </si>
  <si>
    <t>　　提及丰田雅力士想必大家并不陌生，该款车型为品牌旗下的一款小型轿车，与本田飞度、大众polo等为同级车型，其全新一代车型也于去年东京车展上正式亮相。近日海外媒体曝光了丰田全新小型suv预告图，新车将基于丰田雅力士车型所打造，并将于下月开幕的日内瓦车展上正式亮相。　　动力方面，新车预计将搭载一台1.</t>
  </si>
  <si>
    <t>对于一台家用suv而言，拥有同价位轿车不能比拟的坐姿以及更为实用的装载能力和宽裕的乘坐空间才是suv车型最大的优势之一，那么我们就坐进威兰达车内，实体探究它乘坐的表现。    威兰达宽大厚实的坐垫以及饱满的填充给我留下了深刻的印象，同时双拼色皮质带缝线的设计对车内豪华氛围的提升起到一定作用，装载能力</t>
  </si>
  <si>
    <t>2020/02/20 09:58:00</t>
  </si>
  <si>
    <t>　　对于一台家用suv而言，拥有同价位轿车不能比拟的坐姿以及更为实用的装载能力和宽裕的乘坐空间才是suv车型最大的优势之一，那么我们就坐进威兰达车内，实体探究它乘坐的表现。　　威兰达宽大厚实的坐垫以及饱满的填充给我留下了深刻的印象，同时双拼色皮质带缝线的设计对车内豪华氛围的提升起到一定作用，装载能力</t>
  </si>
  <si>
    <t>　　受疫情影响，最近大家也只能足不出户宅在家，想要买车的朋友们也仅可以通过网络对心仪的车辆进行了解。别着急！这不，车市探店小分队就行动起来了，为大家网罗近期新上市的热点车型资讯，待疫情结束您就可以及时行动起来下单自己心仪的爱车。　　凯迪拉克ct5相比起同级车型来说更加运动，全新的造型赋予了它有别于以</t>
  </si>
  <si>
    <t>2020/02/20 09:57:00</t>
  </si>
  <si>
    <t>提到保时捷macan想到大家并不会陌生，超高的外观内饰颜值以及超豪华汽车的品牌加持，尤其受到女性用户的宠爱。近日，有海外媒体报道，保时捷决定通过引入更新更有趣的设备套件来丰富macan系列的实用性，他们称之为“soul pack 灵魂包”。配图为现款macan    外观方面，搭配“灵魂包”的mac</t>
  </si>
  <si>
    <t>2020/02/20 09:56:00</t>
  </si>
  <si>
    <t>　　提到保时捷macan想到大家并不会陌生，超高的外观内饰颜值以及超豪华汽车的品牌加持，尤其受到女性用户的宠爱。近日，有海外媒体报道，保时捷决定通过引入更新更有趣的设备套件来丰富macan系列的实用性，他们称之为“soul pack 灵魂包”。配图为现款macan　　外观方面，搭配“灵魂包”的mac</t>
  </si>
  <si>
    <t>去年的广州车展前夕，上汽荣威发布了“芯动2020 ”新能源战略，对插电混动车型进行了更深地布局。在荣威看来，插电混动车型是传统燃油车的补充车型，动力更强，燃油经济性更好，可看作是燃油车的高配车型。开年后不久，荣威就申报了一款名为ei6 max的车型，车身尺寸相比现款ei6 pius更大。日前有媒体获</t>
  </si>
  <si>
    <t>2020/02/20 09:55:00</t>
  </si>
  <si>
    <t>　　去年的广州车展前夕，上汽荣威发布了“芯动2020 ”新能源战略，对插电混动车型进行了更深地布局。在荣威看来，插电混动车型是传统燃油车的补充车型，动力更强，燃油经济性更好，可看作是燃油车的高配车型。开年后不久，荣威就申报了一款名为ei6 max的车型，车身尺寸相比现款ei6 pius更大。日前有媒</t>
  </si>
  <si>
    <t>本该是汽车行业回暖的2020年，开局却被新型冠状疫情打乱了。    延长客户维修保养权益、取消经销商2月份考核、提前发放一季度奖金等金融政策支持......从车企近期密集的动作不难看出，这一黑天鹅事件短期内对汽车市场造成灾难性的影响。不过，随着当前疫情形势的逐渐明朗，越来越多的车企也开始考虑疫情结束</t>
  </si>
  <si>
    <t>2020/02/20 09:53:00</t>
  </si>
  <si>
    <t>投诉编号：【447848】  投诉时间： 2020-02-20 09:53  投诉品牌： 宝马（进口）  投诉车系： 宝马3系（进口）  投诉车型： 2016款 320i 时尚型 旅行版        投诉内容  进口宝马3系保养使用抵用券后联系我说券不是给我的，是给别人的，给我打电话让我到4S店把</t>
  </si>
  <si>
    <t>　　本该是汽车行业回暖的2020年，开局却被新型冠状疫情打乱了。　　延长客户维修保养权益、取消经销商2月份考核、提前发放一季度奖金等金融政策支持......从车企近期密集的动作不难看出，这一黑天鹅事件短期内对汽车市场造成灾难性的影响。不过，随着当前疫情形势的逐渐明朗，越来越多的车企也开始考虑疫情结束</t>
  </si>
  <si>
    <t>疫情阴霾下，一线医护人员与企业成为最振奋人心的两股力量。在汽车界，积极履行企业社会责任的行业一汽-大众累计捐款4000万元用于抗击疫情，成为此次疫情期间捐款额最高的合资车企。    与此同时，病房之外另一场战役——复工，也已经悄然展开。刚刚过去的1月份，在春节前置以及疫情叠加因素影响下，整体乘用车消</t>
  </si>
  <si>
    <t>2020/02/20 09:52:00</t>
  </si>
  <si>
    <t>　　疫情阴霾下，一线医护人员与企业成为最振奋人心的两股力量。在汽车界，积极履行企业社会责任的行业一汽-大众累计捐款4000万元用于抗击疫情，成为此次疫情期间捐款额最高的合资车企。　　与此同时，病房之外另一场战役――复工，也已经悄然展开。刚刚过去的1月份，在春节前置以及疫情叠加因素影响下，整体乘用车消</t>
  </si>
  <si>
    <t>虽然威兰达还未上市，但是鉴于它和rav4情同手足的关系，基本可以推断出两者在动力系统以及参数上并无二致。目前威兰达已经到店，我们为您带来这款新车的动力解读。威兰达提供2.0l自然吸气以及2.5l混合动力搭配上两驱、四驱的驱动形式极大程度的满足了各个层次消费者的用车需求。    在大多数情况下威兰达更</t>
  </si>
  <si>
    <t>2020/02/20 09:51:00</t>
  </si>
  <si>
    <t>　　虽然威兰达还未上市，但是鉴于它和rav4情同手足的关系，基本可以推断出两者在动力系统以及参数上并无二致。目前威兰达已经到店，我们为您带来这款新车的动力解读。威兰达提供2.0l自然吸气以及2.5l混合动力搭配上两驱、四驱的驱动形式极大程度的满足了各个层次消费者的用车需求。　　在大多数情况下威兰达更</t>
  </si>
  <si>
    <t>经常开夜路的很多车主都知道，不少人夜间开车非常不自觉，喜欢开着远光灯开车，因为这样自己的视线就会更加清晰。这种行为是非常损人利己的行为，因为其他驾驶员一旦被远光灯照到，会立即受到非常大的视线影响，极易引起交通事故。    不过其实我们的车中都带有一面特殊的镜子，可以减弱后方车辆远光灯的亮度，这就是我</t>
  </si>
  <si>
    <t>2020/02/20 09:50:00</t>
  </si>
  <si>
    <t>　　经常开夜路的很多车主都知道，不少人夜间开车非常不自觉，喜欢开着远光灯开车，因为这样自己的视线就会更加清晰。这种行为是非常损人利己的行为，因为其他驾驶员一旦被远光灯照到，会立即受到非常大的视线影响，极易引起交通事故。　　不过其实我们的车中都带有一面特殊的镜子，可以减弱后方车辆远光灯的亮度，这就是我</t>
  </si>
  <si>
    <t>近几年，有很多细心的车主都发现，现在白天开着前车灯的车已经越来越多了，但是大部分的人都不理解这样做的原因是什么，甚至以为这样做仅是为了好看。但事实并非如此，越来越多的厂家这样设计都是为了行车安全而考虑。    日间行车灯的作用是：使车辆在白天行驶时更容易被人认出来。它不是为了使驾驶员能看清路面，而是</t>
  </si>
  <si>
    <t>2020/02/20 09:49:00</t>
  </si>
  <si>
    <t>　　近几年，有很多细心的车主都发现，现在白天开着前车灯的车已经越来越多了，但是大部分的人都不理解这样做的原因是什么，甚至以为这样做仅是为了好看。但事实并非如此，越来越多的厂家这样设计都是为了行车安全而考虑。　　日间行车灯的作用是：使车辆在白天行驶时更容易被人认出来。它不是为了使驾驶员能看清路面，而是</t>
  </si>
  <si>
    <t>名爵6是一款主打运动、性能属性的轿跑车型，也一直是年轻消费者追捧的对象，它对品牌的意义跟思域对品牌的意义相同。今年年初，新款名爵6的插混版完成了申报工作，预计将于年内正式推向市场。近日有媒体获取到了一组新款名爵6插混版的详细动力信息，新车在纯电模式下续航里程可达70km，相比现款在售车型提升明显。油</t>
  </si>
  <si>
    <t>2020/02/20 09:48:00</t>
  </si>
  <si>
    <t>　　名爵6是一款主打运动、性能属性的轿跑车型，也一直是年轻消费者追捧的对象，它对品牌的意义跟思域对品牌的意义相同。今年年初，新款名爵6的插混版完成了申报工作，预计将于年内正式推向市场。近日有媒体获取到了一组新款名爵6插混版的详细动力信息，新车在纯电模式下续航里程可达70km，相比现款在售车型提升明显</t>
  </si>
  <si>
    <t>　　随着各家车企把车型定位分得越来越细，不同品牌的同级别车型，如今的竞争已经进入了白热化阶段，“跨级竞争”、“精准定位”这些名词也逐渐成为高频词汇，无论是合资还是自主，越来越多的优秀车型可供消费者们选择。而在最受关注的紧凑型suv车型当中，销冠王全新哈弗h6和合资传奇车型大众途观l通常被列为备选车型</t>
  </si>
  <si>
    <t>2020/02/20 09:47:00</t>
  </si>
  <si>
    <t>宝马今年将在华推出17款新车，包括中期改款5系、ix3、x5/x6 m、m8等重磅车型，其中中期改款5系的消息一直备受关注。近日有媒体获得了宝马中期改款5系长轴距插电混动车型在国内的实拍图，新车主要对外观进行调整，相比现款车型更加运动。动力和油耗方面，新车预计与刚刚上市的530le里程升级版保持一致</t>
  </si>
  <si>
    <t>2020/02/20 09:45:00</t>
  </si>
  <si>
    <t>　　宝马今年将在华推出17款新车，包括中期改款5系、ix3、x5/x6 m、m8等重磅车型，其中中期改款5系的消息一直备受关注。近日有媒体获得了宝马中期改款5系长轴距插电混动车型在国内的实拍图，新车主要对外观进行调整，相比现款车型更加运动。动力和油耗方面，新车预计与刚刚上市的530le里程升级版保持</t>
  </si>
  <si>
    <t>　　眼下家庭用车需求倍增，不少消费者都将目标瞄准了空间更充裕的7座车型，而这一细分市场中其中最受欢迎的当属mpv了，宽敞的车内空间再加上舒适的乘车体验，让全家出行变得尤为轻松愉快。说起mpv那不得不提及近期市场大热的传祺gm8了，刚刚迎来小改款的它现在入手是否合适呢？别急！车市探店小分队现在就帮您去</t>
  </si>
  <si>
    <t>2020/02/20 09:44:00</t>
  </si>
  <si>
    <t>　　10-15万左右的紧凑级suv车型如今已经成为各大自主品牌集中发力的一片区域，那么看着市面上犹如过江鲫鱼的车型，有哪些值得推荐呢？而在近期内它们的市场行情又如何？带着这些疑问，我们一同去研究下。　　吉利博越pro全系共推出7款车型，官方价格区间为9.88-15.68万元。动力总成上，车辆分别搭载</t>
  </si>
  <si>
    <t>2020/02/20 09:43:00</t>
  </si>
  <si>
    <t>　　由于第一代q5作为首款在华国产的豪华中型suv，一经上市就取得了爆款的销量表现。所以当全新奥迪q5l在推出之时，大家都给予了极高的期待。事实上的终端销售表现也足以证明了他们的成功。而在巨额的市场优惠幅度后，q5l对于一般的工薪阶层来说已经不再是高不可攀了。今天我们找到了准入门槛最低的q5l，看看</t>
  </si>
  <si>
    <t>2020/02/20 09:39:00</t>
  </si>
  <si>
    <t>2020/02/20 09:37:05</t>
  </si>
  <si>
    <t>投诉编号：【447845】
投诉时间： 2020-02-20 09:19
投诉品牌： 东风本田
投诉车系： 本田CR-V
投诉车型： 2017款 240TURBO 自动 两驱 风尚版</t>
  </si>
  <si>
    <t>欧陆gt是宾利旗下的一款跑车车型，该款车型于2004年以进口形式引入国内市场开售。不同于慕尚以及飞驰车型的是，新车定位更加偏向运动化，同时也为消费者带来了更加个性化的用车体验。近日bentley定制调试部门bentley mulliner宣布推出新的bentley continental gt mu</t>
  </si>
  <si>
    <t>2020/02/20 09:37:00</t>
  </si>
  <si>
    <t xml:space="preserve">　　欧陆gt是宾利旗下的一款跑车车型，该款车型于2004年以进口形式引入国内市场开售。不同于慕尚以及飞驰车型的是，新车定位更加偏向运动化，同时也为消费者带来了更加个性化的用车体验。近日bentley定制调试部门bentley mulliner宣布推出新的bentley continental gt </t>
  </si>
  <si>
    <t>日前我们获悉，在3月3日开幕的日内瓦车展上，宝马3系新增的三款混动车型将正式亮相。这三款车型分别为330e touring、330e xdrive、330e touring xdrive，三款车型都在现款车型基础上搭载了2.0l四缸发动机与电机组成的混动系统。    由于是新增车型，所以三款车型整体</t>
  </si>
  <si>
    <t>2020/02/20 09:35:00</t>
  </si>
  <si>
    <t>　　日前我们获悉，在3月3日开幕的日内瓦车展上，宝马3系新增的三款混动车型将正式亮相。这三款车型分别为330e touring、330e xdrive、330e touring xdrive，三款车型都在现款车型基础上搭载了2.0l四缸发动机与电机组成的混动系统。　　由于是新增车型，所以三款车型整体</t>
  </si>
  <si>
    <t>此前我们曾曝光了一组全新一代路虎揽胜运动版的路试谍照，日前我们从相关渠道获悉，全新一代揽胜和路虎揽胜运动版有望搭载来自宝马的发动机，并且将于2021年首发。路虎揽胜运动版谍照    外观方面，新一代路虎揽胜运动版在前脸的整个设计上采用了路虎全新的家族式设计风格，新车的造型方正，中网尺寸进一步加大，换</t>
  </si>
  <si>
    <t>2020/02/20 09:34:00</t>
  </si>
  <si>
    <t>　　此前我们曾曝光了一组全新一代路虎揽胜运动版的路试谍照，日前我们从相关渠道获悉，全新一代揽胜和路虎揽胜运动版有望搭载来自宝马的发动机，并且将于2021年首发。路虎揽胜运动版谍照　　外观方面，新一代路虎揽胜运动版在前脸的整个设计上采用了路虎全新的家族式设计风格，新车的造型方正，中网尺寸进一步加大，换</t>
  </si>
  <si>
    <t>日前，海外媒体拍摄到一组新款奥迪q2低伪装路试谍照。作为中期改款车型，新款奥迪q2将在10月开幕的巴黎车展上正式发布。    新款奥迪q2前脸及尾部都进行了伪装，这部分也将成为新款奥迪q2造型集中变化的地方，从曝光的路试谍照来看，新款奥迪q2融入了新家族式设计元素，其中前格栅内部有所变化，视觉冲击力</t>
  </si>
  <si>
    <t>2020/02/20 09:33:00</t>
  </si>
  <si>
    <t>　　日前，海外媒体拍摄到一组新款奥迪q2低伪装路试谍照。作为中期改款车型，新款奥迪q2将在10月开幕的巴黎车展上正式发布。　　新款奥迪q2前脸及尾部都进行了伪装，这部分也将成为新款奥迪q2造型集中变化的地方，从曝光的路试谍照来看，新款奥迪q2融入了新家族式设计元素，其中前格栅内部有所变化，视觉冲击力</t>
  </si>
  <si>
    <t>近日，有媒体获悉了一组全新一代宝马m4 coupe的路试谍照。虽然外观包裹着厚重的伪装，但家族式设计依然看得十分清楚，超大的中网格外吸睛。据了解，新车有望在2020年上半年正式推出。    外观方面，全新一代宝马m4 coupe包裹着厚重的伪装，但细节处还是看的出来，该车依然采用了家族式设计，尤其是</t>
  </si>
  <si>
    <t>2020/02/20 09:32:00</t>
  </si>
  <si>
    <t>　　近日，有媒体获悉了一组全新一代宝马m4 coupe的路试谍照。虽然外观包裹着厚重的伪装，但家族式设计依然看得十分清楚，超大的中网格外吸睛。据了解，新车有望在2020年上半年正式推出。　　外观方面，全新一代宝马m4 coupe包裹着厚重的伪装，但细节处还是看的出来，该车依然采用了家族式设计，尤其是</t>
  </si>
  <si>
    <t>近日获悉，beijing-x7有望于6月上市发售。作为beijing品牌打造的全新suv车型，定位于中型suv的beijing-x7可以看作为此前发布的耀概念车的量产版车型，内部代号c62x。耀概念车    造型方面，beijing-x7借鉴了此前发布的耀概念车上的设计元素，其中前脸采用了造型夸张的</t>
  </si>
  <si>
    <t>2020/02/20 09:30:00</t>
  </si>
  <si>
    <t>　　近日获悉，beijing-x7有望于6月上市发售。作为beijing品牌打造的全新suv车型，定位于中型suv的beijing-x7可以看作为此前发布的耀概念车的量产版车型，内部代号c62x。耀概念车　　造型方面，beijing-x7借鉴了此前发布的耀概念车上的设计元素，其中前脸采用了造型夸张的</t>
  </si>
  <si>
    <t>近日从官方获悉，广汽丰田威兰达将于2月28日线上公布售价。作为全新rav4荣放的姐妹车型，威兰达基于tnga架构ga-k平台打造而来，提供2.0l燃油版及2.5l双擎版以供消费者选择，并配备三种四驱系统。此前，官方公布的预售区间为17-25万元，并且公布了四款豪华版车型的具体预售价格。    威兰达</t>
  </si>
  <si>
    <t>2020/02/20 09:29:00</t>
  </si>
  <si>
    <t>　　近日从官方获悉，广汽丰田威兰达将于2月28日线上公布售价。作为全新rav4荣放的姐妹车型，威兰达基于tnga架构ga-k平台打造而来，提供2.0l燃油版及2.5l双擎版以供消费者选择，并配备三种四驱系统。此前，官方公布的预售区间为17-25万元，并且公布了四款豪华版车型的具体预售价格。　　威兰达</t>
  </si>
  <si>
    <t>2020年2月20日，上汽通用雪佛兰畅巡将于今日上市发售。作为一款全新纯电动紧凑型车，畅巡搭载最大功率为110kw（150ps）的电动机，nedc综合续航里程为410km。此外，官方针对畅巡提供了整车3年或10万公里，及电池组8年或16万公里的质保服务。    作为一款全新纯电动紧凑型车，畅巡借鉴雪</t>
  </si>
  <si>
    <t>2020/02/20 09:27:00</t>
  </si>
  <si>
    <t>　　2020年2月20日，上汽通用雪佛兰畅巡将于今日上市发售。作为一款全新纯电动紧凑型车，畅巡搭载最大功率为110kw（150ps）的电动机，nedc综合续航里程为410km。此外，官方针对畅巡提供了整车3年或10万公里，及电池组8年或16万公里的质保服务。　　作为一款全新纯电动紧凑型车，畅巡借鉴雪</t>
  </si>
  <si>
    <t>　　从2013年诞生至今已经达七年多的lexus第三代is，原本计划在2019年就应该要进行换代，但是由于受到全球车市市场低迷，以及丰田集团的战略调整，使得is一直没有等到换代车型。近日，有消息称新一代雷克萨斯is或将在2021年问世，真的让is的车迷等到花儿也谢脖子也长了。配图为雷克萨斯is 20</t>
  </si>
  <si>
    <t>2020/02/20 09:25:00</t>
  </si>
  <si>
    <t>从2013年诞生至今已经达七年多的lexus第三代is，原本计划在2019年就应该要进行换代，但是由于受到全球车市市场低迷，以及丰田集团的战略调整，使得is一直没有等到换代车型。近日，有消息称新一代雷克萨斯is或将在2021年问世，真的让is的车迷等到花儿也谢脖子也长了。配图为雷克萨斯is 2017</t>
  </si>
  <si>
    <t>投诉编号：【447847】  投诉时间： 2020-02-20 09:25  投诉品牌： 猎豹汽车  投诉车系： 猎豹CS9  投诉车型： 2017款 1.5L 手动 风尚型        投诉内容  猎豹CS9行驶过程中底盘有异响，底盘异响，出现故障售后不处理，我给他们打电话，第一次打通了，后来他</t>
  </si>
  <si>
    <t>　　一位名叫“马克斯・拉斯克”的才华横溢的设计师在布加迪设计中心完成了一项创新性的工作，他在回顾布加迪历史上一些著名赛车的基础上，设计了一款令人惊叹的直奔未来的下一代赛车―― 布加迪vision le mans（勒芒）。　　其实这款概念渲染实际上是德国不伦瑞克艺术大学毕业生max lask的学士论文</t>
  </si>
  <si>
    <t>2020/02/20 09:23:00</t>
  </si>
  <si>
    <t>一位名叫“马克斯·拉斯克”的才华横溢的设计师在布加迪设计中心完成了一项创新性的工作，他在回顾布加迪历史上一些著名赛车的基础上，设计了一款令人惊叹的直奔未来的下一代赛车—— 布加迪vision le mans（勒芒）。    其实这款概念渲染实际上是德国不伦瑞克艺术大学毕业生max lask的学士论文</t>
  </si>
  <si>
    <t xml:space="preserve">据外媒报道，日产汽车在欧洲推出的新款纳瓦拉n-guard，拥有四种车身颜色可选，在常规的黑白灰三色基础上，新增了图示的全新电光蓝色。作为欧规版纳瓦拉车系的顶配型号，新款纳瓦拉n-guard采用了新的内外设计，同时配置也进行了专门的调整。据悉，新车将于本月投产，随后将于3月在欧洲市场上市销售。    </t>
  </si>
  <si>
    <t>2020/02/20 09:20:00</t>
  </si>
  <si>
    <t>　　据外媒报道，日产汽车在欧洲推出的新款纳瓦拉n-guard，拥有四种车身颜色可选，在常规的黑白灰三色基础上，新增了图示的全新电光蓝色。作为欧规版纳瓦拉车系的顶配型号，新款纳瓦拉n-guard采用了新的内外设计，同时配置也进行了专门的调整。据悉，新车将于本月投产，随后将于3月在欧洲市场上市销售。　　</t>
  </si>
  <si>
    <t>据外媒消息称，丰田凯美瑞的中期改款车型将于2020年秋季推出，并有望在洛杉矶车展展出。在售的第八代凯美瑞在2017年发布，即将推出的中期改款车型不会有太多翻天覆地的变化。    内饰方面，普通版本的凯美瑞中控设计采用独特的“y”型风格，亮黑为主的中控配色配以精致的镀铬饰边，提升了整体高端感受。而在t</t>
  </si>
  <si>
    <t>2020/02/20 09:16:00</t>
  </si>
  <si>
    <t>　　据外媒消息称，丰田凯美瑞的中期改款车型将于2020年秋季推出，并有望在洛杉矶车展展出。在售的第八代凯美瑞在2017年发布，即将推出的中期改款车型不会有太多翻天覆地的变化。　　内饰方面，普通版本的凯美瑞中控设计采用独特的“y”型风格，亮黑为主的中控配色配以精致的镀铬饰边，提升了整体高端感受。而在t</t>
  </si>
  <si>
    <t>巨头归来 体验奥迪Q8奥迪品牌的SUV家族，车型名称都以Q加一位数字构成，Q2、Q3、Q5、Q7从小到大构成了完整的产品序列。但是随着豪华车消费群体的进一步年轻化，百万级豪华SUV的需要面对越来越多样化的需求。至少体积是越来越不重要了，所以，宝马推出了X6，奔驰也跟进了GLE coupe。而奥迪似乎</t>
  </si>
  <si>
    <t>2020/02/20 09:13:00</t>
  </si>
  <si>
    <t>奥迪品牌的SUV家族，车型名称都以Q加一位数字构成，Q2、Q3、Q5、Q7从小到大构成了完整的产品序列。但是随着豪华车消费群体的进一步年轻化，百万级豪华SUV的需要面对越来越多样化的需求。至少体积是越来越不重要了，所以，宝马推出了X6，奔驰也跟进了GLE coupe。而奥迪似乎是瞧不上那个快速下滑的</t>
  </si>
  <si>
    <t>又给国人长脸了！这5台新车霸气亮相 个个都是中国骄傲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t>
  </si>
  <si>
    <t>2020/02/20 09:11:00</t>
  </si>
  <si>
    <t>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V编辑点评：红旗在广州车展上为我们带来了全新的纯电动</t>
  </si>
  <si>
    <t>有它买啥GL8？整车进口标配V6 长5米2大7座 比埃尔法豪华只要是说起MPV，比较高端点的车型肯定是GL8为首选，毕竟这款车在国内MPV市场销量最高，月销均破万可是很多SUV不能达到的水准，而且别克GL8的价格并不算低，起码是一款30万级车型，这个价位可以有太多选择，尤其是MPV相对比较冷门。其实</t>
  </si>
  <si>
    <t>请问我雪铁龙爱丽舍过保后，电瓶没电，咨询厂家客服联系到经销商，经销商建议叫保险搭电致车辆ABS出问题，通过了解同款车其他用户已出现类似问题，是汽车设计缺陷，已不是个案，需修理，经销商有责任吗？</t>
  </si>
  <si>
    <t>2020/02/20 09:10:49</t>
  </si>
  <si>
    <t xml:space="preserve">五菱宏光论坛 &gt; </t>
  </si>
  <si>
    <t>神车五菱宏光车身抖动后发动机熄火车身抖动后熄火，过一会还是抖动后熄火，而且发动机故障灯灯还亮了。[本帖最后由 车质网 于 2020-02-20 13:56 编辑]</t>
  </si>
  <si>
    <t>逆刃刀                 维修技师</t>
  </si>
  <si>
    <t>2020/02/20 09:10:00</t>
  </si>
  <si>
    <t>车身抖动后熄火，过一会还是抖动后熄火，而且发动机故障灯灯还亮了。</t>
  </si>
  <si>
    <t>逆刃刀</t>
  </si>
  <si>
    <t>神车五菱宏光车身抖动后发动机熄火车身抖动后熄火，过一会还是抖动后熄火，而且发动机故障灯灯还亮了。</t>
  </si>
  <si>
    <t>相比轿车的排行来说，SUV这边变数要更大一些，多款黑马SUV车型挤入榜单之中，作为SUV界的王者哈弗H6，在1月份差点丢了自己的销冠排名，不得不说SUV的竞争太激烈，稍微不注意就有可能被颠覆，废话不多说，直接上车型。哈弗H6虽然差一点被颠覆，不过凭借25582辆的成绩还是保住了1月份的SUV销量冠军</t>
  </si>
  <si>
    <t>大众汽车凭借良好口碑、德系精密的做工、过硬的保值以及较高的性价比，深受消费者的喜爱，大众不仅在轿车市场中拥有朗逸、帕萨特等高销量车型，而且近年来在SUV市场中，大众也逐渐开始发力，定位中型SUV的探岳和途观L都为大众带来不错的销量成绩，甚至成为很多消费者在买中型SUV的首选，只不过提到中型SUV，相</t>
  </si>
  <si>
    <t>全新一代丰田汉兰达 车长4米95提供8座 北美售价3.46万美元起大众汽车凭借良好口碑、德系精密的做工、过硬的保值以及较高的性价比，深受消费者的喜爱，大众不仅在轿车市场中拥有朗逸、帕萨特等高销量车型，而且近年来在SUV市场中，大众也逐渐开始发力，定位中型SUV的探岳和途观L都为大众带来不错的销量成绩</t>
  </si>
  <si>
    <t>1月SUV榜单：哈弗H6销冠差点丢了 多匹黑马登榜相比轿车的排行来说，SUV这边变数要更大一些，多款黑马SUV车型挤入榜单之中，作为SUV界的王者哈弗H6，在1月份差点丢了自己的销冠排名，不得不说SUV的竞争太激烈，稍微不注意就有可能被颠覆，废话不多说，直接上车型。哈弗H6虽然差一点被颠覆，不过凭借</t>
  </si>
  <si>
    <t>2018年9月份购车，在2019年9月初出现汽车打不着火现象，交由4S店检测后，反馈电瓶无问题，只是亏电，当天在店内充电3小时后将车开走去吃饭，过了2小时后，发现汽车依然打不着火，再次反馈给4S店后，第二天告知汽车电瓶出现问题，无法继续使用，因还在质保期内，给免费更换了一块新电瓶，新电瓶使用至202</t>
  </si>
  <si>
    <t>哪儿</t>
  </si>
  <si>
    <t>2020/02/20 09:09:00</t>
  </si>
  <si>
    <t>名爵6新能源电瓶亏电质量太差了吧2018年9月份购车，在2019年9月初出现汽车打不着火现象，交由4S店检测后，反馈电瓶无问题，只是亏电，当天在店内充电3小时后将车开走去吃饭，过了2小时后，发现汽车依然打不着火，再次反馈给4S店后，第二天告知汽车电瓶出现问题，无法继续使用，因还在质保期内，给免费更换</t>
  </si>
  <si>
    <t>避风雨</t>
  </si>
  <si>
    <t>2020/02/20 09:08:00</t>
  </si>
  <si>
    <t>领克03的固特异轮胎质量太差了吧领克03使用的固特异轮胎开裂，尤其是前轮特别严重，存在质量问题，希望厂家处理。</t>
  </si>
  <si>
    <t>三大件都一样，20万就能买丰田亚洲龙，为啥要花30万买雷克萨斯ES呢？亚洲龙目前是丰田旗下旗舰车型，上市后便获得广泛关注，特别是入门版价格低至20万，更是让消费者欲罢不能。为啥说亚洲龙比雷克萨斯ES性价比更高呢？三大件都一样，平台也一样，20万就能买亚洲龙，干嘛要花30万买雷克萨斯ES呢？经过仔细对</t>
  </si>
  <si>
    <t>三大件都一样 20万就能买亚洲龙 为啥要花30万买雷克萨斯ES呢？三大件都一样，20万就能买丰田亚洲龙，为啥要花30万买雷克萨斯ES呢？亚洲龙目前是丰田旗下旗舰车型，上市后便获得广泛关注，特别是入门版价格低至20万，更是让消费者欲罢不能。为啥说亚洲龙比雷克萨斯ES性价比更高呢？三大件都一样，平台也一</t>
  </si>
  <si>
    <t>2020款丰田凯美瑞TRD 搭载3.5升V6发动机 匹配8速变速箱日系丰田凯美瑞在2018年进行了全面研发，迎来了良好的口碑，稳定了中级车型的销售市场。近日，有媒体报道了丰田凯美瑞2020年的各种消息。2020年丰田将保持凯美瑞的外形基本不变。不过，动力系统将有更大的改进和变化，车辆性能将受到更多关</t>
  </si>
  <si>
    <t>13万多就能买中级车？帕萨特表示压力山大 这车比凯美瑞雅阁还帅虽然2019年的中国汽车市场成了寒冬车市，但不可否认，中级车市场形势还是一片大好。据相关数据统计，2019年全年中国市场中型轿车销量为205.4万辆，占轿车市场总销量的20.3%。其中，中国品牌中型轿车全年销量仅13.4万辆，这样的成绩还</t>
  </si>
  <si>
    <t>2020/02/20 09:07:00</t>
  </si>
  <si>
    <t>抹皮袜</t>
  </si>
  <si>
    <t>宝马3系变速箱故障灯亮是为什么？华晨宝马3系仪表提示有故障灯亮，变速箱掉挡，无法继续再加速，联系了经销商告知属于变速箱阀体的问题，但是质疑的是不到半个月，就出现这样的情况，因此要求退换车。</t>
  </si>
  <si>
    <t>通过这个冬天来看，机油增多现象还是很普遍的，本田厂家为什么还没有动作，回复的信息也都是很牵强，这款发动机是否就是设计缺陷？？有没有更好的解决办法？对发动机的影响到底有多大？</t>
  </si>
  <si>
    <t>2020/02/20 09:06:23</t>
  </si>
  <si>
    <t>高速和低速行使发动机异响！咚咚咚作响起越来越明现了！要求厂家尽快解决好车辆的问题。</t>
  </si>
  <si>
    <t>如歌</t>
  </si>
  <si>
    <t>2020/02/20 09:06:00</t>
  </si>
  <si>
    <t>RAV4荣放发动机异响 刹车异响高速和低速行使发动机异响！咚咚咚作响起越来越明现了！要求厂家尽快解决好车辆的问题。</t>
  </si>
  <si>
    <t>dvfargag</t>
  </si>
  <si>
    <t>2020/02/20 09:05:00</t>
  </si>
  <si>
    <t>帝豪GL发动机盖生锈到处生锈1.引擎盖设计不合理，排水口怼着密封条，导致雨水无法正常排出引擎盖生锈。2.车机音量过大，影响车辆起步安全。车辆点火即自动打开车载音响，且无法设置初始音量。3.车辆维修期间，如皋4S店存在私用客户维修车辆行为。</t>
  </si>
  <si>
    <t>东风标致308S油箱故障导致报警希望处理，满油情况下，激烈驾驶，会导致油箱内油串入碳罐，导致发动机报</t>
  </si>
  <si>
    <t>髯管花</t>
  </si>
  <si>
    <t>2020/02/20 09:04:00</t>
  </si>
  <si>
    <t>开完日产奇骏再换到丰田RAV4荣放  车主：差距明显导语：手握20万，开完日产奇骏，再换到丰田RAV4荣放上，车主：差距明显！车主郑先生来自浙江，从事工程装修工作，年收入在15万左右，经常要出入一些工地所以需要一台大空间、视野开阔、通过性好一点SUV，当然他的老板开的是丰田普拉多霸道级别，自己还达不</t>
  </si>
  <si>
    <t>导语：手握20万，开完日产奇骏，再换到丰田RAV4荣放上，车主：差距明显！车主郑先生来自浙江，从事工程装修工作，年收入在15万左右，经常要出入一些工地所以需要一台大空间、视野开阔、通过性好一点SUV，当然他的老板开的是丰田普拉多霸道级别，自己还达不到那种实力，所以想入手一台20万左右的皮实可靠的SU</t>
  </si>
  <si>
    <t>标致308S油箱故障是怎么回事东风标致308S油箱故障导致报警希望处理，满油情况下，激烈驾驶，会导致油箱内油串入碳罐，导致发动机报</t>
  </si>
  <si>
    <t>一、2年的车，车停楼下4天，遥控打不开车门，整车没电，搭电启动后，着车充电1个小时，行驶20公里，熄火后，车内电器正常显示，再启动就无法启动了二、2年的车，车身前机盖，后备箱盖，顶棚锈点满满，这是正常情况不？三、2年的车，原装轮胎，平时不上路牙，直走平路，原车状态就能出现轮胎偏磨的情况吗？诉求：1、</t>
  </si>
  <si>
    <t>开瑞</t>
  </si>
  <si>
    <t>2020/02/20 09:03:00</t>
  </si>
  <si>
    <t>吉利金刚的问题真是多，不是生锈就是无法启动一、2年的车，车停楼下4天，遥控打不开车门，整车没电，搭电启动后，着车充电1个小时，行驶20公里，熄火后，车内电器正常显示，再启动就无法启动了二、2年的车，车身前机盖，后备箱盖，顶棚锈点满满，这是正常情况不？三、2年的车，原装轮胎，平时不上路牙，直走平路，原</t>
  </si>
  <si>
    <t>2013款飞度后轮内衬位置出锈蚀，我在2019年的六月份发现后轮内衬位置出现锈蚀腐烂，但当时不严重并没有理会，但是今天发现锈蚀腐烂位置有愈发严重的趋势，所以希望本田官方能给个说法。</t>
  </si>
  <si>
    <t>薄荷</t>
  </si>
  <si>
    <t>2020/02/20 09:02:00</t>
  </si>
  <si>
    <t>本田飞度后轮内衬位置出现锈蚀腐烂2013款飞度后轮内衬位置出锈蚀，我在2019年的六月份发现后轮内衬位置出现锈蚀腐烂，但当时不严重并没有理会，但是今天发现锈蚀腐烂位置有愈发严重的趋势，所以希望本田官方能给个说法。</t>
  </si>
  <si>
    <t>底盘异响严重，有咯噔咯噔的声音很大，车内共振历害，去4S店检查说是一切正常，一直未解决。</t>
  </si>
  <si>
    <t>橘色</t>
  </si>
  <si>
    <t>2020/02/20 09:01:00</t>
  </si>
  <si>
    <t>宝骏560底盘异响导致车内共振声音大底盘异响严重，有咯噔咯噔的声音很大，车内共振历害，去4S店检查说是一切正常，一直未解决。</t>
  </si>
  <si>
    <t>橘色                  高级技工</t>
  </si>
  <si>
    <t>日前，丰田正式发布了一张全新小型SUV的预告图。据悉，新车将会在今年3月开幕的日内瓦车展上首发，目前代号B-SUV，与全新YARiS同采用TNGA-B平台打造。此次，丰田正式发布的是一张车尾预告图，我们大致能够看出车尾整体轮廓。新车线条设计偏硬朗，尾窗设计短促，由图中可以判断出，尾灯造型比较纤细。根</t>
  </si>
  <si>
    <t>2020/02/20 08:59:00</t>
  </si>
  <si>
    <t>代号B-SUV，日内瓦车展首发，丰田发布全新SUV预告图日前，丰田正式发布了一张全新小型SUV的预告图。据悉，新车将会在今年3月开幕的日内瓦车展上首发，目前代号B-SUV，与全新YARiS同采用TNGA-B平台打造。此次，丰田正式发布的是一张车尾预告图，我们大致能够看出车尾整体轮廓。新车线条设计偏硬</t>
  </si>
  <si>
    <t>　　日前，捷豹路虎推出了一款创新型概念车――Project Vector，目标是打造自动化、电气化、网联化的未来城市移动出行新方式。该款概念车也是实现“Destination Zero”企业愿景中最重要的一环，捷豹路虎的“Destination Zero”理念共分为三个方面，即零排放（Zero Em</t>
  </si>
  <si>
    <t>2020/02/20 08:57:00</t>
  </si>
  <si>
    <t>近日，海外媒体曝光更高性能的丰田GR 86车型最新消息，从曝光图片上看，新车对外观进行了升级，采用了全黑的包围。或将计划于明年7月首发亮相。外观方面，新车预计将在现款车型的基础上进行升级，车内仪表盘更加丰富，换档和方向盘上的红色标识特别显眼。动力方面，丰田GR 86车型将搭载一台斯巴鲁旗下的2.4T</t>
  </si>
  <si>
    <t>搭载2.4T发动机，丰田GR 86明年7月首发亮相近日，海外媒体曝光更高性能的丰田GR 86车型最新消息，从曝光图片上看，新车对外观进行了升级，采用了全黑的包围。或将计划于明年7月首发亮相。外观方面，新车预计将在现款车型的基础上进行升级，车内仪表盘更加丰富，换档和方向盘上的红色标识特别显眼。动力方面</t>
  </si>
  <si>
    <t>日前，捷豹路虎推出了一款创新型概念车——Project Vector，目标是打造自动化、电气化、网联化的未来城市移动出行新方式。该款概念车也是实现“Destination Zero”企业愿景中最重要的一环，捷豹路虎的“Destination Zero”理念共分为三个方面，即零排放（Zero Emis</t>
  </si>
  <si>
    <t>近日,我们从海外媒体获取了一组宝马6系GT中期改款车型的路试谍照。作为目前宝马仅存的GT系列车型，新车改款对外观细节进行了修改，显得更加时尚。在前脸部分，双肾格栅尺寸有望变得更大，符合宝马最新的家族风格；而在大灯部分虽然轮廓没有发生太大变化，但内部光源与现款完全不同，与最新家族风格保持一致，此外前保</t>
  </si>
  <si>
    <t>2020/02/20 08:56:00</t>
  </si>
  <si>
    <t>近日，奥迪RS 4 Avant Bronze Edition车型官图正式发布。新车基于2020款奥迪RS 4 Avant打造，主要针对外观及内饰进行了升级。据悉，新车将仅在英国市场发售，限量25台，售价82395英镑（约合人民币74.75万元）。外观方面，新车采用了黑色和金色相搭配的设计，同时，新车</t>
  </si>
  <si>
    <t>4.1秒破百！奥迪RS 4 Avant特别版官图发布近日，奥迪RS 4 Avant Bronze Edition车型官图正式发布。新车基于2020款奥迪RS 4 Avant打造，主要针对外观及内饰进行了升级。据悉，新车将仅在英国市场发售，限量25台，售价82395英镑（约合人民币74.75万元）。外</t>
  </si>
  <si>
    <t>宝马6系GT中期改款车型路试谍照曝光近日,我们从海外媒体获取了一组宝马6系GT中期改款车型的路试谍照。作为目前宝马仅存的GT系列车型，新车改款对外观细节进行了修改，显得更加时尚。在前脸部分，双肾格栅尺寸有望变得更大，符合宝马最新的家族风格；而在大灯部分虽然轮廓没有发生太大变化，但内部光源与现款完全不</t>
  </si>
  <si>
    <t>　　几天前，起亚官方正式发布了全新一代索兰托的官图，展示了新车造型设计和内饰配置。日前，又有媒体获得了全新索兰托的具体动力信息，据悉新车提供多达5种动力组合，并将首度搭载混合动力系统。　　动力方面，全新索兰托将会搭载1.6T混动系统，这套系统的综合最大输出功率达到了230马力，峰值扭矩为350牛・米</t>
  </si>
  <si>
    <t>2020/02/20 08:55:00</t>
  </si>
  <si>
    <t>我们都知道开车每年都要买车险，小编也算是一个老司机了，所以今天就跟大家讲一下自己平时买保险的一些经验，希望能够给大家一些借鉴。首先第一个，只要不是新车，如果保险要续保的话，保险到期之前都会陆续接到各大保险公司的电话，推销他们的车险，这里建议你不用太抵触，然后如果你不嫌麻烦可以留一个联系方式，以便以后</t>
  </si>
  <si>
    <t>汽车的油耗是车主们都会关心的问题，但是在你无法实际测试的情况下如何判断一款车的油耗水平呢？即便是清楚了自己爱车的油耗，那么你知道它为什么省油或者费油么？下面我将会举出一些现实的例子来为你解答油耗的难题。发动机技术大排量车更费油是很多人都会有的想法，事实上也确实如此，国家因此才会大力鼓励小排量车的消费</t>
  </si>
  <si>
    <t>几天前，起亚官方正式发布了全新一代索兰托的官图，展示了新车造型设计和内饰配置。日前，又有媒体获得了全新索兰托的具体动力信息，据悉新车提供多达5种动力组合，并将首度搭载混合动力系统。    动力方面，全新索兰托将会搭载1.6T混动系统，这套系统的综合最大输出功率达到了230马力，峰值扭矩为350牛·米</t>
  </si>
  <si>
    <t>为何费油 解析影响汽车油耗的三大因素汽车的油耗是车主们都会关心的问题，但是在你无法实际测试的情况下如何判断一款车的油耗水平呢？即便是清楚了自己爱车的油耗，那么你知道它为什么省油或者费油么？下面我将会举出一些现实的例子来为你解答油耗的难题。发动机技术大排量车更费油是很多人都会有的想法，事实上也确实如此</t>
  </si>
  <si>
    <t>掌握的车险续保技巧 新手学会不吃亏我们都知道开车每年都要买车险，小编也算是一个老司机了，所以今天就跟大家讲一下自己平时买保险的一些经验，希望能够给大家一些借鉴。首先第一个，只要不是新车，如果保险要续保的话，保险到期之前都会陆续接到各大保险公司的电话，推销他们的车险，这里建议你不用太抵触，然后如果你不</t>
  </si>
  <si>
    <t>不管是多小心的老司机，都难免会出现违章情况，因为交规中有一些很细小的规则，一旦稍不留神就会中招，而且对很多老司机而言，因为对自己车技的"自信"反而会弄巧成拙，下面就给大家说5个日常认知不深但是又会经常遇见的扣分情况。1、 逆向停车现在随着汽车保有量越来越高，车位也是越来越紧张，出门办个事找车位就是一</t>
  </si>
  <si>
    <t>2020/02/20 08:54:00</t>
  </si>
  <si>
    <t>从卤素、氙气到LED、OLED，再到激光大灯、液晶大灯等，汽车大灯在不断地进化着，但还是有人保留了最传统的卤素灯，不愿意升级，这是为什么呢？结构简单、成本低廉的卤素大灯，亮度虽然相对来说较低光线颜色偏暖黄（因此也被起了个“蜡烛灯”的外号），但它的寿命较长，穿透力也更强。在遇见雨雪、雾霾等低能见度的天</t>
  </si>
  <si>
    <t>五条冷门交规 不少老司机都有中招不管是多小心的老司机，都难免会出现违章情况，因为交规中有一些很细小的规则，一旦稍不留神就会中招，而且对很多老司机而言，因为对自己车技的"自信"反而会弄巧成拙，下面就给大家说5个日常认知不深但是又会经常遇见的扣分情况。1、 逆向停车现在随着汽车保有量越来越高，车位也是越</t>
  </si>
  <si>
    <t>卤素灯是蜡烛灯 为什么车主不愿更换从卤素、氙气到LED、OLED，再到激光大灯、液晶大灯等，汽车大灯在不断地进化着，但还是有人保留了最传统的卤素灯，不愿意升级，这是为什么呢？结构简单、成本低廉的卤素大灯，亮度虽然相对来说较低光线颜色偏暖黄（因此也被起了个“蜡烛灯”的外号），但它的寿命较长，穿透力也更</t>
  </si>
  <si>
    <t>每年的6、7月，这段时间南方的暴雨总是包月的下，雨量相当充足。车子不管是停在路边，还是地下车库，都难逃被淹的命运，车主可谓是又心疼又无奈。很多车主都有这样的疑问，车子虽然买了保险，但是在路边被淹了，保险公司会赔全款吗？自己还要出钱维修吗？首先要清楚，并不是没买涉水险得不到赔偿，要看车子被淹到哪里。如</t>
  </si>
  <si>
    <t>2020/02/20 08:53:00</t>
  </si>
  <si>
    <t>“江山代有才人出，各领风骚数百年”，这句话放在一款车上，“数百年”倒谈不上，十年八年的光景还是比较适合的。就拿上汽大众途观来说吧，2010年上市以来，就一步步登上神坛，成为国内最畅销的合资SUV，不过它这种看似稳定的地位，现在也已经被另一个后起之秀撼动，这款车就是一汽-大众探岳。今天我们就让这新老两</t>
  </si>
  <si>
    <t>前不久，现代官方发布了全新一代i20外观官图，近日又发布了新车的内饰设计草图，与外观风格相似，整体时尚、动感。此外，全新现代i20将于3月3日开幕的日内瓦车展正式首发。    从发布的设计草图来看，新车内饰整体非常时尚，最吸睛的便是贯穿整个中控台的百叶窗面板，空调出风口也隐藏于此。现代i20将配备全</t>
  </si>
  <si>
    <t>　　前不久，现代官方发布了全新一代i20外观官图，近日又发布了新车的内饰设计草图，与外观风格相似，整体时尚、动感。此外，全新现代i20将于3月3日开幕的日内瓦车展正式首发。　　从发布的设计草图来看，新车内饰整体非常时尚，最吸睛的便是贯穿整个中控台的百叶窗面板，空调出风口也隐藏于此。现代i20将配备全</t>
  </si>
  <si>
    <t>车子停路边被水淹 保险公司赔全款吗每年的6、7月，这段时间南方的暴雨总是包月的下，雨量相当充足。车子不管是停在路边，还是地下车库，都难逃被淹的命运，车主可谓是又心疼又无奈。很多车主都有这样的疑问，车子虽然买了保险，但是在路边被淹了，保险公司会赔全款吗？自己还要出钱维修吗？首先要清楚，并不是没买涉水险</t>
  </si>
  <si>
    <t>大众兄弟SUV车型，上汽大众途观L对比一汽-大众探岳！“江山代有才人出，各领风骚数百年”，这句话放在一款车上，“数百年”倒谈不上，十年八年的光景还是比较适合的。就拿上汽大众途观来说吧，2010年上市以来，就一步步登上神坛，成为国内最畅销的合资SUV，不过它这种看似稳定的地位，现在也已经被另一个后起之</t>
  </si>
  <si>
    <t>2019年度盘点：30万内最受欢迎的豪华SUV今年以来，虽然汽车大环境都不太向好，但唯有豪华品牌细分领域一枝独秀，在逆境中反而销量有增无减。在豪华品牌的车型中，销量最高的无疑是入门级别的车型了，花最少的钱能享受最大的品牌附加值，而SUV车型更是市场中的焦点车型。今天就来盘点一下，在今年内有什么30万</t>
  </si>
  <si>
    <t>2020/02/20 08:38:00</t>
  </si>
  <si>
    <t>今年以来，虽然汽车大环境都不太向好，但唯有豪华品牌细分领域一枝独秀，在逆境中反而销量有增无减。在豪华品牌的车型中，销量最高的无疑是入门级别的车型了，花最少的钱能享受最大的品牌附加值，而SUV车型更是市场中的焦点车型。今天就来盘点一下，在今年内有什么30万以内的豪华SUV入门车型值得我们关注的，其中有</t>
  </si>
  <si>
    <t>20万左右适合撩妹的四款车推荐 还有豪华品牌人靠衣装美靠靓装，小伙儿追姑娘靠汽车才能增加成功率，因为不管你个人有多么优秀，能够彰显你实力，给女生留下一个好印象的附属品还是必不可少，其中汽车就是最直接最有力的帮手。但是年轻人的财力毕竟有限，财力无限的也不用像我这样担心追不到姑娘，所以能不能推荐几款既便</t>
  </si>
  <si>
    <t>2020/02/20 08:37:00</t>
  </si>
  <si>
    <t>人靠衣装美靠靓装，小伙儿追姑娘靠汽车才能增加成功率，因为不管你个人有多么优秀，能够彰显你实力，给女生留下一个好印象的附属品还是必不可少，其中汽车就是最直接最有力的帮手。但是年轻人的财力毕竟有限，财力无限的也不用像我这样担心追不到姑娘，所以能不能推荐几款既便宜又能撩妹的车型呢？这可能是很多朋友心中的诉</t>
  </si>
  <si>
    <t>日前，爱驰汽车发布了继U5之后旗下第二款车型U6 ion的设计图。新车与U5同采用MAS平台打造。据官方消息称，新车爱驰U6 ion将会在3月日内瓦车展上首次亮相。    从目前得到的设计图来看，外观方面，新车整体风格十分激进、霸气。前脸采用封闭式格栅，前大灯经熏黑设计，整体轮廓颇具个性，顶部是LE</t>
  </si>
  <si>
    <t>2020/02/20 08:31:00</t>
  </si>
  <si>
    <t>　　日前，爱驰汽车发布了继U5之后旗下第二款车型U6 ion的设计图。新车与U5同采用MAS平台打造。据官方消息称，新车爱驰U6 ion将会在3月日内瓦车展上首次亮相。　　从目前得到的设计图来看，外观方面，新车整体风格十分激进、霸气。前脸采用封闭式格栅，前大灯经熏黑设计，整体轮廓颇具个性，顶部是LE</t>
  </si>
  <si>
    <t>自动挡SUV怎么选？看看这几款国六版SUV国产小型SUV的售价比较低，8万左右的购车预算可以选择的车型非常多，几乎囊括绝大部分的国产小型SUV。今天，购车网小编为大家推荐四款终端售价在8万左右的热销车型，其销量可以在国产小型SUV中排名前十位，配置比较丰富，都能够满足国六排放标准，且都是自动挡车型，</t>
  </si>
  <si>
    <t>好奇宝宝i</t>
  </si>
  <si>
    <t>2020/02/20 08:29:00</t>
  </si>
  <si>
    <t>国产小型SUV的售价比较低，8万左右的购车预算可以选择的车型非常多，几乎囊括绝大部分的国产小型SUV。今天，购车网小编为大家推荐四款终端售价在8万左右的热销车型，其销量可以在国产小型SUV中排名前十位，配置比较丰富，都能够满足国六排放标准，且都是自动挡车型，购车预算在8万左右希望购买自动挡SUV的朋</t>
  </si>
  <si>
    <t>13万即可拥有大空间 这三款旅行车值得你选空间是绝大多数消费者中最为看重的，一来是希望能有个宽敞舒适的乘坐环境，二是希望有个大容量的后备箱可以承载着一家人日常所需的物品等，无论是长途自驾旅行还是回乡见父老乡亲都不会担心储物空间的问题。那么今天笔者就推荐3款15万左右的旅行车。这三款车型分别是一汽-大</t>
  </si>
  <si>
    <t>2020/02/20 08:28:00</t>
  </si>
  <si>
    <t>空间是绝大多数消费者中最为看重的，一来是希望能有个宽敞舒适的乘坐环境，二是希望有个大容量的后备箱可以承载着一家人日常所需的物品等，无论是长途自驾旅行还是回乡见父老乡亲都不会担心储物空间的问题。那么今天笔者就推荐3款15万左右的旅行车。这三款车型分别是一汽-大众蔚领、斯柯达明锐旅行版和别克阅朗，这三款</t>
  </si>
  <si>
    <t>我的车四千多公里，昨天发现发动机故障灯亮了，现在在老家，打电话给4S店他叫我开去再检查，想问下还能跑高速吗？</t>
  </si>
  <si>
    <t>2020/02/20 08:26:09</t>
  </si>
  <si>
    <t>2020/02/20 08:22:47</t>
  </si>
  <si>
    <t>投诉编号：【447841】
投诉时间： 2020-02-20 05:14
投诉品牌： 广汽菲克Jeep
投诉车系： 指南者
投诉车型： 2017款 200T 自动 家享四驱版</t>
  </si>
  <si>
    <t>投诉编号：【447842】  投诉时间： 2020-02-20 08:22  投诉品牌： 吉利汽车  投诉车系： 帝豪GL  投诉车型： 2017款 1.8L 手动 精英型        投诉内容  1.引擎盖设计不合理，排水口怼着密封条，导致雨水无法正常排出引擎盖生锈。2.车机音量过大，影响车辆起</t>
  </si>
  <si>
    <t>2020/02/20 08:22:00</t>
  </si>
  <si>
    <t>日前，有外媒拍到了一组全新一代保时捷911 Turbo S的无伪实车谍照，新车整体外观与此前曝光的测试车保持一致，而该车也将在3月份举办的日内瓦车展上正式首发。    外观方面，通过曝光的无伪谍照不难看出，新车在整体设计上以现款911为基础进行打造。不过，作为一款性能车型，该车前杠进气格栅采用了更大</t>
  </si>
  <si>
    <t>2020/02/20 08:20:00</t>
  </si>
  <si>
    <t>　　日前，有外媒拍到了一组全新一代保时捷911 Turbo S的无伪实车谍照，新车整体外观与此前曝光的测试车保持一致，而该车也将在3月份举办的日内瓦车展上正式首发。　　外观方面，通过曝光的无伪谍照不难看出，新车在整体设计上以现款911为基础进行打造。不过，作为一款性能车型，该车前杠进气格栅采用了更大</t>
  </si>
  <si>
    <t>19年5月份提的车那段时间开着挺好也没注意，到现在疫情严重封路了就把车放在车库里了，也没碰到也没擦到！前几天上库取东西用眼睛一扫怎么俩侧缝隙不一样大呢？比提车时候大多了！咋回事呢？</t>
  </si>
  <si>
    <t>2020/02/20 08:14:38</t>
  </si>
  <si>
    <t>故障码p0300，怠速下发动机抖动，检测一缸压力为6，其余都是9以上。</t>
  </si>
  <si>
    <t>2020/02/20 08:10:28</t>
  </si>
  <si>
    <t>博瑞mhev车型怎么样，耐用性与油耗值得买吗，另外1.5t的雅阁召回后失速问题还有吗？</t>
  </si>
  <si>
    <t>想咨询下星途TXL这个车的发动机质量，底盘问题，总体这个车质量好不好？</t>
  </si>
  <si>
    <t>2020/02/20 08:06:56</t>
  </si>
  <si>
    <t>哈弗H6 Coupe除导航系统版本比较老旧，其它方面的质量稳定性如何？</t>
  </si>
  <si>
    <t>2020/02/20 08:06:55</t>
  </si>
  <si>
    <t>东南V3自动挡变速箱故障，失速。看到有一样的案例，但是都没有写处理结果。能不能看一下处理结果。</t>
  </si>
  <si>
    <t>你好请问现在在瑞虎八手动精英值得入手吗？都有哪些问题，现在大概优惠多少！</t>
  </si>
  <si>
    <t>别克君威混动，与君越混动的耐用性怎么样，比较蒙迪欧混动哪个更适合买？</t>
  </si>
  <si>
    <t>2020/02/20 08:06:54</t>
  </si>
  <si>
    <t>丰田奕泽的三大件质量稳定吗？这款车值得购买吗？</t>
  </si>
  <si>
    <t>老师还想问一下，他们提供了书面报告，下一步我该怎么办？</t>
  </si>
  <si>
    <t>日前，编辑从相关渠道获得了西雅特El-Born量产版谍照，新车基于大众MEB平台打造而来，同时还是大众ID.3的孪生车型。据悉，新车将在日内瓦车展首发。此前发布的西雅特El-Born效果图    结合此前的效果图来看，新车前脸采用了封闭式设计且造型非常尖锐，搭配下部的蜂窝格栅，彰显运动气息。此外，新</t>
  </si>
  <si>
    <t>2020/02/20 08:05:00</t>
  </si>
  <si>
    <t>　　日前，编辑从相关渠道获得了西雅特El-Born量产版谍照，新车基于大众MEB平台打造而来，同时还是大众ID.3的孪生车型。据悉，新车将在日内瓦车展首发。此前发布的西雅特El-Born效果图　　结合此前的效果图来看，新车前脸采用了封闭式设计且造型非常尖锐，搭配下部的蜂窝格栅，彰显运动气息。此外，新</t>
  </si>
  <si>
    <t>新车使用不到一年，行驶里程7000公里，每次停超过5天，车子就启动不了，该怎么办？</t>
  </si>
  <si>
    <t>2020/02/20 07:59:18</t>
  </si>
  <si>
    <t>你好，更换车辆的发动机需要的价格是多少？</t>
  </si>
  <si>
    <t>车子跑颠簸路面有异响，4S店回复属于正常现象，该怎么办？</t>
  </si>
  <si>
    <t>2020/02/20 07:59:17</t>
  </si>
  <si>
    <t>低配版的18款朗逸PLUS，换了个原装的中控屏以后汽车熄火拔点烟器usb接口一直都有有电是怎么回事？</t>
  </si>
  <si>
    <t>　　日前，海外媒体曝光了一组大众Arteon（国内为大众CC）的R性能版车型低伪谍照，新车将基于改款大众Arteon打造，并搭载3.0T发动机，最大马力将超过400Ps。据悉，该车或将于今年年底亮相。　　从此次曝光的谍照来看，大众Arteon R将基于改款后的大众Arteon打造，针对全车灯组以及轮</t>
  </si>
  <si>
    <t>2020/02/20 07:47:00</t>
  </si>
  <si>
    <t>日前，海外媒体曝光了一组大众Arteon（国内为大众CC）的R性能版车型低伪谍照，新车将基于改款大众Arteon打造，并搭载3.0T发动机，最大马力将超过400Ps。据悉，该车或将于今年年底亮相。    从此次曝光的谍照来看，大众Arteon R将基于改款后的大众Arteon打造，针对全车灯组以及轮</t>
  </si>
  <si>
    <t>　　不管是老司机还是新手，如何能显得自己驾驶经验丰富，自当离不开见面问候一句“你这车几个油啊？”这句话看似表面上是问候车辆的节油性能，实则更深层的意思是反映驾驶者的经验水准，如果驾驶技术丰富，车辆平均油耗水平自然较低。但在我们日常驾驶中，如果不改掉这些坏习惯，永远别指望开出“低油耗”！　　1、长时间</t>
  </si>
  <si>
    <t>2020/02/20 07:10:00</t>
  </si>
  <si>
    <t>　　购买二手车虽然对消费者而言是最为实惠的选择，但总会令人有所顾虑，担心会选到事故车、泡水车、大修车等问题车辆。实际上，相比于实体性贬值（有形损耗），二手车综合分析法中提到的“原车制造质量”因素，却往往被人忽略。此外，二手车的车源情况、价格走势以召回与否同样也是判断一款二手车是否值得购买的重要因素。</t>
  </si>
  <si>
    <t>不管是老司机还是新手，如何能显得自己驾驶经验丰富，自当离不开见面问候一句“你这车几个油啊？”这句话看似表面上是问候车辆的节油性能，实则更深层的意思是反映驾驶者的经验水准，如果驾驶技术丰富，车辆平均油耗水平自然较低。但在我们日常驾驶中，如果不改掉这些坏习惯，永远别指望开出“低油耗”！    1、长时间</t>
  </si>
  <si>
    <t>购买二手车虽然对消费者而言是最为实惠的选择，但总会令人有所顾虑，担心会选到事故车、泡水车、大修车等问题车辆。实际上，相比于实体性贬值（有形损耗），二手车综合分析法中提到的“原车制造质量”因素，却往往被人忽略。此外，二手车的车源情况、价格走势以召回与否同样也是判断一款二手车是否值得购买的重要因素。作为</t>
  </si>
  <si>
    <t>2020/02/20 01:23:52</t>
  </si>
  <si>
    <t>投诉编号：【447840】
投诉时间： 2020-02-20 00:37
投诉品牌： 上汽通用凯迪拉克
投诉车系： 凯迪拉克ATS-L
投诉车型： 2017款 28T 技术型</t>
  </si>
  <si>
    <t>2020/02/19 23:59:59</t>
  </si>
  <si>
    <t>投诉编号：【447833】
投诉时间： 2020-02-19 22:41
投诉品牌： 上汽通用别克
投诉车系： 英朗
投诉车型： 2010款 1.8 自动 时尚型 GT</t>
  </si>
  <si>
    <t>投诉编号：【447837】
投诉时间： 2020-02-19 23:56
投诉品牌： 一汽丰田
投诉车系： RAV4荣放
投诉车型： 2019款 2.0L CVT 两驱 先锋版 国VI</t>
  </si>
  <si>
    <t>投诉编号：【447838】  投诉时间： 2020-02-19 23:59  投诉品牌： 东风标致  投诉车系： 标致308S  投诉车型： 2015款 1.2T 自动 劲驰版        投诉内容  东风标致308S油箱故障导致报警希望处理，满油情况下，激烈驾驶，会导致油箱内油串入碳罐，导致发动</t>
  </si>
  <si>
    <t>2020/02/19 23:59:00</t>
  </si>
  <si>
    <t>2020/02/19 23:17:05</t>
  </si>
  <si>
    <t>投诉编号：【447831】
投诉时间： 2020-02-19 22:06
投诉品牌： 广汽本田
投诉车系： 飞度
投诉车型： 2011款 飞度 1.3 MT 舒适版</t>
  </si>
  <si>
    <t>投诉编号：【447832】  投诉时间： 2020-02-19 22:31  投诉品牌： 上汽通用五菱  投诉车系： 宝骏560  投诉车型： 2016款 1.8L 智能 手动版 精英型        投诉内容  底盘异响严重，有咯噔咯噔的声音很大，车内共振历害，去4S店检查说是一切正常，一直未解决</t>
  </si>
  <si>
    <t>2020/02/19 22:31:00</t>
  </si>
  <si>
    <t>2020/02/19 22:00:07</t>
  </si>
  <si>
    <t>投诉编号：【447826】
投诉时间： 2020-02-19 20:54
投诉品牌： 上汽通用别克
投诉车系： 英朗
投诉车型： 2017款 15N 手动 精英型</t>
  </si>
  <si>
    <t>2020/02/19 21:41:15</t>
  </si>
  <si>
    <t>投诉编号：【447830】
投诉时间： 2020-02-19 21:34
投诉品牌： 一汽-大众
投诉车系： 速腾
投诉车型： 2018款 280TSI DSG熠动版</t>
  </si>
  <si>
    <t>投诉编号：【447829】  投诉时间： 2020-02-19 21:15  投诉品牌： 东风日产  投诉车系： 玛驰  投诉车型： 2010款 1.5L 手动 易炫版        投诉内容  一下雨后备箱就漏水进来，备胎坑积水严重。      投诉回复  车质网已将您的投诉转给生产企业以及国家市</t>
  </si>
  <si>
    <t>2020/02/19 21:15:00</t>
  </si>
  <si>
    <t>投诉编号：【447828】  投诉时间： 2020-02-19 21:12  投诉品牌： 吉利汽车  投诉车系： 金刚  投诉车型： 2016款 1.5L 手动 进取型 国V        投诉内容  一、2年的车，车停楼下4天，遥控打不开车门，整车没电，搭电启动后，着车充电1个小时，行驶20公里，</t>
  </si>
  <si>
    <t>2020/02/19 21:12:00</t>
  </si>
  <si>
    <t>2020/02/19 21:00:02</t>
  </si>
  <si>
    <t>投诉编号：【447825】
投诉时间： 2020-02-19 20:29
投诉品牌： 上汽大众
投诉车系： 帕萨特
投诉车型： 2019款 330TSI 精英版 国V</t>
  </si>
  <si>
    <t>2020/02/19 20:21:55</t>
  </si>
  <si>
    <t>投诉编号：【447819】
投诉时间： 2020-02-19 19:37
投诉品牌： 广汽本田
投诉车系： 冠道
投诉车型： 2019款 240TURBO 两驱 豪华版</t>
  </si>
  <si>
    <t>2020/02/19 20:21:45</t>
  </si>
  <si>
    <t>投诉编号：【447818】
投诉时间： 2020-02-19 19:33
投诉品牌： 上汽通用别克
投诉车系： 英朗
投诉车型： 2018款 18T 自动 旗舰型</t>
  </si>
  <si>
    <t xml:space="preserve">投诉编号：【447817】  投诉时间： 2020-02-19 19:15  投诉品牌： 华晨宝马  投诉车系： 宝马X1  投诉车型： 2018款 xDrive20Li 尊享型        投诉内容  感觉制动距离长，4S店检查发现刹车片磨损过多，车辆才行驶27000公里。      投诉回复 </t>
  </si>
  <si>
    <t>2020/02/19 19:15:00</t>
  </si>
  <si>
    <t>投诉编号：【447813】  投诉时间： 2020-02-19 18:48  投诉品牌： 一汽丰田  投诉车系： RAV4荣放  投诉车型： 2019款 2.0L CVT 两驱 风尚X 限量版 国V        投诉内容  行驶过程中不升挡，加油也一直保持在20～30迈左右，发动机报警灯常亮，倒车</t>
  </si>
  <si>
    <t>2020/02/19 18:48:00</t>
  </si>
  <si>
    <t>身居魔都的人都知道限号之痛，有什么要紧事，内环跑不了是真的麻烦。看到和我一起上班的魔都本地人也买了辆新能源车，可见这摇号实在是太麻烦了。所以毫不犹豫得，我和我老婆趁着去年年底前，买了辆帕萨特的新能源，也算是得偿所愿了。车子外观其实和汽油版相差不大，流动韵律的外观设计，无论是前脸的格栅造型，还是内嵌在</t>
  </si>
  <si>
    <t>峨卜浠癷</t>
  </si>
  <si>
    <t>2020/02/19 18:40:00</t>
  </si>
  <si>
    <t>帕萨特新能源用车小结身居魔都的人都知道限号之痛，有什么要紧事，内环跑不了是真的麻烦。看到和我一起上班的魔都本地人也买了辆新能源车，可见这摇号实在是太麻烦了。所以毫不犹豫得，我和我老婆趁着去年年底前，买了辆帕萨特的新能源，也算是得偿所愿了。车子外观其实和汽油版相差不大，流动韵律的外观设计，无论是前脸的</t>
  </si>
  <si>
    <t>跟随心意 最后选择了自己喜欢的帕萨特经历这次买车的整个过程，终于懂了一个道理：买车就要买自己喜欢的，别人给的建议再多，最多也只是个参考。毕竟买来自己开的，自己喜欢的车买回家开得也开心。这也是我下定决心入手帕萨特的原因。当时听到我买帕萨特的人也有一部分问我为啥不买迈腾。虽然说是兄弟车型，迈腾和帕萨特确</t>
  </si>
  <si>
    <t>2020/02/19 18:39:00</t>
  </si>
  <si>
    <t>经历这次买车的整个过程，终于懂了一个道理：买车就要买自己喜欢的，别人给的建议再多，最多也只是个参考。毕竟买来自己开的，自己喜欢的车买回家开得也开心。这也是我下定决心入手帕萨特的原因。当时听到我买帕萨特的人也有一部分问我为啥不买迈腾。虽然说是兄弟车型，迈腾和帕萨特确实差了很多，一个就是空间，空间帕萨特</t>
  </si>
  <si>
    <t>一万多公里的迈腾，买了开开其实还行，毕竟也算是比较原汁原味的德国车。当时买它的时候，在它和它的兄弟车型帕萨特里面纠结。都说帕萨特适合商用，迈腾适合家用，我感觉确实有那么一点意思。现在我家那辆小迈腾，开出去接客户确实有点拿不出手了，毕竟现在的车都挺与时俱进的，外观改进得都是比较时尚运动。所以总感觉我那</t>
  </si>
  <si>
    <t>2020/02/19 18:37:00</t>
  </si>
  <si>
    <t>车主上线 客观说说迈腾的优缺点一万多公里的迈腾，买了开开其实还行，毕竟也算是比较原汁原味的德国车。当时买它的时候，在它和它的兄弟车型帕萨特里面纠结。都说帕萨特适合商用，迈腾适合家用，我感觉确实有那么一点意思。现在我家那辆小迈腾，开出去接客户确实有点拿不出手了，毕竟现在的车都挺与时俱进的，外观改进得都</t>
  </si>
  <si>
    <t>正因为我们的收入来之不易，深知这其中的艰辛，所以在我有购车意向的时候，我们就看了很多车型，也对比了很多车型，所以，在最后选择帕萨特肯定是我经过了深思熟虑后的决定，毕竟这对于我们工薪层来说这也算是一个大事吧，不是买一件衣服，不喜欢了就可以扔，这是一动就有可能是我们一整年甚至更多努力的劳动成果，所以，我</t>
  </si>
  <si>
    <t>2020/02/19 18:36:00</t>
  </si>
  <si>
    <t>看帕萨特老司机谈2019款帕萨特用车感受正因为我们的收入来之不易，深知这其中的艰辛，所以在我有购车意向的时候，我们就看了很多车型，也对比了很多车型，所以，在最后选择帕萨特肯定是我经过了深思熟虑后的决定，毕竟这对于我们工薪层来说这也算是一个大事吧，不是买一件衣服，不喜欢了就可以扔，这是一动就有可能是我</t>
  </si>
  <si>
    <t>帕萨特到底好不好 看看六个月老车主的说法帕萨特给人的第一印象就是他的高颜值，溜背设计让车身看起来更流畅了，瓦楞式中网装饰的前脸看起来也更加立体了，内饰采用大量的亮面装饰材料覆盖，空调格栅设计很长，看起来就感觉很大气。总之新款在我心里面就是历代帕萨特的颜值巅峰，让我从内心叹服！当然，看车不能只看外表，</t>
  </si>
  <si>
    <t>2020/02/19 18:35:00</t>
  </si>
  <si>
    <t>帕萨特给人的第一印象就是他的高颜值，溜背设计让车身看起来更流畅了，瓦楞式中网装饰的前脸看起来也更加立体了，内饰采用大量的亮面装饰材料覆盖，空调格栅设计很长，看起来就感觉很大气。总之新款在我心里面就是历代帕萨特的颜值巅峰，让我从内心叹服！当然，看车不能只看外表，虽然咱们是外貌协会的，但实际的内在才是最</t>
  </si>
  <si>
    <t>长安欧尚的引擎盖打不开，到底是什么原因？</t>
  </si>
  <si>
    <t>2020/02/19 18:33:32</t>
  </si>
  <si>
    <t>说到帕萨特，也许大家已经不算陌生了，随着时间的考验，我的帕萨特跟着我已经足足1年有余，目前的行驶里程已经快到一万三千公里了。都说女人是外貌协会的，我想说没错，我第一次被帕萨特吸引就是因为他的颜值，超长的轴距和侧面流线型的线条，整个车身看起来特别舒展。刚开始提到帕萨特的时候，自己还在担心，这么大这么长</t>
  </si>
  <si>
    <t>2020/02/19 18:32:00</t>
  </si>
  <si>
    <t>做个晒车狂魔 因为爱所以爱说到帕萨特，也许大家已经不算陌生了，随着时间的考验，我的帕萨特跟着我已经足足1年有余，目前的行驶里程已经快到一万三千公里了。都说女人是外貌协会的，我想说没错，我第一次被帕萨特吸引就是因为他的颜值，超长的轴距和侧面流线型的线条，整个车身看起来特别舒展。刚开始提到帕萨特的时候，</t>
  </si>
  <si>
    <t>　　2月17日，由中华环保联合会归口管理，由中华环保联合会车内环保专业委员会提出，国家室内车内环境及环保产品质量监督检验中心、国室车环(北京)环境监测中心等单位共同参与的《全国室内车内环境消毒杀菌服务能力评价规范》《快速测温消杀多功能疫情防控系统技术规范》等两项团体标准制定工作在联合会领导的高度重视</t>
  </si>
  <si>
    <t>2020/02/19 18:27:00</t>
  </si>
  <si>
    <t>投诉编号：【447810】  投诉时间： 2020-02-19 18:20  投诉品牌： 上汽大众  投诉车系： 帕萨特  投诉车型： 2019款 330TSI 尊贵版 VI        投诉内容  A柱强度不够，起步加油门大前轮胎的位置砰砰的响，前悬挂异响。      投诉回复  车质网已将您的</t>
  </si>
  <si>
    <t>2020/02/19 18:20:00</t>
  </si>
  <si>
    <t xml:space="preserve">投诉编号：【447808】  投诉时间： 2020-02-19 18:10  投诉品牌： 上汽集团  投诉车系： 荣威350  投诉车型： 2014款 1.5L 手动 迅驰版 350S        投诉内容  发动机缺缸打不着火，国产垃圾。才跑了60000多公里，现在要我自己花钱维修。      </t>
  </si>
  <si>
    <t>2020/02/19 18:10:00</t>
  </si>
  <si>
    <t>投诉编号：【447805】投诉时间：2020-02-1917:56投诉品牌：广汽菲克菲亚特投诉车系：菲翔投诉车型：2012款1.4T自动尊享版投诉内容在无任何人为因素及事故前提下。菲翔12款尊享版自带蓝牙模块无法连接使用（无法蓝牙音乐播放，无法启动车载免提通话功能），行车里程表一直闪烁，直接影响行车</t>
  </si>
  <si>
    <t>2020/02/19 17:56:00</t>
  </si>
  <si>
    <t>投诉编号：【447806】  投诉时间： 2020-02-19 17:56  投诉品牌： 长安汽车  投诉车系： 睿骋  投诉车型： 2017款 1.5T 智享版 尊悦型        投诉内容  长安睿骋胎压监测故障灯报警，联系4S店不给质保（购买的是二手车）说是通过系统查询不到相关车辆信息，说我</t>
  </si>
  <si>
    <t>投诉编号：【447803】投诉时间：2020-02-1917:54投诉品牌：吉利汽车投诉车系：远景X3投诉车型：2017款1.5L自动精英型投诉内容2018年9月24日在4s店买的吉利远景x3自动精英版，裸车57900贷款分期买的，当初买时就问还款一段时间后可不可以一次性还清，销售说还款半年后就可以</t>
  </si>
  <si>
    <t>2020/02/19 17:54:00</t>
  </si>
  <si>
    <t>投诉编号：【447802】投诉时间：2020-02-1917:53投诉品牌：上汽大众投诉车系：帕萨特投诉车型：2019款330TSI精英版国VI投诉内容中保研25%正面碰撞测试A柱严重变形，说明A柱强度严重不足。方向盘位移过大，安全气囊无法起到保护驾驶员的作用。请上汽大众给广大车主一个说法，召回，退</t>
  </si>
  <si>
    <t>2020/02/19 17:53:00</t>
  </si>
  <si>
    <t>帕萨特早期车主小表用车心得感受我的帕萨特用了一年多了，而我作为新帕萨特早期车主来说，这近一年有帕萨特的日子纵有诸多感慨！新帕萨特是在2018年的10月底亮相的，其实早在车子还没正式上市的时候我就已经关注了，后来4S店有实车就直接预约了试驾，随后就直接订车。新帕萨特吸引我的主要是外观和丰富的配置，跟老</t>
  </si>
  <si>
    <t>2020/02/19 17:51:00</t>
  </si>
  <si>
    <t>我的帕萨特用了一年多了，而我作为新帕萨特早期车主来说，这近一年有帕萨特的日子纵有诸多感慨！新帕萨特是在2018年的10月底亮相的，其实早在车子还没正式上市的时候我就已经关注了，后来4S店有实车就直接预约了试驾，随后就直接订车。新帕萨特吸引我的主要是外观和丰富的配置，跟老款相比，新款车身更低也更长了，</t>
  </si>
  <si>
    <t>说说帕萨特的一些使用小技巧爱车行驶1万公里，刚上五位数，就想来跟大家分享一下。这车还是很不错的车，不任从空间和外观、驾驶操控、动力提速还是售后保养，都让人觉得很好，特别很多人性化的设计，更是让人用到舒心。我基于使用的感受来盘点一下这些人性化设计吧。第一：灯光。帕萨特不仅是全LED灯光，还特别人性化，</t>
  </si>
  <si>
    <t>2020/02/19 17:49:00</t>
  </si>
  <si>
    <t>爱车行驶1万公里，刚上五位数，就想来跟大家分享一下。这车还是很不错的车，不任从空间和外观、驾驶操控、动力提速还是售后保养，都让人觉得很好，特别很多人性化的设计，更是让人用到舒心。我基于使用的感受来盘点一下这些人性化设计吧。第一：灯光。帕萨特不仅是全LED灯光，还特别人性化，自己能根据环境变化自己开启</t>
  </si>
  <si>
    <t>新帕萨特提车4个月咯 第一次感觉德系这么省油人生第一辆车是14款1.6L 6AT自动挡桑塔纳，用了5年了，除了日常保养，一次电池无电和磕磕碰碰的原因之外，基本没有大问题。可能是先入为主吧，有了桑塔纳使用经验，对大众还是比较信任的。买车毕竟也不是小事，自己考察过本田的雅阁、个头很大的凯美瑞，还有日产的</t>
  </si>
  <si>
    <t>2020/02/19 17:43:00</t>
  </si>
  <si>
    <t>人生第一辆车是14款1.6L 6AT自动挡桑塔纳，用了5年了，除了日常保养，一次电池无电和磕磕碰碰的原因之外，基本没有大问题。可能是先入为主吧，有了桑塔纳使用经验，对大众还是比较信任的。买车毕竟也不是小事，自己考察过本田的雅阁、个头很大的凯美瑞，还有日产的新天籁，当然还有新款帕萨特。天籁坐起来真心的</t>
  </si>
  <si>
    <t>投诉编号：【447798】  投诉时间： 2020-02-19 17:41  投诉品牌： 上汽大众  投诉车系： 帕萨特  投诉车型： 2019款 380TSI 豪华版 VI        投诉内容  中保研25%正面碰撞测试A柱严重变形，说明A柱强度严重不足。方向盘位移过大，安全气囊无法起到保护驾</t>
  </si>
  <si>
    <t>2020/02/19 17:41:00</t>
  </si>
  <si>
    <t>投诉编号：【447797】  投诉时间： 2020-02-19 17:38  投诉品牌： 东风日产  投诉车系： 轩逸  投诉车型： 2016款 1.6XV CVT 智享版        投诉内容  东风日产轩逸方向跑偏减震器漏油，从17年反馈问题，厂家和专营店一直不解决问题，拖拉。每次都是车主自己</t>
  </si>
  <si>
    <t>2020/02/19 17:38:00</t>
  </si>
  <si>
    <t>投诉编号：【447796】  投诉时间： 2020-02-19 17:37  投诉品牌： 上汽集团  投诉车系： 名爵6新能源  投诉车型： 2018款 45T E-DRIVE智驱混动 PILOT超级互联网版        投诉内容  2018年9月份购车，在2019年9月初出现汽车打不着火现象，交</t>
  </si>
  <si>
    <t>2020/02/19 17:37:00</t>
  </si>
  <si>
    <t>投诉编号：【447795】  投诉时间： 2020-02-19 17:35  投诉品牌： 上汽大众  投诉车系： 帕萨特  投诉车型： 2019款 330TSI 尊贵版 VI        投诉内容  中保研25%正面碰撞测试A柱严重变形，说明A柱强度严重不足。方向盘位移过大，安全气囊无法起到保护驾</t>
  </si>
  <si>
    <t>2020/02/19 17:35:00</t>
  </si>
  <si>
    <t>投诉编号：【447794】  投诉时间： 2020-02-19 17:33  投诉品牌： 领克汽车  投诉车系： 领克03  投诉车型： 2018款 1.5TD DCT 劲版        投诉内容  领克03使用的固特异轮胎开裂，尤其是前轮特别严重，存在质量问题，希望厂家处理。      投诉回复</t>
  </si>
  <si>
    <t>2020/02/19 17:33:00</t>
  </si>
  <si>
    <t>投诉编号：【447793】投诉时间：2020-02-1917:28投诉品牌：华晨宝马投诉车系：宝马3系投诉车型：2020款325Li首发版投诉内容华晨宝马3系仪表提示有故障灯亮，变速箱掉挡，无法继续再加速，联系了经销商告知属于变速箱阀体的问题，但是质疑的是不到半个月，就出现这样的情况，因此要求退换车</t>
  </si>
  <si>
    <t>2020/02/19 17:28:00</t>
  </si>
  <si>
    <t>投诉编号：【447792】  投诉时间： 2020-02-19 17:20  投诉品牌： 华晨中华  投诉车系： 中华H230  投诉车型： 2012款 1.5L 手动 舒适型        投诉内容  华晨中华H230车辆OBD系统无法与验车厂检测仪链接，导致无法验车。      投诉回复  车质</t>
  </si>
  <si>
    <t>2020/02/19 17:20:00</t>
  </si>
  <si>
    <t>投诉编号：【447791】投诉时间：2020-02-1917:19投诉品牌：一汽-大众投诉车系：捷达投诉车型：2019款1.5L手动时尚型梦想版投诉内容保养后发动机机油液位明显下降，4S店没有详细检查就说是正常的，我这个车不是涡轮增压的发动机为什么会有机油消耗？希望厂家给予解释。投诉回复车质网已将您</t>
  </si>
  <si>
    <t>2020/02/19 17:19:00</t>
  </si>
  <si>
    <t>投诉编号：【447790】  投诉时间： 2020-02-19 17:15  投诉品牌： 上汽通用五菱  投诉车系： 五菱宏光  投诉车型： 2015款 1.2L 基本型 S 国V        投诉内容  车身抖动后熄火，过一会还是抖动后熄火，而且发动机故障灯灯还亮了。      投诉回复  车质</t>
  </si>
  <si>
    <t>2020/02/19 17:15:00</t>
  </si>
  <si>
    <t>老师您好，上边提出的问题，我一直再与4s店进行沟通，他们反复说这是正常现象，没问题，我真不知道该怎么办了，起初我的想法也是我问题给我处理好了就行。</t>
  </si>
  <si>
    <t>2020/02/19 17:12:55</t>
  </si>
  <si>
    <t>名爵2020款ZS挂倒挡异响是什么原因？</t>
  </si>
  <si>
    <t>2020/02/19 17:05:51</t>
  </si>
  <si>
    <t>投诉编号：【447787】  投诉时间： 2020-02-19 16:52  投诉品牌： 吉利汽车  投诉车系： 嘉际新能源  投诉车型： 2019款 1.5TD PHEV 尊享型        投诉内容  在广州市内道路行驶，在速度4o公里的情况下，发现轮胎漏气，经检测发现内轮毂有裂痕导致漏气，可</t>
  </si>
  <si>
    <t>2020/02/19 16:52:00</t>
  </si>
  <si>
    <t>投诉编号：【447784】  投诉时间： 2020-02-19 16:46  投诉品牌： 上汽集团  投诉车系： 名爵ZS  投诉车型： 2020款 260TGI 自动 Trophy Pro L2+        投诉内容  上汽名爵ZS中控触摸屏黑屏，由于病毒原因没有到汽车修理厂，现在不知道该怎么</t>
  </si>
  <si>
    <t>2020/02/19 16:46:00</t>
  </si>
  <si>
    <t>2020/02/19 16:43:43</t>
  </si>
  <si>
    <t>投诉编号：【447776】
投诉时间： 2020-02-19 16:13
投诉品牌： 北京现代
投诉车系： 现代ix35
投诉车型： 2013款 2.0L 自动 两驱 智能型GLS 国IV</t>
  </si>
  <si>
    <t>投诉编号：【447782】  投诉时间： 2020-02-19 16:42  投诉品牌： 上汽集团  投诉车系： 名爵HS  投诉车型： 2018款 20T 自动 两驱 荷尔蒙劲取版 国V        投诉内容  上汽名爵HS新车购买几个月内电瓶亏电两次，导致车辆无法启动，售后检测说属正常，问题尚</t>
  </si>
  <si>
    <t>2020/02/19 16:42:00</t>
  </si>
  <si>
    <t>投诉编号：【447781】投诉时间：2020-02-1916:42投诉品牌：奔驰（进口）投诉车系：奔驰GLE投诉车型：2020款GLE3504MATIC时尚型改款投诉内容本人提车时间是2020年1月16日，2月17日仪表盘发动机故障灯亮起，车辆加速不顺畅。2月19日上海利星奔驰维修中心检测提示变速箱</t>
  </si>
  <si>
    <t>09年奔腾B50自动挡变速箱锁五挡，挂挡冲击大怎么处理？</t>
  </si>
  <si>
    <t>2020/02/19 16:41:35</t>
  </si>
  <si>
    <t>投诉编号：【447780】  投诉时间： 2020-02-19 16:38  投诉品牌： 一汽-大众  投诉车系： 速腾  投诉车型： 2015款 230TSI  自动 舒适型        投诉内容  车刚刚过质保期离合器就损坏，4S店说是进水造成飞轮生锈的问题，打开以后离合器铸承损坏还让我花费1</t>
  </si>
  <si>
    <t>2020/02/19 16:38:00</t>
  </si>
  <si>
    <t>绅宝x35手动豪华版老是出ESP故障码，怎么样解决？</t>
  </si>
  <si>
    <t>2020/02/19 16:37:48</t>
  </si>
  <si>
    <t>一眨眼，尘埃落定。2019年最后一个月的汽车销量统计，已经出炉；2019年度中国乘用车年销量2069.8万辆，同比下降7.4%，已成定局；2019年，也已定格成为永远的过去式。不过，令人惊讶而欣慰的是，在这个被悲观论调所笼罩的市场里，仍然有自信者竭尽全力，向上拼搏；也仍然有出人意料的5款SUV新车型</t>
  </si>
  <si>
    <t>2020/02/19 16:37:00</t>
  </si>
  <si>
    <t>2020年国内车市将充满很多不确定，至少整个上半年的汽车销量可能都会有较大的影响。尽管如此，各个品牌计划在今年引入国内的车型依然会如期到来，而计划购车的用户正好也可以先等一等，后续还会有多款新车将会登陆国内市场。首先我们先来看看今年豪华品牌市场比较值得等一等的新车。奥迪A4L奥迪今年内在国内至少会有</t>
  </si>
  <si>
    <t>什么车值得等先看看这些豪华品牌2020年国内车市将充满很多不确定，至少整个上半年的汽车销量可能都会有较大的影响。尽管如此，各个品牌计划在今年引入国内的车型依然会如期到来，而计划购车的用户正好也可以先等一等，后续还会有多款新车将会登陆国内市场。首先我们先来看看今年豪华品牌市场比较值得等一等的新车。奥迪</t>
  </si>
  <si>
    <t>2019年，最让人意想不到的五款SUV一眨眼，尘埃落定。2019年最后一个月的汽车销量统计，已经出炉；2019年度中国乘用车年销量2069.8万辆，同比下降7.4%，已成定局；2019年，也已定格成为永远的过去式。不过，令人惊讶而欣慰的是，在这个被悲观论调所笼罩的市场里，仍然有自信者竭尽全力，向上拼</t>
  </si>
  <si>
    <t>投诉编号：【447779】  投诉时间： 2020-02-19 16:37  投诉品牌： 庆铃  投诉车系： 庆铃100P轻卡  投诉车型： 4.2仓栏式货车        投诉内容  庆铃100P最高行驶20迈售后一直未解决，庆铃100P同一个问题出现5次多售后不积极，希望厂家可以安排工作人员尽快</t>
  </si>
  <si>
    <t>丰田在中国绝对是一个低调的品牌，也打造了不少销量神话，例如销量前三位置的卡罗拉，不愁卖的凯美瑞，又甚至是要加价提车的埃尔法…以及是我们这次要介绍的汉兰达。在我们还在加价提车的时候，海外版本已经实现了换代，并且在芝加哥车展上正式发布了其运动版本车型——全新汉兰达XSE。所以，这会是一辆怎样的车型呢？凶</t>
  </si>
  <si>
    <t>2020/02/19 16:36:00</t>
  </si>
  <si>
    <t>日前，网通社从官方获悉，广汽丰田威兰达将于2月28日正式上市并公布售价，新车将提供2.0L汽油、2.5L双擎混动两种动力规格，并采用两驱和四驱形式。根据车型不同，威兰达全系共有领先版、豪华版、科技版以及尊贵版4种规格。目前，广汽丰田威兰达已开启预售，全系车型预售价格区间为17.00-25.00万元。</t>
  </si>
  <si>
    <t>预售订单火爆！这款全新SUV将于月底发售日前，网通社从官方获悉，广汽丰田威兰达将于2月28日正式上市并公布售价，新车将提供2.0L汽油、2.5L双擎混动两种动力规格，并采用两驱和四驱形式。根据车型不同，威兰达全系共有领先版、豪华版、科技版以及尊贵版4种规格。目前，广汽丰田威兰达已开启预售，全系车型预</t>
  </si>
  <si>
    <t>七座SUV之王出全新版本，这得加多少万？丰田在中国绝对是一个低调的品牌，也打造了不少销量神话，例如销量前三位置的卡罗拉，不愁卖的凯美瑞，又甚至是要加价提车的埃尔法…以及是我们这次要介绍的汉兰达。在我们还在加价提车的时候，海外版本已经实现了换代，并且在芝加哥车展上正式发布了其运动版本车型——全新汉兰达</t>
  </si>
  <si>
    <t>买车，皮实耐用一直是人们考虑的重点之一。最怕那种新车没买多久，磨合期刚过，就伴随着各种小毛病。车作为人们不惜下重本的代步工作，自然是车子多省心，车主就多开心啦！今天，我来盘点4款超耐用的车型，老车主不服来辩！一起来看看吧。本田飞度十万级小型车推荐，飞度必须拥有名分。1.5L地球梦发动机排量不大，动力</t>
  </si>
  <si>
    <t>2020/02/19 16:35:00</t>
  </si>
  <si>
    <t>开不坏的车才是真的牛！这四款车皮实耐造买车，皮实耐用一直是人们考虑的重点之一。最怕那种新车没买多久，磨合期刚过，就伴随着各种小毛病。车作为人们不惜下重本的代步工作，自然是车子多省心，车主就多开心啦！今天，我来盘点4款超耐用的车型，老车主不服来辩！一起来看看吧。本田飞度十万级小型车推荐，飞度必须拥有名</t>
  </si>
  <si>
    <t>在汽车行业放发展起来的时候，大家一提到国产汽车，大部分第一反应都是摇头，仿佛多数国产车在口碑上、质量上、外观上都不是那么出色，甚至一言难尽。那么这么多年过去了，国产车的格局还是这样吗？答案是，士别三日，应刮目相看之。如今的国产汽车甚至在国际上都有很高的市场占有率。比如我们熟悉的国产汽车奇瑞，相信大家</t>
  </si>
  <si>
    <t>2020/02/19 16:34:00</t>
  </si>
  <si>
    <t>你眼中不行的国产车，靠出口挣了老外近千亿在汽车行业放发展起来的时候，大家一提到国产汽车，大部分第一反应都是摇头，仿佛多数国产车在口碑上、质量上、外观上都不是那么出色，甚至一言难尽。那么这么多年过去了，国产车的格局还是这样吗？答案是，士别三日，应刮目相看之。如今的国产汽车甚至在国际上都有很高的市场占有</t>
  </si>
  <si>
    <t>车辆保养不当会加速汽车损坏你知道吗？针对不当的车辆保养行为，下面小编简单总结了几点，希望大家看完之后可以有所收获！1、暴晒后给爱车洗凉水澡车辆被暴晒后，有的车主会给爱车冲凉水澡，认为这样能让车辆迅速降温。但是，之后你很快就会发现：冲凉之后，爱车会立马歇菜。因为，爱车经过暴晒后，车漆表面和发动机的温度</t>
  </si>
  <si>
    <t>2020/02/19 16:29:00</t>
  </si>
  <si>
    <t>针对不当的车辆保养行为，下面小编简单总结了几点，希望大家看完之后可以有所收获！1、暴晒后给爱车洗凉水澡车辆被暴晒后，有的车主会给爱车冲凉水澡，认为这样能让车辆迅速降温。但是，之后你很快就会发现：冲凉之后，爱车会立马歇菜。因为，爱车经过暴晒后，车漆表面和发动机的温度都很高，热胀冷缩会使车漆寿命缩短，渐</t>
  </si>
  <si>
    <t>投诉编号：【447775】  投诉时间： 2020-02-19 16:13  投诉品牌： 上汽斯柯达  投诉车系： 速派  投诉车型： 2018款 TSI330 DSG 舒适版 国VI        投诉内容  17年1月份购买的斯柯达速派，去年12份出现变速故障灯亮，到4s店去检测时故障灯不亮了开</t>
  </si>
  <si>
    <t>2020/02/19 16:13:00</t>
  </si>
  <si>
    <t>投诉编号：【447774】  投诉时间： 2020-02-19 16:09  投诉品牌： 长安标致雪铁龙DS  投诉车系： DS6  投诉车型： 2014款 1.6T 尊享版THP200        投诉内容  高压油泵损坏，车辆抖动，加速无力，发动机故障灯亮，仪表不能正确指示，启动后风扇强制运行</t>
  </si>
  <si>
    <t>2020/02/19 16:09:00</t>
  </si>
  <si>
    <t>投诉编号：【447772】  投诉时间： 2020-02-19 15:48  投诉品牌： 上汽通用五菱  投诉车系： 宝骏560  投诉车型： 2017款 1.8L AMT 智能尊享型 律动版        投诉内容  宝骏560发动机漏油，冷车起步抖动，发动机漏机油，冷车起步全车抖动，热车正常。希</t>
  </si>
  <si>
    <t>2020/02/19 15:48:00</t>
  </si>
  <si>
    <t>长安逸动XT 1.5涡轮增压版，有消息什么时候上市吗？</t>
  </si>
  <si>
    <t>2020/02/19 15:36:13</t>
  </si>
  <si>
    <t>投诉编号：【447768】  投诉时间： 2020-02-19 15:33  投诉品牌： 一汽-大众  投诉车系： 速腾  投诉车型： 2019款 200TSI 手动 舒适型 国VI        投诉内容  1挡起步和倒车半离合状态，不踩油门发动机转速自动升到1800到2000转，堵车时非常危险，</t>
  </si>
  <si>
    <t>2020/02/19 15:33:00</t>
  </si>
  <si>
    <t>热车后怠速抖动，起步有轻微动力不足的现象是什么原因？</t>
  </si>
  <si>
    <t>2020/02/19 15:27:21</t>
  </si>
  <si>
    <t>看之前宝来传奇代号DCF发动机敲缸，现在发动机换了DLF，和朗逸一款发动机还有敲缸现象吗？是否可以购买！</t>
  </si>
  <si>
    <t>2020/02/19 15:24:03</t>
  </si>
  <si>
    <t>中华H230去验车OBD无法连接中华H230去验车OBD无法连接</t>
  </si>
  <si>
    <t>星培</t>
  </si>
  <si>
    <t>2020/02/19 15:22:00</t>
  </si>
  <si>
    <t>中华H230去验车OBD无法连接</t>
  </si>
  <si>
    <t>电瓶没电了，打算在网上买一个汽车应急启动电源，不知道有没有用，网上评论有人说有用，也有人说没用，有没有哪位买过或者用过的。</t>
  </si>
  <si>
    <t>2020/02/19 15:19:30</t>
  </si>
  <si>
    <t>我看之前很多说宝来DCF代号发动机敲缸，现在宝来传奇用的代号DLF发动机，还有敲缸现象吗？</t>
  </si>
  <si>
    <t>投诉编号：【447766】投诉时间：2020-02-1915:18投诉品牌：吉利汽车投诉车系：远景投诉车型：2019款升级版1.5L手动豪华型国VI投诉内容车辆出现十次电池没电了，年前去了两次甘肃省吉利4s店，去检测完说没有问题，这过年这段时间都出现七八次没电了，找4s店说没办法，厂家客服说反馈也没</t>
  </si>
  <si>
    <t>2020/02/19 15:18:00</t>
  </si>
  <si>
    <t>投诉编号：【447764】  投诉时间： 2020-02-19 15:07  投诉品牌： 一汽-大众奥迪  投诉车系： 奥迪Q3  投诉车型： 2018款 30 TFSI 时尚型典藏版        投诉内容  新车开了12800公里，高压油泵异响，声音很大。4s店工作人员说这是奥迪1.4t通病，所</t>
  </si>
  <si>
    <t>2020/02/19 15:07:00</t>
  </si>
  <si>
    <t>投诉编号：【447763】  投诉时间： 2020-02-19 15:04  投诉品牌： 长安马自达  投诉车系： 马自达3 昂克赛拉  投诉车型： 2017款 三厢 1.5L 自动 舒适型 国VI        投诉内容  第一次亮灯是在2018年一万多公里就出现了，后来自行灭了。现在2020年二</t>
  </si>
  <si>
    <t>2020/02/19 15:04:00</t>
  </si>
  <si>
    <t xml:space="preserve">投诉编号：【447762】  投诉时间： 2020-02-19 14:57  投诉品牌： 一汽-大众  投诉车系： 探岳  投诉车型： 2019款 330TSI 两驱 豪华型 国V        投诉内容  变速箱换挡异响，上坡加速无力，发动机冷车启动转速回落的时候有异常响声，希望厂家处理。    </t>
  </si>
  <si>
    <t>2020/02/19 14:57:00</t>
  </si>
  <si>
    <t>投诉编号：【447760】  投诉时间： 2020-02-19 14:46  投诉品牌： 广汽丰田  投诉车系： 雷凌  投诉车型： 2017款 185T 手动 精英版 国V 改款        投诉内容  开了一年多就出现发动机抖动，后来去了几次4s店，说是得清洗节气门，清洗完还是抖动，后来4s店</t>
  </si>
  <si>
    <t>2020/02/19 14:46:00</t>
  </si>
  <si>
    <t>投诉编号：【447757】  投诉时间： 2020-02-19 14:28  投诉品牌： 一汽-大众  投诉车系： 速腾  投诉车型： 2019款 200TSI DSG 舒适型 国VI        投诉内容  一汽大众速腾天窗车门以及中控台异响，中控台异响次数较少，自购置回来就发现偶尔有异响，自从</t>
  </si>
  <si>
    <t>2020/02/19 14:28:00</t>
  </si>
  <si>
    <t>投诉编号：【447756】  投诉时间： 2020-02-19 14:27  投诉品牌： 一汽-大众  投诉车系： 速腾  投诉车型： 2018款 280TSI DSG熠动版        投诉内容  4条韩泰原车轮胎都出现裂纹龟裂，车是18年8月份买的，轮胎是18年6月份生产的，车买来一年半行驶了</t>
  </si>
  <si>
    <t>2020/02/19 14:27:00</t>
  </si>
  <si>
    <t>2020/02/19 14:25:06</t>
  </si>
  <si>
    <t>投诉编号：【447755】
投诉时间： 2020-02-19 14:25
投诉品牌： 上汽通用别克
投诉车系： 英朗
投诉车型： 2018款 15T 双离合 精英型</t>
  </si>
  <si>
    <t>2020/02/19 14:24:36</t>
  </si>
  <si>
    <t>投诉编号：【447753】
投诉时间： 2020-02-19 14:06
投诉品牌： 上汽大众
投诉车系： 帕萨特
投诉车型： 2019款 280TSI 精英版 国VI</t>
  </si>
  <si>
    <t>发动机故障灯亮，发动机抖动怎么回事？</t>
  </si>
  <si>
    <t>2020/02/19 13:59:57</t>
  </si>
  <si>
    <t>你好我问一下A系怎么样，麻烦你推荐一下与A系排列的车，谢谢。</t>
  </si>
  <si>
    <t>2020/02/19 13:57:15</t>
  </si>
  <si>
    <t>投诉编号：【447751】  投诉时间： 2020-02-19 13:39  投诉品牌： 广汽丰田  投诉车系： 雷凌  投诉车型： 2019款 185T CVT 豪华版 国VI        投诉内容  多数车友反应，汽车发动机舱内前轮位置左右侧会因为密封问题引起发动机舱内进泥水，希望厂家尽快处理</t>
  </si>
  <si>
    <t>2020/02/19 13:39:00</t>
  </si>
  <si>
    <t>新车放置4、5天没电打不着火正常吗？</t>
  </si>
  <si>
    <t>2020/02/19 13:29:30</t>
  </si>
  <si>
    <t>舒适、便捷、实用，人们对房车自驾游的要求越来越高，不仅仅意味着对拥有高品质旅行生活的追求，更是一种信念和执着。那么带着豪华的复式洋楼自驾游是一种什么样的体验？今天小美就为大家介绍一款能带来超级豪华、超级舒适、超级实用的旅行体验的房车产品，它特立独行的双层设计，让人仿佛置身于会移动的双层复式洋楼之中，</t>
  </si>
  <si>
    <t>2020/02/19 13:26:00</t>
  </si>
  <si>
    <t>空间超大/性能超优的国产越野房车 你值得一看舒适、便捷、实用，人们对房车自驾游的要求越来越高，不仅仅意味着对拥有高品质旅行生活的追求，更是一种信念和执着。那么带着豪华的复式洋楼自驾游是一种什么样的体验？今天小美就为大家介绍一款能带来超级豪华、超级舒适、超级实用的旅行体验的房车产品，它特立独行的双层设</t>
  </si>
  <si>
    <t>投诉编号：【447749】  投诉时间： 2020-02-19 13:25  投诉品牌： 长城汽车  投诉车系： 哈弗H6 Coupe  投诉车型： 2018款 1.5T 自动 两驱 超豪型 蓝标        投诉内容  购车后发现自动启停功能时而工作时而不工作。由于不清楚其工作逻辑，未能重视。近</t>
  </si>
  <si>
    <t>2020/02/19 13:25:00</t>
  </si>
  <si>
    <t>投诉编号：【447747】  投诉时间： 2020-02-19 13:17  投诉品牌： 东风日产  投诉车系： 骐达TIIDA  投诉车型： 2019款 1.6L 手动 乐动版 国Ⅵ        投诉内容  发动机机油增多：该车是新车，我在提车的时候（2019年6月）看了机油，过了最低刻度刻度线</t>
  </si>
  <si>
    <t>2020/02/19 13:17:00</t>
  </si>
  <si>
    <t>投诉编号：【447746】投诉时间：2020-02-1913:14投诉品牌：上汽大通投诉车系：上汽MAXUSG20投诉车型：2020款2.0T自动豪华版国VI投诉内容新车买回来就一直出现GPF满载故障码，去4S店刷新也没好，每天都出现，现在又出现过载，高速行驶就下去，停车在启动就又出来，现在过载不敢</t>
  </si>
  <si>
    <t>2020/02/19 13:14:00</t>
  </si>
  <si>
    <t>投诉编号：【447745】  投诉时间： 2020-02-19 13:10  投诉品牌： 一汽丰田  投诉车系： RAV4荣放  投诉车型： 2020款 2.0L CVT 两驱 风尚版        投诉内容  新车买来才行驶3400公里就爆胎。我一般走高速和省道，没有走烂路。今天走高速好好的，突然</t>
  </si>
  <si>
    <t>2020/02/19 13:10:00</t>
  </si>
  <si>
    <t>专家你好，我想咨询一下，手动变速箱与AT自动变速箱哪个质量更加可靠，维护起来方便省钱，国产品牌与合资品牌10万左右的轿车哪一款故障低，质量稳定，销量最高？</t>
  </si>
  <si>
    <t>2020/02/19 13:01:52</t>
  </si>
  <si>
    <t>某汽车维修店内场景：“哥，刚才后边维修师傅检查了一遍，您这个车需要清洗一下油路，费用是XX元。如果不清洗的话会……喷油嘴会……如果出了问题我们……”    当工作人员对您说出这样一段话时，相信很多车主心里想的都是：他在说什么?算了反正不太懂车，还是清吧，不怕一万就怕万一啊……于是掏出了几张“红色毛爷</t>
  </si>
  <si>
    <t>2020/02/19 13:01:00</t>
  </si>
  <si>
    <t>　　某汽车维修店内场景：“哥，刚才后边维修师傅检查了一遍，您这个车需要清洗一下油路，费用是XX元。如果不清洗的话会……喷油嘴会……如果出了问题我们……”　　当工作人员对您说出这样一段话时，相信很多车主心里想的都是：他在说什么?算了反正不太懂车，还是清吧，不怕一万就怕万一啊……于是掏出了几张“红色毛爷</t>
  </si>
  <si>
    <t>徐彬桓</t>
  </si>
  <si>
    <t>雨刮器是我们雨雪天气行车安全的重要保证，因此我们要细心的选购与保养汽车雨刮器，这样才是对我们自己与爱车负责，下面为大家分享一些汽车雨刮器的挑选窍门和一些养护办法。    一、确认雨刮器连接方式以及规格    支杆连接雨刮摇臂，有的支臂是用螺钉固定到摇臂上，有些则是用凸扣锁死。车辆使用的雨刮器型号可参</t>
  </si>
  <si>
    <t>2020/02/19 13:00:00</t>
  </si>
  <si>
    <t>　　雨刮器是我们雨雪天气行车安全的重要保证，因此我们要细心的选购与保养汽车雨刮器，这样才是对我们自己与爱车负责，下面为大家分享一些汽车雨刮器的挑选窍门和一些养护办法。　　一、确认雨刮器连接方式以及规格　　支杆连接雨刮摇臂，有的支臂是用螺钉固定到摇臂上，有些则是用凸扣锁死。车辆使用的雨刮器型号可参考随</t>
  </si>
  <si>
    <t>广汽传祺GS4和长安cs75plus哪个后期问题少？省心值得购买？</t>
  </si>
  <si>
    <t>2020/02/19 12:58:19</t>
  </si>
  <si>
    <t>很多人都觉得北方的冬季不好过，不仅冷，而且很干，典型的风干物燥。不仅人会觉得冷，对于我们的爱车而言更是如此，比如我们车辆上的各种油液，它们其实对于季节的变化比我们还要“敏感”，如果关注不到位的话，很可能会让你的冬季用车体验大打折扣，甚至更糟，比如打不着车、或者把你扔路上都是有可能的。所以，为了避免这</t>
  </si>
  <si>
    <t>2020/02/19 12:56:00</t>
  </si>
  <si>
    <t>　　很多人都觉得北方的冬季不好过，不仅冷，而且很干，典型的风干物燥。不仅人会觉得冷，对于我们的爱车而言更是如此，比如我们车辆上的各种油液，它们其实对于季节的变化比我们还要“敏感”，如果关注不到位的话，很可能会让你的冬季用车体验大打折扣，甚至更糟，比如打不着车、或者把你扔路上都是有可能的。所以，为了避</t>
  </si>
  <si>
    <t>新款速腾，一千多公里变速箱就开始异响了，尤其是堵车的时候，去过4s店，他们电脑检测不出问题来，告诉我说正常，异响是双离合的特性，我试过同款的宝来，朗逸，都没有这种情况，现在跑了一万多公里了声音越来越响，而且倒挡也会有咔咔的声响，这种情况是不是电脑检测不出来就属于正常？为什么双离合的特性只在我车上有，</t>
  </si>
  <si>
    <t>2020/02/19 12:54:21</t>
  </si>
  <si>
    <t>近日，我们从外媒获悉，丰田内部人员曝光了丰田和雷克萨斯部分产品未来的投放计划，其中涉及多款车型，涵盖广泛的细分市场。在轿车方面，我们熟知的凯美瑞、亚洲龙等轿车产品都将迎来升级。此外，被车迷津津乐道的丰田86等运动车型也将进行性能提升。    首先，下一代丰田86（brz）预计会在2021年7月推出，</t>
  </si>
  <si>
    <t>2020/02/19 12:54:00</t>
  </si>
  <si>
    <t>　　近日，我们从外媒获悉，丰田内部人员曝光了丰田和雷克萨斯部分产品未来的投放计划，其中涉及多款车型，涵盖广泛的细分市场。在轿车方面，我们熟知的凯美瑞、亚洲龙等轿车产品都将迎来升级。此外，被车迷津津乐道的丰田86等运动车型也将进行性能提升。　　首先，下一代丰田86（brz）预计会在2021年7月推出，</t>
  </si>
  <si>
    <t>投诉编号：【447744】  投诉时间： 2020-02-19 12:52  投诉品牌： 吉利汽车  投诉车系： 博瑞  投诉车型： 2018款 1.8T 尊尚智领版        投诉内容  质量问题令人担忧，一年维修两次发动机，上一次是更换气门室盖总成，车身部件多个更换，刹车异响至今未解决，4s</t>
  </si>
  <si>
    <t>2020/02/19 12:52:00</t>
  </si>
  <si>
    <t>日前，我们从外媒获悉，宝马将为3系新增三款新车型，均为插电混动版本，分别是330e touring、330e xdrive以及330e touring xdrive，这三款车型将于今年三月的日内瓦车展正式亮相。    据了解，新增的三款车型均配备2.0l四缸发动机，并采用宝马的twinpower t</t>
  </si>
  <si>
    <t>2020/02/19 12:51:00</t>
  </si>
  <si>
    <t>　　日前，我们从外媒获悉，宝马将为3系新增三款新车型，均为插电混动版本，分别是330e touring、330e xdrive以及330e touring xdrive，这三款车型将于今年三月的日内瓦车展正式亮相。　　据了解，新增的三款车型均配备2.0l四缸发动机，并采用宝马的twinpower t</t>
  </si>
  <si>
    <t>近日，博格华纳宣布其双流道涡轮增压器已被宝马采用，将适配于3.0l直列六缸汽油发动机。该款发动机广泛应用于宝马乘用车，采用新增压器后可提供250kw、500n·m和280kw、550n·m两种性能选择。    提起直列六缸发动机，人们不由自主地会想到宝马，一是宝马“直六”有着近百年历史，二是近些年，</t>
  </si>
  <si>
    <t>2020/02/19 12:50:00</t>
  </si>
  <si>
    <t>　　近日，博格华纳宣布其双流道涡轮增压器已被宝马采用，将适配于3.0l直列六缸汽油发动机。该款发动机广泛应用于宝马乘用车，采用新增压器后可提供250kw、500n・m和280kw、550n・m两种性能选择。　　提起直列六缸发动机，人们不由自主地会想到宝马，一是宝马“直六”有着近百年历史，二是近些年，</t>
  </si>
  <si>
    <t>日前据外媒报道，欧宝将在2021年重返日本市场，将通过进口的方式向日本市场出售包括corsa-e、grandland x phev、ombo life的电动版等车型在内的新能源车型。上图依次为欧宝corsa-e、grandland x phev    据悉，该品牌将在日本主要城市建立经销商网络，目标</t>
  </si>
  <si>
    <t>2020/02/19 12:47:00</t>
  </si>
  <si>
    <t>　　日前据外媒报道，欧宝将在2021年重返日本市场，将通过进口的方式向日本市场出售包括corsa-e、grandland x phev、ombo life的电动版等车型在内的新能源车型。上图依次为欧宝corsa-e、grandland x phev　　据悉，该品牌将在日本主要城市建立经销商网络，目标</t>
  </si>
  <si>
    <t>近日，有媒体从相关渠道获悉，雷克萨斯全球总裁佐藤浩二(kojisato)在接受海外媒体采访时透露，雷克萨斯将于今年秋季推出搭载l2级别自动驾驶的新车型，并具备ota整车升级功能。同时，外媒消息称雷克萨斯未来将重点发展纯电动等新能源车型。    此前，雷克萨斯在2019东京车展上全球首发了电动概念车l</t>
  </si>
  <si>
    <t>2020/02/19 12:46:00</t>
  </si>
  <si>
    <t>　　近日，有媒体从相关渠道获悉，雷克萨斯全球总裁佐藤浩二(kojisato)在接受海外媒体采访时透露，雷克萨斯将于今年秋季推出搭载l2级别自动驾驶的新车型，并具备ota整车升级功能。同时，外媒消息称雷克萨斯未来将重点发展纯电动等新能源车型。　　此前，雷克萨斯在2019东京车展上全球首发了电动概念车l</t>
  </si>
  <si>
    <t>自日产和italdesign（世界领先的汽车设计公司）合作推出gt-r50以来已经有将近两年的时间。日前，我们从海外媒体获悉，首款量产版日产gt-r50将在2020年日内瓦车展上首发亮相。    gt-r50全球限量仅50台，配备一台3.8升v6双涡轮增压发动机，最大功率530 kw。新车税前价格为</t>
  </si>
  <si>
    <t>2020/02/19 12:45:00</t>
  </si>
  <si>
    <t>　　自日产和italdesign（世界领先的汽车设计公司）合作推出gt-r50以来已经有将近两年的时间。日前，我们从海外媒体获悉，首款量产版日产gt-r50将在2020年日内瓦车展上首发亮相。　　gt-r50全球限量仅50台，配备一台3.8升v6双涡轮增压发动机，最大功率530 kw。新车税前价格为</t>
  </si>
  <si>
    <t>日前，有媒体从相关渠道获悉，奔腾c105将在今年第二季度上市。新车属于奔腾旗下e系列产品，基于fme纯电动平台打造，定位于一款纯电动中型suv，轴距为2810mm。此外，奔腾c105在nedc工况下续航里程为450km。    外观方面，一汽奔腾c105采用了最新的设计语言，整体造型非常动感霸气。细</t>
  </si>
  <si>
    <t>2020/02/19 12:41:00</t>
  </si>
  <si>
    <t>　　日前，有媒体从相关渠道获悉，奔腾c105将在今年第二季度上市。新车属于奔腾旗下e系列产品，基于fme纯电动平台打造，定位于一款纯电动中型suv，轴距为2810mm。此外，奔腾c105在nedc工况下续航里程为450km。　　外观方面，一汽奔腾c105采用了最新的设计语言，整体造型非常动感霸气。细</t>
  </si>
  <si>
    <t>日前，有媒体从相关渠道获得了新款上汽大众朗逸纯电的部分参数信息。新款朗逸纯电依旧搭载一台最大功率为100kw（136ps），最大扭矩为290nm的电动机，但nedc续航里程有所提升，从此前的278km提升到了346km。配图均为现款车型    外观部分，预计新款朗逸纯电将和现款车型保持一致，继续采用</t>
  </si>
  <si>
    <t>2020/02/19 12:40:00</t>
  </si>
  <si>
    <t>　　日前，有媒体从相关渠道获得了新款上汽大众朗逸纯电的部分参数信息。新款朗逸纯电依旧搭载一台最大功率为100kw（136ps），最大扭矩为290nm的电动机，但nedc续航里程有所提升，从此前的278km提升到了346km。配图均为现款车型　　外观部分，预计新款朗逸纯电将和现款车型保持一致，继续采用</t>
  </si>
  <si>
    <t>　　疫情突袭，相信很多网友已经开始思考转变交通出行方式，这也就意味着许多新手司机即将“上路”。这其中，就包含了不少新手女司机。其实，女司机本不可怕，可怕的是新手女司机，因为在她们刚开始驾驶的时候，或多或少都会产生一些紧张情绪，往往容易忽略一些细节，稍不注意，很可能就会带来非常严重的后果。所以，今天我</t>
  </si>
  <si>
    <t>2020/02/19 12:36:00</t>
  </si>
  <si>
    <t>疫情突袭，相信很多网友已经开始思考转变交通出行方式，这也就意味着许多新手司机即将“上路”。这其中，就包含了不少新手女司机。其实，女司机本不可怕，可怕的是新手女司机，因为在她们刚开始驾驶的时候，或多或少都会产生一些紧张情绪，往往容易忽略一些细节，稍不注意，很可能就会带来非常严重的后果。所以，今天我们就</t>
  </si>
  <si>
    <t>　　很多人对电影中的彩蛋非常感兴趣，电影彩蛋源自西方复活节找彩蛋的游戏，寓意为“惊喜”（Surprise）。近年来电影制片方常在电影中加入一些小趣味的情节、或在电影的字幕后放上一段为电影续集埋下伏笔的片段。　　就如星巴克的隐藏菜单，总能带给人惊喜，或许这就是生活中所需要的仪式感吧。其实，在你我平时驾</t>
  </si>
  <si>
    <t>2020/02/19 12:34:00</t>
  </si>
  <si>
    <t>很多人对电影中的彩蛋非常感兴趣，电影彩蛋源自西方复活节找彩蛋的游戏，寓意为“惊喜”（Surprise）。近年来电影制片方常在电影中加入一些小趣味的情节、或在电影的字幕后放上一段为电影续集埋下伏笔的片段。    就如星巴克的隐藏菜单，总能带给人惊喜，或许这就是生活中所需要的仪式感吧。其实，在你我平时驾</t>
  </si>
  <si>
    <t>作为梅赛德斯-奔驰旗下的一款热门suv车型，gle于2015年引入国内销售，其市场热度也要高于宝马x5、奥迪q7等车型，而gle coupe轿跑版suv车型，也更是受到了诸多拥有个性需求车主们的喜爱。目前更高性能的奔驰gle 63 s coupe车型官图现已发布，新车对外观以及动力部分进行了升级优化</t>
  </si>
  <si>
    <t>2020/02/19 12:33:00</t>
  </si>
  <si>
    <t>　　作为梅赛德斯-奔驰旗下的一款热门suv车型，gle于2015年引入国内销售，其市场热度也要高于宝马x5、奥迪q7等车型，而gle coupe轿跑版suv车型，也更是受到了诸多拥有个性需求车主们的喜爱。目前更高性能的奔驰gle 63 s coupe车型官图现已发布，新车对外观以及动力部分进行了升级</t>
  </si>
  <si>
    <t>投诉编号：【447743】  投诉时间： 2020-02-19 12:32  投诉品牌： 郑州日产  投诉车系： 途达  投诉车型： 2020款 2.5L 自动 四驱 旗舰版        投诉内容  郑州日产途达停放一天后无法启动，车辆停放一天，打火无反应，喇叭不响。希望厂家可以安排工作人员尽快解</t>
  </si>
  <si>
    <t>2020/02/19 12:32:00</t>
  </si>
  <si>
    <t>投诉编号：【447742】投诉时间：2020-02-1912:06投诉品牌：东风日产投诉车系：天籁投诉车型：2020款2.0LXLUpper智行版投诉内容自动刹车，莫名启动APP互联无法使用，车机死机，导航死机。投诉回复车质网已将您的投诉转给生产企业以及国家市场监督管理总局缺陷产品管理中心，我们将会</t>
  </si>
  <si>
    <t>2020/02/19 12:06:00</t>
  </si>
  <si>
    <t>投诉编号：【447741】  投诉时间： 2020-02-19 11:52  投诉品牌： 东风日产  投诉车系： 骐达TIIDA  投诉车型： 2016款 1.6L CVT 酷动版        投诉内容  车是2017年买的，才开了15000公里。变速箱从去年起只要加油门就有呼啸声。一开始声音小现</t>
  </si>
  <si>
    <t>2020/02/19 11:52:00</t>
  </si>
  <si>
    <t>第三代C5 2017款2019款都只有国五版，为什么没有国六版？生产线停产了吗？是否意味着现售是库存车甚至很长时间以前的库存车？</t>
  </si>
  <si>
    <t>2020/02/19 11:45:20</t>
  </si>
  <si>
    <t>广汽和长安的车的质量和技术哪个好点？他们旗下的车哪个值得购买？尤其推荐哪款？求助专家解答。</t>
  </si>
  <si>
    <t>2020/02/19 11:40:44</t>
  </si>
  <si>
    <t>丰田亚洲龙是一款定位略高于自家兄弟凯美瑞的车型，凭借着夸张的外观、出色的驾驶表现以及平易近人的价格受到不少消费者的追捧。近日，有海外媒体曝光了一款丰田亚洲龙赛道版宽体套件车型，结合其本来就十分夸张的前脸造型，整车风格更凸显出凶悍的一面。    外观方面，新车很好的保留了亚洲龙的原始设计理念，前脸进行</t>
  </si>
  <si>
    <t>2020/02/19 11:40:00</t>
  </si>
  <si>
    <t>　　丰田亚洲龙是一款定位略高于自家兄弟凯美瑞的车型，凭借着夸张的外观、出色的驾驶表现以及平易近人的价格受到不少消费者的追捧。近日，有海外媒体曝光了一款丰田亚洲龙赛道版宽体套件车型，结合其本来就十分夸张的前脸造型，整车风格更凸显出凶悍的一面。　　外观方面，新车很好的保留了亚洲龙的原始设计理念，前脸进行</t>
  </si>
  <si>
    <t>投诉编号：【447739】  投诉时间： 2020-02-19 11:38  投诉品牌： 上汽大众  投诉车系： 途观  投诉车型： 2012款 1.8TSI 自动 两驱 风尚版        投诉内容  我在2014年初保养的时候发现发动机下盖有轻微渗油问题，师傅说问题不大，都有这个情况，当时以为</t>
  </si>
  <si>
    <t>2020/02/19 11:38:00</t>
  </si>
  <si>
    <t>在这几年的B级车细分市场中，大众迈腾和本田雅阁一直在轮流称王，前些年是迈腾，这两年是雅阁。虽然十代雅阁刚上市的时候，大家对它都是有所吐槽，说是大号的思域模样，但是不可否认的是十代雅阁确实变得更帅更运动了，在2019年后它的销量一升再升，直指B级车销冠的宝座。而曾经的销冠迈腾终于坐不住了，由于这一代的</t>
  </si>
  <si>
    <t>老头来说话</t>
  </si>
  <si>
    <t>2020/02/19 11:28:00</t>
  </si>
  <si>
    <t>首先带来的是传奇跑车86的消息。此前，丰田和斯巴鲁已确认第二代86计划于2021年7月投放北美上市，并冠以2022年款发售。不过，内部消息表明，这款后轮驱动双门轿跑或将推出性能版“gr 86”，搭载最大功率约255马力的涡轮增压发动机，同时内饰选用更好的材料改进质感。    全球最佳中级车之一的凯美</t>
  </si>
  <si>
    <t>强强对决！迈腾 VS 雅阁，谁才是“B级车之王”？在这几年的B级车细分市场中，大众迈腾和本田雅阁一直在轮流称王，前些年是迈腾，这两年是雅阁。虽然十代雅阁刚上市的时候，大家对它都是有所吐槽，说是大号的思域模样，但是不可否认的是十代雅阁确实变得更帅更运动了，在2019年后它的销量一升再升，直指B级车销冠</t>
  </si>
  <si>
    <t>　　首先带来的是传奇跑车86的消息。此前，丰田和斯巴鲁已确认第二代86计划于2021年7月投放北美上市，并冠以2022年款发售。不过，内部消息表明，这款后轮驱动双门轿跑或将推出性能版“gr 86”，搭载最大功率约255马力的涡轮增压发动机，同时内饰选用更好的材料改进质感。　　全球最佳中级车之一的凯美</t>
  </si>
  <si>
    <t>奥迪在我国一直都是豪华品牌BBA之一，从最早的官车形象慢慢地走向大众，而且衍生出许多跨界车型，但是如果说运动车型那肯定要属A5和A7莫属了，不过A7由于换代没多久，价格居高不上，普通老百姓根本享受不了，所以A5也成为了许多年轻运动爱好者的选择。奥迪A5有两门版和四门版，有人说四门版车型出了个无框车门</t>
  </si>
  <si>
    <t>2020/02/19 11:27:00</t>
  </si>
  <si>
    <t>奥迪四门A5不如买A4？这篇文章告诉你，奥迪A5到底是个什么存在奥迪在我国一直都是豪华品牌BBA之一，从最早的官车形象慢慢地走向大众，而且衍生出许多跨界车型，但是如果说运动车型那肯定要属A5和A7莫属了，不过A7由于换代没多久，价格居高不上，普通老百姓根本享受不了，所以A5也成为了许多年轻运动爱好者</t>
  </si>
  <si>
    <t>不知不觉，这时间的指针步入了2020年，各大汽车品牌也开始了针对鼠年市场展开了布局，今天就来聊聊将于第一季度上市的车型。吉利icon2019年广州车展上吉利icon正式亮相，虽然没有正式公布售价，但吉利官方开启了该车首发限量2020辆的"银河限量版"，仅用15分17秒就被抢购一空，可见吉利icon的</t>
  </si>
  <si>
    <t>2020/02/19 11:26:00</t>
  </si>
  <si>
    <t>日前，日产宣布纳瓦拉（Navara）在欧洲市场推出新款N-Guard车型，内外略有改进，增加了豪华感。实际上，纳瓦拉N-Guard是该皮卡车型的顶级版本，其外观内饰与普通版有一定区别。据了解，该版本并未引入国内销售，目前国内在售的为普通版。    外观方面，新款日产纳瓦拉N-Guard可以提供四种外</t>
  </si>
  <si>
    <t>2020年第一季度即将上市的新车，就属这几款最值得等待了不知不觉，这时间的指针步入了2020年，各大汽车品牌也开始了针对鼠年市场展开了布局，今天就来聊聊将于第一季度上市的车型。吉利icon2019年广州车展上吉利icon正式亮相，虽然没有正式公布售价，但吉利官方开启了该车首发限量2020辆的"银河限</t>
  </si>
  <si>
    <t>　　日前，日产宣布纳瓦拉（Navara）在欧洲市场推出新款N-Guard车型，内外略有改进，增加了豪华感。实际上，纳瓦拉N-Guard是该皮卡车型的顶级版本，其外观内饰与普通版有一定区别。据了解，该版本并未引入国内销售，目前国内在售的为普通版。　　外观方面，新款日产纳瓦拉N-Guard可以提供四种外</t>
  </si>
  <si>
    <t>10多万的价格，能选择的车型非常多，如果要追求性价比，想要用这个价格买到高配置的SUV车型，国产车是一个非常不错的选择。现在国产车发展的越来越好，很多国产品牌推出的车型都已可以和合资车对比。今天，我们就为大家推荐几款国产SUV，这几款车型无论外观，内饰设计都非常亮眼，各种配置也非常丰富，价格也基本都</t>
  </si>
  <si>
    <t>2020/02/19 11:25:00</t>
  </si>
  <si>
    <t>10万级别的价格，几十万的内饰和配置，这三款SUV值得一看10多万的价格，能选择的车型非常多，如果要追求性价比，想要用这个价格买到高配置的SUV车型，国产车是一个非常不错的选择。现在国产车发展的越来越好，很多国产品牌推出的车型都已可以和合资车对比。今天，我们就为大家推荐几款国产SUV，这几款车型无论</t>
  </si>
  <si>
    <t>说到比亚迪，想必大家都已经很熟悉了，特别是在推出了“中国风”的王朝系列车型之后，其更是成为市场上比较热门的品牌！比亚迪王朝系列车型于2012年开始诞生，目前已经推出了四个王朝系列，分别是“秦、唐、宋、元”，而近期，比亚迪近期又发布了王朝系列第五个产品——“汉”，该车预告图一经发布就受到了广泛的关注。</t>
  </si>
  <si>
    <t>2020/02/19 11:24:00</t>
  </si>
  <si>
    <t>不只是2.9秒破百！比亚迪“汉”最新消息来了说到比亚迪，想必大家都已经很熟悉了，特别是在推出了“中国风”的王朝系列车型之后，其更是成为市场上比较热门的品牌！比亚迪王朝系列车型于2012年开始诞生，目前已经推出了四个王朝系列，分别是“秦、唐、宋、元”，而近期，比亚迪近期又发布了王朝系列第五个产品——“</t>
  </si>
  <si>
    <t>近日，国外媒体率先曝光了2022款路虎揽胜sport车型的测试谍照。据悉，2022款路虎揽胜sport车型将在2021年正式发布。    在已经曝光的测试谍照中虽然该全新车型采用了伪装掩饰，但我们不难发现该全新车型的造型仅获得小幅全新设计。该全新车型的设计风格与velar车型类似，比之前款型更加方正</t>
  </si>
  <si>
    <t>　　近日，国外媒体率先曝光了2022款路虎揽胜sport车型的测试谍照。据悉，2022款路虎揽胜sport车型将在2021年正式发布。　　在已经曝光的测试谍照中虽然该全新车型采用了伪装掩饰，但我们不难发现该全新车型的造型仅获得小幅全新设计。该全新车型的设计风格与velar车型类似，比之前款型更加方正</t>
  </si>
  <si>
    <t>有这么一款车，中国特供，你说它新车不贵二手车也不便宜，一辆A级家用车用1.8+5AT，但是基本除了动力总成没啥好夸的，这就是本田凌派。这款车是给江西的一个兄弟找的，婚车，本来预算6-8万买起亚K3或者领动朗动，但是要么实在车子少或者价格高等等，看了也有十几辆，价格实在是顶，最后说凌派也行刚好朋友圈出</t>
  </si>
  <si>
    <t>2020/02/19 11:23:00</t>
  </si>
  <si>
    <t>七万多可以考虑的家用车，动力足油耗低空间大，还是本田有这么一款车，中国特供，你说它新车不贵二手车也不便宜，一辆A级家用车用1.8+5AT，但是基本除了动力总成没啥好夸的，这就是本田凌派。这款车是给江西的一个兄弟找的，婚车，本来预算6-8万买起亚K3或者领动朗动，但是要么实在车子少或者价格高等等，看了</t>
  </si>
  <si>
    <t>哈弗H6推出了高性能运动版，超越了许多合资品牌SUV，仅售十多万今天介绍的是在去年年底刚刚推出的全新哈弗H6 GT，你可以看作是H6的高性能运动版本，它在外观、内饰以及动力上都进行了全面升级。外观变化，车头部分依然用了家族化的“大嘴”进气格栅，非常漂亮；LED光源的前大灯照明效果特别明亮。车身侧面升</t>
  </si>
  <si>
    <t>今天介绍的是在去年年底刚刚推出的全新哈弗H6 GT，你可以看作是H6的高性能运动版本，它在外观、内饰以及动力上都进行了全面升级。外观变化，车头部分依然用了家族化的“大嘴”进气格栅，非常漂亮；LED光源的前大灯照明效果特别明亮。车身侧面升级部分是采用了19英寸的熏黑轮毂，里面搭配橘色卡钳，轮胎规格为2</t>
  </si>
  <si>
    <t>2020/02/19 11:22:00</t>
  </si>
  <si>
    <t>10万级的“家用利器”，卡罗拉、轩逸和宝来怎么选？汽车本质上还是代步工具，能给我们日常出行、载物等等提供诸多的便利，不少消费者在购车还是以家用目的为主。也有网友在后台留言给茶哥，卡罗拉、轩逸和宝来，家用该选谁？的确，这三款车型在家用方面是有口皆碑，所以在销量上这三款车也是非常亮眼。今天我们就来唠嗑唠</t>
  </si>
  <si>
    <t>手握20万，开完日产奇骏，再换到丰田RAV4荣放上，车主：差距明显导语：手握20万，开完日产奇骏，再换到丰田RAV4荣放上，车主：差距明显！车主郑先生来自浙江，从事工程装修工作，年收入在15万左右，经常要出入一些工地所以需要一台大空间、视野开阔、通过性好一点SUV，当然他的老板开的是丰田普拉多霸道级</t>
  </si>
  <si>
    <t>近日，据国外媒体报道，沃尔沃推出了xc60 b5轻混系列车型，取代现款t5系列燃油版。此外，新车配备8速自动变速箱，其电池还安装了再生制动系统。百公里加速只需6.5秒。    动力方面，xc60 b5搭载2.0l四缸发动机和48v轻混系统，最大可输出247马力，峰值扭矩为349.8牛米，最高时速为2</t>
  </si>
  <si>
    <t>　　近日，据国外媒体报道，沃尔沃推出了xc60 b5轻混系列车型，取代现款t5系列燃油版。此外，新车配备8速自动变速箱，其电池还安装了再生制动系统。百公里加速只需6.5秒。　　动力方面，xc60 b5搭载2.0l四缸发动机和48v轻混系统，最大可输出247马力，峰值扭矩为349.8牛米，最高时速为2</t>
  </si>
  <si>
    <t>2020/02/19 11:21:00</t>
  </si>
  <si>
    <t>koenigsegg是一家来自瑞典的超级跑车制造商，旗下产品包含one：1、agera、agera r及regera等多款车型。日前，有媒体获悉，koenigsegg将推出一款全新混动超跑，并有望亮相日内瓦车展。据悉，该车动力系统将由2.0升三缸发动机 多个电动机组成。新车售价约140万欧元，限量生</t>
  </si>
  <si>
    <t>　　koenigsegg是一家来自瑞典的超级跑车制造商，旗下产品包含one：1、agera、agera r及regera等多款车型。日前，有媒体获悉，koenigsegg将推出一款全新混动超跑，并有望亮相日内瓦车展。据悉，该车动力系统将由2.0升三缸发动机 多个电动机组成。新车售价约140万欧元，限</t>
  </si>
  <si>
    <t xml:space="preserve">据中国汽车工业协会数据显示，2020年1月，我国新能源汽车产销量分别完成4万辆和4.4万辆，同比分别下降55.4%和54.4%。1月，我国动力电池装机量约2.32gwh，同比下降53%。国内大部分电池企业，如宁德时代、比亚迪、亿纬锂能、力神电池、中航锂电、孚能科技等，动力电池装机电量均出现下滑。  </t>
  </si>
  <si>
    <t>其他</t>
  </si>
  <si>
    <t>2020/02/19 11:20:22</t>
  </si>
  <si>
    <t>国产Model 3拟采用磷酸铁锂电池？2月18日，据路透社消息，特斯拉特斯拉正与宁德时代接洽，在中国制的特斯拉汽车上使用宁德时代的不含钴电池，协商已经进入尾声。若获得采用，这将是特斯拉首度在产品线中使用所谓的磷酸锂铁(LFP)电池。汽车电池的原料当中，钴是最为昂贵的金属之一，成本价格每吨约3.35万</t>
  </si>
  <si>
    <t>2020/02/19 11:20:00</t>
  </si>
  <si>
    <t>这五款“不保值”的二手车，买就完事了很多朋友们在选择买二手车的时候，都会把保值率作为评价车辆好坏的第一标准，基本认为保值率低就是车辆不好。但其实市面上还是有很大一部分保值率低，本身产品力表现还不错的车，如果买这种类型的二手车，最狠的第一刀已经砍在了第一任车主身上，所以其实非常划算！今天我们就跟大家聊</t>
  </si>
  <si>
    <t>买车选配置怕被忽悠 看这个就行了很多小白在购买自己人生中第一辆车时都会将配置看的特别重要，购车预算中能有的配置都希望一应俱全。但是，在用车过程中，却发现有些配置并不需要，甚至是不怎么好用。更有甚者，是听取了汽车销售的建议买了一堆并没有实际使用价值的功能配置。 那么问题来了，在选择配置的过程中如何避免</t>
  </si>
  <si>
    <t>疯子WWFF</t>
  </si>
  <si>
    <t>“汽车上那些没啥用的配置”之——分区空调当今的汽车技术不断更新迭代，很多高端配置纷纷下放到了中低档车型上。其中，分区空调就是这样一项配置。在高端车型中可以看作是锦上添花的豪华配置，但在中低配车型上，性价比是购车消费者主要考虑的因素，而分区空调就成了没什么用的“鸡肋”配置。那么，就一起看看分区空调为何</t>
  </si>
  <si>
    <t>很多小白在购买自己人生中第一辆车时都会将配置看的特别重要，购车预算中能有的配置都希望一应俱全。但是，在用车过程中，却发现有些配置并不需要，甚至是不怎么好用。更有甚者，是听取了汽车销售的建议买了一堆并没有实际使用价值的功能配置。 那么问题来了，在选择配置的过程中如何避免被销售人员忽悠？究竟哪些配置是真</t>
  </si>
  <si>
    <t>当今的汽车技术不断更新迭代，很多高端配置纷纷下放到了中低档车型上。其中，分区空调就是这样一项配置。在高端车型中可以看作是锦上添花的豪华配置，但在中低配车型上，性价比是购车消费者主要考虑的因素，而分区空调就成了没什么用的“鸡肋”配置。那么，就一起看看分区空调为何成为没啥用的配置吧。系统复杂，成本提高分</t>
  </si>
  <si>
    <t>很多朋友们在选择买二手车的时候，都会把保值率作为评价车辆好坏的第一标准，基本认为保值率低就是车辆不好。但其实市面上还是有很大一部分保值率低，本身产品力表现还不错的车，如果买这种类型的二手车，最狠的第一刀已经砍在了第一任车主身上，所以其实非常划算！今天我们就跟大家聊聊市面上这五款“不保值”的翘楚车型！</t>
  </si>
  <si>
    <t>2月18日，据路透社消息，特斯拉特斯拉正与宁德时代接洽，在中国制的特斯拉汽车上使用宁德时代的不含钴电池，协商已经进入尾声。若获得采用，这将是特斯拉首度在产品线中使用所谓的磷酸锂铁(LFP)电池。汽车电池的原料当中，钴是最为昂贵的金属之一，成本价格每吨约3.35万美元。路透社援引一名直接涉入此事的消息</t>
  </si>
  <si>
    <t>德系日系的发动机寿命哪个长汽车已经是家家户户的必需品，已经无法替代的交通工具。现在的汽车也是非常的便宜也还有很多的优惠，不过大家在买车的时候还是要多注意点，特别是对于一些新手，对汽车一窍不通。就比如说汽车的发动机吧，汽车的发动机就相当于人的心脏，发动机如果不认真的查看整个车子都会受到影响，就像是人类</t>
  </si>
  <si>
    <t>2020/02/19 11:19:00</t>
  </si>
  <si>
    <t>燃油车禁售提前 看目前哪些引擎值得收藏随着排放法规的日益严苛和节能减排意识的增强，新能源车型逐渐兴起，其中纯电动车型被人们认为会在未来代替燃油车。在这种趋势下，不少国家都提出了“20XX年开始禁售燃油车”；不少车企也表态会将研发重心放在新能源车型上。近日，有外媒报道，英国政府准备在2032年之前停止</t>
  </si>
  <si>
    <t>汽车已经是家家户户的必需品，已经无法替代的交通工具。现在的汽车也是非常的便宜也还有很多的优惠，不过大家在买车的时候还是要多注意点，特别是对于一些新手，对汽车一窍不通。就比如说汽车的发动机吧，汽车的发动机就相当于人的心脏，发动机如果不认真的查看整个车子都会受到影响，就像是人类得了心脏病，所以一辆汽车有</t>
  </si>
  <si>
    <t>随着排放法规的日益严苛和节能减排意识的增强，新能源车型逐渐兴起，其中纯电动车型被人们认为会在未来代替燃油车。在这种趋势下，不少国家都提出了“20XX年开始禁售燃油车”；不少车企也表态会将研发重心放在新能源车型上。近日，有外媒报道，英国政府准备在2032年之前停止销售汽油和柴油新车。无疑，英国的这一决</t>
  </si>
  <si>
    <t>用插排给纯电动汽车充电应该注意什么对于纯电动汽车来说，充电就相当于传统燃油车加油一样重要。不过根据数据统计，截止到2019年12月份，我国公共充电桩和私人充电桩之和约121.9万台，而截止到2019年6月份，我国纯电动汽车保有量就已经达到了约281万台。所以目前充电桩数量依然较少，制约着消费者的用车</t>
  </si>
  <si>
    <t>2020/02/19 11:18:00</t>
  </si>
  <si>
    <t>纯电动汽车长时间不开会对蓄电池有什么影响受到新型冠状病毒疫情的影响，自我居家隔离可以很好的避免交叉感染，所以作为代步工具的汽车也被长期停放。那么对于纯电动汽车来说，如果长时间不开，会对蓄电池会有什么影响呢？大家都知道，纯电动汽车与传统燃油车的区别就是动力来源为电池组，而非燃油不能及。其实对于纯电动汽</t>
  </si>
  <si>
    <t>对于纯电动汽车来说，充电就相当于传统燃油车加油一样重要。不过根据数据统计，截止到2019年12月份，我国公共充电桩和私人充电桩之和约121.9万台，而截止到2019年6月份，我国纯电动汽车保有量就已经达到了约281万台。所以目前充电桩数量依然较少，制约着消费者的用车。那么对于车主来说，使用家用插排给</t>
  </si>
  <si>
    <t>受到新型冠状病毒疫情的影响，自我居家隔离可以很好的避免交叉感染，所以作为代步工具的汽车也被长期停放。那么对于纯电动汽车来说，如果长时间不开，会对蓄电池会有什么影响呢？大家都知道，纯电动汽车与传统燃油车的区别就是动力来源为电池组，而非燃油不能及。其实对于纯电动汽车来说，除了提供动力来源的电车组之外，还</t>
  </si>
  <si>
    <t>如果发生碰撞，纯电动汽车和燃油车哪个更容易发生爆炸？要想回答这个问题，我们首先需要了解一下这两种车型的区别。传统燃油车相信大家都已经比较熟悉了，而纯电动汽车是近些年才不断发展的新车型。从结构上来看，纯电动汽车搭载的是电池组，匹配电机驱动车辆，并无燃油发动机、变速箱、油箱等配件。而目前纯电动汽车所搭载</t>
  </si>
  <si>
    <t>发生碰撞纯电动车和燃油车哪个更容易发生爆炸如果发生碰撞，纯电动汽车和燃油车哪个更容易发生爆炸？要想回答这个问题，我们首先需要了解一下这两种车型的区别。传统燃油车相信大家都已经比较熟悉了，而纯电动汽车是近些年才不断发展的新车型。从结构上来看，纯电动汽车搭载的是电池组，匹配电机驱动车辆，并无燃油发动机、</t>
  </si>
  <si>
    <t>手机锂电池寿命2年 电动汽车电池为何质保时间更长随着汽车行业的不断发展，纯电动汽车的保有量也在不断增加。而纯电动汽车与传统燃油车不同的是，动力来源为电池组而非燃油发动机。纯电动汽车所搭载的三元锂电池或者是磷酸铁锂电池，均处于液态锂离子电池，而我们平常所用的手机电池也是锂电池。那么为什么纯电动汽车所搭</t>
  </si>
  <si>
    <t>2020/02/19 11:17:00</t>
  </si>
  <si>
    <t>随着纯电动汽车行业的不断发展，车型也是越来越丰富，除了常见的轿车和SUV车型之外，部分越野车也开启了电动化之路。那么越野纯电动汽车是不是很耗电呢？其实要回答这个问题，我们首先需要了解一下纯电动汽车电耗与什么有关。其实影响纯电动汽车电耗的因素和影响传统燃油车油耗的因素相差不大，都和车速、车身自重、行车</t>
  </si>
  <si>
    <t>随着汽车行业的不断发展，纯电动汽车的保有量也在不断增加。而纯电动汽车与传统燃油车不同的是，动力来源为电池组而非燃油发动机。纯电动汽车所搭载的三元锂电池或者是磷酸铁锂电池，均处于液态锂离子电池，而我们平常所用的手机电池也是锂电池。那么为什么纯电动汽车所搭载的锂电池使用时间更长，而手机用2年就衰减呢？这</t>
  </si>
  <si>
    <t>　　许多中国品牌产品如今在颜值及配置上已经能和许多同级别合资选手一较高下，甚至有不少在配置上已经能超越对手，虽然不少产品在硬件水平已经追平甚至赶超对手，但实际的驾驶体验及不少软实力处依然还有这样那样的差距，而通过这些年来不断的努力，我们看到越来越多的中国品牌产品正在不断奋起直追，提升软实力。今天的这</t>
  </si>
  <si>
    <t>周翱</t>
  </si>
  <si>
    <t>越野电动车是不是很耗电随着纯电动汽车行业的不断发展，车型也是越来越丰富，除了常见的轿车和SUV车型之外，部分越野车也开启了电动化之路。那么越野纯电动汽车是不是很耗电呢？其实要回答这个问题，我们首先需要了解一下纯电动汽车电耗与什么有关。其实影响纯电动汽车电耗的因素和影响传统燃油车油耗的因素相差不大，都</t>
  </si>
  <si>
    <t>许多中国品牌产品如今在颜值及配置上已经能和许多同级别合资选手一较高下，甚至有不少在配置上已经能超越对手，虽然不少产品在硬件水平已经追平甚至赶超对手，但实际的驾驶体验及不少软实力处依然还有这样那样的差距，而通过这些年来不断的努力，我们看到越来越多的中国品牌产品正在不断奋起直追，提升软实力。今天的这位选</t>
  </si>
  <si>
    <t>为什么造车新势力推出的汽车比传统车企更智能在目前的新能源汽车市场中，除了传统车企之外还有一批造车新势力处存在。而了解造车新势力朋友很可能就会发现，他们所推出的车型甚至比传统车企更加智能，这是什么原因导致的呢？市场因素造车新势力主打新能源汽车，但是成立时间较短，市场份额较小，知名度也比传统车企更低。所</t>
  </si>
  <si>
    <t>2020/02/19 11:15:00</t>
  </si>
  <si>
    <t>在目前的新能源汽车市场中，除了传统车企之外还有一批造车新势力处存在。而了解造车新势力朋友很可能就会发现，他们所推出的车型甚至比传统车企更加智能，这是什么原因导致的呢？市场因素造车新势力主打新能源汽车，但是成立时间较短，市场份额较小，知名度也比传统车企更低。所以这个时候如果想要获得更多的市场份额和消费</t>
  </si>
  <si>
    <t>　　日前，我们从海外媒体了解到，全新一代大众高尔夫r有望于6月底开幕的2020古德伍德速度节中正式亮相。参考此前的无伪谍照来看，新车的前包围与普通版车型有着明显不同，整体看上去更加运动、时尚。　　回顾此前曝光的无伪谍照来看，全新一代高尔夫r(参数|询价)相比普通版车型要更具攻击性。例如，新车前脸采用</t>
  </si>
  <si>
    <t>日前，我们从海外媒体了解到，全新一代大众高尔夫r有望于6月底开幕的2020古德伍德速度节中正式亮相。参考此前的无伪谍照来看，新车的前包围与普通版车型有着明显不同，整体看上去更加运动、时尚。    回顾此前曝光的无伪谍照来看，全新一代高尔夫r(参数|询价)相比普通版车型要更具攻击性。例如，新车前脸采用</t>
  </si>
  <si>
    <t>投诉编号：【447737】  投诉时间： 2020-02-19 11:14  投诉品牌： 广汽本田  投诉车系： 锋范  投诉车型： 2015款 1.5L 手动 舒适版        投诉内容  广汽本田厂家电话客服真牛，车身生锈说他们自己产品没问题，1.说是我停车环境不对造成的生锈，我想吐槽的是广</t>
  </si>
  <si>
    <t>2020/02/19 11:14:00</t>
  </si>
  <si>
    <t>　　据外媒报道，新加坡宣布计划在2040年前逐步淘汰化石燃料汽车，将采取激励措施，鼓励使用混合动力和纯电动等清洁能源汽车。激励措施包括最高2万新元的补贴，以及加大对充电站的投资预算等。目标在2030年前，把充电站数量从现有的1600个左右增加到2.8万个。　　2月18日，新加坡副总理王瑞杰（heng</t>
  </si>
  <si>
    <t>2020/02/19 11:13:00</t>
  </si>
  <si>
    <t>据外媒报道，新加坡宣布计划在2040年前逐步淘汰化石燃料汽车，将采取激励措施，鼓励使用混合动力和纯电动等清洁能源汽车。激励措施包括最高2万新元的补贴，以及加大对充电站的投资预算等。目标在2030年前，把充电站数量从现有的1600个左右增加到2.8万个。    2月18日，新加坡副总理王瑞杰（heng</t>
  </si>
  <si>
    <t>投诉编号：【447736】  投诉时间： 2020-02-19 11:12  投诉品牌： 广汽丰田  投诉车系： 凯美瑞  投诉车型： 2016款 2.0G 自动 十周年纪念领先版        投诉内容  半轴防尘套刚过保修期就才发现漏油，一直在4s店保养的。      投诉回复  车质网已将您的</t>
  </si>
  <si>
    <t>2020/02/19 11:12:00</t>
  </si>
  <si>
    <t>　　日前，江淮官方发布了代号为s432的新车设计图，其定位为中型suv，并主打6座车型，满足当下家庭的用车需求。同时，该车将于今年下半年上市。值得一提的是，这款全新suv是由江淮造型设计中心的团队主导设计，其以“简约・平衡”为设计理念，尝试用焕然一新的形象创造该车。　　外观方面，新车采用了全新家族式</t>
  </si>
  <si>
    <t>日前，江淮官方发布了代号为s432的新车设计图，其定位为中型suv，并主打6座车型，满足当下家庭的用车需求。同时，该车将于今年下半年上市。值得一提的是，这款全新suv是由江淮造型设计中心的团队主导设计，其以“简约·平衡”为设计理念，尝试用焕然一新的形象创造该车。    外观方面，新车采用了全新家族式</t>
  </si>
  <si>
    <t>　　日前，凯迪拉克官方公布了最新销量。数据显示，2020年1月，凯迪拉克在华销售1.96万辆，同比下滑26.8%。　　具体车型销量看，suv产品方面，凯迪拉克xt4和xt5的销量分别为4579辆、4383辆；2019年7月上市的凯迪拉克xt6销量为3185辆，环比2019年12月增长88.2%。凯迪</t>
  </si>
  <si>
    <t>2020/02/19 11:10:00</t>
  </si>
  <si>
    <t>日前，凯迪拉克官方公布了最新销量。数据显示，2020年1月，凯迪拉克在华销售1.96万辆，同比下滑26.8%。    具体车型销量看，suv产品方面，凯迪拉克xt4和xt5的销量分别为4579辆、4383辆；2019年7月上市的凯迪拉克xt6销量为3185辆，环比2019年12月增长88.2%。凯迪</t>
  </si>
  <si>
    <t>投诉编号：【447735】  投诉时间： 2020-02-19 11:08  投诉品牌： 长安标致雪铁龙DS  投诉车系： DS6  投诉车型： 2014款 1.6T 豪华版THP160        投诉内容  在未受到外力作用下，尾门上方，与行李架连接处出现了约5厘米的裂痕，此问题作为车辆材质问</t>
  </si>
  <si>
    <t>2020/02/19 11:08:00</t>
  </si>
  <si>
    <t>近日获悉，捷途x70 coupe有望于5月上市发售。作为捷途产品序列推出的全新车型，定位于中型轿跑suv的捷途x70 coupe分别搭载1.5t及1.6t发动机，此前官方公布的预售价格为9.10-12.90万元。    捷途x70 coupe延续了捷途家族式的“徽城翘楚”设计语言，点阵式进气格栅搭配</t>
  </si>
  <si>
    <t>2020/02/19 11:07:00</t>
  </si>
  <si>
    <t>　　近日获悉，捷途x70 coupe有望于5月上市发售。作为捷途产品序列推出的全新车型，定位于中型轿跑suv的捷途x70 coupe分别搭载1.5t及1.6t发动机，此前官方公布的预售价格为9.10-12.90万元。　　捷途x70 coupe延续了捷途家族式的“徽城翘楚”设计语言，点阵式进气格栅搭配</t>
  </si>
  <si>
    <t xml:space="preserve">日前，有媒体从相关渠道获悉，新款奔驰e级将在3月3日开幕的日内瓦车展中亮相。据悉，新款奔驰e级将推出两种版本的外观套件车型，分别主打运动和豪华。动力部分将搭载2.0t及3.0t发动机，且均配备48v轻混系统。    看了以下要点，本文算读完一半    新款奔驰e级将推出两种版本外观套件车型；    </t>
  </si>
  <si>
    <t>2020/02/19 11:06:00</t>
  </si>
  <si>
    <t>　　日前，有媒体从相关渠道获悉，新款奔驰e级将在3月3日开幕的日内瓦车展中亮相。据悉，新款奔驰e级将推出两种版本的外观套件车型，分别主打运动和豪华。动力部分将搭载2.0t及3.0t发动机，且均配备48v轻混系统。　　看了以下要点，本文算读完一半　　新款奔驰e级将推出两种版本外观套件车型；　　配备l2</t>
  </si>
  <si>
    <t>投诉编号：【447733】  投诉时间： 2020-02-19 11:05  投诉品牌： 长城汽车  投诉车系： 长城C30  投诉车型： 2012款 1.5 手动 舒适型        投诉内容  左右前门门脚漆面起鼓，应该是从里面往外鼓得，应该是钣金出厂时防锈没做好，里面钣金应该是锈糟了才这样吧</t>
  </si>
  <si>
    <t>2020/02/19 11:05:00</t>
  </si>
  <si>
    <t>2月17日，有媒体获悉，吉利先期投入3.7亿元的“全方位健康车”的首个项目取得突破性进展——“车规级cn95高效复合空调滤芯”（以下简称“车规级cn95”）已试制成功。该滤芯现已批量生产，第一批试制滤芯已发往武汉、台州、贵阳、西安等地，将率先装配在158辆嘉际“抗疫车”上使用。    据悉，吉利“车</t>
  </si>
  <si>
    <t>2020/02/19 11:04:00</t>
  </si>
  <si>
    <t>　　2月17日，有媒体获悉，吉利先期投入3.7亿元的“全方位健康车”的首个项目取得突破性进展――“车规级cn95高效复合空调滤芯”（以下简称“车规级cn95”）已试制成功。该滤芯现已批量生产，第一批试制滤芯已发往武汉、台州、贵阳、西安等地，将率先装配在158辆嘉际“抗疫车”上使用。　　据悉，吉利“车</t>
  </si>
  <si>
    <t>佟闻丰</t>
  </si>
  <si>
    <t>2月17日，广汽集团旗下整车企业广汽传祺、广汽新能源、广汽本田、广汽丰田及广汽菲克，位于广州市的生产线正式恢复生产。而广汽三菱位于长沙市的工厂目前暂定2月24日全面复产，除身处疫情特别严重的地区员工，其他员工已经陆续返回长沙长沙市做复产前的准备。    针对疫情，各整车企业出台多项措施，力保生产经营</t>
  </si>
  <si>
    <t>2020/02/19 11:03:00</t>
  </si>
  <si>
    <t>　　2月17日，广汽集团旗下整车企业广汽传祺、广汽新能源、广汽本田、广汽丰田及广汽菲克，位于广州市的生产线正式恢复生产。而广汽三菱位于长沙市的工厂目前暂定2月24日全面复产，除身处疫情特别严重的地区员工，其他员工已经陆续返回长沙长沙市做复产前的准备。　　针对疫情，各整车企业出台多项措施，力保生产经营</t>
  </si>
  <si>
    <t>行驶中有时发动机故障灯亮，重启后不亮了。</t>
  </si>
  <si>
    <t>2020/02/19 11:02:33</t>
  </si>
  <si>
    <t>投诉编号：【447731】  投诉时间： 2020-02-19 11:02  投诉品牌： 众泰汽车  投诉车系： 大迈X5  投诉车型： 2017款 1.5T 手动 尊享型 升级版        投诉内容  1、主驾驶玻璃升降器两年多反反复复拆门维修了八次，好不容易索赔了一个新的升降器，装上一个多月</t>
  </si>
  <si>
    <t>2020/02/19 11:02:00</t>
  </si>
  <si>
    <t>　　去年的豪华品牌中型车横评文章，相信您肯定浏览过了，我们对以奔驰c级、宝马3系和奥迪a4l为代表的这个级别6款车型进行了详细的对比测试。但由于车型众多，静态展示、尤其是配置展示没有特别细化，那么这次我们就找来上回横评中实力不俗的两位选手：捷豹xel(性能部分得分第2，总分第3)和凯迪拉克ct5(性</t>
  </si>
  <si>
    <t>2020/02/19 11:01:00</t>
  </si>
  <si>
    <t>购买的新桑塔纳轿车因为外出放家里两个月没动，四个轮胎只有一个胎完全没气了，什么原因</t>
  </si>
  <si>
    <t>2020/02/19 10:58:28</t>
  </si>
  <si>
    <t>投诉编号：【447728】  投诉时间： 2020-02-19 10:56  投诉品牌： 上汽集团  投诉车系： 名爵6新能源  投诉车型： 2018款 45T E-DRIVE智驱混动 PILOT超级互联网版        投诉内容  2018年5月份购车，2019年10月份开始出现12V电瓶电压低</t>
  </si>
  <si>
    <t>2020/02/19 10:56:00</t>
  </si>
  <si>
    <t>投诉编号：【447729】投诉时间：2020-02-1910:56投诉品牌：上汽大众投诉车系：途观投诉车型：2016款300TSI自动四驱舒适版投诉内容2017年10月27日，5109公里，第一次因共振维修，4S店认为是油的问题，换油一次；2018年9月21日，11146公里，第二次共振严重，车主要</t>
  </si>
  <si>
    <t>2月17日晚，山东玲珑轮胎股份有限公司（简称“玲珑轮胎”）发布公告，拟通过公开增发a股股票募集资金总额不超过20亿元，扣除发行费用后将用于“荆门年产800万套半钢和120万套全钢高性能轮胎生产项目”和“补充流动资金”。    玲珑轮胎成立于1975年，2016年7月实现上市，主营汽车轮胎设计、开发、</t>
  </si>
  <si>
    <t>2020/02/19 10:55:00</t>
  </si>
  <si>
    <t>　　2月17日晚，山东玲珑轮胎股份有限公司（简称“玲珑轮胎”）发布公告，拟通过公开增发a股股票募集资金总额不超过20亿元，扣除发行费用后将用于“荆门年产800万套半钢和120万套全钢高性能轮胎生产项目”和“补充流动资金”。　　玲珑轮胎成立于1975年，2016年7月实现上市，主营汽车轮胎设计、开发、</t>
  </si>
  <si>
    <t>2019款宝来改款自动舒适型没有ESP关闭，没有改款前中控里面还有，改完就没了。然后其他车型还都有是不是厂家漏洞？</t>
  </si>
  <si>
    <t>2020/02/19 10:53:35</t>
  </si>
  <si>
    <t>日前，特斯拉发布了向美国证券交易委员会（sec）提交的2019年报告。数据显示，2019年，特斯拉在中国市场的营收为29.79亿美元（约合人民币208亿元），比2018年的17.57亿美元（约合人民币123亿元）增长了69.55%。    相比之下，特斯拉2019年在美国市场的收入为126.53亿美</t>
  </si>
  <si>
    <t>2020/02/19 10:53:00</t>
  </si>
  <si>
    <t>　　日前，特斯拉发布了向美国证券交易委员会（sec）提交的2019年报告。数据显示，2019年，特斯拉在中国市场的营收为29.79亿美元（约合人民币208亿元），比2018年的17.57亿美元（约合人民币123亿元）增长了69.55%。　　相比之下，特斯拉2019年在美国市场的收入为126.53亿美</t>
  </si>
  <si>
    <t>日前，据外媒报道，针对lg化学和sk创新的电动车电池诉讼案有了初步裁决结果，美国贸易委员会（itc）表示，初步裁定lg化学胜诉。此前，lg化学在诉讼案中指控竞争对手sk创新窃取其商业机密。    汽车制造商正争先恐后地锁定电池供应商，动力电池也是电动车中较为昂贵和关键的组成部分。业内人士分析认为，s</t>
  </si>
  <si>
    <t>2020/02/19 10:51:00</t>
  </si>
  <si>
    <t>　　日前，据外媒报道，针对lg化学和sk创新的电动车电池诉讼案有了初步裁决结果，美国贸易委员会（itc）表示，初步裁定lg化学胜诉。此前，lg化学在诉讼案中指控竞争对手sk创新窃取其商业机密。　　汽车制造商正争先恐后地锁定电池供应商，动力电池也是电动车中较为昂贵和关键的组成部分。业内人士分析认为，s</t>
  </si>
  <si>
    <t>有媒体报道，特斯拉与宁德时代就电池供应进行商讨，计划使用无钴电池技术（或为磷酸铁锂电池）投入生产线。消息表示，如果该计划落地，无钴电池将进一步帮助中国制造版特斯拉降低成本。    针对该计划，多方评论猜测无钴电池技术或将是此前在市场中普及的磷酸铁锂电池，而无钴电池或将只应用于中国制造版特斯拉车型上。</t>
  </si>
  <si>
    <t>2020/02/19 10:50:00</t>
  </si>
  <si>
    <t>　　有媒体报道，特斯拉与宁德时代就电池供应进行商讨，计划使用无钴电池技术（或为磷酸铁锂电池）投入生产线。消息表示，如果该计划落地，无钴电池将进一步帮助中国制造版特斯拉降低成本。　　针对该计划，多方评论猜测无钴电池技术或将是此前在市场中普及的磷酸铁锂电池，而无钴电池或将只应用于中国制造版特斯拉车型上。</t>
  </si>
  <si>
    <t>“里程焦虑”是很多纯电动车消费者心中的一个坎，目前大部分厂商通过两种方式尽量解决该问题：提升续航里程或增加补能便利性。对于补能来说，除了北汽新能源、蔚来的换电服务外，自建超级充电桩是更多车企的选择，这是否能证明在没有更高效的补能方式之前，建设超充网络将是纯电动车补能发展的必然路线呢？我们以特斯拉、小</t>
  </si>
  <si>
    <t>2020/02/19 10:49:00</t>
  </si>
  <si>
    <t>　　“里程焦虑”是很多纯电动车消费者心中的一个坎，目前大部分厂商通过两种方式尽量解决该问题：提升续航里程或增加补能便利性。对于补能来说，除了北汽新能源、蔚来的换电服务外，自建超级充电桩是更多车企的选择，这是否能证明在没有更高效的补能方式之前，建设超充网络将是纯电动车补能发展的必然路线呢？我们以特斯拉</t>
  </si>
  <si>
    <t>2月18日晚间，一汽轿车股份有限公司（下称一汽轿车）发布公告，该公司作价270亿元置入资产一汽解放100%股权事项获证监会无条件通过。这意味着，一汽集团离整体上市又近一步。    根据一汽轿车此前发布的重组方案，公司拟以其拥有的除保留资产以外的全部资产和负债作为置出资产，与中国第一汽车股份有限公司持</t>
  </si>
  <si>
    <t>2020/02/19 10:46:00</t>
  </si>
  <si>
    <t>　　2月18日晚间，一汽轿车股份有限公司（下称一汽轿车）发布公告，该公司作价270亿元置入资产一汽解放100%股权事项获证监会无条件通过。这意味着，一汽集团离整体上市又近一步。　　根据一汽轿车此前发布的重组方案，公司拟以其拥有的除保留资产以外的全部资产和负债作为置出资产，与中国第一汽车股份有限公司持</t>
  </si>
  <si>
    <t>杜俊仪</t>
  </si>
  <si>
    <t>您好，2019款比亚迪宋pro发动机和变速箱都是自主的吗？变速箱和发动机是哪的？质量如何？</t>
  </si>
  <si>
    <t>2020/02/19 10:45:53</t>
  </si>
  <si>
    <t>您好，我想咨询一下：听朋友说国产车主要是变速箱不太好。比亚迪的变速箱平时投诉多吗，秦手动豪华和自动豪华怎么选？</t>
  </si>
  <si>
    <t>2020/02/19 10:45:52</t>
  </si>
  <si>
    <t>　　去年4月，上汽大众t-cross正式上市，定位为小型suv。而在8月正式更名为途铠，有了中文名后相信有助于加深大家对这款车型的印象。作为上汽大众布局小型suv市场的一款新车，途铠也肩负着相当重要的使命。本次我们为大家奉上的是其入门级车型的实拍，看看最便宜的途铠有着怎样的表现。　　编辑点评：　　总</t>
  </si>
  <si>
    <t>彭储文</t>
  </si>
  <si>
    <t>2020/02/19 10:44:00</t>
  </si>
  <si>
    <t>新上任的日产ceo立下军令状。据外媒报道，在1月18日举行的股东大会上，日产汽车新任首席执行官内田诚（makoto uchida）表示，如果他不能扭转这家日本第二大汽车制造商的颓势，愿意接受被解雇。    日产汽车于2019年10月宣布，公司高级副总裁、日产中国管理委员会主席、东风汽车有限公司总裁内</t>
  </si>
  <si>
    <t>2020/02/19 10:41:00</t>
  </si>
  <si>
    <t>　　新上任的日产ceo立下军令状。据外媒报道，在1月18日举行的股东大会上，日产汽车新任首席执行官内田诚（makoto uchida）表示，如果他不能扭转这家日本第二大汽车制造商的颓势，愿意接受被解雇。　　日产汽车于2019年10月宣布，公司高级副总裁、日产中国管理委员会主席、东风汽车有限公司总裁内</t>
  </si>
  <si>
    <t>　　据中国汽车工业协会数据显示，2020年1月，我国新能源汽车产销量分别完成4万辆和4.4万辆，同比分别下降55.4%和54.4%。1月，我国动力电池装机量约2.32gwh，同比下降53%。国内大部分电池企业，如宁德时代、比亚迪、亿纬锂能、力神电池、中航锂电、孚能科技等，动力电池装机电量均出现下滑。</t>
  </si>
  <si>
    <t>2020/02/19 10:40:00</t>
  </si>
  <si>
    <t>2020年的汽车市场会比去年更好吗？多少车企能够逆势增长？这是开年以来悬在许多人心头的问题。而近期正值各大车企公布1月销量，从行业整体来看，1月的车市仍然“寒风凛冽”，狭义乘用车市场同比下降20.4%，环比降低19.6%。但在一片悲鸿声中，我们仍然看到一家车企能保持逆势增长，并且1月上涨幅度位居行业</t>
  </si>
  <si>
    <t>2020/02/19 10:38:00</t>
  </si>
  <si>
    <t>　　2020年的汽车市场会比去年更好吗？多少车企能够逆势增长？这是开年以来悬在许多人心头的问题。而近期正值各大车企公布1月销量，从行业整体来看，1月的车市仍然“寒风凛冽”，狭义乘用车市场同比下降20.4%，环比降低19.6%。但在一片悲鸿声中，我们仍然看到一家车企能保持逆势增长，并且1月上涨幅度位居</t>
  </si>
  <si>
    <t>您好，2019款比亚迪宋Pro发动机和变速箱都是自主的吗？变速箱和发动机是哪里产的？质量如何？</t>
  </si>
  <si>
    <t>2020/02/19 10:37:41</t>
  </si>
  <si>
    <t>有媒体从东风风行内部获悉：新菱智m5最快将于3月底上市。从我们此前获得的实拍图来看，此次改款主要针对车辆外观进行了调整，推出酷似“雷克萨斯”纺锤形格栅的前脸造型。    自从雷克萨斯开创性的启用纺锤形格栅后，包括北汽幻速、长安汽车等自主品牌均开始效仿这种极具视觉冲击力的设计语言，东风风行则在它们的基</t>
  </si>
  <si>
    <t>2020/02/19 10:37:00</t>
  </si>
  <si>
    <t>　　有媒体从东风风行内部获悉：新菱智m5最快将于3月底上市。从我们此前获得的实拍图来看，此次改款主要针对车辆外观进行了调整，推出酷似“雷克萨斯”纺锤形格栅的前脸造型。　　自从雷克萨斯开创性的启用纺锤形格栅后，包括北汽幻速、长安汽车等自主品牌均开始效仿这种极具视觉冲击力的设计语言，东风风行则在它们的基</t>
  </si>
  <si>
    <t>别克全新纯电动小型suv velite 7此前已经曝光，预计将于年内上市销售。网上车市近日从别克官方获得了velite 7的详细动力信息。新车综合续航里程达500km，百公里耗电量为13.1kwh，未来上市后将与广汽本田ve-1、现代昂希诺ev等车型展开竞争。    velite 7是别克在华推出的</t>
  </si>
  <si>
    <t>2020/02/19 10:33:00</t>
  </si>
  <si>
    <t>　　别克全新纯电动小型suv velite 7此前已经曝光，预计将于年内上市销售。网上车市近日从别克官方获得了velite 7的详细动力信息。新车综合续航里程达500km，百公里耗电量为13.1kwh，未来上市后将与广汽本田ve-1、现代昂希诺ev等车型展开竞争。　　velite 7是别克在华推出的</t>
  </si>
  <si>
    <t>提及玛莎拉蒂汽车品牌想必大家并不陌生，该品牌是一家意大利豪华汽车制造商，1914年12月1日成立于博洛尼亚，而标志性的莫过于三叉戟的品牌logo。近日海外媒体曝光了玛莎拉蒂三款新车的最新消息，其中ghibli插电混合动力版车型将于5月北京车展正式亮相。而levante和quattroporte改款车</t>
  </si>
  <si>
    <t>2020/02/19 10:32:00</t>
  </si>
  <si>
    <t>　　提及玛莎拉蒂汽车品牌想必大家并不陌生，该品牌是一家意大利豪华汽车制造商，1914年12月1日成立于博洛尼亚，而标志性的莫过于三叉戟的品牌logo。近日海外媒体曝光了玛莎拉蒂三款新车的最新消息，其中ghibli插电混合动力版车型将于5月北京车展正式亮相。而levante和quattroporte改</t>
  </si>
  <si>
    <t>在春节前置导致有效工作日减少10天左右的情况下，1月份国内乘用车市场出现了20.4%的较大跌幅，多数车企也都或多或少地出现了销量下滑。不过在整体消费升级的大趋势下，豪华车市场仍保持不错的活力，同时马太效应下以奔驰、宝马为首的第一阵营整体表现也更为出色。    其中，北京奔驰（奔驰国产）1月份更是大涨</t>
  </si>
  <si>
    <t>2020/02/19 10:31:00</t>
  </si>
  <si>
    <t>　　在春节前置导致有效工作日减少10天左右的情况下，1月份国内乘用车市场出现了20.4%的较大跌幅，多数车企也都或多或少地出现了销量下滑。不过在整体消费升级的大趋势下，豪华车市场仍保持不错的活力，同时马太效应下以奔驰、宝马为首的第一阵营整体表现也更为出色。　　其中，北京奔驰（奔驰国产）1月份更是大涨</t>
  </si>
  <si>
    <t>　　据中国汽车流通协会汽车市场研究分会（乘联会）最新综合销量数据统计显示，1月份国内狭义乘用车市场销量达172.1万辆，同比下降20.4%，其中suv销量80.4万辆，同比下降14.5%。　　有媒体从海马汽车官方获悉：今年1月，公司实现销售1,147辆，同比减少13.56%。目前海马汽车仅生产suv</t>
  </si>
  <si>
    <t>2020/02/19 10:30:00</t>
  </si>
  <si>
    <t>据中国汽车流通协会汽车市场研究分会（乘联会）最新综合销量数据统计显示，1月份国内狭义乘用车市场销量达172.1万辆，同比下降20.4%，其中suv销量80.4万辆，同比下降14.5%。    有媒体从海马汽车官方获悉：今年1月，公司实现销售1,147辆，同比减少13.56%。目前海马汽车仅生产suv</t>
  </si>
  <si>
    <t>投诉编号：【447723】  投诉时间： 2020-02-19 10:30  投诉品牌： 长安马自达  投诉车系： 马自达3 昂克赛拉  投诉车型： 2020款 2.0L 自动 质雅版        投诉内容  2020.2.3上午无意中发现右前方向胎无故鼓包，仔细观察鼓包周围并无碰撞痕迹，而且因新</t>
  </si>
  <si>
    <t>　　cla是梅赛德斯-奔驰旗下的一款紧凑轿跑车型，该款车型于2014年以进口形式引入国内市场开售。不同于宝马1系、奥迪a3车型的是，gla采用轿跑风格设计，其定位也更加适合年轻消费群体。近日海外媒体曝光了一组梅赛德斯-奔驰全新cla实拍图片，新车最快将于今年一季度引入国内市场开售。据悉，猎装版车型也</t>
  </si>
  <si>
    <t>2020/02/19 10:29:00</t>
  </si>
  <si>
    <t>cla是梅赛德斯-奔驰旗下的一款紧凑轿跑车型，该款车型于2014年以进口形式引入国内市场开售。不同于宝马1系、奥迪a3车型的是，gla采用轿跑风格设计，其定位也更加适合年轻消费群体。近日海外媒体曝光了一组梅赛德斯-奔驰全新cla实拍图片，新车最快将于今年一季度引入国内市场开售。据悉，猎装版车型也将一</t>
  </si>
  <si>
    <t>说到起亚rio想必大家听上去都有一些陌生，这款车几年前在中国大陆销售过一段时间，但是由于销量并不理想，被现在的起亚k2所取代。近日，海外媒体曝光了中期改款起亚rio的重度伪装谍照，通过图片我们可以看到起亚为改款rio披上了大面积的伪装车衣，相关人员正在进行新车的极寒测试。    外观方面，虽然新车被</t>
  </si>
  <si>
    <t>2020/02/19 10:27:00</t>
  </si>
  <si>
    <t>　　说到起亚rio想必大家听上去都有一些陌生，这款车几年前在中国大陆销售过一段时间，但是由于销量并不理想，被现在的起亚k2所取代。近日，海外媒体曝光了中期改款起亚rio的重度伪装谍照，通过图片我们可以看到起亚为改款rio披上了大面积的伪装车衣，相关人员正在进行新车的极寒测试。　　外观方面，虽然新车被</t>
  </si>
  <si>
    <t>根据规划，梅赛德斯-奔驰将在全球市场推出超过20款插电混动车型。在3月3日开幕的2020年日内瓦车展上，梅赛德斯-奔驰将带来7款首发新车，包括全新e级、全新e级插电混动、全新gla、全新gla插电混动、全新cla插电混动、全新cla猎装版插电混动以及amg gt 73 4matic（插电混动），其中</t>
  </si>
  <si>
    <t>2020/02/19 10:25:00</t>
  </si>
  <si>
    <t>　　根据规划，梅赛德斯-奔驰将在全球市场推出超过20款插电混动车型。在3月3日开幕的2020年日内瓦车展上，梅赛德斯-奔驰将带来7款首发新车，包括全新e级、全新e级插电混动、全新gla、全新gla插电混动、全新cla插电混动、全新cla猎装版插电混动以及amg gt 73 4matic（插电混动），</t>
  </si>
  <si>
    <t>北汽新能源ec系列一直是国内纯电动轿车市场中的佼佼者，2019年累计销量第一。在纯电动轿车产品受到认可的同时，北汽新能源希望在纯电动suv市场也取得突破，接下来，北汽新能源将对suv产品进行全面升级。网上车市从北汽集团官方获悉，北汽新能源将在2021-2022年将陆续推出3款suv，分别是一款全新车</t>
  </si>
  <si>
    <t>2020/02/19 10:23:00</t>
  </si>
  <si>
    <t>投诉编号：【447721】  投诉时间： 2020-02-19 10:23  投诉品牌： 东风标致  投诉车系： 标致3008  投诉车型： 2016款 1.6THP 自动 至尚版        投诉内容  挂倒挡，或者手动开360影像屏幕黑屏，车子在广州购买，在出现这个问题后，18年在广州更换过3</t>
  </si>
  <si>
    <t>　　北汽新能源ec系列一直是国内纯电动轿车市场中的佼佼者，2019年累计销量第一。在纯电动轿车产品受到认可的同时，北汽新能源希望在纯电动suv市场也取得突破，接下来，北汽新能源将对suv产品进行全面升级。网上车市从北汽集团官方获悉，北汽新能源将在2021-2022年将陆续推出3款suv，分别是一款全</t>
  </si>
  <si>
    <t>　　根据奇瑞公布的最新销量数据，旗下瑞虎系列1月销量同比增长10.8%，其中瑞虎5x销量达5,496辆，同比大涨76.5%，为品牌本就火热的状态又添了一把火。今年6月，瑞虎5x还将推出年型款新车，进一步提升其产品竞争力，保持市场活力。近日有媒体获取到了一组该车的谍照，从目前已知的外观信息来看，命名为</t>
  </si>
  <si>
    <t>2020/02/19 10:21:00</t>
  </si>
  <si>
    <t>根据奇瑞公布的最新销量数据，旗下瑞虎系列1月销量同比增长10.8%，其中瑞虎5x销量达5,496辆，同比大涨76.5%，为品牌本就火热的状态又添了一把火。今年6月，瑞虎5x还将推出年型款新车，进一步提升其产品竞争力，保持市场活力。近日有媒体获取到了一组该车的谍照，从目前已知的外观信息来看，命名为年型</t>
  </si>
  <si>
    <t>今年1月份，由于春节假期的因素，有效的销售时间仅为20天，市场整体销量也出现了下滑，乘联会数据显示，1月整体销量同比下滑20.4%，环比下降19.6%。近日从雪佛兰官方获悉：1月份，雪佛兰品牌在华销量为34,702辆，环比增长31.6%，其中suv车型探界者逆势增长，同比增幅61.5%，环比增长13</t>
  </si>
  <si>
    <t>2020/02/19 10:20:00</t>
  </si>
  <si>
    <t>大众tiguan有时停车落锁后突然报警的问题如何解决  　　进口大众tiguan有时停车落锁（并检查车门和后备箱均锁好）1分钟左右后，出现连续报警声，按车钥匙遥控器中间后备箱键后报警声停止，然后重新打开后备箱再关闭后，问题暂时解决。但最麻烦的是在停车场、车库停车期间偶尔报警器也会突然响起（不知什么时</t>
  </si>
  <si>
    <t>善为至宝</t>
  </si>
  <si>
    <t>　　今年1月份，由于春节假期的因素，有效的销售时间仅为20天，市场整体销量也出现了下滑，乘联会数据显示，1月整体销量同比下滑20.4%，环比下降19.6%。近日从雪佛兰官方获悉：1月份，雪佛兰品牌在华销量为34,702辆，环比增长31.6%，其中suv车型探界者逆势增长，同比增幅61.5%，环比增长</t>
  </si>
  <si>
    <t>投诉编号：【447720】投诉时间：2020-02-1910:18投诉品牌：SWM斯威汽车投诉车系：SWM斯威X7投诉车型：2018款1.5T自动智享互联版7座投诉内容车子副驾驶车窗继电器有问题已经断续一年多了，之前更换过一次自费的，车窗是无缘无故不好用的出问题的，并不是人为，但是还要自费更换，现在</t>
  </si>
  <si>
    <t>2020/02/19 10:18:00</t>
  </si>
  <si>
    <t>　　受春节提前以及疫情等因素影响，1月份国内汽车市场出现了较大幅度的下滑，狭义乘用车市场销量下降20.4%。不过这种市场环境下，仍有部分车企跑赢大市。乘联会数据显示，上汽大众2020年1月份销售新车145,500辆，高居车企销量榜第二名，19.5%的降幅也低于整体乘用车市场降幅。其中，以suv为代表</t>
  </si>
  <si>
    <t>2020/02/19 10:17:00</t>
  </si>
  <si>
    <t>受春节提前以及疫情等因素影响，1月份国内汽车市场出现了较大幅度的下滑，狭义乘用车市场销量下降20.4%。不过这种市场环境下，仍有部分车企跑赢大市。乘联会数据显示，上汽大众2020年1月份销售新车145,500辆，高居车企销量榜第二名，19.5%的降幅也低于整体乘用车市场降幅。其中，以suv为代表的车</t>
  </si>
  <si>
    <t>　　去年上汽荣威发布了“芯动2020 ”新能源战略，在设计、技术以及服务层面均做出了相应的规划。产品方面，品牌将在上半年推出荣威ei6，作为该项战略的首款车型出现。近日网上车市获取到了一组该车的详细动力信息，新车综合工况下续航里程可达605km，综合百公里耗电量为12.6kwh，在与同级车型的比较中</t>
  </si>
  <si>
    <t>2020/02/19 10:15:00</t>
  </si>
  <si>
    <t>去年上汽荣威发布了“芯动2020 ”新能源战略，在设计、技术以及服务层面均做出了相应的规划。产品方面，品牌将在上半年推出荣威ei6，作为该项战略的首款车型出现。近日网上车市获取到了一组该车的详细动力信息，新车综合工况下续航里程可达605km，综合百公里耗电量为12.6kwh，在与同级车型的比较中更占</t>
  </si>
  <si>
    <t>　　市场上冠以“rs”名称的suv有不少，但性能拿得上台面的其实没几辆，确实性能出众、售价又在50万以下的就更少了。今天为大家介绍的就是这样一款真正的小钢炮：奥迪全新rs q3。　　奥迪的直列五缸发动机已经有超过40年的历史传承，也曾连续多年获得年度发动机奖项，全新奥迪rs q3系列上搭载的这款2.</t>
  </si>
  <si>
    <t>2020/02/19 10:14:00</t>
  </si>
  <si>
    <t>　　在去年末，车市有一款明星车型――长安cs75 plus，ta在上市之初就收获了万辆订单，并且在上市后两个多月的时间里订单量就突破4万台，成为12-16万元紧凑suv中国品牌销量冠军。人们不禁好奇，这样一款网红车型，究竟是实力制胜，抑或只是单纯的“偶像派”呢。在近期的中保研c-iasi碰撞测试中，</t>
  </si>
  <si>
    <t>2020/02/19 10:13:00</t>
  </si>
  <si>
    <t>　　目前国内suv市场的竞争激烈程度无需多言，而在10万元这个自主品牌的主力消费级别当中，长期占据榜首的当属哈弗h6了。长安欧尚作为长安汽车旗下主打商用和经济乘用车的品牌，旗下产品的价格也比较亲民，去年年底上市的长安欧尚x7，上市首月销量就破万的成绩无形中也给哈弗h6带来了一定的压力，很多对这台车感</t>
  </si>
  <si>
    <t>2020/02/19 10:11:00</t>
  </si>
  <si>
    <t>再也不用魔改 15万直接能买到本田“法拉域”了近日，东风本田对外发布了国产思域两厢车概念版的官图，新车内外设计均大量延续日规版思域两厢车的设计，之所以命名为概念版，个人猜测或是因为新增的运动学套件还未经过路试检测其气动性能，因而后期量产车或许会在细节上有所调整。  　　外观方面，相比于国产思域三厢版</t>
  </si>
  <si>
    <t>天蝎排气</t>
  </si>
  <si>
    <t>2020/02/19 10:08:00</t>
  </si>
  <si>
    <t>1月SUV榜单：哈弗H6销冠差点丢了 多匹黑马登榜相比轿车的排行来说，SUV这边变数要更大一些，多款黑马SUV车型挤入榜单之中，作为SUV界的王者哈弗H6，在1月份差点丢了自己的销冠排名，不得不说SUV的竞争太激烈，稍微不注意就有可能被颠覆，废话不多说，直接上车型。 哈弗H6虽然差一点被颠覆，不过凭</t>
  </si>
  <si>
    <t>近日，东风本田对外发布了国产思域两厢车概念版的官图，新车内外设计均大量延续日规版思域两厢车的设计，之所以命名为概念版，个人猜测或是因为新增的运动学套件还未经过路试检测其气动性能，因而后期量产车或许会在细节上有所调整。  　　外观方面，相比于国产思域三厢版，新车配备了全面“黑化”的运动套件，配合位于前</t>
  </si>
  <si>
    <t>相比轿车的排行来说，SUV这边变数要更大一些，多款黑马SUV车型挤入榜单之中，作为SUV界的王者哈弗H6，在1月份差点丢了自己的销冠排名，不得不说SUV的竞争太激烈，稍微不注意就有可能被颠覆，废话不多说，直接上车型。 哈弗H6虽然差一点被颠覆，不过凭借25582辆的成绩还是保住了1月份的SUV销量冠</t>
  </si>
  <si>
    <t>2月18日，有媒体从官方获悉，东风汽车集团有限公司（以下简称“东风公司”）携旗下东风资产管理有限公司向武汉市、十堰市共捐赠价值1,200余万元的防疫消毒机械，支援当地抗击疫情工作。由此，东风公司携旗下企业已捐赠款物达8,200余万元。    此次，东风公司根据防疫抗疫工作的实际需求，紧急向武汉市、十</t>
  </si>
  <si>
    <t>　　2月18日，有媒体从官方获悉，东风汽车集团有限公司（以下简称“东风公司”）携旗下东风资产管理有限公司向武汉市、十堰市共捐赠价值1,200余万元的防疫消毒机械，支援当地抗击疫情工作。由此，东风公司携旗下企业已捐赠款物达8,200余万元。　　此次，东风公司根据防疫抗疫工作的实际需求，紧急向武汉市、十</t>
  </si>
  <si>
    <t>近日，有媒体获得了一组布加迪le mans（勒芒）赛车渲染图，新车采用大量空气动力学设计，并加入众多布加迪标志性设计元素。据悉，该渲染图为大学毕业生max lask的作品，其曾在布加迪实习。    外观方面，新车整体造型十分低矮，前脸采用多级空气动力学套件，两侧配有竖置led灯带，视觉效果十分战斗。</t>
  </si>
  <si>
    <t>2020/02/19 10:07:00</t>
  </si>
  <si>
    <t>　　近日，有媒体获得了一组布加迪le mans（勒芒）赛车渲染图，新车采用大量空气动力学设计，并加入众多布加迪标志性设计元素。据悉，该渲染图为大学毕业生max lask的作品，其曾在布加迪实习。　　外观方面，新车整体造型十分低矮，前脸采用多级空气动力学套件，两侧配有竖置led灯带，视觉效果十分战斗。</t>
  </si>
  <si>
    <t>帅就完事！30万以内要无边框车门就看这几款 全是撩妹神器拥有炫酷的无边框车门的跑车或者轿跑，对于女孩子来说有着非常大吸引力。马上就是年底了，单身的男同胞不妨拿起你丰厚的年终奖，选购一台靓车，撩上一个如花似玉的姑娘回见爹妈........放心，不贵，30万以内就能搞定！大众CC售价：24.68-30.</t>
  </si>
  <si>
    <t>2020/02/19 10:06:00</t>
  </si>
  <si>
    <t>拥有炫酷的无边框车门的跑车或者轿跑，对于女孩子来说有着非常大吸引力。马上就是年底了，单身的男同胞不妨拿起你丰厚的年终奖，选购一台靓车，撩上一个如花似玉的姑娘回见爹妈........放心，不贵，30万以内就能搞定！大众CC售价：24.68-30.18万元   “最美大众车”可不是说着玩的，优雅的掀背轿</t>
  </si>
  <si>
    <t>在辉腾辉昂相继失败后 不服输的大众 再次推出辉道一个高端的汽车品牌，需要相当长的时间去孵化，而独立的高端车型发展，则是更加的困难，大众汽车目前所面临的问题就是如此，作为一家世界知名车企，大众在市场中拥有着很大的市场份额，以及良好的市场口碑，在此情况之下，大众开始尝试去打造一些高端车型，但从目前来看效</t>
  </si>
  <si>
    <t>2020/02/19 10:05:00</t>
  </si>
  <si>
    <t>不只是2.9秒破百！比亚迪“汉”最新消息来了说到比亚迪，想必大家都已经很熟悉了，特别是在推出了“中国风”的王朝系列车型之后，其更是成为市场上比较热门的品牌！ 比亚迪王朝系列车型于2012年开始诞生，目前已经推出了四个王朝系列，分别是“秦、唐、宋、元”，而近期，比亚迪近期又发布了王朝系列第五个产品——</t>
  </si>
  <si>
    <t>说到比亚迪，想必大家都已经很熟悉了，特别是在推出了“中国风”的王朝系列车型之后，其更是成为市场上比较热门的品牌！ 比亚迪王朝系列车型于2012年开始诞生，目前已经推出了四个王朝系列，分别是“秦、唐、宋、元”，而近期，比亚迪近期又发布了王朝系列第五个产品——“汉”，该车预告图一经发布就受到了广泛的关注</t>
  </si>
  <si>
    <t>一个高端的汽车品牌，需要相当长的时间去孵化，而独立的高端车型发展，则是更加的困难，大众汽车目前所面临的问题就是如此，作为一家世界知名车企，大众在市场中拥有着很大的市场份额，以及良好的市场口碑，在此情况之下，大众开始尝试去打造一些高端车型，但从目前来看效果并不理想，不管是辉腾还是辉昂车型，最终都没能够</t>
  </si>
  <si>
    <t>日前，有媒体从官方获悉，丰田将在3月开幕的2020日内瓦车展发布一款全新小型suv，目前这款新车的预告图已经发布。据此前消息，这款代号为“b-suv”的新车，将采用与全新一代丰田yaris相同的tnga-b平台打造，其定位将与目前丰田在售的c-hr有所差异。    从预告图看，这款丰田全新小型suv</t>
  </si>
  <si>
    <t>　　日前，有媒体从官方获悉，丰田将在3月开幕的2020日内瓦车展发布一款全新小型suv，目前这款新车的预告图已经发布。据此前消息，这款代号为“b-suv”的新车，将采用与全新一代丰田yaris相同的tnga-b平台打造，其定位将与目前丰田在售的c-hr有所差异。　　从预告图看，这款丰田全新小型suv</t>
  </si>
  <si>
    <t>2020年2月18日，我们从外媒获悉，来自斯里兰卡的超跑制造商vega lnnovations将在3月举办的日内瓦车展中推出旗下首款纯电动超级跑车evx，最大功率可达600kw。    evx的外观与法拉利458 ltalia有些相似，低趴的车头配合两侧高高隆起的翼子板营造了一种极佳的视觉冲击。大灯</t>
  </si>
  <si>
    <t>2020/02/19 10:03:00</t>
  </si>
  <si>
    <t>　　2020年2月18日，我们从外媒获悉，来自斯里兰卡的超跑制造商vega lnnovations将在3月举办的日内瓦车展中推出旗下首款纯电动超级跑车evx，最大功率可达600kw。　　evx的外观与法拉利458 ltalia有些相似，低趴的车头配合两侧高高隆起的翼子板营造了一种极佳的视觉冲击。大灯</t>
  </si>
  <si>
    <t>小姐姐都喜欢奔驰大G 但大部分人都不知道车内原来是这样对于任何一个漂亮小姐姐来说，奔驰大G粗犷的硬派风格和背后所隐含的财富密码，是她们无法拒绝的Dream Car。虽然奔驰大G拥有强悍的越野性能，也当之无愧的是一款专业四驱悍将。但是真正舍得拿这台车去越野的车主却实在是少数，它更多的时间只出现在夜店或</t>
  </si>
  <si>
    <t>2020/02/19 10:02:00</t>
  </si>
  <si>
    <t>2020/02/19 10:01:00</t>
  </si>
  <si>
    <t>买车也要讲究缘分/差点错过的——朗逸两厢其实买车主要是因为老婆怀孕了，而考虑到以后小孩上学接送或外出玩玩，有个车会方便许多，再说我们工作几年，也是时候买个车了。其实车开了倒是有段时间了，车各方面都不错，说起选车经历，还有一个小插曲呢。对于车，说实话其实我和老婆都不是很懂，我俩当初直接就去汽车城看车了</t>
  </si>
  <si>
    <t>近日，有媒体获悉，奥迪公司成为第一家获得asi（铝业管理倡议组织）绩效标准认证的铝下游用户，也是第一家获得asi认证的汽车制造商。奥迪公司位于德国内卡苏姆、匈牙利玖尔和比利时布鲁塞尔的三个工厂，均为奥迪e-tron电动车制造和组装大容量电池。此次，这三个工厂的铝制部件材料管理都通过了asi绩效标准认</t>
  </si>
  <si>
    <t>　　近日，有媒体获悉，奥迪公司成为第一家获得asi（铝业管理倡议组织）绩效标准认证的铝下游用户，也是第一家获得asi认证的汽车制造商。奥迪公司位于德国内卡苏姆、匈牙利玖尔和比利时布鲁塞尔的三个工厂，均为奥迪e-tron电动车制造和组装大容量电池。此次，这三个工厂的铝制部件材料管理都通过了asi绩效标</t>
  </si>
  <si>
    <t>百公里油耗3.7L 这款铃木房车刷新认知 售价15万厨房大床全都有Hello大家好，这里是房车情报。前段时间为大家报道了不少日本K-car房车，其中尤其以小型厢式车，也就是俗称的小面包车受到不少人的欢迎。主要是因为这种小车国内保有量不低，但是改装成为房车的案例并不多见，大家兴趣浓厚。今天小编继续为大</t>
  </si>
  <si>
    <t>2020/02/19 10:00:00</t>
  </si>
  <si>
    <t>Hello大家好，这里是房车情报。前段时间为大家报道了不少日本K-car房车，其中尤其以小型厢式车，也就是俗称的小面包车受到不少人的欢迎。主要是因为这种小车国内保有量不低，但是改装成为房车的案例并不多见，大家兴趣浓厚。今天小编继续为大家介绍一款这类底盘的房车，不过和之前的车型有所不同，可以说再一次刷</t>
  </si>
  <si>
    <t>买车这件事，在当下可以说是非常容易了。对于大多数朋友来说，大家在买车的时候，还会有一件绕不过去的事，那就是必须要去一趟或是几趟汽车4s店，也就是汽车经销商那里，毕竟，去4s店买车还是最为靠谱的选择。不过，随着互联网的出现，汽车销售也发生了天翻地覆的变化。近日，网通社获悉，大众集团表示将于2020年4</t>
  </si>
  <si>
    <t>2020/02/19 09:59:00</t>
  </si>
  <si>
    <t>　　买车这件事，在当下可以说是非常容易了。对于大多数朋友来说，大家在买车的时候，还会有一件绕不过去的事，那就是必须要去一趟或是几趟汽车4s店，也就是汽车经销商那里，毕竟，去4s店买车还是最为靠谱的选择。不过，随着互联网的出现，汽车销售也发生了天翻地覆的变化。近日，网通社获悉，大众集团表示将于2020</t>
  </si>
  <si>
    <t>根据国家发改委消息，新一轮成品油调价窗口将于今天（2月18日）24时开启。据国家发改委价格监测中心监测，本轮成品油调价周期内（2月4日—2月17日），国际油价继续大幅下降，平均来看，伦敦布伦特、纽约wti油价比上轮调价周期下降9.20%。受此影响，国内汽油、柴油零售价格下调。    网通社从国家发改</t>
  </si>
  <si>
    <t>2020/02/19 09:58:00</t>
  </si>
  <si>
    <t>　　根据国家发改委消息，新一轮成品油调价窗口将于今天（2月18日）24时开启。据国家发改委价格监测中心监测，本轮成品油调价周期内（2月4日―2月17日），国际油价继续大幅下降，平均来看，伦敦布伦特、纽约wti油价比上轮调价周期下降9.20%。受此影响，国内汽油、柴油零售价格下调。　　网通社从国家发改</t>
  </si>
  <si>
    <t xml:space="preserve">雪佛兰首款纯电动轿跑“畅巡”于2019年11月8日发布亮相，随后在12月20日率先在北京市场开启预售。日前，上汽通用汽车官方获悉，雪佛兰畅巡将于明日（2月20日）正式上市。新车采用源自fnr-x概念车的运动轿跑造型，搭载高效可靠的纯电驱动科技以及新一代智能互联系统，nedc续航里程达到410km。 </t>
  </si>
  <si>
    <t>2020/02/19 09:56:00</t>
  </si>
  <si>
    <t>　　雪佛兰首款纯电动轿跑“畅巡”于2019年11月8日发布亮相，随后在12月20日率先在北京市场开启预售。日前，上汽通用汽车官方获悉，雪佛兰畅巡将于明日（2月20日）正式上市。新车采用源自fnr-x概念车的运动轿跑造型，搭载高效可靠的纯电驱动科技以及新一代智能互联系统，nedc续航里程达到410km</t>
  </si>
  <si>
    <t>大众品牌的纯电家族将是大众未来最重要的发展方向。最新曝出的电动suv被大众汽车沃尔夫斯堡总部称为id.ruggdzz。id.ruggdzz是一款纯电四轮驱动suv，车长约4600mm，造型相对更像传统汽油车，可以补充id家族过于概念化的外形。和它尺寸相似的id.4，将在六月底特律车展上亮相。id.r</t>
  </si>
  <si>
    <t>2020/02/19 09:54:00</t>
  </si>
  <si>
    <t>　　大众品牌的纯电家族将是大众未来最重要的发展方向。最新曝出的电动suv被大众汽车沃尔夫斯堡总部称为id.ruggdzz。id.ruggdzz是一款纯电四轮驱动suv，车长约4600mm，造型相对更像传统汽油车，可以补充id家族过于概念化的外形。和它尺寸相似的id.4，将在六月底特律车展上亮相。id</t>
  </si>
  <si>
    <t>孙旭东ps</t>
  </si>
  <si>
    <t>　　入门合资紧凑型车往往是许多人这一生中购买的第一辆车，而现在由于购车群体的年轻化，为了更适应年轻人的审美，所以车辆的造型设计也越来越年轻、动感。除了外形要更年轻之外，车辆智能化体验也是目前发展的一大趋势。而斯柯达昕锐就很好地结合了年轻和智能这两点，有助于它在这个市场占据一席之地。</t>
  </si>
  <si>
    <t>2020/02/19 09:53:00</t>
  </si>
  <si>
    <t>易车讯 日前，有国内媒体报道称小鹏汽车投资成立肇庆小鹏新能源投资有限公司。据悉，肇庆小鹏新能源投资有限公司注册资本为1亿元，其法定代表人为小鹏汽车联合创始人兼总裁夏珩，而其经营范围则包括企业自有资金投资、能源管理服务、电池充电服务、电动汽车研发等。    根据相关资料显示，肇庆小鹏新能源投资有限公司</t>
  </si>
  <si>
    <t>2020/02/19 09:49:00</t>
  </si>
  <si>
    <t>　　易车讯 日前，有国内媒体报道称小鹏汽车投资成立肇庆小鹏新能源投资有限公司。据悉，肇庆小鹏新能源投资有限公司注册资本为1亿元，其法定代表人为小鹏汽车联合创始人兼总裁夏珩，而其经营范围则包括企业自有资金投资、能源管理服务、电池充电服务、电动汽车研发等。　　根据相关资料显示，肇庆小鹏新能源投资有限公司</t>
  </si>
  <si>
    <t>日前，奇瑞控股集团公布了2020年1月份汽车销量，集团共计销售汽车5.31万辆。其中，奇瑞汽车瑞虎系列、奇瑞控股捷途序列产品继续稳居销量“过万”阵地，同比分别实现10.8%、18%的两位数增长。海外出口持续回暖，集团1月份出口汽车8957辆，环比增长1.2%。奇瑞瑞虎8奇瑞瑞虎5x    尽管春节假</t>
  </si>
  <si>
    <t>2020/02/19 09:48:00</t>
  </si>
  <si>
    <t>　　日前，奇瑞控股集团公布了2020年1月份汽车销量，集团共计销售汽车5.31万辆。其中，奇瑞汽车瑞虎系列、奇瑞控股捷途序列产品继续稳居销量“过万”阵地，同比分别实现10.8%、18%的两位数增长。海外出口持续回暖，集团1月份出口汽车8957辆，环比增长1.2%。奇瑞瑞虎8奇瑞瑞虎5x　　尽管春节假</t>
  </si>
  <si>
    <t>才秋阳</t>
  </si>
  <si>
    <t>　　鸡头还是凤尾？高配的低级别车还是低配的更高级别车？在最近的直播中，有很多网友都会问我这样的问题，最典型的例子就是高配奥迪a4l和低配a6l，以及高配宝马3系和低配5系之间该如何选择，今天先为大家解读奥迪这两款车。　　官方售价几乎相同 配置各有千秋　　奥迪a4l的最顶配车型为45 tfsi qua</t>
  </si>
  <si>
    <t>2020/02/19 09:44:00</t>
  </si>
  <si>
    <t>　　北京现代的2020年其实正在憋着一股子”劲儿“，不少大家耳熟能详的新车都会在今年与我们见面，包括elantra（国内命名领动）、mistra（国内命名名图）、纯电菲斯塔以及神秘的mpv。当然，还有北京现代的重磅中级车第十代索纳塔。当年索八经典的流体雕塑设计美学颠覆了不少人心中对于中级车的定义，而</t>
  </si>
  <si>
    <t>2020/02/19 09:41:00</t>
  </si>
  <si>
    <t>　　新款马自达3昂克赛拉上市已有一段时间了，但老款车型也并未停产，处于新老款同堂销售的状态，但目前老款有2万元优惠，而新款没有优惠，这也导致了同样16万预算，你能够买到新款中配车型，但同样的价钱，也可以买到老款顶配，不仅在配置方面更有优势，并且还是独立悬架，不过新款也不弱，有着更好看的颜值和档次感，</t>
  </si>
  <si>
    <t>徐文涛</t>
  </si>
  <si>
    <t>2020/02/19 09:38:00</t>
  </si>
  <si>
    <t>雅阁召回后发动机动力不足油耗高十代雅阁因为失速问题进行了召回，召回之后加装了一个铁圈，然后开车明显感觉动力变弱了，踩油门发动机转速拉升，车辆的速度却提不起来，比召回之前提速明显变慢了很多，召回之前百公里油油耗一直维持在8.8L到9.2L，召回之后百公里油耗直接变成10.4L到10.6L。我们车友群中</t>
  </si>
  <si>
    <t>恐龙时代</t>
  </si>
  <si>
    <t>2020/02/19 09:30:00</t>
  </si>
  <si>
    <t>十代雅阁因为失速问题进行了召回，召回之后加装了一个铁圈，然后开车明显感觉动力变弱了，踩油门发动机转速拉升，车辆的速度却提不起来，比召回之前提速明显变慢了很多，召回之前百公里油油耗一直维持在8.8L到9.2L，召回之后百公里油耗直接变成10.4L到10.6L。我们车友群中很多人都向4S店反馈过这个问题</t>
  </si>
  <si>
    <t>上汽名爵在2019年相继投放全新一代名爵zs和名爵6等多款车型之后，由产品口碑和硬实力带来的正向效果在2020年1月份得到释放。据上汽名爵官方披露，新年首月在全球范围内，累计销售22460辆，同比增幅达8.33%。同时，上汽名爵在2019年度中总销量达到29.8万辆，增幅达11%。    上汽名爵近</t>
  </si>
  <si>
    <t>　　上汽名爵在2019年相继投放全新一代名爵zs和名爵6等多款车型之后，由产品口碑和硬实力带来的正向效果在2020年1月份得到释放。据上汽名爵官方披露，新年首月在全球范围内，累计销售22460辆，同比增幅达8.33%。同时，上汽名爵在2019年度中总销量达到29.8万辆，增幅达11%。　　上汽名爵近</t>
  </si>
  <si>
    <t>本田飞度冷车启动时发动机异响广汽本田飞度气温度时启动时异响，打齿声。而且在车质网上看到很多(14 16款)都有异响。应该可以确定这是属于发动机设计缺陷，望厂家能重视起来给出解决方案。</t>
  </si>
  <si>
    <t>2020/02/19 09:28:00</t>
  </si>
  <si>
    <t>途胜升级后发动机动力弱发动机升级后动力弱，油耗高。噪音大，变速箱异响。上星期投诉后接到车质网的电话让注意接听厂家电话。并没有接到厂家或者有关车辆的电话，北京现代就这么糊弄消费者吗，太拿车主不当回事了。</t>
  </si>
  <si>
    <t>发动机升级后动力弱，油耗高。噪音大，变速箱异响。上星期投诉后接到车质网的电话让注意接听厂家电话。并没有接到厂家或者有关车辆的电话，北京现代就这么糊弄消费者吗，太拿车主不当回事了。</t>
  </si>
  <si>
    <t>广汽本田飞度气温度时启动时异响，打齿声。而且在车质网上看到很多(14 16款)都有异响。应该可以确定这是属于发动机设计缺陷，望厂家能重视起来给出解决方案。</t>
  </si>
  <si>
    <t>　　最近有个排到新能源号牌的朋友问我，十二、三万的预算买台什么电动车好呢？之前有人给他推荐了比亚迪e3，他在网上看了看，觉得这车还挺好看的，但迫于最近新冠疫情的缘故，不敢去店里看车，想让我帮他参谋参谋。相信有上述需求的朋友一定不再少数，那么今天的《值不值》就带大家来看一看比亚迪e3，聊聊这款车究竟值</t>
  </si>
  <si>
    <t>2020/02/19 09:27:00</t>
  </si>
  <si>
    <t>郑州日产途达电瓶漏电1月16日提车，1月26日至1月30日车辆未启动，30日启动发现车辆电瓶没电，后期陆续出现4次电瓶没电无法启动，4S店给出得解决措施是在4S店充电5小时解决。</t>
  </si>
  <si>
    <t>1月16日提车，1月26日至1月30日车辆未启动，30日启动发现车辆电瓶没电，后期陆续出现4次电瓶没电无法启动，4S店给出得解决措施是在4S店充电5小时解决。</t>
  </si>
  <si>
    <t>　　记得07年的时候，我在学校门口看到第一代的cls 350车型时就被它的外观所深深的吸引了。奔驰cls从初代车型开始高贵、优雅就成为了它的代言词，以至于很多朋友都把它称为“最美奔驰”。如今这辆新一代的cls可不简单只是下了表面功夫，新配备的2.0t 48v的轻混系统。下面就让我们一起去了解一下这台</t>
  </si>
  <si>
    <t>2020/02/19 09:26:00</t>
  </si>
  <si>
    <t>起亚KX CROSS行驶中异响抖动买的是新车价格，行驶不到3000公里，2个月不到。发现主驾驶车门B柱焊点开裂，变形，车门关不平。前后车门不在一条平行线。行驶中车内和车外有各种异响，变速箱换挡卡顿严重，在3挡的位置会一冲一冲的。怠速抖动厉害。准新车会是这样的吗？买车给我带来了诸多不便，请贵厂能本着为</t>
  </si>
  <si>
    <t>轮胎</t>
  </si>
  <si>
    <t>丰田亚洲龙车内异响 门窗漏风才一个半月，700多公里。走稍微烂一些的路，1，方向盘里面跟有小石子儿共振似的，哒哒哒异响。2，整个车机异响3，A住异响同时速度上到50后，A住有搜搜风声，不是风躁。</t>
  </si>
  <si>
    <t>买的是新车价格，行驶不到3000公里，2个月不到。发现主驾驶车门B柱焊点开裂，变形，车门关不平。前后车门不在一条平行线。行驶中车内和车外有各种异响，变速箱换挡卡顿严重，在3挡的位置会一冲一冲的。怠速抖动厉害。准新车会是这样的吗？买车给我带来了诸多不便，请贵厂能本着为客户负责的态度彻查此事。</t>
  </si>
  <si>
    <t>才一个半月，700多公里。走稍微烂一些的路，1，方向盘里面跟有小石子儿共振似的，哒哒哒异响。2，整个车机异响3，A住异响同时速度上到50后，A住有搜搜风声，不是风躁。</t>
  </si>
  <si>
    <t>轩逸电瓶亏电导致无法使用这款东风日产轩逸车的电瓶只要停了五天之七天没开车电瓶就完全没电，车门都无法打开，这是厂家的问题，我在2018年自己花钱换了一个新电瓶没有用到一个月又是一样停了一个期星就打不开车门了，这种情况我在网上一搜不只我一个人有这个问题，所以我要求厂家要为我们销费者彻底解决这个问题，我以</t>
  </si>
  <si>
    <t>2020/02/19 09:25:00</t>
  </si>
  <si>
    <t>这款东风日产轩逸车的电瓶只要停了五天之七天没开车电瓶就完全没电，车门都无法打开，这是厂家的问题，我在2018年自己花钱换了一个新电瓶没有用到一个月又是一样停了一个期星就打不开车门了，这种情况我在网上一搜不只我一个人有这个问题，所以我要求厂家要为我们销费者彻底解决这个问题，我以前是买了一款东风雪铁龙爱</t>
  </si>
  <si>
    <t>　　当你听到4.8秒破百，你会是什么感觉？绝大部分人都会伸出大拇指，说一句厉害啊。奥迪s3就是这样一款车，蹦个直线，分分钟可以秒掉你的对手。虽然它的速度快，但绝大部分用户都吐槽它的配置很寒酸，甚至还不如a3。　　对于奥迪s3来说，我觉得它做得非常极端化，性能方面没的说，数一数二的水平，都是大家公认的</t>
  </si>
  <si>
    <t>2020/02/19 09:24:00</t>
  </si>
  <si>
    <t>领克01电瓶亏电车机黑屏车辆车的出场时间是19年4月份，7月份购买，平时开的比较少。最近动车时间为2020.2.13，并且前一次开过500km的长途（如图，此APP的行车日志记录不完全）所以不会存在停车时间太久导致亏电现象。4S救援后车机就完全黑屏，转向灯无声音、变道预警无提示音、前置摄像头故障、无</t>
  </si>
  <si>
    <t>车辆车的出场时间是19年4月份，7月份购买，平时开的比较少。最近动车时间为2020.2.13，并且前一次开过500km的长途（如图，此APP的行车日志记录不完全）所以不会存在停车时间太久导致亏电现象。4S救援后车机就完全黑屏，转向灯无声音、变道预警无提示音、前置摄像头故障、无车道保持等等安全功能全部</t>
  </si>
  <si>
    <t>雪铁龙C4世嘉方向柱晃动导致方向盘松动刚出质保期，就出现方向柱晃动导致方向盘松动，而且越来越明显，特别是走国道的时候最明显，存在非常可怕的安全隐患。4S店检查，确认方向盘转向柱坏了，需要更换总成。上网一查，C4世嘉、C4L这是通病，之前C4L雪铁龙厂家给6年内都是免费更换的，而C4世嘉现在是三年过保</t>
  </si>
  <si>
    <t>可比克好吃</t>
  </si>
  <si>
    <t>2020/02/19 09:23:00</t>
  </si>
  <si>
    <t>投诉编号：【447716】投诉时间：2020-02-1909:23投诉品牌：华晨鑫源投诉车系：金杯T32投诉车型：2015款1.3L舒适性DLCG12投诉内容1.铭牌上发动机型号：DLCG12，实际型号：DLCG10，发动机型号对不上！2.应该是冷却系统设计缺陷，长期温度高。投诉回复车质网已将您的投</t>
  </si>
  <si>
    <t>刚出质保期，就出现方向柱晃动导致方向盘松动，而且越来越明显，特别是走国道的时候最明显，存在非常可怕的安全隐患。4S店检查，确认方向盘转向柱坏了，需要更换总成。上网一查，C4世嘉、C4L这是通病，之前C4L雪铁龙厂家给6年内都是免费更换的，而C4世嘉现在是三年过保就要收费。方向盘不是易损件又是非常重要</t>
  </si>
  <si>
    <t>　　近一两年，运动轿跑suv兴起，很多厂商都在推出这类车型，国内自主品牌里最早推出轿跑suv车型的企业是启辰，它的旗舰车型t90就是自主品牌首款轿跑suv。大伙都知道，启辰采用了日产的技术，启辰t90也不例外，三大件与奇骏同款，那么这款采用了日产技术的车型是否值得入手呢？　　购车之前我们要先看看启辰</t>
  </si>
  <si>
    <t>2020/02/19 09:22:00</t>
  </si>
  <si>
    <t>奇瑞艾瑞泽5后车门出现生锈后车门出现生锈情况，锈迹严重。</t>
  </si>
  <si>
    <t>本田雅阁高速时微调方向卡顿异响雅阁混动锐智，高速关闭所有辅助驾驶后速度超过100微微打方向离开中心点那一下会有卡滞现象，必须施加稍大力量才能调整方向，高速行驶存在很大安全隐患。</t>
  </si>
  <si>
    <t>本田思域中控台异响售后未解决前挡风玻璃跟中控台相接处异响，新车无法忍受这种声音，请厂家解决。</t>
  </si>
  <si>
    <t>雅阁混动锐智，高速关闭所有辅助驾驶后速度超过100微微打方向离开中心点那一下会有卡滞现象，必须施加稍大力量才能调整方向，高速行驶存在很大安全隐患。</t>
  </si>
  <si>
    <t>后车门出现生锈情况，锈迹严重。</t>
  </si>
  <si>
    <t>前挡风玻璃跟中控台相接处异响，新车无法忍受这种声音，请厂家解决。</t>
  </si>
  <si>
    <t>本田思域锁车后转向灯一直闪烁2019年还没过保的时候就发现汽车在车锁车状态下右转向灯不规则的闪烁，那时候没那么频繁。期间去过两次4S店咨询并把车开到他们店里。因为是偶尔才出的问题到店售后在那看了几分钟也没出现我所说的故障，见他都不帮我检测车子只用肉眼看，那时候我也不懂。叫我回去看到有闪拍视屏给他，也</t>
  </si>
  <si>
    <t>2020/02/19 09:21:00</t>
  </si>
  <si>
    <t>2019年还没过保的时候就发现汽车在车锁车状态下右转向灯不规则的闪烁，那时候没那么频繁。期间去过两次4S店咨询并把车开到他们店里。因为是偶尔才出的问题到店售后在那看了几分钟也没出现我所说的故障，见他都不帮我检测车子只用肉眼看，那时候我也不懂。叫我回去看到有闪拍视屏给他，也没叫我怎么和拍法，然后被打发</t>
  </si>
  <si>
    <t>　　近日，我们从奇瑞汽车官方获悉，全新一代瑞虎7/瑞虎7pro将于3月9日正式上市。作为瑞虎7的换代车型，新车将推出搭载1.5t cvt/6mt动力的全新瑞虎7和搭载1.6t 7dct动力的全新瑞虎7 pro，共包含不同配置的8款车型，预售价区间为8.69-14.59万元。　　据了解，奇瑞全新一代瑞</t>
  </si>
  <si>
    <t>2020/02/19 09:20:00</t>
  </si>
  <si>
    <t>近日，我们从奇瑞汽车官方获悉，全新一代瑞虎7/瑞虎7pro将于3月9日正式上市。作为瑞虎7的换代车型，新车将推出搭载1.5t cvt/6mt动力的全新瑞虎7和搭载1.6t 7dct动力的全新瑞虎7 pro，共包含不同配置的8款车型，预售价区间为8.69-14.59万元。    据了解，奇瑞全新一代瑞</t>
  </si>
  <si>
    <t>长城C30车身生锈存在质量问题车身从里面生锈，反锈的地方非常厉害。</t>
  </si>
  <si>
    <t>现代领动耐克森轮胎无故出现鼓包买车半年零3天，行驶3312公里，轮胎出现鼓包。</t>
  </si>
  <si>
    <t>买车半年零3天，行驶3312公里，轮胎出现鼓包。</t>
  </si>
  <si>
    <t>车身从里面生锈，反锈的地方非常厉害。</t>
  </si>
  <si>
    <t>　　据悉，零跑s01车型将迎来升级：现有460版本车型的综合续航里程将由380km提升至451km，除了针对电池组进行升级外，外观与内饰将延续现款车型，预计于今年上半年上市。除此，零跑今年也将推出第二款量产车型零跑t03，其综合续航里程为400km，将于第二季度正式上市。　　目前，零跑s01在售的共</t>
  </si>
  <si>
    <t>王晓莉</t>
  </si>
  <si>
    <t>2020/02/19 09:19:00</t>
  </si>
  <si>
    <t>据悉，零跑s01车型将迎来升级：现有460版本车型的综合续航里程将由380km提升至451km，除了针对电池组进行升级外，外观与内饰将延续现款车型，预计于今年上半年上市。除此，零跑今年也将推出第二款量产车型零跑t03，其综合续航里程为400km，将于第二季度正式上市。    目前，零跑s01在售的共</t>
  </si>
  <si>
    <t>东风本田CR-V发动机机油乳化严重发动机里的机油乳化严重，存在质量问题要求厂家尽快处理。</t>
  </si>
  <si>
    <t>发动机里的机油乳化严重，存在质量问题要求厂家尽快处理。</t>
  </si>
  <si>
    <t>斯柯达柯迪亚克方向盘抖动转速在1100-1300左右方向盘抖动，噪音振的耳朵疼。4S店无法解决问题。挡把上按钮按下去无法复位，且挂不上p挡，无法锁车。右边两个车门下边密封条掉落。</t>
  </si>
  <si>
    <t>2020/02/19 09:18:00</t>
  </si>
  <si>
    <t>转速在1100-1300左右方向盘抖动，噪音振的耳朵疼。4S店无法解决问题。挡把上按钮按下去无法复位，且挂不上p挡，无法锁车。右边两个车门下边密封条掉落。</t>
  </si>
  <si>
    <t>日前，现代正式发布了全新的现代i20官图。新车相比现款车型外观方面有明显的升级改变，整体造型更年轻动感。据官方透露，新车将于日内瓦车展亮相。    外观方面，新车采用了现代最新的家族式的设计风格。整体来看相比现款车型，新车前格栅和大灯都变得更加犀利，格栅的边角和大灯的灯角处都是以锐利的尖角处理方式，</t>
  </si>
  <si>
    <t>2020/02/19 09:17:00</t>
  </si>
  <si>
    <t>奇瑞瑞虎8水箱泄漏防冻液2019年12月20日车辆水箱漏防冻液严重，当时去4S店自费更换新的水箱。由于水箱外部漏水，所以厂家不承认质量问题，说是行驶中石子从中网打到了水箱，后来新的换了。一个月左右今天2020年2月16日再次发现车底有防冻液滴漏，这是不是欺诈消费者？整车都在质保期内！望厂家重视！经过</t>
  </si>
  <si>
    <t>广汽菲克菲亚特致悦变速箱液压执行单元漏油液压执行单元行驶途中突然漏油，导致自动变速箱失效，车辆失去动力。</t>
  </si>
  <si>
    <t>　　日前，现代正式发布了全新的现代i20官图。新车相比现款车型外观方面有明显的升级改变，整体造型更年轻动感。据官方透露，新车将于日内瓦车展亮相。　　外观方面，新车采用了现代最新的家族式的设计风格。整体来看相比现款车型，新车前格栅和大灯都变得更加犀利，格栅的边角和大灯的灯角处都是以锐利的尖角处理方式，</t>
  </si>
  <si>
    <t>2019年12月20日车辆水箱漏防冻液严重，当时去4S店自费更换新的水箱。由于水箱外部漏水，所以厂家不承认质量问题，说是行驶中石子从中网打到了水箱，后来新的换了。一个月左右今天2020年2月16日再次发现车底有防冻液滴漏，这是不是欺诈消费者？整车都在质保期内！望厂家重视！经过本人了解。2018款奇瑞</t>
  </si>
  <si>
    <t>液压执行单元行驶途中突然漏油，导致自动变速箱失效，车辆失去动力。</t>
  </si>
  <si>
    <t>上汽荣威RX3车灯不亮 车门异响左边转弯灯和左边应急灯不亮，此车配备四个音响后座两个没响，副驾驶门今天早上开始出现异响，车辆配备的应用无法连接手机。</t>
  </si>
  <si>
    <t>2020/02/19 09:16:00</t>
  </si>
  <si>
    <t>左边转弯灯和左边应急灯不亮，此车配备四个音响后座两个没响，副驾驶门今天早上开始出现异响，车辆配备的应用无法连接手机。</t>
  </si>
  <si>
    <t>近日，有媒体曝光了本田飞度type r的效果图，该图描绘了一辆比标准2020款飞度更具侵略性的车辆，带有经过改进的前保险杠，并装有大量进气口和一个额外的扰流板。    从效果图来看，type r高性能版飞度的造型比起普通版车型来说更具侵略性，其中前保险杠经过了重新的设计，显得夸张了许多。除此之外，左</t>
  </si>
  <si>
    <t>2020/02/19 09:15:00</t>
  </si>
  <si>
    <t>日产轩逸化妆镜处漏水 中控台异响车辆化妆镜处漏水，天窗没有堵，质保期未过，过去修理，还要求收费，中控吱吱异响，特别走烂路，异响严重。贷款车辆，贷款还完，要求交100多元解押费，很不合理，乱收费。</t>
  </si>
  <si>
    <t>　　近日，有媒体曝光了本田飞度type r的效果图，该图描绘了一辆比标准2020款飞度更具侵略性的车辆，带有经过改进的前保险杠，并装有大量进气口和一个额外的扰流板。　　从效果图来看，type r高性能版飞度的造型比起普通版车型来说更具侵略性，其中前保险杠经过了重新的设计，显得夸张了许多。除此之外，左</t>
  </si>
  <si>
    <t>2017年1月，福特最初宣布计划让bronco重新回归，人们也在迫切期待这款越野车的到来。而就在最近，福特宣布将在2020年春季将推出全新bronco，并在3月全球首发。    据媒体报道，该该公告是在拉斯维加斯举行的美国全国汽车经销商协会展上宣布的。此外，一款名为“bronco sport”的紧凑</t>
  </si>
  <si>
    <t>2020/02/19 09:14:00</t>
  </si>
  <si>
    <t>　　2017年1月，福特最初宣布计划让bronco重新回归，人们也在迫切期待这款越野车的到来。而就在最近，福特宣布将在2020年春季将推出全新bronco，并在3月全球首发。　　据媒体报道，该该公告是在拉斯维加斯举行的美国全国汽车经销商协会展上宣布的。此外，一款名为“bronco sport”的紧凑</t>
  </si>
  <si>
    <t>据外媒报道，来自美国洛杉矶的造车新势力辛格汽车公司（czinger）计划在下个月的日内瓦车展上展出一台定制的混合动力超跑—czinger21c。其中czinger是公司创始人kevinczinger的名字，21c则寓意21世纪。    据了解，该公司将这台新车称为“具有标志性设计和主导性能的突破性超</t>
  </si>
  <si>
    <t>2020/02/19 09:13:00</t>
  </si>
  <si>
    <t>　　据外媒报道，来自美国洛杉矶的造车新势力辛格汽车公司（czinger）计划在下个月的日内瓦车展上展出一台定制的混合动力超跑―czinger21c。其中czinger是公司创始人kevinczinger的名字，21c则寓意21世纪。　　据了解，该公司将这台新车称为“具有标志性设计和主导性能的突破性超</t>
  </si>
  <si>
    <t>闲来无事，今天漫哥又跟大家吹一下汽车的一些冷知识。1、兰博基尼早在1970年就玩过SUV了。当时推出一辆LM002的SUV车款，不过是作为军车使用，没有大规模生产。2、事实上电动汽车的出现比燃油汽车还早40年。美国人1834年就发明了第一台直流电机汽车，英国人1884年量产了第一台电动车。1920年</t>
  </si>
  <si>
    <t>2020/02/19 09:12:00</t>
  </si>
  <si>
    <t>投诉编号：【447715】  投诉时间： 2020-02-19 09:12  投诉品牌： 上汽大众  投诉车系： 凌渡  投诉车型： 2015款 280TSI DSG 豪华版        投诉内容  上汽大众凌渡后轮减震器漏油不予质保，之前关于后减震漏油的投诉，厂家及售后都没主动联系过我，也不存在</t>
  </si>
  <si>
    <t>十条汽车界的冷知识闲来无事，今天漫哥又跟大家吹一下汽车的一些冷知识。1、兰博基尼早在1970年就玩过SUV了。当时推出一辆LM002的SUV车款，不过是作为军车使用，没有大规模生产。2、事实上电动汽车的出现比燃油汽车还早40年。美国人1834年就发明了第一台直流电机汽车，英国人1884年量产了第一台</t>
  </si>
  <si>
    <t>2020年很快就要到来，这一年对电动汽车来说具有重要的里程碑意义。新能源汽车补贴将退出市场，跨国车企电动汽车开始轮番上市，双积分政策正式进入考核结算期。不管是续航里程的延长，充电基础设施的普及，还是电动汽车车型的丰富化，都让电动汽车的普及进一步成为现实。随着新能源汽车战略的实施，将会有大批全新的电动</t>
  </si>
  <si>
    <t>2020/02/19 09:11:00</t>
  </si>
  <si>
    <t>跑车发烧友在2020年有很多期待。有很多即将推出跑车年度改款，还有重新设计的跑车，以及新款跑车。下面是计划在2020年推出的10款最受期待的跑车。2020特斯拉Roadster特斯拉宣布计划制造一款全新的Roadster跑车，该跑车短短的1.9秒内可以从0到100公里/小时。这是一款电动跑车，其最高</t>
  </si>
  <si>
    <t>最新一代保时捷911（代号992）发布已一年多，相信不少潜在买家都在期待911 turbo或者911 gt3，因为这些车型除了性能有所提升，外观也更具有观赏性。高耸的尾翼，激进的扰流设计，这些元素都在激发着人们的驾驶欲望。最近，保时捷个性化定制部门推出了sport design套件以及aerokit</t>
  </si>
  <si>
    <t>　　最新一代保时捷911（代号992）发布已一年多，相信不少潜在买家都在期待911 turbo或者911 gt3，因为这些车型除了性能有所提升，外观也更具有观赏性。高耸的尾翼，激进的扰流设计，这些元素都在激发着人们的驾驶欲望。最近，保时捷个性化定制部门推出了sport design套件以及aerok</t>
  </si>
  <si>
    <t>2020年最受期待的十款跑车跑车发烧友在2020年有很多期待。有很多即将推出跑车年度改款，还有重新设计的跑车，以及新款跑车。下面是计划在2020年推出的10款最受期待的跑车。2020特斯拉Roadster特斯拉宣布计划制造一款全新的Roadster跑车，该跑车短短的1.9秒内可以从0到100公里/小</t>
  </si>
  <si>
    <t>2020年最值得期待拥有的10款电动汽车2020年很快就要到来，这一年对电动汽车来说具有重要的里程碑意义。新能源汽车补贴将退出市场，跨国车企电动汽车开始轮番上市，双积分政策正式进入考核结算期。不管是续航里程的延长，充电基础设施的普及，还是电动汽车车型的丰富化，都让电动汽车的普及进一步成为现实。随着新</t>
  </si>
  <si>
    <t>10万以内国产自主品牌依然是主力担当，大师建议10万以内的价格选择国产汽车更贴切。毕竟10-20万元价格已经被合资占领，30万以上价位被豪华品牌全揽。因此说，10万元以内的价格，主推国产，今天向大家介绍4款国产轿车，其一是中国的骄傲。秦Pro燃油版指导价：7.98-11.59万比亚迪汽车一直是新能源</t>
  </si>
  <si>
    <t>2020/02/19 09:10:00</t>
  </si>
  <si>
    <t>日前，斯巴鲁官方发布了一组翼豹e-boxer的官图。翼豹e-boxer基于最新款翼豹打造，搭载由2.0l发动机、cvt变速箱和电动机组成的油电混动系统。预计该车将在近期正式发布，未来将率先在欧洲市场上市。    目前最新款的斯巴鲁翼豹在2019东京车展发布，翼豹e-boxer完全延续了前者的外观设计</t>
  </si>
  <si>
    <t>　　日前，斯巴鲁官方发布了一组翼豹e-boxer的官图。翼豹e-boxer基于最新款翼豹打造，搭载由2.0l发动机、cvt变速箱和电动机组成的油电混动系统。预计该车将在近期正式发布，未来将率先在欧洲市场上市。　　目前最新款的斯巴鲁翼豹在2019东京车展发布，翼豹e-boxer完全延续了前者的外观设计</t>
  </si>
  <si>
    <t>10万以内买什么车好？10万以内国产自主品牌依然是主力担当，大师建议10万以内的价格选择国产汽车更贴切。毕竟10-20万元价格已经被合资占领，30万以上价位被豪华品牌全揽。因此说，10万元以内的价格，主推国产，今天向大家介绍4款国产轿车，其一是中国的骄傲。秦Pro燃油版指导价：7.98-11.59万</t>
  </si>
  <si>
    <t>最近几年，要说汽车圈哪些技术最流行，除了电动以外想必就是三缸了。各大厂家像疯了一样投入三缸发动机阵营，无论车型属于哪个级别、哪个价格区间，全都先匹配个小排量三缸机上去再说！但很诡异的是，最近一段时间各个厂家对于三缸的“热情”似乎有所衰退，甚至有些厂家开始“弃三投四”，重回四缸阵营，这究竟是为什么呢？</t>
  </si>
  <si>
    <t>2020/02/19 09:09:00</t>
  </si>
  <si>
    <t>奥迪A6暴涨近40% 销量比凯美瑞还多今年1月份的汽车市场可以用"惨不忍睹"来形容了。不管是轿车市场，还是SUV市场，许多车型都纷纷出现了下滑，甚至有些车型还跌得非常惨。在众多车型都下滑之际，奥迪A6暴涨39.6%的销量增势就显得非常"秀"了。据乘联会数据显示，奥迪A6在今年1月份销售了17643台</t>
  </si>
  <si>
    <t>三缸发动机正离我们而去......最近几年，要说汽车圈哪些技术最流行，除了电动以外想必就是三缸了。各大厂家像疯了一样投入三缸发动机阵营，无论车型属于哪个级别、哪个价格区间，全都先匹配个小排量三缸机上去再说！但很诡异的是，最近一段时间各个厂家对于三缸的“热情”似乎有所衰退，甚至有些厂家开始“弃三投四”</t>
  </si>
  <si>
    <t>劳斯莱斯设计师操刀 全新一代红旗H7实车泄露大家好，我是效斌。今天要跟大家聊一款关注度非常高的车。这款车仅凭一张照片就让全网炸了锅，它就是全新红旗H7。一张图就炸了锅，外观设计很颠覆喏~就是下面这张图，相信大家在手机上有刷到过吧！想必很多人在看到这张图的时候多少有点惊讶。这个车头看起来好有气势，修长</t>
  </si>
  <si>
    <t>2020/02/19 09:08:00</t>
  </si>
  <si>
    <t>　　近日，有海外网友曝光了一组特斯拉model y的路试谍照，谍照的拍摄地在加拿大魁北克，可以看到，目前特斯拉model y正进行着交付前最后的冬季测试。　　通过谍照，我们看到测试车辆四周遍布污渍，或许正在进行高强度的测试。即便车身遍布污渍我们还是可以看到这次的路试车并没有太多的伪装，设计基本与此前</t>
  </si>
  <si>
    <t>近日，有海外网友曝光了一组特斯拉model y的路试谍照，谍照的拍摄地在加拿大魁北克，可以看到，目前特斯拉model y正进行着交付前最后的冬季测试。    通过谍照，我们看到测试车辆四周遍布污渍，或许正在进行高强度的测试。即便车身遍布污渍我们还是可以看到这次的路试车并没有太多的伪装，设计基本与此前</t>
  </si>
  <si>
    <t>普拉多换个壳 便宜10万的奔跑者咋就没人要？Fortuner平行进口车市场早早跌破30万，丰田7座硬派四驱越野车之名，并没有让Fortuner获得与普拉多同样的增量空间，即便比普拉多便宜10万更多，其也鲜有人问津。与普拉多征战国内市场不同的是，Fortuner主要负责海外市场，两款车型虽服务不同市场</t>
  </si>
  <si>
    <t>2020/02/19 09:07:00</t>
  </si>
  <si>
    <t>曾有位伟人说过：“世界是你们的，也是我们的，但是归根结底是你们的。”确实，年轻人富有想象力并满怀激情，他们引领着时代的潮流趋势。越来越多的车企也开始推出年轻化的产品来迎合“未来的当家人”，2020年就将有多款重磅车型是冲着年轻人来的。所以，年轻人，过年别乱花钱，否则这些新车上市时只能干瞪眼了！吉利-</t>
  </si>
  <si>
    <t>2020/02/19 09:06:00</t>
  </si>
  <si>
    <t>2020年上市的新车曾有位伟人说过：“世界是你们的，也是我们的，但是归根结底是你们的。”确实，年轻人富有想象力并满怀激情，他们引领着时代的潮流趋势。越来越多的车企也开始推出年轻化的产品来迎合“未来的当家人”，2020年就将有多款重磅车型是冲着年轻人来的。所以，年轻人，过年别乱花钱，否则这些新车上市时</t>
  </si>
  <si>
    <t>　　日前，布加迪发布了一组名为“atlantic”的概念车官图。与目前在售的布加迪车型不同，atlantic拥有修长的车头、短促的驾驶舱并采用后轮驱动，更重要的是这款车型并非搭载w16发动机，取而代之的是大v8。　　atlantic概念车于2015年完成设计，与计划于当年圆石滩车展首发，但由于种种原</t>
  </si>
  <si>
    <t>日前，布加迪发布了一组名为“atlantic”的概念车官图。与目前在售的布加迪车型不同，atlantic拥有修长的车头、短促的驾驶舱并采用后轮驱动，更重要的是这款车型并非搭载w16发动机，取而代之的是大v8。    atlantic概念车于2015年完成设计，与计划于当年圆石滩车展首发，但由于种种原</t>
  </si>
  <si>
    <t>这5台新车霸气亮相 个个都是中国骄傲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V编辑点评：红旗</t>
  </si>
  <si>
    <t>买车的时候大家经常会发现，不同配置的车辆，在大灯方面也有很大的区别，甚至能直接影响车辆的价格。去4S店看车的时候，经常能听到销售顾问给大家介绍大灯的类型，有卤素大灯、氙气大灯、LED大灯、激光大灯等，这些形式的大灯有什么区别？我们应该选哪个？接下来笔者跟大家分享一下车灯的知识。汽车大灯的分类：1、卤</t>
  </si>
  <si>
    <t>2020/02/19 09:05:00</t>
  </si>
  <si>
    <t>每一年“沃德十佳内饰”的评选结果都会受到很多人质疑，在入榜车型中往往有多款内饰看起来不那么漂亮的车型入选。今天我们也来“班门弄斧”，为大家选出了编辑部心中“2019年球叔十佳内饰”：合资篇：新一代路虎揽胜极光入选理由：同级豪华感最强的内饰，没有之一极光的设计其实无需我们多费键盘，自诞生之初，极光就成</t>
  </si>
  <si>
    <t>买车应该选什么灯买车的时候大家经常会发现，不同配置的车辆，在大灯方面也有很大的区别，甚至能直接影响车辆的价格。去4S店看车的时候，经常能听到销售顾问给大家介绍大灯的类型，有卤素大灯、氙气大灯、LED大灯、激光大灯等，这些形式的大灯有什么区别？我们应该选哪个？接下来笔者跟大家分享一下车灯的知识。汽车大</t>
  </si>
  <si>
    <t>2019年十佳内饰盘点每一年“沃德十佳内饰”的评选结果都会受到很多人质疑，在入榜车型中往往有多款内饰看起来不那么漂亮的车型入选。今天我们也来“班门弄斧”，为大家选出了编辑部心中“2019年球叔十佳内饰”：合资篇：新一代路虎揽胜极光入选理由：同级豪华感最强的内饰，没有之一极光的设计其实无需我们多费键盘</t>
  </si>
  <si>
    <t>每个汽车品牌都有其独特的个性，不少消费者买车时也会考虑到这点。那么如果将汽车品牌拟人化后，会出现怎样的景象？有位韩国绘师就这么做了。Jeep的拟人化后是一位穿迷彩裤的黄毛，那脸骚涩是几个意思？奥迪，高富帅，略带娘娘腔，你看他穿的小红鞋，骚的一比……宝马，也是高富帅，但是带点痞气，坏坏的笑透露出一丝玩</t>
  </si>
  <si>
    <t>2020/02/19 09:04:00</t>
  </si>
  <si>
    <t>汽车品牌拟人化后都是啥形象每个汽车品牌都有其独特的个性，不少消费者买车时也会考虑到这点。那么如果将汽车品牌拟人化后，会出现怎样的景象？有位韩国绘师就这么做了。Jeep的拟人化后是一位穿迷彩裤的黄毛，那脸骚涩是几个意思？奥迪，高富帅，略带娘娘腔，你看他穿的小红鞋，骚的一比……宝马，也是高富帅，但是带点</t>
  </si>
  <si>
    <t>　　日前，阿斯顿马丁发布了敞篷版的vantage roadster官图，新车采用的是“z型”软顶敞篷机构，拥有领先同级的敞篷开合速度。目前该车已经在国内开启预售，起售价191.8万，将于2020年第二季度正式交付。　　vantage roadster基于硬顶版车型打造，由于采用了轻巧的“z”型软顶敞</t>
  </si>
  <si>
    <t>日前，阿斯顿马丁发布了敞篷版的vantage roadster官图，新车采用的是“z型”软顶敞篷机构，拥有领先同级的敞篷开合速度。目前该车已经在国内开启预售，起售价191.8万，将于2020年第二季度正式交付。    vantage roadster基于硬顶版车型打造，由于采用了轻巧的“z”型软顶敞</t>
  </si>
  <si>
    <t>2020/02/19 09:03:00</t>
  </si>
  <si>
    <t>这五款“不保值”的二手车很多朋友们在选择买二手车的时候，都会把保值率作为评价车辆好坏的第一标准，基本认为保值率低就是车辆不好。但其实市面上还是有很大一部分保值率低，本身产品力表现还不错的车，如果买这种类型的二手车，最狠的第一刀已经砍在了第一任车主身上，所以其实非常划算！今天我们就跟大家聊聊市面上这五</t>
  </si>
  <si>
    <t>近期，保时捷向海外媒体宣布，macan车型将于2021年推出电动版本，并有望在2024年完成该款车型的全面电动化，这也意味着燃油版的macan将在2024年停产。    自从2012年保时捷macan发布以来，迅速成为保时捷品牌最畅销的车型，在过去的2019年，保时捷macan仅仅在美国地区就销售了</t>
  </si>
  <si>
    <t>2020/02/19 09:02:00</t>
  </si>
  <si>
    <t>　　近期，保时捷向海外媒体宣布，macan车型将于2021年推出电动版本，并有望在2024年完成该款车型的全面电动化，这也意味着燃油版的macan将在2024年停产。　　自从2012年保时捷macan发布以来，迅速成为保时捷品牌最畅销的车型，在过去的2019年，保时捷macan仅仅在美国地区就销售了</t>
  </si>
  <si>
    <t>搭载小排量发动机！全新一代现代i20即将首发随着2020年日内瓦车展的日益临近，重磅新车消息不断。日前，即将在日内瓦车展发布的全新一代现代i20（国内版雅绅特）的官方外观图片已经在网上泄露，让我们先睹为快。从曝光的外观官图来看，新一代现代i20采用了一些适当设计改造，包括更具侵略性的外观，更大胆的细</t>
  </si>
  <si>
    <t>2020/02/19 09:01:00</t>
  </si>
  <si>
    <t>随着2020年日内瓦车展的日益临近，重磅新车消息不断。日前，即将在日内瓦车展发布的全新一代现代i20（国内版雅绅特）的官方外观图片已经在网上泄露，让我们先睹为快。从曝光的外观官图来看，新一代现代i20采用了一些适当设计改造，包括更具侵略性的外观，更大胆的细节以及一个非常独特的尾部造型，同时提供两色车</t>
  </si>
  <si>
    <t>碳排放量更低！海外全新逍客效果图发布，仅提供两套混动系统据海外媒体报料，日产全新第三代逍客即将于年内发布，动力系统将出现重大调整，其中欧洲市场不会推出纯电动版本，取而代之的则是两种不同的新混合动力总成，同时基于销量下滑，还考虑在放弃柴油发动机，以帮助降低其碳排放量。全新一代逍客将基于雷诺-日产联盟的</t>
  </si>
  <si>
    <t>2020/02/19 09:00:00</t>
  </si>
  <si>
    <t>据海外媒体报料，日产全新第三代逍客即将于年内发布，动力系统将出现重大调整，其中欧洲市场不会推出纯电动版本，取而代之的则是两种不同的新混合动力总成，同时基于销量下滑，还考虑在放弃柴油发动机，以帮助降低其碳排放量。全新一代逍客将基于雷诺-日产联盟的CMF平台升级版打造，本身这个平台是支持电动系统的。不过</t>
  </si>
  <si>
    <t>　　日前，从海外媒体获悉，全新雪铁龙c4 cactus预计于2020年下半年正式亮相，同时曝光了新车谍照，新车外形将有较大改变。　　外形上：新车采用了轿跑式suv的设计风格，车身侧面运用了溜背的设计，相比现款车型有了一个大的突破。前脸部分，放弃了现款车型的分体式大灯设计，采用了全新设计的一体式大灯，</t>
  </si>
  <si>
    <t>林煜晖</t>
  </si>
  <si>
    <t>日前，从海外媒体获悉，全新雪铁龙c4 cactus预计于2020年下半年正式亮相，同时曝光了新车谍照，新车外形将有较大改变。    外形上：新车采用了轿跑式suv的设计风格，车身侧面运用了溜背的设计，相比现款车型有了一个大的突破。前脸部分，放弃了现款车型的分体式大灯设计，采用了全新设计的一体式大灯，</t>
  </si>
  <si>
    <t>近日，小编获悉了新款第三代别克GL8 Avenir四座版车型的申报信息。新车将是别克GL8车系中的旗舰车型，其最大卖点为豪华内饰，采用了四座布局，延续了别克GL8 Avenir概念车的设计语言。新款别克GL8 Avenir四座版申报图新款别克GL8 Avenir四座版和普通版车型的外观基本一致，不同</t>
  </si>
  <si>
    <t>2020/02/19 08:58:00</t>
  </si>
  <si>
    <t>　　日前，丰田发布了兰德酷路泽sahara horizon（撒哈拉地平线）限量版车型的官图。不过新车只在澳大利亚市场发售，并且仅发售400台。　　鉴于全新一代兰德酷路泽车型最快将在今年7月发布，所以现款车型也以各种限量版的名义推出市场。作为限量版车型，兰德酷路泽sahara horizon用了暗色镀</t>
  </si>
  <si>
    <t>日前，丰田发布了兰德酷路泽sahara horizon（撒哈拉地平线）限量版车型的官图。不过新车只在澳大利亚市场发售，并且仅发售400台。    鉴于全新一代兰德酷路泽车型最快将在今年7月发布，所以现款车型也以各种限量版的名义推出市场。作为限量版车型，兰德酷路泽sahara horizon用了暗色镀</t>
  </si>
  <si>
    <t>更加奢华 新款别克GL8 Avenir四座版申报图曝光近日，小编获悉了新款第三代别克GL8 Avenir四座版车型的申报信息。新车将是别克GL8车系中的旗舰车型，其最大卖点为豪华内饰，采用了四座布局，延续了别克GL8 Avenir概念车的设计语言。新款别克GL8 Avenir四座版申报图新款别克GL</t>
  </si>
  <si>
    <t>日前，全新一代本田飞度（第四代）已于日本正式上市，新车有望于2020年4月开幕的北京车展中正式亮相。根据此前官方表示，广汽本田将会结合中国年轻消费者的偏好和喜好，导入其中的部分版本车型。在动力方面，新车搭载HEV混动和i-VTEC传统汽油动力系统。动力方面，参考日规车型的动力新车搭载了本田全新研发的</t>
  </si>
  <si>
    <t>2020/02/19 08:57:00</t>
  </si>
  <si>
    <t>自动驾驶这个名词在这几年已经渐渐被人们所熟知，作为汽车智能化最重要的部分，更是智能出行时代到来的标志。因为只有实现了自动驾驶，车联网中的其他功能才能够发挥最大的作用。如今无论是如特斯拉等新势力厂商，还是像凯迪拉克、奥迪这样传统车企，又或者是诸如谷歌、百度等互联网企业，都纷纷加入自动驾驶的研发。而凯迪</t>
  </si>
  <si>
    <t>　　近期，海外媒体曝光了一组大众arteon旅行版车型谍照，该车将在德国的埃姆登工厂生产，未来还有望出口到美国市场。同时这款车也将由一汽-大众进行国产，并以大众cc旅行版的名义在年底前面世。　　大众汽车早在2016年就计划推出arteon旅行版，去年在发布大众帕萨特旅行版的时候也表示将推出arteo</t>
  </si>
  <si>
    <t>近期，海外媒体曝光了一组大众arteon旅行版车型谍照，该车将在德国的埃姆登工厂生产，未来还有望出口到美国市场。同时这款车也将由一汽-大众进行国产，并以大众cc旅行版的名义在年底前面世。    大众汽车早在2016年就计划推出arteon旅行版，去年在发布大众帕萨特旅行版的时候也表示将推出arteo</t>
  </si>
  <si>
    <t>凯迪拉克Super Cruise升级，可自动变换车道！自动驾驶这个名词在这几年已经渐渐被人们所熟知，作为汽车智能化最重要的部分，更是智能出行时代到来的标志。因为只有实现了自动驾驶，车联网中的其他功能才能够发挥最大的作用。如今无论是如特斯拉等新势力厂商，还是像凯迪拉克、奥迪这样传统车企，又或者是诸如谷</t>
  </si>
  <si>
    <t>全新飞度动力信息曝光，将提供两种动力，或将北京车展亮相日前，全新一代本田飞度（第四代）已于日本正式上市，新车有望于2020年4月开幕的北京车展中正式亮相。根据此前官方表示，广汽本田将会结合中国年轻消费者的偏好和喜好，导入其中的部分版本车型。在动力方面，新车搭载HEV混动和i-VTEC传统汽油动力系统</t>
  </si>
  <si>
    <t>近日，在海外宝马全新一代M4的冬季路试谍照被曝出，虽然被严严实实的包裹起来，但是全新M4更大号的中网绝对是个最吸引人的地方。之前有消息说，全新M4将会在今年第二季度正式亮相，11月开始批量生产，2021年会在美国市场上市。之前也有谍照，曝出了全新M4巨大的中网，以前的宝马双肾中网可以称之为鼻孔，现在</t>
  </si>
  <si>
    <t>2020/02/19 08:56:00</t>
  </si>
  <si>
    <t>由广汽丰田引入国产的全新一代汉兰达有望于今年底与我们见面，新车将采用TNGA架构的GA-K平台打造，并依旧提供多种座椅布局可选。从此前已经发布的海外版车型可以看出，全新一代汉兰达使用了最新的家族化设计语言，其整体造型延续了现款车型魁梧的设计风格，但是在线条方面明显更加柔和，新车的侧面造型更有韵律，同</t>
  </si>
  <si>
    <t>　　在去年9月的法兰克福车展中，西雅特发布了tarraco fr phev插电式混动车型。近日，该车的套件版和运动版――tarraco fr和fr sport车型的官图正式发布（配图为tarraco fr sport）。　　tarraco是西雅特的首款中型suv车型，基于大众的mqb平台打造，定位与</t>
  </si>
  <si>
    <t>在去年9月的法兰克福车展中，西雅特发布了tarraco fr phev插电式混动车型。近日，该车的套件版和运动版——tarraco fr和fr sport车型的官图正式发布（配图为tarraco fr sport）。    tarraco是西雅特的首款中型suv车型，基于大众的mqb平台打造，定位与</t>
  </si>
  <si>
    <t>两驱和四驱可选，造型更显年轻，全新一代汉兰达有望今年引入由广汽丰田引入国产的全新一代汉兰达有望于今年底与我们见面，新车将采用TNGA架构的GA-K平台打造，并依旧提供多种座椅布局可选。从此前已经发布的海外版车型可以看出，全新一代汉兰达使用了最新的家族化设计语言，其整体造型延续了现款车型魁梧的设计风格</t>
  </si>
  <si>
    <t>鼻孔变成嘴了，宝马全新一代M4路试谍照近日，在海外宝马全新一代M4的冬季路试谍照被曝出，虽然被严严实实的包裹起来，但是全新M4更大号的中网绝对是个最吸引人的地方。之前有消息说，全新M4将会在今年第二季度正式亮相，11月开始批量生产，2021年会在美国市场上市。之前也有谍照，曝出了全新M4巨大的中网，</t>
  </si>
  <si>
    <t>即使2019年的中国车市仍呈下滑趋势，但奇瑞汽车却异军突起，全年以累计销售63.9万辆（该数据为奇瑞自主销量），同比增长6.9%的成绩迎来了逆势增长。进入2020年，奇瑞汽车更是蓄势待发，将率先推出全新一代瑞虎7和瑞虎7Pro两款新车，其中瑞虎7的预售价区间8.69~11.19万元，瑞虎7Pro则为</t>
  </si>
  <si>
    <t>2020/02/19 08:55:00</t>
  </si>
  <si>
    <t>据外媒报道，在拉斯维加斯举行的全美汽车经销商协会（NADA）年会上福特透露了旗下的Bronco和Bronco Sport两款全新SUV发布时间，Bronco车型预计会先在下月发布而Bronco Sport车型将于今年4月上市，或将在纽约车展期间发布。Bronco和Bronco Sport车型将有两开</t>
  </si>
  <si>
    <t>　　近期，海外媒体曝光了一组大众新款途观（tiguan）在瑞士的路试谍照。据悉，中期改款的车型将在外观和动力方面都进行一系列的调整和升级。　　新款途观的整体造型与现款途观基本相似，但细节的改变使得整体造型更为激进。前脸方面，新款途观采用全新设计的双天使眼风格led头灯组，而内部的灯带设计与第八代高尔</t>
  </si>
  <si>
    <t>　　在去年的广州车展上，北京现代菲斯塔纯电动正式发布，新车外观继续走运动路线，同时做出了ev车型的专属设定，搭载宁德时代提供的三元锂离子动力电池，电机最大功率为135kw。近日，官方正式发布信息，新车预计于2月底正式上市，官方表示该车nedc续航里程为490km。同时其0-50公里/小时加速成绩为3</t>
  </si>
  <si>
    <t>张钧励</t>
  </si>
  <si>
    <t>在去年的广州车展上，北京现代菲斯塔纯电动正式发布，新车外观继续走运动路线，同时做出了ev车型的专属设定，搭载宁德时代提供的三元锂离子动力电池，电机最大功率为135kw。近日，官方正式发布信息，新车预计于2月底正式上市，官方表示该车nedc续航里程为490km。同时其0-50公里/小时加速成绩为3.5</t>
  </si>
  <si>
    <t>近期，海外媒体曝光了一组大众新款途观（tiguan）在瑞士的路试谍照。据悉，中期改款的车型将在外观和动力方面都进行一系列的调整和升级。    新款途观的整体造型与现款途观基本相似，但细节的改变使得整体造型更为激进。前脸方面，新款途观采用全新设计的双天使眼风格led头灯组，而内部的灯带设计与第八代高尔</t>
  </si>
  <si>
    <t>福特Bronco/Bronco Sport新SUV将发布据外媒报道，在拉斯维加斯举行的全美汽车经销商协会（NADA）年会上福特透露了旗下的Bronco和Bronco Sport两款全新SUV发布时间，Bronco车型预计会先在下月发布而Bronco Sport车型将于今年4月上市，或将在纽约车展期间</t>
  </si>
  <si>
    <t>1.6T爆发197马力，全新瑞虎7Pro新车实拍图解！即使2019年的中国车市仍呈下滑趋势，但奇瑞汽车却异军突起，全年以累计销售63.9万辆（该数据为奇瑞自主销量），同比增长6.9%的成绩迎来了逆势增长。进入2020年，奇瑞汽车更是蓄势待发，将率先推出全新一代瑞虎7和瑞虎7Pro两款新车，其中瑞虎7</t>
  </si>
  <si>
    <t>随着国内消费水平的不断提高，大家的购车能力也在逐步提升，越来越多的消费者选择购买一辆豪华品牌车型，这让入门级的豪华车型成为了热门的选择。而针对中国市场的喜好，各大豪华品牌纷纷推出入门级的紧凑型豪华SUV，其中宝马X1和凯迪拉克XT4是两款销量和人气相当不错的车型，今天我们就来对比一下这两款颜值、空间</t>
  </si>
  <si>
    <t>2020/02/19 08:54:00</t>
  </si>
  <si>
    <t>两强相争谁能胜出？凯迪拉克XT4对比宝马X1随着国内消费水平的不断提高，大家的购车能力也在逐步提升，越来越多的消费者选择购买一辆豪华品牌车型，这让入门级的豪华车型成为了热门的选择。而针对中国市场的喜好，各大豪华品牌纷纷推出入门级的紧凑型豪华SUV，其中宝马X1和凯迪拉克XT4是两款销量和人气相当不错</t>
  </si>
  <si>
    <t>近日，几何汽车官方宣布，几何第二款新车正式命名为几何 c，新车内部代号为ge13，定位于跨界suv。    1.定位跨界suv    新车头灯大致轮廓与几何a相近，内部灯组构造略有不同，并采用封闭式中网，以及前杠下方的自适应巡航系统的传感器。同时，新车的侧面和尾部造型也显示出跨界suv的轮廓特征，如</t>
  </si>
  <si>
    <t>2020/02/19 08:52:00</t>
  </si>
  <si>
    <t>　　近日，几何汽车官方宣布，几何第二款新车正式命名为几何 c，新车内部代号为ge13，定位于跨界suv。　　1.定位跨界suv　　新车头灯大致轮廓与几何a相近，内部灯组构造略有不同，并采用封闭式中网，以及前杠下方的自适应巡航系统的传感器。同时，新车的侧面和尾部造型也显示出跨界suv的轮廓特征，如车顶</t>
  </si>
  <si>
    <t>日前，宾利汽车将于2020年日内瓦国际车展，推出宾利mulliner bacalar车型，以此诠释未来车身定制水准。新车或将为一款全新gt跑车，同时官方发布了新车的预告视频，该车由宾利mulliner部门手工打造。    新车知识点    1.个性化定制部门打造    作为全球久负盛名的车身制造者，</t>
  </si>
  <si>
    <t>2020/02/19 08:50:00</t>
  </si>
  <si>
    <t>　　日前，宾利汽车将于2020年日内瓦国际车展，推出宾利mulliner bacalar车型，以此诠释未来车身定制水准。新车或将为一款全新gt跑车，同时官方发布了新车的预告视频，该车由宾利mulliner部门手工打造。　　新车知识点　　1.个性化定制部门打造　　作为全球久负盛名的车身制造者，宾利汽车</t>
  </si>
  <si>
    <t>leo</t>
  </si>
  <si>
    <t xml:space="preserve">近日长安汽车公众号发布了最新动态，为助力打赢疫情防控阻击战，长安汽车科技防“疫”再出新招，将首推热成像防疫车，在3月1日起，免费提供给重庆市内高铁站、社区等市政、交通、医疗服务机构使用。    该车型目前是应对疫情推出，但对今后的各特殊领域也有很好的推广和示范作用。热成像防疫车还具备以下几个特点。 </t>
  </si>
  <si>
    <t>2020/02/19 08:48:00</t>
  </si>
  <si>
    <t>　　近日长安汽车公众号发布了最新动态，为助力打赢疫情防控阻击战，长安汽车科技防“疫”再出新招，将首推热成像防疫车，在3月1日起，免费提供给重庆市内高铁站、社区等市政、交通、医疗服务机构使用。　　该车型目前是应对疫情推出，但对今后的各特殊领域也有很好的推广和示范作用。热成像防疫车还具备以下几个特点。　</t>
  </si>
  <si>
    <t>王灏_NA3186</t>
  </si>
  <si>
    <t>日前，编辑从相关渠道获得了一组2020款丰田凯美瑞以及亚洲龙四驱车型首次雪地路试的图片。新车沿用了现款外观设计，据悉，丰田亚洲龙四驱版将于今年秋季正式上市，为消费者提供更加多元化的购车选择。    图为凯美瑞四驱普通版    图为凯美瑞四驱运动版    外观方面，凯美瑞沿用了现款车型设计风格，普通版</t>
  </si>
  <si>
    <t>2020/02/19 08:47:00</t>
  </si>
  <si>
    <t>据媒体报道，法国财政部长布鲁诺?勒麦尔（bruno le maire）周二警告雷诺，不要关闭法国工厂并在法国裁员。    “法国政府作为雷诺股东，将确保其不会在法国裁员和关厂”勒麦尔在布鲁塞尔告诉记者，并补充说，政府将与雷诺汽车进行谈判，并对其成本削减战略保持“高度警惕”。    勒麦尔说，他在周日</t>
  </si>
  <si>
    <t>　　据媒体报道，法国财政部长布鲁诺?勒麦尔（bruno le maire）周二警告雷诺，不要关闭法国工厂并在法国裁员。　　“法国政府作为雷诺股东，将确保其不会在法国裁员和关厂”勒麦尔在布鲁塞尔告诉记者，并补充说，政府将与雷诺汽车进行谈判，并对其成本削减战略保持“高度警惕”。　　勒麦尔说，他在周日与雷</t>
  </si>
  <si>
    <t>据美国媒体报道，日产汽车首席执行官内田诚（makoto uchida）表示，其团队正在“快速”制定新的重组方案，并将“毫无禁忌”地大幅削减关键的北美市场的成本。    内田诚重申，全新的蓝图方案将于5月公布，以便让日产有时间与联盟伙伴雷诺和三菱汽车协调下一步行动。    日产一位股东对5月份发布战略</t>
  </si>
  <si>
    <t>2020/02/19 08:45:00</t>
  </si>
  <si>
    <t>　　据美国媒体报道，日产汽车首席执行官内田诚（makoto uchida）表示，其团队正在“快速”制定新的重组方案，并将“毫无禁忌”地大幅削减关键的北美市场的成本。　　内田诚重申，全新的蓝图方案将于5月公布，以便让日产有时间与联盟伙伴雷诺和三菱汽车协调下一步行动。　　日产一位股东对5月份发布战略的时</t>
  </si>
  <si>
    <t>不可否认，新能源的发展已经成为全球化的大趋势，与传统燃油车不同的是，目前电动车核心三电系统之一的电池并不是完全由车企掌握，相反，第三方动力电池供应商占据了全球动力电池出货量的绝大多数。    不久前，韩国sne research发布了2019年全球锂离子动力电池出货量榜单，从整体数据来看，去年全球整</t>
  </si>
  <si>
    <t>2020/02/19 08:44:00</t>
  </si>
  <si>
    <t>　　不可否认，新能源的发展已经成为全球化的大趋势，与传统燃油车不同的是，目前电动车核心三电系统之一的电池并不是完全由车企掌握，相反，第三方动力电池供应商占据了全球动力电池出货量的绝大多数。　　不久前，韩国sne research发布了2019年全球锂离子动力电池出货量榜单，从整体数据来看，去年全球整</t>
  </si>
  <si>
    <t>　　此前曾有媒体报道大众将推出一款名为ID.Ruggdzz的全新SUV车型，该车定位为硬派纯电动SUV，并标配四驱系统。日前，有海外媒体根据相关信息绘制出了新车的渲染图，新车造型较为方正，细节设计能看出途观等车型的影子。　　从渲染图来看，新车外观采用了大量的硬朗线条，与大众ID家族首款SUV车型ID</t>
  </si>
  <si>
    <t>2020/02/19 08:39:00</t>
  </si>
  <si>
    <t>此前曾有媒体报道大众将推出一款名为ID.Ruggdzz的全新SUV车型，该车定位为硬派纯电动SUV，并标配四驱系统。日前，有海外媒体根据相关信息绘制出了新车的渲染图，新车造型较为方正，细节设计能看出途观等车型的影子。    从渲染图来看，新车外观采用了大量的硬朗线条，与大众ID家族首款SUV车型ID</t>
  </si>
  <si>
    <t>北京现代途胜2018年升级发动机后噪音大，油耗增加，动力弱。2019升级发动机后噪音增大，动力减弱，偶尔发动机抖动。要求回复发动机出厂程序。</t>
  </si>
  <si>
    <t>2020/02/19 08:35:00</t>
  </si>
  <si>
    <t>升级后噪音大油耗增加怎么才能解决？北京现代途胜2018年升级发动机后噪音大，油耗增加，动力弱。2019升级发动机后噪音增大，动力减弱，偶尔发动机抖动。要求回复发动机出厂程序。</t>
  </si>
  <si>
    <t>1月12号买的车，到现在都一个多月了，一直不给合格证，无法落户上牌，4s店自己拿合格证去银行抵押贷款自用，多次沟通无果，就是不给合格证，到现在已经一个多月了，跟几位两位4s店的负责人和客服沟通两个人说法不一，明显是在欺骗消费者.</t>
  </si>
  <si>
    <t>2020/02/19 08:34:00</t>
  </si>
  <si>
    <t>电瓶严重亏电已3次搭电，经维修点检测确定电瓶质量问题！要求更换新电瓶！因地域受限疫情管控，特要求厂家顺丰快递发新电瓶至车子所在位置，更换新电瓶启动车辆！</t>
  </si>
  <si>
    <t>电瓶亏电一直无法解决电瓶严重亏电已3次搭电，经维修点检测确定电瓶质量问题！要求更换新电瓶！因地域受限疫情管控，特要求厂家顺丰快递发新电瓶至车子所在位置，更换新电瓶启动车辆！</t>
  </si>
  <si>
    <t>新车无合格证怎么才能解决？1月12号买的车，到现在都一个多月了，一直不给合格证，无法落户上牌，4s店自己拿合格证去银行抵押贷款自用，多次沟通无果，就是不给合格证，到现在已经一个多月了，跟几位两位4s店的负责人和客服沟通两个人说法不一，明显是在欺骗消费者.</t>
  </si>
  <si>
    <t>基本都是停车2天的样子就没电了，有一次停了一天就无法启动了，现在只有把负极拔了。4s结果叫我充电，我之前满电还是要跑电，4s根本不会检测哪里漏电。</t>
  </si>
  <si>
    <t>2020/02/19 08:33:00</t>
  </si>
  <si>
    <t>电瓶无电影响使用怎么去投诉？基本都是停车2天的样子就没电了，有一次停了一天就无法启动了，现在只有把负极拔了。4s结果叫我充电，我之前满电还是要跑电，4s根本不会检测哪里漏电。</t>
  </si>
  <si>
    <t xml:space="preserve">宝骏730论坛 &gt; </t>
  </si>
  <si>
    <t>座椅及头枕缺陷怎么处理？未购车之前无颈椎问题,2019年11月发现左右食指尖发麻，一星期后咨询医生，说是劳累，并未检查。12月份左手一用力整个手臂发麻，2020年1月检查是颈椎病，期间新冠病毒疫情，我才发现造成颈椎病病因，是座椅及头枕造成。</t>
  </si>
  <si>
    <t>手已经发抖               初级技工</t>
  </si>
  <si>
    <t>2020/02/19 08:32:00</t>
  </si>
  <si>
    <t>2020.2.17由于名爵HS2018款新车多次电瓶亏电无法打火，本次叫救援还是无法打火，需要拖车拖到4S店检修。问题是买一台新车三天两头的电瓶亏电，非常影响使用和体验，严重怀疑厂家汽车质量有严重问题。要求退车或者召回，彻底解决问题。或者给我卖掉此车。请上汽集团和名爵汽车重视，不要忽略质量问题，不要</t>
  </si>
  <si>
    <t>未购车之前无颈椎问题,2019年11月发现左右食指尖发麻，一星期后咨询医生，说是劳累，并未检查。12月份左手一用力整个手臂发麻，2020年1月检查是颈椎病，期间新冠病毒疫情，我才发现造成颈椎病病因，是座椅及头枕造成。</t>
  </si>
  <si>
    <t>电瓶频繁亏电影响使用2020.2.17由于名爵HS2018款新车多次电瓶亏电无法打火，本次叫救援还是无法打火，需要拖车拖到4S店检修。问题是买一台新车三天两头的电瓶亏电，非常影响使用和体验，严重怀疑厂家汽车质量有严重问题。要求退车或者召回，彻底解决问题。或者给我卖掉此车。请上汽集团和名爵汽车重视，不</t>
  </si>
  <si>
    <t>本人是帝豪EV253款车主，买车已3年多，一直是帝豪新能源的支持者。车刚刚过了质保，春节后，空调突然不制热了，这次反复重启也没有用，后跟4S店联系，说可能加热器坏了，需要到店里查看一下。我问了一下北京地区的其他车主（有个车主群），好多车主的空调都不出暖风，看来这不是个性问题。而且也听说之前帝豪EV3</t>
  </si>
  <si>
    <t>2020/02/19 08:31:00</t>
  </si>
  <si>
    <t>空调没有热风可以免费解决吗？本人是帝豪EV253款车主，买车已3年多，一直是帝豪新能源的支持者。车刚刚过了质保，春节后，空调突然不制热了，这次反复重启也没有用，后跟4S店联系，说可能加热器坏了，需要到店里查看一下。我问了一下北京地区的其他车主（有个车主群），好多车主的空调都不出暖风，看来这不是个性问</t>
  </si>
  <si>
    <t>广汽丰田凯美瑞仪表台皮革出油粘手，仪表台皮革出油，发亮，太阳下还会反光，影响驾驶，投诉无门，不知道怎么办。</t>
  </si>
  <si>
    <t>2020/02/19 08:30:00</t>
  </si>
  <si>
    <t>凯美瑞仪表台皮革出油粘手广汽丰田凯美瑞仪表台皮革出油粘手，仪表台皮革出油，发亮，太阳下还会反光，影响驾驶，投诉无门，不知道怎么办。</t>
  </si>
  <si>
    <t>日前，据海外媒体报道，玛莎拉蒂宣称未来旗下所有车型都将转化为新能源动力，同时也将致力于全新纯电动和混合动力车型的研发。玛莎拉蒂Ghibli    玛莎拉蒂表示，纯电动版本Gran Turismo和Gran Cabrio车型将会在2021年与消费者见面，未来首款搭载混合动力车型将会是Ghibli车型。</t>
  </si>
  <si>
    <t>　　日前，据海外媒体报道，玛莎拉蒂宣称未来旗下所有车型都将转化为新能源动力，同时也将致力于全新纯电动和混合动力车型的研发。玛莎拉蒂Ghibli　　玛莎拉蒂表示，纯电动版本Gran Turismo和Gran Cabrio车型将会在2021年与消费者见面，未来首款搭载混合动力车型将会是Ghibli车型。</t>
  </si>
  <si>
    <t>猎豹CS10挂挡后无任何动力输出影响使用，车时常显示变速箱故障在去年12月份彻底不好使，与售后客服联系多次没有反应没人出来和我沟通，在此之前总是显示变数箱故障去七台河市4店说没事，现在车无法行驶要求给予维修。</t>
  </si>
  <si>
    <t>2020/02/19 08:29:00</t>
  </si>
  <si>
    <t>我买的吉利车买了3个月，车天窗莫名碎了，我找保险，保险说买车的时候4s店没给我上玻璃险，保险不管。然后小区物业我调监控了，在小区是好好的。售后现在也不承担责任，让我自己认栽，我刚买3个月的新车就出现玻璃炸裂的质量问题，我希望厂家能给我一个说法。</t>
  </si>
  <si>
    <t>挂挡后无任何动力怎么去解决？猎豹CS10挂挡后无任何动力输出影响使用，车时常显示变速箱故障在去年12月份彻底不好使，与售后客服联系多次没有反应没人出来和我沟通，在此之前总是显示变数箱故障去七台河市4店说没事，现在车无法行驶要求给予维修。</t>
  </si>
  <si>
    <t>天窗玻璃无故碎裂可以质保吗？我买的吉利车买了3个月，车天窗莫名碎了，我找保险，保险说买车的时候4s店没给我上玻璃险，保险不管。然后小区物业我调监控了，在小区是好好的。售后现在也不承担责任，让我自己认栽，我刚买3个月的新车就出现玻璃炸裂的质量问题，我希望厂家能给我一个说法。</t>
  </si>
  <si>
    <t>二次召回，依旧没有效果，动力不足，起步慢，油耗高，此为车友通病，4s店检测也没啥结果，需要厂家给车主一个解决办法，恢复原车动力。</t>
  </si>
  <si>
    <t>下雨天了怎么办</t>
  </si>
  <si>
    <t>2020/02/19 08:28:00</t>
  </si>
  <si>
    <t>召回后动力不足起步慢油耗高二次召回，依旧没有效果，动力不足，起步慢，油耗高，此为车友通病，4s店检测也没啥结果，需要厂家给车主一个解决办法，恢复原车动力。</t>
  </si>
  <si>
    <t>丰田凯美瑞等因发动机问题北美大量召回，是否涉及国内产品？丰田有无回复此事？国内监管部门如何回应？</t>
  </si>
  <si>
    <t>2020/02/19 08:25:13</t>
  </si>
  <si>
    <t>日前，据外媒报道称，凯迪拉克或将于今年4月份推出旗下首款电动车型，新车或将定位于中型SUV。此前曝光的凯迪拉克全新中型SUV概念车    据消息显示，凯迪拉克总裁--Steve Carlisle近期在与经销商沟通中表示，该品牌旗下首款“电动车”将于今年4月份正式推出。不过，他并没有明确表示该车为纯电</t>
  </si>
  <si>
    <t>2020/02/19 08:25:00</t>
  </si>
  <si>
    <t>日前，我们从海马汽车官方获悉，海马6P按计划将于2020年二季度正式上市，新车定位紧凑级SUV。动力方面，新车搭载基于1.2TGDI发动机和电机组成的插电式混合动力系统，综合油耗仅为1.38L/100km。据悉，新车的纯电续航里程可达80km。    外观方面，海马6P在设计上与海马S5相似度较高，</t>
  </si>
  <si>
    <t>2020/02/19 08:22:00</t>
  </si>
  <si>
    <t>投诉编号：【447704】  投诉时间： 2020-02-19 00:00  投诉品牌： 北京现代  投诉车系： 途胜  投诉车型： 2018款 1.6T 双离合 两驱 15周年特别版        投诉内容  二次召回，依旧没有效果，动力不足，起步慢，油耗高，此为车友通病，4s店检测也没啥结果，需</t>
  </si>
  <si>
    <t>2020/02/19 08:18:12</t>
  </si>
  <si>
    <t>　　日前，丰田正式发布了一张全新小型SUV的预告图。据悉，新车将会在今年3月开幕的日内瓦车展上首发，目前代号B-SUV，与全新YARiS同采用TNGA-B平台打造。　　此次，丰田正式发布的是一张车尾预告图，我们大致能够看出车尾整体轮廓。新车线条设计偏硬朗，尾窗设计短促，由图中可以判断出，尾灯造型比较</t>
  </si>
  <si>
    <t>2020/02/19 08:15:00</t>
  </si>
  <si>
    <t>日前，丰田正式发布了一张全新小型SUV的预告图。据悉，新车将会在今年3月开幕的日内瓦车展上首发，目前代号B-SUV，与全新YARiS同采用TNGA-B平台打造。    此次，丰田正式发布的是一张车尾预告图，我们大致能够看出车尾整体轮廓。新车线条设计偏硬朗，尾窗设计短促，由图中可以判断出，尾灯造型比较</t>
  </si>
  <si>
    <t>　　日前，国内媒体曝光了一组新款奥迪A4 Avant车型的国内路试谍照。新车已于去年法兰克福车展正式发布，整体设计以及内饰配置进行了调整与升级。据悉，该车或将与新款新款S4和新款A4 allroad quattro车型一同于今年8月分在国内上市。　　根据此次曝光的谍照来看，奥迪A4 Avant针对前</t>
  </si>
  <si>
    <t>2020/02/19 08:09:00</t>
  </si>
  <si>
    <t>日前，国内媒体曝光了一组新款奥迪A4 Avant车型的国内路试谍照。新车已于去年法兰克福车展正式发布，整体设计以及内饰配置进行了调整与升级。据悉，该车或将与新款新款S4和新款A4 allroad quattro车型一同于今年8月分在国内上市。    根据此次曝光的谍照来看，奥迪A4 Avant针对前</t>
  </si>
  <si>
    <t>蒙迪欧2.0HEV顶配怎么样，二手的值不值得买，还臭不臭了？</t>
  </si>
  <si>
    <t>2020/02/19 07:56:52</t>
  </si>
  <si>
    <t>兰德酷路泽防侧滑关闭以后一次侧滑又重新启动，保险拔掉可以吗？具体哪个保险是管这个的？谢谢</t>
  </si>
  <si>
    <t>2020/02/19 07:48:36</t>
  </si>
  <si>
    <t>4S店说我用车环境不行，东北冷，还短途用车，就容易乳化，我感觉是设计有问题。</t>
  </si>
  <si>
    <t>打火怠速时候能在驾驶室听到一点轻微哒哒哒的小声音，找不出来哪里响，像皮带又像风扇，一阵一阵的，请问大家都有这个吗？吉利车机说2月14号更新博越Pro车机，我的博越智慧没有提示，难道是只给高配的更新的吧？有点心寒。</t>
  </si>
  <si>
    <t>想买个落地14万左右的SUV！双离合的感觉不靠谱，所以不想买双离合的！求助专家：合资品牌的该选什么车毛病少、省事？自主品牌的该选什么车毛病少、省事？</t>
  </si>
  <si>
    <t>2020/02/19 07:45:41</t>
  </si>
  <si>
    <t>看到您的回复您所说的检修是怎么弄呢？这个车我只开了三天是由4s店做么？还是我该怎么解决？与4s店的人员在充满电里程显示400的情况下试车，从400公里5分钟跑了3公里左右掉到140公里</t>
  </si>
  <si>
    <t>广大车友谁能告诉我一下怎么联系吉利厂家总售后，现在市区的售后根本不解决问题。</t>
  </si>
  <si>
    <t>长城哈弗H2自动挡开了四年了，现在经常加油门的时候提不上速度。是哪里出了问题？</t>
  </si>
  <si>
    <t>2020/02/19 07:45:40</t>
  </si>
  <si>
    <t>哈弗f5为什么启动后仪表盘指示灯不亮，其它一切正常。</t>
  </si>
  <si>
    <t>2020/02/19 07:37:59</t>
  </si>
  <si>
    <t>经典福克斯13款手动基本款两厢车，年检时OBD检测不合格，就绪状态三项未完成，分别是催化器，氧传感器及氧传感器加热器这三项就绪状态未完成，车子仪表盘显示正常，车子开着也正常，还有近来油耗有些高，打开油厢感觉负压比较重。请问这该怎么办？车子年检还有一个月就要到期了，如果年检通不过，这车也就报废不能开了</t>
  </si>
  <si>
    <t>18款福克斯1.6冬季水温多久能正常，潍坊这边要20多分钟才能正常。</t>
  </si>
  <si>
    <t>2020/02/19 07:37:58</t>
  </si>
  <si>
    <t>换完电瓶打不着火了，发动机故障灯闪，打火继电器响。</t>
  </si>
  <si>
    <t>2020/02/19 07:33:35</t>
  </si>
  <si>
    <t>长城H6断电换电瓶后打不着火，发动机故障灯闪，可能是汽车电脑，大概多少钱能修好？</t>
  </si>
  <si>
    <t>想买XR-V但是看14款17款以及19款都存在VTC异响问题，好像还挺多的。</t>
  </si>
  <si>
    <t>有没有哪位知道只买了交强险和三者险，可不可以享受道路的免费救援和搭电的一些服务。</t>
  </si>
  <si>
    <t>电脑有电，全车却没有电，只有行车记录仪灯亮，遥控钥匙解不了锁什么原因？</t>
  </si>
  <si>
    <t>2020/02/19 07:33:34</t>
  </si>
  <si>
    <t>前几天开着开着屏幕亮度突然暗了下来  出现了页面叠加层阴影，今天开着开着屏幕直接花屏了。</t>
  </si>
  <si>
    <t>2020/02/19 07:20:27</t>
  </si>
  <si>
    <t>双离合汽车正确的超车操作方法，①切换到手动模式降低一挡②踩踏加速踏板到底，哪种方法更好？那种操作对汽车的磨损更小？2020-02-17维修保养。</t>
  </si>
  <si>
    <t>半年车，储物盒关不严。能找4s店免费修理吗？</t>
  </si>
  <si>
    <t>众所周知，SUV市场近年来发生了巨大的变革，消费者选择变得多种多样。随着主流车型成为顶梁柱，市场表现趋于稳定，获得不错销量之后，很多品牌开始大规模扩充自家SUV产品线，尝试跨界领域或是不同级别，深挖细分市场。自主品牌纷纷尝试轿跑SUV，合资品牌则在小型SUV领域中持续发力，对准年轻、入门级消费市场。</t>
  </si>
  <si>
    <t>2020/02/19 07:10:00</t>
  </si>
  <si>
    <t>为了更加直观地展现不同车型在“新车商品性”方面的表现，车质网在“新车商品性评价”的基础上，通过各分项数据的对比，更为直观地展现出不同车型在新车商品性方面的优劣势，并针对数据差异进行客观评价，为消费者提供更具价值的购车建议。本期新车商品性评价横评将从“制造工艺”层面进行客观评判。    随着汽车消费的</t>
  </si>
  <si>
    <t>　　为了更加直观地展现不同车型在“新车商品性”方面的表现，车质网在“新车商品性评价”的基础上，通过各分项数据的对比，更为直观地展现出不同车型在新车商品性方面的优劣势，并针对数据差异进行客观评价，为消费者提供更具价值的购车建议。本期新车商品性评价横评将从“制造工艺”层面进行客观评判。　　随着汽车消费的</t>
  </si>
  <si>
    <t>　　众所周知，SUV市场近年来发生了巨大的变革，消费者选择变得多种多样。随着主流车型成为顶梁柱，市场表现趋于稳定，获得不错销量之后，很多品牌开始大规模扩充自家SUV产品线，尝试跨界领域或是不同级别，深挖细分市场。自主品牌纷纷尝试轿跑SUV，合资品牌则在小型SUV领域中持续发力，对准年轻、入门级消费市</t>
  </si>
  <si>
    <t>两边的刹车片磨损程度不同，为什么要一起更换？相信很多车主都有这样的疑问，很多汽修人员为了避免麻烦，也只是简单的回答：这是行业规矩!并没有真正解开车主们的疑问。　　其实，理由很简单，如果你穿的鞋跟一只高一只低，你走路会怎样？　　刹车片也是一样，左右两边厚度相差太大，刹车制动力就会不均匀，有可能一边刹死</t>
  </si>
  <si>
    <t>2020/02/19 07:08:00</t>
  </si>
  <si>
    <t>刚换的刹车片为什么还刹不住车啊！  两边的刹车片磨损程度不同，为什么要一起更换？相信很多车主都有这样的疑问，很多汽修人员为了避免麻烦，也只是简单的回答：这是行业规矩!并没有真正解开车主们的疑问。　　其实，理由很简单，如果你穿的鞋跟一只高一只低，你走路会怎样？　　刹车片也是一样，左右两边厚度相差太大，</t>
  </si>
  <si>
    <t>电子档杆耐用吗</t>
  </si>
  <si>
    <t>啦咯X5</t>
  </si>
  <si>
    <t>2020/02/19 04:21:00</t>
  </si>
  <si>
    <t>瑞虎8电子档杆耐用吗电子档杆耐用吗</t>
  </si>
  <si>
    <t>2020/02/19 02:45:24</t>
  </si>
  <si>
    <t>投诉编号：【447708】
投诉时间： 2020-02-19 02:26
投诉品牌： 上汽通用五菱
投诉车系： 新宝骏RS-5
投诉车型： 2019款 1.5T CVT 智能驾控尊贵版 国VI</t>
  </si>
  <si>
    <t xml:space="preserve">投诉编号：【447707】  投诉时间： 2020-02-19 01:52  投诉品牌： 东风本田  投诉车系： 思域  投诉车型： 2019款 220TURBO CVT 燃动版 国VI        投诉内容  前挡风玻璃跟中控台相接处异响，新车无法忍受这种声音，请厂家解决。      投诉回复 </t>
  </si>
  <si>
    <t>2020/02/19 01:52:00</t>
  </si>
  <si>
    <t>2016款308刚上市买的,使用三年二个月后才确认烧机油！现行驶里程是72000公里，现时做一次保养周期内不足3000公里机油尺已看不到机油！两次打电话标致厂家客服都以车子脱保为由要求车主自费处理，2020年2月12直接打电话网上投诉！至今只接到本地四儿子店电话要求我到店自费检测，问及检测确定烧机油</t>
  </si>
  <si>
    <t>5453关</t>
  </si>
  <si>
    <t>2020/02/19 01:40:00</t>
  </si>
  <si>
    <t>标致308使用3年2个月后烧机油2016款308刚上市买的,使用三年二个月后才确认烧机油！现行驶里程是72000公里，现时做一次保养周期内不足3000公里机油尺已看不到机油！两次打电话标致厂家客服都以车子脱保为由要求车主自费处理，2020年2月12直接打电话网上投诉！至今只接到本地四儿子店电话要求我</t>
  </si>
  <si>
    <t>投诉编号：【447706】  投诉时间： 2020-02-19 01:07  投诉品牌： 一汽-大众奥迪  投诉车系： 奥迪A4L  投诉车型： 2019款 40 TFSI 时尚型 国VI        投诉内容  事情从去年12月中发生，两个月过去了。奥迪车被烧毁一事，4S店和厂家没有任何实质性负</t>
  </si>
  <si>
    <t>2020/02/19 01:07:00</t>
  </si>
  <si>
    <t>2020/02/18 23:59:59</t>
  </si>
  <si>
    <t>投诉编号：【447703】
投诉时间： 2020-02-18 23:50
投诉品牌： 吉利汽车
投诉车系： 远景S1
投诉车型： 2018款 1.5L CVT 锋享型</t>
  </si>
  <si>
    <t>投诉编号：【447702】  投诉时间： 2020-02-18 23:16  投诉品牌： 一汽-大众  投诉车系： 速腾  投诉车型： 2012款 1.4TSI DSG 豪华型        投诉内容  偶尔出现怠速起步车辆不走，加油向前蹿车现象，严重顿挫。      投诉回复  车质网已将您的投诉</t>
  </si>
  <si>
    <t>2020/02/18 23:16:00</t>
  </si>
  <si>
    <t>2020/02/18 22:29:17</t>
  </si>
  <si>
    <t>投诉编号：【447695】
投诉时间： 2020-02-18 22:05
投诉品牌： 猎豹汽车
投诉车系： 猎豹CS9
投诉车型： 2018款 1.5T CVT 劲锐型</t>
  </si>
  <si>
    <t>2020/02/18 21:43:11</t>
  </si>
  <si>
    <t>投诉编号：【447693】
投诉时间： 2020-02-18 21:17
投诉品牌： 东风日产
投诉车系： 轩逸
投诉车型： 2020款 1.6L XL CVT 智享版</t>
  </si>
  <si>
    <t>2020/02/18 21:14:30</t>
  </si>
  <si>
    <t>投诉编号：【447677】
投诉时间： 2020-02-18 19:51
投诉品牌： 上汽通用别克
投诉车系： 凯越
投诉车型： 2008款 1.6 手动 LE</t>
  </si>
  <si>
    <t>投诉编号：【447691】  投诉时间： 2020-02-18 21:10  投诉品牌： 北京现代  投诉车系： 领动  投诉车型： 2016款 1.6L 自动 智炫·精英型        投诉内容  北京现代领动ESP及ABS故障灯常亮，车辆各种问题，车内座椅下方严重生锈，反馈厂里两年不给答复，车</t>
  </si>
  <si>
    <t>2020/02/18 21:10:00</t>
  </si>
  <si>
    <t>2020/02/18 21:07:37</t>
  </si>
  <si>
    <t>投诉编号：【447686】
投诉时间： 2020-02-18 20:42
投诉品牌： 众泰汽车
投诉车系： 众泰T300
投诉车型： 2017款 1.5L 手动 尊享型</t>
  </si>
  <si>
    <t>投诉编号：【447690】  投诉时间： 2020-02-18 20:57  投诉品牌： 广汽本田  投诉车系： 雅阁  投诉车型： 2018款 2.0L 锐智版 锐·混动 国VI        投诉内容  雅阁混动锐智，高速关闭所有辅助驾驶后速度超过100微微打方向离开中心点那一下会有卡滞现象，必</t>
  </si>
  <si>
    <t>2020/02/18 20:57:00</t>
  </si>
  <si>
    <t>投诉编号：【447689】  投诉时间： 2020-02-18 20:53  投诉品牌： 东风日产  投诉车系： 逍客  投诉车型： 2016款 2.0L CVT 豪华版        投诉内容  车辆购买于2016年8月31日，在使用到2017年冬天时发现原地打方向有异响，因为车辆在保质期内，所以</t>
  </si>
  <si>
    <t>2020/02/18 20:53:00</t>
  </si>
  <si>
    <t>投诉编号：【447687】  投诉时间： 2020-02-18 20:45  投诉品牌： 长城汽车  投诉车系： 哈弗F5  投诉车型： 2018款 1.5T i范版        投诉内容  凉车打着火机器抖动严重，转速显示忽高忽低，低速行驶车辆顿挫特别明显，轻踩油门车不走，稍微重踩油门车辆不是平</t>
  </si>
  <si>
    <t>2020/02/18 20:45:00</t>
  </si>
  <si>
    <t>2020/02/18 20:41:23</t>
  </si>
  <si>
    <t>投诉编号：【447676】
投诉时间： 2020-02-18 19:51
投诉品牌： 比亚迪
投诉车系： 宋Pro
投诉车型： 2019款 1.5T 自动 尊贵型</t>
  </si>
  <si>
    <t>投诉编号：【447685】  投诉时间： 2020-02-18 20:38  投诉品牌： 东风雪铁龙  投诉车系： 雪铁龙C4L  投诉车型： 2014款 1.8L 手动 智驱版 劲享型        投诉内容  2014年购买，2019年9月出现方向盘晃动，起先没在意，以为是哪里松了，今年1月高速</t>
  </si>
  <si>
    <t>2020/02/18 20:38:00</t>
  </si>
  <si>
    <t>投诉编号：【447683】  投诉时间： 2020-02-18 20:23  投诉品牌： 东风雪铁龙  投诉车系： C4世嘉  投诉车型： 2016款 1.6L 自动 豪华型        投诉内容  刚出质保期，就出现方向柱晃动导致方向盘松动，而且越来越明显，特别是走国道的时候最明显，存在非常可怕</t>
  </si>
  <si>
    <t>2020/02/18 20:23:00</t>
  </si>
  <si>
    <t>2020/02/18 20:02:42</t>
  </si>
  <si>
    <t>投诉编号：【447675】
投诉时间： 2020-02-18 19:36
投诉品牌： 东风日产
投诉车系： 轩逸
投诉车型： 2016款 1.6XV CVT 智享版</t>
  </si>
  <si>
    <t>投诉编号：【447681】  投诉时间： 2020-02-18 20:02  投诉品牌： 领克汽车  投诉车系： 领克01  投诉车型： 2019款 2.0T 两驱 耀Pro版 国VI        投诉内容  车辆车的出场时间是19年4月份，7月份购买，平时开的比较少。最近动车时间为2020.2.</t>
  </si>
  <si>
    <t>2020/02/18 20:02:00</t>
  </si>
  <si>
    <t>投诉编号：【447674】  投诉时间： 2020-02-18 19:35  投诉品牌： 一汽丰田  投诉车系： 亚洲龙  投诉车型： 2019款 2.5L 进取版 国Ⅵ        投诉内容  才一个半月，700多公里。走稍微烂一些的路，1，方向盘里面跟有小石子儿共振似的，哒哒哒异响。2，整个车</t>
  </si>
  <si>
    <t>2020/02/18 19:35:00</t>
  </si>
  <si>
    <t>投诉编号：【447672】  投诉时间： 2020-02-18 19:25  投诉品牌： 东风日产  投诉车系： 轩逸  投诉车型： 2016款 1.6XL CVT 尊享版        投诉内容  车辆化妆镜处漏水，天窗没有堵，质保期未过，过去修理，还要求收费，中控吱吱异响，特别走烂路，异响严重。</t>
  </si>
  <si>
    <t>2020/02/18 19:25:00</t>
  </si>
  <si>
    <t>投诉编号：【447671】  投诉时间： 2020-02-18 19:07  投诉品牌： 上汽集团  投诉车系： 荣威RX3  投诉车型： 2020款 1.6L 手动 4G互联超爽旗舰版        投诉内容  左边转弯灯和左边应急灯不亮，此车配备四个音响后座两个没响，副驾驶门今天早上开始出现异响</t>
  </si>
  <si>
    <t>2020/02/18 19:07:00</t>
  </si>
  <si>
    <t>投诉编号：【447668】  投诉时间： 2020-02-18 18:36  投诉品牌： 广汽菲克菲亚特  投诉车系： 致悦  投诉车型： 2014款 1.4T 自动 舒适型        投诉内容  液压执行单元行驶途中突然漏油，导致自动变速箱失效，车辆失去动力。      投诉回复  车质网已将</t>
  </si>
  <si>
    <t>2020/02/18 18:36:00</t>
  </si>
  <si>
    <t>投诉编号：【447667】  投诉时间： 2020-02-18 18:30  投诉品牌： 福特（进口）  投诉车系： 探险者（进口）  投诉车型： 2017款 2.3T 精英版        投诉内容  轮胎开裂起皮很严重，4s店说反馈的信息回复是过质保期，但我在19年3月又给索赔2条轮胎，这不是自</t>
  </si>
  <si>
    <t>2020/02/18 18:30:00</t>
  </si>
  <si>
    <t>2020/02/18 17:45:12</t>
  </si>
  <si>
    <t>投诉编号：【447656】
投诉时间： 2020-02-18 17:10
投诉品牌： 长城汽车
投诉车系： 哈弗F7
投诉车型： 2020款 1.5T 两驱 i型</t>
  </si>
  <si>
    <t>投诉编号：【447659】  投诉时间： 2020-02-18 17:33  投诉品牌： 上汽大众  投诉车系： Polo  投诉车型： 2018款 1.5L 手动 安驾型        投诉内容  每次倒车踩刹车都会有嘣的一声，声音很大，在福清市上汽大众4s店检查过很多次，问题没有得到解决，故障现</t>
  </si>
  <si>
    <t>2020/02/18 17:33:00</t>
  </si>
  <si>
    <t>锐程CC</t>
  </si>
  <si>
    <t>提车已一个月，今天来写个车评。 留意睿骋CC很长时间了，本来想买个老款睿骋CC但销售说老款以停产，只有定新款了而且现在新款有很大优惠和让利，我看了看了新款外型还不错。 行，小伙给哥定车，就他了！[机智] 2019.10.29定车，我等了好久……好久……才提到车！销售说我提的是手动档(就是传说中的最低</t>
  </si>
  <si>
    <t>听涛观海zsc</t>
  </si>
  <si>
    <t>2020/02/18 17:30:00</t>
  </si>
  <si>
    <t>锐程CC论坛</t>
  </si>
  <si>
    <t>锐程CC提车一个月提车已一个月，今天来写个车评。 留意睿骋CC很长时间了，本来想买个老款睿骋CC但销售说老款以停产，只有定新款了而且现在新款有很大优惠和让利，我看了看了新款外型还不错。 行，小伙给哥定车，就他了！[机智] 2019.10.29定车，我等了好久……好久……才提到车！销售说我提的是手动档</t>
  </si>
  <si>
    <t xml:space="preserve">投诉编号：【447657】  投诉时间： 2020-02-18 17:27  投诉品牌： 北汽银翔  投诉车系： 幻速S3  投诉车型： 2015款 1.5L 手动  舒适型 国V        投诉内容  北汽幻速S3刹车疲软几乎失灵影响安全，现在汽车基本没有刹车，检测排气很多次无效。      </t>
  </si>
  <si>
    <t>2020/02/18 17:27:00</t>
  </si>
  <si>
    <t>六年磨一剑，丰田汉兰达全面升级归来海外版全新丰田汉兰达 海外版全新丰田汉兰达 海外版全新丰田汉兰达全新汉兰达海外版已曝光，新款汉兰达出自丰田引以为傲的TNGA架构，其产品力得到了提升。外观方面采用最新的家族式设计语言，大嘴式进气格栅搭配飞翼式镀铬装饰，细长犀利的大灯组，整个前脸十分凶悍，霸气十足，有</t>
  </si>
  <si>
    <t>2020/02/18 17:17:00</t>
  </si>
  <si>
    <t>雷凌or卡罗拉？这是个问题吗？这还真是个问题曾经听一个一汽丰田的销售说过，“我们的卡罗拉可是比雷凌要先进1.5代的”，当时就没忍住致以一个敬佩的眼神——真敢吹啊！ 其实雷凌和卡罗拉就是同一台车，只是广汽丰田和一汽丰田不能生产同一款车，所以要在名称和设计细节上做出区隔而已，两台车的技术是一模一样的。新</t>
  </si>
  <si>
    <t>曾经听一个一汽丰田的销售说过，“我们的卡罗拉可是比雷凌要先进1.5代的”，当时就没忍住致以一个敬佩的眼神——真敢吹啊！ 其实雷凌和卡罗拉就是同一台车，只是广汽丰田和一汽丰田不能生产同一款车，所以要在名称和设计细节上做出区隔而已，两台车的技术是一模一样的。新卡罗拉/雷凌都是丰田TNGA架构的新车那么这</t>
  </si>
  <si>
    <t>海外版全新丰田汉兰达 海外版全新丰田汉兰达 海外版全新丰田汉兰达全新汉兰达海外版已曝光，新款汉兰达出自丰田引以为傲的TNGA架构，其产品力得到了提升。外观方面采用最新的家族式设计语言，大嘴式进气格栅搭配飞翼式镀铬装饰，细长犀利的大灯组，整个前脸十分凶悍，霸气十足，有自家RAV4的感觉。车身后侧轮眉设</t>
  </si>
  <si>
    <t xml:space="preserve">怀念科比，那些年拥有的豪车科比的意外逝世相信对很多爱好篮球的人来说是非常令人惋惜的，毕竟科比代表的不仅是一个优秀的篮球运动员，他更多的是一代人的青春。今天来看下那些年科比拥有的豪车。第一代奥迪TT    奥迪TT可谓是科比职业生涯里最早的一款车，而科比的第一双签名球鞋Adidas The Kobe </t>
  </si>
  <si>
    <t>2020/02/18 17:16:00</t>
  </si>
  <si>
    <t>这才是真正的马自达，配直列6缸+后驱+8AT，或直接竞争宝马3系马自达在所有汽车品牌中都是十分特立独行的，比如一门心思研发转子发动机，独一份的“魂动”设计，注重操控性而轻视空间等，这一些都让它成为了与整个汽车圈格格不入的先锋分子。日前，网上曝光了全新一代马自达6的技术专利，包括纵置直列6缸发动机、纵</t>
  </si>
  <si>
    <t>科比的意外逝世相信对很多爱好篮球的人来说是非常令人惋惜的，毕竟科比代表的不仅是一个优秀的篮球运动员，他更多的是一代人的青春。今天来看下那些年科比拥有的豪车。第一代奥迪TT    奥迪TT可谓是科比职业生涯里最早的一款车，而科比的第一双签名球鞋Adidas The Kobe 1的设计灵感正是来自于这辆</t>
  </si>
  <si>
    <t>在辉腾辉昂相继失败后，不服输的大众，再次推出辉道一个高端的汽车品牌，需要相当长的时间去孵化，而独立的高端车型发展，则是更加的困难，大众汽车目前所面临的问题就是如此，作为一家世界知名车企，大众在市场中拥有着很大的市场份额，以及良好的市场口碑，在此情况之下，大众开始尝试去打造一些高端车型，但从目前来看效</t>
  </si>
  <si>
    <t>2020/02/18 17:15:00</t>
  </si>
  <si>
    <t>这才是撩妹车，连跌7万，年轻人都抢着要，开出去比保时捷还拉风今天说的这款车就是奥迪A7。去年11月底，2020款全新奥迪A7 Sportback 2.0T车型上市。值得一提的是，2020款全新奥迪A7 Sportback将奥迪A7的指导起售价下探至57.38万，45TFSI 专享型顶配车型也仅70.</t>
  </si>
  <si>
    <t>今天说的这款车就是奥迪A7。去年11月底，2020款全新奥迪A7 Sportback 2.0T车型上市。值得一提的是，2020款全新奥迪A7 Sportback将奥迪A7的指导起售价下探至57.38万，45TFSI 专享型顶配车型也仅70.48万。 在外观设计方面，2020款全新奥迪A7 Sport</t>
  </si>
  <si>
    <t>这款车可不能再喊贵了！新宝骏RS-3 三千工资也能养起现如今，汽车是上班族道远非常需要用到的。但是汽车也不是说买就买的，买车对于上班族来说是需要精挑万选的，一款好看实用的车绝对可以使人完成一步人生必备品。这就要说起一款车了，新宝骏RS-3。官方指导价为7.18-8.98万元。最低七万元起，假如你月薪</t>
  </si>
  <si>
    <t>2020/02/18 17:14:00</t>
  </si>
  <si>
    <t>丰田兰德酷路泽“毒液版”，全黑车身、獠牙式格栅，配V8发动机说到硬派SUV，总有几个名字是让车迷无法忘怀的，美系有牧马人，德系有奔驰G，说到日系，想必不少朋友会脱口而出丰田“陆地巡洋舰”——兰德酷路泽。这个诞生于1951年的经典车系，历经69年的检验，早已以强大的通过性、可靠的耐用性征服了要求严苛的</t>
  </si>
  <si>
    <t>国产后直降15万，这豪车丐版就配2.0T+8AT，比奥迪A4L更值在豪华品牌中，奥迪是一个很有实力的厂商，旗下的多款车型都受到欢迎，比如在行政级轿车中，奥迪A6L的销量能够与宝马5系、奔驰E级抗衡，而在中型轿车中，奥迪A4L也堪比宝马3系和奔驰C级，而且奥迪A4L的价格也是这三个车型中最实惠的，很多</t>
  </si>
  <si>
    <t>在豪华品牌中，奥迪是一个很有实力的厂商，旗下的多款车型都受到欢迎，比如在行政级轿车中，奥迪A6L的销量能够与宝马5系、奔驰E级抗衡，而在中型轿车中，奥迪A4L也堪比宝马3系和奔驰C级，而且奥迪A4L的价格也是这三个车型中最实惠的，很多地区入门的价格只需要24万左右，不过要是论性价比的话，今天的主角车</t>
  </si>
  <si>
    <t>现如今，汽车是上班族道远非常需要用到的。但是汽车也不是说买就买的，买车对于上班族来说是需要精挑万选的，一款好看实用的车绝对可以使人完成一步人生必备品。这就要说起一款车了，新宝骏RS-3。官方指导价为7.18-8.98万元。最低七万元起，假如你月薪三千，你也可以养得起。好了，下面小编带大家看看这款车。</t>
  </si>
  <si>
    <t>说到硬派SUV，总有几个名字是让车迷无法忘怀的，美系有牧马人，德系有奔驰G，说到日系，想必不少朋友会脱口而出丰田“陆地巡洋舰”——兰德酷路泽。这个诞生于1951年的经典车系，历经69年的检验，早已以强大的通过性、可靠的耐用性征服了要求严苛的越野爱好者，在那些挑战极限的车队中，我们总能看到它的身影。而</t>
  </si>
  <si>
    <t>保时捷Taycan在美国起火爆炸：现场一片狼藉，官方已介入调查据外媒Electrek报道，当地时间2月16日，一辆保时捷Taycan纯电动车在美国佛罗里达州的一处住宅内起火燃烧并发生爆炸，事故造成一辆保时捷Taycan完全损毁，车库也严重损毁，所幸目前没有造成人员伤亡。 ▲外媒Electrek的报道</t>
  </si>
  <si>
    <t>2020/02/18 17:13:00</t>
  </si>
  <si>
    <t>据外媒Electrek报道，当地时间2月16日，一辆保时捷Taycan纯电动车在美国佛罗里达州的一处住宅内起火燃烧并发生爆炸，事故造成一辆保时捷Taycan完全损毁，车库也严重损毁，所幸目前没有造成人员伤亡。 ▲外媒Electrek的报道据了解，这辆燃烧爆炸的车辆是首批在美国交付的130辆保时捷Ta</t>
  </si>
  <si>
    <t xml:space="preserve">投诉编号：【447652】  投诉时间： 2020-02-18 16:40  投诉品牌： 林肯  投诉车系： 林肯MKC  投诉车型： 2018款 2.0T 两驱 尊悦版        投诉内容  主驾坐椅左下侧横向破裂，长度约5CM，成锯齿状，现在他们说要我做第三方评估否则不确定是质量问题。   </t>
  </si>
  <si>
    <t>2020/02/18 16:40:00</t>
  </si>
  <si>
    <t>3个多月出现几个生锈地方！车后箱焊接缝及机盖外生锈。变速箱换挡时候声音很大，油耗长期保持在9.4L。</t>
  </si>
  <si>
    <t>黄工</t>
  </si>
  <si>
    <t>2020/02/18 16:31:00</t>
  </si>
  <si>
    <t>艾瑞泽5多处生锈变速箱异响油耗高3个多月出现几个生锈地方！车后箱焊接缝及机盖外生锈。变速箱换挡时候声音很大，油耗长期保持在9.4L。</t>
  </si>
  <si>
    <t>19年2月份提车，行驶19000公里左右出现刹车片异常磨损现象，左右两面内测刹车片偏磨严重，导致刹车盘磨损，刹车片已全部磨损车辆未出现紧急报警提示，刹车分泵回位异常，正常行驶状态出现刹车异响，针对以上问题要求经销商免费更换异常以及损坏零部件并对潜在的风险进行维修赔偿。</t>
  </si>
  <si>
    <t>不认输</t>
  </si>
  <si>
    <t>2020/02/18 16:30:00</t>
  </si>
  <si>
    <t>华晨宝马X1刹车片异常磨损刹车分泵回位异常19年2月份提车，行驶19000公里左右出现刹车片异常磨损现象，左右两面内测刹车片偏磨严重，导致刹车盘磨损，刹车片已全部磨损车辆未出现紧急报警提示，刹车分泵回位异常，正常行驶状态出现刹车异响，针对以上问题要求经销商免费更换异常以及损坏零部件并对潜在的风险进行</t>
  </si>
  <si>
    <t>2 3挡切换时顿挫严重，稍微颠簸点的路面车内中控台异响就会特别严重。发动机抖动太明显，天窗异响，高音喇叭破音。等等等等，毛病太多了。</t>
  </si>
  <si>
    <t>鹅黄色</t>
  </si>
  <si>
    <t>2020/02/18 16:29:00</t>
  </si>
  <si>
    <t>中控屏幕时间不可调，没有时间设置功能。4S店要把中控拆下来寄回厂家我们自己花钱修。</t>
  </si>
  <si>
    <t>杰瑞啊</t>
  </si>
  <si>
    <t>日产奇骏中控车机无法设置时间中控屏幕时间不可调，没有时间设置功能。4S店要把中控拆下来寄回厂家我们自己花钱修。</t>
  </si>
  <si>
    <t>奔腾T77换挡顿挫 天窗异响 发动机抖动2 3挡切换时顿挫严重，稍微颠簸点的路面车内中控台异响就会特别严重。发动机抖动太明显，天窗异响，高音喇叭破音。等等等等，毛病太多了。</t>
  </si>
  <si>
    <t>车机无法设置参数，其中车辆设置按钮一直闪烁，其它按钮无法点选。</t>
  </si>
  <si>
    <t>格桑</t>
  </si>
  <si>
    <t>2020/02/18 16:27:00</t>
  </si>
  <si>
    <t>本田CR-V车机系统设置界面失灵车机无法设置参数，其中车辆设置按钮一直闪烁，其它按钮无法点选。</t>
  </si>
  <si>
    <t>特地从县城开到市区修车，售后说可能是限位器坏了，不给换。说很可能是人为的，要拆下来寄去厂家分解鉴定。但是只要拆下来就必须换（因为之前的会被分解）。而且还让我们把车子停在那两三天，可问题是后视镜拆了我们根本没法回去。希望厂家能给一个说法，谢谢！</t>
  </si>
  <si>
    <t>磁铁矿</t>
  </si>
  <si>
    <t>2020/02/18 16:26:00</t>
  </si>
  <si>
    <t>东风雪铁龙C4L方向盘松动影响驾驶，方向盘松动，影响驾驶，长途驾驶风险很高。希望厂家可以安排工作人员尽快解决。根据东风雪铁龙厂家给的回复今天，去了4S店进行维修，被告知这需要自费承担全部维修费用。我对此十分疑惑，其一，车是正常使用，转向柱松动非人为原因；其二，4S店人员提到在19年，他们也有优惠活动</t>
  </si>
  <si>
    <t>sgrts</t>
  </si>
  <si>
    <t>艾瑞泽GX右后视镜电动折叠失灵特地从县城开到市区修车，售后说可能是限位器坏了，不给换。说很可能是人为的，要拆下来寄去厂家分解鉴定。但是只要拆下来就必须换（因为之前的会被分解）。而且还让我们把车子停在那两三天，可问题是后视镜拆了我们根本没法回去。希望厂家能给一个说法，谢谢！</t>
  </si>
  <si>
    <t>雪铁龙C4L方向盘松动要求免费维修东风雪铁龙C4L方向盘松动影响驾驶，方向盘松动，影响驾驶，长途驾驶风险很高。希望厂家可以安排工作人员尽快解决。根据东风雪铁龙厂家给的回复今天，去了4S店进行维修，被告知这需要自费承担全部维修费用。我对此十分疑惑，其一，车是正常使用，转向柱松动非人为原因；其二，4S店</t>
  </si>
  <si>
    <t>身心疲惫啊！车15年买的开到1年半出现四十吗到五十吗嗡嗡嗡作响声音，一直去4S店检查，查了快一年最后是液力变距器坏啦，换啦之后嗡嗡嗡响声感觉好啦一点，可是就出现行驶中有哒哒就和链条一样声音，感觉变速箱塔油门板有齿轮咔咔咔的声音也和店里反应，后面嗡嗡嗡又有，又更换张紧轮，反正感觉四十码还是有嗡嗡嗡共振</t>
  </si>
  <si>
    <t>日吉若</t>
  </si>
  <si>
    <t>2020/02/18 16:25:00</t>
  </si>
  <si>
    <t>本田凌派行驶过程中发动机异响身心疲惫啊！车15年买的开到1年半出现四十吗到五十吗嗡嗡嗡作响声音，一直去4S店检查，查了快一年最后是液力变距器坏啦，换啦之后嗡嗡嗡响声感觉好啦一点，可是就出现行驶中有哒哒就和链条一样声音，感觉变速箱塔油门板有齿轮咔咔咔的声音也和店里反应，后面嗡嗡嗡又有，又更换张紧轮，反</t>
  </si>
  <si>
    <t>一千多公里变速箱就开始异响了去过4s三次，告诉我说正常，现在一万多公里了声音越来越大了，倒挡也会有异响。</t>
  </si>
  <si>
    <t>钢丝网</t>
  </si>
  <si>
    <t>2020/02/18 16:24:00</t>
  </si>
  <si>
    <t>大众速腾换挡时变速箱有异响一千多公里变速箱就开始异响了去过4s三次，告诉我说正常，现在一万多公里了声音越来越大了，倒挡也会有异响。</t>
  </si>
  <si>
    <t>投诉编号：【447649】投诉时间：2020-02-1816:22投诉品牌：众泰汽车投诉车系：众泰Z500投诉车型：2015款1.5T手动尊贵型投诉内容众泰控股集团有限公司生产的轿车存在严重质量问题，在保期内出现的减震器、转向机、电子转向助力泵故障，本人在保期内进众泰售后维修站，都是自花现金维修解决</t>
  </si>
  <si>
    <t>2020/02/18 16:22:00</t>
  </si>
  <si>
    <t>投诉编号：【447648】投诉时间：2020-02-1816:17投诉品牌：奇瑞汽车投诉车系：捷途X70投诉车型：2018款1.5T手动畅行版投诉内容本人于2018年底购买捷途x70于2019年年初发现发动机加油伴有异响一直未当作回事，直到2保时自己给车进行检查才发现三元催化处有一颗m8黑色螺栓未固</t>
  </si>
  <si>
    <t>2020/02/18 16:17:00</t>
  </si>
  <si>
    <t>2020/02/18 16:15:35</t>
  </si>
  <si>
    <t>投诉编号：【447644】
投诉时间： 2020-02-18 16:00
投诉品牌： 广汽本田
投诉车系： 凌派
投诉车型： 2015款 1.8 自动 豪华版</t>
  </si>
  <si>
    <t>投诉编号：【447646】  投诉时间： 2020-02-18 16:05  投诉品牌： 猎豹汽车  投诉车系： 猎豹CS9  投诉车型： 2017款 1.5L CVT 舒适型        投诉内容  CS9雨刮器电机总成故障厂家不处理也不管，这样的车企丢国人的脸。      投诉回复  车质网已</t>
  </si>
  <si>
    <t>2020/02/18 16:05:00</t>
  </si>
  <si>
    <t>投诉编号：【447645】  投诉时间： 2020-02-18 16:05  投诉品牌： 一汽-大众  投诉车系： 速腾  投诉车型： 2019款 280TSI DSG 舒适型 国VI        投诉内容  一千多公里变速箱就开始异响了去过4s三次，告诉我说正常，现在一万多公里了声音越来越大了，</t>
  </si>
  <si>
    <t>投诉编号：【447643】  投诉时间： 2020-02-18 15:52  投诉品牌： 东风雪铁龙  投诉车系： 雪铁龙C4L  投诉车型： 2013款 1.8L 自动 劲享版        投诉内容  东风雪铁龙C4L方向盘松动影响驾驶，方向盘松动，影响驾驶，长途驾驶风险很高。希望厂家可以安排工</t>
  </si>
  <si>
    <t>2020/02/18 15:52:00</t>
  </si>
  <si>
    <t>投诉编号：【447642】  投诉时间： 2020-02-18 15:51  投诉品牌： 奇瑞汽车  投诉车系： 艾瑞泽GX  投诉车型： 2019款 冠军版 1.5L CVT 时尚型        投诉内容  特地从县城开到市区修车，售后说可能是限位器坏了，不给换。说很可能是人为的，要拆下来寄去厂</t>
  </si>
  <si>
    <t>2020/02/18 15:51:00</t>
  </si>
  <si>
    <t>奇瑞艾瑞泽7e启动后出现高压故障经历：自从买了艾瑞泽7e以来，运行还算平稳，但是高压故障令人胆寒，三次出现的现象高度一致，都是充满电之后，拔掉充电桩，启动车辆出现高压故障，车辆不能启动；1.2019.3.16第一次出现高压故障，没办法，只能叫拖车，到深圳东富4s店，维修人员无法找到出现的根本原因，清</t>
  </si>
  <si>
    <t>平步登天任我行</t>
  </si>
  <si>
    <t>2020/02/18 15:40:00</t>
  </si>
  <si>
    <t>上汽大众朗逸刹车异响无解决方案怎么处理上汽大众厂家多次回复说为本车更换了配件，但一次都没有更换。希望上汽大众厂家给出确切时间，地点及更换配件的型号。一个配件都没有更换，为什么说已经更换这个只能投诉了</t>
  </si>
  <si>
    <t>吸猫一大口</t>
  </si>
  <si>
    <t>上汽大众厂家多次回复说为本车更换了配件，但一次都没有更换。希望上汽大众厂家给出确切时间，地点及更换配件的型号。一个配件都没有更换，为什么说已经更换</t>
  </si>
  <si>
    <t>经历：自从买了艾瑞泽7e以来，运行还算平稳，但是高压故障令人胆寒，三次出现的现象高度一致，都是充满电之后，拔掉充电桩，启动车辆出现高压故障，车辆不能启动；1.2019.3.16第一次出现高压故障，没办法，只能叫拖车，到深圳东富4s店，维修人员无法找到出现的根本原因，清除故障码，故障消失；2.2019</t>
  </si>
  <si>
    <t>东风悦达起亚焕驰离合器漏油十分严重东风悦达起亚焕驰离合器漏油无法使用，严重影响行驶与操控，要求尽快处理。</t>
  </si>
  <si>
    <t>东皇战影</t>
  </si>
  <si>
    <t>2020/02/18 15:39:00</t>
  </si>
  <si>
    <t>一汽大众奥迪Q5L全轮驱动系统报警新车12000公里的时候出现全轮驱动故障，到服务站检查，说可能要更换差速器。</t>
  </si>
  <si>
    <t>万年金光</t>
  </si>
  <si>
    <t>东风悦达起亚焕驰离合器漏油无法使用，严重影响行驶与操控，要求尽快处理。</t>
  </si>
  <si>
    <t>新车12000公里的时候出现全轮驱动故障，到服务站检查，说可能要更换差速器。</t>
  </si>
  <si>
    <t>跑高速以后速度降下来就失速，去4S店也查不到原因，每次都这样，平常主要在市区行驶，这是什么原因导致的？</t>
  </si>
  <si>
    <t>2020/02/18 15:38:29</t>
  </si>
  <si>
    <t>奇瑞艾瑞泽GX电子辅助系统失效下场雪两天没动车开车起步全车电子辅助系统失效，手刹解除不了，还有该车之前出现加速无力偶发性至今没解决。</t>
  </si>
  <si>
    <t>十万沙劫满云天</t>
  </si>
  <si>
    <t>2020/02/18 15:37:00</t>
  </si>
  <si>
    <t>爆肚儿吃肚仁儿</t>
  </si>
  <si>
    <t>下场雪两天没动车开车起步全车电子辅助系统失效，手刹解除不了，还有该车之前出现加速无力偶发性至今没解决。</t>
  </si>
  <si>
    <t>上汽大众帕萨特中保研测试A柱严重变形中保研25%正面碰撞测试A柱严重变形，说明A柱强度严重不足。方向盘位移过大，安全气囊无法起到保护驾驶员的作用。请上汽大众给广大车主一个说法，召回，退车。上汽大众帕萨特的正面25%偏置碰撞试验在两个月前已经完成，当时厂家技术人员现场跟踪并观看了碰撞试验，图片来看众多</t>
  </si>
  <si>
    <t>东风日产奇骏未发生碰撞漆面龟裂东风日产奇骏漆面龟裂，未发生碰撞，之前向车质网反应车漆问题，4S店回复很强硬，依然告知是鸟屎腐蚀，让我找个鸟屎做实验试试，这就是4s店的解决方式！如果让我做实验，请给我换一个没问题的叶子板，用出现问题的继续做实验。我要投诉并要求给我解决问题！但至今多天未能解决，请求车质</t>
  </si>
  <si>
    <t>十剑山河荡狼烟</t>
  </si>
  <si>
    <t>2020/02/18 15:36:00</t>
  </si>
  <si>
    <t>上汽名爵ZS发动机部件生锈希望处理。提车两个月，发动机部件生锈。真的没想到新车就出现这个问题，真的有点过分了。</t>
  </si>
  <si>
    <t>十面江海靖尘嚣</t>
  </si>
  <si>
    <t>东风日产奇骏漆面龟裂，未发生碰撞，之前向车质网反应车漆问题，4S店回复很强硬，依然告知是鸟屎腐蚀，让我找个鸟屎做实验试试，这就是4s店的解决方式！如果让我做实验，请给我换一个没问题的叶子板，用出现问题的继续做实验。我要投诉并要求给我解决问题！但至今多天未能解决，请求车质网帮助！</t>
  </si>
  <si>
    <t>上汽名爵ZS发动机部件生锈希望处理上汽名爵ZS发动机部件生锈希望处理。提车两个月，发动机部件生锈。真的没想到新车就出现这个问题，真的有点过分了。</t>
  </si>
  <si>
    <t>奇瑞瑞虎5x发动机抖动异响太严重了发动机异响，抖动严重，类似敲缸声音，像拖拉机，到4S店检查说正常现象，忽悠，忽悠。不是缺缸了吧</t>
  </si>
  <si>
    <t>宇宙大毛球</t>
  </si>
  <si>
    <t>2020/02/18 15:35:00</t>
  </si>
  <si>
    <t>进口宝马X5新能源动力电池频繁故障该车2017年9月在深圳购买（含税车价77万多，落地价90万）。2018年8月底，总里程1万公里，提示“传动系统故障”，9月13日把车送修，结果为电池故障。11月14日（维修2个月）修好。更换了1个高压蓄电池单元。2019年6月底，距上次维修快7个月，行驶了9000</t>
  </si>
  <si>
    <t>万里鹏程</t>
  </si>
  <si>
    <t>发动机异响，抖动严重，类似敲缸声音，像拖拉机，到4S店检查说正常现象，忽悠，忽悠。</t>
  </si>
  <si>
    <t>该车2017年9月在深圳购买（含税车价77万多，落地价90万）。2018年8月底，总里程1万公里，提示“传动系统故障”，9月13日把车送修，结果为电池故障。11月14日（维修2个月）修好。更换了1个高压蓄电池单元。2019年6月底，距上次维修快7个月，行驶了9000多公里，总里程19000多时，车辆</t>
  </si>
  <si>
    <t>一汽大众宝来发动机烧机油一直不解决一汽大众宝来发动机烧机油一直不解决，希望尽快处理问题吧，已经投诉过几次了，一直没解决。气门间隙大</t>
  </si>
  <si>
    <t>神蛊温皇</t>
  </si>
  <si>
    <t>2020/02/18 15:34:00</t>
  </si>
  <si>
    <t>一汽奔腾B30转向卡滞多次维修未解决本人16.1.8号购买一汽奔腾B30自动尊享型车，方向盘转向柱卡顿，于17.2.4日更换转向柱，18.12.27日二次更换转向柱，19年去调校过一次，多次更换转向柱，问题仍然没有解决，目前方向盘卡顿现象又有发生，属产品质量问题，厂家应该召回，影响安全行驶！</t>
  </si>
  <si>
    <t>以诚待人</t>
  </si>
  <si>
    <t>一汽大众宝来发动机烧机油一直不解决，希望尽快处理问题吧，已经投诉过几次了，一直没解决。</t>
  </si>
  <si>
    <t>本人16.1.8号购买一汽奔腾B30自动尊享型车，方向盘转向柱卡顿，于17.2.4日更换转向柱，18.12.27日二次更换转向柱，19年去调校过一次，多次更换转向柱，问题仍然没有解决，目前方向盘卡顿现象又有发生，属产品质量问题，厂家应该召回，影响安全行驶！</t>
  </si>
  <si>
    <t>您好，玲珑4x4轮胎四轮互换要怎么换？</t>
  </si>
  <si>
    <t>2020/02/18 15:33:56</t>
  </si>
  <si>
    <t>我的风云2主驾驶音响破音了，换一个用了几天又破音了，一共换了两个都坏了，坏的时候音响开关和切歌的时候都会咚的一声，这是怎么回事，不知道是哪里的问题。</t>
  </si>
  <si>
    <t>挂倒挡变速箱咯噔脆响在4S店进行全面检查，4S店回复没有问题，厂家也回复没有问题。但在4S店试了他们16款的救急车和4S店员工自己18款的，还试过车友同款的，试下来各辆车挂倒挡时变速箱没有任何齿轮冲击所产生的咯噔脆响；试问厂家、4S店回复我车辆情况正常的依据从何而来?那到底是变速箱上哪个零件还是其他</t>
  </si>
  <si>
    <t>俏如来</t>
  </si>
  <si>
    <t>2020/02/18 15:33:00</t>
  </si>
  <si>
    <t>北京现代ix25前轮吃胎偏磨，天窗异响，严重影响安全与使用。这可不是小问题，希望尽快能得到解决吧！</t>
  </si>
  <si>
    <t>网中人</t>
  </si>
  <si>
    <t>北京现代ix25前轮吃胎偏磨影响安全啊北京现代ix25前轮吃胎偏磨，天窗异响，严重影响安全与使用。这可不是小问题，希望尽快能得到解决吧！</t>
  </si>
  <si>
    <t>上汽大众途安挂挡时变速箱有异响挂倒挡变速箱咯噔脆响在4S店进行全面检查，4S店回复没有问题，厂家也回复没有问题。但在4S店试了他们16款的救急车和4S店员工自己18款的，还试过车友同款的，试下来各辆车挂倒挡时变速箱没有任何齿轮冲击所产生的咯噔脆响；试问厂家、4S店回复我车辆情况正常的依据从何而来?那</t>
  </si>
  <si>
    <t>投诉编号：【447641】  投诉时间： 2020-02-18 15:30  投诉品牌： 北京奔驰  投诉车系： 奔驰GLC  投诉车型： 2017款 260 4MATIC 动感型        投诉内容  北京奔驰GLC刹车片异响，不给维修，更换刹车片未解决，这个问题大量车友都有。要求厂家解决好车</t>
  </si>
  <si>
    <t>2020/02/18 15:30:00</t>
  </si>
  <si>
    <t>如何避让事故车 奥迪A3二手车检测鉴定如何避让事故车？这是很多朋友一直追问我们的话题；随着汽车的数量不断增多之后，也有了一个事实，汽车确实是给了我们很多的便捷性，所以很多的家庭也会去购买汽车，可是在汽车的价格方面，也不是每个人都买得起，所以有些人就会想着贷款买车，这样就不需要一次性支付很多的金额，还</t>
  </si>
  <si>
    <t>2020/02/18 15:07:00</t>
  </si>
  <si>
    <t>英菲尼迪Q50 遇见这样的车况买不买？INFINITI英菲尼迪是日产汽车公司旗下的豪华车品牌，1989年该品牌诞生于北美地区。凭借独特前卫的设计、出色的产品性能，英菲尼迪在豪华车市场创造了辉煌的业绩，现已成为全球豪华汽车市场中最重要的品牌之一。 到目前为止，可能还有少数读者没有完全搞清楚英菲尼迪新的</t>
  </si>
  <si>
    <t>2020/02/18 15:04:00</t>
  </si>
  <si>
    <t>投诉编号：【447638】  投诉时间： 2020-02-18 14:57  投诉品牌： 吉利汽车  投诉车系： 帝豪  投诉车型： 2017款 1.5L 手动 向上互联版 三厢 百万款        投诉内容  车停在小区内部平的地方大概一个月，内部左前驾驶室及左后排漏了大量的水，内部检查左边前后</t>
  </si>
  <si>
    <t>2020/02/18 14:57:00</t>
  </si>
  <si>
    <t>投诉编号：【447637】投诉时间：2020-02-1814:31投诉品牌：广汽乘用车投诉车系：传祺GS5投诉车型：2019款270T自动精英版投诉内容广汽传祺GS5右后侧车门有裂痕，车的右侧后门有明显裂痕，并且原车漆都在上面完好无损，确定是厂家的原因造成的！要求厂家解决好车辆的问题。投诉回复车质网</t>
  </si>
  <si>
    <t>2020/02/18 14:31:00</t>
  </si>
  <si>
    <t>新远景放了二十天电瓶没电了，连仪表都不亮，如果搭电启动可以像正常电瓶一样正常储存电吗。</t>
  </si>
  <si>
    <t>2020/02/18 14:13:47</t>
  </si>
  <si>
    <t>现在大家的经济状况是越来越好了，大部分的人都有买车的打算，那么新车刚买回来时应该怎么快速去味呢？(一)把车内的膜撕掉新车里面各处都会包着大大小小的膜，显示屏，天窗等等，这些塑料膜如果不及时去掉，皮革里面的味道就很难散发出来，从而难以排出去。图片来源于网络(二)经常开窗/开门通风太阳晒了一整天后，车里</t>
  </si>
  <si>
    <t>2020/02/18 14:11:00</t>
  </si>
  <si>
    <t>投诉编号：【447634】投诉时间：2020-02-1814:11投诉品牌：东风本田投诉车系：本田CR-V投诉车型：2019款锐・混动2.0L两驱净驰版国V投诉内容车机无法设置参数，其中车辆设置按钮一直闪烁，其它按钮无法点选。投诉回复车质网已将您的投诉转给生产企业以及国家市场监督管理总局缺陷产品管理</t>
  </si>
  <si>
    <t>新车如何去味？这样做事半功倍现在大家的经济状况是越来越好了，大部分的人都有买车的打算，那么新车刚买回来时应该怎么快速去味呢？(一)把车内的膜撕掉新车里面各处都会包着大大小小的膜，显示屏，天窗等等，这些塑料膜如果不及时去掉，皮革里面的味道就很难散发出来，从而难以排出去。图片来源于网络(二)经常开窗/开</t>
  </si>
  <si>
    <t>雨刷是汽车上最常见的部件了，但要说到它也分有分类，相信不少新手司机都还不清楚。其实市面上主要有无骨雨刷和有骨雨刷两大类，那么它们到底有何不同之处，为什么现在车企都说无骨的好？我们一起来看看。首先从结构上来说，有骨雨刷通过骨架上的若干支撑点把雨刮片压在玻璃上，使雨刮片上的各个支撑点的压力平均。价格便宜</t>
  </si>
  <si>
    <t>2020/02/18 14:10:00</t>
  </si>
  <si>
    <t>无骨和有骨雨刷到底哪个更好？雨刷是汽车上最常见的部件了，但要说到它也分有分类，相信不少新手司机都还不清楚。其实市面上主要有无骨雨刷和有骨雨刷两大类，那么它们到底有何不同之处，为什么现在车企都说无骨的好？我们一起来看看。首先从结构上来说，有骨雨刷通过骨架上的若干支撑点把雨刮片压在玻璃上，使雨刮片上的各</t>
  </si>
  <si>
    <t>新年新气象，大部分人会在过年前洗车，洗车是最基本的汽车保养，有些车主选择自己洗车，认为车子洗干净就行了，其实，里面暗藏不少学问，如果不小心，可能会对汽车造成损害。下面小龙给各位列举六个洗车时常犯的错误，看看你是否中招了。一 ：高压洗车时，水枪不宜离车辆太近，不要集中冲洗车辆一处。【可能造成的不良隐患</t>
  </si>
  <si>
    <t>2020/02/18 14:09:00</t>
  </si>
  <si>
    <t>雨刮器是行车不可缺少的工具。在长时间使用以后，雨刮器就会老化，清洁效果也会大打折扣。这也是为什么车辆行驶一段时间后，使用雨刮器会有一种越刮越糊的现象。所以日常开车过程中，如何正确使用、保养雨刮器显得特别重要。一、雨刮器使用前注意事项1、先清理沙尘、落叶经常卡在胶条上，如果使用前没有清理胶条，很容易对</t>
  </si>
  <si>
    <t>汽车小百科 为什么雨刮器总是刮不干净雨刮器是行车不可缺少的工具。在长时间使用以后，雨刮器就会老化，清洁效果也会大打折扣。这也是为什么车辆行驶一段时间后，使用雨刮器会有一种越刮越糊的现象。所以日常开车过程中，如何正确使用、保养雨刮器显得特别重要。一、雨刮器使用前注意事项1、先清理沙尘、落叶经常卡在胶条</t>
  </si>
  <si>
    <t>新年新气象 洗车需避开的六大误区新年新气象，大部分人会在过年前洗车，洗车是最基本的汽车保养，有些车主选择自己洗车，认为车子洗干净就行了，其实，里面暗藏不少学问，如果不小心，可能会对汽车造成损害。下面小龙给各位列举六个洗车时常犯的错误，看看你是否中招了。一 ：高压洗车时，水枪不宜离车辆太近，不要集中冲</t>
  </si>
  <si>
    <t>1、检查胎压如果轮胎充气不足，耗油量就会增加，又因为轮胎是最容易检查的项目，所以第步可以检查胎压。如果不是胎压的问题，就要检查一下轮胎的磨损程度，轮胎磨损严重时，就会经常出现打滑现象，增加耗油量。2、检查发动机是否积炭过多如果积碳在短期内增加较多，那么可能是使用了不合适的油品。另外，由于城市交通拥堵</t>
  </si>
  <si>
    <t>2020/02/18 14:07:00</t>
  </si>
  <si>
    <t>油耗突然增加？查这六个地方没错了1、检查胎压如果轮胎充气不足，耗油量就会增加，又因为轮胎是最容易检查的项目，所以第步可以检查胎压。如果不是胎压的问题，就要检查一下轮胎的磨损程度，轮胎磨损严重时，就会经常出现打滑现象，增加耗油量。2、检查发动机是否积炭过多如果积碳在短期内增加较多，那么可能是使用了不合</t>
  </si>
  <si>
    <t>高速上开车，有一个动作很危险！开车窗，这个动作看似很平常。但是你知道吗？这个动作有时也存在安全隐患。在高速上，车窗要么不开，要么只开一扇，切忌将同侧的两扇窗同时打开。这是为什么呢？往下看~可能造成车祸气流会在同一侧直接灌入车内，司机迎风感会特别的强，对其视力造成影响，并易导致头晕，引发交通事故。很耗</t>
  </si>
  <si>
    <t>2020/02/18 14:06:00</t>
  </si>
  <si>
    <t>高速上开车要注意 千万不要这样做高速上开车，有一个动作很危险！开车窗，这个动作看似很平常。但是你知道吗？这个动作有时也存在安全隐患。在高速上，车窗要么不开，要么只开一扇，切忌将同侧的两扇窗同时打开。这是为什么呢？往下看~可能造成车祸气流会在同一侧直接灌入车内，司机迎风感会特别的强，对其视力造成影响，</t>
  </si>
  <si>
    <t>投诉编号：【447633】  投诉时间： 2020-02-18 14:06  投诉品牌： 东风雪铁龙  投诉车系： 雪铁龙C4L  投诉车型： 2013款 1.8L 自动 劲享版        投诉内容  2013年8月份购车，东风雪铁龙C4L1.8自动劲享版，目前行驶里程数才6万多公里，方向盘抖动</t>
  </si>
  <si>
    <t>投诉编号：【447631】  投诉时间： 2020-02-18 13:58  投诉品牌： 上汽大通  投诉车系： 上汽MAXUS V80  投诉车型： 2019款 2.5T 经典款 AMT 傲运通 短轴 中顶 5/6座        投诉内容  经过上次投诉后，厂家很快给我取得了联系，同意给我维修，</t>
  </si>
  <si>
    <t>2020/02/18 13:58:00</t>
  </si>
  <si>
    <t>　　凯迪拉克即将正式迈进电气化时代，旗下纯电动车有了新的进展。近日，我们从海外媒体得到消息，凯迪拉克总裁史蒂夫・卡莱尔（Steve Carlisle）在2月17日的NADA大会上向经销商们表示，凯迪拉克将会在4月份推出一款纯电动的中型跨界车型 。据悉，这将是凯迪拉克的首款纯电动车型，并有望在纽约车展</t>
  </si>
  <si>
    <t>2020/02/18 13:57:00</t>
  </si>
  <si>
    <t>凯迪拉克即将正式迈进电气化时代，旗下纯电动车有了新的进展。近日，我们从海外媒体得到消息，凯迪拉克总裁史蒂夫·卡莱尔（Steve Carlisle）在2月17日的NADA大会上向经销商们表示，凯迪拉克将会在4月份推出一款纯电动的中型跨界车型 。据悉，这将是凯迪拉克的首款纯电动车型，并有望在纽约车展上进</t>
  </si>
  <si>
    <t>新冠状病毒肺炎疫情的防控到了关键时期，处于疫情中心武汉的东风悦达起亚股东方——东风汽车的疫情防控和生产复工准备情况，也牵动着东风悦达起亚和其他合作伙伴的心。日前，我们从官方获悉，2月14日，东风悦达起亚汽车携手韩国起亚汽车株式会社紧急从韩国采购了第一批5万只口罩，将以最快的方式运抵湖北武汉交付东风汽</t>
  </si>
  <si>
    <t>2020/02/18 13:55:00</t>
  </si>
  <si>
    <t>　　新冠状病毒肺炎疫情的防控到了关键时期，处于疫情中心武汉的东风悦达起亚股东方――东风汽车的疫情防控和生产复工准备情况，也牵动着东风悦达起亚和其他合作伙伴的心。日前，我们从官方获悉，2月14日，东风悦达起亚汽车携手韩国起亚汽车株式会社紧急从韩国采购了第一批5万只口罩，将以最快的方式运抵湖北武汉交付东</t>
  </si>
  <si>
    <t>投诉编号：【447630】  投诉时间： 2020-02-18 13:55  投诉品牌： 东风本田  投诉车系： 本田CR-V  投诉车型： 2019款 耀目版plus 240TURBO CVT 两驱 风尚版        投诉内容  东风本田CR-V发动机机油增多 机油乳化，机油增多，要求厂家尽快</t>
  </si>
  <si>
    <t>2月14日，一汽集团对外公布了1月整体销量达35.4万辆，相比去年同期增长18.3%。而新红旗品牌作为该集团旗下的“带头大哥”与集团始终保持一致。我们从相关渠道获悉，红旗品牌一月份销售12,630辆，同比劲增142.7%。    2020年1月8日，新红旗品牌正式开启了重塑和振兴之路。此外，发布会现</t>
  </si>
  <si>
    <t>2020/02/18 13:54:00</t>
  </si>
  <si>
    <t>　　2月14日，一汽集团对外公布了1月整体销量达35.4万辆，相比去年同期增长18.3%。而新红旗品牌作为该集团旗下的“带头大哥”与集团始终保持一致。我们从相关渠道获悉，红旗品牌一月份销售12,630辆，同比劲增142.7%。　　2020年1月8日，新红旗品牌正式开启了重塑和振兴之路。此外，发布会现</t>
  </si>
  <si>
    <t>日前我们获悉，在面向车主推出保修保养延长、上门试驾服务以及额外购车补贴后，广汽菲克又针对旗下经销商推出了一系列贴心扶植政策，除了减免各地经销商2月批售目标考核以外，还额外为经销商追加30天库存融资支持以及金融救助方案，尽最大限度保证经销商利益。    本次广汽菲克公布的经销商扶植政策在目前各品牌发布</t>
  </si>
  <si>
    <t>2020/02/18 13:52:00</t>
  </si>
  <si>
    <t>　　日前我们获悉，在面向车主推出保修保养延长、上门试驾服务以及额外购车补贴后，广汽菲克又针对旗下经销商推出了一系列贴心扶植政策，除了减免各地经销商2月批售目标考核以外，还额外为经销商追加30天库存融资支持以及金融救助方案，尽最大限度保证经销商利益。　　本次广汽菲克公布的经销商扶植政策在目前各品牌发布</t>
  </si>
  <si>
    <t>李乾鑫</t>
  </si>
  <si>
    <t>日前，玛莎拉蒂发布了其电动化的规划。据了解，ghibli轿车将成为品牌历史上第一款混动车型。在纯电动方面，全新一代granturismo 和grancabrio车型将会成为品牌首款采用100%纯电动动力解决方案的车型，并计划于2021年投产。目前，该品牌的首个100%纯电动动力系统已经进入了测试阶段</t>
  </si>
  <si>
    <t>2020/02/18 13:50:00</t>
  </si>
  <si>
    <t>　　日前，玛莎拉蒂发布了其电动化的规划。据了解，ghibli轿车将成为品牌历史上第一款混动车型。在纯电动方面，全新一代granturismo 和grancabrio车型将会成为品牌首款采用100%纯电动动力解决方案的车型，并计划于2021年投产。目前，该品牌的首个100%纯电动动力系统已经进入了测试</t>
  </si>
  <si>
    <t xml:space="preserve">我们从官方获悉，honda发布了2020年赛车运动参赛计划。2020年honda将参加在世界各地举办的多种类别摩托车、汽车领域顶级赛事。以骑手、车手、技术工程师、机械师为主的团队成员，将与honda赛车一道，作为“team honda”的一员，将全力奋战。     honda全球赛事参赛计划如下： </t>
  </si>
  <si>
    <t>2020/02/18 13:47:00</t>
  </si>
  <si>
    <t>　　我们从官方获悉，honda发布了2020年赛车运动参赛计划。2020年honda将参加在世界各地举办的多种类别摩托车、汽车领域顶级赛事。以骑手、车手、技术工程师、机械师为主的团队成员，将与honda赛车一道，作为“team honda”的一员，将全力奋战。　　 honda全球赛事参赛计划如下：　</t>
  </si>
  <si>
    <t>日前，我们从工信部获得了一组比亚迪汉dm（插电式混合动力）车型的详细动力信息。新车将采用2.0t发动机 永磁同步电机组合，纯电续航为81km，工信部提供的综合百公里耗电量为17.10kwh/100km，新车预计将于6月正式上市。    从本次公布的信息来看，比亚迪汉dm搭载的是代号为byd487zq</t>
  </si>
  <si>
    <t>2020/02/18 13:46:00</t>
  </si>
  <si>
    <t>　　日前，我们从工信部获得了一组比亚迪汉dm（插电式混合动力）车型的详细动力信息。新车将采用2.0t发动机 永磁同步电机组合，纯电续航为81km，工信部提供的综合百公里耗电量为17.10kwh/100km，新车预计将于6月正式上市。　　从本次公布的信息来看，比亚迪汉dm搭载的是代号为byd487zq</t>
  </si>
  <si>
    <t>近日，我们从倍耐力官方获悉，倍耐力全新模拟器于米兰研发中心投入使用。这套全新模拟器旨在加快研发和轮胎测试进程，以缩短交付周期，加强与领先汽车制造商之间密切的合作关系。    这台模拟器由vi-grade公司制造，包含一个210度的全景屏幕，直径为7.5米，在视觉上再现了各种不同的驾驶条件、路况和赛道</t>
  </si>
  <si>
    <t>2020/02/18 13:43:00</t>
  </si>
  <si>
    <t>　　近日，我们从倍耐力官方获悉，倍耐力全新模拟器于米兰研发中心投入使用。这套全新模拟器旨在加快研发和轮胎测试进程，以缩短交付周期，加强与领先汽车制造商之间密切的合作关系。　　这台模拟器由vi-grade公司制造，包含一个210度的全景屏幕，直径为7.5米，在视觉上再现了各种不同的驾驶条件、路况和赛道</t>
  </si>
  <si>
    <t>　　聆风是日产旗下一款纯电动车型，在海外市场备受好评。日前，我们从海外媒体insideevs获悉，市场调查机构j.d. power发布了2020年纯电动车可靠性研究的排名，日产聆风获得该项目的冠军，宝马i3的排名为第二名，第三名是雪佛兰bolt ev。　　据了解，市场调查机构j.d. power是从</t>
  </si>
  <si>
    <t>聆风是日产旗下一款纯电动车型，在海外市场备受好评。日前，我们从海外媒体insideevs获悉，市场调查机构j.d. power发布了2020年纯电动车可靠性研究的排名，日产聆风获得该项目的冠军，宝马i3的排名为第二名，第三名是雪佛兰bolt ev。    据了解，市场调查机构j.d. power是从</t>
  </si>
  <si>
    <t>近日，我们从相关渠道获悉，广汽丰田c-hr有望于今年年内迎来改款车型。参考已经发布的海外版车型，新车的变化集中在外观细节方面，另外配置也会有小幅度调整。    在外观设计方面，改款后的丰田c-hr前脸造型更加霸气，“大嘴式”的进气格栅内部采用了网状格栅装饰，前保险杠也是全新的设计。新车标配led大灯</t>
  </si>
  <si>
    <t>2020/02/18 13:42:00</t>
  </si>
  <si>
    <t>　　近日，我们从相关渠道获悉，广汽丰田c-hr有望于今年年内迎来改款车型。参考已经发布的海外版车型，新车的变化集中在外观细节方面，另外配置也会有小幅度调整。　　在外观设计方面，改款后的丰田c-hr前脸造型更加霸气，“大嘴式”的进气格栅内部采用了网状格栅装饰，前保险杠也是全新的设计。新车标配led大灯</t>
  </si>
  <si>
    <t>凛冬自驾北京到河北蔚县 300公里7小时 京西山路险峻之行 北京晨冬，早四点半出奇的冷，天还是黑的。出了北五环仰山桥，向西南过石景山，走上G108国道时，天慢慢变灰，山路旁一些农家次第亮起了灯。空山无人，我的车开得飞快，一切都静悄悄，沿曲折的山路，偶尔几声乌鸦的啼鸣响彻山谷。300公里从北京到河北蔚</t>
  </si>
  <si>
    <t>2020/02/18 13:38:00</t>
  </si>
  <si>
    <t>北京晨冬，早四点半出奇的冷，天还是黑的。出了北五环仰山桥，向西南过石景山，走上G108国道时，天慢慢变灰，山路旁一些农家次第亮起了灯。空山无人，我的车开得飞快，一切都静悄悄，沿曲折的山路，偶尔几声乌鸦的啼鸣响彻山谷。300公里从北京到河北蔚县，这趟行程可不短。蔚（yù）县，古称蔚州，为“燕云十六州”</t>
  </si>
  <si>
    <t>盘点我国几条著名的“断头”高速公路 你开车经过了几条？2020年，我国高速公路里程破15万公里，稳居世界第一。不知道大家开车自驾旅行时有没有冒出从高速公路起点开到终点的想法，在我国现有的34条高速公路主干线中，有部分并未完全贯通，就仿佛是一条大型“断头路”。下面，我们列举了我国几条著名的“断头”高速</t>
  </si>
  <si>
    <t>2020/02/18 13:37:00</t>
  </si>
  <si>
    <t>2020年，我国高速公路里程破15万公里，稳居世界第一。不知道大家开车自驾旅行时有没有冒出从高速公路起点开到终点的想法，在我国现有的34条高速公路主干线中，有部分并未完全贯通，就仿佛是一条大型“断头路”。下面，我们列举了我国几条著名的“断头”高速，大家一起来看看吧。      1.京台高速（G3）很</t>
  </si>
  <si>
    <t>我们获悉奥迪正在计划开发一款微型的纯电动车，面向欧洲等市场。新车基于大众MEB Entry平台，是该平台生产的最小电动车。根据消息，该电动车已经在奥迪的计划当中，其续航里程或达200公里，有望在2023年推出市场。    此前有消息表明，这款电动车可能以奥迪在上海车展亮相的奥迪AI:ME概念车为基础</t>
  </si>
  <si>
    <t>2020/02/18 13:36:00</t>
  </si>
  <si>
    <t>　　我们获悉奥迪正在计划开发一款微型的纯电动车，面向欧洲等市场。新车基于大众MEB Entry平台，是该平台生产的最小电动车。根据消息，该电动车已经在奥迪的计划当中，其续航里程或达200公里，有望在2023年推出市场。　　此前有消息表明，这款电动车可能以奥迪在上海车展亮相的奥迪AI:ME概念车为基础</t>
  </si>
  <si>
    <t>2020/02/18 13:34:33</t>
  </si>
  <si>
    <t>投诉编号：【447626】
投诉时间： 2020-02-18 13:25
投诉品牌： 东风日产
投诉车系： 奇骏
投诉车型： 2015款 2.0L CVT 舒适MAX版 2WD</t>
  </si>
  <si>
    <t>　　近日，我们从北京交管局获悉，为切实加强疫情防控工作，保障人民群众生命安全和身体健康，从2月17日起至疫情结束，外埠小客车办理进京证暂停现场办理，一律改为网上申办。同时，交管部门将开辟绿色通道，保障民生、应急物资的及时运输。　　自去年11月1日起，外埠车在京限行管理新政开始实施。每辆外埠牌照客车一</t>
  </si>
  <si>
    <t>2020/02/18 13:33:00</t>
  </si>
  <si>
    <t>近日，我们从北京交管局获悉，为切实加强疫情防控工作，保障人民群众生命安全和身体健康，从2月17日起至疫情结束，外埠小客车办理进京证暂停现场办理，一律改为网上申办。同时，交管部门将开辟绿色通道，保障民生、应急物资的及时运输。    自去年11月1日起，外埠车在京限行管理新政开始实施。每辆外埠牌照客车一</t>
  </si>
  <si>
    <t>短短40公里藏着5大山水仙境 河南这条自驾游路线 你来过了吗？短短40公里藏着5大山水仙境，河南这条自驾游路线，你来过了吗？这些景点位置相对集中。短短40公里藏着5大山水仙境，今天就跟随小编一起来看一下吧鲁山羊圈沟景区——潭潭相连，漂亮而珍贵鲁山羊圈沟，位于鲁山县石人山南麓，与南召交界，就是一条原生</t>
  </si>
  <si>
    <t>短短40公里藏着5大山水仙境，河南这条自驾游路线，你来过了吗？这些景点位置相对集中。短短40公里藏着5大山水仙境，今天就跟随小编一起来看一下吧鲁山羊圈沟景区——潭潭相连，漂亮而珍贵鲁山羊圈沟，位于鲁山县石人山南麓，与南召交界，就是一条原生态的原始景点线路。鲁山羊圈沟景区山上植被茂密，山高水高，一路上</t>
  </si>
  <si>
    <t>山东日照一路向北沿海自驾游山东日照一路向北沿海自驾游途径鱼船码头刚出海的新鲜海鲜，买点海鲜找个地方加工，晚上海鲜大餐从山东日照沿海自驾游途径青岛从山东日照沿海自驾游途径青岛从山东日照沿海自驾游途径青岛从山东日照沿海自驾游途径青岛从山东日照沿海自驾游途径青岛能坐着睡觉绝对不躺下睡累坏了</t>
  </si>
  <si>
    <t>2020/02/18 13:31:00</t>
  </si>
  <si>
    <t>山东日照一路向北沿海自驾游途径鱼船码头刚出海的新鲜海鲜，买点海鲜找个地方加工，晚上海鲜大餐从山东日照沿海自驾游途径青岛从山东日照沿海自驾游途径青岛从山东日照沿海自驾游途径青岛从山东日照沿海自驾游途径青岛从山东日照沿海自驾游途径青岛能坐着睡觉绝对不躺下睡累坏了</t>
  </si>
  <si>
    <t>湖北最美的水上高速路这条水上公路也成了当地一条美丽的风景线。沿着这条公路，你不但能看到沿途的绿水青山，还能直接到达湖北的一些旅游景点。比如说白帝城，昭君故里，神农架，武当山等等。这条公路也被称为湖北省最美的高速公路。</t>
  </si>
  <si>
    <t>2020/02/18 13:29:00</t>
  </si>
  <si>
    <t>川藏线10年前有多烂多险？猫哥每年自驾车西藏全境游，已经连续了17年，亲身感受到西藏每一条路随着国家的强大、经济的发展带来的变化。进藏的道路越来越好，隧道越来越多，自驾去西藏旅游的人也越来越多。今天猫哥带您看看10年前的川藏线的部分路况。希望2020年我再去的时候，会有更大的变化。 十多年前的藏区，</t>
  </si>
  <si>
    <t>猫哥每年自驾车西藏全境游，已经连续了17年，亲身感受到西藏每一条路随着国家的强大、经济的发展带来的变化。进藏的道路越来越好，隧道越来越多，自驾去西藏旅游的人也越来越多。今天猫哥带您看看10年前的川藏线的部分路况。希望2020年我再去的时候，会有更大的变化。 十多年前的藏区，原始的泥土路段众多，坑坑洼</t>
  </si>
  <si>
    <t>这条水上公路也成了当地一条美丽的风景线。沿着这条公路，你不但能看到沿途的绿水青山，还能直接到达湖北的一些旅游景点。比如说白帝城，昭君故里，神农架，武当山等等。这条公路也被称为湖北省最美的高速公路。</t>
  </si>
  <si>
    <t>海南自驾找风景：大爷说给他10元钱带我捡鹅卵石 进去发现是禁区自驾海南环线，出了文昌往南行驶，过了琼海市直奔万宁，看看天色还早，就想找个地方休息一下，看看风景吃点东西，于是打开旅游地图就近搜寻，发现这里有一个大花角标识，是一处风景区。把车开下高速公路，按着导航的指引一路前行，开始还是像样的公路，后来</t>
  </si>
  <si>
    <t>2020/02/18 13:28:00</t>
  </si>
  <si>
    <t>中国最美公路系列：独库公路 此生必走一次的景观路中国最美公路很多，今天编辑要和大家谈的就是独库公路。 独库公路概况独库公路位于新疆，它是从独山子到库车的简称，纵贯天山南北，全长561公里，一半以上地段横亘崇山峻岭、穿越深川峡谷，却连接了众多少数民族聚居区，被《中国国家地理》评选为“纵贯天山脊梁的景观</t>
  </si>
  <si>
    <t>自驾海南环线，出了文昌往南行驶，过了琼海市直奔万宁，看看天色还早，就想找个地方休息一下，看看风景吃点东西，于是打开旅游地图就近搜寻，发现这里有一个大花角标识，是一处风景区。把车开下高速公路，按着导航的指引一路前行，开始还是像样的公路，后来就是完全在村屯里绕行了，我也不知道具体的方向，就是按着导航指引</t>
  </si>
  <si>
    <t>中国最美公路很多，今天编辑要和大家谈的就是独库公路。 独库公路概况独库公路位于新疆，它是从独山子到库车的简称，纵贯天山南北，全长561公里，一半以上地段横亘崇山峻岭、穿越深川峡谷，却连接了众多少数民族聚居区，被《中国国家地理》评选为“纵贯天山脊梁的景观大道”。 1974年国家决定加快修建天山公路，是</t>
  </si>
  <si>
    <t>想进藏吗？多条自驾路线供你参考我们向往自由，对于旅游也是一样，没有办法比自驾游更自由地旅行！想象一下；在一望无际的草原上开车，或是穿梭在森林茂密的盘山里，整个人都升华了呢~ 西藏高原，雄壮美丽，每个自驾者都心驰神往。传言人生必须要去一次西藏那么，一条合适的自驾线路显得尤为重要。 今天就为大家整理出几</t>
  </si>
  <si>
    <t>2020/02/18 13:27:00</t>
  </si>
  <si>
    <t>　　随着新能源政策补贴的退坡，新能源汽车销量也呈现了下降趋势，使用便利性和里程焦虑症重新回到了用户的参考范围，插电混动的优势也开始明显起来。今天我们试驾的车型就是插混新秀荣威RX5 eMAX，与普通的堆配置打法不同的是，这台车融入了很多时下流行的热门技术，人脸识别，AR导航，用户可以将其他方面的使用</t>
  </si>
  <si>
    <t>随着新能源政策补贴的退坡，新能源汽车销量也呈现了下降趋势，使用便利性和里程焦虑症重新回到了用户的参考范围，插电混动的优势也开始明显起来。今天我们试驾的车型就是插混新秀荣威RX5 eMAX，与普通的堆配置打法不同的是，这台车融入了很多时下流行的热门技术，人脸识别，AR导航，用户可以将其他方面的使用习惯</t>
  </si>
  <si>
    <t>我们向往自由，对于旅游也是一样，没有办法比自驾游更自由地旅行！想象一下；在一望无际的草原上开车，或是穿梭在森林茂密的盘山里，整个人都升华了呢~ 西藏高原，雄壮美丽，每个自驾者都心驰神往。传言人生必须要去一次西藏那么，一条合适的自驾线路显得尤为重要。 今天就为大家整理出几条进藏路线，每一条风景都美到窒</t>
  </si>
  <si>
    <t xml:space="preserve">自驾、户外生存准备这两样 关键时候能保命！时间自由，享受沿途的风光，和提升自己是对自驾野外生存最好的形容！       当然自驾户外可能会有一些风险性，除了常规线路，很多自驾户外爱好者喜欢偏僻的路和没开发的地方。相对而言，西藏新疆的昼夜温差会比较大，海拔会更高，除了高反，潜在的危险还有更多！    </t>
  </si>
  <si>
    <t>2020/02/18 13:26:00</t>
  </si>
  <si>
    <t>自驾川藏线应该用什么车 如何规划行程川藏线指的是从四川成都到拉萨的一条公路，自驾难度较高，景色特美，所以被称为是此生必驾的一条公路，不知道你是否同意呢？川藏线有两条，一条北线一条南线，下面我给你配一张图。南线主要是以自然风光为主，北线主要是以佛教文化为主。 川藏线南线全长2146公里，北线全长241</t>
  </si>
  <si>
    <t>川藏线指的是从四川成都到拉萨的一条公路，自驾难度较高，景色特美，所以被称为是此生必驾的一条公路，不知道你是否同意呢？川藏线有两条，一条北线一条南线，下面我给你配一张图。南线主要是以自然风光为主，北线主要是以佛教文化为主。 川藏线南线全长2146公里，北线全长2412公里，目前大多数路段已经被修筑成柏</t>
  </si>
  <si>
    <t>时间自由，享受沿途的风光，和提升自己是对自驾野外生存最好的形容！       当然自驾户外可能会有一些风险性，除了常规线路，很多自驾户外爱好者喜欢偏僻的路和没开发的地方。相对而言，西藏新疆的昼夜温差会比较大，海拔会更高，除了高反，潜在的危险还有更多！       今天小编就给大家盘点两个可以救命的宝</t>
  </si>
  <si>
    <t>带着女儿自驾去新疆 环南北疆27天15000公里新疆自古以来以其独特的民族风情，独具一格的自然风光，吸引着大家的目光。一提起新疆，浮现在大家脑海的就是她的“神秘”。千年不腐的“楼兰美女”；未解之谜“喀纳斯水怪”；最后西域“喀什老城”；“死亡之海”塔克拉玛干沙沙漠，神秘就是新疆的代名词。如果说去西藏是</t>
  </si>
  <si>
    <t>2020/02/18 13:25:00</t>
  </si>
  <si>
    <t>新疆自古以来以其独特的民族风情，独具一格的自然风光，吸引着大家的目光。一提起新疆，浮现在大家脑海的就是她的“神秘”。千年不腐的“楼兰美女”；未解之谜“喀纳斯水怪”；最后西域“喀什老城”；“死亡之海”塔克拉玛干沙沙漠，神秘就是新疆的代名词。如果说去西藏是一种挑战，那去新疆就是一种探险。 2018年7月</t>
  </si>
  <si>
    <t>曾几何时，自动驾驶对于普通消费者来说还是一件遥不可及的事情，但伴随着科技的突飞猛进，汽车也在向更加智能化和自动化发展。如今越来越多的汽车都已经可以实现L2级别自动驾驶，而随着未来5G技术的广泛应用，更高级别的自动驾驶也将迎来落地契机，我们这次来体验的就是捷途X95 L4级自动驾驶。</t>
  </si>
  <si>
    <t>2020/02/18 13:24:00</t>
  </si>
  <si>
    <t>　　曾几何时，自动驾驶对于普通消费者来说还是一件遥不可及的事情，但伴随着科技的突飞猛进，汽车也在向更加智能化和自动化发展。如今越来越多的汽车都已经可以实现L2级别自动驾驶，而随着未来5G技术的广泛应用，更高级别的自动驾驶也将迎来落地契机，我们这次来体验的就是捷途X95 L4级自动驾驶。　　 写在最后</t>
  </si>
  <si>
    <t>自驾游车上快没油了 附近也没有加油站咋办？老司机给你3个锦囊自驾游车上快没油了，附近也没有加油站咋办？老司机给你3个锦囊现在自驾游也是很流行，车主可以通过我国密集的高速线路网，开车前往各个景点，我们车主出远门时都会先加满油，但有时候也会忽略加油，以至于汽车续航成了难题，那么自驾游油箱快没油了，附近也</t>
  </si>
  <si>
    <t>2020/02/18 13:22:00</t>
  </si>
  <si>
    <t>自驾游车上快没油了，附近也没有加油站咋办？老司机给你3个锦囊现在自驾游也是很流行，车主可以通过我国密集的高速线路网，开车前往各个景点，我们车主出远门时都会先加满油，但有时候也会忽略加油，以至于汽车续航成了难题，那么自驾游油箱快没油了，附近也没有加油站咋办？老司机给你3个锦囊。 第一招就是在高速上在最</t>
  </si>
  <si>
    <t>传统汽车厂商的纯电动力车将在2020年密集上市，本田e无疑是其中最富乐趣最可爱的车型，不少媒体和车评人都看好这款车在全球市场的前景。但是，本田e动力平平，续航里程仅有220公里，而且体型娇小，那么优势在哪里呢？    不卖关子，我们认为本田e最重要的卖点是设计和富有玩乐性的人机系统。在车身尺寸越来越</t>
  </si>
  <si>
    <t>　　传统汽车厂商的纯电动力车将在2020年密集上市，本田e无疑是其中最富乐趣最可爱的车型，不少媒体和车评人都看好这款车在全球市场的前景。但是，本田e动力平平，续航里程仅有220公里，而且体型娇小，那么优势在哪里呢？　　不卖关子，我们认为本田e最重要的卖点是设计和富有玩乐性的人机系统。在车身尺寸越来越</t>
  </si>
  <si>
    <t>　　20万级紧凑型合资SUV向来都是国人热衷购买的对象，包括一汽丰田RAV4荣放、广汽本田皓影、长安福特锐际以及即将上市的广汽丰田威兰达，都是当下最热门的车型，并且它们都延续了新车上市无优惠的特性，有用车需求还是建议大家早买早享受。　　一汽丰田RAV4荣放    指导价：17.48-25.88万元　</t>
  </si>
  <si>
    <t>2020/02/18 13:18:00</t>
  </si>
  <si>
    <t>近日，我们从IIHS（北美公路安全保险协会）获悉，其公布了2020年首批共计64款Top Safety获奖车型名单，其中雷克萨斯NX获得Top Safety PICK+评价。作为全球最严苛的安全碰撞测试之一，要获得IIHS的TOP SAFETY PICK和TOP SAFETY PICK+奖项，要求相</t>
  </si>
  <si>
    <t>2020/02/18 13:15:00</t>
  </si>
  <si>
    <t>　　近日，我们从IIHS（北美公路安全保险协会）获悉，其公布了2020年首批共计64款Top Safety获奖车型名单，其中雷克萨斯NX获得Top Safety PICK+评价。作为全球最严苛的安全碰撞测试之一，要获得IIHS的TOP SAFETY PICK和TOP SAFETY PICK+奖项，要</t>
  </si>
  <si>
    <t>投诉编号：【447622】投诉时间：2020-02-1813:14投诉品牌：北京现代投诉车系：现代ix25投诉车型：2017款1.6L自动智能型投诉内容北京现代ix25前轮吃胎偏磨，天窗异响，严重影响安全与使用。投诉回复车质网已将您的投诉转给生产企业以及国家市场监督管理总局缺陷产品管理中心，我们将会</t>
  </si>
  <si>
    <t>2020/02/18 13:14:00</t>
  </si>
  <si>
    <t xml:space="preserve">Bronco是福特旗下一款经典的硬派SUV，2017年福特就宣布将重新打造这款车型。日前我们从海外媒体autoevolution获悉，福特近日已告知经销商，全新Bronco将在下个月（3月）首次亮相。此外，一款名为“Bronco Sport”的紧凑型SUV也有望于4月份开幕的纽约车展期间亮相。   </t>
  </si>
  <si>
    <t>2020/02/18 13:13:00</t>
  </si>
  <si>
    <t>　　Bronco是福特旗下一款经典的硬派SUV，2017年福特就宣布将重新打造这款车型。日前我们从海外媒体autoevolution获悉，福特近日已告知经销商，全新Bronco将在下个月（3月）首次亮相。此外，一款名为“Bronco Sport”的紧凑型SUV也有望于4月份开幕的纽约车展期间亮相。　</t>
  </si>
  <si>
    <t>投诉编号：【447621】  投诉时间： 2020-02-18 13:12  投诉品牌： 东风雪铁龙  投诉车系： 雪铁龙C4L  投诉车型： 2014款 1.8L 手动 智驱版 劲享型        投诉内容  2019年七，八月份发现发动机烧机油，到4S店被告知要维修发动机且自费。一辆私家车才开</t>
  </si>
  <si>
    <t>2020/02/18 13:12:00</t>
  </si>
  <si>
    <t xml:space="preserve">进入2020年，一汽集团成为为数不多实现销量增长的车企之一。我们从一汽集团官方获悉，2020年1月，该集团共计产销分别为254,259辆、35,3490辆，销量同比增长18.2%。其中一汽丰田产量59,747辆，销量达76,299辆。从批售量上看，一汽丰田1月销量占集团总销量的比例高达21.6%。 </t>
  </si>
  <si>
    <t>2020/02/18 13:11:00</t>
  </si>
  <si>
    <t>　　进入2020年，一汽集团成为为数不多实现销量增长的车企之一。我们从一汽集团官方获悉，2020年1月，该集团共计产销分别为254,259辆、35,3490辆，销量同比增长18.2%。其中一汽丰田产量59,747辆，销量达76,299辆。从批售量上看，一汽丰田1月销量占集团总销量的比例高达21.6%</t>
  </si>
  <si>
    <t>ABS泵故障，所有故障灯亮起，车辆出现刹车异常，功能错乱，年前1月12日故障，到年后问题没有处理，整整一个月都是说没有配件。</t>
  </si>
  <si>
    <t>朗逸ABS泵故障质量不行呀ABS泵故障，所有故障灯亮起，车辆出现刹车异常，功能错乱，年前1月12日故障，到年后问题没有处理，整整一个月都是说没有配件。</t>
  </si>
  <si>
    <t>正常行驶中突然车身剧烈抖动，报传动系统故障，自动跳入N挡被动停车。尝试重新启动后，一起步，即再次跳入P挡，报发动机紧急制动之类的（当时太慌乱了没拍照）无法行驶，甚至连靠边都没办法。拖车至4S店，检查告知：目前先检测到，低压油泵坏了，要换掉以后才能再检测高压油泵和其他零件。宝马曾以“电动燃油泵零部件的</t>
  </si>
  <si>
    <t>2020/02/18 13:10:00</t>
  </si>
  <si>
    <t>宝马1系车身抖动变速箱自动脱挡正常行驶中突然车身剧烈抖动，报传动系统故障，自动跳入N挡被动停车。尝试重新启动后，一起步，即再次跳入P挡，报发动机紧急制动之类的（当时太慌乱了没拍照）无法行驶，甚至连靠边都没办法。拖车至4S店，检查告知：目前先检测到，低压油泵坏了，要换掉以后才能再检测高压油泵和其他零件</t>
  </si>
  <si>
    <t>一汽丰田RAV4荣放轮胎起皮，商家居然说说是正常的！无语，开了那么多年车，就没见过这样的！</t>
  </si>
  <si>
    <t>2020/02/18 13:09:00</t>
  </si>
  <si>
    <t>浙江省宁波市4s店售后服务太差劲了。质保3年内做了无数次机油标定测试，却没有一张检测报告单，均以口头形式被告之正常。车主每3000公里左右机油灯会亮，却拖在质保最后一天大修，然而大修之后漏油，缺缸，抖动严重，过高低路车内异响严重，天窗漏水，车窗异响，均被说成通病。可气的最近还受到售后总监威胁，恐吓电</t>
  </si>
  <si>
    <t>RAV4荣放轮胎起皮邓禄普轮胎质量不行呀一汽丰田RAV4荣放轮胎起皮，商家居然说说是正常的！无语，开了那么多年车，就没见过这样的！</t>
  </si>
  <si>
    <t>速派发动机故障灯亮质量问题没人管浙江省宁波市4s店售后服务太差劲了。质保3年内做了无数次机油标定测试，却没有一张检测报告单，均以口头形式被告之正常。车主每3000公里左右机油灯会亮，却拖在质保最后一天大修，然而大修之后漏油，缺缸，抖动严重，过高低路车内异响严重，天窗漏水，车窗异响，均被说成通病。可气</t>
  </si>
  <si>
    <t>2020/02/18 13:08:00</t>
  </si>
  <si>
    <t>高尔夫变速箱挂挡不走大众的车就这样的质量吗车辆购于2011年5月，至今8年多，变速箱离合器已出现5次以上故障，严重影响安全。2013年315曝光DSG变速箱问题引发厂家召回（变速箱保修改为10年16万公里）更换车机单元前因变速箱故障已更换车机单元，在召回之后又出故障再次更换车机单元，2018年12月</t>
  </si>
  <si>
    <t>注意交通安全，遵守行车规范❶❷❸❹❺❻❼❽</t>
  </si>
  <si>
    <t>2020/02/18 13:07:00</t>
  </si>
  <si>
    <t>五菱宏光S1这个车型变速器设计缺陷，同村的S1也是这样的问题，MT的经久耐用在五菱这里是个笑话存在。</t>
  </si>
  <si>
    <t>五菱宏光变速箱四挡同步器坏了质量也没谁了五菱宏光S1这个车型变速器设计缺陷，同村的S1也是这样的问题，MT的经久耐用在五菱这里是个笑话存在。</t>
  </si>
  <si>
    <t>壹拾玖号                中级技工</t>
  </si>
  <si>
    <t>生命只有一次，别做“人人喊打”的电动车！注意交通安全，遵守行车规范❶❷❸❹❺❻❼❽</t>
  </si>
  <si>
    <t>2020/02/18 13:06:44</t>
  </si>
  <si>
    <t>投诉编号：【447618】
投诉时间： 2020-02-18 12:40
投诉品牌： 北京奔驰
投诉车系： 奔驰GLB
投诉车型： 2020款 GLB 200 动感型</t>
  </si>
  <si>
    <t>以当前的技术水平估算，私家车动力电池使用年限约5-9 年，出租车和网约车等运营车辆使用年限一般在2-5 年。近年来，中国新能源汽车产业高速发展，新能源汽车产销量大幅增长，动力蓄电池配套量也快速攀升。按照动力蓄电池的使用寿命推算，到2020年，中国将产生约24万吨的退役锂离子电池，2022年将产生53</t>
  </si>
  <si>
    <t>2020/02/18 13:06:00</t>
  </si>
  <si>
    <t>车子起步阶段会抖动，50码左右抖动更加厉害，总结下来发动机转数1100转～1200转抖动共振很明显，前几天开个山路简直像个拖拉机一样，方向盘也一直抖！4S店说车子没问题，让我大脚踩油门，不然的话后期会更严重！我开过试驾车没有这个问题！60码以下车子开起来真不如10来万的国产车，现在最大的问题是4S店</t>
  </si>
  <si>
    <t>东风日产奇骏仪表盘内部进灰，汽车在使用一年后，仪表盘进灰。到4店维修却解释说越修越严重。</t>
  </si>
  <si>
    <t>途观L低速车身共振质量不行呀车子起步阶段会抖动，50码左右抖动更加厉害，总结下来发动机转数1100转～1200转抖动共振很明显，前几天开个山路简直像个拖拉机一样，方向盘也一直抖！4S店说车子没问题，让我大脚踩油门，不然的话后期会更严重！我开过试驾车没有这个问题！60码以下车子开起来真不如10来万的国</t>
  </si>
  <si>
    <t>奇骏仪表盘内部进灰密封性差东风日产奇骏仪表盘内部进灰，汽车在使用一年后，仪表盘进灰。到4店维修却解释说越修越严重。</t>
  </si>
  <si>
    <t>废旧动力电池回收市场火了市场规模将在2020年达到65亿元以当前的技术水平估算，私家车动力电池使用年限约5-9 年，出租车和网约车等运营车辆使用年限一般在2-5 年。近年来，中国新能源汽车产业高速发展，新能源汽车产销量大幅增长，动力蓄电池配套量也快速攀升。按照动力蓄电池的使用寿命推算，到2020年，</t>
  </si>
  <si>
    <t>有没有感觉今年很流行“溜背风”？甭管是SUV还是轿车，“溜背轿跑”这四个字已经被提及多次，销量也比之前有所起色，总之就是拉轰。今天我们就在BBA里挑选出最具代表性的三款车，看看这哥儿仨你最稀罕谁？1.奔驰CLS全新CLS的外观比起老款来说，简直发生了翻天覆地的变化。有人说它太丑了，耷拉的眼角好像整形</t>
  </si>
  <si>
    <t>2020/02/18 13:05:00</t>
  </si>
  <si>
    <t>郑州日产途达车辆停放十天全车没有电，车停放车库十天左右全车没电。</t>
  </si>
  <si>
    <t>1、索赔更换的减震未给做定位（收费清单有定位费用）2、索赔更换的后车门色差巨大（见图片）3、技术总监更换座椅过程中给车内损坏，两大深划痕（赔偿）4、倒车雷达误报警故障不给维修，（提供了两次故障在线视频凭证）5、车辆刹车系统异响卡死不给处理（见视频）6、轮毂失圆商家说不出所以然不处理7、希望厂家处理，</t>
  </si>
  <si>
    <t>日产途达车辆停放着没几天就没电了郑州日产途达车辆停放十天全车没有电，车停放车库十天左右全车没电。</t>
  </si>
  <si>
    <t>开这三款BBA上路保准没人说你俗有没有感觉今年很流行“溜背风”？甭管是SUV还是轿车，“溜背轿跑”这四个字已经被提及多次，销量也比之前有所起色，总之就是拉轰。今天我们就在BBA里挑选出最具代表性的三款车，看看这哥儿仨你最稀罕谁？1.奔驰CLS全新CLS的外观比起老款来说，简直发生了翻天覆地的变化。有</t>
  </si>
  <si>
    <t>艾瑞泽5整车故障多车上各种故障1、索赔更换的减震未给做定位（收费清单有定位费用）2、索赔更换的后车门色差巨大（见图片）3、技术总监更换座椅过程中给车内损坏，两大深划痕（赔偿）4、倒车雷达误报警故障不给维修，（提供了两次故障在线视频凭证）5、车辆刹车系统异响卡死不给处理（见视频）6、轮毂失圆商家说不出</t>
  </si>
  <si>
    <t>一汽大众迈腾变速箱故障行驶过程中顿挫，行驶中有顿挫感，随着速度变化在2、4、6挡间交替。</t>
  </si>
  <si>
    <t>2020/02/18 13:04:00</t>
  </si>
  <si>
    <t>迈腾变速箱有故障行驶时顿挫得不得了一汽大众迈腾变速箱故障行驶过程中顿挫，行驶中有顿挫感，随着速度变化在2、4、6挡间交替。</t>
  </si>
  <si>
    <t>有这样一群用户，他们对是否购买纯电动车型仍旧持有谨慎态度。一方面担心技术不够成熟怕买了麻烦多，另一方面又担心现在不买日后牌照问题不好解决。所以这类用户通常会先考虑买一辆便宜的“占号车”，来解决自己对当下和未来的顾虑。不过虽说是所谓的占号车，但是还是有很多人希望能切实的让这辆车起到车本身的作用，要可以</t>
  </si>
  <si>
    <t>2020/02/18 13:03:00</t>
  </si>
  <si>
    <t>雷诺e诺对比欧拉R1有这样一群用户，他们对是否购买纯电动车型仍旧持有谨慎态度。一方面担心技术不够成熟怕买了麻烦多，另一方面又担心现在不买日后牌照问题不好解决。所以这类用户通常会先考虑买一辆便宜的“占号车”，来解决自己对当下和未来的顾虑。不过虽说是所谓的占号车，但是还是有很多人希望能切实的让这辆车起到</t>
  </si>
  <si>
    <t xml:space="preserve">No.8: 宝马8系敞篷车No.8: 宝马8系敞篷车No.8: 宝马8系敞篷车内饰No.7: 马自达MX-5 MatiaNo.7: 马自达MX-5 MatiaNo.7: 马自达MX-5 Matia 内饰No.6: 雪佛兰科尔维特Corvette C8敞篷车No.6: 雪佛兰科尔维特Corvette </t>
  </si>
  <si>
    <t>2020/02/18 13:00:00</t>
  </si>
  <si>
    <t>随着消费者向年轻化发展，更多追求个性的年轻人加入有车一族，它们对汽车的要求必然和很多人不同。年轻人将自己的爱车进行改装，而论改装风格也是各有不同，其中“黑武士”是近两年改装迷最为追捧的风格之一，这类风格远远而来便给人一种“杀”气十足的感觉。看过《星球大战》的影迷都知道，电影里著名的反派角色达斯·维达</t>
  </si>
  <si>
    <t>8款现在最好看的敞篷车No.8: 宝马8系敞篷车No.8: 宝马8系敞篷车No.8: 宝马8系敞篷车内饰No.7: 马自达MX-5 MatiaNo.7: 马自达MX-5 MatiaNo.7: 马自达MX-5 Matia 内饰No.6: 雪佛兰科尔维特Corvette C8敞篷车No.6: 雪佛兰科尔</t>
  </si>
  <si>
    <t>改装迷炒火的“黑武士”随着消费者向年轻化发展，更多追求个性的年轻人加入有车一族，它们对汽车的要求必然和很多人不同。年轻人将自己的爱车进行改装，而论改装风格也是各有不同，其中“黑武士”是近两年改装迷最为追捧的风格之一，这类风格远远而来便给人一种“杀”气十足的感觉。看过《星球大战》的影迷都知道，电影里著</t>
  </si>
  <si>
    <t>内燃机都注定会退出历史舞台，那些鼓吹三缸机是未来趋势的人，倒不知道是真聪明还是假糊涂。全球一线车企开始向电动化转向，丰田、本田、大众等顶级车企制定一系列电动化计划，譬如说本田表示截止到2025年在欧洲销售的所有车辆都将会是纯电动、混合动力车型。而丰田则表示将会在2020年进入到全面电动化阶段。而国内</t>
  </si>
  <si>
    <t>2020/02/18 12:59:00</t>
  </si>
  <si>
    <t>当年买三缸机的人今天后悔了吗内燃机都注定会退出历史舞台，那些鼓吹三缸机是未来趋势的人，倒不知道是真聪明还是假糊涂。全球一线车企开始向电动化转向，丰田、本田、大众等顶级车企制定一系列电动化计划，譬如说本田表示截止到2025年在欧洲销售的所有车辆都将会是纯电动、混合动力车型。而丰田则表示将会在2020年</t>
  </si>
  <si>
    <t>怀念科比，那些年拥有的豪车科比的意外逝世相信对很多爱好篮球的人来说是非常令人惋惜的，毕竟科比代表的不仅是一个优秀的篮球运动员，他更多的是一代人的青春。今天来看下那些年科比拥有的豪车。第一代奥迪TT奥迪TT可谓是科比职业生涯里最早的一款车，而科比的第一双签名球鞋Adidas The Kobe 1的设计</t>
  </si>
  <si>
    <t>2020/02/18 12:58:00</t>
  </si>
  <si>
    <t>科比的意外逝世相信对很多爱好篮球的人来说是非常令人惋惜的，毕竟科比代表的不仅是一个优秀的篮球运动员，他更多的是一代人的青春。今天来看下那些年科比拥有的豪车。第一代奥迪TT奥迪TT可谓是科比职业生涯里最早的一款车，而科比的第一双签名球鞋Adidas The Kobe 1的设计灵感正是来自于这辆车。 科</t>
  </si>
  <si>
    <t>高尔夫车内有异味没找出问题所在2015年1月27日交钱订车，2015年1月31日提车。之后每年行驶里程在2-3w公里。每年都要保养2-3次，几乎全在4s店保养，每次保养都会更换空滤，也清洗过空调系统。一直以为是自己车跑的多，比较脏才会车内味道比较大，但是每次保养完，家人坐车还是说有味道，我自己开车比</t>
  </si>
  <si>
    <t>2020/02/18 12:57:00</t>
  </si>
  <si>
    <t>2020年第一季度即将上市的新车不知不觉，这时间的指针步入了2020年，各大汽车品牌也开始了针对鼠年市场展开了布局，今天就来聊聊将于第一季度上市的车型。吉利icon2019年广州车展上吉利icon正式亮相，虽然没有正式公布售价，但吉利官方开启了该车首发限量2020辆的"银河限量版"，仅用15分17秒</t>
  </si>
  <si>
    <t>中国的“大众集团”正在浮现在强敌环伺的车市，吉利汽车左右突围，达到了150万辆的规模。此时的它遇到了自己的第一个瓶颈。要破解局限，它需把企业进一步做大做强，从本土车企升级为跨国车企。于是，吉利在过往三年里不断地尝试、摸索，它收购宝腾和路特斯的股权、购买戴姆勒的股票、合资smart。当然，这个过程里，</t>
  </si>
  <si>
    <t>在强敌环伺的车市，吉利汽车左右突围，达到了150万辆的规模。此时的它遇到了自己的第一个瓶颈。要破解局限，它需把企业进一步做大做强，从本土车企升级为跨国车企。于是，吉利在过往三年里不断地尝试、摸索，它收购宝腾和路特斯的股权、购买戴姆勒的股票、合资smart。当然，这个过程里，它耗资不菲。财力受限的吉利</t>
  </si>
  <si>
    <t>奔腾B50发动机噪音大质量也差发动机噪音大，开到五六十迈的时候噪音嗡嗡的！还不如开长安V7呢！后轮眉生锈严重！左侧出事故修了！右侧没出事故生锈严重！</t>
  </si>
  <si>
    <t>2020/02/18 12:56:00</t>
  </si>
  <si>
    <t>4S店套路有多深上次跟大家聊了一下在买车过程中容易遇到的销售套路，那么在买过车以后需要提车时还会遇到哪些套路呢？其实提车的套路也有不少，提车作为我们买车的最后一步，肯定是希望顺顺利的拿到中意的车。当我们提前了解了提车的套路后，相信更有利于我们买车的质量。所以说今天我接着把新车交付需要注意的地方，给大</t>
  </si>
  <si>
    <t>电子手刹和机械手刹谁更安全以前汽车的电子化程度不高，所以刹车基本上都是机械式的，随着后来行车电脑的加入，汽车的电子化程度慢慢也变得越来越高了。所以这些年的车子基本上电子手刹越来越多，也有不少朋友一直在质疑电子手刹到底有没有机械手刹那么安全，喵哥给大家分析一下。机械手刹跟脚之间是一根拉线拉着的，拉起手</t>
  </si>
  <si>
    <t>2020/02/18 12:55:00</t>
  </si>
  <si>
    <t>途观L天窗漏水黑心的4S店维修居然收费上汽大众途观L天窗漏水然后漏到前排脚垫烘干，4S店要收费。</t>
  </si>
  <si>
    <t>2020/02/18 12:54:00</t>
  </si>
  <si>
    <t>还有更多长视频可以显示这个车遇到雪路就不能正常行驶，问题是不是大雪路，旁边小QQ都能正常行驶的雪路，大奔驰GLB过不去直接扔道上，一个小时的路程出现四回，还是捷达把车拉出来的。</t>
  </si>
  <si>
    <t>2020/02/18 12:53:00</t>
  </si>
  <si>
    <t>江南TT车年检时OBD接口连不上呀车辆去年检OBD连接不上检验不了车，目前买车的经销商不卖江南TT了，给厂家客服打电话厂家客服说没有办法，那我想问你那造这个车干吗？</t>
  </si>
  <si>
    <t>奔驰GLB冰雪路面车走不了了还有更多长视频可以显示这个车遇到雪路就不能正常行驶，问题是不是大雪路，旁边小QQ都能正常行驶的雪路，大奔驰GLB过不去直接扔道上，一个小时的路程出现四回，还是捷达把车拉出来的。</t>
  </si>
  <si>
    <t>　　我们从东风风行内部获悉：新菱智M5最快将于3月底上市。从我们此前获得的实拍图来看，此次改款主要针对车辆外观进行了调整，推出酷似“雷克萨斯”纺锤形格栅的前脸造型。　　自从雷克萨斯开创性的启用纺锤形格栅后，包括北汽幻速、长安汽车等自主品牌均开始效仿这种极具视觉冲击力的设计语言，东风风行则在它们的基础</t>
  </si>
  <si>
    <t>2020/02/18 12:52:00</t>
  </si>
  <si>
    <t>我们从东风风行内部获悉：新菱智M5最快将于3月底上市。从我们此前获得的实拍图来看，此次改款主要针对车辆外观进行了调整，推出酷似“雷克萨斯”纺锤形格栅的前脸造型。    自从雷克萨斯开创性的启用纺锤形格栅后，包括北汽幻速、长安汽车等自主品牌均开始效仿这种极具视觉冲击力的设计语言，东风风行则在它们的基础</t>
  </si>
  <si>
    <t>　　福特品牌虽然在城市SUV以及皮卡车型上颇有建树，但是硬派SUV车型并未布局市场。近日，海外媒体曝光了福特全新硬派SUV---Bronco，预计于今年3月份正式亮相，上市后将于Jeep牧马人、路虎卫士、丰田普拉多等诸多硬派SUV车型正面竞争越野市场。配图为福特Bronco特别版　　外观方面，新车保</t>
  </si>
  <si>
    <t>2020/02/18 12:51:00</t>
  </si>
  <si>
    <t>福特品牌虽然在城市SUV以及皮卡车型上颇有建树，但是硬派SUV车型并未布局市场。近日，海外媒体曝光了福特全新硬派SUV---Bronco，预计于今年3月份正式亮相，上市后将于Jeep牧马人、路虎卫士、丰田普拉多等诸多硬派SUV车型正面竞争越野市场。配图为福特Bronco特别版    外观方面，新车保</t>
  </si>
  <si>
    <t>老师您好！在汽车变速箱中，我比较喜欢手自一体变速箱，自动驾驶部分问题不大，但是在手动部分的使用中，有一个问题始终没有搞清楚，盼望老师给予准确的回答。就是当变速杆拨到手动模式后，每一次增挡或者减挡是否都需要松开脚踏油门？以增挡为例，在增一挡之前，先把右脚脚踏油门完全松开，然后右手拨动一次增挡。以此类推</t>
  </si>
  <si>
    <t>2020/02/18 12:50:49</t>
  </si>
  <si>
    <t>日内瓦车展创办于1924年，是国际大型车展的重要一站，于每年的3月份举行，今年将于3月3日举办各种新车的发布，3月4日则为VIP观展日，而3月5日至15日整整11天为观众开放日。但是由于新冠病毒疫情的影响，即便是远在瑞士日内瓦举办，还是有不少汽车厂商退出了车展。今天我们就来看看还有哪些我们可以期待的</t>
  </si>
  <si>
    <t>2020/02/18 12:49:00</t>
  </si>
  <si>
    <t>　　日内瓦车展创办于1924年，是国际大型车展的重要一站，于每年的3月份举行，今年将于3月3日举办各种新车的发布，3月4日则为VIP观展日，而3月5日至15日整整11天为观众开放日。但是由于新冠病毒疫情的影响，即便是远在瑞士日内瓦举办，还是有不少汽车厂商退出了车展。今天我们就来看看还有哪些我们可以期</t>
  </si>
  <si>
    <t>别克全新纯电动小型SUV VELITE 7此前已经曝光，预计将于年内上市销售。我们近日从别克官方获得了VELITE 7的详细动力信息。新车综合续航里程达500km，百公里耗电量为13.1kWh，未来上市后将与广汽本田VE-1、现代昂希诺EV等车型展开竞争。    VELITE 7是别克在华推出的第二</t>
  </si>
  <si>
    <t>2020/02/18 12:47:00</t>
  </si>
  <si>
    <t>　　别克全新纯电动小型SUV VELITE 7此前已经曝光，预计将于年内上市销售。我们近日从别克官方获得了VELITE 7的详细动力信息。新车综合续航里程达500km，百公里耗电量为13.1kWh，未来上市后将与广汽本田VE-1、现代昂希诺EV等车型展开竞争。　　VELITE 7是别克在华推出的第二</t>
  </si>
  <si>
    <t>提及玛莎拉蒂汽车品牌想必大家并不陌生，该品牌是一家意大利豪华汽车制造商，1914年12月1日成立于博洛尼亚，而标志性的莫过于三叉戟的品牌LOGO。近日海外媒体曝光了玛莎拉蒂三款新车的最新消息，其中Ghibli插电混合动力版车型将于4月北京车展正式亮相。而Levante和Quattroporte改款车</t>
  </si>
  <si>
    <t>2020/02/18 12:43:00</t>
  </si>
  <si>
    <t>根据国际市场研究机构Markets and Markets最新发布的报告，2019年全球锂离子电池回收市场规模约为15亿美元（约合105亿元人民币），预计到2025年这一数据将增至122亿美元（约合852亿元人民币），到2030年，全球锂离子电池回收市场规模将稳定增至181亿美元（约合1263亿元人</t>
  </si>
  <si>
    <t>　　提及玛莎拉蒂汽车品牌想必大家并不陌生，该品牌是一家意大利豪华汽车制造商，1914年12月1日成立于博洛尼亚，而标志性的莫过于三叉戟的品牌LOGO。近日海外媒体曝光了玛莎拉蒂三款新车的最新消息，其中Ghibli插电混合动力版车型将于4月北京车展正式亮相。而Levante和Quattroporte改</t>
  </si>
  <si>
    <t>　　根据国际市场研究机构Markets and Markets最新发布的报告，2019年全球锂离子电池回收市场规模约为15亿美元（约合105亿元人民币），预计到2025年这一数据将增至122亿美元（约合852亿元人民币），到2030年，全球锂离子电池回收市场规模将稳定增至181亿美元（约合1263亿</t>
  </si>
  <si>
    <t>投诉编号：【447620】  投诉时间： 2020-02-18 12:43  投诉品牌： 一汽奔腾  投诉车系： 奔腾T77  投诉车型： 2019款 230 TID 自动 豪华型 国V        投诉内容  2 3挡切换时顿挫严重，稍微颠簸点的路面车内中控台异响就会特别严重。发动机抖动太明显，</t>
  </si>
  <si>
    <t>很多人会根据自己的喜好为爱车刷上不同颜色的车漆，但刷车漆的过程较为繁琐，如果对颜色不满意或者想换新的颜色，又要花费更多的时间和金钱。有没有一种办法，能够让更换车漆和更换手机屏保一样简单呢？日前，据外媒报道，未来用户或许只需使用一个app，就能改变车辆的外观颜色。    auto trader网站发布</t>
  </si>
  <si>
    <t>2020/02/18 12:41:00</t>
  </si>
  <si>
    <t>　　很多人会根据自己的喜好为爱车刷上不同颜色的车漆，但刷车漆的过程较为繁琐，如果对颜色不满意或者想换新的颜色，又要花费更多的时间和金钱。有没有一种办法，能够让更换车漆和更换手机屏保一样简单呢？日前，据外媒报道，未来用户或许只需使用一个app，就能改变车辆的外观颜色。　　auto trader网站发布</t>
  </si>
  <si>
    <t>日前，我们从外媒了解到，新款奥迪q2(参数|询价)有望于2020年10月左右开幕的巴黎车展中正式亮相。作为中期改款车型，其在车头、车尾处进行调整，整体相比现款要更加精致。    回顾此前谍照来看，测试车的车头覆盖了伪装材料，不过仍可以看出一些细节。例如，其前格栅仍沿用奥迪家族化设计风格，但整体相比现</t>
  </si>
  <si>
    <t>2020/02/18 12:40:00</t>
  </si>
  <si>
    <t>　　日前，我们从外媒了解到，新款奥迪q2(参数|询价)有望于2020年10月左右开幕的巴黎车展中正式亮相。作为中期改款车型，其在车头、车尾处进行调整，整体相比现款要更加精致。　　回顾此前谍照来看，测试车的车头覆盖了伪装材料，不过仍可以看出一些细节。例如，其前格栅仍沿用奥迪家族化设计风格，但整体相比现</t>
  </si>
  <si>
    <t>此前我们曾经报道过福特全新一代福克斯rs或将搭载2.3t发动机 轻混系统的消息。不过就在近日，据外媒报道福特正在考虑为这款动力将超过400马力的车型搭载插电式混合动力系统，以满足欧盟日益严苛的二氧化碳排放法规。『全新福特福克斯rs假想图』    根据此前的报道，福特曾计划以2.3t发动机 48v辅助</t>
  </si>
  <si>
    <t>2020/02/18 12:39:00</t>
  </si>
  <si>
    <t>　　此前我们曾经报道过福特全新一代福克斯rs或将搭载2.3t发动机 轻混系统的消息。不过就在近日，据外媒报道福特正在考虑为这款动力将超过400马力的车型搭载插电式混合动力系统，以满足欧盟日益严苛的二氧化碳排放法规。『全新福特福克斯rs假想图』　　根据此前的报道，福特曾计划以2.3t发动机 48v辅助</t>
  </si>
  <si>
    <t>日前，保时捷正式发布了基于全新911车型的外观升级套件，分别为sportdesign package（运动设计套件）和aerokit（空气动力套件）。这两个套件均应用于现款保时捷911，其中sportdesign package将针对新车的外观升级，而aerokit则是在前者的基础上加入了固定式的扰</t>
  </si>
  <si>
    <t>2020/02/18 12:38:00</t>
  </si>
  <si>
    <t>　　日前，保时捷正式发布了基于全新911车型的外观升级套件，分别为sportdesign package（运动设计套件）和aerokit（空气动力套件）。这两个套件均应用于现款保时捷911，其中sportdesign package将针对新车的外观升级，而aerokit则是在前者的基础上加入了固定式</t>
  </si>
  <si>
    <t>日前，奥迪官方发布了rs 4 avant bronze edition（直译：青铜版）车型的官图。新车基于2020款奥迪rs 4avant打造，外观和内饰的配色是它的主要特点。据悉，新车将仅在英国市场发售，限量25台，售价82395英镑（约合人民币74.75万元）。    外观方面，这款特别的奥迪r</t>
  </si>
  <si>
    <t>2020/02/18 12:36:00</t>
  </si>
  <si>
    <t>　　日前，奥迪官方发布了rs 4 avant bronze edition（直译：青铜版）车型的官图。新车基于2020款奥迪rs 4avant打造，外观和内饰的配色是它的主要特点。据悉，新车将仅在英国市场发售，限量25台，售价82395英镑（约合人民币74.75万元）。　　外观方面，这款特别的奥迪r</t>
  </si>
  <si>
    <t>　　提及本田飞度想必大家并不陌生，该款车型为品牌旗下的一款小型轿车，自新车在华国产开售以来，便受到了诸多年轻消费者的青睐，并被大家称之为“最强买菜车”，同时也被诸多改装车迷们称之为“本田超跑”。近日海外媒体曝光了本田飞度type r车型渲染图，新车或将换装一台动力更加强劲的引擎。（部分配图为基础款车</t>
  </si>
  <si>
    <t>2020/02/18 12:34:00</t>
  </si>
  <si>
    <t>提及本田飞度想必大家并不陌生，该款车型为品牌旗下的一款小型轿车，自新车在华国产开售以来，便受到了诸多年轻消费者的青睐，并被大家称之为“最强买菜车”，同时也被诸多改装车迷们称之为“本田超跑”。近日海外媒体曝光了本田飞度type r车型渲染图，新车或将换装一台动力更加强劲的引擎。（部分配图为基础款车型）</t>
  </si>
  <si>
    <t>　　300c是克莱斯勒旗下的一款中大型轿车，新车自2004年在华开售以来，一直以进口形式引入到国内市场销售，在早期也被诸多消费者们误认为宾利。近日海外媒体曝光了克莱斯勒新款300c车型售价，新车海外市场起售价为29,590美元（约为21万人民币），并将于今年年内陆续交付至客户手中。　　动力方面，新车</t>
  </si>
  <si>
    <t>2020/02/18 12:33:00</t>
  </si>
  <si>
    <t>300c是克莱斯勒旗下的一款中大型轿车，新车自2004年在华开售以来，一直以进口形式引入到国内市场销售，在早期也被诸多消费者们误认为宾利。近日海外媒体曝光了克莱斯勒新款300c车型售价，新车海外市场起售价为29,590美元（约为21万人民币），并将于今年年内陆续交付至客户手中。    动力方面，新车</t>
  </si>
  <si>
    <t>　　奇瑞全新一代瑞虎7在年初已开启预售，共推出8款车型，预售价区间为8.69万-14.59万，起售价比现款瑞虎7上涨1,000元。根据此前的规划显示，新车原定于2月18日正式上市，但受目前新冠状病毒的影响，最终的上市时间调整至3月9日，并采用全平台矩阵云的形式进行。　　另外，参考此前网上车市走访奇瑞</t>
  </si>
  <si>
    <t>2020/02/18 12:32:00</t>
  </si>
  <si>
    <t>奇瑞全新一代瑞虎7在年初已开启预售，共推出8款车型，预售价区间为8.69万-14.59万，起售价比现款瑞虎7上涨1,000元。根据此前的规划显示，新车原定于2月18日正式上市，但受目前新冠状病毒的影响，最终的上市时间调整至3月9日，并采用全平台矩阵云的形式进行。    另外，参考此前网上车市走访奇瑞</t>
  </si>
  <si>
    <t>投诉编号：【447617】  投诉时间： 2020-02-18 12:32  投诉品牌： 华晨宝马  投诉车系： 宝马X1  投诉车型： 2019款 sDrive18Li 时尚型        投诉内容  19年2月份提车，行驶19000公里左右出现刹车片异常磨损现象，左右两面内测刹车片偏磨严重，导</t>
  </si>
  <si>
    <t>2020/02/18 12:30:55</t>
  </si>
  <si>
    <t>投诉编号：【447607】
投诉时间： 2020-02-18 11:44
投诉品牌： 一汽奔腾
投诉车系： 奔腾B30
投诉车型： 2016款 1.6L 自动 尊享型</t>
  </si>
  <si>
    <t>　　近日从外媒得到消息，福特ranger raptor皮卡将会搭载v8发动机，说到福特的皮卡大家最熟悉的应该还是f150，f150是福特的一款是全尺寸皮卡，而福特ranger则一款是中型皮卡，说到大排自吸，那就还要提到f150，曾经的6.2自吸的f150被替换为3.5t的涡轮引擎的时候，全世界的人都</t>
  </si>
  <si>
    <t>2020/02/18 12:30:00</t>
  </si>
  <si>
    <t>　　揽胜运动版是路虎旗下的一款中大型，并与奥迪q7、宝马x5、奔驰gle为同级车型，相比路虎揽胜车型其造型与车身调校也更加偏向于运动化，同时也更加符合当下年轻消费者的购车需求。近日海外媒体曝光了一组路虎全新揽胜运动版路试谍照图，据海外媒体透露，路虎全新揽胜运动版将于2021年底或2022年初正式推出</t>
  </si>
  <si>
    <t>近日从外媒得到消息，福特ranger raptor皮卡将会搭载v8发动机，说到福特的皮卡大家最熟悉的应该还是f150，f150是福特的一款是全尺寸皮卡，而福特ranger则一款是中型皮卡，说到大排自吸，那就还要提到f150，曾经的6.2自吸的f150被替换为3.5t的涡轮引擎的时候，全世界的人都在叹</t>
  </si>
  <si>
    <t xml:space="preserve">揽胜运动版是路虎旗下的一款中大型，并与奥迪q7、宝马x5、奔驰gle为同级车型，相比路虎揽胜车型其造型与车身调校也更加偏向于运动化，同时也更加符合当下年轻消费者的购车需求。近日海外媒体曝光了一组路虎全新揽胜运动版路试谍照图，据海外媒体透露，路虎全新揽胜运动版将于2021年底或2022年初正式推出。 </t>
  </si>
  <si>
    <t xml:space="preserve">日前，我们从海外媒体获悉，阿尔法·罗密欧旗下紧凑型掀背车giulietta将于今年一季度正式停产，而目前该车日产量仅为40-70台。据了解，阿尔法·罗密欧接下来将更加专注打造suv车型，giulia、stelvio也将于2021年进行中期改款，此外还将推出tonale量产版和一款全新b级suv。  </t>
  </si>
  <si>
    <t>2020/02/18 12:24:00</t>
  </si>
  <si>
    <t>　　日前，我们从海外媒体获悉，阿尔法・罗密欧旗下紧凑型掀背车giulietta将于今年一季度正式停产，而目前该车日产量仅为40-70台。据了解，阿尔法・罗密欧接下来将更加专注打造suv车型，giulia、stelvio也将于2021年进行中期改款，此外还将推出tonale量产版和一款全新b级suv。</t>
  </si>
  <si>
    <t>新型冠状病毒感染的肺炎疫情来势汹汹，时刻牵动着全中国乃至全世界人民的心。目前，在一线抗疫医护人员的付出下，虽然病情已经进入拐点，但防控措施依然不可懈怠。我们从长安汽车官方获悉，长安汽车推出了首创防疫“黑科技”——长安热成像防疫车，该车将于下月免费提供，助力公共防疫。    该车由长安cs75plus</t>
  </si>
  <si>
    <t>2020/02/18 12:22:00</t>
  </si>
  <si>
    <t>　　新型冠状病毒感染的肺炎疫情来势汹汹，时刻牵动着全中国乃至全世界人民的心。目前，在一线抗疫医护人员的付出下，虽然病情已经进入拐点，但防控措施依然不可懈怠。我们从长安汽车官方获悉，长安汽车推出了首创防疫“黑科技”――长安热成像防疫车，该车将于下月免费提供，助力公共防疫。　　该车由长安cs75plus</t>
  </si>
  <si>
    <t>投诉编号：【447615】  投诉时间： 2020-02-18 12:21  投诉品牌： 奇瑞汽车  投诉车系： 艾瑞泽5  投诉车型： 2019款 1.5L 手动 新青春版 国VI        投诉内容  3个多月出现几个生锈地方！车后箱焊接缝及机盖外生锈。      投诉回复  车质网已将您的</t>
  </si>
  <si>
    <t>2020/02/18 12:21:00</t>
  </si>
  <si>
    <t>我们获悉，丰田汽车销售执行副总裁bob carter表示，该公司未来或将在美国投放基于c-hr打造的gr新车型，该产品相比gr yaris更适合美国市场，动力将使用1.6升涡轮增压三缸发动机。    从此前发布的预告图可以看出，经过gr部门改造之后的c-hr变化很大，进气格栅造型设计相对夸张，格栅内</t>
  </si>
  <si>
    <t>2020/02/18 12:20:00</t>
  </si>
  <si>
    <t>　　我们获悉，丰田汽车销售执行副总裁bob carter表示，该公司未来或将在美国投放基于c-hr打造的gr新车型，该产品相比gr yaris更适合美国市场，动力将使用1.6升涡轮增压三缸发动机。　　从此前发布的预告图可以看出，经过gr部门改造之后的c-hr变化很大，进气格栅造型设计相对夸张，格栅内</t>
  </si>
  <si>
    <t>2020年2月17日，网通社从海外媒体获悉到一组宝马6系gt的中期改款谍照。除了外观上的一些改变外，中期改款后的6系gt还将增加插电式混合动力版本。    随着全新3系的正式上市，宝马家族的全新设计语言也已经浮出水面，因此宝马旗下不少车型都将通过中期改款的形式跟进全新设计语言，6系gt就是其中的一款</t>
  </si>
  <si>
    <t>2020/02/18 12:19:00</t>
  </si>
  <si>
    <t>　　2020年2月17日，网通社从海外媒体获悉到一组宝马6系gt的中期改款谍照。除了外观上的一些改变外，中期改款后的6系gt还将增加插电式混合动力版本。　　随着全新3系的正式上市，宝马家族的全新设计语言也已经浮出水面，因此宝马旗下不少车型都将通过中期改款的形式跟进全新设计语言，6系gt就是其中的一款</t>
  </si>
  <si>
    <t>你好，请问，雪铁龙世嘉变速箱电磁阀大约多少钱？</t>
  </si>
  <si>
    <t>2020/02/18 12:08:43</t>
  </si>
  <si>
    <t>投诉编号：【447614】  投诉时间： 2020-02-18 12:04  投诉品牌： 众泰汽车  投诉车系： 江南TT  投诉车型： 2010款 0.8L 舒适型        投诉内容  车辆去年检OBD连接不上检验不了车，目前买车的经销商不卖江南TT了，给厂家客服打电话厂家客服说没有办法，那</t>
  </si>
  <si>
    <t>2020/02/18 12:04:00</t>
  </si>
  <si>
    <t>投诉编号：【447613】  投诉时间： 2020-02-18 12:03  投诉品牌： 上汽通用五菱  投诉车系： 五菱宏光  投诉车型： 2019款 1.5L S 基本型 L2B        投诉内容  上汽通用五菱宏光车的钥匙不是原厂的，后来打厂家电话，厂家说会给我解决，现在我找到4S店他们</t>
  </si>
  <si>
    <t>2020/02/18 12:03:00</t>
  </si>
  <si>
    <t>投诉编号：【447612】  投诉时间： 2020-02-18 12:02  投诉品牌： 上汽大众  投诉车系： 途观L  投诉车型： 2017款 330TSI 两驱 豪华版        投诉内容  上汽大众途观L天窗漏水然后漏到前排脚垫烘干，4S店要收费。      投诉回复  车质网已将您的投</t>
  </si>
  <si>
    <t>2020/02/18 12:02:00</t>
  </si>
  <si>
    <t>投诉编号：【447611】  投诉时间： 2020-02-18 11:55  投诉品牌： 上汽大众  投诉车系： 途安  投诉车型： 2018款 途安L 280TSI 自动 豪华版 7座        投诉内容  挂倒挡变速箱咯噔脆响在4S店进行全面检查，4S店回复没有问题，厂家也回复没有问题。但在</t>
  </si>
  <si>
    <t>2020/02/18 11:55:00</t>
  </si>
  <si>
    <t>019年12月29日一早，我开车到浙江湖州万国福特4S店做定期保养，顺便将二个小问题请技师看看：其中雨刮器左上角有块手掌大的地方下雨天刮不到，还有就是雨刮水喷不出水了。等了二个多小时后他们给了我诊断结果：雨刮器调整不好的，得更换整个左前臂，我想先将就开吧，暂时不换了。另外出水问题查过了，确认是电机故</t>
  </si>
  <si>
    <t>csj0013</t>
  </si>
  <si>
    <t>2020/02/18 11:38:00</t>
  </si>
  <si>
    <t>浙江湖州万国福特4S店 你这在修车还是在害车坑人呀019年12月29日一早，我开车到浙江湖州万国福特4S店做定期保养，顺便将二个小问题请技师看看：其中雨刮器左上角有块手掌大的地方下雨天刮不到，还有就是雨刮水喷不出水了。等了二个多小时后他们给了我诊断结果：雨刮器调整不好的，得更换整个左前臂，我想先将就</t>
  </si>
  <si>
    <t>怎么判断发动机有没有积碳很多车主在平时做保养的时候，也非常重视积碳问题，所以定期清理是一个好习惯，当我们发现在行驶时，汽车抖动或者是油耗突然增高，可能就是积碳引起的，发动机积碳的形成并不是一日两日，而是经过长年累月的积累而产生的，主要就是因为我们在行驶的过程当中，长期怠速或者是在转速比较低的状态下行</t>
  </si>
  <si>
    <t>微胖界中的瘦子</t>
  </si>
  <si>
    <t>2020/02/18 11:35:00</t>
  </si>
  <si>
    <t>2020年伊始，一场突如其来的疫情，把全国人民都关了“禁闭”。为了最大限度减少人口流动，各类公共交通逐渐停运，许多人都被迫滞留各地。在特殊时期，私家车成为了很多人出行的唯一交通工具。汽车的空气净化装置可以防花粉、防雾霾、防PM2.5，那能不能抵防“新冠病毒”呢？“防病毒”汽车来了一时间，“防病毒”汽</t>
  </si>
  <si>
    <t>判断发动机有没有积碳 这些知识懂了吗怎么判断发动机有没有积碳很多车主在平时做保养的时候，也非常重视积碳问题，所以定期清理是一个好习惯，当我们发现在行驶时，汽车抖动或者是油耗突然增高，可能就是积碳引起的，发动机积碳的形成并不是一日两日，而是经过长年累月的积累而产生的，主要就是因为我们在行驶的过程当中，</t>
  </si>
  <si>
    <t>“防病毒”汽车真的靠谱吗2020年伊始，一场突如其来的疫情，把全国人民都关了“禁闭”。为了最大限度减少人口流动，各类公共交通逐渐停运，许多人都被迫滞留各地。在特殊时期，私家车成为了很多人出行的唯一交通工具。汽车的空气净化装置可以防花粉、防雾霾、防PM2.5，那能不能抵防“新冠病毒”呢？“防病毒”汽车</t>
  </si>
  <si>
    <t>防止汽车生锈的妙招1.勤查易积水处湿度，车身底部等一些空隙处和车内地板等处都容易积存污泥，如车主不及时进行清洗，这会让湿气得以藏匿。因此，对于轮毂内外缘、车门、行李箱的底部边角、车门钥匙孔及雨刷架的活动部位等处，要经常进行检查，同时要保持车门及车身各部排水孔的畅通，检查车内覆盖物的湿度，比如地毯等，</t>
  </si>
  <si>
    <t>2020/02/18 11:34:00</t>
  </si>
  <si>
    <t>随着科技的越来越发达，汽车也从以前以机械为主到现在以电器高科技为主，这也伴随着一些问题的产生，对一些司机朋友来说，最头疼的就是在着急用车的时候，车子却突然打不着火。 如果遇到这样的情况，先别急着找人修，可能是这些原因引起的，自己就能解决！有些车主会遇到这样的情况，明明昨天开的时候还是好好的，为什么今</t>
  </si>
  <si>
    <t>汽车突然打不着火的原因竟是这些 早看早预防随着科技的越来越发达，汽车也从以前以机械为主到现在以电器高科技为主，这也伴随着一些问题的产生，对一些司机朋友来说，最头疼的就是在着急用车的时候，车子却突然打不着火。 如果遇到这样的情况，先别急着找人修，可能是这些原因引起的，自己就能解决！有些车主会遇到这样的</t>
  </si>
  <si>
    <t>爱车生锈心疼又难看没有办法预防吗防止汽车生锈的妙招1.勤查易积水处湿度，车身底部等一些空隙处和车内地板等处都容易积存污泥，如车主不及时进行清洗，这会让湿气得以藏匿。因此，对于轮毂内外缘、车门、行李箱的底部边角、车门钥匙孔及雨刷架的活动部位等处，要经常进行检查，同时要保持车门及车身各部排水孔的畅通，检</t>
  </si>
  <si>
    <t>药品类商品一定都会注明生产日期与保质期，然而润滑类产品却没有有效期规定，是这部分放松了对润滑的监督吗？只要您用厂家推荐质量和粘度级别的油，而对润滑类产品却没有有效期规定有疑问？并且润滑油类的产品能不能长期存放，而且不会影响质量呢？那么下面小编详细给大家介绍一下汽车机油到底能用多久？汽车机油没有用完还</t>
  </si>
  <si>
    <t>2020/02/18 11:33:00</t>
  </si>
  <si>
    <t xml:space="preserve">汽车出现故障，终究是在路面上跑，但有时候一些“故障”却怎么检查也没有检查出问题，这是怎么回事。 不过车子有的故障不能不去在乎，但有的故障倒是具有迷惑性的东西，属于假故障，根本就不需要去修理，这几个经常出现的假故障你都知道吗？手动挡倒挡不好挂手动挡在挂倒挡的时候，要想要顺利一点就要看时机还有运气了。 </t>
  </si>
  <si>
    <t>汽车机油没有用完还可以使用 要如何保存了药品类商品一定都会注明生产日期与保质期，然而润滑类产品却没有有效期规定，是这部分放松了对润滑的监督吗？只要您用厂家推荐质量和粘度级别的油，而对润滑类产品却没有有效期规定有疑问？并且润滑油类的产品能不能长期存放，而且不会影响质量呢？那么下面小编详细给大家介绍一下</t>
  </si>
  <si>
    <t>汽车经常出现的这几个小问题 你遇到过吗汽车出现故障，终究是在路面上跑，但有时候一些“故障”却怎么检查也没有检查出问题，这是怎么回事。 不过车子有的故障不能不去在乎，但有的故障倒是具有迷惑性的东西，属于假故障，根本就不需要去修理，这几个经常出现的假故障你都知道吗？手动挡倒挡不好挂手动挡在挂倒挡的时候，</t>
  </si>
  <si>
    <t>汽车调校，一个被非常多人熟悉，在绝大多数人眼里，在大谈汽车功率、扭矩的时候根本不会想起的词，汽车的功率和动力是密切相关的；判断汽车动力强不强，看功率还是扭矩；如果这都不懂，那你还是回去坐地铁吧！今天笔者就来给大家介绍下，功率和扭矩究竟有啥区别。实际上扭矩可以体现一辆车力气的大小，举个例子来讲，例如说</t>
  </si>
  <si>
    <t>2020/02/18 11:32:00</t>
  </si>
  <si>
    <t>新手车主要知道的天窗知识为什么说汽车天窗最好要贴膜，不为防晒只为保命，值得新手车主去学习一下，现如今大家在买车的时候非常看重配置这方面，比如买车的时候必须要带天窗，如果没有车辆天窗就会感觉都不像一辆正儿八经的车，就连开个小天窗都觉得有些寒酸，最好是有个汽车全景大天窗，汽车天窗越大看着汽车就越有档次，</t>
  </si>
  <si>
    <t>汽车天窗有哪些作用 这2个你知道么新手车主要知道的天窗知识为什么说汽车天窗最好要贴膜，不为防晒只为保命，值得新手车主去学习一下，现如今大家在买车的时候非常看重配置这方面，比如买车的时候必须要带天窗，如果没有车辆天窗就会感觉都不像一辆正儿八经的车，就连开个小天窗都觉得有些寒酸，最好是有个汽车全景大天窗</t>
  </si>
  <si>
    <t>功率和扭矩究竟有啥区别汽车调校，一个被非常多人熟悉，在绝大多数人眼里，在大谈汽车功率、扭矩的时候根本不会想起的词，汽车的功率和动力是密切相关的；判断汽车动力强不强，看功率还是扭矩；如果这都不懂，那你还是回去坐地铁吧！今天笔者就来给大家介绍下，功率和扭矩究竟有啥区别。实际上扭矩可以体现一辆车力气的大小</t>
  </si>
  <si>
    <t>随着近些年技术的不断发展，纯电动汽车的续航里程有了大幅度增加，再加上充电桩数量的不断增长，很多消费者都有了购买纯电动汽车的打算。那么纯电动汽车值不值得购买，需要考虑哪些因素呢？1.价格因素随着近几年的不断发展，纯电动汽车的生产成本虽然有所下滑，但是比同级别的传统燃油车售价依然要高。再加上目前政策补贴</t>
  </si>
  <si>
    <t>2020/02/18 11:31:00</t>
  </si>
  <si>
    <t>纯电动汽车值不值得买 需要考虑这几点因素随着近些年技术的不断发展，纯电动汽车的续航里程有了大幅度增加，再加上充电桩数量的不断增长，很多消费者都有了购买纯电动汽车的打算。那么纯电动汽车值不值得购买，需要考虑哪些因素呢？1.价格因素随着近几年的不断发展，纯电动汽车的生产成本虽然有所下滑，但是比同级别的传</t>
  </si>
  <si>
    <t>随着纯电动汽车行业的不断发展，弊端也逐步显现，而最为明显的就是保值率较低的问题。那么越贵的纯电动汽车保值率就越高吗？显然并非如此。对于纯电动汽车来说，保值率的高低和动力电池的稳定性、纯电动汽车保有量以及二手车残值鉴定规范等都有直接的关系。动力电池的稳定性对于纯电动汽车来说，主要的动力来源为动力电池，</t>
  </si>
  <si>
    <t>2020/02/18 11:30:00</t>
  </si>
  <si>
    <t>越贵的纯电动车保值率越高吗 可能你真的想错了随着纯电动汽车行业的不断发展，弊端也逐步显现，而最为明显的就是保值率较低的问题。那么越贵的纯电动汽车保值率就越高吗？显然并非如此。对于纯电动汽车来说，保值率的高低和动力电池的稳定性、纯电动汽车保有量以及二手车残值鉴定规范等都有直接的关系。动力电池的稳定性对</t>
  </si>
  <si>
    <t xml:space="preserve">　　近日，我们从iihs（北美公路安全保险协会）获悉，其公布了2020年首批共计64款top safety获奖车型名单，其中雷克萨斯es 350获得top safety pick 评价。作为全球最严苛的安全碰撞测试之一，要获得iihs的top safety pick和top safety pick </t>
  </si>
  <si>
    <t>2020/02/18 11:22:00</t>
  </si>
  <si>
    <t>近日，我们从iihs（北美公路安全保险协会）获悉，其公布了2020年首批共计64款top safety获奖车型名单，其中雷克萨斯es 350获得top safety pick 评价。作为全球最严苛的安全碰撞测试之一，要获得iihs的top safety pick和top safety pick 奖项</t>
  </si>
  <si>
    <t>日前，斯巴鲁发布了翼豹e-Boxer混动版车型的官图。新车目前已经由欧洲媒体进行了试驾，预计将于晚些时候正式发布，并面向欧洲市场推出。    在2019东京车展上，斯巴鲁便发布了日规版本的新款翼豹传统动力车型（1.6L/2.0L），而此次发布官图的欧规版翼豹e-Boxer混动版也基于新款翼豹打造。相</t>
  </si>
  <si>
    <t>2020/02/18 11:15:00</t>
  </si>
  <si>
    <t>　　日前，斯巴鲁发布了翼豹e-Boxer混动版车型的官图。新车目前已经由欧洲媒体进行了试驾，预计将于晚些时候正式发布，并面向欧洲市场推出。　　在2019东京车展上，斯巴鲁便发布了日规版本的新款翼豹传统动力车型（1.6L/2.0L），而此次发布官图的欧规版翼豹e-Boxer混动版也基于新款翼豹打造。相</t>
  </si>
  <si>
    <t>2月17日晚，海马汽车披露最新产销量。数据显示，2020年1月，海马实现汽车产量630辆，同比减少13.82%；实现汽车销量1147辆，同比减少13.56%。    从以上数据可以看出，受春节和疫情等因素影响，海马汽车业务在2020年开年未见好转。但相比上年同期降幅87%以上，海马汽车开年降幅已明显</t>
  </si>
  <si>
    <t>2020/02/18 11:13:00</t>
  </si>
  <si>
    <t>　　2月17日晚，海马汽车披露最新产销量。数据显示，2020年1月，海马实现汽车产量630辆，同比减少13.82%；实现汽车销量1147辆，同比减少13.56%。　　从以上数据可以看出，受春节和疫情等因素影响，海马汽车业务在2020年开年未见好转。但相比上年同期降幅87%以上，海马汽车开年降幅已明显</t>
  </si>
  <si>
    <t>投诉编号：【447601】投诉时间：2020-02-1811:09投诉品牌：奇瑞汽车投诉车系：瑞虎5x投诉车型：2017款1.5T自动精英型投诉内容发动机异响，抖动严重，类似敲缸声音，像拖拉机，到4S店检查说正常现象，忽悠，忽悠。投诉回复车质网已将您的投诉转给生产企业以及国家市场监督管理总局缺陷产品</t>
  </si>
  <si>
    <t>2020/02/18 11:09:00</t>
  </si>
  <si>
    <t>到目前只看到inspire碰撞测试不理想，没看到东风本田回应及改进，请问在售车还和碰撞时一样质量吗？车身刚性等安全性有否改进？</t>
  </si>
  <si>
    <t>2020/02/18 11:08:50</t>
  </si>
  <si>
    <t>爱信6AT变速箱说明书上说终身免维护需要换油吗？</t>
  </si>
  <si>
    <t>2020/02/18 11:08:49</t>
  </si>
  <si>
    <t>　　新的一年到来，很多消费者都在考虑换一辆新车，开启新气象。上汽大众旗舰豪华运动型SUV途昂X集运动魅力与豪华品质于一身，能够满足多元化的用车需求，是实现新年心愿的首选。　　在抗击疫情期间，大众品牌推出“云展厅”、“云购车”，保障消费者选车、购车安心无忧。消费者可通过上汽大众官方商城、汽车之家、易车</t>
  </si>
  <si>
    <t>2020/02/18 11:07:00</t>
  </si>
  <si>
    <t>受疫情影响，全国、乃至全球的汽车产业都面临着“复工延迟”问题。复工复产的延迟，为汽车制造业带来的经济损失巨大。以北京奔驰为例，其日前在一则函上公开表示延迟复工一天日损4亿。    考虑到疫情对我国各地的影响程度不一，各汽车企业的营业收入体量也存在差异，“现在还不能预估出疫情为汽车行业所带来的经济损失</t>
  </si>
  <si>
    <t>2020/02/18 11:05:00</t>
  </si>
  <si>
    <t>　　受疫情影响，全国、乃至全球的汽车产业都面临着“复工延迟”问题。复工复产的延迟，为汽车制造业带来的经济损失巨大。以北京奔驰为例，其日前在一则函上公开表示延迟复工一天日损4亿。　　考虑到疫情对我国各地的影响程度不一，各汽车企业的营业收入体量也存在差异，“现在还不能预估出疫情为汽车行业所带来的经济损失</t>
  </si>
  <si>
    <t>　　宾利汽车将于 2020 年日内瓦国际车展，推出 宾利 Mulliner Bacalar 车型，以此诠释未来车身定制水准。　　宾利汽车个性化定制部门 Mulliner 拥有悠久的车身定制工艺传承，宾利 Mulliner Bacalar 车型由这一部门的专业匠师手工打造而成，旨在成就奢华专 属的畅意</t>
  </si>
  <si>
    <t>2020/02/18 10:59:00</t>
  </si>
  <si>
    <t>宾利汽车将于 2020 年日内瓦国际车展，推出 宾利 Mulliner Bacalar 车型，以此诠释未来车身定制水准。    宾利汽车个性化定制部门 Mulliner 拥有悠久的车身定制工艺传承，宾利 Mulliner Bacalar 车型由这一部门的专业匠师手工打造而成，旨在成就奢华专 属的畅意</t>
  </si>
  <si>
    <t>2019年底突如其来的新冠肺炎病毒疫情，让口罩市场出现巨大缺口，市面可谓“一罩难求”。 为了缓解燃眉之急，上汽通用五菱、比亚迪、广汽等相继进入跨界转产口罩的行列。另一方面，此次疫情也让人们空前关注车内空气质量，车企第一时间嗅到商机，包括吉利、广汽新能源、华晨中华等，纷纷宣布加速技术攻关，研发生产带空</t>
  </si>
  <si>
    <t>2020/02/18 10:57:00</t>
  </si>
  <si>
    <t>　　2019年底突如其来的新冠肺炎病毒疫情，让口罩市场出现巨大缺口，市面可谓“一罩难求”。 为了缓解燃眉之急，上汽通用五菱、比亚迪、广汽等相继进入跨界转产口罩的行列。另一方面，此次疫情也让人们空前关注车内空气质量，车企第一时间嗅到商机，包括吉利、广汽新能源、华晨中华等，纷纷宣布加速技术攻关，研发生产</t>
  </si>
  <si>
    <t>2020/02/18 10:55:43</t>
  </si>
  <si>
    <t>投诉编号：【447597】
投诉时间： 2020-02-18 10:39
投诉品牌： 一汽奔腾
投诉车系： 奔腾B50
投诉车型： 2013款 1.6L 手动 豪华型</t>
  </si>
  <si>
    <t>　　不知道大家在这个假期里过的如何，想必很多人都是老老实实宅在家里，关注着疫情的变化，在默默的祈祷，也在默默的守护。闲言少叙，这几天已有很多单位陆续开始复工营业，待了这么久，车市有什么劲爆的新闻呢？别急，今天就来跟大家分享一下关于国产特斯拉model 3的相关信息。　　之前恐怕很少有人会想到国产后的</t>
  </si>
  <si>
    <t>2020/02/18 10:55:00</t>
  </si>
  <si>
    <t>日前，美国新创公司辛格czinger率先披露旗下首款“打破常规、创纪录”的21c超级跑车的动力数据，确认将采用混合动力系统，最大功率为1233马力。据了解，21c超级跑车将会在即将开幕的2020年日内瓦车展上正式亮相。    这家成立多年的公司以创始人兼首席执行官凯文·辛格（kevin czinge</t>
  </si>
  <si>
    <t>2020/02/18 10:54:00</t>
  </si>
  <si>
    <t>　　日前，美国新创公司辛格czinger率先披露旗下首款“打破常规、创纪录”的21c超级跑车的动力数据，确认将采用混合动力系统，最大功率为1233马力。据了解，21c超级跑车将会在即将开幕的2020年日内瓦车展上正式亮相。　　这家成立多年的公司以创始人兼首席执行官凯文・辛格（kevin czinge</t>
  </si>
  <si>
    <t>王子祺</t>
  </si>
  <si>
    <t>投诉编号：【447598】  投诉时间： 2020-02-18 10:54  投诉品牌： 宝马（进口）  投诉车系： 宝马X5新能源  投诉车型： 2017款 xDrive40e        投诉内容  该车2017年9月在深圳购买（含税车价77万多，落地价90万）。2018年8月底，总里程1万公</t>
  </si>
  <si>
    <t>日前，美国汽车初创公司汉姆控股公司（haah automotive holdings）创立的新vantas品牌宣布，计划从2021年底至2022年初在美国销售两款来自奇瑞的suv，并公开了这两款车的初步参数配置。    即将引入美国市场的车型分别称为vantas txl和vantas vx，实际上是</t>
  </si>
  <si>
    <t>2020/02/18 10:52:00</t>
  </si>
  <si>
    <t>　　日前，美国汽车初创公司汉姆控股公司（haah automotive holdings）创立的新vantas品牌宣布，计划从2021年底至2022年初在美国销售两款来自奇瑞的suv，并公开了这两款车的初步参数配置。　　即将引入美国市场的车型分别称为vantas txl和vantas vx，实际上是</t>
  </si>
  <si>
    <t>坦途 皮卡论坛</t>
  </si>
  <si>
    <t>消灭疫情待春暖花开 驾驶四驱越野房车去旅行吧疫情当前非常时期，大家都宅在家里，为疫情防控做出自己的贡献。然而春暖花开“躲”在家里，一颗悸动的心难免会按捺不住，怎么办好呢？先是学做凉皮后又学做蛋糕，变成大厨可以说是指日可待。那么接下来不如做个房车旅行计划吧！待消灭疫情之后，我们就去房车旅行！满山樱花醉</t>
  </si>
  <si>
    <t>2020/02/18 10:38:00</t>
  </si>
  <si>
    <t>　　人们对出行品质要求的不断提升，家用b级车逐渐成为消费者选购最多的车型。空间大、动力足以及配置高，能够满足普通家庭的所有日常交通需求。不过品质的升级，自然也带来了价格的上浮，给预算有限的朋友带来了些许压力，今天我就为大家推荐一款品质与性价比兼具的b级家轿车红旗h5。　　虽然去年汽车市场的火热程度有</t>
  </si>
  <si>
    <t>张童心</t>
  </si>
  <si>
    <t>2020/02/18 10:24:00</t>
  </si>
  <si>
    <t>　　30万落地其实在bba豪华品牌中一直是个伪命题，在大部分豪华品牌产品中，30万落地就意味着25万裸车，不是不可能，而是比较难，难就难在品牌与用户之间的利润博弈，所以30万落地的豪华品牌一定是紧凑级产品。有更合适家用的“硬通货”吗？答案是有！看完本篇大概可了解奥迪哪些是经济实惠的车型！　　 【30</t>
  </si>
  <si>
    <t>刘文</t>
  </si>
  <si>
    <t>2020/02/18 10:22:00</t>
  </si>
  <si>
    <t>我们获悉，北京现代全新名图将于今年年内正式推出，新车采用北京现代最新的家族式设计，采用时下流行的大嘴式进气格栅和一体式尾灯。     配图为：北京现代2019款名图    外观方面，全新一代名图将采用最新的家族式设计，前脸采用时下流行的大嘴式前进气格栅，车身整体采用更加低矮的设计。据了解，新车采用与</t>
  </si>
  <si>
    <t>2020/02/18 10:20:00</t>
  </si>
  <si>
    <t>　　我们获悉，北京现代全新名图将于今年年内正式推出，新车采用北京现代最新的家族式设计，采用时下流行的大嘴式进气格栅和一体式尾灯。　　 配图为：北京现代2019款名图　　外观方面，全新一代名图将采用最新的家族式设计，前脸采用时下流行的大嘴式前进气格栅，车身整体采用更加低矮的设计。据了解，新车采用与en</t>
  </si>
  <si>
    <t>　　近日，我们从海外媒体媒获悉，宝马全新一代m3的相关信息，并拍摄到其路试谍照。随着全新3系的上市，关于3系的一些衍生车型自然会紧随其后更新换代，m3就是其中最重要的一款。　　m3一直是百万级性能车中的标杆，这一点不仅体现在强悍的加速，令人着迷的驾驶乐趣更是被车迷所津津乐道。尽管m3的外观设计是脱胎</t>
  </si>
  <si>
    <t>2020/02/18 10:18:00</t>
  </si>
  <si>
    <t>近日，我们从海外媒体媒获悉，宝马全新一代m3的相关信息，并拍摄到其路试谍照。随着全新3系的上市，关于3系的一些衍生车型自然会紧随其后更新换代，m3就是其中最重要的一款。    m3一直是百万级性能车中的标杆，这一点不仅体现在强悍的加速，令人着迷的驾驶乐趣更是被车迷所津津乐道。尽管m3的外观设计是脱胎</t>
  </si>
  <si>
    <t>　　近日，我们从江淮乘用车官方获悉，1月份嘉悦a5销量达5,009辆，该车自去年11月20日上市以来，截至1月31日，累计销售13,162辆新车。　　根据中汽协数据显示，今年1月全国汽车总体销量为194.1万辆，同比下降18.0%，其中乘用车销量预计为161.4万辆，同比下降20.2%。在这样的背景</t>
  </si>
  <si>
    <t>2020/02/18 10:16:00</t>
  </si>
  <si>
    <t>近日，我们从江淮乘用车官方获悉，1月份嘉悦a5销量达5,009辆，该车自去年11月20日上市以来，截至1月31日，累计销售13,162辆新车。    根据中汽协数据显示，今年1月全国汽车总体销量为194.1万辆，同比下降18.0%，其中乘用车销量预计为161.4万辆，同比下降20.2%。在这样的背景</t>
  </si>
  <si>
    <t>　　玛莎拉蒂近年来陆续推出总裁、ghibli、levante等车型，备受市场欢迎，如今在面对汽车行业“新四化”的浪潮，企业也将及时作出应对。日前，我们从官方获悉，玛莎拉蒂将于今年（2020年）正式开启全面电动化战略，ghibli将推出混动版车型，全新一代granturismo和grancabrio将</t>
  </si>
  <si>
    <t>2020/02/18 10:11:00</t>
  </si>
  <si>
    <t>玛莎拉蒂近年来陆续推出总裁、ghibli、levante等车型，备受市场欢迎，如今在面对汽车行业“新四化”的浪潮，企业也将及时作出应对。日前，我们从官方获悉，玛莎拉蒂将于今年（2020年）正式开启全面电动化战略，ghibli将推出混动版车型，全新一代granturismo和grancabrio将搭载</t>
  </si>
  <si>
    <t>　　如今的中型车市场，各个厂家纷纷拿出重磅产品，力求扩大自己的知名度，提高品牌整体销量。在这些产品中，日系产品一直是一股不可低估的力量。今天就为大家介绍四款性格鲜明的日系中型车，销量高不高暂且不论，至少在你选车的时候，它们或多或少都会出现在你的考察清单中。　　东风本田 inspire 无愧于运动之名</t>
  </si>
  <si>
    <t>2020/02/18 10:10:00</t>
  </si>
  <si>
    <t>　　不少消费者在买车过程中都会注意汽车性能和三大件的质量，但有时候汽车座椅也是一个很重要的部分，也是我们每天开车坐车接触做多的配置之一，因此也有不少人在选车中都会把座椅性能当作一项重要考核。作为新锐的豪华品牌之一，雷克萨斯能够发展至今除了独有匠心精神外，在乘坐舒适性上也颇有造诣。接下来我们就一同盘点</t>
  </si>
  <si>
    <t>2020/02/18 10:08:00</t>
  </si>
  <si>
    <t>不少消费者在买车过程中都会注意汽车性能和三大件的质量，但有时候汽车座椅也是一个很重要的部分，也是我们每天开车坐车接触做多的配置之一，因此也有不少人在选车中都会把座椅性能当作一项重要考核。作为新锐的豪华品牌之一，雷克萨斯能够发展至今除了独有匠心精神外，在乘坐舒适性上也颇有造诣。接下来我们就一同盘点下目</t>
  </si>
  <si>
    <t>要说在豪华品牌中变现最为优秀，产品力强，知名度高，且开启内燃机时代的，当属奔驰品牌。在19世纪的80年代，卡尔·本茨等人设计出了内燃机，成功了开创汽车行业的先河，引领了整个汽车行业的发展，时至今日，奔驰品牌依然在汽车行业中处于领军位置，旗下车型可谓是遍布着各个细分市场，并在进入国内的汽车市场后分为北</t>
  </si>
  <si>
    <t>2020/02/18 10:07:00</t>
  </si>
  <si>
    <t>既能商用又能家用的MPV，你想要吗要说在豪华品牌中变现最为优秀，产品力强，知名度高，且开启内燃机时代的，当属奔驰品牌。在19世纪的80年代，卡尔·本茨等人设计出了内燃机，成功了开创汽车行业的先河，引领了整个汽车行业的发展，时至今日，奔驰品牌依然在汽车行业中处于领军位置，旗下车型可谓是遍布着各个细分市</t>
  </si>
  <si>
    <t>我们买车的时候可能最关心的可能就是安全性、舒适性、油耗等这些主要因素。另外我们还会考虑车的外观怎么样？开在路上会不会是最靓眼的仔？其次那就是内饰了，当你一打开车门，坐进车里欣赏着这完美无瑕的内饰，相信你开车的时候也会特别安逸，况且你朋友乘坐你车的时候，对车的内饰赞不绝口，你心里岂不是很高兴嘛！今天小</t>
  </si>
  <si>
    <t>2020/02/18 10:06:00</t>
  </si>
  <si>
    <t xml:space="preserve">　　如果你对轿车没有兴趣，对传统意义的suv感觉索然无味，想要外形更有个性、更有运动范儿，一台轿跑suv是你不错的选择。各大品牌都在这个领域大显身手，今天我们给大家对比一下wey vv7 gt和领克05，看看哪台轿跑suv更适合你。　　当你看到wey vv7 gt时，如果从正面你很难看出它与wey </t>
  </si>
  <si>
    <t>李一鸣</t>
  </si>
  <si>
    <t>这几款车的内饰，你更喜欢哪款？我们买车的时候可能最关心的可能就是安全性、舒适性、油耗等这些主要因素。另外我们还会考虑车的外观怎么样？开在路上会不会是最靓眼的仔？其次那就是内饰了，当你一打开车门，坐进车里欣赏着这完美无瑕的内饰，相信你开车的时候也会特别安逸，况且你朋友乘坐你车的时候，对车的内饰赞不绝口</t>
  </si>
  <si>
    <t>在七座SUV市场中，长期以来都是汉兰达的天下。曾有多少竞争对手，都想跟汉兰达一较高下，但却无一能成功者，并且轮流被汉兰达吊打一番后无功而返。Jeep大指挥官、马自达CX-8、福特锐界等等，虽然付出了很多努力，但是结局都十分落魄。七座SUV的王者，汉兰达受之无愧。同时，汉兰达不仅长居七座SUV销量冠军</t>
  </si>
  <si>
    <t>2020/02/18 10:05:00</t>
  </si>
  <si>
    <t>中国车市结束多年的肆意狂奔，曾经火热的SUV市场已经过度饱和，而高端MPV细分市场却还有增长空间，从去年盛传加价神话的雷克萨斯LM的热度就可见一般。另一方面，随着国人汽车消费的更加成熟理性，高端MPV作为家庭第二台、第三台车的适宜性得到越来越多人的认可。而让我对此乐观预判的重要原因还在于，这些MPV</t>
  </si>
  <si>
    <t>2020年，高端MPV会再火一把吗？中国车市结束多年的肆意狂奔，曾经火热的SUV市场已经过度饱和，而高端MPV细分市场却还有增长空间，从去年盛传加价神话的雷克萨斯LM的热度就可见一般。另一方面，随着国人汽车消费的更加成熟理性，高端MPV作为家庭第二台、第三台车的适宜性得到越来越多人的认可。而让我对此</t>
  </si>
  <si>
    <t>打遍天下无敌手，七座SUV的王者在七座SUV市场中，长期以来都是汉兰达的天下。曾有多少竞争对手，都想跟汉兰达一较高下，但却无一能成功者，并且轮流被汉兰达吊打一番后无功而返。Jeep大指挥官、马自达CX-8、福特锐界等等，虽然付出了很多努力，但是结局都十分落魄。七座SUV的王者，汉兰达受之无愧。同时，</t>
  </si>
  <si>
    <t>据彭博社报道，通用汽车公司正在撤出美国和中国核心市场以外的更多市场。该公司表示，将在今年年底前逐步关闭在澳大利亚、新西兰以及泰国的制造、销售、设计等业务，从而继续退出表现不佳的市场，将资源集中在自动驾驶汽车和电动汽车等新技术的投资上。    通用汽车表示，这些业务重组将导致11亿美元的现金和非现金支</t>
  </si>
  <si>
    <t>2020/02/18 10:03:00</t>
  </si>
  <si>
    <t>　　据彭博社报道，通用汽车公司正在撤出美国和中国核心市场以外的更多市场。该公司表示，将在今年年底前逐步关闭在澳大利亚、新西兰以及泰国的制造、销售、设计等业务，从而继续退出表现不佳的市场，将资源集中在自动驾驶汽车和电动汽车等新技术的投资上。　　通用汽车表示，这些业务重组将导致11亿美元的现金和非现金支</t>
  </si>
  <si>
    <t>据欧洲汽车新闻网报道，捷豹路虎即将离任的ceo施韦德（ralf speth）的职业生涯改变了这家英国汽车制造商。但他也给继任者留下了巨大挑战，其中最迫在眉睫的是：提高质量。    施韦德是德国出生的工程师，他自2010年以来一直担任捷豹路虎ceo，帮助捷豹路虎塑造了形象，但将于2020年9 月任期届</t>
  </si>
  <si>
    <t>2020/02/18 10:02:00</t>
  </si>
  <si>
    <t>　　据欧洲汽车新闻网报道，捷豹路虎即将离任的ceo施韦德（ralf speth）的职业生涯改变了这家英国汽车制造商。但他也给继任者留下了巨大挑战，其中最迫在眉睫的是：提高质量。　　施韦德是德国出生的工程师，他自2010年以来一直担任捷豹路虎ceo，帮助捷豹路虎塑造了形象，但将于2020年9 月任期届</t>
  </si>
  <si>
    <t>　据英国《金融时报》报道，在日内瓦车展前夕，沃尔沃汽车首席执行官塞缪尔森（Hakan Samuelsson）在牛排晚餐后喝着红酒，显得相当放松，愉快地回答了有关这家汽车制造商与中国所有者吉利汽车、及其董事长李书福的问题。　　当塞缪尔森被问到，李书福是否计划打造中国版的大众汽车？他回答称，“不，我认为</t>
  </si>
  <si>
    <t>2020/02/18 10:01:00</t>
  </si>
  <si>
    <t>　　据英国《金融时报》报道，在日内瓦车展前夕，沃尔沃汽车首席执行官塞缪尔森（Hakan Samuelsson）在牛排晚餐后喝着红酒，显得相当放松，愉快地回答了有关这家汽车制造商与中国所有者吉利汽车、及其董事长李书福的问题。　　当塞缪尔森被问到，李书福是否计划打造中国版的大众汽车？他回答称，“不，我认</t>
  </si>
  <si>
    <t>　　35万多就能买“路虎发现”了？这是真的，虽然其实在后方加入了运动版的小尾巴，但是land rover discovery的光辉名片第一次距离消费者如此之近距离。在中期改款之前的发现神行就已经是discovery sport的尾标，此次正式翻译成发现运动版是为了更好的统一车系，并且路虎显然是借鉴了</t>
  </si>
  <si>
    <t>2020/02/18 09:58:00</t>
  </si>
  <si>
    <t>2020/02/18 09:57:00</t>
  </si>
  <si>
    <t>投诉编号：【447594】  投诉时间： 2020-02-18 09:57  投诉品牌： 上汽大众  投诉车系： 帕萨特新能源  投诉车型： 2019款 430PHEV 混动 精英版        投诉内容  新车没有异响，行驶至1500km之后，车速低于60km半刹情况下有嘎啦嘎啦的金属声，像弹簧</t>
  </si>
  <si>
    <t>吉利换回四缸机 是醒悟还是迷失JLB-4G14TB发动机将会出现在缤越上， 这意味着这台吉利体系中销量较为出色的三缸机SUV再添强势版本，对于急需拉动销量的吉利来说，并非不是一件好事儿。2019年，吉利销量随行就市下滑，全年累计销量下滑幅度超9%，销量下滑的一个原因在于吉利销量体系较大，过去一年市场</t>
  </si>
  <si>
    <t>有这么一辆车，把肌肉运动汽车延续到现在。你的朋友很有可能就有一台或者认识有这台车的人，今天我们就认真的聊一下福特野马强调一点野马是肌肉车的衍生产物，虽然它的初衷一开始并不是很肌肉，1964年发售的第一代野马，配备了4套动力总成，最大排量4.7L-V8输出，拥有令人点赞的271HP马力。标志性的通透大</t>
  </si>
  <si>
    <t>2020/02/18 09:56:00</t>
  </si>
  <si>
    <t>动感造型就是品牌溢价的资本，轿跑型suv纷纷被推到了各大品牌suv产品线的旗舰位置，去年奥迪q8刮起的那股“真香”旋风还在脑海中回荡，但在我看来，与其花80万买q8，不如期待一下今天为大家介绍的这辆奥迪q3，先别着急大跌眼镜，它可不是你印象中那个圆滚滚的代步车，50万的身价光凭外观就能值回一半，看完</t>
  </si>
  <si>
    <t>　　动感造型就是品牌溢价的资本，轿跑型suv纷纷被推到了各大品牌suv产品线的旗舰位置，去年奥迪q8刮起的那股“真香”旋风还在脑海中回荡，但在我看来，与其花80万买q8，不如期待一下今天为大家介绍的这辆奥迪q3，先别着急大跌眼镜，它可不是你印象中那个圆滚滚的代步车，50万的身价光凭外观就能值回一半，</t>
  </si>
  <si>
    <t>年轻人离梦想最近的那跑车有这么一辆车，把肌肉运动汽车延续到现在。你的朋友很有可能就有一台或者认识有这台车的人，今天我们就认真的聊一下福特野马强调一点野马是肌肉车的衍生产物，虽然它的初衷一开始并不是很肌肉，1964年发售的第一代野马，配备了4套动力总成，最大排量4.7L-V8输出，拥有令人点赞的271</t>
  </si>
  <si>
    <t>经常在留言区看到有朋友问10万、15万左右买什么车好，我的回答往往也只能是“我推荐...”，因为这个价位的车型众多，而每个人的用车需求都不一样，没有一款车型是普适所有人的。今天特工就给大家推荐几款10万左右、我觉得不错的选择，大家可以根据自己的偏好进行选择。吉利-缤越指导价：7.98-12.98万要</t>
  </si>
  <si>
    <t>2020/02/18 09:55:00</t>
  </si>
  <si>
    <t>以前20万这个价位里，你只能买到以日系三剑客、大众两兄弟为首的合资中型车，选择面上确实比较窄。而随着汽车价格不断地下放，现在20多万这个价位，可以选择的车型实在是太多了，当中还有我们喜闻乐见的豪华车。现在20几万还买迈腾？这些豪华车一个比一个超值！一汽奥迪-A4L厂家指导价：28.68-40.18万</t>
  </si>
  <si>
    <t>纵观整个国内汽车市场的销量走向和车型分布来看，多数家庭在选车时会优先考虑10万以内的车型，毕竟10万这个价位恰好是一个分水岭，这个价位的车型相对给家庭带来的经济负担更小，而且大厂出品的车型也很多，品质上不用担心出问题，所以我们今天要介绍10万以内比较可靠的5款SUV，看看其中有没有你的爱车。第一款：</t>
  </si>
  <si>
    <t>三款带“T”SUV，10万开回家经常在留言区看到有朋友问10万、15万左右买什么车好，我的回答往往也只能是“我推荐...”，因为这个价位的车型众多，而每个人的用车需求都不一样，没有一款车型是普适所有人的。今天特工就给大家推荐几款10万左右、我觉得不错的选择，大家可以根据自己的偏好进行选择。吉利-缤越</t>
  </si>
  <si>
    <t>10万以内比较可靠的5款SUV纵观整个国内汽车市场的销量走向和车型分布来看，多数家庭在选车时会优先考虑10万以内的车型，毕竟10万这个价位恰好是一个分水岭，这个价位的车型相对给家庭带来的经济负担更小，而且大厂出品的车型也很多，品质上不用担心出问题，所以我们今天要介绍10万以内比较可靠的5款SUV，看</t>
  </si>
  <si>
    <t>20多万还买迈腾？这些豪华车一个比一个超值以前20万这个价位里，你只能买到以日系三剑客、大众两兄弟为首的合资中型车，选择面上确实比较窄。而随着汽车价格不断地下放，现在20多万这个价位，可以选择的车型实在是太多了，当中还有我们喜闻乐见的豪华车。现在20几万还买迈腾？这些豪华车一个比一个超值！一汽奥迪-</t>
  </si>
  <si>
    <t>2019全球卖最好的10款车 国内都有卖2020年鼠年驾到，万事开头难，2020年的开局确实太难，本可以开着新车、豪车拜年串门的日子，却成了大家集体“做月子”的日子。望着窗外的天空，想要猛吸一口新鲜的空气，闭上双眼是该对过去的2019年做一个复盘，也是为2020年重新出发理清思路与规划。有人说，天空</t>
  </si>
  <si>
    <t>2020/02/18 09:54:00</t>
  </si>
  <si>
    <t>汉兰达加价严重，大家无非看重它空间大，外加可靠性高。话说有一款七座SUV，同是合资品牌，可靠性口碑同样高，但绝对不像汉兰达那样加价。这款车就是起亚的索兰托。看到这里，有小伙伴坐不住，起亚可靠性能跟丰田相提并论。其实在美国《消费者报告》里，现代起亚稳定性排名一直很高。索兰托这款车在美国，销量一直不错，</t>
  </si>
  <si>
    <t>2020年鼠年驾到，万事开头难，2020年的开局确实太难，本可以开着新车、豪车拜年串门的日子，却成了大家集体“做月子”的日子。望着窗外的天空，想要猛吸一口新鲜的空气，闭上双眼是该对过去的2019年做一个复盘，也是为2020年重新出发理清思路与规划。有人说，天空黑暗到一定程度，星辰就会熠熠生辉，相信2</t>
  </si>
  <si>
    <t>根据广汽新能源此前的规划，今年年内将推出两款全新车型，分别为中型suv和小型suv，且均基于第二代纯电专属平台打造。我们获得了aion v相关信息，从车身尺寸和动力来看，新车定位低于aion lx。新车将在4月份上市，竞争对手锁定为比亚迪宋pro ev等同级别车型，。综合aion lx以及竞品售价来</t>
  </si>
  <si>
    <t>　　根据广汽新能源此前的规划，今年年内将推出两款全新车型，分别为中型suv和小型suv，且均基于第二代纯电专属平台打造。我们获得了aion v相关信息，从车身尺寸和动力来看，新车定位低于aion lx。新车将在4月份上市，竞争对手锁定为比亚迪宋pro ev等同级别车型，。综合aion lx以及竞品售</t>
  </si>
  <si>
    <t>买不起汉兰达，这款合资七座SUV可以买吗？汉兰达加价严重，大家无非看重它空间大，外加可靠性高。话说有一款七座SUV，同是合资品牌，可靠性口碑同样高，但绝对不像汉兰达那样加价。这款车就是起亚的索兰托。看到这里，有小伙伴坐不住，起亚可靠性能跟丰田相提并论。其实在美国《消费者报告》里，现代起亚稳定性排名一</t>
  </si>
  <si>
    <t>MPV市场拐点已至，2020年或是爆发年？“MPV会是下一个风口”，这一论调在业内已经喊了好几年了，但MPV市场却以不断的下跌作为回应。从2016年的246.7万辆，到2019年的137.2万辆，MPV市场的销量几近跌了一半。就像股票会有“触底反弹”，那么MPV市场的“底”是否已经到了？“反弹”何时</t>
  </si>
  <si>
    <t>2020/02/18 09:53:00</t>
  </si>
  <si>
    <t>这才是男人的车！20万入手大排量V6也许有人说：圆豪车梦很难吗？现在BBA入门车那么便宜，加上优惠不用20万就落地咯！但回过头想，咱们买豪车的动机不就是图它够大够气派，坐着舒服开得爽么？而那些入门BBA先不说尺寸太小、气场不够，且指不定某天在红绿灯街口就被隔壁道的思域给秒了，所以这种“豪车”实在差点</t>
  </si>
  <si>
    <t>“MPV会是下一个风口”，这一论调在业内已经喊了好几年了，但MPV市场却以不断的下跌作为回应。从2016年的246.7万辆，到2019年的137.2万辆，MPV市场的销量几近跌了一半。就像股票会有“触底反弹”，那么MPV市场的“底”是否已经到了？“反弹”何时出现？车业杂谈认为，MPV市场的拐点已经出</t>
  </si>
  <si>
    <t>也许有人说：圆豪车梦很难吗？现在BBA入门车那么便宜，加上优惠不用20万就落地咯！但回过头想，咱们买豪车的动机不就是图它够大够气派，坐着舒服开得爽么？而那些入门BBA先不说尺寸太小、气场不够，且指不定某天在红绿灯街口就被隔壁道的思域给秒了，所以这种“豪车”实在差点意思.那20万预算就不可以真正地过把</t>
  </si>
  <si>
    <t>导读：B级车市场如今竞争也是日常激烈，各家车企均完成了换代，今天就聊聊日系B级三剑客，天籁、雅阁、凯美瑞该怎么选。本田雅阁日产天籁丰田凯美瑞一提起这三款车，往往想到的都是40多岁成熟成功人士的座驾，以往这三款车都给人留下了商务轿车的印象，而如今，随着消费群体的年轻化，车企也开始转变思路，朝着年轻化设</t>
  </si>
  <si>
    <t>日系B级三剑客怎么选导读：B级车市场如今竞争也是日常激烈，各家车企均完成了换代，今天就聊聊日系B级三剑客，天籁、雅阁、凯美瑞该怎么选。本田雅阁日产天籁丰田凯美瑞一提起这三款车，往往想到的都是40多岁成熟成功人士的座驾，以往这三款车都给人留下了商务轿车的印象，而如今，随着消费群体的年轻化，车企也开始转</t>
  </si>
  <si>
    <t>据中国汽车流通协会汽车市场研究分会（乘联会）最新综合销量数据统计显示，1月份mpv销量9.9万辆，同比下降34.6%，而广汽传祺gm8实现销售2,141辆，同比逆势增长19.5%。    在售的广汽传祺gm8 2020领航款拥有5款车型，官方售价区间17.98万-26.48万元。我们从北京地区广汽传</t>
  </si>
  <si>
    <t>　　据中国汽车流通协会汽车市场研究分会（乘联会）最新综合销量数据统计显示，1月份mpv销量9.9万辆，同比下降34.6%，而广汽传祺gm8实现销售2,141辆，同比逆势增长19.5%。　　在售的广汽传祺gm8 2020领航款拥有5款车型，官方售价区间17.98万-26.48万元。我们从北京地区广汽传</t>
  </si>
  <si>
    <t>2020/02/18 09:52:00</t>
  </si>
  <si>
    <t>为何满大街出租车都用大众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的感觉，仔细一看车型品牌，大部</t>
  </si>
  <si>
    <t>性价比高的SUV，千万别忽视这几款不知为何，笔者回老家过年，发现了一个有意思的现象，那就是左邻右舍均已经购置新车；而且无一例外，都是SUV车型。其实这也不能见怪，毕竟SUV凭借着较高的车身底盘，有着较高的通过性，尤其是农村，非铺装路面非常广泛，而底盘较低的轿车反而通过性较差，所以SUV在此有着得天独</t>
  </si>
  <si>
    <t>2020/02/18 09:51:00</t>
  </si>
  <si>
    <t>2月20日，雪佛兰畅巡就将在国内正式上市，这是雪佛兰在国内推出的首款纯电动SUV。外观方面，畅巡采用了扁平的大灯和镀铬饰条进行连接，配合短促且富有运动感的线条，加上密封式的车头，让人感觉到浓烈的机械感，充电插口则 布置在LOGO后面。车身侧面则采用了双腰线的设计，搭配悬浮车顶的造型，整体显得很有运动</t>
  </si>
  <si>
    <t>随着汽车逐渐成为了大部分家庭大型消耗品之一，他们在买车的时候，会把保值率当做评价车辆好坏的依据，同时，保值率高的车，如果开几年想换了，卖掉也不会亏太多。其实，市面上有很多保值率虽低、但本身拥有不错产品力的车型，如果买它们的二手车，是非常划算的。今天马拉车市推荐五款“不保值的好车”，希望能帮助到那些对</t>
  </si>
  <si>
    <t>五款不保值的好车 购买二手车人群的福音随着汽车逐渐成为了大部分家庭大型消耗品之一，他们在买车的时候，会把保值率当做评价车辆好坏的依据，同时，保值率高的车，如果开几年想换了，卖掉也不会亏太多。其实，市面上有很多保值率虽低、但本身拥有不错产品力的车型，如果买它们的二手车，是非常划算的。今天马拉车市推荐五</t>
  </si>
  <si>
    <t>好看性价比也高的合资SUV，销量会好吗？2月20日，雪佛兰畅巡就将在国内正式上市，这是雪佛兰在国内推出的首款纯电动SUV。外观方面，畅巡采用了扁平的大灯和镀铬饰条进行连接，配合短促且富有运动感的线条，加上密封式的车头，让人感觉到浓烈的机械感，充电插口则 布置在LOGO后面。车身侧面则采用了双腰线的设</t>
  </si>
  <si>
    <t>长安新能源此前计划对旗下纯电动车型进行全面升级，且首款改款车型e-pro(cs15 ev改款车型)已正式上市，该车补贴后售价10.69万元起，续航里程较老款车型提升50公里。在e-pro上市发布会现场，长安新能源官方公布e-star（改款奔奔ev）将在今年1季度上市。加上广州车展首发亮相e-rock</t>
  </si>
  <si>
    <t>　　长安新能源此前计划对旗下纯电动车型进行全面升级，且首款改款车型e-pro(cs15 ev改款车型)已正式上市，该车补贴后售价10.69万元起，续航里程较老款车型提升50公里。在e-pro上市发布会现场，长安新能源官方公布e-star（改款奔奔ev）将在今年1季度上市。加上广州车展首发亮相e-ro</t>
  </si>
  <si>
    <t>hs7是红旗于去年推出的一款中大型suv，目前在售车型均为3.0t四驱版本，售价区间为34.98万-45.98万之间。2020年，红旗hs7将新增2.0t车型，为消费者提供更多的购车选择。我们从红旗经销商了解到，红旗hs7 2.0t车型预计起售价在28万左右。（配图为3.0t车型）    红旗hs7</t>
  </si>
  <si>
    <t>2020/02/18 09:50:00</t>
  </si>
  <si>
    <t>　　hs7是红旗于去年推出的一款中大型suv，目前在售车型均为3.0t四驱版本，售价区间为34.98万-45.98万之间。2020年，红旗hs7将新增2.0t车型，为消费者提供更多的购车选择。我们从红旗经销商了解到，红旗hs7 2.0t车型预计起售价在28万左右。（配图为3.0t车型）　　红旗hs7</t>
  </si>
  <si>
    <t>近年来，国产汽车品牌已经开始飞速崛起，作为国产汽车品牌中的佼佼者，长安汽车在过去的2019年里表现得非常出色，旗下的各款车型都有不错的销量，比如长安CS75单月的销量都能够紧跟哈弗H6。去年，长安推出的新车型——长安CS75 PLUS车型的表现也是非常不错，为长安汽车接下来的战略布局进行了铺垫。20</t>
  </si>
  <si>
    <t>CS75 PLUS已经很帅了 长安又推出了一款更帅的SUV近年来，国产汽车品牌已经开始飞速崛起，作为国产汽车品牌中的佼佼者，长安汽车在过去的2019年里表现得非常出色，旗下的各款车型都有不错的销量，比如长安CS75单月的销量都能够紧跟哈弗H6。去年，长安推出的新车型——长安CS75 PLUS车型的表</t>
  </si>
  <si>
    <t>2020/02/18 09:49:00</t>
  </si>
  <si>
    <t>c5 aircross是雪铁龙旗下的一款紧凑级suv车型，该款车型于2017年在华国产上市，凭借着个性的外观设计，很快便在细分市场中获得了较为优异的销量成绩，并与诸多同级热门suv——大众途观、日产奇骏、本田cr-v等车型展开竞争。近日海外媒体曝光雪铁龙c5 aircross插电式混合动力版车型售价</t>
  </si>
  <si>
    <t>2020/02/18 09:48:00</t>
  </si>
  <si>
    <t>　　c5 aircross是雪铁龙旗下的一款紧凑级suv车型，该款车型于2017年在华国产上市，凭借着个性的外观设计，很快便在细分市场中获得了较为优异的销量成绩，并与诸多同级热门suv――大众途观、日产奇骏、本田cr-v等车型展开竞争。近日海外媒体曝光雪铁龙c5 aircross插电式混合动力版车型</t>
  </si>
  <si>
    <t>今年1月受春节假期影响，汽车市场的有效销售时间仅为20天，再加之突如其来的冠状病毒导致的假期延长，整体市场表现略显暗淡，不过总有部分品牌逆势而行。日前，奇瑞控股集团公布了最新销量数据，2020年1月，奇瑞集团终端销量为5.31万辆，其中瑞虎系列同比增长10.8%，瑞虎5x销量为5,496辆，同比大涨</t>
  </si>
  <si>
    <t>2020/02/18 09:47:00</t>
  </si>
  <si>
    <t>　　今年1月受春节假期影响，汽车市场的有效销售时间仅为20天，再加之突如其来的冠状病毒导致的假期延长，整体市场表现略显暗淡，不过总有部分品牌逆势而行。日前，奇瑞控股集团公布了最新销量数据，2020年1月，奇瑞集团终端销量为5.31万辆，其中瑞虎系列同比增长10.8%，瑞虎5x销量为5,496辆，同比</t>
  </si>
  <si>
    <t>如何让一款大家都熟悉的车型看起来更高级？奥迪给出的最新答案是rs q3 sportback，外观造型采用了溜背轿跑型设计，而且无论从车头、车身还是车尾角度看上去都具备足够鲜明的独特辨识特征，可是内饰部分的改造要难得多，毕竟车内的整体设计已经固定下来，但是要想把这款车型卖到50万（65000欧元），还</t>
  </si>
  <si>
    <t>2020/02/18 09:46:00</t>
  </si>
  <si>
    <t>　　如何让一款大家都熟悉的车型看起来更高级？奥迪给出的最新答案是rs q3 sportback，外观造型采用了溜背轿跑型设计，而且无论从车头、车身还是车尾角度看上去都具备足够鲜明的独特辨识特征，可是内饰部分的改造要难得多，毕竟车内的整体设计已经固定下来，但是要想把这款车型卖到50万（65000欧元）</t>
  </si>
  <si>
    <t>不少车主一直被车内难闻的气味所困扰，除了新车的味道，还可能有烟味或者霉臭味。这些味道不仅影响心情，时间长了还有可能损害我们的身体健康。这不，最近小编就在网上购买了某品牌的车内灭菌除味剂，来亲测一下这个东西到底有没有效。    小编购买的这款产品明确标注有抗菌除臭、防止静电、去除霉菌细菌以及烟味等功效</t>
  </si>
  <si>
    <t>2020/02/18 09:44:00</t>
  </si>
  <si>
    <t>　　不少车主一直被车内难闻的气味所困扰，除了新车的味道，还可能有烟味或者霉臭味。这些味道不仅影响心情，时间长了还有可能损害我们的身体健康。这不，最近小编就在网上购买了某品牌的车内灭菌除味剂，来亲测一下这个东西到底有没有效。　　小编购买的这款产品明确标注有抗菌除臭、防止静电、去除霉菌细菌以及烟味等功效</t>
  </si>
  <si>
    <t>随着冷空气过境，全国多地气温都呈现缓慢上升趋势，部分北方城市汽车的轮胎又要从冬季胎换回夏季胎了。由于4s店换胎实在是太贵了，不少车主会选择从电商或者轮胎经销商处购买轮胎，但是上面数字大家都清楚是什么意思吗？    生产日期数字    汽车轮胎是有寿命的，一个是使用寿命，还有一个是时间寿命。一般轮胎的</t>
  </si>
  <si>
    <t>2020/02/18 09:43:00</t>
  </si>
  <si>
    <t>　　随着冷空气过境，全国多地气温都呈现缓慢上升趋势，部分北方城市汽车的轮胎又要从冬季胎换回夏季胎了。由于4s店换胎实在是太贵了，不少车主会选择从电商或者轮胎经销商处购买轮胎，但是上面数字大家都清楚是什么意思吗？　　生产日期数字　　汽车轮胎是有寿命的，一个是使用寿命，还有一个是时间寿命。一般轮胎的使用</t>
  </si>
  <si>
    <t>迈特威是大众旗下的一款mpv车型，该款车型于2008年至今一直以进口形式引入国内市场销售，凭借着较大的空间以及实用性，很快便在国内市场受到了诸多企业人事们的广泛关注。而近日海外媒体曝光了一组更高性能的大众abt迈特威实拍图片，新车对外以及动力上也进行了诸多升级。    动力方面，新车将搭载一台升级后</t>
  </si>
  <si>
    <t>2020/02/18 09:42:00</t>
  </si>
  <si>
    <t>　　迈特威是大众旗下的一款mpv车型，该款车型于2008年至今一直以进口形式引入国内市场销售，凭借着较大的空间以及实用性，很快便在国内市场受到了诸多企业人事们的广泛关注。而近日海外媒体曝光了一组更高性能的大众abt迈特威实拍图片，新车对外以及动力上也进行了诸多升级。　　动力方面，新车将搭载一台升级后</t>
  </si>
  <si>
    <t>　　2月17日，长城汽车和通用汽车共同宣布，长城汽车将收购通用汽车的泰国罗勇府制造工厂。根据双方已签署的具有约束力的条款书，包括罗勇府汽车工厂和动力总成工厂在内的通用汽车泰国公司将移交给长城汽车，双方计划在2020年底完成交易和最终移交。该协议尚需政府和监管机构的批准。　　经过十几年的发展，长城汽车</t>
  </si>
  <si>
    <t>2020/02/18 09:41:00</t>
  </si>
  <si>
    <t>2月17日，长城汽车和通用汽车共同宣布，长城汽车将收购通用汽车的泰国罗勇府制造工厂。根据双方已签署的具有约束力的条款书，包括罗勇府汽车工厂和动力总成工厂在内的通用汽车泰国公司将移交给长城汽车，双方计划在2020年底完成交易和最终移交。该协议尚需政府和监管机构的批准。    经过十几年的发展，长城汽车</t>
  </si>
  <si>
    <t>近日我们从一汽-大众官方获得了探岳gte的详细动力信息，新车搭载1.4t插电混动动力系统，纯电续航里程达到54km，百公里综合油耗为2l。探岳gte预计将于今年年中正式上市，未来主要与途观l phev、wey vv7 phev等车型展开竞争。价格方面，考虑途观l 1.4t入门版与插混版6万多元的差价</t>
  </si>
  <si>
    <t>2020/02/18 09:40:00</t>
  </si>
  <si>
    <t>　　近日我们从一汽-大众官方获得了探岳gte的详细动力信息，新车搭载1.4t插电混动动力系统，纯电续航里程达到54km，百公里综合油耗为2l。探岳gte预计将于今年年中正式上市，未来主要与途观l phev、wey vv7 phev等车型展开竞争。价格方面，考虑途观l 1.4t入门版与插混版6万多元的</t>
  </si>
  <si>
    <t>2020年1月份，受到春节假期的影响，有效的销售时间仅有20天，乘用车1月份整体销量同比下降20.4%，环比下降19.6%。我们从凯迪拉克官方获悉：1月份凯迪拉克销量达19,600辆，虽然同比有所下滑但环比依然保持增长。其中在2019年推出的全新产品ct5、xt6车型热销，1月销量环比增幅分别达到4</t>
  </si>
  <si>
    <t>2020/02/18 09:38:00</t>
  </si>
  <si>
    <t>　　2020年1月份，受到春节假期的影响，有效的销售时间仅有20天，乘用车1月份整体销量同比下降20.4%，环比下降19.6%。我们从凯迪拉克官方获悉：1月份凯迪拉克销量达19,600辆，虽然同比有所下滑但环比依然保持增长。其中在2019年推出的全新产品ct5、xt6车型热销，1月销量环比增幅分别达</t>
  </si>
  <si>
    <t>　　宝马m2作为后驱性能跑车，凭借其优秀的操控性，一直是车迷眼中不可多得的“玩物”，而2020年又是最早的宝马art car诞辰的第45年，因此，宝马与涂鸦大师futura 2000合作推出了一款基于宝马m2 competition打造的车型---bmw m2 futura 2000，近日海外媒体公</t>
  </si>
  <si>
    <t>2020/02/18 09:36:00</t>
  </si>
  <si>
    <t>宝马m2作为后驱性能跑车，凭借其优秀的操控性，一直是车迷眼中不可多得的“玩物”，而2020年又是最早的宝马art car诞辰的第45年，因此，宝马与涂鸦大师futura 2000合作推出了一款基于宝马m2 competition打造的车型---bmw m2 futura 2000，近日海外媒体公布了</t>
  </si>
  <si>
    <t>　　我们从中国汽车技术研究中心获悉，威马ex5今年1月份上险量仅为808台，同比下降了59.7%，环比下降46.9%，在纯电动suv中排名第五，在造车新势力中排名第四。威马此前计划在今年4月份北京车展发布全新7系轿车，该车nedc续航里程将突破700公里，不过受疫情影响，北京车展时间推迟，新车发布时</t>
  </si>
  <si>
    <t>2020/02/18 09:35:00</t>
  </si>
  <si>
    <t>我们从中国汽车技术研究中心获悉，威马ex5今年1月份上险量仅为808台，同比下降了59.7%，环比下降46.9%，在纯电动suv中排名第五，在造车新势力中排名第四。威马此前计划在今年4月份北京车展发布全新7系轿车，该车nedc续航里程将突破700公里，不过受疫情影响，北京车展时间推迟，新车发布时间预</t>
  </si>
  <si>
    <t>　　作为奔腾品牌旗下首款采用新车标的车型，奔腾t77上市之初的确是名噪一时，甚至一度被揄扬为紧凑型suv市场的搅局者。但通过其销量来看，事实有些事与愿违，仅上市前三个月呈现上扬态势，此后便持续下滑。究其原因，不难看出，t77设计、配置各方面都不亚于同级别自主品牌车型，但输就输在动力总成方面，仅提供1</t>
  </si>
  <si>
    <t>2020/02/18 09:34:00</t>
  </si>
  <si>
    <t>　　去年8月底，上汽大众推出了旗下首款纯电动轿车朗逸纯电，nedc续航里程为278km，官方售价为14.89万元。近日我们从上汽大众官方获得了新款朗逸纯电的动力、续航信息，新车nedc工况下续航里程达到346km，相比现款车型提升24%。价格方面，参考现款车型售价，预计新款朗逸纯电的价格将超过15万</t>
  </si>
  <si>
    <t>2020/02/18 09:32:00</t>
  </si>
  <si>
    <t>去年8月底，上汽大众推出了旗下首款纯电动轿车朗逸纯电，nedc续航里程为278km，官方售价为14.89万元。近日我们从上汽大众官方获得了新款朗逸纯电的动力、续航信息，新车nedc工况下续航里程达到346km，相比现款车型提升24%。价格方面，参考现款车型售价，预计新款朗逸纯电的价格将超过15万元。</t>
  </si>
  <si>
    <t>宝来失速17款宝来跑完高速出现失速现象平常不跑高速，一年一两次，开几小时高速下来以后发动机转速低的情况下就出现失速现象，不能开时间长</t>
  </si>
  <si>
    <t>赵士民</t>
  </si>
  <si>
    <t>2020/02/18 09:31:00</t>
  </si>
  <si>
    <t>许多辅助系统在现代车辆中发挥着重要作用，例如车道偏离警告和自动紧急制动等。这些驾驶辅助系统不断发送大量数据，并处理越来越多需要实时传输的信息，同时还需要根据优先级进行排序。据外媒报道，弗劳恩霍夫光学微系统研究院（Fraunhofer IPMS）开发了可实时传输信息的IP核，满足汽车行业以太网时间敏感</t>
  </si>
  <si>
    <t>2020/02/18 09:30:00</t>
  </si>
  <si>
    <t>Fraunhofer IPMS开发IP核许多辅助系统在现代车辆中发挥着重要作用，例如车道偏离警告和自动紧急制动等。这些驾驶辅助系统不断发送大量数据，并处理越来越多需要实时传输的信息，同时还需要根据优先级进行排序。据外媒报道，弗劳恩霍夫光学微系统研究院（Fraunhofer IPMS）开发了可实时传输</t>
  </si>
  <si>
    <t>　　随着汽车市场的发展逐步年轻化，上汽名爵也将运动、性能的基调作为品牌的发展主线。从销量层面来看，这样的产品策略是奏效的，今年1月，mg名爵品牌全球热销22,460辆，同比增长8.33%，延续了去年良好的市场表现，并未受到春节假期和疫情的干扰，为今年开了一个好头。产品更新方面，名爵还将持续加大新车型</t>
  </si>
  <si>
    <t>随着汽车市场的发展逐步年轻化，上汽名爵也将运动、性能的基调作为品牌的发展主线。从销量层面来看，这样的产品策略是奏效的，今年1月，mg名爵品牌全球热销22,460辆，同比增长8.33%，延续了去年良好的市场表现，并未受到春节假期和疫情的干扰，为今年开了一个好头。产品更新方面，名爵还将持续加大新车型投放</t>
  </si>
  <si>
    <t>2020/02/18 09:29:03</t>
  </si>
  <si>
    <t>投诉编号：【447590】
投诉时间： 2020-02-18 09:04
投诉品牌： 东风雪铁龙
投诉车系： 世嘉
投诉车型： 2014款 1.6L 自动 品尚型</t>
  </si>
  <si>
    <t>2020/02/18 09:28:22</t>
  </si>
  <si>
    <t>投诉编号：【447592】
投诉时间： 2020-02-18 09:15
投诉品牌： 郑州日产
投诉车系： 途达
投诉车型： 2020款 2.5L 自动 四驱 豪华版</t>
  </si>
  <si>
    <t>　　由于春节因素影响，1月工作日较去年同期减少了5天，给全国1月份乘用车市场均带来了一定程度的影响。据乘联会数据统计，1月国内狭义乘用车市场销量达172.1万辆，同比下降20.4%。不过日系车企整体表现维稳，东风本田更是以销量同比21.3%的增长率一骑绝尘，其中cr-v销售22,332辆，同比大涨4</t>
  </si>
  <si>
    <t>2020/02/18 09:28:00</t>
  </si>
  <si>
    <t>由于春节因素影响，1月工作日较去年同期减少了5天，给全国1月份乘用车市场均带来了一定程度的影响。据乘联会数据统计，1月国内狭义乘用车市场销量达172.1万辆，同比下降20.4%。不过日系车企整体表现维稳，东风本田更是以销量同比21.3%的增长率一骑绝尘，其中cr-v销售22,332辆，同比大涨42.</t>
  </si>
  <si>
    <t>现代汽车确认将在日内瓦车展正式发布全新一代i20车型，继之前官方预告图之后，近日现代全新i20官图得以曝光出来。至少在外观部分，全新i20相比老款车型发生了很彻底的升级改变，让这台小型两厢掀背车看起来更加动感。全新i202019款现代i20前脸设计部分在现代全新家族风格下变得更加锐利，相比老款车型，</t>
  </si>
  <si>
    <t>2020/02/18 09:27:00</t>
  </si>
  <si>
    <t>最近粉丝群有这么一类问题，那就是：“疫情期间复工，又不想坐公共交通，需要赶紧购车应对，有什么车推荐吗？”坦白说这样的困惑并不让人意外，毕竟最近的疫情对出行的影响实在是太大的，目前各地停运出租、公交等公共交通工具，使得出行变得艰难，各地还有不同程度的限制出行；另外在疫情情况还不明朗的情况下，乘坐地铁、</t>
  </si>
  <si>
    <t>5万块钱能买什么？这种车现在卖得最火！最近粉丝群有这么一类问题，那就是：“疫情期间复工，又不想坐公共交通，需要赶紧购车应对，有什么车推荐吗？”坦白说这样的困惑并不让人意外，毕竟最近的疫情对出行的影响实在是太大的，目前各地停运出租、公交等公共交通工具，使得出行变得艰难，各地还有不同程度的限制出行；另外</t>
  </si>
  <si>
    <t>造型更凌厉/日内瓦车展发布 现代全新i20官图现代汽车确认将在日内瓦车展正式发布全新一代i20车型，继之前官方预告图之后，近日现代全新i20官图得以曝光出来。至少在外观部分，全新i20相比老款车型发生了很彻底的升级改变，让这台小型两厢掀背车看起来更加动感。全新i202019款现代i20前脸设计部分在</t>
  </si>
  <si>
    <t>目前大多数豪华车制造商都在使用主动降噪技术来提升车内的静谧感，大致原理是通过扬声器发出抵消噪音的音频，这让我们注意到现在越来越多的车企对声音的要求日渐提高。近日，continental ag（大陆集团）和著名音响品牌sennheiser（森海塞尔）联合推出了无扬声器沉浸式音响系统。虽然不是降噪系统，</t>
  </si>
  <si>
    <t>2020/02/18 09:26:00</t>
  </si>
  <si>
    <t>近日，全国乘用车市场信息联席会公布了今年1月乘用车市场分析报告以及车型销量统计排名。报告显示，我国1月乘用车销售量为172.1万辆，同比下降20.4%，环比下降19.6%。毫无疑问，此次的下降和国内正在经历的疫情问题不无关系，有此表现也完全属于预料范围之内。在1月的SUV销量榜单中，虽然进入榜单的“</t>
  </si>
  <si>
    <t>　　目前大多数豪华车制造商都在使用主动降噪技术来提升车内的静谧感，大致原理是通过扬声器发出抵消噪音的音频，这让我们注意到现在越来越多的车企对声音的要求日渐提高。近日，continental ag（大陆集团）和著名音响品牌sennheiser（森海塞尔）联合推出了无扬声器沉浸式音响系统。虽然不是降噪系</t>
  </si>
  <si>
    <t>奔驰进前五探岳失榜眼，1月SUV榜单看点足近日，全国乘用车市场信息联席会公布了今年1月乘用车市场分析报告以及车型销量统计排名。报告显示，我国1月乘用车销售量为172.1万辆，同比下降20.4%，环比下降19.6%。毫无疑问，此次的下降和国内正在经历的疫情问题不无关系，有此表现也完全属于预料范围之内。</t>
  </si>
  <si>
    <t>随着驾驶培训的逐步严格以及要求的日益提升，现在上路的新驾驶员从技术角度考虑已经比过去好了不少，但毕竟上路经验有限，让内行人一瞧，就立刻能够判断出到底是老马识途还是新手上路。随着上路的新手越来越多，我们将邀请专家一起，教你如何识别新手。专家提醒车主，在遇到新手时，要礼让三分，千万别和他们“一般见识”。</t>
  </si>
  <si>
    <t>2020/02/18 09:25:00</t>
  </si>
  <si>
    <t>　　对于很多消费者来说，选择一款20万左右suv车型去满足自己和家人日常代步出行的需求是件非常不错的事情。那么，在这个级别中有哪些车型凭借着不错的实力值得考虑呢？而近期内它们的市场行情又如何？我们一起来看看。　　本田cr-v全系共推出10款国vi版本车型，官方售价区间为17.98-27.68万元。动</t>
  </si>
  <si>
    <t>不用贴标志 四大特征暴露开车新手随着驾驶培训的逐步严格以及要求的日益提升，现在上路的新驾驶员从技术角度考虑已经比过去好了不少，但毕竟上路经验有限，让内行人一瞧，就立刻能够判断出到底是老马识途还是新手上路。随着上路的新手越来越多，我们将邀请专家一起，教你如何识别新手。专家提醒车主，在遇到新手时，要礼让</t>
  </si>
  <si>
    <t>自从去年捷达vs5上市开始，我发现身边很多朋友都开始慢慢关注这个沉寂已久的车型，就连我那不怎么热衷汽车的父亲，在一次聊天之中也透露出对捷达新车的好奇。九十年代的方头捷达，相信是大多人对它的初始印象，皮实耐造则是它的标签，而在当年可以开上方头捷达的家庭，那可真算是相当富裕。如今，捷达以大众汽车全新子品</t>
  </si>
  <si>
    <t>2020/02/18 09:23:00</t>
  </si>
  <si>
    <t>发生交通事故后，要学会如何跟车险公司沟通交流现在马路上可谓是人多，车多，大家都很关注行车安全的问题，道路上会有很多其他的机动车和电动车这样的非机动车之类的，让车主们越来越难开车了。市中心车速可能会相对慢一些，但是如果到了高速公路上面，大家就一定要打起十二分的精神了，毕竟只要一出事，后果就很严重了！要</t>
  </si>
  <si>
    <t>　　自从去年捷达vs5上市开始，我发现身边很多朋友都开始慢慢关注这个沉寂已久的车型，就连我那不怎么热衷汽车的父亲，在一次聊天之中也透露出对捷达新车的好奇。九十年代的方头捷达，相信是大多人对它的初始印象，皮实耐造则是它的标签，而在当年可以开上方头捷达的家庭，那可真算是相当富裕。如今，捷达以大众汽车全新</t>
  </si>
  <si>
    <t>学会如何跟车险公司沟通交流发生交通事故后，要学会如何跟车险公司沟通交流现在马路上可谓是人多，车多，大家都很关注行车安全的问题，道路上会有很多其他的机动车和电动车这样的非机动车之类的，让车主们越来越难开车了。市中心车速可能会相对慢一些，但是如果到了高速公路上面，大家就一定要打起十二分的精神了，毕竟只要</t>
  </si>
  <si>
    <t>投诉编号：【447593】  投诉时间： 2020-02-18 09:22  投诉品牌： 东风日产  投诉车系： 奇骏  投诉车型： 2019款 2.0L CVT 舒适版 5座 2WD        投诉内容  东风日产奇骏漆面龟裂，未发生碰撞，之前向车质网反应车漆问题，4S店回复很强硬，依然告知是</t>
  </si>
  <si>
    <t>2020/02/18 09:22:00</t>
  </si>
  <si>
    <t>重新定义出行方式 "健康汽车"或将成新蓝海</t>
  </si>
  <si>
    <t>新冠肺炎之下，促使汽车行业重新思考汽车与健康之间的关系，随着吉利首先打响汽车防疫的第一战，“健康汽车”开始成为车企普遍关注的新方向，“健康汽车”或将成为汽车行业发展的新蓝海。除此之外，各大车企宣传的车载N95口罩、IAPS智能空气净化系统、智能生态森林防护空调、AQS空气质量管理系统、车内病毒防范功</t>
  </si>
  <si>
    <t>2020/02/18 09:21:00</t>
  </si>
  <si>
    <t>作为中高级车市场的常青树,上汽大众的帕萨特18年以来一直以稳重低调的形象赢得了超过250万车主的选择,帕萨特用其经典的造型气质和宽敞的空间树立起了B级车市场的行业标杆。相比上一代的上汽大众帕萨特车型,无论从车身设计还是动力性能,都有着脱胎换骨的蜕变。不仅车身设计有了更多灵动时尚的表现,不断提升的豪华</t>
  </si>
  <si>
    <t>　　今年春节期间突发疫情，各位网友想必已经在家“憋疯了”，很多人都等着疫情结束带着朋友或是家里人一同出游，相信肯定会迎来一波自驾出游的小高潮。单从产品层面来看，mpv在空间和舒适性上有着天然的优势，要比要比轿车和suv更加适合多人自驾需求。但近期国内mpv市场发展迅速，产品层次不穷，究竟哪款mpv更</t>
  </si>
  <si>
    <t>汽车美学的诠释——上汽大众帕萨特作为中高级车市场的常青树,上汽大众的帕萨特18年以来一直以稳重低调的形象赢得了超过250万车主的选择,帕萨特用其经典的造型气质和宽敞的空间树立起了B级车市场的行业标杆。相比上一代的上汽大众帕萨特车型,无论从车身设计还是动力性能,都有着脱胎换骨的蜕变。不仅车身设计有了更</t>
  </si>
  <si>
    <t>重新定义出行方式 "健康汽车"或将成新蓝海新冠肺炎之下，促使汽车行业重新思考汽车与健康之间的关系，随着吉利首先打响汽车防疫的第一战，“健康汽车”开始成为车企普遍关注的新方向，“健康汽车”或将成为汽车行业发展的新蓝海。除此之外，各大车企宣传的车载N95口罩、IAPS智能空气净化系统、智能生态森林防护空</t>
  </si>
  <si>
    <t>大家都说“买车容易养车难”，没错，汽车买回家之后保养确确实实是非常重要的，但有时如果过度的保养，可能对于的爱车来说不一定是个好事情？一些车主对自己的车太过于在乎，久而久之就会出现过度保养的现象，假使过度保养不仅仅废材，费钱，甚至把车养废了的，也不再少数。老话说的好，贵的不一定是好的，合适才最重要，然</t>
  </si>
  <si>
    <t>2020/02/18 09:20:00</t>
  </si>
  <si>
    <t>当我们在享受假期，带着好心情，以100km/h的速度开车行驶在高速公路上时，前车突然开窗扔出的一个饮料瓶， 也许会让旅途中的你瞬间失去平静的情绪，甚至给你的生命财产安全带来损失。这样的情景即使没有亲身经历过，也一定听过、见过，然而很多驾驶人及乘客却仍不以为然，认为这只是无关紧要的小事。安全无小事，车</t>
  </si>
  <si>
    <t>买车容易养车难 教你3招轻松保养汽车大家都说“买车容易养车难”，没错，汽车买回家之后保养确确实实是非常重要的，但有时如果过度的保养，可能对于的爱车来说不一定是个好事情？一些车主对自己的车太过于在乎，久而久之就会出现过度保养的现象，假使过度保养不仅仅废材，费钱，甚至把车养废了的，也不再少数。老话说的好</t>
  </si>
  <si>
    <t>车窗扔垃圾威力究竟有多大当我们在享受假期，带着好心情，以100km/h的速度开车行驶在高速公路上时，前车突然开窗扔出的一个饮料瓶， 也许会让旅途中的你瞬间失去平静的情绪，甚至给你的生命财产安全带来损失。这样的情景即使没有亲身经历过，也一定听过、见过，然而很多驾驶人及乘客却仍不以为然，认为这只是无关紧</t>
  </si>
  <si>
    <t>i20是现代旗下的一款小型轿车，该款车型仅在欧洲以及部分海外国家上市开售，而遗憾的是国内市场尚未引入i20车型。近日海外媒体曝光了一组现代全新i20车型官图，新车将于下月即将开幕的日内瓦车展上正式亮相，并有望在今年年内登陆海外市场开售。    动力方面，新车将搭载1.2l自然吸气发动机以及1.0t涡</t>
  </si>
  <si>
    <t>2020/02/18 09:19:00</t>
  </si>
  <si>
    <t>　　i20是现代旗下的一款小型轿车，该款车型仅在欧洲以及部分海外国家上市开售，而遗憾的是国内市场尚未引入i20车型。近日海外媒体曝光了一组现代全新i20车型官图，新车将于下月即将开幕的日内瓦车展上正式亮相，并有望在今年年内登陆海外市场开售。　　动力方面，新车将搭载1.2l自然吸气发动机以及1.0t涡</t>
  </si>
  <si>
    <t>　　最近，相信大多数都和我一样，在家宅着。平时“就想在家躺着”的愿望得以实现之后，才发现生活无处不围城。我开始怀念这个城市的拥挤与繁华。“7年抗战”之后还没有摇上号的我，更是羡慕那些有车的人。平时觉得养车贵、停车难，没车也就算了，而如今却觉得有台车格外珍贵。对于我这种人，买车最注重的首先是性价比，还</t>
  </si>
  <si>
    <t>2020/02/18 09:18:00</t>
  </si>
  <si>
    <t>　　据外媒报道，2月14日，大众汽车表示因柴油车尾气问题向德国客户赔偿8.3亿欧元，约合人民币62.8亿元。此前，由于尾气排放导致的环境污染问题，德国消费者协会代表诸多车主提起诉讼，希望大众汽车能够为此承担责任。　　去年9月，逾40万名德国车主签署一项关于尾气排放测试作弊的集体诉讼，由德国消费者协会</t>
  </si>
  <si>
    <t>2020/02/18 09:14:00</t>
  </si>
  <si>
    <t>　据外媒报道，2月14日，大众汽车表示因柴油车尾气问题向德国客户赔偿8.3亿欧元，约合人民币62.8亿元。此前，由于尾气排放导致的环境污染问题，德国消费者协会代表诸多车主提起诉讼，希望大众汽车能够为此承担责任。　　去年9月，逾40万名德国车主签署一项关于尾气排放测试作弊的集体诉讼，由德国消费者协会向</t>
  </si>
  <si>
    <t>　　我们从外媒获悉，特斯拉为美国地区的model 3长续航后驱版以及长续航后驱升级版车主提供了付费升级后排座椅加热的服务，该服务的价格为300美元（约合2096元人民币）。　　据了解，如果符合条件的车主想要开启这项服务，只需在特斯拉官方app中点击几下便可实现。具体的操作是在主页面中选择服务按钮，然</t>
  </si>
  <si>
    <t>2020/02/18 09:13:00</t>
  </si>
  <si>
    <t>　　从上期的新车汇总预告中相信大家能够看到，在2月底车市即将迎来一批新车上市，其中包含了全新车型、重磅改款以及换代车型，想想是不是还有一些小激动呢？不过别急，距离大批量新车上市还有段时间，不妨先让我们针对上一周诸多小改款车型进行汇总。　　1、宝马i8极夜流星限量版　　售价：202.80万元　　上市时</t>
  </si>
  <si>
    <t>　　如今，自主品牌在中低端SUV市场处于强势地位已经是公认的事实，合资品牌要想重新夺回属于自己的市场份额，降维打击成为必要的手段之一。为此，不少合资品牌都推出全新的品牌或是产品，通过主动降低身价来赢得消费者的认可，最典型的莫过于一汽-大众旗下的捷达品牌。凭借高品质与高性价比的优势，捷达品牌自2019</t>
  </si>
  <si>
    <t>我们从外媒获悉，特斯拉为美国地区的model 3长续航后驱版以及长续航后驱升级版车主提供了付费升级后排座椅加热的服务，该服务的价格为300美元（约合2096元人民币）。    据了解，如果符合条件的车主想要开启这项服务，只需在特斯拉官方app中点击几下便可实现。具体的操作是在主页面中选择服务按钮，然</t>
  </si>
  <si>
    <t xml:space="preserve">从上期的新车汇总预告中相信大家能够看到，在2月底车市即将迎来一批新车上市，其中包含了全新车型、重磅改款以及换代车型，想想是不是还有一些小激动呢？不过别急，距离大批量新车上市还有段时间，不妨先让我们针对上一周诸多小改款车型进行汇总。    1、宝马i8极夜流星限量版    售价：202.80万元   </t>
  </si>
  <si>
    <t>如今，自主品牌在中低端SUV市场处于强势地位已经是公认的事实，合资品牌要想重新夺回属于自己的市场份额，降维打击成为必要的手段之一。为此，不少合资品牌都推出全新的品牌或是产品，通过主动降低身价来赢得消费者的认可，最典型的莫过于一汽-大众旗下的捷达品牌。凭借高品质与高性价比的优势，捷达品牌自2019年诞</t>
  </si>
  <si>
    <t>　　近日，微软公司创始人比尔・盖茨在一次谈话节目中表示，目前纯电动汽车还拥有很高的溢价值，未来十年内溢价也将逐步减低为0。在节目他还表示，自己已经成为了保时捷taycan的车主。　　在节目中比尔・盖茨谈到，未来十年纯电动汽车的续航里程可能仍然不够长，但产品的溢价值会逐渐降低为0，而在这个过程中他认为</t>
  </si>
  <si>
    <t>2020/02/18 09:11:00</t>
  </si>
  <si>
    <t>近日，微软公司创始人比尔·盖茨在一次谈话节目中表示，目前纯电动汽车还拥有很高的溢价值，未来十年内溢价也将逐步减低为0。在节目他还表示，自己已经成为了保时捷taycan的车主。    在节目中比尔·盖茨谈到，未来十年纯电动汽车的续航里程可能仍然不够长，但产品的溢价值会逐渐降低为0，而在这个过程中他认为</t>
  </si>
  <si>
    <t>　　据外媒报道，俄罗斯科技公司yandex宣称，其自动驾驶汽车的行驶里程已达到200万英里（321.8万公里），是2019年10月所发布数据的两倍，是2019年8月所发布数据的四倍。yandex还首次公布了自动驾驶项目投资额度，目前公司已投入3500万美元（约合人民币2.44亿元）研发资金。此前，现</t>
  </si>
  <si>
    <t>2020/02/18 09:10:00</t>
  </si>
  <si>
    <t>据外媒报道，俄罗斯科技公司yandex宣称，其自动驾驶汽车的行驶里程已达到200万英里（321.8万公里），是2019年10月所发布数据的两倍，是2019年8月所发布数据的四倍。yandex还首次公布了自动驾驶项目投资额度，目前公司已投入3500万美元（约合人民币2.44亿元）研发资金。此前，现代汽</t>
  </si>
  <si>
    <t>　　2月17日，北京市发布了关于印发《2020年北京市交通综合治理行动计划》（简称《计划》）的通知。《计划》提出，2020年将作为“交通秩序专项整治年”，加大整治力度，坚持公交和绿色优先理念，加快构建安全、智能的现代化城市交通系统，实现中心城区绿色出行比例提高到75%，持续提升首都交通综合治理能力和</t>
  </si>
  <si>
    <t>2020/02/18 09:09:00</t>
  </si>
  <si>
    <t>2月17日，北京市发布了关于印发《2020年北京市交通综合治理行动计划》（简称《计划》）的通知。《计划》提出，2020年将作为“交通秩序专项整治年”，加大整治力度，坚持公交和绿色优先理念，加快构建安全、智能的现代化城市交通系统，实现中心城区绿色出行比例提高到75%，持续提升首都交通综合治理能力和治理</t>
  </si>
  <si>
    <t>　　近日，我们从宝能汽车官方获悉，东风日产前总经理，前日产执行董事兼日产全球电动车电池事业部本部长大谷俊明已于近日加盟宝能，任宝能汽车集团常务副总裁和深圳鸿鹏新能源科技有限公司（以下简称“鸿鹏新能源”）总裁，主持两家公司的日常经营管理工作。　　大谷俊明于1980年毕业于京都大学经济学系并在同年加入日</t>
  </si>
  <si>
    <t>2020/02/18 09:08:00</t>
  </si>
  <si>
    <t>近日，我们从宝能汽车官方获悉，东风日产前总经理，前日产执行董事兼日产全球电动车电池事业部本部长大谷俊明已于近日加盟宝能，任宝能汽车集团常务副总裁和深圳鸿鹏新能源科技有限公司（以下简称“鸿鹏新能源”）总裁，主持两家公司的日常经营管理工作。    大谷俊明于1980年毕业于京都大学经济学系并在同年加入日</t>
  </si>
  <si>
    <t>近日，受新冠肺炎疫情影响，线下4s店均延期开业。为缓解经销商压力，讴歌推出多项减负政策，并向用户推出无忧购车措施，消费者可使用360°vr在线看车。    在减轻经销商压力方面，广汽讴歌将在一定程度上减免店面的任务量考核、延长核销材料提交期限。同时，还将延长库存融资到期还款日，新增专项流动资金贷款审</t>
  </si>
  <si>
    <t>2020/02/18 09:07:00</t>
  </si>
  <si>
    <t>　　近日，受新冠肺炎疫情影响，线下4s店均延期开业。为缓解经销商压力，讴歌推出多项减负政策，并向用户推出无忧购车措施，消费者可使用360°vr在线看车。　　在减轻经销商压力方面，广汽讴歌将在一定程度上减免店面的任务量考核、延长核销材料提交期限。同时，还将延长库存融资到期还款日，新增专项流动资金贷款审</t>
  </si>
  <si>
    <t>2020年1月23日，也就是除夕的前一天，特斯拉为国内的车主带来了一份独特的新年礼物，那就是代号为2020.4的v10版本车机系统。这个系统有点特别，因为特斯拉往往会率先在美国发布最新的车机系统，随后再推送至全球。但这一次，特斯拉却选择了在国内推出最新版本系统，而且推送的内容也非常本土化，都是我们国</t>
  </si>
  <si>
    <t>2020/02/18 09:05:00</t>
  </si>
  <si>
    <t>　　2020年1月23日，也就是除夕的前一天，特斯拉为国内的车主带来了一份独特的新年礼物，那就是代号为2020.4的v10版本车机系统。这个系统有点特别，因为特斯拉往往会率先在美国发布最新的车机系统，随后再推送至全球。但这一次，特斯拉却选择了在国内推出最新版本系统，而且推送的内容也非常本土化，都是我</t>
  </si>
  <si>
    <t>由新型冠状病毒感染的肺炎疫情尚在紧急防治中，在疫情期间，长安欧尚为广大客户、抗“疫”英雄及经销商等推出了“安全复工五大举措”，涵盖搭载n95级空气防护系统、医护人员订车享免费基础保养等福利政策。具体来看：    长安欧尚汽车将搭载iaps智能活性滤净系统。长安欧尚汽车斥资1000万，加速研发量产达到</t>
  </si>
  <si>
    <t>2020/02/18 09:03:00</t>
  </si>
  <si>
    <t>　　由新型冠状病毒感染的肺炎疫情尚在紧急防治中，在疫情期间，长安欧尚为广大客户、抗“疫”英雄及经销商等推出了“安全复工五大举措”，涵盖搭载n95级空气防护系统、医护人员订车享免费基础保养等福利政策。具体来看：　　长安欧尚汽车将搭载iaps智能活性滤净系统。长安欧尚汽车斥资1000万，加速研发量产达到</t>
  </si>
  <si>
    <t>　　提到马自达，脑海中就一定会先跳出马自达3和马自达6，作为品牌旗下的销量担当，马自达3一直以来都是年轻人最青睐的车型之一，每一代车型都承载着不同年轻消费者的青春。2019年下半年，全新一代马自达3昂克赛拉上市，新的造型、新的内装、新的动力，一切都在告诉着你，只有你老了，而它没有。这一次解读低配车，</t>
  </si>
  <si>
    <t>黄正桥</t>
  </si>
  <si>
    <t>2020/02/18 09:01:00</t>
  </si>
  <si>
    <t>　　两个月前，长安福特推出了一款锐际，这也标志着现款翼虎即将交出接力棒，锐际能否撑起福特suv的大旗，来和德系车一较高低呢？今天我们把锐际和探岳放到了一起，来看看两者在底盘方面的差异。　　 ―― 对比车型简介　　escape是这款长安福特锐际的英文名，也是美版翼虎一直以来的英文名（此前国内的翼虎一直</t>
  </si>
  <si>
    <t>2020/02/18 08:58:00</t>
  </si>
  <si>
    <t>两个月前，长安福特推出了一款锐际，这也标志着现款翼虎即将交出接力棒，锐际能否撑起福特suv的大旗，来和德系车一较高低呢？今天我们把锐际和探岳放到了一起，来看看两者在底盘方面的差异。     —— 对比车型简介    escape是这款长安福特锐际的英文名，也是美版翼虎一直以来的英文名（此前国内的翼虎</t>
  </si>
  <si>
    <t>2020/02/18 08:51:52</t>
  </si>
  <si>
    <t>投诉编号：【447587】
投诉时间： 2020-02-18 08:28
投诉品牌： 一汽-大众
投诉车系： 高尔夫
投诉车型： 2015款 1.4TSI 自动 豪华型</t>
  </si>
  <si>
    <t>日前，车质网从官方获悉，柯尼赛克将在2020年3月3日开幕的日内瓦车展上推出一款全新车型，并发布了新车部分预告图。    此次的预告图仅展示了车尾的一小部分，可以看到新车将配备大尺寸的分段式尾翼，整体造型与此前发布的Jesko比较相似。另外，众所周知柯尼赛克是顶级的超跑制造商，所以轻量化是必不可少的</t>
  </si>
  <si>
    <t>2020/02/18 08:51:00</t>
  </si>
  <si>
    <t>　　日前，车质网从官方获悉，柯尼赛克将在2020年3月3日开幕的日内瓦车展上推出一款全新车型，并发布了新车部分预告图。　　此次的预告图仅展示了车尾的一小部分，可以看到新车将配备大尺寸的分段式尾翼，整体造型与此前发布的Jesko比较相似。另外，众所周知柯尼赛克是顶级的超跑制造商，所以轻量化是必不可少的</t>
  </si>
  <si>
    <t>日前，有海外媒体报道，华晨宝马正计划于2021年正式推出全新3系的插电混动版车型。据悉，新车将基于长轴版车型（G28）打造，取名330Le，借此进一步丰富宝马在中国市场的新能源产品线。未来上市后，330Le将会同长轴版3系一样，成为又一款中国市场独享的车型。    外观方面，由于330Le是基于普通</t>
  </si>
  <si>
    <t>2020/02/18 08:48:00</t>
  </si>
  <si>
    <t>前段时间，全新起亚嘉华的外观谍照被多家媒体转载报道，新车硬朗的造型令人印象深刻。近日，又有海外媒体拍摄到了一组全新起亚嘉华的内饰谍照，虽然内饰大部分都覆盖着伪装，但一些细节已经展现出来。    从谍照来看，全新起亚嘉华的方向盘采用与全新索兰托相同的三辐平底设计，相比现款造型运动感更强。新车仪表盘与中</t>
  </si>
  <si>
    <t>2020/02/18 08:47:00</t>
  </si>
  <si>
    <t>　　前段时间，全新起亚嘉华的外观谍照被多家媒体转载报道，新车硬朗的造型令人印象深刻。近日，又有海外媒体拍摄到了一组全新起亚嘉华的内饰谍照，虽然内饰大部分都覆盖着伪装，但一些细节已经展现出来。　　从谍照来看，全新起亚嘉华的方向盘采用与全新索兰托相同的三辐平底设计，相比现款造型运动感更强。新车仪表盘与中</t>
  </si>
  <si>
    <t>长安福特翼虎哪一款最值得购买？最近有朋友老问咖哥，自己20万左右的预算，想买一台SUV车型，有没有推荐的？咖哥觉得相比轿车，大家还是更喜欢开着SUV车型去远行，而合资车型的可靠性相对出色，所以在买车时，合资SUV或许是许多家用的首选，而20万左右的这个价格区间，正好处在合资紧凑型SUV竞争最激烈，也</t>
  </si>
  <si>
    <t>2020/02/18 08:41:00</t>
  </si>
  <si>
    <t>最近有朋友老问咖哥，自己20万左右的预算，想买一台SUV车型，有没有推荐的？咖哥觉得相比轿车，大家还是更喜欢开着SUV车型去远行，而合资车型的可靠性相对出色，所以在买车时，合资SUV或许是许多家用的首选，而20万左右的这个价格区间，正好处在合资紧凑型SUV竞争最激烈，也是市场相对成熟的一个区间，车型</t>
  </si>
  <si>
    <t>8AT表现如何？ 星越值不值得买不得不承认，近几年中国汽车品牌的发展速度可谓是比较迅猛的，尤其是在众多新技术和新设计理念的武装下，"国产车"或已经摆脱掉了粗制滥造的帽子，涌现出了越来越多的精品车型。而这一两年，众多中国品牌的轿跑SUV也涌现了出来，诸如"年轻"、"运动"这样的词汇也出现在越来越多的S</t>
  </si>
  <si>
    <t>2020/02/18 08:40:00</t>
  </si>
  <si>
    <t>不得不承认，近几年中国汽车品牌的发展速度可谓是比较迅猛的，尤其是在众多新技术和新设计理念的武装下，"国产车"或已经摆脱掉了粗制滥造的帽子，涌现出了越来越多的精品车型。而这一两年，众多中国品牌的轿跑SUV也涌现了出来，诸如"年轻"、"运动"这样的词汇也出现在越来越多的SUV车型上。而今天咖哥给大家介绍</t>
  </si>
  <si>
    <t>领克、WEY、星途等品牌作为中国汽车品牌旗下的高端品牌，它们的车型都有着很高的原创设计、不错的配置以及实用的空间表现，最关键的是在保证产品力的基础上价格还远远低于合资品牌同级别车型，可谓是性价比超高的选择。今天咖哥就给大家介绍一款长城汽车旗下高端品牌的SUV车型：WEY VV5，这款车在去年10月份</t>
  </si>
  <si>
    <t>2020/02/18 08:38:00</t>
  </si>
  <si>
    <t>2020款WEY VV5值不值得买领克、WEY、星途等品牌作为中国汽车品牌旗下的高端品牌，它们的车型都有着很高的原创设计、不错的配置以及实用的空间表现，最关键的是在保证产品力的基础上价格还远远低于合资品牌同级别车型，可谓是性价比超高的选择。今天咖哥就给大家介绍一款长城汽车旗下高端品牌的SUV车型：W</t>
  </si>
  <si>
    <t>放眼如今的汽车市场，不论是哪个级别，消费者可选择的车型可谓是琳琅满目，尤其是在十万级以下的市场里，随着中国汽车品牌的发力，相比前几年，这个市场内可选择的车型更是多到数不过来。而在这个级别中，除去中国自主品牌的车型外，不少合资车型也有一席之地，这不，就在最近， 北京现代2020款瑞纳正式上市，官方指导</t>
  </si>
  <si>
    <t>2020/02/18 08:37:00</t>
  </si>
  <si>
    <t>新款现代瑞纳 值不值得买？放眼如今的汽车市场，不论是哪个级别，消费者可选择的车型可谓是琳琅满目，尤其是在十万级以下的市场里，随着中国汽车品牌的发力，相比前几年，这个市场内可选择的车型更是多到数不过来。而在这个级别中，除去中国自主品牌的车型外，不少合资车型也有一席之地，这不，就在最近， 北京现代202</t>
  </si>
  <si>
    <t>日前，记者从国家工信部网站获取了一组大众探岳GTE插混版车型的申报图。新车将采用1.4T发动机+电机组成的混动系统，纯电模式下最大续航里程可达54km，预计补贴后售价为24万元起。    外观方面，新车与现款燃油版车型基本保持不变，仅在一些细节上进行了微调。格栅、前翼子板以及车尾处加入“GTE”标识</t>
  </si>
  <si>
    <t>2020/02/18 08:28:00</t>
  </si>
  <si>
    <t>日前，编辑从相关渠道获得了领克全新七座中大型SUV谍照，新车与沃尔沃XC90同平台打造而来，参考目前领克车辆命名方式，新车或将命名为领克07或08。在未来上市后，它将与大众途昂、别克昂科旗等车型展开直接竞争。    图为此前假想图    从谍照来看，新车整体车身较为庞大且修长，前脸依然采用了分层式格</t>
  </si>
  <si>
    <t>2020/02/18 08:16:00</t>
  </si>
  <si>
    <t>　　日前，雪佛兰官方发布消息称，旗下全新纯电动紧凑型轿车――畅巡将于2月20日正式上市。新车专为中国市场打造，外观设计脱胎于雪佛兰FNR-X概念车，有着很强的科技氛围。据悉，该车在NEDC综合工况下的续航里程为410km。　　外观方面，雪佛兰畅巡汲取了雪佛兰FNR-X概念车元素，采用了“肌肉立体流线</t>
  </si>
  <si>
    <t>2020/02/18 08:13:00</t>
  </si>
  <si>
    <t>日前，雪佛兰官方发布消息称，旗下全新纯电动紧凑型轿车——畅巡将于2月20日正式上市。新车专为中国市场打造，外观设计脱胎于雪佛兰FNR-X概念车，有着很强的科技氛围。据悉，该车在NEDC综合工况下的续航里程为410km。    外观方面，雪佛兰畅巡汲取了雪佛兰FNR-X概念车元素，采用了“肌肉立体流线</t>
  </si>
  <si>
    <t>投诉编号：【447586】投诉时间：2020-02-1807:54投诉品牌：上汽大众投诉车系：朗逸投诉车型：2018款1.5L自动风尚版经典国VI投诉内容上汽大众厂家多次回复说为本车更换了配件，但一次都没有更换。希望上汽大众厂家给出确切时间，地点及更换配件的型号。一个配件都没有更换，为什么说已经更换</t>
  </si>
  <si>
    <t>2020/02/18 07:54:00</t>
  </si>
  <si>
    <t>投诉编号：【447585】  投诉时间： 2020-02-18 07:40  投诉品牌： 奇瑞汽车  投诉车系： 艾瑞泽7e  投诉车型： 2016款 1.6L e 致享版        投诉内容  经历：自从买了艾瑞泽7e以来，运行还算平稳，但是高压故障令人胆寒，三次出现的现象高度一致，都是充满电</t>
  </si>
  <si>
    <t>2020/02/18 07:40:00</t>
  </si>
  <si>
    <t>长安35plus1.4T酷联版首保都没过！总是显示电子手刹夹紧力不足！</t>
  </si>
  <si>
    <t>2020/02/18 07:39:42</t>
  </si>
  <si>
    <t>防冻液多少公里或多久需要添加？</t>
  </si>
  <si>
    <t>2020/02/18 07:39:38</t>
  </si>
  <si>
    <t>启动机有电流声，但无法着车。</t>
  </si>
  <si>
    <t>2020/02/18 07:35:29</t>
  </si>
  <si>
    <t>您好，我想咨询一下:荣威i5比亚迪秦，以及艾瑞泽5，哪个更值得入手？</t>
  </si>
  <si>
    <t>2020/02/18 07:32:03</t>
  </si>
  <si>
    <t>想买一辆性价比较高的车，比亚迪秦燃油版和艾瑞泽5哪一个更好？</t>
  </si>
  <si>
    <t>2020/02/18 07:29:05</t>
  </si>
  <si>
    <t>原来汽车停放半个月都有电，现在停放三四天就没电了。</t>
  </si>
  <si>
    <t>2020/02/18 07:29:04</t>
  </si>
  <si>
    <t>双离合汽车正确的超车操作方法，降低一挡与踩踏加速踏板哪种方法好，有什么区别？</t>
  </si>
  <si>
    <t>2020/02/18 07:25:32</t>
  </si>
  <si>
    <t>您好，我想咨询一下:艾瑞泽5和比亚迪秦哪个更值得考虑，注重油耗和故障率方面。</t>
  </si>
  <si>
    <t>2020/02/18 07:21:52</t>
  </si>
  <si>
    <t>2020/02/18 07:14:46</t>
  </si>
  <si>
    <t>投诉编号：【447584】
投诉时间： 2020-02-18 02:31
投诉品牌： 众泰汽车
投诉车系： 众泰T600 Coupe
投诉车型： 2017款 1.5T 自动 尊享型</t>
  </si>
  <si>
    <t>作为国内领先的第三方汽车品质评价平台，车质网基于海量的汽车产品测试样本及科学的数据模型，推出“新车商品性评价”栏目。每月针对数款国内上市两年以内，行驶里程不超过5000公里的在售车型通过专业设备进行系统化的评测，以全面展示和分析国内汽车市场新车整体商品性水平现况，为消费者在选购车辆时提供客观真实的权</t>
  </si>
  <si>
    <t>2020/02/18 07:10:00</t>
  </si>
  <si>
    <t>　　作为国内领先的第三方汽车品质评价平台，车质网基于海量的汽车产品测试样本及科学的数据模型，推出“新车商品性评价”栏目。每月针对数款国内上市两年以内，行驶里程不超过5000公里的在售车型通过专业设备进行系统化的评测，以全面展示和分析国内汽车市场新车整体商品性水平现况，为消费者在选购车辆时提供客观真实</t>
  </si>
  <si>
    <t>2020/02/18 01:58:56</t>
  </si>
  <si>
    <t>投诉编号：【447582】
投诉时间： 2020-02-18 01:05
投诉品牌： 上汽大众
投诉车系： 朗逸
投诉车型： 2019款 280TSI DSG 舒适版 国VI</t>
  </si>
  <si>
    <t>两月新车，今天发现发动机部件生锈了，无语</t>
  </si>
  <si>
    <t>蜗牛12345</t>
  </si>
  <si>
    <t>2020/02/18 01:40:00</t>
  </si>
  <si>
    <t>两月新车，发动机部件生锈两月新车，今天发现发动机部件生锈了，无语</t>
  </si>
  <si>
    <t>2020/02/18 01:20:24</t>
  </si>
  <si>
    <t>投诉编号：【447580】
投诉时间： 2020-02-18 00:15
投诉品牌： 上汽集团
投诉车系： 荣威RX5 MAX
投诉车型： 2019款 300TGI 自动 智能座舱豪华版</t>
  </si>
  <si>
    <t>2020/02/17 23:43:31</t>
  </si>
  <si>
    <t>投诉编号：【447579】
投诉时间： 2020-02-17 23:37
投诉品牌： 东风日产
投诉车系： 逍客
投诉车型： 2016款 2.0L CVT 豪华版</t>
  </si>
  <si>
    <t>投诉编号：【447577】  投诉时间： 2020-02-17 22:37  投诉品牌： 奇瑞汽车  投诉车系： 艾瑞泽GX  投诉车型： 2018款 1.5T 手动 型色版        投诉内容  下场雪两天没动车开车起步全车电子辅助系统失效，手刹解除不了，还有该车之前出现加速无力偶发性至今没解</t>
  </si>
  <si>
    <t>2020/02/17 22:37:00</t>
  </si>
  <si>
    <t>2020/02/17 22:28:18</t>
  </si>
  <si>
    <t>投诉编号：【447575】
投诉时间： 2020-02-17 22:26
投诉品牌： 奇瑞汽车
投诉车系： 艾瑞泽7
投诉车型： 2016款 1.6L CVT 致尚版</t>
  </si>
  <si>
    <t>2020/02/17 21:57:29</t>
  </si>
  <si>
    <t>投诉编号：【447572】
投诉时间： 2020-02-17 21:49
投诉品牌： 北京奔驰
投诉车系： 奔驰E级
投诉车型： 2020款 E 300 L 时尚型</t>
  </si>
  <si>
    <t>2020/02/17 21:28:39</t>
  </si>
  <si>
    <t>投诉编号：【447570】
投诉时间： 2020-02-17 21:16
投诉品牌： 上汽斯柯达
投诉车系： 明锐
投诉车型： 2015款 1.6L 手动 逸俊版</t>
  </si>
  <si>
    <t>投诉编号：【447568】  投诉时间： 2020-02-17 21:09  投诉品牌： 众泰汽车  投诉车系： 众泰SR7  投诉车型： 2016款 1.5T 手动 魔方之心版 国IV        投诉内容  从买了不长时间就发现一过减速带啥的，车身底盘就异响，期间找师傅查看，说是减震的毛病，师</t>
  </si>
  <si>
    <t>2020/02/17 21:09:00</t>
  </si>
  <si>
    <t>投诉编号：【447565】  投诉时间： 2020-02-17 20:51  投诉品牌： 广汽丰田  投诉车系： 雷凌双擎E+  投诉车型： 2019款 1.8PH GS CVT 精英天窗版        投诉内容  我在4s 店买了一台丰田雷凌，一个多月显示屏上的灯都亮了，（都是黄灯）短短的11天</t>
  </si>
  <si>
    <t>2020/02/17 20:51:00</t>
  </si>
  <si>
    <t>2020/02/17 20:50:43</t>
  </si>
  <si>
    <t>投诉编号：【447566】
投诉时间： 2020-02-17 20:51
投诉品牌： 上汽集团
投诉车系： 名爵6
投诉车型： 2017款 20T 自动 Trophy尊享互联网版 国V</t>
  </si>
  <si>
    <t>投诉编号：【447562】  投诉时间： 2020-02-17 20:41  投诉品牌： 上汽斯柯达  投诉车系： 柯珞克  投诉车型： 2019款 TSI280 智行豪华版 国Ⅵ        投诉内容  2019年12月29日，我在上海购买了一辆2019款TSI280智行豪华版国VI汽车，当时交</t>
  </si>
  <si>
    <t>2020/02/17 20:41:00</t>
  </si>
  <si>
    <t>2020/02/17 20:33:21</t>
  </si>
  <si>
    <t>投诉编号：【447558】
投诉时间： 2020-02-17 19:52
投诉品牌： 上汽通用别克
投诉车系： 英朗
投诉车型： 2013款 1.6 手动 舒适型 GT</t>
  </si>
  <si>
    <t>投诉编号：【447561】  投诉时间： 2020-02-17 20:05  投诉品牌： 一汽-大众  投诉车系： 迈腾  投诉车型： 2015款 1.8TSI 领先型        投诉内容  一汽大众迈腾变速箱故障行驶过程中顿挫，行驶中有顿挫感，随着速度变化在2、4、6挡间交替。      投诉</t>
  </si>
  <si>
    <t>2020/02/17 20:05:00</t>
  </si>
  <si>
    <t>2020/02/17 19:46:47</t>
  </si>
  <si>
    <t>投诉编号：【447555】
投诉时间： 2020-02-17 18:37
投诉品牌： 东风日产
投诉车系： 奇骏
投诉车型： 2017款 2.0L CVT 舒适版 5座 2WD</t>
  </si>
  <si>
    <t>2020/02/17 19:46:37</t>
  </si>
  <si>
    <t>2020/02/17 19:43:03</t>
  </si>
  <si>
    <t>投诉编号：【447553】  投诉时间： 2020-02-17 18:16  投诉品牌： 一汽-大众  投诉车系： 高尔夫  投诉车型： 2011款 1.6 自动 舒适型        投诉内容  车辆购于2011年5月，至今8年多，变速箱离合器已出现5次以上故障，严重影响安全。2013年315曝光</t>
  </si>
  <si>
    <t>2020/02/17 18:16:00</t>
  </si>
  <si>
    <t>投诉编号：【447551】  投诉时间： 2020-02-17 18:06  投诉品牌： 上汽斯柯达  投诉车系： 速派  投诉车型： 2013款 1.4T DSG 绅仕版        投诉内容  浙江省宁波市4s店售后服务太差劲了。质保3年内做了无数次机油标定测试，却没有一张检测报告单，均以口头</t>
  </si>
  <si>
    <t>2020/02/17 18:06:00</t>
  </si>
  <si>
    <t>投诉编号：【447549】  投诉时间： 2020-02-17 17:42  投诉品牌： 一汽丰田  投诉车系： RAV4荣放  投诉车型： 2016款 2.0L CVT 两驱 风尚版 国V        投诉内容  一汽丰田RAV4荣放轮胎起皮，商家居然说说是正常的！无语，开了那么多年车，就没见过</t>
  </si>
  <si>
    <t>2020/02/17 17:42:00</t>
  </si>
  <si>
    <t xml:space="preserve">投诉编号：【447547】  投诉时间： 2020-02-17 17:32  投诉品牌： 广汽丰田  投诉车系： 凯美瑞  投诉车型： 2008款 240G 2.4 自动        投诉内容  仪表台软化严重、轻微磕碰就会掉落，且光泽很亮影响视线。注：选择了最近的经销商，不是购车的经销商。   </t>
  </si>
  <si>
    <t>2020/02/17 17:32:00</t>
  </si>
  <si>
    <t>cs55行驶至较差路面或非铺装路段（土路）时左前悬挂系统咯噔咯噔地异响，响声大一点像是什么东西碰在一起似的。</t>
  </si>
  <si>
    <t>2020/02/17 17:21:50</t>
  </si>
  <si>
    <t>投诉编号：【447542】  投诉时间： 2020-02-17 17:05  投诉品牌： 东风悦达起亚  投诉车系： KX CROSS  投诉车型： 2018款 1.6L 自动 灵动天窗版        投诉内容  买的是新车价格，行驶不到3000公里，2个月不到。发现主驾驶车门B柱焊点开裂，变形，</t>
  </si>
  <si>
    <t>2020/02/17 17:05:00</t>
  </si>
  <si>
    <t>投诉编号：【447541】投诉时间：2020-02-1717:05投诉品牌：奇瑞汽车投诉车系：瑞虎8投诉车型：2018款1.5TCI手动豪华型5座投诉内容2019年12月20日车辆水箱漏防冻液严重，当时去4S店自费更换新的水箱。由于水箱外部漏水，所以厂家不承认质量问题，说是行驶中石子从中网打到了水箱</t>
  </si>
  <si>
    <t>投诉编号：【447540】投诉时间：2020-02-1717:01投诉品牌：一汽-大众投诉车系：探岳投诉车型：2019款330TSI两驱豪华型国Ⅵ投诉内容探岳全系标配上坡辅助，实际没有这个功能。应该属于减配现象。投诉回复车质网已将您的投诉转给生产企业以及国家市场监督管理总局缺陷产品管理中心，我们将会</t>
  </si>
  <si>
    <t>2020/02/17 17:01:00</t>
  </si>
  <si>
    <t>投诉编号：【447539】  投诉时间： 2020-02-17 16:51  投诉品牌： 长安汽车  投诉车系： 长安CS15  投诉车型： 2016款 1.5L 自动 时尚版        投诉内容  2020年1月18日发现漏油，平时都很爱护，而且车子里程也才二万多公里，发动机就漏油。这质量也太</t>
  </si>
  <si>
    <t>2020/02/17 16:51:00</t>
  </si>
  <si>
    <t>投诉编号：【447537】投诉时间：2020-02-1716:29投诉品牌：一汽-大众投诉车系：CC投诉车型：2016款2.0TSI豪华型投诉内容车辆事故后放到4S店维修，4S店维修人员把后尾板给打孔切割掉，没有做任何焊补，就直接打胶，这是什么4S店，有这样修车的吗？要求厂家跟进，赔偿车损。投诉回复</t>
  </si>
  <si>
    <t>2020/02/17 16:29:00</t>
  </si>
  <si>
    <t>投诉编号：【447535】投诉时间：2020-02-1716:09投诉品牌：猎豹汽车投诉车系：猎豹CS10投诉车型：2016款2.0T自动豪华型投诉内容猎豹CS10挂挡后无任何动力输出影响使用，车时常显示变速箱故障在去年12月份彻底不好使，与售后客服联系多次没有反应没人出来和我沟通，在此之前总是显示</t>
  </si>
  <si>
    <t>2020/02/17 16:09:00</t>
  </si>
  <si>
    <t>新提车时，会报警提醒后座人员安全带，但是1个月左右就坏了。故障现象：后座坐人不系安全带，中控这里没有灯光显示，无报警音，此时系安全带再解开安全带，中控这里灯光闪烁显示报警，警报音响起。向4S咨询过，没有发现异常。因为是安全方面的问题，想询问下：该故障会不会影响其它如安全性装置如：气囊、ESP、ABS</t>
  </si>
  <si>
    <t>2020/02/17 15:36:38</t>
  </si>
  <si>
    <t>投诉编号：【447532】投诉时间：2020-02-1715:33投诉品牌：上汽斯柯达投诉车系：柯迪亚克投诉车型：2019款TSI330两驱豪华优享版5座国VI投诉内容转速在1100-1300左右方向盘抖动，噪音振的耳朵疼。4S店无法解决问题。挡把上按钮按下去无法复位，且挂不上p挡，无法锁车。右边两</t>
  </si>
  <si>
    <t>2020/02/17 15:33:00</t>
  </si>
  <si>
    <t>　　2月17日，据北京国际汽车展览会官微2月17日消息，为做好疫情防控工作，切实保障参展商和观众的身体健康和生命安全，原定于2020年4月21至4月30日在北京中国国际展览中心新、老展馆举办的2020北京车展延期举行，延期调整后的具体时间将另行通知。　　以下为通知原文：　　尊敬的各参展商、相关单位及</t>
  </si>
  <si>
    <t>2020/02/17 15:27:00</t>
  </si>
  <si>
    <t>2月17日，据北京国际汽车展览会官微2月17日消息，为做好疫情防控工作，切实保障参展商和观众的身体健康和生命安全，原定于2020年4月21至4月30日在北京中国国际展览中心新、老展馆举办的2020北京车展延期举行，延期调整后的具体时间将另行通知。    以下为通知原文：    尊敬的各参展商、相关单</t>
  </si>
  <si>
    <t>投诉编号：【447531】  投诉时间： 2020-02-17 15:22  投诉品牌： 东风本田  投诉车系： 本田CR-V  投诉车型： 2019款 240TURBO CVT 两驱 舒适版 国VI        投诉内容  发动机里的机油乳化严重，存在质量问题要求厂家尽快处理。      投诉回</t>
  </si>
  <si>
    <t>2020/02/17 15:22:00</t>
  </si>
  <si>
    <t>投诉编号：【447530】投诉时间：2020-02-1715:09投诉品牌：吉利汽车投诉车系：缤瑞投诉车型：2018款14TCVT缤致版投诉内容问题一直不给解决，说好最后一次维修，却不给换车。这是什么垃圾吉利车。投诉回复车质网已将您的投诉转给生产企业以及国家市场监督管理总局缺陷产品管理中心，我们将会</t>
  </si>
  <si>
    <t>2020/02/17 15:09:00</t>
  </si>
  <si>
    <t>我爸上下班使用，不定期旅游，偶尔跑跑高速，看这软件上不可靠的评价多，抖音拆车上面也是，想问问是否值得购买，如果不行的话，傲跑是否值得购买，我家是盐城的，所以优先考虑起亚。</t>
  </si>
  <si>
    <t>2020/02/17 15:01:30</t>
  </si>
  <si>
    <t>我的2020款捷途X70手尊版，内置行车记录仪录好的视频播放没声音，请问这个能设置成有声录像吗？</t>
  </si>
  <si>
    <t>2020/02/17 14:57:51</t>
  </si>
  <si>
    <t>投诉编号：【447524】  投诉时间： 2020-02-17 14:41  投诉品牌： 东风本田  投诉车系： 本田CR-V  投诉车型： 2017款 240TURBO 自动 两驱 舒适版        投诉内容  自购车起到首保（5000Km)就发现机油有明显的增多，第二次10000Km保养的时</t>
  </si>
  <si>
    <t>2020/02/17 14:41:00</t>
  </si>
  <si>
    <t>投诉编号：【447522】  投诉时间： 2020-02-17 14:39  投诉品牌： 长安汽车  投诉车系： 长安CS55  投诉车型： 2018款 1.5T 自动 炫色型 国V        投诉内容  长安cs55行驶非铺装路面时前悬挂异响，非铺装路面前悬挂两边。有咯噔咯噔的响声！这个声音一</t>
  </si>
  <si>
    <t>2020/02/17 14:39:00</t>
  </si>
  <si>
    <t>投诉编号：【447520】  投诉时间： 2020-02-17 14:35  投诉品牌： 长城汽车  投诉车系： 哈弗M6  投诉车型： 2019款 1.5T 手动 两驱 精英型 国VI        投诉内容  图一和图二的保险盒支撑位置有安装孔，但是又新开了一个孔，有痕迹。但是可能位置还是不够，</t>
  </si>
  <si>
    <t>2020/02/17 14:35:00</t>
  </si>
  <si>
    <t>本人2017年3月份买的车，为什么到2020年了，车内还是有股刺鼻的异味。</t>
  </si>
  <si>
    <t>2020/02/17 14:32:57</t>
  </si>
  <si>
    <t>您好，网上很多都说长安逸动很好，但朋友说都是水军。我想咨询一下长安逸动和吉利帝豪的投诉情况。</t>
  </si>
  <si>
    <t>2020/02/17 14:29:09</t>
  </si>
  <si>
    <t>投诉编号：【447518】  投诉时间： 2020-02-17 14:17  投诉品牌： 郑州日产  投诉车系： 途达  投诉车型： 2018款 2.5L 自动 四驱 豪华版        投诉内容  1月16日提车，1月26日至1月30日车辆未启动，30日启动发现车辆电瓶没电，后期陆续出现4次电瓶</t>
  </si>
  <si>
    <t>2020/02/17 14:17:00</t>
  </si>
  <si>
    <t>朗逸13改款手动，里程45000，昨晚行驶10公里左右，中控异响，像是摩托车的排气筒的声音，离合动作，声音会随之变化，但不会跟着车子提速而增大，熄火后无，打开发动机舱却听不见，只有在车内能听见，请问有可能是哪里的原因？</t>
  </si>
  <si>
    <t>2020/02/17 14:12:38</t>
  </si>
  <si>
    <t>很多消费者在买车的时候都会将预算设置在20万左右，这也是一个非常常见的价格区间，在这个价位左右有着非常多的产品供大家选择，今天我们就来看一下在20万左右的价格区间，有哪些轿车值得选择。雅阁雅阁被国内消费者熟知不是一天两天了，但是长久以来，雅阁一直是一台非常受认可的中级车。和迈腾以及帕萨特等德系车不同</t>
  </si>
  <si>
    <t>2020/02/17 13:50:00</t>
  </si>
  <si>
    <t>电池进步到底有多难？还有哪些突破空间？很多消费者在买车的时候都会将预算设置在20万左右，这也是一个非常常见的价格区间，在这个价位左右有着非常多的产品供大家选择，今天我们就来看一下在20万左右的价格区间，有哪些轿车值得选择。雅阁雅阁被国内消费者熟知不是一天两天了，但是长久以来，雅阁一直是一台非常受认可</t>
  </si>
  <si>
    <t>买完新车后，车主需要定期给车做保养，但很多车主由于缺乏车辆保养知识，经常被一些不良商家“套路”了，花了很多冤枉钱。今天就来聊聊关于车辆保养一些不必要的项目。一、频繁更换“三滤”“三滤”指的是机油滤清器、空气滤清器、燃油滤清器。通常情况下，车辆的使用手册上都会标注汽车的保养时间以及保养所需更换的材料。</t>
  </si>
  <si>
    <t>2020/02/17 13:48:00</t>
  </si>
  <si>
    <t>写在最后，我们不排斥用汽油添加剂，以如今的国六油品，清洁度和抗爆性已经顶尖，发动机电控技术也炉火纯青，对各种环境下燃烧控制非常精确，本身就有很好清洁、抗爆震、防积碳能力，燃油宝现在就像保健品，加到油箱里面也没什么坏处，还能多点燃料，但是想要达到期望的效果，恐怕就想多了，不如换种方式，加更高标号的汽油</t>
  </si>
  <si>
    <t>车辆保养小套路 早知道早预防买完新车后，车主需要定期给车做保养，但很多车主由于缺乏车辆保养知识，经常被一些不良商家“套路”了，花了很多冤枉钱。今天就来聊聊关于车辆保养一些不必要的项目。一、频繁更换“三滤”“三滤”指的是机油滤清器、空气滤清器、燃油滤清器。通常情况下，车辆的使用手册上都会标注汽车的保养</t>
  </si>
  <si>
    <t>加油要不要佐料 看看燃油宝红黑史吧写在最后，我们不排斥用汽油添加剂，以如今的国六油品，清洁度和抗爆性已经顶尖，发动机电控技术也炉火纯青，对各种环境下燃烧控制非常精确，本身就有很好清洁、抗爆震、防积碳能力，燃油宝现在就像保健品，加到油箱里面也没什么坏处，还能多点燃料，但是想要达到期望的效果，恐怕就想多</t>
  </si>
  <si>
    <t>开车其实不止是一门技能，它内在蕴含着许许多多的学问。问你会不会开车，你说会。凭什么？因为你能从A地将车开往B地，因为在驾校学过，因为你的驾驶技能经过国家认证，有国家颁发的驾驶证？以上就是许许多多人理解的会开车，殊不知将车开动简单，但将车开好却不是那么容易的，按国内的驾校考核制度来说，一句话足以概括：</t>
  </si>
  <si>
    <t>2020/02/17 13:46:00</t>
  </si>
  <si>
    <t>“9点1刻”教你如何正确操纵方向盘开车其实不止是一门技能，它内在蕴含着许许多多的学问。问你会不会开车，你说会。凭什么？因为你能从A地将车开往B地，因为在驾校学过，因为你的驾驶技能经过国家认证，有国家颁发的驾驶证？以上就是许许多多人理解的会开车，殊不知将车开动简单，但将车开好却不是那么容易的，按国内的</t>
  </si>
  <si>
    <t>汽车往智能化发展，已然成为无可争议的大趋势。由于目前还处于起步探索阶段，很多汽车厂家都在尝试一些创新，于是乎，便诞生了一些千奇百怪的功能，有的让人惊呼神奇，有的让人笑骂奇葩，有的则是见怪不怪（早在智能手机上就已经习以为常）。接下来，我便给大家介绍一些新鲜有趣的功能，当下它们也许噱头成分大于实用性，甚</t>
  </si>
  <si>
    <t>2020/02/17 13:45:00</t>
  </si>
  <si>
    <t>笑出鹅叫 这些汽车创新功能 是神奇还是脑残？汽车往智能化发展，已然成为无可争议的大趋势。由于目前还处于起步探索阶段，很多汽车厂家都在尝试一些创新，于是乎，便诞生了一些千奇百怪的功能，有的让人惊呼神奇，有的让人笑骂奇葩，有的则是见怪不怪（早在智能手机上就已经习以为常）。接下来，我便给大家介绍一些新鲜有</t>
  </si>
  <si>
    <t>我车是2018年7月的，现在才跑9千多，出现好几次这问题了，维修了一次，可以换吗？要找谁才能解决这问题？</t>
  </si>
  <si>
    <t>2020/02/17 13:44:06</t>
  </si>
  <si>
    <t>对于汽车底盘来说，如何来调校出高性能底盘？如何评价性能好坏？在讲底盘的好坏之前我们首先从什么是底盘说起。一、什么是底盘？根据《汽车构造》上的定义，一辆汽车可以分为四个组成部分：发动机、车身、底盘、电气设备。底盘有四大系统：行驶系、转向系、传动系和制动系。作用是支承、安装汽车发动机及其各部件、总成，并</t>
  </si>
  <si>
    <t>简单气质</t>
  </si>
  <si>
    <t>2020/02/17 13:44:00</t>
  </si>
  <si>
    <t>新能源汽车由于近几年才逐渐别人接受，即使2020年还是有许多消朋友问我关于一些“电池是不是一两年就需要换？”，“你这款纯电动汽车是不是只能跑一百多公里”等啼笑皆非的问题，因此，对于即将购买新能源汽车的消费者，特别是购买纯电动汽车的消费者而言，找准自己的购车需求，选择合适的购买车辆是非常有必要的。目前</t>
  </si>
  <si>
    <t>精准购车 聊纯电动汽车购买需求分析新能源汽车由于近几年才逐渐别人接受，即使2020年还是有许多消朋友问我关于一些“电池是不是一两年就需要换？”，“你这款纯电动汽车是不是只能跑一百多公里”等啼笑皆非的问题，因此，对于即将购买新能源汽车的消费者，特别是购买纯电动汽车的消费者而言，找准自己的购车需求，选择</t>
  </si>
  <si>
    <t>延伸阅读：底盘调校 究竟调的是什么？对于汽车底盘来说，如何来调校出高性能底盘？如何评价性能好坏？在讲底盘的好坏之前我们首先从什么是底盘说起。一、什么是底盘？根据《汽车构造》上的定义，一辆汽车可以分为四个组成部分：发动机、车身、底盘、电气设备。底盘有四大系统：行驶系、转向系、传动系和制动系。作用是支承</t>
  </si>
  <si>
    <t>　　为贯彻《中华人民共和国环境保护法》，防治车内空气污染，改善车内环境质量，制定本标准。本标准规定了测量机动车乘员舱内挥发性有机物和醛酮类物质的采样点设置、采样环境条件技术要求、采样方法和设备、相应的测量方法和设备、数据处理、质量保证等内容。本标准适用于车辆静止状态下，车内挥发性有机物和醛酮类物质的</t>
  </si>
  <si>
    <t>2020/02/17 13:31:00</t>
  </si>
  <si>
    <t>投诉编号：【447513】  投诉时间： 2020-02-17 13:27  投诉品牌： 广汽丰田  投诉车系： 凯美瑞  投诉车型： 2008款 240G 2.4 自动        投诉内容  广汽丰田凯美瑞仪表台皮革出油粘手，仪表台皮革出油，发亮，太阳下还会反光，影响驾驶，投诉无门，不知道怎么</t>
  </si>
  <si>
    <t>2020/02/17 13:27:00</t>
  </si>
  <si>
    <t>　　日前，长安欧尚官方公布了2020年1月销量数据，品牌总销量19243台，同比增长48.%；长安欧尚x7销量13007台，环比增长17.4%，连续2月销量破万。1月份的车市受到疫情、春节假期等多种因素影响，整体销量同比下滑18%，而长安欧尚则在逆势中继续保持增长。　　2019年12月，长安欧尚x7</t>
  </si>
  <si>
    <t>2020/02/17 13:04:00</t>
  </si>
  <si>
    <t>日前，长安欧尚官方公布了2020年1月销量数据，品牌总销量19243台，同比增长48.%；长安欧尚x7销量13007台，环比增长17.4%，连续2月销量破万。1月份的车市受到疫情、春节假期等多种因素影响，整体销量同比下滑18%，而长安欧尚则在逆势中继续保持增长。    2019年12月，长安欧尚x7</t>
  </si>
  <si>
    <t>　　近日海外媒体曝光了一组大众全新id.4跨界车路试谍照图片，新车或将定位中型suv。据海外媒体猜测，新车预计将在6月底特律车展或9月巴黎车展上正式亮相。据悉，新车将于田纳西州的查塔努加发工厂进行投产，同该工厂也将负责为投产大众atlas、大众atlascross sport以及美国版帕萨特车型。　</t>
  </si>
  <si>
    <t>2020/02/17 13:01:00</t>
  </si>
  <si>
    <t xml:space="preserve">近日海外媒体曝光了一组大众全新id.4跨界车路试谍照图片，新车或将定位中型suv。据海外媒体猜测，新车预计将在6月底特律车展或9月巴黎车展上正式亮相。据悉，新车将于田纳西州的查塔努加发工厂进行投产，同该工厂也将负责为投产大众atlas、大众atlascross sport以及美国版帕萨特车型。   </t>
  </si>
  <si>
    <t>　　近日海外媒体曝光了一组大众全新id rugged车型渲染图，其品牌旗下id.3车型也已海外部分国家上市开售，而国产版车型也有望在明年于国内市场上市开售。据悉，id rugged车型将于2023正式推出，并率先在海外市场进行销售，并有望在次年进入国内市场销售。同时，新车也将竞争对手直接指向了路虎旗</t>
  </si>
  <si>
    <t>2020/02/17 13:00:00</t>
  </si>
  <si>
    <t>近日海外媒体曝光了一组大众全新id rugged车型渲染图，其品牌旗下id.3车型也已海外部分国家上市开售，而国产版车型也有望在明年于国内市场上市开售。据悉，id rugged车型将于2023正式推出，并率先在海外市场进行销售，并有望在次年进入国内市场销售。同时，新车也将竞争对手直接指向了路虎旗下全</t>
  </si>
  <si>
    <t>　　据海外媒体报道，斯柯达汽车将于今年推出一款全新轿跑suv车型，新车将命名为enyaq，并将于下月即将开幕的日内瓦车展上正式亮相，且于今年下半年率先登陆海外市场开售。　　动力方面，新车将推出两款车型供消费者选择，分别搭载了58和77kwh电池组，最大功率分别为150kw以及225kw，并分别选用了</t>
  </si>
  <si>
    <t>2020/02/17 12:59:00</t>
  </si>
  <si>
    <t>据海外媒体报道，斯柯达汽车将于今年推出一款全新轿跑suv车型，新车将命名为enyaq，并将于下月即将开幕的日内瓦车展上正式亮相，且于今年下半年率先登陆海外市场开售。    动力方面，新车将推出两款车型供消费者选择，分别搭载了58和77kwh电池组，最大功率分别为150kw以及225kw，并分别选用了</t>
  </si>
  <si>
    <t>　　提及保时捷911想必大家都不陌生，该款车型为品牌旗下的一款跑车车型，自引入国内市场开售以来，便受到了诸多性能车迷们的热捧，但动辄百万元的市场售价也是让诸多消费者们望而却步。近日海外媒体曝光了一组保时捷新款911 992 gts coupe实车图片，新车将于明年夏季正式亮相，并有望在同年率先登陆海</t>
  </si>
  <si>
    <t>2020/02/17 12:58:00</t>
  </si>
  <si>
    <t>提及保时捷911想必大家都不陌生，该款车型为品牌旗下的一款跑车车型，自引入国内市场开售以来，便受到了诸多性能车迷们的热捧，但动辄百万元的市场售价也是让诸多消费者们望而却步。近日海外媒体曝光了一组保时捷新款911 992 gts coupe实车图片，新车将于明年夏季正式亮相，并有望在同年率先登陆海外市</t>
  </si>
  <si>
    <t>　　雷诺紧凑型轿跑suv――arkana最早于2018年的莫斯科车展上发布，近日有媒体获得了由东风雷诺生产的国产版车型图片及信息。新车将进一步丰富东风雷诺产品矩阵，外观方面延续了海外版车型的设计，动力方面搭载一台1.3t发动机，预计售价在15万元左右，上市后将与马自达cx-4展开竞争。　　目前东风雷</t>
  </si>
  <si>
    <t>2020/02/17 12:56:00</t>
  </si>
  <si>
    <t>雷诺紧凑型轿跑suv——arkana最早于2018年的莫斯科车展上发布，近日有媒体获得了由东风雷诺生产的国产版车型图片及信息。新车将进一步丰富东风雷诺产品矩阵，外观方面延续了海外版车型的设计，动力方面搭载一台1.3t发动机，预计售价在15万元左右，上市后将与马自达cx-4展开竞争。    目前东风雷</t>
  </si>
  <si>
    <t>投诉编号：【447508】  投诉时间： 2020-02-17 12:56  投诉品牌： 上汽通用五菱  投诉车系： 宝骏730  投诉车型： 2016款 1.5L 手动 标准型 7座        投诉内容  未购车之前无颈椎问题,2019年11月发现左右食指尖发麻，一星期后咨询医生，说是劳累，并</t>
  </si>
  <si>
    <t>　　据乘联会最新综合销量数据统计显示，1月份国内狭义乘用车市场销量，同比下降20.4%，环比下降19.6%。绝大部分主流合资、自主品牌都出现了下滑，而非主流品牌更是出现暴跌现象。有媒体从一汽丰田了解到，一汽丰田今年1月销量达到62,653辆，虽然较去年同期有小幅下降，但仍跑赢大盘18个百分点左右。其</t>
  </si>
  <si>
    <t>2020/02/17 12:55:00</t>
  </si>
  <si>
    <t>据乘联会最新综合销量数据统计显示，1月份国内狭义乘用车市场销量，同比下降20.4%，环比下降19.6%。绝大部分主流合资、自主品牌都出现了下滑，而非主流品牌更是出现暴跌现象。有媒体从一汽丰田了解到，一汽丰田今年1月销量达到62,653辆，虽然较去年同期有小幅下降，但仍跑赢大盘18个百分点左右。其中，</t>
  </si>
  <si>
    <t>　　为了促进佛山市社会消费品零售总额稳步增长，加快推进汽车消费市场转型升级，促进汽车消费，并满足居民出行需要，佛山市人民政府发布了《佛山市促进汽车市场消费升级若干措施（试行）》的通知（简称“通知”）。通知将自2020年3月1日起实施，有效期1年，具体内容主要包括鼓励“国六”标准排量汽车消费、简化购车</t>
  </si>
  <si>
    <t>2020/02/17 12:53:00</t>
  </si>
  <si>
    <t>　　日前，我们从一汽-大众奥迪官方获悉，2020款奥迪q2l正式上市。新车依旧推出5款车型，但名称有所变化，指导价格区间为21.88-26.85万元。新车入门版车型售价相比现款提升1100元，主要针对配置进行调整。图为2018款车型　　从外观来看，新款奥迪q2l依旧延续现款车型设计。比如前脸采用了相</t>
  </si>
  <si>
    <t>为了促进佛山市社会消费品零售总额稳步增长，加快推进汽车消费市场转型升级，促进汽车消费，并满足居民出行需要，佛山市人民政府发布了《佛山市促进汽车市场消费升级若干措施（试行）》的通知（简称“通知”）。通知将自2020年3月1日起实施，有效期1年，具体内容主要包括鼓励“国六”标准排量汽车消费、简化购车登记</t>
  </si>
  <si>
    <t>日前，我们从一汽-大众奥迪官方获悉，2020款奥迪q2l正式上市。新车依旧推出5款车型，但名称有所变化，指导价格区间为21.88-26.85万元。新车入门版车型售价相比现款提升1100元，主要针对配置进行调整。图为2018款车型    从外观来看，新款奥迪q2l依旧延续现款车型设计。比如前脸采用了相</t>
  </si>
  <si>
    <t>　　日前，帕加尼发布了huayra imola官图，新车限量5台，性能相比现款车型有了进一步的提升。据悉帕加尼huayra imola将会在3月3日开幕的日内瓦车展期间正式亮相，单车售价约为500万欧元（约合3785万人民币）。　　外形方面，帕加尼huayra imola以意大利圣马力诺伊莫拉赛道命</t>
  </si>
  <si>
    <t>2020/02/17 12:49:00</t>
  </si>
  <si>
    <t>日前，帕加尼发布了huayra imola官图，新车限量5台，性能相比现款车型有了进一步的提升。据悉帕加尼huayra imola将会在3月3日开幕的日内瓦车展期间正式亮相，单车售价约为500万欧元（约合3785万人民币）。    外形方面，帕加尼huayra imola以意大利圣马力诺伊莫拉赛道命</t>
  </si>
  <si>
    <t>　　雷诺披露最新财报。数据显示，2019年，雷诺集团实现营业收入555.37亿欧元（约合人民币4204亿元），相比2018年的574.19亿欧元下滑3.3%，扣除汇率影响，收入下降2.7%。　　2019年，雷诺集团营业利润为26.62亿欧元（约合人民币202亿元），比2018年减少8.82亿欧元，下</t>
  </si>
  <si>
    <t>2020/02/17 12:47:00</t>
  </si>
  <si>
    <t>雷诺披露最新财报。数据显示，2019年，雷诺集团实现营业收入555.37亿欧元（约合人民币4204亿元），相比2018年的574.19亿欧元下滑3.3%，扣除汇率影响，收入下降2.7%。    2019年，雷诺集团营业利润为26.62亿欧元（约合人民币202亿元），比2018年减少8.82亿欧元，下</t>
  </si>
  <si>
    <t>　　日前有意大利媒体报道称，阿尔法・罗密欧紧凑型掀背车giulietta将会在2020年第一季度正式停产。该工厂生产的giulia、stelvio不会受到影响，消息称这两款车会在2021年中期改款。接下来，阿尔法・罗密欧会将更多精力投放到suv车型中，包含有tonale和一款全新入门suv。giul</t>
  </si>
  <si>
    <t>2020/02/17 12:46:00</t>
  </si>
  <si>
    <t>日前有意大利媒体报道称，阿尔法·罗密欧紧凑型掀背车giulietta将会在2020年第一季度正式停产。该工厂生产的giulia、stelvio不会受到影响，消息称这两款车会在2021年中期改款。接下来，阿尔法·罗密欧会将更多精力投放到suv车型中，包含有tonale和一款全新入门suv。giulie</t>
  </si>
  <si>
    <t>　　从2020年开始，不少车企将开始在新能源车型领域发力，奥迪就是其中之一。奥迪产品营销负责人fermínsoneira santos向外媒透露，奥迪正在计划推出一款微型纯电动车，它将诞生于meb entry平台，且主要面向欧洲市场。　　大众在2019年推出了meb entry平台，它被大众认为是供</t>
  </si>
  <si>
    <t>2020/02/17 12:44:00</t>
  </si>
  <si>
    <t>从2020年开始，不少车企将开始在新能源车型领域发力，奥迪就是其中之一。奥迪产品营销负责人fermínsoneira santos向外媒透露，奥迪正在计划推出一款微型纯电动车，它将诞生于meb entry平台，且主要面向欧洲市场。    大众在2019年推出了meb entry平台，它被大众认为是供</t>
  </si>
  <si>
    <t>　　2月17日，奇瑞控股集团披露最新销量。数据显示，2020年1月，集团共计销售汽车5.31万辆。另外，集团1月份出口汽车8957辆，环比增长1.2%。　　尽管受春节假期工作日减少、新冠疫情等因素影响，奇瑞集团旗下热销车型的表现仍给力。如瑞虎系列月销量达到20798辆，同比增长10.8%，其中瑞虎8</t>
  </si>
  <si>
    <t>2020/02/17 12:43:00</t>
  </si>
  <si>
    <t>2月17日，奇瑞控股集团披露最新销量。数据显示，2020年1月，集团共计销售汽车5.31万辆。另外，集团1月份出口汽车8957辆，环比增长1.2%。    尽管受春节假期工作日减少、新冠疫情等因素影响，奇瑞集团旗下热销车型的表现仍给力。如瑞虎系列月销量达到20798辆，同比增长10.8%，其中瑞虎8</t>
  </si>
  <si>
    <t>　　日前据外媒报道，起亚将在2021年推出一款具有高性能、续航里程500km以及具有快速充电能力的纯电动车型，以此来展示其在电气化方面的先进的技术，并改变人们对韩国汽车品牌的认知。　　目前起亚旗下已经有两款纯电动车型，分别为起亚soul ev和起亚niro ev，还计划推出imagine概念车的量产</t>
  </si>
  <si>
    <t>2020/02/17 12:42:00</t>
  </si>
  <si>
    <t>日前据外媒报道，起亚将在2021年推出一款具有高性能、续航里程500km以及具有快速充电能力的纯电动车型，以此来展示其在电气化方面的先进的技术，并改变人们对韩国汽车品牌的认知。    目前起亚旗下已经有两款纯电动车型，分别为起亚soul ev和起亚niro ev，还计划推出imagine概念车的量产</t>
  </si>
  <si>
    <t>　　丰田全新一代汉兰达已经于2019纽约车展正式发布亮相，日前我们从相关渠道获悉，丰田全新一代汉兰达将于今年年底正式上市。新车基于tnga架构下的ga-k平台打造而来，是家族的第四代车型，相比现款车型外观造型更加硬朗。　　外观方面，新车整体的轮廓还是延续了现款车型的设计，但是多处细节的改变让全新丰田</t>
  </si>
  <si>
    <t>2020/02/17 12:40:00</t>
  </si>
  <si>
    <t>丰田全新一代汉兰达已经于2019纽约车展正式发布亮相，日前我们从相关渠道获悉，丰田全新一代汉兰达将于今年年底正式上市。新车基于tnga架构下的ga-k平台打造而来，是家族的第四代车型，相比现款车型外观造型更加硬朗。    外观方面，新车整体的轮廓还是延续了现款车型的设计，但是多处细节的改变让全新丰田</t>
  </si>
  <si>
    <t>图片来源：摄图网    日前，据外媒报道，特斯拉上海超级工厂已经恢复其国产model 3的交付工作。目前，上海超级工厂的model 3周产可达3000辆。对此，《每日经济新闻》记者向特斯拉方面进行了求证。不过，截至记者发稿时，对方仍未给出回复。    据悉，特斯拉上海超级工厂制造的是标准续航升级版的</t>
  </si>
  <si>
    <t>2020/02/17 12:38:00</t>
  </si>
  <si>
    <t>图片来源：摄图网　　日前，据外媒报道，特斯拉上海超级工厂已经恢复其国产model 3的交付工作。目前，上海超级工厂的model 3周产可达3000辆。对此，《每日经济新闻》记者向特斯拉方面进行了求证。不过，截至记者发稿时，对方仍未给出回复。　　据悉，特斯拉上海超级工厂制造的是标准续航升级版的mode</t>
  </si>
  <si>
    <t>2月17日，长城汽车和通用汽车共同宣布，长城汽车将收购通用汽车的泰国罗勇府制造工厂。根据双方已签署的具有约束力的条款书，包括罗勇府汽车工厂和动力总成工厂在内的通用汽车泰国公司将移交给长城汽车，双方计划在2020年底完成交易和最终移交。该协议尚需政府和监管机构的批准。泰国罗勇府工厂俯瞰图    长城汽</t>
  </si>
  <si>
    <t>2020/02/17 12:36:00</t>
  </si>
  <si>
    <t>　　2月17日，长城汽车和通用汽车共同宣布，长城汽车将收购通用汽车的泰国罗勇府制造工厂。根据双方已签署的具有约束力的条款书，包括罗勇府汽车工厂和动力总成工厂在内的通用汽车泰国公司将移交给长城汽车，双方计划在2020年底完成交易和最终移交。该协议尚需政府和监管机构的批准。泰国罗勇府工厂俯瞰图　　长城汽</t>
  </si>
  <si>
    <t>Autom</t>
  </si>
  <si>
    <t>　　不久前，我们在最新一批《道路机动车辆生产企业及产品公告》中获得了别克全新小型纯电SUV的申报信息，从车尾部左下角的标识可以看到，该车将会被命名为“VELITE 7”。日前，有媒体再次从工信部了解到，别克VELITE 7的NEDC续航里程达到500km，与竞品车型东风本田X-NV（401km）相比</t>
  </si>
  <si>
    <t>2020/02/17 12:34:00</t>
  </si>
  <si>
    <t>不久前，我们在最新一批《道路机动车辆生产企业及产品公告》中获得了别克全新小型纯电SUV的申报信息，从车尾部左下角的标识可以看到，该车将会被命名为“VELITE 7”。日前，有媒体再次从工信部了解到，别克VELITE 7的NEDC续航里程达到500km，与竞品车型东风本田X-NV（401km）相比具有</t>
  </si>
  <si>
    <t>　　别克首款纯电动车微蓝（VELITE 6）于去年上海车展期间正式上市，随后在10月份推出了高续航版本。按照规划，别克还将推出微蓝的插电混动版车型。日前，有媒体从国家工信部了解到，别克微蓝插电混动版车型搭载一台1.5L自然吸气发动机和一台驱动电机，工况下纯电续航里程达到60km。　　别克微蓝插电混动</t>
  </si>
  <si>
    <t>2020/02/17 12:31:00</t>
  </si>
  <si>
    <t>别克首款纯电动车微蓝（VELITE 6）于去年上海车展期间正式上市，随后在10月份推出了高续航版本。按照规划，别克还将推出微蓝的插电混动版车型。日前，有媒体从国家工信部了解到，别克微蓝插电混动版车型搭载一台1.5L自然吸气发动机和一台驱动电机，工况下纯电续航里程达到60km。    别克微蓝插电混动</t>
  </si>
  <si>
    <t>2020/02/17 12:04:24</t>
  </si>
  <si>
    <t>投诉编号：【447504】  投诉时间： 2020-02-17 11:58  投诉品牌： 上汽集团  投诉车系： 名爵HS  投诉车型： 2018款 20T 自动 两驱 荷尔蒙劲取版 国V        投诉内容  2020.2.17由于名爵HS2018款新车多次电瓶亏电无法打火，本次叫救援还是无法</t>
  </si>
  <si>
    <t>2020/02/17 11:58:00</t>
  </si>
  <si>
    <t>自去年买了长安18款CS75这车，就车问题不断出现，搞的我没安心过。首先是后座椅生锈，底盘悬挂问题车身抖动严重，现每个车轮钢圈都贴差不多十个铅块，哪有像我这车这样的。最近又出现后备箱放备胎位置有烧焦痕迹。刹车又很软，车行驶到五六十码左右都很难刹住，几次差点追尾。左大灯一开启就有异响，嗡嗡的响坐在车里</t>
  </si>
  <si>
    <t>风吹芦苇</t>
  </si>
  <si>
    <t>长安厂家和4S店对车子有问题不处理自去年买了长安18款CS75这车，就车问题不断出现，搞的我没安心过。首先是后座椅生锈，底盘悬挂问题车身抖动严重，现每个车轮钢圈都贴差不多十个铅块，哪有像我这车这样的。最近又出现后备箱放备胎位置有烧焦痕迹。刹车又很软，车行驶到五六十码左右都很难刹住，几次差点追尾。左大</t>
  </si>
  <si>
    <t>投诉编号：【447502】  投诉时间： 2020-02-17 11:40  投诉品牌： 东风标致  投诉车系： 标致207  投诉车型： 2011款 1.4 手动 驭乐版 三厢        投诉内容  东风标致207后桥变形有异响，存在有质量问题，希望厂家处理问题。      投诉回复  车质网</t>
  </si>
  <si>
    <t>2020/02/17 11:40:00</t>
  </si>
  <si>
    <t>投诉编号：【447501】  投诉时间： 2020-02-17 11:39  投诉品牌： 郑州日产  投诉车系： 途达  投诉车型： 2020款 2.5L 自动 四驱 豪华版        投诉内容  基本都是停车2天的样子就没电了，有一次停了一天就无法启动了，现在只有把负极拔了。4s结果叫我充电，</t>
  </si>
  <si>
    <t>2020/02/17 11:39:00</t>
  </si>
  <si>
    <t>探界者油门加不上去，维修了一次还是出现这问题，上高速很危险，能不能要求换车。</t>
  </si>
  <si>
    <t>2020/02/17 11:38:24</t>
  </si>
  <si>
    <t>一场突如其来的病毒给这个春节笼上了一层阴影，这场全民“隔离”也随着疫情的发展而越演越烈。但随着复工期的临近，为了避免与更多人接触，驾车成为大家的第一选择。开车多了，倒车这个问题又成了大家比较在意的一个话题。    倒车是个技术活，不但需要有一定的方向感和驾驶技术，还需要一些基础配置辅助，于是倒车雷达</t>
  </si>
  <si>
    <t>2020/02/17 11:38:00</t>
  </si>
  <si>
    <t>　　一场突如其来的病毒给这个春节笼上了一层阴影，这场全民“隔离”也随着疫情的发展而越演越烈。但随着复工期的临近，为了避免与更多人接触，驾车成为大家的第一选择。开车多了，倒车这个问题又成了大家比较在意的一个话题。　　倒车是个技术活，不但需要有一定的方向感和驾驶技术，还需要一些基础配置辅助，于是倒车雷达</t>
  </si>
  <si>
    <t>2020/02/17 11:37:23</t>
  </si>
  <si>
    <t>随着经济的不断发展，汽车已经走进了千家万户，成为生活中不可缺少的部分。而汽车技术的不断发展也越来越体现出它的人性化。汽车天窗无论在设计生产还是人们的消费需求中所占的比重也逐步上升，今天就和大家来聊聊汽车天窗那点事。    谈到汽车天窗，可能大家都对它有着不同的认识。有的人觉得天窗作用很大，是汽车必不</t>
  </si>
  <si>
    <t>2020/02/17 11:36:00</t>
  </si>
  <si>
    <t>全顺T型车汽车历史上一个传奇，这是第批大模生产的轿，T型汽车创造了个时，它意义无与伦比的。现在，江铃旅居车推出新全顺T型房车，今天咱来看看这款媲星级酒店的全顺T型车吧。这辆新全顺T型房车有汽油与柴油两种类型，分为3个本，别为欣尊版、至尊以及慧尊版，配置不相同。新全</t>
  </si>
  <si>
    <t>壹万房车</t>
  </si>
  <si>
    <t>新全顺T型旅居房车 商旅两用 星级享受全顺T型车汽车历史上一个传奇，这是第批大模生产的轿，T型汽车创造了个时，它意义无与伦比的。现在，江铃旅居车推出新全顺T型房车，今天咱来看看这款媲星级酒店的全顺T型车吧。这辆新全顺T型房车有汽油与柴油两种类型，分为3个本，别为欣尊版</t>
  </si>
  <si>
    <t>　　随着经济的不断发展，汽车已经走进了千家万户，成为生活中不可缺少的部分。而汽车技术的不断发展也越来越体现出它的人性化。汽车天窗无论在设计生产还是人们的消费需求中所占的比重也逐步上升，今天就和大家来聊聊汽车天窗那点事。　　谈到汽车天窗，可能大家都对它有着不同的认识。有的人觉得天窗作用很大，是汽车必不</t>
  </si>
  <si>
    <t>您好，我想咨询一下，逸动的发动机如何，长安品牌的车子故障投诉情况。</t>
  </si>
  <si>
    <t>2020/02/17 11:35:25</t>
  </si>
  <si>
    <t>2020/02/17 11:34:29</t>
  </si>
  <si>
    <t>　　去年似乎是各家合资品牌suv的产品年，不少厂家均推出了旗下全新小型suv车型。巧的是他们也似乎商量好了，外观上均采用个性运动的设计理念，这样做目的是为了迎合越来越多年轻的消费者。今天我们就来聊聊那些15万左右即可入手的经济实惠个性小型suv。　　一汽-大众 探影　　厂商指导价：11.49-15.</t>
  </si>
  <si>
    <t>涂钦瀚</t>
  </si>
  <si>
    <t>2020/02/17 11:28:00</t>
  </si>
  <si>
    <t>投诉编号：【447499】  投诉时间： 2020-02-17 11:24  投诉品牌： 北京现代  投诉车系： 途胜  投诉车型： 2015款 1.6T   双离合 两驱 智能型        投诉内容  发动机升级后动力弱，油耗高。噪音大，变速箱异响。上星期投诉后接到车质网的电话让注意接听厂家电</t>
  </si>
  <si>
    <t>2020/02/17 11:24:00</t>
  </si>
  <si>
    <t>　　在国内销售的中型suv里，有一个谁也绕不开的车型，就是汉兰达。从2009年国产版上市以来，长期霸占着同级别标杆的位置，不过随着市场上强有力的竞争对手不断出现，在售款的汉兰达多少有些疲态。全新的第四代汉兰达能不能守住前辈打下的江山？面对更多更强的竞争对手汉兰达拿出了哪些法宝？这篇海外实拍为你解读。</t>
  </si>
  <si>
    <t xml:space="preserve">在国内销售的中型suv里，有一个谁也绕不开的车型，就是汉兰达。从2009年国产版上市以来，长期霸占着同级别标杆的位置，不过随着市场上强有力的竞争对手不断出现，在售款的汉兰达多少有些疲态。全新的第四代汉兰达能不能守住前辈打下的江山？面对更多更强的竞争对手汉兰达拿出了哪些法宝？这篇海外实拍为你解读。  </t>
  </si>
  <si>
    <t>不想爱车经常维修 这些开车坏习惯必须改掉我们平时使用车辆，会不经意间出现一些坏习惯。虽然偶尔犯一下不会对爱车造成太大的伤害，但如果不加以注意，这些坏习惯便会伤害爱车的机械和电子系统，甚至会对车架造成不可逆转的伤害。车辆随着使用时间的增长，是一定会出现部件老化的现象。倘若加上平时一些你自己也没留意的坏</t>
  </si>
  <si>
    <t>有一棵大树</t>
  </si>
  <si>
    <t>2020/02/17 11:22:00</t>
  </si>
  <si>
    <t>我们平时使用车辆，会不经意间出现一些坏习惯。虽然偶尔犯一下不会对爱车造成太大的伤害，但如果不加以注意，这些坏习惯便会伤害爱车的机械和电子系统，甚至会对车架造成不可逆转的伤害。车辆随着使用时间的增长，是一定会出现部件老化的现象。倘若加上平时一些你自己也没留意的坏习惯，那对汽车的影响更是无法估量。下面，</t>
  </si>
  <si>
    <t>首先介绍一下什么是MQB，MQB是大众集团最新的横置发动机模块化平台(Modular Querbaukasten)，简称MQB。它将取代目前的PQ25、PQ35和PQ46平台，该模块化平台将在大众、奥迪、斯柯达和西雅特这4个品牌中得到极为广泛的应用，并生产从A00、A0、A到B四个级别的车型。简单理</t>
  </si>
  <si>
    <t>　　要说哪款合资中型车卖得好，除了德系的迈腾和帕萨特以外，莫过于本田的雅阁了。自从换代之后，销量一路攀升，风头已经完全盖过了同样来自日系的丰田凯美瑞和日产天籁。今天，我们来聊聊雅阁的最低配车型，也就是售价17.98万元的230turbo 舒适版表现如何，到底值不值得购买。　　综合来看，230turb</t>
  </si>
  <si>
    <t>王晓辰</t>
  </si>
  <si>
    <t>MQB平台是真的没区别 还是无止境减配的开端首先介绍一下什么是MQB，MQB是大众集团最新的横置发动机模块化平台(Modular Querbaukasten)，简称MQB。它将取代目前的PQ25、PQ35和PQ46平台，该模块化平台将在大众、奥迪、斯柯达和西雅特这4个品牌中得到极为广泛的应用，并生产</t>
  </si>
  <si>
    <t>高速跑120发动机转速多少 如果比这个数低就是好车高速跑120km/h，你的发动机转速是多少？转速越低的车越好吗？车速和转速其实并不是正相关的关系，一般来说车速在达到60-80km/h之后会达到转速的最低值，再往上提速，转速往往会攀升，一般来说，普通家用车120km/h巡航时发动机转速在1200-4</t>
  </si>
  <si>
    <t>2020/02/17 11:21:00</t>
  </si>
  <si>
    <t>高速跑120km/h，你的发动机转速是多少？转速越低的车越好吗？车速和转速其实并不是正相关的关系，一般来说车速在达到60-80km/h之后会达到转速的最低值，再往上提速，转速往往会攀升，一般来说，普通家用车120km/h巡航时发动机转速在1200-4000转之间都为正常值，具体转速多少要看具体的车型</t>
  </si>
  <si>
    <t>随着近些年汽车电动化进程的不断加快，相关的功能也是越来越丰富。以纯电动汽车特斯拉为例，部分车型更是配备了“生化模式”。那么特斯拉的“生化模式”究竟是什么呢？是否能够抵挡病毒的入侵呢？大家都知道，汽车紧闭车门车窗之后相当于一个密闭环境，驾乘人员长时间处在该环境中，其内部的空气质量会大幅度下滑。所以很多</t>
  </si>
  <si>
    <t>特斯拉的“生化模式”是什么 可以抵抗病毒吗随着近些年汽车电动化进程的不断加快，相关的功能也是越来越丰富。以纯电动汽车特斯拉为例，部分车型更是配备了“生化模式”。那么特斯拉的“生化模式”究竟是什么呢？是否能够抵挡病毒的入侵呢？大家都知道，汽车紧闭车门车窗之后相当于一个密闭环境，驾乘人员长时间处在该环境</t>
  </si>
  <si>
    <t>疫情会加速无人驾驶技术的快速发展吗随着汽车行业的发展，功能也是越来越丰富，其中无人驾驶在近年来所受到的的关注度就在不断增加。不过目前汽车所搭载的无人驾驶技术多数还处在L2级别。也就是该阶段的技术依然需要驾驶人员时刻关注路况进行操控，只是相当于一个辅助驾驶。那么目前新型冠状病毒疫情肆虐，会加速无人驾驶</t>
  </si>
  <si>
    <t>2020/02/17 11:20:00</t>
  </si>
  <si>
    <t>这些“硬核”汽车配置你交过智商税吗随着疫情蔓延，车企除了捐款捐物，还开始转产口罩等抗疫物资，另外还致力于研发能够为消费者提供更好车内环境的硬核配置。说到硬核，在汽车发展的历史长河中，设计师们就从来都没有让我们失望过，不信？不妨来看看！日产“催眠曲”配置有孩子的车主应该都体验过，开车途中孩子不停闹腾的</t>
  </si>
  <si>
    <t>随着汽车行业的发展，功能也是越来越丰富，其中无人驾驶在近年来所受到的的关注度就在不断增加。不过目前汽车所搭载的无人驾驶技术多数还处在L2级别。也就是该阶段的技术依然需要驾驶人员时刻关注路况进行操控，只是相当于一个辅助驾驶。那么目前新型冠状病毒疫情肆虐，会加速无人驾驶技术的发展吗？因为在2020年2月</t>
  </si>
  <si>
    <t>随着疫情蔓延，车企除了捐款捐物，还开始转产口罩等抗疫物资，另外还致力于研发能够为消费者提供更好车内环境的硬核配置。说到硬核，在汽车发展的历史长河中，设计师们就从来都没有让我们失望过，不信？不妨来看看！日产“催眠曲”配置有孩子的车主应该都体验过，开车途中孩子不停闹腾的烦恼，光是可以播放动画片的智能互联</t>
  </si>
  <si>
    <t>同样是锂电池 为什么车企敢终身质保而手机厂商却不敢目前的纯电动汽车主要使用的是三元锂电池，部分车型使用的是磷酸铁锂电池，这两种电池均属于锂电池，而我们平常所使用手机的电池也是锂电池。但是纯电动汽车所搭载的锂电池国家规定质保期限为8年或12万公里，而部分车企给予的是终身质保。同样是锂电池，为什么车企敢</t>
  </si>
  <si>
    <t>2020/02/17 11:19:00</t>
  </si>
  <si>
    <t>目前的纯电动汽车主要使用的是三元锂电池，部分车型使用的是磷酸铁锂电池，这两种电池均属于锂电池，而我们平常所使用手机的电池也是锂电池。但是纯电动汽车所搭载的锂电池国家规定质保期限为8年或12万公里，而部分车企给予的是终身质保。同样是锂电池，为什么车企敢终身质保，而手机厂商却不敢呢？电池容量和寿命差异纯</t>
  </si>
  <si>
    <t>近日，丰田公司计划推出gr卡罗拉车型。据悉，gr卡罗拉车型将于2023年发布，并登陆英国市场，与福特focus st和现代i30 n等车型展开竞争。    丰田副首席设计师金井俊雄在2019年年初表示，卡罗拉的高性能版正在开发中，但仍处于规划阶段。他表示，公司在开发这款车时并未考虑混合动力系统。该全</t>
  </si>
  <si>
    <t>2020/02/17 11:18:00</t>
  </si>
  <si>
    <t>　　近日，丰田公司计划推出gr卡罗拉车型。据悉，gr卡罗拉车型将于2023年发布，并登陆英国市场，与福特focus st和现代i30 n等车型展开竞争。　　丰田副首席设计师金井俊雄在2019年年初表示，卡罗拉的高性能版正在开发中，但仍处于规划阶段。他表示，公司在开发这款车时并未考虑混合动力系统。该全</t>
  </si>
  <si>
    <t>让很多车企和电池厂商趋之若鹜 固态电池究竟有多强目前的纯电动汽车主要搭载的是三元锂电池，部分车型使用的是磷酸铁锂电池，而这两种电池均属于液态电池。以三元锂电池为例，这种电池虽然相比磷酸铁锂电池能量密度更高，但是在后期使用过程中同样受温度影响较为明显。低温条件下，内部的化学反应受到抑制，导致影响续航表</t>
  </si>
  <si>
    <t>目前的纯电动汽车主要搭载的是三元锂电池，部分车型使用的是磷酸铁锂电池，而这两种电池均属于液态电池。以三元锂电池为例，这种电池虽然相比磷酸铁锂电池能量密度更高，但是在后期使用过程中同样受温度影响较为明显。低温条件下，内部的化学反应受到抑制，导致影响续航表现。除此之外，三元锂电池在后期使用过程中由于工作</t>
  </si>
  <si>
    <t>投诉编号：【447498】  投诉时间： 2020-02-17 11:18  投诉品牌： 郑州日产  投诉车系： 途达  投诉车型： 2018款 2.5L 自动 四驱 旗舰版        投诉内容  郑州日产途达行驶时气囊异响，尤其是在打方向的时候异响比较突出，这个是严重的质量问题，希望厂家处理。</t>
  </si>
  <si>
    <t>近日，现代汽车官方发布了全新纯电动概念车prophecy预告图，据悉，新车将在日内瓦车展上正式亮相。新车采用了“感性运动”设计语言，预示着现代汽车未来在电动车领域的设计方向。    此次的宣传预告仅仅只展示了prophecy的尾部造型，从车身线条不难看出，新车整体将采用柔和、圆润的造型设计，同时翼子</t>
  </si>
  <si>
    <t>2020/02/17 11:17:00</t>
  </si>
  <si>
    <t>　　近日，现代汽车官方发布了全新纯电动概念车prophecy预告图，据悉，新车将在日内瓦车展上正式亮相。新车采用了“感性运动”设计语言，预示着现代汽车未来在电动车领域的设计方向。　　此次的宣传预告仅仅只展示了prophecy的尾部造型，从车身线条不难看出，新车整体将采用柔和、圆润的造型设计，同时翼子</t>
  </si>
  <si>
    <t>带你了解一下“混合动力”车型的区别随着新能源时代的慢慢到来，“电车、混动车与省油”这些词变得我们经常能听到，甚至与朋友间会相互讨论到。而越来越多的汽车厂商也正朝着“小排量”、“混动”、“新能源”的方向大力发展。所以我们今天就聊聊混动，那混动车型又分为那么多种，例如轻混、强混以及插混等等。这些词语让很</t>
  </si>
  <si>
    <t>“健康汽车”能否防新冠状病毒突如其来的“新冠状病毒”让 2020 年的开端显得不是那么友好，在疫情面前，社会各界和各大车企纷纷伸出援助之手，给乍暖还寒之时增添了不少温度。当然，汽车企业也从来不会放弃追求“热点”的机会，打开邮箱，健康汽车、N95等关键词充满收件箱，那么健康汽车到底是什么？它会阻碍新冠</t>
  </si>
  <si>
    <t>突如其来的“新冠状病毒”让 2020 年的开端显得不是那么友好，在疫情面前，社会各界和各大车企纷纷伸出援助之手，给乍暖还寒之时增添了不少温度。当然，汽车企业也从来不会放弃追求“热点”的机会，打开邮箱，健康汽车、N95等关键词充满收件箱，那么健康汽车到底是什么？它会阻碍新冠状病毒吗？■ 防霾防病毒的关</t>
  </si>
  <si>
    <t>随着新能源时代的慢慢到来，“电车、混动车与省油”这些词变得我们经常能听到，甚至与朋友间会相互讨论到。而越来越多的汽车厂商也正朝着“小排量”、“混动”、“新能源”的方向大力发展。所以我们今天就聊聊混动，那混动车型又分为那么多种，例如轻混、强混以及插混等等。这些词语让很多人摸不到头脑，从而难以选择，那么</t>
  </si>
  <si>
    <t>近日，斯巴鲁wrx sti w209在美国正式上市了该车的出厂价仅为63,995美元。但是由于该车全球限量209台，在美国有经销商提出购买斯巴鲁wrx sti需加价5万美元（约35万人民币）才能提车。对此经销商的加价操作，不少美国消费者表示加价可以理解但是5万美金也太多了。    外观部分，全新的斯</t>
  </si>
  <si>
    <t>2020/02/17 11:16:00</t>
  </si>
  <si>
    <t>　　近日，斯巴鲁wrx sti w209在美国正式上市了该车的出厂价仅为63,995美元。但是由于该车全球限量209台，在美国有经销商提出购买斯巴鲁wrx sti需加价5万美元（约35万人民币）才能提车。对此经销商的加价操作，不少美国消费者表示加价可以理解但是5万美金也太多了。　　外观部分，全新的斯</t>
  </si>
  <si>
    <t>在2019年日内瓦车展上，雷诺发布了新款微型车twingo。而今年雷诺已经确认计划推出该车型的纯电动版本，全称为twingo ze。    外观方面，twingo ze依旧延续了twingo车型的小巧可爱。车头部分，新车将前大灯与日间行车灯进行了合体，看起来更为精简，同时也将针对新能源身份进行了一些</t>
  </si>
  <si>
    <t>2020/02/17 11:15:00</t>
  </si>
  <si>
    <t>　　在2019年日内瓦车展上，雷诺发布了新款微型车twingo。而今年雷诺已经确认计划推出该车型的纯电动版本，全称为twingo ze。　　外观方面，twingo ze依旧延续了twingo车型的小巧可爱。车头部分，新车将前大灯与日间行车灯进行了合体，看起来更为精简，同时也将针对新能源身份进行了一些</t>
  </si>
  <si>
    <t>玛莎拉蒂公布最新的产品规划，将在近两年内推出玛莎拉蒂ghibli插电混动版、全新一代granturismo、grancabrio纯电动版以及一款全新跑车和一款全新suv。    玛莎拉蒂ghibli插电混动版    玛莎拉蒂ghibli插电混动版车型为该品牌首款新能源车型，有望在2020年4月开幕的</t>
  </si>
  <si>
    <t>2020/02/17 11:13:00</t>
  </si>
  <si>
    <t>　　玛莎拉蒂公布最新的产品规划，将在近两年内推出玛莎拉蒂ghibli插电混动版、全新一代granturismo、grancabrio纯电动版以及一款全新跑车和一款全新suv。　　玛莎拉蒂ghibli插电混动版　　玛莎拉蒂ghibli插电混动版车型为该品牌首款新能源车型，有望在2020年4月开幕的北京</t>
  </si>
  <si>
    <t>投诉编号：【447497】  投诉时间： 2020-02-17 11:13  投诉品牌： 上汽集团  投诉车系： 名爵HS  投诉车型： 2018款 20T 自动 两驱 荷尔蒙激情版 国V        投诉内容  电瓶严重亏电已3次搭电，经维修点检测确定电瓶质量问题！要求更换新电瓶！因地域受限疫情</t>
  </si>
  <si>
    <t>日前，本田全新一代飞度在日本上市，分别提供basic、home、crosstar、ness、luxe五款车系，以及1.3l四缸汽油发动机版和1.5l混动版两套动力可选。燃油版售价区间为155.76万-218.68万日元（约合9.86-13.85万人民币），混动版售价区间为199.76-253.66万</t>
  </si>
  <si>
    <t>2020/02/17 11:11:00</t>
  </si>
  <si>
    <t>　　日前，本田全新一代飞度在日本上市，分别提供basic、home、crosstar、ness、luxe五款车系，以及1.3l四缸汽油发动机版和1.5l混动版两套动力可选。燃油版售价区间为155.76万-218.68万日元（约合9.86-13.85万人民币），混动版售价区间为199.76-253.6</t>
  </si>
  <si>
    <t>在雷诺近日公布2019年业绩时，该公司公布了2020年的电气化产品线路图，产品涉及新款clio混合动力车型、新款卡缤phev、梅甘娜phev车型、twingo ze。另外，雷诺还将在2021-2022年推出9款新能源车，其中就包括子品牌dacia的一款全新纯电动小型车。    梅甘娜phev搭载e-</t>
  </si>
  <si>
    <t>2020/02/17 11:09:00</t>
  </si>
  <si>
    <t>　　在雷诺近日公布2019年业绩时，该公司公布了2020年的电气化产品线路图，产品涉及新款clio混合动力车型、新款卡缤phev、梅甘娜phev车型、twingo ze。另外，雷诺还将在2021-2022年推出9款新能源车，其中就包括子品牌dacia的一款全新纯电动小型车。　　梅甘娜phev搭载e-</t>
  </si>
  <si>
    <t>突然爆发的新冠肺炎疫情使刚跨入2020年的中国面临严峻考验，一场全民防控阻击战随即打响，各行各业都经受着巨大的冲击。在汽车行业，一些企业勇于逆行，在困境中坚持发展之道，壮大队伍，其中不乏新创车企。2月14日，哪吒汽车宣布2020年拟将再招聘1000余人，主要聚焦智能研发、智能制造及创新营销领域，助力</t>
  </si>
  <si>
    <t>2020/02/17 11:07:00</t>
  </si>
  <si>
    <t>　　突然爆发的新冠肺炎疫情使刚跨入2020年的中国面临严峻考验，一场全民防控阻击战随即打响，各行各业都经受着巨大的冲击。在汽车行业，一些企业勇于逆行，在困境中坚持发展之道，壮大队伍，其中不乏新创车企。2月14日，哪吒汽车宣布2020年拟将再招聘1000余人，主要聚焦智能研发、智能制造及创新营销领域，</t>
  </si>
  <si>
    <t>2月16日，华晨宝马决定明日起恢复沈阳工厂的生产。复产后，各工厂将逐步提升产量直至全面恢复生产。    据了解，为了保障复产后员工的健康和安全，华晨宝马迅速成立应急工作组进行系统化部署，启动了包括员工沟通，热线服务和工作场所防护等多项措施以应对疫情。为最大程度降低病毒传播的可能性，公司制定了多项工厂</t>
  </si>
  <si>
    <t>2020/02/17 11:06:00</t>
  </si>
  <si>
    <t>　　2月16日，华晨宝马决定明日起恢复沈阳工厂的生产。复产后，各工厂将逐步提升产量直至全面恢复生产。　　据了解，为了保障复产后员工的健康和安全，华晨宝马迅速成立应急工作组进行系统化部署，启动了包括员工沟通，热线服务和工作场所防护等多项措施以应对疫情。为最大程度降低病毒传播的可能性，公司制定了多项工厂</t>
  </si>
  <si>
    <t>投诉编号：【447495】  投诉时间： 2020-02-17 11:05  投诉品牌： 长城汽车  投诉车系： 炮  投诉车型： 2019款 2.0T 自动 四驱 尊享版 汽油 GW4C20B        投诉内容  新车用不到两个月，行驶266公里！没电不能开门！第一次救援人员来做了检测，说电</t>
  </si>
  <si>
    <t>2020/02/17 11:05:00</t>
  </si>
  <si>
    <t>　　自从上市以来，长安cs35plus在小型suv市场中就一直有着很不错的表现，到目前为止已经连续5个月取得了销量破万的佳绩，在去年10月、11月时它更是连续摘得小型suv销量榜第一的桂冠。在出色的成绩背后，它有着怎样的硬实力呢？今天我们就为大家盘点一下cs35plus的销量，以及它为何能取得这样的</t>
  </si>
  <si>
    <t>　　随着这次疫情的发展，虽然整个过年期间大家基本都是宅在家中，但却难免会遇到需要出门购物或者办事等情况。而在目前的情况下，私家车绝对会是最安全的出行方式，所以我认为在这次疫情结束之后，家用车市场将会迎来一次高峰；而首当其冲的便是小型suv市场，而对很多初次购车的消费者来说，合资品牌会成为他们最安心的</t>
  </si>
  <si>
    <t>2020/02/17 11:00:00</t>
  </si>
  <si>
    <t>新型肺炎疫情让我们“很受伤”，只能窝在家里通过屏幕“云看车”。好在今年的车市绝对不会被疫情打垮，很多款新车都很受关注，疫情结束后会蜂拥而至。大家能做的就是保护好自己，然后看看有哪几款心仪的重磅车，疫情一过咱就去提车。</t>
  </si>
  <si>
    <t>2020/02/17 10:56:00</t>
  </si>
  <si>
    <t>　　新型肺炎疫情让我们“很受伤”，只能窝在家里通过屏幕“云看车”。好在今年的车市绝对不会被疫情打垮，很多款新车都很受关注，疫情结束后会蜂拥而至。大家能做的就是保护好自己，然后看看有哪几款心仪的重磅车，疫情一过咱就去提车。</t>
  </si>
  <si>
    <t>yiche朱涛</t>
  </si>
  <si>
    <t>　　近年来，20万紧凑级suv市场上诞生出了很多高品质的suv，除了熟悉的途观、cr-v以外，现在也有一些不错的车型可以选择。回顾2019年，在20万级的家用suv市场上有热销车型途岳、呼声较高的rav4荣放、cr-v的姊妹车型皓影以及堪称性能suv杀手的锐际，这四款车型各自都有它们的亮点，那么同时</t>
  </si>
  <si>
    <t>2020/02/17 10:54:00</t>
  </si>
  <si>
    <t>投诉编号：【447494】  投诉时间： 2020-02-17 10:51  投诉品牌： 东风标致  投诉车系： 标致308  投诉车型： 2014款 乐享版 经典 1.6L 手动 风尚型        投诉内容  方向盘能上下左右晃动，严重影响驾驶安全，经4S店检查是方向柱总成质量问题，厂家不给予</t>
  </si>
  <si>
    <t>2020/02/17 10:51:00</t>
  </si>
  <si>
    <t>顶级豪华品牌难有几个盈利，阿斯顿马丁同样逃不掉这个命运的诅咒，自2018年四季度以来，阿斯顿马丁股价暴跌，考虑到难以为继的客观事实，阿斯顿马丁寻求新的资本入股。在这场争夺战中，吉利与加拿大资本家开始了一次不平衡的较量，最终阿斯顿马丁并未选择前者，向加拿大富豪投出了橄榄枝，劳伦斯·斯特罗尔以1.82亿</t>
  </si>
  <si>
    <t>QWE5</t>
  </si>
  <si>
    <t>阿斯顿马丁拒绝被吉利收购顶级豪华品牌难有几个盈利，阿斯顿马丁同样逃不掉这个命运的诅咒，自2018年四季度以来，阿斯顿马丁股价暴跌，考虑到难以为继的客观事实，阿斯顿马丁寻求新的资本入股。在这场争夺战中，吉利与加拿大资本家开始了一次不平衡的较量，最终阿斯顿马丁并未选择前者，向加拿大富豪投出了橄榄枝，劳伦</t>
  </si>
  <si>
    <t>　　在国内suv市场新车型层出不穷的今天，想要从中挑选一款真正适合自己的车并非易事，每个汽车品牌或多或少都有着自己所擅长的领域、亦或是你觉得有待改进的地方。但如果以公认的颜值水平来选车的话，似乎就简单多了。技术领域的差距或许对于普通消费者们来说太过深奥，但汽车设计则是一门任何人都可以肆意评判的学问。</t>
  </si>
  <si>
    <t>近年来随着汽车越来越普及，大家对于车内空气质量的问题越来越重视，投诉量也是逐年增长的状态，截止到2019年已经“跻身”成为汽车消费者投诉的十大问题之一。近期受到疫情的影响，大家对车内空气质量的关注更进一步，尤其是车内空气净化过滤的配置更受到大家青睐。而各大汽车厂商的宣传也紧随“热点”，着重宣传这些配</t>
  </si>
  <si>
    <t>2020/02/17 10:50:00</t>
  </si>
  <si>
    <t>　　近年来随着汽车越来越普及，大家对于车内空气质量的问题越来越重视，投诉量也是逐年增长的状态，截止到2019年已经“跻身”成为汽车消费者投诉的十大问题之一。近期受到疫情的影响，大家对车内空气质量的关注更进一步，尤其是车内空气净化过滤的配置更受到大家青睐。而各大汽车厂商的宣传也紧随“热点”，着重宣传这</t>
  </si>
  <si>
    <t>陈启贞</t>
  </si>
  <si>
    <t>有些病如果人得了，那么很可能难以根治，会一直留在身上。同理，如果汽车出现了某些故障，以现在市面上4S店和修理厂的水平也是不可能完全修好的，哪怕不断砸钱，也只能治标不能治本。下面这些问题可以说是汽车的通病，基本上永远也修不好！发动机烧机油说起烧机油，可能很多人第一想到的是奥迪，网上不少人笑称奥迪的燃油</t>
  </si>
  <si>
    <t>别砸钱了！这三个故障一旦出现不可能修好有些病如果人得了，那么很可能难以根治，会一直留在身上。同理，如果汽车出现了某些故障，以现在市面上4S店和修理厂的水平也是不可能完全修好的，哪怕不断砸钱，也只能治标不能治本。下面这些问题可以说是汽车的通病，基本上永远也修不好！发动机烧机油说起烧机油，可能很多人第一</t>
  </si>
  <si>
    <t>日系车皮薄？大众车厚重？看完碰撞测试，只想说：且行且珍惜吧！说起汽车的安全性，这个话题一直就非常受大家关注，那么各个车系阵营究竟谁的安全性更高呢？下面我们以中保研的碰撞测试结果为标准来看一下。日系车向来有“纸皮车”之称的日系车，安全性一直就不被人看好，然而，丰田亚洲龙这款车型却在各项测试中，却全部拿</t>
  </si>
  <si>
    <t>2020/02/17 10:49:00</t>
  </si>
  <si>
    <t>日系车皮薄？大众车厚重？日系车皮薄？大众车厚重？看完碰撞测试，只想说：且行且珍惜吧！说起汽车的安全性，这个话题一直就非常受大家关注，那么各个车系阵营究竟谁的安全性更高呢？下面我们以中保研的碰撞测试结果为标准来看一下。日系车向来有“纸皮车”之称的日系车，安全性一直就不被人看好，然而，丰田亚洲龙这款车型</t>
  </si>
  <si>
    <t>2020/02/17 10:48:00</t>
  </si>
  <si>
    <t>开场白：大家好，我叫余勇，32岁，在一家设计公司担任项目经理。关于汽车方面，这不仅是我从小的一个爱好，同时也是工作、生活出行的好帮手。去年6月，我通过二手置换，选择了一台凯美瑞，车型是2019款 2.5q 旗舰版，指导价格在25.98万元，几个月下来，感觉其设计、空间以及油耗等综合用车方面还是比较令</t>
  </si>
  <si>
    <t>2019年最让人意想不到的五款SUV一眨眼，尘埃落定。2019年最后一个月的汽车销量统计，已经出炉；2019年度中国乘用车年销量2069.8万辆，同比下降7.4%，已成定局；2019年，也已定格成为永远的过去式。不过，令人惊讶而欣慰的是，在这个被悲观论调所笼罩的市场里，仍然有自信者竭尽全力，向上拼搏</t>
  </si>
  <si>
    <t>雷凌or卡罗拉曾经听一个一汽丰田的销售说过，“我们的卡罗拉可是比雷凌要先进1.5代的”，当时就没忍住致以一个敬佩的眼神——真敢吹啊！其实雷凌和卡罗拉就是同一台车，只是广汽丰田和一汽丰田不能生产同一款车，所以要在名称和设计细节上做出区隔而已，两台车的技术是一模一样的。新卡罗拉/雷凌都是丰田TNGA架构</t>
  </si>
  <si>
    <t>　　开场白：大家好，我叫余勇，32岁，在一家设计公司担任项目经理。关于汽车方面，这不仅是我从小的一个爱好，同时也是工作、生活出行的好帮手。去年6月，我通过二手置换，选择了一台凯美瑞，车型是2019款 2.5q 旗舰版，指导价格在25.98万元，几个月下来，感觉其设计、空间以及油耗等综合用车方面还是比</t>
  </si>
  <si>
    <t>江湖车</t>
  </si>
  <si>
    <t>天下车主苦车内异味久矣！“异味”说得学术一点，指的就是汽车VOC问题，VOC是挥发性有机化合物(volatile organic compounds）的英文缩写，普通意义上的VOC就是指挥发性有机物，但是环保意义上的定义是指活泼一类的挥发性有机物，即会产生危害的那一类挥发性有机物。一般来说包括苯、甲</t>
  </si>
  <si>
    <t>2020/02/17 10:47:00</t>
  </si>
  <si>
    <t>2020年是奥迪的产品大年，近日我们获得了奥迪品牌该年的新车规划，奥迪将投放包括新车系、换代、新款、新增车型等超过18款新车。奥迪2020年在华新车规划月份车型1月RS5 Sportback（新增车型）2月Q7（中期改款）3月S6/S7（换代）4月A4L（中期改款）Q3 Sportback（新增车型</t>
  </si>
  <si>
    <t>2020年2月17日，新款斯柯达昕锐/昕动正式上市。虽然新车为中期改款车型，但外观与内饰设计焕然一新，并新增斯柯达斑马智行互联系统以及倒车影像等智能装备。此次上市的新款昕锐共推出4款车型，售价区间为7.84-10.24万元；新款昕动共推出4款车型，售价区间为8.14-11.14万元。    全新昕锐</t>
  </si>
  <si>
    <t>投诉编号：【447493】  投诉时间： 2020-02-17 10:47  投诉品牌： 长城汽车  投诉车系： 长城C30  投诉车型： 2012款 1.5 手动 精英型        投诉内容  车身从里面生锈，反锈的地方非常厉害。      投诉回复  车质网已将您的投诉转给生产企业以及国家市</t>
  </si>
  <si>
    <t>　　2020年2月17日，新款斯柯达昕锐/昕动正式上市。虽然新车为中期改款车型，但外观与内饰设计焕然一新，并新增斯柯达斑马智行互联系统以及倒车影像等智能装备。此次上市的新款昕锐共推出4款车型，售价区间为7.84-10.24万元；新款昕动共推出4款车型，售价区间为8.14-11.14万元。　　全新昕锐</t>
  </si>
  <si>
    <t>发展30多年的国产车品牌，依然逃不过被消费者定义为低端的品牌，在国产车与合资车之前，同样的预算，绝大多数都选择合资品牌，总有一种错觉，合资品牌与国产车品牌高端。对于冲击高端品牌，这一直都是国产车品牌的心病。国产品牌并不乏高端品牌，但最终一一都失败了，走高端之路的车企最有名的就是奇瑞，已经冲击高端品牌</t>
  </si>
  <si>
    <t>奥迪2020年在华新车规划 将推超18款新车2020年是奥迪的产品大年，近日我们获得了奥迪品牌该年的新车规划，奥迪将投放包括新车系、换代、新款、新增车型等超过18款新车。奥迪2020年在华新车规划月份车型1月RS5 Sportback（新增车型）2月Q7（中期改款）3月S6/S7（换代）4月A4L（</t>
  </si>
  <si>
    <t>四大自主高端品牌，谁最有望成功？发展30多年的国产车品牌，依然逃不过被消费者定义为低端的品牌，在国产车与合资车之前，同样的预算，绝大多数都选择合资品牌，总有一种错觉，合资品牌与国产车品牌高端。对于冲击高端品牌，这一直都是国产车品牌的心病。国产品牌并不乏高端品牌，但最终一一都失败了，走高端之路的车企最</t>
  </si>
  <si>
    <t>　　天下车主苦车内异味久矣！“异味”说得学术一点，指的就是汽车VOC问题，VOC是挥发性有机化合物(volatile organic compounds）的英文缩写，普通意义上的VOC就是指挥发性有机物，但是环保意义上的定义是指活泼一类的挥发性有机物，即会产生危害的那一类挥发性有机物。一般来说包括苯</t>
  </si>
  <si>
    <t>2020/02/17 10:46:00</t>
  </si>
  <si>
    <t>五款不保值的好车随着汽车逐渐成为了大部分家庭大型消耗品之一，他们在买车的时候，会把保值率当做评价车辆好坏的依据，同时，保值率高的车，如果开几年想换了，卖掉也不会亏太多。其实，市面上有很多保值率虽低、但本身拥有不错产品力的车型，如果买它们的二手车，是非常划算的。今天马拉车市推荐五款“不保值的好车”，希</t>
  </si>
  <si>
    <t>1月SUV榜单：哈弗H6销冠差点丢了，多匹黑马登榜相比轿车的排行来说，SUV这边变数要更大一些，多款黑马SUV车型挤入榜单之中，作为SUV界的王者哈弗H6，在1月份差点丢了自己的销冠排名，不得不说SUV的竞争太激烈，稍微不注意就有可能被颠覆，废话不多说，直接上车型。哈弗H6虽然差一点被颠覆，不过凭借</t>
  </si>
  <si>
    <t>2020/02/17 10:45:55</t>
  </si>
  <si>
    <t>这三款SUV值得一看10多万的价格，能选择的车型非常多，如果要追求性价比，想要用这个价格买到高配置的SUV车型，国产车是一个非常不错的选择。现在国产车发展的越来越好，很多国产品牌推出的车型都已可以和合资车对比。今天，我们就为大家推荐几款国产SUV，这几款车型无论外观，内饰设计都非常亮眼，各种配置也非</t>
  </si>
  <si>
    <t>2020/02/17 10:45:00</t>
  </si>
  <si>
    <t>近日，据广汽本田官方透露，广汽本田今年1月份终端零售销量达76,650辆，同比增长1.1%，为2020年的销量目标达成奠定了扎实基础。其中，皓影1月份售出9,539辆，有望在2020年成为广汽本田销量支柱的车型之一。广汽本田雅阁    具体车型方面，第十代雅阁1月份实现销量22,118辆，环比去年1</t>
  </si>
  <si>
    <t>2020/02/17 10:44:00</t>
  </si>
  <si>
    <t>　　近日，据广汽本田官方透露，广汽本田今年1月份终端零售销量达76,650辆，同比增长1.1%，为2020年的销量目标达成奠定了扎实基础。其中，皓影1月份售出9,539辆，有望在2020年成为广汽本田销量支柱的车型之一。广汽本田雅阁　　具体车型方面，第十代雅阁1月份实现销量22,118辆，环比去年1</t>
  </si>
  <si>
    <t>夏季开车是一件非常苦恼的事情，尤其是暴晒之后，车里面就跟蒸笼一样，一打开车门，一股热浪扑面而来，还包含大量的污染物。    通过实验提取，我们发现，这些污染物中包含大量的甲醛、苯、TVOC、细菌、病毒、微颗粒物等污染物。那么这些污染物是怎么来的呢？对此我们请教了业内的专家，专家表示，汽车污染是目前较</t>
  </si>
  <si>
    <t>2020/02/17 10:43:00</t>
  </si>
  <si>
    <t>　　夏季开车是一件非常苦恼的事情，尤其是暴晒之后，车里面就跟蒸笼一样，一打开车门，一股热浪扑面而来，还包含大量的污染物。　　通过实验提取，我们发现，这些污染物中包含大量的甲醛、苯、TVOC、细菌、病毒、微颗粒物等污染物。那么这些污染物是怎么来的呢？对此我们请教了业内的专家，专家表示，汽车污染是目前较</t>
  </si>
  <si>
    <t>　　红旗品牌在国人心中有着特殊的地位，它作为历代国家领导人的用车，大家在阅兵式、各个外事活动上都能看到红旗的身影，它代表了中国汽车工业的最高水平。2020年1月8日红旗在人民大会堂发布了该品牌的全新车型―红旗H9。H9作为红旗H系列的旗舰车型，它自然而然的成为了自主品牌中大型轿车的标杆，但它对于国人</t>
  </si>
  <si>
    <t>王亚捷</t>
  </si>
  <si>
    <t>2020/02/17 10:38:00</t>
  </si>
  <si>
    <t>投诉编号：【447491】  投诉时间： 2020-02-17 10:37  投诉品牌： 奇瑞汽车  投诉车系： 瑞虎8  投诉车型： 2018款 1.5TCI 自动 豪华型 5座        投诉内容  发动机变速箱匹配不好，转速3千不换挡，车不走。强制店内买保险，强制买盗抢险。车总之车垃圾的一</t>
  </si>
  <si>
    <t>2020/02/17 10:37:00</t>
  </si>
  <si>
    <t>近日，有媒体从大众官方了解到，企业发布了全新高尔夫gtd车型预告图，并将于3月3日开幕的2020日内瓦车展亮相。新车基于mqb平台打造，将与gti车型共享内饰和外观设计。    通过预告图可以看出，全新高尔夫gtd加入了众多全新设计元素，视觉效果更为动感。狭长的灯带贯穿前脸，辨识度极高，而右侧的“g</t>
  </si>
  <si>
    <t>　　近日，有媒体从大众官方了解到，企业发布了全新高尔夫gtd车型预告图，并将于3月3日开幕的2020日内瓦车展亮相。新车基于mqb平台打造，将与gti车型共享内饰和外观设计。　　通过预告图可以看出，全新高尔夫gtd加入了众多全新设计元素，视觉效果更为动感。狭长的灯带贯穿前脸，辨识度极高，而右侧的“g</t>
  </si>
  <si>
    <t>近日，有媒体从官方了解到，特斯拉model s/x在美国市场推出了长续航plus版（long range plus），售价分别74,490美元与79,690美元。新车基于长续航版本升级而来，主要针对续航里程进行提升。此外，两款新车型交付期为4到6周。    根据官网显示，特斯拉model s长续航p</t>
  </si>
  <si>
    <t>2020/02/17 10:35:00</t>
  </si>
  <si>
    <t>　　近日，有媒体从官方了解到，特斯拉model s/x在美国市场推出了长续航plus版（long range plus），售价分别74,490美元与79,690美元。新车基于长续航版本升级而来，主要针对续航里程进行提升。此外，两款新车型交付期为4到6周。　　根据官网显示，特斯拉model s长续航p</t>
  </si>
  <si>
    <t>　　作为国内城市suv的开拓者之一，本田cr-v车型对市场的影响力不言而喻，时至今日这款产品在25年的发展中，历代车型在国内市场上都是叫好又叫座，cr-v的热销也曾让这款车处于“一车难求”的销售状态，一度成为市场上的“神车”。伴随着消费升级以及同级竞品相继的更迭出新，东风本田也在今年推出cr-v的中</t>
  </si>
  <si>
    <t>2020/02/17 10:33:00</t>
  </si>
  <si>
    <t>要说最先有回归四缸苗头的品牌，当属通用。不管是别克的新款英朗还是雪佛兰的新款科鲁泽，在申报信息中均出现了四缸车型的影子。如果当初搭载三缸发动机是迫于环境压力，那么此番四缸发动机的回归也是迫于销量压力，毕竟三缸机再次出现在视野中至今已两年有余，可搭载三缸机的主流车型销量却不温不火。除此之外，自主品牌中</t>
  </si>
  <si>
    <t>2020/02/17 10:31:00</t>
  </si>
  <si>
    <t>四缸缤越即将回归 吉利开始放弃三缸？太多人感到“惋惜”要说最先有回归四缸苗头的品牌，当属通用。不管是别克的新款英朗还是雪佛兰的新款科鲁泽，在申报信息中均出现了四缸车型的影子。如果当初搭载三缸发动机是迫于环境压力，那么此番四缸发动机的回归也是迫于销量压力，毕竟三缸机再次出现在视野中至今已两年有余，可搭</t>
  </si>
  <si>
    <t>　　去年3月亚洲龙上市的时候推出了2.5l和双擎车型，后来在9月份又推出了2.0l车型，售价进一步降低，20万左右就能买一辆合资品牌中大型车了，而今天这台最低配的亚洲龙更是只要不到20万。通常情况下最低配车型存在的意义更多是为了拉低起售价，实际表现并不值得购买，那这台亚洲龙表现怎么样，咱们一起来看看</t>
  </si>
  <si>
    <t>侯云峰</t>
  </si>
  <si>
    <t>2020/02/17 10:30:00</t>
  </si>
  <si>
    <t>现在购买豪华品牌车型的消费者越来越多，但是很多人在购车之前都想要确认自己未来在购买了豪华品牌车型之后是否能够负担得起这台车的日常开销，那么如果家庭月收入在2万-2万5左右是否能够养得起一台宝马X3或者奥迪Q5L这样一台豪华品牌中型SUV呢？我们今天就来聊聊这个问题。 养一台宝马X3或者奥迪Q5L需要</t>
  </si>
  <si>
    <t>2020/02/17 10:29:00</t>
  </si>
  <si>
    <t>家庭月收入2万 能养得起一台宝马X3或者奥迪Q5L吗？现在购买豪华品牌车型的消费者越来越多，但是很多人在购车之前都想要确认自己未来在购买了豪华品牌车型之后是否能够负担得起这台车的日常开销，那么如果家庭月收入在2万-2万5左右是否能够养得起一台宝马X3或者奥迪Q5L这样一台豪华品牌中型SUV呢？我们今</t>
  </si>
  <si>
    <t>大到怀疑人生！盘点配备超大尺寸中控屏幕的车型 你都认识吗？随着时代的发展，大家对汽车也有了更高的追求，它们已不再是简单的交通工具，更是每天陪伴我们的生活伙伴。也正因如此，很多车企为了提高生活的便捷性及娱乐性，他们不知不觉已经在多款车型上安装了超大尺寸的中控显示屏，并将多种驾驶功能、影音娱乐功能集成到</t>
  </si>
  <si>
    <t>2020/02/17 10:28:00</t>
  </si>
  <si>
    <t xml:space="preserve">随着时代的发展，大家对汽车也有了更高的追求，它们已不再是简单的交通工具，更是每天陪伴我们的生活伙伴。也正因如此，很多车企为了提高生活的便捷性及娱乐性，他们不知不觉已经在多款车型上安装了超大尺寸的中控显示屏，并将多种驾驶功能、影音娱乐功能集成到一起。下面就一起来看看有哪些车型配备了超大尺寸中控屏！  </t>
  </si>
  <si>
    <t>　　新宝骏rs-3在2019年10月底上市，指导价格为7.18-8.98万元。作为新宝骏品牌下的首款小型suv，它同样使用了像气势感十足的前脸、分体式的大灯等家族化设计。新宝骏rs-3目前共有四款车型，搭载的均为1.5l发动机，选择起来也比较容易。它的最低配车型为1.5l手动24小时在线精英型（下文</t>
  </si>
  <si>
    <t>2020/02/17 10:27:00</t>
  </si>
  <si>
    <t>普拉多倒下了 三菱开始走上坡路 全系搭载V6引擎 价格不超26万玩越野的朋友都知道，在国内的越野市场中，虽然普拉多、酷路泽、途乐、牧马人等车型的越野能力都非常出色，但被誉为“山猫”的帕杰罗绝对是越野圈中的“硬汉”。曾经帕杰罗的产品力以及越野能力都在普拉多之上，是出了名的“买发动机送车”，车辆的耐用性</t>
  </si>
  <si>
    <t>李书福造跑车了！一天只能产3台 2.0T爆出1000N·m 破百仅需4秒这些年吉利汽车没少为中国汽车市场做贡献，最起码树立了中国汽车品牌在消费者心目中的形象，当然其中也少不了长城、长安等品牌的功劳，但吉利还有一个身份——自主品牌销量冠军。既然是销量冠军，就说明吉利最受中国消费者的欢迎，所以它也有底气</t>
  </si>
  <si>
    <t>2020/02/17 10:26:00</t>
  </si>
  <si>
    <t>这些年吉利汽车没少为中国汽车市场做贡献，最起码树立了中国汽车品牌在消费者心目中的形象，当然其中也少不了长城、长安等品牌的功劳，但吉利还有一个身份——自主品牌销量冠军。既然是销量冠军，就说明吉利最受中国消费者的欢迎，所以它也有底气去研发更多细分市场的车型，比如轿跑SUV、性能轿车等，当然这也是因为早先</t>
  </si>
  <si>
    <t>国产后直降15万 这豪车丐版就配2.0T+8AT 比奥迪A4L更值在豪华品牌中，奥迪是一个很有实力的厂商，旗下的多款车型都受到欢迎，比如在行政级轿车中，奥迪A6L的销量能够与宝马5系、奔驰E级抗衡，而在中型轿车中，奥迪A4L也堪比宝马3系和奔驰C级，而且奥迪A4L的价格也是这三个车型中最实惠的，很多</t>
  </si>
  <si>
    <t>2020/02/17 10:24:00</t>
  </si>
  <si>
    <t>新能源汽车成为大势所趋已是不争的事实，不过虽然其保有量在逐年提高，但二手车市场却十分萧条，甚至很多二手车商对新能源避之不及。马拉车市也曾多次走访其所在的成都市二手车市场，对新能源二手车的保值率有过一探究竟。经走访发现，新能源二手车车源稀少，二手车商直呼很“烫手”，基本上属于车商不敢接，消费者不敢买的</t>
  </si>
  <si>
    <t>“准新车”5折清仓 前途K50保值率让人堪忧新能源汽车成为大势所趋已是不争的事实，不过虽然其保有量在逐年提高，但二手车市场却十分萧条，甚至很多二手车商对新能源避之不及。马拉车市也曾多次走访其所在的成都市二手车市场，对新能源二手车的保值率有过一探究竟。经走访发现，新能源二手车车源稀少，二手车商直呼很“</t>
  </si>
  <si>
    <t>10万级别的价格 几十万的内饰和配置 这三款SUV值得一看10多万的价格，能选择的车型非常多，如果要追求性价比，想要用这个价格买到高配置的SUV车型，国产车是一个非常不错的选择。现在国产车发展的越来越好，很多国产品牌推出的车型都已可以和合资车对比。今天，我们就为大家推荐几款国产SUV，这几款车型无论</t>
  </si>
  <si>
    <t>2020/02/17 10:22:00</t>
  </si>
  <si>
    <t>　　小鹏汽车g3和威马ex5同属紧凑型suv，均是这个级别的重量级车型，天生就是一对宿敌。在2019年第三季度，两款车均又推出nedc续航520km的长续航车型，也随之开启了新一轮的厮杀。本期《知新车》邀请到两位车主，他们的爱车分别是2020款小鹏汽车g3 520长续航智享版（下简称小鹏g3）和20</t>
  </si>
  <si>
    <t>张文浩</t>
  </si>
  <si>
    <t>30万起步你会买吗？静态解析红旗H9就在昨天，中国自己的品牌红旗在位于首都北京的人民大会堂迎来了旗下红旗H9的首秀。紧接着在今天，红旗H9的实车就迎来了亮相。新车或将在北京车展上进行预售。 红旗H9一直被误认为是H7的换代车型，但其豪华的外观和超长的车身尺寸都远超于红旗H7。虽然目前并没有公布车身尺</t>
  </si>
  <si>
    <t>2020/02/17 10:21:00</t>
  </si>
  <si>
    <t>就在昨天，中国自己的品牌红旗在位于首都北京的人民大会堂迎来了旗下红旗H9的首秀。紧接着在今天，红旗H9的实车就迎来了亮相。新车或将在北京车展上进行预售。 红旗H9一直被误认为是H7的换代车型，但其豪华的外观和超长的车身尺寸都远超于红旗H7。虽然目前并没有公布车身尺寸，但预计该车车身可达5.2米，而轴</t>
  </si>
  <si>
    <t>2020/02/17 10:20:00</t>
  </si>
  <si>
    <t>　　最近事情比较多，有一段时间没有写汽车音响的内容了，这次忙里偷闲，特意去试了试林肯飞行家的汽车音响，在新的一年开始的时候，给您唠唠这台车的revel音响。　　这台林肯飞行家虽然我只听了2个小时，但它让我对汽车音响的调音方式有了一个新的想法：曾经我一直要求汽车音响需要有多么好的参数，调音要多么凸显音</t>
  </si>
  <si>
    <t>王�昊</t>
  </si>
  <si>
    <t>2020/02/17 10:19:00</t>
  </si>
  <si>
    <t>连续12个月销量为0 众泰SR9为何沦为“市场弃子”？大家好，一天一款新车资讯，欢迎关注本期内容！一款新车亮相，在汽车市场上的第一印象很重要，正所谓，人要看对了，不行也得行，车如果看不对，行也不行。就好像现在市场上势头正劲的比亚迪宋Pro、长安CS75 PLUS等车型，在刚推出上市后，就收获到了不错</t>
  </si>
  <si>
    <t>大家好，一天一款新车资讯，欢迎关注本期内容！一款新车亮相，在汽车市场上的第一印象很重要，正所谓，人要看对了，不行也得行，车如果看不对，行也不行。就好像现在市场上势头正劲的比亚迪宋Pro、长安CS75 PLUS等车型，在刚推出上市后，就收获到了不错的眼缘儿，再有一个不错的品牌形象和出色产品力，那销量爆</t>
  </si>
  <si>
    <t>最近事情比较多，有一段时间没有写汽车音响的内容了，这次忙里偷闲，特意去试了试林肯飞行家的汽车音响，在新的一年开始的时候，给您唠唠这台车的revel音响。    这台林肯飞行家虽然我只听了2个小时，但它让我对汽车音响的调音方式有了一个新的想法：曾经我一直要求汽车音响需要有多么好的参数，调音要多么凸显音</t>
  </si>
  <si>
    <t>想获得轿车的实用空间，又想获得跑车的拉风外形，四门轿跑就是一个不错的选择。其中的佼佼者，就是来自奥迪A5（下文主要说的是A5 Sportback）。虽然相比于同门的A4L，A5 Sportback的历史并不算悠久，但凭借别具一格的外形，A5 Sportback还是俘获了很多消费者的芳心。     虽</t>
  </si>
  <si>
    <t>2020/02/17 10:17:00</t>
  </si>
  <si>
    <t>它号称“小A7” 颜值比奔驰高 但售价只有奥迪A7的一半想获得轿车的实用空间，又想获得跑车的拉风外形，四门轿跑就是一个不错的选择。其中的佼佼者，就是来自奥迪A5（下文主要说的是A5 Sportback）。虽然相比于同门的A4L，A5 Sportback的历史并不算悠久，但凭借别具一格的外形，A5 S</t>
  </si>
  <si>
    <t>据外媒报道，近日，美国专利商标局（U.S. Patent and Trademark Office）正式公布了苹果公司新获得的40项专利，其中包括泰坦项目照明和投影系统。此前，苹果公司利用TrueDepth摄像头和点阵投影器（Dot projector）进行人脸识别。而此次苹果将这项技术提升到了一个</t>
  </si>
  <si>
    <t>2020/02/17 10:16:00</t>
  </si>
  <si>
    <t>　　据外媒报道，近日，美国专利商标局（U.S. Patent and Trademark Office）正式公布了苹果公司新获得的40项专利，其中包括泰坦项目照明和投影系统。此前，苹果公司利用TrueDepth摄像头和点阵投影器（Dot projector）进行人脸识别。而此次苹果将这项技术提升到了</t>
  </si>
  <si>
    <t>罗珊</t>
  </si>
  <si>
    <t>　　据外媒报道，在2020年CES展上，Eyeris Technologies公司宣布推出业界首款集成了图像、雷达和热成像传感器的车内传感器融合人工智能（AI）技术，以提高汽车的安全性和舒适性。Eyeris Technologies公司是车载场景理解（ISU）视觉人工智能技术全球领导者。　　Eyer</t>
  </si>
  <si>
    <t>2020/02/17 10:14:00</t>
  </si>
  <si>
    <t>据外媒报道，在2020年CES展上，Eyeris Technologies公司宣布推出业界首款集成了图像、雷达和热成像传感器的车内传感器融合人工智能（AI）技术，以提高汽车的安全性和舒适性。Eyeris Technologies公司是车载场景理解（ISU）视觉人工智能技术全球领导者。    Eyer</t>
  </si>
  <si>
    <t>　　日前，上汽集团公布了1月产销快报。快报显示，上汽集团1月销量为40万台，同比下滑34.55%。其中，在乘用车领域，合资板块下滑明显，而自主板块则呈现逆市回暖之态。　　数据显示，1月上汽集团旗下合资板块中，上汽大众销量为11.3万台，同比下滑40.53%；上汽通用1月销量为12.5万台，同比下滑3</t>
  </si>
  <si>
    <t>2020/02/17 10:12:00</t>
  </si>
  <si>
    <t>日前，上汽集团公布了1月产销快报。快报显示，上汽集团1月销量为40万台，同比下滑34.55%。其中，在乘用车领域，合资板块下滑明显，而自主板块则呈现逆市回暖之态。    数据显示，1月上汽集团旗下合资板块中，上汽大众销量为11.3万台，同比下滑40.53%；上汽通用1月销量为12.5万台，同比下滑3</t>
  </si>
  <si>
    <t>当地时间2月10日，日本的一份备案文件显示，丰田对斯巴鲁的股权变更已经完成。丰田预计耗资700亿日元（约44.7亿人民币），将自身对斯巴鲁持股比例由16.8%提升至20%。与此同时，斯巴鲁也将用相同的资金，收购丰田不足1%的股份。该协议自2020年2月6日起正式生效，上述股权变更意味着，斯巴鲁正式成</t>
  </si>
  <si>
    <t>2020/02/17 10:11:00</t>
  </si>
  <si>
    <t>投诉编号：【447488】  投诉时间： 2020-02-17 10:11  投诉品牌： 东风雪铁龙  投诉车系： 雪铁龙C4L  投诉车型： 2013款 1.8L 自动 劲享版        投诉内容  2013款1.8AT劲享C4L大概在2109年出现方向盘上下晃动，有严重安全隐患，去年4S店有</t>
  </si>
  <si>
    <t>　　当地时间2月10日，日本的一份备案文件显示，丰田对斯巴鲁的股权变更已经完成。丰田预计耗资700亿日元（约44.7亿人民币），将自身对斯巴鲁持股比例由16.8%提升至20%。与此同时，斯巴鲁也将用相同的资金，收购丰田不足1%的股份。该协议自2020年2月6日起正式生效，上述股权变更意味着，斯巴鲁正</t>
  </si>
  <si>
    <t>　　截至2月16日晚，一汽集团、上汽集团、广汽集团、长安汽车、长城汽车、吉利汽车、比亚迪以及日产、沃尔沃、马自达等车企陆续公布了其各自2020年1月份产销数据。从数据来看，即便深受春节、疫情影响，整体产销数据并不乐观，但这其中仍有闪光点的存在，如一汽、上汽、广汽及长安汽车等品牌自主乘用车销量回暖明显</t>
  </si>
  <si>
    <t>2020/02/17 10:09:00</t>
  </si>
  <si>
    <t>截至2月16日晚，一汽集团、上汽集团、广汽集团、长安汽车、长城汽车、吉利汽车、比亚迪以及日产、沃尔沃、马自达等车企陆续公布了其各自2020年1月份产销数据。从数据来看，即便深受春节、疫情影响，整体产销数据并不乐观，但这其中仍有闪光点的存在，如一汽、上汽、广汽及长安汽车等品牌自主乘用车销量回暖明显，增</t>
  </si>
  <si>
    <t>　　2月中旬，汽车人在因不断扩大的新冠肺炎疫情而焦虑与惶恐中，迎来了2020年开年第一个月的乘用车销量报告。据乘联会统计的数据显示，1月份，狭义乘用车综合销量为169.94万辆，同比下滑21.5%；狭义乘用车批发销量为158.95万辆，同比下降21.4%，环比跌幅达26.6%。　　与之前业内预测的一</t>
  </si>
  <si>
    <t>2020/02/17 10:08:00</t>
  </si>
  <si>
    <t>2月中旬，汽车人在因不断扩大的新冠肺炎疫情而焦虑与惶恐中，迎来了2020年开年第一个月的乘用车销量报告。据乘联会统计的数据显示，1月份，狭义乘用车综合销量为169.94万辆，同比下滑21.5%；狭义乘用车批发销量为158.95万辆，同比下降21.4%，环比跌幅达26.6%。    与之前业内预测的一</t>
  </si>
  <si>
    <t>　　自去年中国保险汽车安全指数（C-IASI）碰撞测试结果公布以来，众多热销车型折戟沉沙，其中就包括了以安全见称的德系车型。2月16日，C-IASI碰撞测试最新结果正式公布，作为2019年第二批第九款受测车型的长安CS75PLUS，以3项优秀（G）的成绩超越了大部分合资品牌车型，再度刷新了市场对自主</t>
  </si>
  <si>
    <t>2020/02/17 10:06:00</t>
  </si>
  <si>
    <t>　　虽然GPS（全球定位系统）是一种广泛用于地理定位的技术，在人类驾驶时能够发挥导航作用，但是却不一定一直很精确。苹果地图（Apple Maps）等地图应用程序，由于各种不同的原因，有时会为用户显示错误的位置。　　此类原因包括树木或山导致GPS信号受干扰、进入地下或室内、城市建筑物反射信号、太阳风暴</t>
  </si>
  <si>
    <t>2020/02/17 10:05:00</t>
  </si>
  <si>
    <t>虽然GPS（全球定位系统）是一种广泛用于地理定位的技术，在人类驾驶时能够发挥导航作用，但是却不一定一直很精确。苹果地图（Apple Maps）等地图应用程序，由于各种不同的原因，有时会为用户显示错误的位置。    此类原因包括树木或山导致GPS信号受干扰、进入地下或室内、城市建筑物反射信号、太阳风暴</t>
  </si>
  <si>
    <t>　　据外媒报道，日本电产株式会社（Nidec）在其电动汽车牵引电机系列产品中增加了两款新产品：用于D和E级车型（大型家用轿车和全尺寸/行政轿车）的200 kW牵引电机以及用于A级车型（微型/城市/轻型轿车）的50 kW牵引电机。上述两款产品都基于该公司原有的150 kW E-Axle（全球首个完全集</t>
  </si>
  <si>
    <t>2020/02/17 10:04:00</t>
  </si>
  <si>
    <t>据外媒报道，日本电产株式会社（Nidec）在其电动汽车牵引电机系列产品中增加了两款新产品：用于D和E级车型（大型家用轿车和全尺寸/行政轿车）的200 kW牵引电机以及用于A级车型（微型/城市/轻型轿车）的50 kW牵引电机。上述两款产品都基于该公司原有的150 kW E-Axle（全球首个完全集成式</t>
  </si>
  <si>
    <t>　　2019年，丰田（包括雷克萨斯）全年全球销量达到了1074.2万辆，同比增长1.4%，仅次于大众集团的1094万辆，居全球第二。其中，中国市场交出了162万辆的成绩单，同比增长9%，占丰田全球销量的15.1%，一跃成为丰田汽车全球第二大单一市场。　　雷克萨斯2019年国内销量首次突破20万辆，同</t>
  </si>
  <si>
    <t>2020/02/17 10:02:00</t>
  </si>
  <si>
    <t>2019年，丰田（包括雷克萨斯）全年全球销量达到了1074.2万辆，同比增长1.4%，仅次于大众集团的1094万辆，居全球第二。其中，中国市场交出了162万辆的成绩单，同比增长9%，占丰田全球销量的15.1%，一跃成为丰田汽车全球第二大单一市场。    雷克萨斯2019年国内销量首次突破20万辆，同</t>
  </si>
  <si>
    <t>　　在中保研公布了上汽大众帕萨特的碰撞成绩后，c-iasi似乎也取代了c-ncap的位置，成为了在中国最让消费者们信服的碰撞测试体系。在大家普遍认为安全性能没有问题的德系车折戟后，日系品牌在中保研的测试体系中会拿到一个什么样的分数呢？今天我们就来看看丰田双子星：一汽丰田卡罗拉（下文简称卡罗拉）和广汽</t>
  </si>
  <si>
    <t>2020/02/17 09:58:00</t>
  </si>
  <si>
    <t>投诉编号：【447487】  投诉时间： 2020-02-17 09:57  投诉品牌： 东风悦达起亚  投诉车系： 凯绅  投诉车型： 2017款 1.8L GLS        投诉内容  东风悦达起亚凯绅电瓶损坏无法充电，已告知4S店，得到回复需要较长等待时间。      投诉回复  车质网已</t>
  </si>
  <si>
    <t>2020/02/17 09:57:00</t>
  </si>
  <si>
    <t xml:space="preserve">在发展自动驾驶汽车的时候，行业内的企业纷纷组建了不同类型的产业联盟，比如自动驾驶计算联盟（avcc）就是其中之一。继通用、丰田、博世、大陆之后，新思科技也于近日加入了自动驾驶汽车计算联盟。新思科技将为自动驾驶汽车系统体系结构和计算平台的开发提出建议，这些建议将用于解决大规模部署自动驾驶汽车的挑战。 </t>
  </si>
  <si>
    <t>2020/02/17 09:56:00</t>
  </si>
  <si>
    <t>　　在发展自动驾驶汽车的时候，行业内的企业纷纷组建了不同类型的产业联盟，比如自动驾驶计算联盟（avcc）就是其中之一。继通用、丰田、博世、大陆之后，新思科技也于近日加入了自动驾驶汽车计算联盟。新思科技将为自动驾驶汽车系统体系结构和计算平台的开发提出建议，这些建议将用于解决大规模部署自动驾驶汽车的挑战</t>
  </si>
  <si>
    <t>作为韩系汽车品牌的龙头企业，现代和起亚在2019年的车市当中整体表现不温不火，根据官方数据现代汽车集团2019年全球实际总销量为719万台，相比去年同比下滑了3%，低于760万辆的年度目标。但这当中北京现代和东风悦达起亚，在面对2019年多变的中国车市，依旧顶住压力跑赢了大盘，其中北京现代2019年</t>
  </si>
  <si>
    <t>2020/02/17 09:55:00</t>
  </si>
  <si>
    <t>　　作为韩系汽车品牌的龙头企业，现代和起亚在2019年的车市当中整体表现不温不火，根据官方数据现代汽车集团2019年全球实际总销量为719万台，相比去年同比下滑了3%，低于760万辆的年度目标。但这当中北京现代和东风悦达起亚，在面对2019年多变的中国车市，依旧顶住压力跑赢了大盘，其中北京现代201</t>
  </si>
  <si>
    <t>截止至2019年9月，第十代雅阁在国内的销量已经达到16万余辆，当然这一数据也暂时领先同级别其他对手车型；而隔壁看似与雅阁相差不大的东风本田INSPIRE，这9个月的销量却只有前者的四分之一，月销量自上市以来也一直稳定在四位数。这究竟是实际产品力的差距？还是营销手段的缺乏？且听我给大家娓娓道来。本是</t>
  </si>
  <si>
    <t>2020/02/17 09:53:00</t>
  </si>
  <si>
    <t>滴滴司机总会问我们： 你搞清楚自己的定位没有？清楚自己的定位是一件很重要的事情，在汽车行业也是如此。目前的汽车销售格局无非大致分为两种，普通品牌以性价比收割大量的消费者，豪华品牌以更加出色的品质针对高端用户。精准的车型定位就像走对了路，条条大路也可以通罗马。而如果夹在中间则是一件比较尴尬的事情，如果</t>
  </si>
  <si>
    <t>雅阁最怕的对手应该是它，为什么销量却是雅阁的四分之一？截止至2019年9月，第十代雅阁在国内的销量已经达到16万余辆，当然这一数据也暂时领先同级别其他对手车型；而隔壁看似与雅阁相差不大的东风本田INSPIRE，这9个月的销量却只有前者的四分之一，月销量自上市以来也一直稳定在四位数。这究竟是实际产品力</t>
  </si>
  <si>
    <t>富人看不上，穷人买不起！这些车可真尴尬滴滴司机总会问我们： 你搞清楚自己的定位没有？清楚自己的定位是一件很重要的事情，在汽车行业也是如此。目前的汽车销售格局无非大致分为两种，普通品牌以性价比收割大量的消费者，豪华品牌以更加出色的品质针对高端用户。精准的车型定位就像走对了路，条条大路也可以通罗马。而如</t>
  </si>
  <si>
    <t>2020/02/17 09:52:00</t>
  </si>
  <si>
    <t>别克全新君越，是一款B+级别的轿车,其定价定位B级车,其尺寸更加接近C级车的级别，所以它是B+级别的轿车，下面小编就给大家介绍一下这款别克全新君越。全新君越在尺寸上，长宽高分别为5026*1866*1462mm，轴距2905mm，是一款乘坐空间非常舒适B+级别的乘用车。简洁饱满的型面，柔美韵动的车身</t>
  </si>
  <si>
    <t>今晚吃鸡</t>
  </si>
  <si>
    <t>2020/02/17 09:50:00</t>
  </si>
  <si>
    <t>　　2019年3月22日，大众在成都发布了子品牌“捷达”，并且展示了三款新车，同年9月，旗下主攻年轻消费市场的首款紧凑型suv，捷达vs5正式上市，车辆共推出搭载1.4t发动机的5款车型，售价为8.48-11.28万元。凭借大众多年来在国内积累的口碑，捷达品牌的推出无异于给许多预算有限的消费者提供了</t>
  </si>
  <si>
    <t>AUTOCAR是一家来自英国的汽车媒体，他家特别喜欢做盘点，在其官网首页上，非常容易就能找到「Top 10s The best cars on sale in the UK」这一分区，在其下面是各个细分领域的十佳车型。鉴于国人都很喜欢SUV，那咱就看看英国人评选的2019年度十佳家庭SUV都是哪些车</t>
  </si>
  <si>
    <t>适合精英消费者的一款豪华轿车别克全新君越，是一款B+级别的轿车,其定价定位B级车,其尺寸更加接近C级车的级别，所以它是B+级别的轿车，下面小编就给大家介绍一下这款别克全新君越。全新君越在尺寸上，长宽高分别为5026*1866*1462mm，轴距2905mm，是一款乘坐空间非常舒适B+级别的乘用车。简</t>
  </si>
  <si>
    <t>外媒评2019年十佳家庭SUV，这些车型你也认同吗？AUTOCAR是一家来自英国的汽车媒体，他家特别喜欢做盘点，在其官网首页上，非常容易就能找到「Top 10s The best cars on sale in the UK」这一分区，在其下面是各个细分领域的十佳车型。鉴于国人都很喜欢SUV，那咱就</t>
  </si>
  <si>
    <t>捷恩斯Genesis是韩国现代旗下的豪华车品牌，地位就类似雷克萨斯是丰田旗下豪华品牌一样。Genesis G90是捷恩斯品牌的旗舰车型，近日，有美国媒体对G90进行了实车试驾，让我们一起来看下韩国豪华车到底怎么样？Genesis G90是一款全尺寸的行政级轿车，最近捷恩斯推出了G90的2020款，2</t>
  </si>
  <si>
    <t>2020/02/17 09:49:00</t>
  </si>
  <si>
    <t>随着我国二胎政策的开放，MPV车型在国内也迎来了巨大的转机，越来越多的家庭将家庭的第二台车目光瞄准了MPV车型，这一点，从别克GL8以及丰田埃尔法的热销就能看出一二。曾经多用于商务接待的MPV车型，如今也是慢慢的走进了千家万户。不过，其实大家除了别克GL8以及丰田埃尔法外，其实还有一款合资家用MPV</t>
  </si>
  <si>
    <t>如果说梅赛德斯-迈巴赫S级轿车代表的是轿车中的豪华，那么谁能承受得起奢华之名呢？曾几何时，千万级的迈巴赫也成为了过去式，荣耀与传说相辉映，留下的是对奢华之名的向往。不过梅赛德斯-迈巴赫注定不会只是富人的“管家”，对于站在社会顶端的人士，它永远释放着好奇与关注的目光。迈巴赫一直走的都是豪华贵族轿车路线</t>
  </si>
  <si>
    <t>全国仅此一台！迈巴赫普尔曼S800加长版，唯一缺点没有卫生间如果说梅赛德斯-迈巴赫S级轿车代表的是轿车中的豪华，那么谁能承受得起奢华之名呢？曾几何时，千万级的迈巴赫也成为了过去式，荣耀与传说相辉映，留下的是对奢华之名的向往。不过梅赛德斯-迈巴赫注定不会只是富人的“管家”，对于站在社会顶端的人士，它永</t>
  </si>
  <si>
    <t>大众又来放大招了！7座王牌车型顶配已不到13万，比埃尔法实在随着我国二胎政策的开放，MPV车型在国内也迎来了巨大的转机，越来越多的家庭将家庭的第二台车目光瞄准了MPV车型，这一点，从别克GL8以及丰田埃尔法的热销就能看出一二。曾经多用于商务接待的MPV车型，如今也是慢慢的走进了千家万户。不过，其实大</t>
  </si>
  <si>
    <t>与迈巴赫同级的Genesis G90 价格却便宜一半捷恩斯Genesis是韩国现代旗下的豪华车品牌，地位就类似雷克萨斯是丰田旗下豪华品牌一样。Genesis G90是捷恩斯品牌的旗舰车型，近日，有美国媒体对G90进行了实车试驾，让我们一起来看下韩国豪华车到底怎么样？Genesis G90是一款全尺寸</t>
  </si>
  <si>
    <t>近日，北京现代宣布2020款瑞纳正式上市，新车的起售价仅为4.99万元，顶配车型的售价也不过7.39万元，一般合资车卖这么便宜，肯定配置惨不忍睹，那么2020款瑞纳是这样吗？下面我们来看看。咱们先从这款车的外观说起，瑞纳的前脸设计比较大气，采用了“大嘴”进气格栅设计，大灯也比较饱满。车身侧面来看，是</t>
  </si>
  <si>
    <t>2020/02/17 09:48:00</t>
  </si>
  <si>
    <t>起售价不到5万元 2020款瑞纳值得购买吗近日，北京现代宣布2020款瑞纳正式上市，新车的起售价仅为4.99万元，顶配车型的售价也不过7.39万元，一般合资车卖这么便宜，肯定配置惨不忍睹，那么2020款瑞纳是这样吗？下面我们来看看。咱们先从这款车的外观说起，瑞纳的前脸设计比较大气，采用了“大嘴”进气</t>
  </si>
  <si>
    <t>近几年很多汽车品牌都在不断推出豪华SUV车型，因为在汽车市场上，现在相对来说炫酷空间表现充足的豪华SUV比较火爆。特别是一些中大型的豪华SUV，今天我们要说的就是一款豪华SUV。汽车的整体豪华程度不输宾利，并且整体表现要赶超众多BBA豪华汽车。终于来了！新车颜值不输宾利，长超5米配4D导航，4.0T</t>
  </si>
  <si>
    <t>2020/02/17 09:47:00</t>
  </si>
  <si>
    <t>日前，吉利汽车公布了2020年1月的销量。数据显示，吉利汽车1月总销量111,838辆，同比下降29.4%。不过，考虑到1月的春节长假和新冠肺炎疫情的影响，这一表现还算可以。吉利汽车表示，1月其市占率更是创下了历史新高。    吉利汽车的数据显示，suv、轿车、mpv等全品类车型均有稳定表现，suv</t>
  </si>
  <si>
    <t>想获得轿车的实用空间，又想获得跑车的拉风外形，四门轿跑就是一个不错的选择。其中的佼佼者，就是来自奥迪A5（下文主要说的是A5 Sportback）。虽然相比于同门的A4L，A5 Sportback的历史并不算悠久，但凭借别具一格的外形，A5 Sportback还是俘获了很多消费者的芳心。虽然和A4L</t>
  </si>
  <si>
    <t>它号称“小A7”，颜值比奔驰高，但售价只有奥迪A7的一半想获得轿车的实用空间，又想获得跑车的拉风外形，四门轿跑就是一个不错的选择。其中的佼佼者，就是来自奥迪A5（下文主要说的是A5 Sportback）。虽然相比于同门的A4L，A5 Sportback的历史并不算悠久，但凭借别具一格的外形，A5 S</t>
  </si>
  <si>
    <t>雷克萨斯再出“性能王” 4.0T爆670马力近几年很多汽车品牌都在不断推出豪华SUV车型，因为在汽车市场上，现在相对来说炫酷空间表现充足的豪华SUV比较火爆。特别是一些中大型的豪华SUV，今天我们要说的就是一款豪华SUV。汽车的整体豪华程度不输宾利，并且整体表现要赶超众多BBA豪华汽车。终于来了！新</t>
  </si>
  <si>
    <t>连续12个月销量为0，众泰SR9为何沦为“市场弃子”？大家好，一天一款新车资讯，欢迎关注本期内容！一款新车亮相，在汽车市场上的第一印象很重要，正所谓，人要看对了，不行也得行，车如果看不对，行也不行。就好像现在市场上势头正劲的比亚迪宋Pro、长安CS75 PLUS等车型，在刚推出上市后，就收获到了不错</t>
  </si>
  <si>
    <t>　　日前，吉利汽车公布了2020年1月的销量。数据显示，吉利汽车1月总销量111,838辆，同比下降29.4%。不过，考虑到1月的春节长假和新冠肺炎疫情的影响，这一表现还算可以。吉利汽车表示，1月其市占率更是创下了历史新高。　　吉利汽车的数据显示，suv、轿车、mpv等全品类车型均有稳定表现，suv</t>
  </si>
  <si>
    <t>根据中汽协的批发数据，2019年本田CR-V以21.33万辆、同比增幅48.45%的成绩超过奇骏和途观L，登顶合资SUV销量榜首。不过，这并不意味着CR-V就可以放松警惕了，如今合资SUV市场的竞争空前激烈，CR-V想要卫冕冠军并不是一件容易的事。一方面，奇骏、途观L和CR-V的销量差距并不大，前两</t>
  </si>
  <si>
    <t>2020/02/17 09:46:00</t>
  </si>
  <si>
    <t>在外观上，广汽丰田威兰达在很多方面都做到与RAV4的粗犷风格进行区分，威兰达前脸设计采用分体式格栅，上部格栅和两边的大灯融为一体，展现出横向的拉伸感。下部格栅处有着尺寸夸张的网状式进气口，配合两侧的雾灯，整体呈现出“X”样式风格。车的尾部和兄弟车型也有着区别，最明显的是威兰达的尾灯，它采用了一种很动</t>
  </si>
  <si>
    <t>凭借着让众多车企闻风丧胆的强硬作风和让消费者心服口服的公开测试，中保研自问世起就受到了众多消费者和媒体的关注。多少标称安全的车型在中保研被扒掉了底裤、领到了差评，多少产品被认为“馅大皮薄”而又在中保研这里洗刷了冤名？其中最著名的案例当属前不久被中保研撞弯B柱的帕萨特，因为本身作为B级车还取得了如此糟</t>
  </si>
  <si>
    <t>百公里油耗低至4.6L的“省油王”在外观上，广汽丰田威兰达在很多方面都做到与RAV4的粗犷风格进行区分，威兰达前脸设计采用分体式格栅，上部格栅和两边的大灯融为一体，展现出横向的拉伸感。下部格栅处有着尺寸夸张的网状式进气口，配合两侧的雾灯，整体呈现出“X”样式风格。车的尾部和兄弟车型也有着区别，最明显</t>
  </si>
  <si>
    <t>日前，有媒体通过官方渠道获悉，2020年1月份小鹏g3车型的单月销量为1073台，在纯电动a级车suv市场中排名第一、在造车新势力品牌总榜中排名第二。此外，今年年初乘用车市场销量同比下降了29.6%，纯电suv同比下降了61.5%，在大环境下行的背景下，小鹏g3能取得这样的成绩实属不易。    20</t>
  </si>
  <si>
    <t>2020年谁能夺得合资SUV销量冠军？根据中汽协的批发数据，2019年本田CR-V以21.33万辆、同比增幅48.45%的成绩超过奇骏和途观L，登顶合资SUV销量榜首。不过，这并不意味着CR-V就可以放松警惕了，如今合资SUV市场的竞争空前激烈，CR-V想要卫冕冠军并不是一件容易的事。一方面，奇骏、</t>
  </si>
  <si>
    <t>两张碰撞图，看明白奥迪和大众的差距有多大凭借着让众多车企闻风丧胆的强硬作风和让消费者心服口服的公开测试，中保研自问世起就受到了众多消费者和媒体的关注。多少标称安全的车型在中保研被扒掉了底裤、领到了差评，多少产品被认为“馅大皮薄”而又在中保研这里洗刷了冤名？其中最著名的案例当属前不久被中保研撞弯B柱的</t>
  </si>
  <si>
    <t>　　日前，有媒体通过官方渠道获悉，2020年1月份小鹏g3车型的单月销量为1073台，在纯电动a级车suv市场中排名第一、在造车新势力品牌总榜中排名第二。此外，今年年初乘用车市场销量同比下降了29.6%，纯电suv同比下降了61.5%，在大环境下行的背景下，小鹏g3能取得这样的成绩实属不易。　　20</t>
  </si>
  <si>
    <t>在知乎上看见一个问题，"有哪些车型属于你买我推荐，但我不买的？"漫哥经常向朋友推荐购车，下面这几款就是经常向朋友推荐，但自己不会买的车型。雷克萨斯ES200漫哥一般会将雷克萨斯ES200推荐给40岁左右的人，主要原因是雷克萨斯ES汽油版4年或10万公里，混动版6年或15万公里免费保修，对于这个级别的</t>
  </si>
  <si>
    <t>2020/02/17 09:45:00</t>
  </si>
  <si>
    <t>全新吉利豪越内饰曝光！新车预计将在年内上市，新车的外观在设计上是非常的大气的，线条隆起的设计也呈现出了较为强烈的肌肉感，车身侧面的线条在设计上也更加的修长，内饰的大屏显示器更加有科技感，方向盘的平底式设计增加了一定的稳重性，空调出风口的设计呈现出一定的层次感，换挡杆区域的设计更加宽大，该车的长宽高为</t>
  </si>
  <si>
    <t>全新吉利豪越内饰曝光 车长近4.9米 184马力配1.8T全新吉利豪越内饰曝光！新车预计将在年内上市，新车的外观在设计上是非常的大气的，线条隆起的设计也呈现出了较为强烈的肌肉感，车身侧面的线条在设计上也更加的修长，内饰的大屏显示器更加有科技感，方向盘的平底式设计增加了一定的稳重性，空调出风口的设计呈</t>
  </si>
  <si>
    <t>你要买，我推荐，但我不买在知乎上看见一个问题，"有哪些车型属于你买我推荐，但我不买的？"漫哥经常向朋友推荐购车，下面这几款就是经常向朋友推荐，但自己不会买的车型。雷克萨斯ES200漫哥一般会将雷克萨斯ES200推荐给40岁左右的人，主要原因是雷克萨斯ES汽油版4年或10万公里，混动版6年或15万公里</t>
  </si>
  <si>
    <t>对于现在消费者来说，除了要关注车型的质量，品牌，价格等等，还要关注到车辆的保值率，毕竟很多人也不希望三五年要换车的时候，自己的一文不值了。毕竟买车的价格还是比较高，那么如果保值率比较高的车型，三五年后卖出去还能卖到不少的钱，这等于是有赚到。而今天，车行哥就和大家来说说，在轿车各级别中，最保值的车型有</t>
  </si>
  <si>
    <t>2020/02/17 09:44:00</t>
  </si>
  <si>
    <t>最保值的4款轿车，每一款都很值得买对于现在消费者来说，除了要关注车型的质量，品牌，价格等等，还要关注到车辆的保值率，毕竟很多人也不希望三五年要换车的时候，自己的一文不值了。毕竟买车的价格还是比较高，那么如果保值率比较高的车型，三五年后卖出去还能卖到不少的钱，这等于是有赚到。而今天，车行哥就和大家来说</t>
  </si>
  <si>
    <t>20万内无敌手 这台国产性能小钢炮究竟香不香领克对03车型寄予厚望，上市的时候到日本包了一个赛道发布，足够吸睛。而顺势推出03+性能版车型，则无疑打响了国产性能小钢炮的第一炮，引起国内车迷广泛关注。2.0T+四驱，18.58万起售，百公里加速5.9s，这样的硬件配置和性能表现，值得媒体一致赞誉。抛开</t>
  </si>
  <si>
    <t>日前，为保障市民群众疫情防控期间必要驾车出行需求，北京交管部门在推行交管业务“网上办、自助办、延期办”的基础上，即日起开通临时号牌网上申领服务。    此次推出的网上申领临时号牌服务主要包括以下3种情形：一是新购置车辆未办理临时号牌的；二是新购置已办理临时号牌车辆，因临时号牌临近有效期，拟再次申领临</t>
  </si>
  <si>
    <t>　　日前，为保障市民群众疫情防控期间必要驾车出行需求，北京交管部门在推行交管业务“网上办、自助办、延期办”的基础上，即日起开通临时号牌网上申领服务。　　此次推出的网上申领临时号牌服务主要包括以下3种情形：一是新购置车辆未办理临时号牌的；二是新购置已办理临时号牌车辆，因临时号牌临近有效期，拟再次申领临</t>
  </si>
  <si>
    <t>2020/02/17 09:43:00</t>
  </si>
  <si>
    <t>连续12个月销量为0 众泰SR9为何沦为“市场弃子”大家好，一天一款新车资讯，欢迎关注本期内容！一款新车亮相，在汽车市场上的第一印象很重要，正所谓，人要看对了，不行也得行，车如果看不对，行也不行。就好像现在市场上势头正劲的比亚迪宋Pro、长安CS75 PLUS等车型，在刚推出上市后，就收获到了不错的</t>
  </si>
  <si>
    <t>公认的几款国产省油SUV，不接受任何反驳随着经济水平的提高，汽车的数量也在不断增加。如今很多人都会选择购买一辆车，尤其是现在越来越接近过年，到了年底的时候，购车的人也越来越多，很多人买车都会选择SUV车型。接下来为大家介绍几款公认的国产省油SUV，一起来看看吧！　　SUV的优势　　先给大家介绍下SU</t>
  </si>
  <si>
    <t>日前，求是杂志刊载了《在中央政治局常委会会议研究应对新型冠状病毒肺炎疫情工作时的讲话》（以下简称《讲话》）。《讲话》着重对四个方面进行了观点阐述。其中在稳定居民消费方面，《讲话》也鼓励汽车限购地区适当增加汽车号牌份额。    以下为相关内容原文：    在着力稳定居民消费方面，《讲话》指出扩大消费是</t>
  </si>
  <si>
    <t>日前，我们从中华人民共和国交通运输部官网获悉，经国务院同意，从2020年2月17日0时起至疫情防控工作结束，全国收费公路免收车辆通行费。    据了解，免收通行费的车辆范围为依法通行收费公路的所有车辆；免收通行费的收费公路范围为符合《中华人民共和国公路法》和《收费公路管理条例》规定，经依法批准设置的</t>
  </si>
  <si>
    <t>　　日前，求是杂志刊载了《在中央政治局常委会会议研究应对新型冠状病毒肺炎疫情工作时的讲话》（以下简称《讲话》）。《讲话》着重对四个方面进行了观点阐述。其中在稳定居民消费方面，《讲话》也鼓励汽车限购地区适当增加汽车号牌份额。　　以下为相关内容原文：　　在着力稳定居民消费方面，《讲话》指出扩大消费是对冲</t>
  </si>
  <si>
    <t>　　日前，我们从中华人民共和国交通运输部官网获悉，经国务院同意，从2020年2月17日0时起至疫情防控工作结束，全国收费公路免收车辆通行费。　　据了解，免收通行费的车辆范围为依法通行收费公路的所有车辆；免收通行费的收费公路范围为符合《中华人民共和国公路法》和《收费公路管理条例》规定，经依法批准设置的</t>
  </si>
  <si>
    <t>2020/02/17 09:42:00</t>
  </si>
  <si>
    <t>它号称“小A7” 售价只有奥迪A7的一半想获得轿车的实用空间，又想获得跑车的拉风外形，四门轿跑就是一个不错的选择。其中的佼佼者，就是来自奥迪A5（下文主要说的是A5 Sportback）。虽然相比于同门的A4L，A5 Sportback的历史并不算悠久，但凭借别具一格的外形，A5 Sportback</t>
  </si>
  <si>
    <t>投诉编号：【447485】  投诉时间： 2020-02-17 09:42  投诉品牌： 东风雪铁龙  投诉车系： 世嘉  投诉车型： 2013款 1.6L 手动 品尚型 三厢        投诉内容  碳罐堵塞产生负压导致油箱变形压迫油泵至油表不准，我在网上看到神龙公司18年对13款的世嘉进行召回</t>
  </si>
  <si>
    <t>日前，有媒体获悉，新款奥迪rs 5将在今年8月份正式上市，新车依然分为coupe和sportback两种版本供消费者选择。与现款车型相比，新款rs 5的车头及车尾都有所微调，造型更加夸张。动力部分搭载2.9l v6双涡轮增压发动机。    作为中期改款车型，新款奥迪rs 5采用了新家族式设计语言，相</t>
  </si>
  <si>
    <t>2020/02/17 09:41:00</t>
  </si>
  <si>
    <t>　　日前，有媒体获悉，新款奥迪rs 5将在今年8月份正式上市，新车依然分为coupe和sportback两种版本供消费者选择。与现款车型相比，新款rs 5的车头及车尾都有所微调，造型更加夸张。动力部分搭载2.9l v6双涡轮增压发动机。　　作为中期改款车型，新款奥迪rs 5采用了新家族式设计语言，相</t>
  </si>
  <si>
    <t>日前，我们从官方获悉，在去年广州车展首发的北京现代菲斯塔纯电动版将于2月底正式上市，作为一款纯电动紧凑型轿车，菲斯塔纯电动版延续了此前燃油版车型的造型设计，nedc工况下续航里程为490km。    造型方面，菲斯塔纯电动版基本延续了燃油版车型的设计，不过细节上有所不同。最大的变化是前脸采用了封闭式</t>
  </si>
  <si>
    <t>2020/02/17 09:40:00</t>
  </si>
  <si>
    <t>　　日前，我们从官方获悉，在去年广州车展首发的北京现代菲斯塔纯电动版将于2月底正式上市，作为一款纯电动紧凑型轿车，菲斯塔纯电动版延续了此前燃油版车型的造型设计，nedc工况下续航里程为490km。　　造型方面，菲斯塔纯电动版基本延续了燃油版车型的设计，不过细节上有所不同。最大的变化是前脸采用了封闭式</t>
  </si>
  <si>
    <t>投诉编号：【447484】投诉时间：2020-02-1709:39投诉品牌：北京现代投诉车系：途胜投诉车型：2018款1.6T双离合两驱15周年特别版投诉内容北京现代途胜2018年升级发动机后噪音大，油耗增加，动力弱。2019升级发动机后噪音增大，动力减弱，偶尔发动机抖动。要求回复发动机出厂程序。投</t>
  </si>
  <si>
    <t>2020/02/17 09:39:00</t>
  </si>
  <si>
    <t>这些车看着不贵，但买回家可能连胎都换不起在市面上数不清的在售车型中，有那么一些车型虽然价格不算很昂贵，但是购买了这些车型的朋友也许会在后期用车的过程中发现，它们的换胎成本可不像车价那般“实惠”。唐新能源 DM 2.0T 全时四驱智联创世版/EV600D 四驱智联创世版32.99-35.99万元马牌C</t>
  </si>
  <si>
    <t>在市面上数不清的在售车型中，有那么一些车型虽然价格不算很昂贵，但是购买了这些车型的朋友也许会在后期用车的过程中发现，它们的换胎成本可不像车价那般“实惠”。唐新能源 DM 2.0T 全时四驱智联创世版/EV600D 四驱智联创世版32.99-35.99万元马牌CSC5 265/40 R22 1769元</t>
  </si>
  <si>
    <t>前言：第一次买车，大多人的购车需求仅是代步而已，所以那些讲求燃油经济性的轿车就特别受欢迎，诸如丰田卡罗拉、别克英朗以及日产轩逸等这些十来万就能提车回家。而购车预算来到20万，想必大家的购车观念就会升级，更希望能买到一辆动力强，并拥有四驱系统的SUV，以应付这种复杂的路况。今天，大咖就为大家推荐几款靠</t>
  </si>
  <si>
    <t>2020/02/17 09:38:00</t>
  </si>
  <si>
    <t>20万想买到2.0T+四驱？看看这几款是否合你意前言：第一次买车，大多人的购车需求仅是代步而已，所以那些讲求燃油经济性的轿车就特别受欢迎，诸如丰田卡罗拉、别克英朗以及日产轩逸等这些十来万就能提车回家。而购车预算来到20万，想必大家的购车观念就会升级，更希望能买到一辆动力强，并拥有四驱系统的SUV，以</t>
  </si>
  <si>
    <t>2月14日，mini官方宣布，旗下两款mini绝配限量版车型正式上市，售价分别为24.78万元和29.18万元。两款限量版车型基于在售的minicooper三门版和mini cooper s三门版打造，主要不同是采用了专属外观及内饰配色，另外配置上进行了一定升级。    据官方消息，本次上市的两款车</t>
  </si>
  <si>
    <t>　　2月14日，mini官方宣布，旗下两款mini绝配限量版车型正式上市，售价分别为24.78万元和29.18万元。两款限量版车型基于在售的minicooper三门版和mini cooper s三门版打造，主要不同是采用了专属外观及内饰配色，另外配置上进行了一定升级。　　据官方消息，本次上市的两款车</t>
  </si>
  <si>
    <t>动力与7座兼得满载油门踩不动？对于这些车来说不存在的！前不久，奔驰GLB的上市，再一次刷新了人们对7座SUV的认识。原来小型SUV也能装下7个座，原来1.3T的发动机也可以拖动一辆7座SUV。显然，GLB这样的7座SUV，无论是从空间还是从动力上来说，都是伪7座SUV。那有么有既能满足7座的刚需，同</t>
  </si>
  <si>
    <t>2020/02/17 09:37:00</t>
  </si>
  <si>
    <t>满载7人后，依然感受澎湃动力的SUV动力与7座兼得满载油门踩不动？对于这些车来说不存在的！前不久，奔驰GLB的上市，再一次刷新了人们对7座SUV的认识。原来小型SUV也能装下7个座，原来1.3T的发动机也可以拖动一辆7座SUV。显然，GLB这样的7座SUV，无论是从空间还是从动力上来说，都是伪7座S</t>
  </si>
  <si>
    <t>投诉编号：【447483】  投诉时间： 2020-02-17 09:37  投诉品牌： 奔驰（进口）  投诉车系： 奔驰B级  投诉车型： 2020款 B 200 动感型        投诉内容  进口奔驰B级发动机无法启动售后未解决，这次经销商承认是排气管冻住了，但是怎么办，没有说法。请厂商予以</t>
  </si>
  <si>
    <t>2019年对于车企来说，属于寒冬年，显得非常艰难；也有媒体预测2019可能是这几年汽车销量跌幅最大的一年，随着着2019各大车企厂商2019年销量数据公布，全球十大汽车销量的榜单也呼之欲出，从下图不难看出，两大日系品牌（本田，丰田）依旧占据了半壁江山。作为老牌车企大众依旧有两席，而在国内销量最高的三</t>
  </si>
  <si>
    <t>2020/02/17 09:36:00</t>
  </si>
  <si>
    <t>国内最畅销的10款车型，你的爱车上榜了吗？2019年对于车企来说，属于寒冬年，显得非常艰难；也有媒体预测2019可能是这几年汽车销量跌幅最大的一年，随着着2019各大车企厂商2019年销量数据公布，全球十大汽车销量的榜单也呼之欲出，从下图不难看出，两大日系品牌（本田，丰田）依旧占据了半壁江山。作为老</t>
  </si>
  <si>
    <t>日前，工信部发布了最新一批的新能源汽车推广目录。目录显示，荣威ei6作为一款纯电动紧凑型轿车，nedc续航里程达到了605km。荣威ei6采用了名为“集智设计”全新纯电动车型设计语言，并配有一体式全景天窗及低风阻轮圈。官方此前表示，该车将于4月开幕的北京车展正式亮相。    造型方面，荣威ei6并没</t>
  </si>
  <si>
    <t>　　日前，工信部发布了最新一批的新能源汽车推广目录。目录显示，荣威ei6作为一款纯电动紧凑型轿车，nedc续航里程达到了605km。荣威ei6采用了名为“集智设计”全新纯电动车型设计语言，并配有一体式全景天窗及低风阻轮圈。官方此前表示，该车将于4月开幕的北京车展正式亮相。　　造型方面，荣威ei6并没</t>
  </si>
  <si>
    <t>一直以来，普通消费者对于MPV的外观一直都是有比较深的偏见，不过这也不奇怪，因为早期的MPV侧滑门设计和较小的离地间隙，以及方方正正的面包车造型，无不给人一种廉价感。左为大众T1 右为ID.BUZZ去年底，有媒体绘制非常接近实车的大众ID.BUZZ假想图。从大众ID.BUZZ的遐想图可以看出，新车借</t>
  </si>
  <si>
    <t>2020/02/17 09:35:00</t>
  </si>
  <si>
    <t>谁说MPV都像面包车？这几款明明好看到爆一直以来，普通消费者对于MPV的外观一直都是有比较深的偏见，不过这也不奇怪，因为早期的MPV侧滑门设计和较小的离地间隙，以及方方正正的面包车造型，无不给人一种廉价感。左为大众T1 右为ID.BUZZ去年底，有媒体绘制非常接近实车的大众ID.BUZZ假想图。从大</t>
  </si>
  <si>
    <t>这年头房价是高不可攀，不过汽车的价格却是实实在在地下来了。20年前，得是怎样的土豪才有能力和魄力去买一部富康捷达桑塔纳，现在的年轻人张口闭口都是奔驰宝马奥迪。咱们客观来看，工业水平的提升以及充分的市场竞争的确让汽车的价格回到了正常水平。这都2020年了，我们姑且抛开20年前的老三样，以近些年的时间作</t>
  </si>
  <si>
    <t>2020/02/17 09:34:00</t>
  </si>
  <si>
    <t>这些车曾经很贵，现在真的很实惠这年头房价是高不可攀，不过汽车的价格却是实实在在地下来了。20年前，得是怎样的土豪才有能力和魄力去买一部富康捷达桑塔纳，现在的年轻人张口闭口都是奔驰宝马奥迪。咱们客观来看，工业水平的提升以及充分的市场竞争的确让汽车的价格回到了正常水平。这都2020年了，我们姑且抛开20</t>
  </si>
  <si>
    <t xml:space="preserve">日前，有媒体从相关渠道获悉，长安新能源e-rock将于今年4月正式上市。作为一款紧凑型纯电动suv，长安新能源e-rock基于长安cs55 plus车型打造，外观的部分细节体现了其新能源车型的身份。官方表示，这款车的nedc续航里程为605km。    长安新能源e-rock的外观基于长安cs55 </t>
  </si>
  <si>
    <t xml:space="preserve">　　日前，有媒体从相关渠道获悉，长安新能源e-rock将于今年4月正式上市。作为一款紧凑型纯电动suv，长安新能源e-rock基于长安cs55 plus车型打造，外观的部分细节体现了其新能源车型的身份。官方表示，这款车的nedc续航里程为605km。　　长安新能源e-rock的外观基于长安cs55 </t>
  </si>
  <si>
    <t>在上期内容中，我们对2019年热门轿车车型做了一个简单的总结和分析，对今年市面上最为畅销的5款热门轿车车型做了一个较为详细的解读，事实证明，在如今这个变化极快的市场之下，在轿车阵营中，依旧是德系和日系品牌更占优势。那，在热度同样非常高的SUV市场中，今年大家的表现又如何呢？虽然全年销量数据还没有出，</t>
  </si>
  <si>
    <t>2020/02/17 09:33:00</t>
  </si>
  <si>
    <t>盘点2019销量最好的5款SUV在上期内容中，我们对2019年热门轿车车型做了一个简单的总结和分析，对今年市面上最为畅销的5款热门轿车车型做了一个较为详细的解读，事实证明，在如今这个变化极快的市场之下，在轿车阵营中，依旧是德系和日系品牌更占优势。那，在热度同样非常高的SUV市场中，今年大家的表现又如</t>
  </si>
  <si>
    <t>　　受疫情影响，相信很多朋友原本的购车计划也暂时搁置了，不过经历了这次事件，也让越来越多的朋友知道了汽车的重要性，它不但是遮风挡雨、日常代步的工具，更是关键时候能保护您健康安全的伙伴，随着复工日子的到来，公共交通没有意外是大多数人选择的出行方式，这也极大增加了感染风险，如果您是私家车出行，感染的概率</t>
  </si>
  <si>
    <t>2019年底，几何品牌（隶属吉利汽车集团旗下的高端纯电品牌）第二款车型的谍照被陆续曝光，而官方也在近日对该车进行了申报，并将其命名为“几何c”。新车定位跨界紧凑纯电动suv，尺寸与吉利gse非常相近，预计今年4月发布。有媒体从几何汽车官方获得了几何c的详细动力信息。新车将推出两种版本，电机最大功率均</t>
  </si>
  <si>
    <t>2020/02/17 09:29:00</t>
  </si>
  <si>
    <t>　　2019年底，几何品牌（隶属吉利汽车集团旗下的高端纯电品牌）第二款车型的谍照被陆续曝光，而官方也在近日对该车进行了申报，并将其命名为“几何c”。新车定位跨界紧凑纯电动suv，尺寸与吉利gse非常相近，预计今年4月发布。有媒体从几何汽车官方获得了几何c的详细动力信息。新车将推出两种版本，电机最大功</t>
  </si>
  <si>
    <t>“这车是性感，很有power......”2月14日，上汽乘用车公司副总经理俞经民亲自上阵直播卖车，而他领导下的荣威、名爵品牌也在刚刚过去的1月份实现了逆势增长。上汽集团最新的产销数据显示，上汽乘用车（荣威 名爵）1月继续保持维稳，销量达到60,025辆（去年同期为60,003辆），而同期整体乘用车</t>
  </si>
  <si>
    <t>2020/02/17 09:28:00</t>
  </si>
  <si>
    <t>　　“这车是性感，很有power......”2月14日，上汽乘用车公司副总经理俞经民亲自上阵直播卖车，而他领导下的荣威、名爵品牌也在刚刚过去的1月份实现了逆势增长。上汽集团最新的产销数据显示，上汽乘用车（荣威 名爵）1月继续保持维稳，销量达到60,025辆（去年同期为60,003辆），而同期整体乘</t>
  </si>
  <si>
    <t>2020年初，新型冠状病毒席卷全国，阻碍了汽车行业生产销售活动的正常开展。受大环境的影响，有很多车企逐步加强了线上营销和新零售模式的探索，以消费者需求和理念来推动产品制造和营销活动的展开，探索以消费者为中心的新型商业模式。    在此期间，福田拓陆者不仅推出了“战疫情享无忧”暖心服务政策，为用户提供</t>
  </si>
  <si>
    <t>2020/02/17 09:27:00</t>
  </si>
  <si>
    <t>　　2020年初，新型冠状病毒席卷全国，阻碍了汽车行业生产销售活动的正常开展。受大环境的影响，有很多车企逐步加强了线上营销和新零售模式的探索，以消费者需求和理念来推动产品制造和营销活动的展开，探索以消费者为中心的新型商业模式。　　在此期间，福田拓陆者不仅推出了“战疫情享无忧”暖心服务政策，为用户提供</t>
  </si>
  <si>
    <t>阿斯顿·马丁（aston martin）近日推出了两款特别版车型，以庆祝阿斯顿·马丁在1959年的勒芒24小时耐力赛中取得的历史性胜利。这两款车型都以“ 59”为型号后缀，限量车型中dbs superleggera限量24台，vantage amr限量59台。    这两款车型设计灵感均来源于屡获殊</t>
  </si>
  <si>
    <t>2020/02/17 09:25:00</t>
  </si>
  <si>
    <t>　　阿斯顿・马丁（aston martin）近日推出了两款特别版车型，以庆祝阿斯顿・马丁在1959年的勒芒24小时耐力赛中取得的历史性胜利。这两款车型都以“ 59”为型号后缀，限量车型中dbs superleggera限量24台，vantage amr限量59台。　　这两款车型设计灵感均来源于屡获殊</t>
  </si>
  <si>
    <t>在2019年取得了销量增长33%的出色成绩后，新奔腾一鼓作气，将2020年的销量目标定在了20万辆。而在产品更新方面，品牌也将推出3款全新车型——c105、d357、d365（均为内部代号），涵盖新能源、轿车、suv三大细分市场来助力销量提升，这其中备受关注的c105将在今年第二季度上市。近日有媒体</t>
  </si>
  <si>
    <t>2020/02/17 09:24:00</t>
  </si>
  <si>
    <t>　　在2019年取得了销量增长33%的出色成绩后，新奔腾一鼓作气，将2020年的销量目标定在了20万辆。而在产品更新方面，品牌也将推出3款全新车型――c105、d357、d365（均为内部代号），涵盖新能源、轿车、suv三大细分市场来助力销量提升，这其中备受关注的c105将在今年第二季度上市。近日有</t>
  </si>
  <si>
    <t>林肯计划在今年晚些时候停产mkz车型，并且确认2021暂无新款轿车的生产计划。据年mkz销量反馈，在美国本土17725辆的交付成绩是该车型停产的最大原因，尽管结果不尽人意，但是作为林肯美国本土经销商委员会主席的汤姆·林奇在近期采访中表示，经销商正与林肯讨论轿车业务，认为轿车仍是他们希望销售的车型，并</t>
  </si>
  <si>
    <t>2020/02/17 09:23:00</t>
  </si>
  <si>
    <t>　　林肯计划在今年晚些时候停产mkz车型，并且确认2021暂无新款轿车的生产计划。据年mkz销量反馈，在美国本土17725辆的交付成绩是该车型停产的最大原因，尽管结果不尽人意，但是作为林肯美国本土经销商委员会主席的汤姆・林奇在近期采访中表示，经销商正与林肯讨论轿车业务，认为轿车仍是他们希望销售的车型</t>
  </si>
  <si>
    <t>　　据中国汽车流通协会汽车市场研究分会（乘联会）最新综合销量数据统计显示，1月份国内狭义乘用车市场销量达172.1万辆，同比下降20.4%，环比下降19.6%。有媒体从长安汽车官方获悉：今年1月，长安系中国品牌汽车销量103,899辆，其中乘用车销量79,708辆，逆势增长1.8%。　　具体车型方面</t>
  </si>
  <si>
    <t>2020/02/17 09:22:00</t>
  </si>
  <si>
    <t>据中国汽车流通协会汽车市场研究分会（乘联会）最新综合销量数据统计显示，1月份国内狭义乘用车市场销量达172.1万辆，同比下降20.4%，环比下降19.6%。有媒体从长安汽车官方获悉：今年1月，长安系中国品牌汽车销量103,899辆，其中乘用车销量79,708辆，逆势增长1.8%。    具体车型方面</t>
  </si>
  <si>
    <t>　　别克gl8一直以来都是国内最为当红的mpv车型，有着“陆地公务舱”的美誉，2019年销售出近15万辆。2016年别克推出主打高端的全新子品牌――别克avenir，首款车型便是gl8 avenir，其外观应用多项专属设计，内饰用料更加考究，配置更加丰富，并且提供了多项专属服务，但在座椅布局方面依然</t>
  </si>
  <si>
    <t>2020/02/17 09:21:00</t>
  </si>
  <si>
    <t>别克gl8一直以来都是国内最为当红的mpv车型，有着“陆地公务舱”的美誉，2019年销售出近15万辆。2016年别克推出主打高端的全新子品牌——别克avenir，首款车型便是gl8 avenir，其外观应用多项专属设计，内饰用料更加考究，配置更加丰富，并且提供了多项专属服务，但在座椅布局方面依然是2</t>
  </si>
  <si>
    <t>　　今年1月受到春节因素影响，有效销售时间仅有20天，而突发的新冠肺炎致使假期延长，让乘用车1月份整体销量同比下降20.4%。有媒体从广汽丰田官方获悉，广汽丰田延续了2019年的热销之势，顶住环境因素的压力，1月终端销量达到67,980辆，同比增长1.6%，实现逆势正增长。其中雷凌系列终端销量23,</t>
  </si>
  <si>
    <t>2020/02/17 09:20:00</t>
  </si>
  <si>
    <t>今年1月受到春节因素影响，有效销售时间仅有20天，而突发的新冠肺炎致使假期延长，让乘用车1月份整体销量同比下降20.4%。有媒体从广汽丰田官方获悉，广汽丰田延续了2019年的热销之势，顶住环境因素的压力，1月终端销量达到67,980辆，同比增长1.6%，实现逆势正增长。其中雷凌系列终端销量23,98</t>
  </si>
  <si>
    <t>　　前几日，皮卡车市公布了2020年1月份的广义皮卡销量，广义皮卡销量（包含专用车、n2、电动车）反应的是企业在皮卡领域中的综合实力。今天，皮卡车市曝光了2020年1月的狭义市场销量，将更能直观的反应皮卡市场的需求。　　核心亮点：　　一、2020年1月，狭义皮卡销量为25785辆，同比下滑32.93</t>
  </si>
  <si>
    <t>王希萌</t>
  </si>
  <si>
    <t>2020/02/17 09:18:00</t>
  </si>
  <si>
    <t>前几日，皮卡车市公布了2020年1月份的广义皮卡销量，广义皮卡销量（包含专用车、n2、电动车）反应的是企业在皮卡领域中的综合实力。今天，皮卡车市曝光了2020年1月的狭义市场销量，将更能直观的反应皮卡市场的需求。    核心亮点：    一、2020年1月，狭义皮卡销量为25785辆，同比下滑32.</t>
  </si>
  <si>
    <t>　　今年1月，受到春节假期以及新冠肺炎疫情的双重影响，各大汽车厂商都面临非常大的销售压力。但在此情况下，仍会有一些充满韧性的企业能够战胜市场，逆势上扬，东风本田就是其中之一。有媒体从东风本田官方了解到，东风本田今年1月售出73,597辆，同比逆势增长21.3%，思域和cr-v两款车型销量均突破2万辆</t>
  </si>
  <si>
    <t>2020/02/17 09:17:00</t>
  </si>
  <si>
    <t>今年1月，受到春节假期以及新冠肺炎疫情的双重影响，各大汽车厂商都面临非常大的销售压力。但在此情况下，仍会有一些充满韧性的企业能够战胜市场，逆势上扬，东风本田就是其中之一。有媒体从东风本田官方了解到，东风本田今年1月售出73,597辆，同比逆势增长21.3%，思域和cr-v两款车型销量均突破2万辆。而</t>
  </si>
  <si>
    <t>　　2月14日，与往年相比，也许缺乏扑鼻的玫瑰香，但爱的光环显得更加耀眼。疫情来的猝不及防，但爱与温暖的传递一直在持续。2020年的情人节已然不再是两个人的节日，而是所有人共同的记忆。　　而就在今天，上汽乘用车用特别的直播方式，表达了一份特别的“爱”。这里没有时尚博主，没有网红带货，而是上汽荣威、名</t>
  </si>
  <si>
    <t>2020/02/17 09:16:00</t>
  </si>
  <si>
    <t>2月14日，与往年相比，也许缺乏扑鼻的玫瑰香，但爱的光环显得更加耀眼。疫情来的猝不及防，但爱与温暖的传递一直在持续。2020年的情人节已然不再是两个人的节日，而是所有人共同的记忆。    而就在今天，上汽乘用车用特别的直播方式，表达了一份特别的“爱”。这里没有时尚博主，没有网红带货，而是上汽荣威、名</t>
  </si>
  <si>
    <t>　　雷克萨斯技术团队完成了全新的辅助驾驶系统的研发，但暂时不能进行全自动驾驶，但在后续研发更新中，可以实现更多的自主功能，该套系统或将于今年发布。　　在欧洲的新闻发布会上，雷克萨斯国际总裁佐藤晃司向媒体透露，今年将推出一款具有自动驾驶辅助功能的车型，将拥有在高速公路上的自动变道功能。　　佐藤没有透露</t>
  </si>
  <si>
    <t>2020/02/17 09:15:00</t>
  </si>
  <si>
    <t>　　近几年雪佛兰推出的suv产品一个比一个有样儿，从创酷到探界者，连公司前台小姐姐看了我们的稿子都来问优惠价。不过显然人们对颜值的追求是没有尽头的，新款探界者的申报图已经曝光，而前不久在芝加哥车展上，新款equinox（海外版探界者）正式亮相，下面我们就来聊聊这款新车的变化之处。　　总结一下雪佛兰新</t>
  </si>
  <si>
    <t>雷克萨斯技术团队完成了全新的辅助驾驶系统的研发，但暂时不能进行全自动驾驶，但在后续研发更新中，可以实现更多的自主功能，该套系统或将于今年发布。    在欧洲的新闻发布会上，雷克萨斯国际总裁佐藤晃司向媒体透露，今年将推出一款具有自动驾驶辅助功能的车型，将拥有在高速公路上的自动变道功能。    佐藤没有</t>
  </si>
  <si>
    <t>　　日前，编辑从相关渠道获得了奔驰全新GLE插电混动版路试谍照，新车在外观方面与燃油版车型变化不大。动力上继续由2.0T涡轮增压发动机与电动机组成，NEDC工况下续航里程将超过100km。　　新车外观与老款车型保持一致，前脸继续采用双横幅式进气格栅，搭配熏黑蜂窝中网以及硕大的品牌LOGO，彰显运动气</t>
  </si>
  <si>
    <t>日前，编辑从相关渠道获得了奔驰全新GLE插电混动版路试谍照，新车在外观方面与燃油版车型变化不大。动力上继续由2.0T涡轮增压发动机与电动机组成，NEDC工况下续航里程将超过100km。    新车外观与老款车型保持一致，前脸继续采用双横幅式进气格栅，搭配熏黑蜂窝中网以及硕大的品牌LOGO，彰显运动气</t>
  </si>
  <si>
    <t>　　寒潮再一次袭来，全国多地再次入冬失败。今年可以说是遭遇了多次寒潮的猛烈袭击，那我们的车上哪些地方是容易被低温损伤的呢？　　防冻液　　提到寒冷的冬天，首先想到的就是防冻液了。冬天户外气温非常低，要想车辆正常运转，就必须有足够的防冻液才行，否则水箱被冻住，无法正常循环，车辆就会出现故障了，防冻液少了</t>
  </si>
  <si>
    <t>2020/02/17 09:13:00</t>
  </si>
  <si>
    <t>寒潮再一次袭来，全国多地再次入冬失败。今年可以说是遭遇了多次寒潮的猛烈袭击，那我们的车上哪些地方是容易被低温损伤的呢？    防冻液    提到寒冷的冬天，首先想到的就是防冻液了。冬天户外气温非常低，要想车辆正常运转，就必须有足够的防冻液才行，否则水箱被冻住，无法正常循环，车辆就会出现故障了，防冻液</t>
  </si>
  <si>
    <t>　　近日，全国各地又迎来了大规模降温活动，更有部分地区再一次出现了明显的降雪过程。正赶上复工第一周的最后一天，对于不少朋友的出行有了不小的影响。今天小编就来教教大家如何在行车过程中，尽可能的保证行车视野。　　由于前风挡对于我们行车来说更为关键，所以所有车型为了保证前风挡的可视性，都在车内设置了前风挡</t>
  </si>
  <si>
    <t>2020/02/17 09:12:00</t>
  </si>
  <si>
    <t>近日，全国各地又迎来了大规模降温活动，更有部分地区再一次出现了明显的降雪过程。正赶上复工第一周的最后一天，对于不少朋友的出行有了不小的影响。今天小编就来教教大家如何在行车过程中，尽可能的保证行车视野。    由于前风挡对于我们行车来说更为关键，所以所有车型为了保证前风挡的可视性，都在车内设置了前风挡</t>
  </si>
  <si>
    <t>　　一个多月前，中国一汽红旗品牌盛典暨h9全球首秀在人民大会堂隆重举行。活动中，徐留平董事长庄重宣布将在2020年冲击20万销量目标。日前有媒体从一汽集团官方了解到，尽管受春节假期以及疫情的影响，红旗品牌1月份仍然延续了去年的热销态势，共销售整车12,630辆，同比增长142.7%。接下来，红旗还将</t>
  </si>
  <si>
    <t>2020/02/17 09:10:00</t>
  </si>
  <si>
    <t>一个多月前，中国一汽红旗品牌盛典暨h9全球首秀在人民大会堂隆重举行。活动中，徐留平董事长庄重宣布将在2020年冲击20万销量目标。日前有媒体从一汽集团官方了解到，尽管受春节假期以及疫情的影响，红旗品牌1月份仍然延续了去年的热销态势，共销售整车12,630辆，同比增长142.7%。接下来，红旗还将推出</t>
  </si>
  <si>
    <t>　　日前，三菱l200皮卡推出了名为trojan的新版本，该车型定位于4life与wariorr之间，是一款中端产品，主打高性价比和强劲的越野性能，售价为24699英镑（约合22.3万人民币）。　　trojan的外观设计保持了三菱l200原有设计风格，标配18英寸轮毂，对进气格栅、门把手和后视镜等部</t>
  </si>
  <si>
    <t>2020/02/17 09:09:00</t>
  </si>
  <si>
    <t>日前，三菱l200皮卡推出了名为trojan的新版本，该车型定位于4life与wariorr之间，是一款中端产品，主打高性价比和强劲的越野性能，售价为24699英镑（约合22.3万人民币）。    trojan的外观设计保持了三菱l200原有设计风格，标配18英寸轮毂，对进气格栅、门把手和后视镜等部</t>
  </si>
  <si>
    <t>　　荣威i6是上汽荣威旗下的紧凑型轿车，目前在售的包括1.5t和1.6l两种动力储备共计9款车型，售价区间为8.98-13.98万元。近日荣威i6 max完成了申报工作，有媒体也获取到了该车的详细信息。顾名思义，一般命名为max的车型，都是针对某款车尺寸、动力方面进行调整，通过对比我后我们发现，i6</t>
  </si>
  <si>
    <t>2020/02/17 09:07:00</t>
  </si>
  <si>
    <t>荣威i6是上汽荣威旗下的紧凑型轿车，目前在售的包括1.5t和1.6l两种动力储备共计9款车型，售价区间为8.98-13.98万元。近日荣威i6 max完成了申报工作，有媒体也获取到了该车的详细信息。顾名思义，一般命名为max的车型，都是针对某款车尺寸、动力方面进行调整，通过对比我后我们发现，i6 m</t>
  </si>
  <si>
    <t>　　近日有媒体从一汽-大众奥迪官网获悉，2020款q2l已正式上市，新车共推出5款配置车型，取消了上市专享版车型，并新增一款豪华动感型，官方售价区间为21.88-26.85万元。与老款车型相比，新款q2l主要对配置进行了调整，其中进取动感型（入门版）增配最多达到6项，同时售价小幅上调1,100元。　</t>
  </si>
  <si>
    <t>2020/02/17 09:06:00</t>
  </si>
  <si>
    <t xml:space="preserve">近日有媒体从一汽-大众奥迪官网获悉，2020款q2l已正式上市，新车共推出5款配置车型，取消了上市专享版车型，并新增一款豪华动感型，官方售价区间为21.88-26.85万元。与老款车型相比，新款q2l主要对配置进行了调整，其中进取动感型（入门版）增配最多达到6项，同时售价小幅上调1,100元。   </t>
  </si>
  <si>
    <t>　　目前，代号为w223的奔驰s-class以及迈巴赫版本正在紧锣密鼓的测试，预计年内发布，但是根据最近的一份报告，双门s级车型将不会再推出新车。　　据外媒获得的消息，s-class双门版和敞篷版车型很快将被奔驰母公司戴姆勒纳入停产计划， 以此降低企业运营成本。这两款车型虽然都是基于轿车平台开发，但</t>
  </si>
  <si>
    <t>2020/02/17 09:04:00</t>
  </si>
  <si>
    <t>目前，代号为w223的奔驰s-class以及迈巴赫版本正在紧锣密鼓的测试，预计年内发布，但是根据最近的一份报告，双门s级车型将不会再推出新车。    据外媒获得的消息，s-class双门版和敞篷版车型很快将被奔驰母公司戴姆勒纳入停产计划， 以此降低企业运营成本。这两款车型虽然都是基于轿车平台开发，但</t>
  </si>
  <si>
    <t>　　几何汽车是隶属吉利汽车集团旗下的高端纯电品牌，与吉利和领克并行的一级子品牌，目前仅一款纯电动轿车-几何a。日前从几何汽车官方获悉，旗下第二款车型，也是首款纯电动suv正式定名“几何c”，新车采用吉利最新智能网联技术，是全球首款量产无人驾驶纯电suv。　　据了解，几何c基于吉利纯电专属ge2.0全</t>
  </si>
  <si>
    <t>2020/02/17 09:03:00</t>
  </si>
  <si>
    <t>几何汽车是隶属吉利汽车集团旗下的高端纯电品牌，与吉利和领克并行的一级子品牌，目前仅一款纯电动轿车-几何a。日前从几何汽车官方获悉，旗下第二款车型，也是首款纯电动suv正式定名“几何c”，新车采用吉利最新智能网联技术，是全球首款量产无人驾驶纯电suv。    据了解，几何c基于吉利纯电专属ge2.0全</t>
  </si>
  <si>
    <t>在高速公路上最常见的异物就是爆碎轮胎残骸，而且很多都是大卡车上因为老化而脱落的胎面，还有车祸现场未处理干净的杂物，破碎的保险杠之类的，另外就是横穿公路的小动物或者是动物的尸体，这些我都遇见过，总之对于正常行驶的车辆来说还不会构成致命的威胁，顶多就是轻微打伤前保险杠。还有一种比较可怕的就是前车的遗撒物</t>
  </si>
  <si>
    <t>2020/02/17 09:01:00</t>
  </si>
  <si>
    <t>　　提及奥迪e-tron想必大家并不陌生，该款车型为奥迪旗下的一款中型纯电suv车型，并已在国内以及海外市场陆续开售。近日海外媒体曝光了一组奥迪新款e-tron 50 quattro车型售价，新车英国市场起售价为59,900英镑（约为55万人民币），并计划将于今年年内正式开售。　　配置方面，新车将提</t>
  </si>
  <si>
    <t>保持安全车距 汇总高速紧急变线注意事项在高速公路上最常见的异物就是爆碎轮胎残骸，而且很多都是大卡车上因为老化而脱落的胎面，还有车祸现场未处理干净的杂物，破碎的保险杠之类的，另外就是横穿公路的小动物或者是动物的尸体，这些我都遇见过，总之对于正常行驶的车辆来说还不会构成致命的威胁，顶多就是轻微打伤前保险</t>
  </si>
  <si>
    <t>提及奥迪e-tron想必大家并不陌生，该款车型为奥迪旗下的一款中型纯电suv车型，并已在国内以及海外市场陆续开售。近日海外媒体曝光了一组奥迪新款e-tron 50 quattro车型售价，新车英国市场起售价为59,900英镑（约为55万人民币），并计划将于今年年内正式开售。    配置方面，新车将提</t>
  </si>
  <si>
    <t xml:space="preserve">对于驾车者而言，盲区就是视线的死角和意识不到的地方。现在的汽车为了使行车更加的安全，设计了三个后视镜：车内后视镜、左后视镜、右后视镜。但并不是所有的情况我们都能通过镜子看清楚，这也一直是私家车主不易克服的难题。接下来笔者将为大家介绍一下，后视镜的盲区以及相应的解决办法。       后视镜盲区介绍 </t>
  </si>
  <si>
    <t>2020/02/17 09:00:00</t>
  </si>
  <si>
    <t>对于刚拿到驾照的新手来说，一进停车场就犯愁，停车也就成为了一种“考验”。接下来，笔者就为大家介绍一下我们最常见车位的停车方法——侧方位停车，为“新手”们提供一些参考。       我们要充分了解爱车的尺寸       在介绍停车方法之前，我们首先要做的就是充分了解爱车的尺寸，以避免不必要的刮蹭事故。</t>
  </si>
  <si>
    <t>相信大多数朋友在考取驾照后，都会选择购买自动档车型，理由很简单，方便、省事，尤其面对城市拥堵的路况更是让驾驶者感到轻松。但驾驶自动档的车真就和开卡丁车一样么?下面我们就一起看看驾驶自动档车型，在挂档时要注意什么。       ■重新认识自动档       或许对于大部分新手来讲，自动档只有4个档位，</t>
  </si>
  <si>
    <t>后视镜有死角 详解后视镜盲区及解决方法对于驾车者而言，盲区就是视线的死角和意识不到的地方。现在的汽车为了使行车更加的安全，设计了三个后视镜：车内后视镜、左后视镜、右后视镜。但并不是所有的情况我们都能通过镜子看清楚，这也一直是私家车主不易克服的难题。接下来笔者将为大家介绍一下，后视镜的盲区以及相应的解</t>
  </si>
  <si>
    <t>重新认识自动挡 教你自动挡使用技巧相信大多数朋友在考取驾照后，都会选择购买自动档车型，理由很简单，方便、省事，尤其面对城市拥堵的路况更是让驾驶者感到轻松。但驾驶自动档的车真就和开卡丁车一样么?下面我们就一起看看驾驶自动档车型，在挂档时要注意什么。       ■重新认识自动档       或许对于大</t>
  </si>
  <si>
    <t>　　途锐是大众旗下的一款中大型suv，该款车型早于2004年以进口形式引入国内市场开售，其市场销量与丰田普拉多、三菱帕杰罗等车型不相上下。近日海外媒体曝光了一组大众途锐新款车型最新消息，大众途锐gte车型将于今年11月于海外市场率先开售。而大途锐r hybrid将于今年年内开启投产，并将在明年8月1</t>
  </si>
  <si>
    <t>途锐是大众旗下的一款中大型suv，该款车型早于2004年以进口形式引入国内市场开售，其市场销量与丰田普拉多、三菱帕杰罗等车型不相上下。近日海外媒体曝光了一组大众途锐新款车型最新消息，大众途锐gte车型将于今年11月于海外市场率先开售。而大途锐r hybrid将于今年年内开启投产，并将在明年8月17日</t>
  </si>
  <si>
    <t>日前，据国内媒体报道称，北京现代新一代索纳塔将于今年4月正式上市。实车已于去年上海车展中亮相，采用最新外观和内饰设计，搭载1.5T和2.0T两款发动机，据悉未来还将推出混动版车型。    外观方面，北京现代索纳塔焕然一新，采用了最新设计语言。前脸配备家族式格栅，与现款菲斯塔等车型相似，格栅内配有亮黑</t>
  </si>
  <si>
    <t>停车也是一种“考验” 详解侧方位停车技巧对于刚拿到驾照的新手来说，一进停车场就犯愁，停车也就成为了一种“考验”。接下来，笔者就为大家介绍一下我们最常见车位的停车方法——侧方位停车，为“新手”们提供一些参考。       我们要充分了解爱车的尺寸       在介绍停车方法之前，我们首先要做的就是充分</t>
  </si>
  <si>
    <t>最近一段时间，也许是大家都很忙，路上的交通事故似乎一下子多了起来，不过冷静的分析一下，这些交通事故是不是也和我们平时对于一些容易发生危险的隐患对象的忽略有关呢?今天我们就来看看路上应该注意些什么。       行人：乱穿马路，有恃无恐       提到行人乱穿马路，相信很多人都会对此嗤之以鼻，的确，</t>
  </si>
  <si>
    <t>2020/02/17 08:59:00</t>
  </si>
  <si>
    <t>大家如何才能避免成为一个“马路杀手”呢？我们的新手上路指南会帮大家纠正一些坏习惯。       ■调整正确坐姿       新手上路的第一步，先得学会怎么坐。有人认为只要开车时坐着舒服就好，实则不然，调整良好的坐姿，不仅有利于控制车辆，对于在危急时刻的人身安全也是很有帮助的。       座椅都有调</t>
  </si>
  <si>
    <t>自2013年1月1日起，对于驾驶员闯红灯的处罚将由之前的扣3分，提升为扣6分，这一规定的出台，着实引起了一阵热议。不过冷静下来，还是让我们来看看如何通过交通信号灯吧。       不按信号灯行驶的将被扣6分       在开始了解如何通过交通信号灯前，我们还是来阅读一下交通法关于闯红灯的处罚规定吧，</t>
  </si>
  <si>
    <t>告别了炎热的夏天，我们进入了凉爽的秋天。然而秋季特有的阴雨绵绵天气，却给人们的出行带来了很多的不便，加大了车友们的安全隐患。因此，为了应对频繁变化的天气，车友们还是应该多了解了解秋季安全驾驶知识。       　　1. 谨防疲劳驾驶       从以往的事故中，我们很容易发现，疲劳驾驶是导致车祸发生</t>
  </si>
  <si>
    <t>　　在今年1月中旬，比亚迪正式申报了全新旗舰轿车――汉。新车将会推出dm（插电混动）和ev（纯电动）两个版本，整体尺寸与特斯拉model s非常接近，有望于2020年第二季度末/第三季度初（6月份左右）上市。有媒体从比亚迪官方获得了该车详细动力信息。其中，汉ev版将推出单电机/双电机版本，nedc续</t>
  </si>
  <si>
    <t>在今年1月中旬，比亚迪正式申报了全新旗舰轿车——汉。新车将会推出dm（插电混动）和ev（纯电动）两个版本，整体尺寸与特斯拉model s非常接近，有望于2020年第二季度末/第三季度初（6月份左右）上市。有媒体从比亚迪官方获得了该车详细动力信息。其中，汉ev版将推出单电机/双电机版本，nedc续航最</t>
  </si>
  <si>
    <t>安全意识缺乏 汇总上路必须警惕的注意事项最近一段时间，也许是大家都很忙，路上的交通事故似乎一下子多了起来，不过冷静的分析一下，这些交通事故是不是也和我们平时对于一些容易发生危险的隐患对象的忽略有关呢?今天我们就来看看路上应该注意些什么。       行人：乱穿马路，有恃无恐       提到行人乱穿</t>
  </si>
  <si>
    <t>严防“秋乏”! 谈不可不知的秋季驾驶知识告别了炎热的夏天，我们进入了凉爽的秋天。然而秋季特有的阴雨绵绵天气，却给人们的出行带来了很多的不便，加大了车友们的安全隐患。因此，为了应对频繁变化的天气，车友们还是应该多了解了解秋季安全驾驶知识。       　　1. 谨防疲劳驾驶       从以往的事故中</t>
  </si>
  <si>
    <t>闯红灯扣6分！一起来看看如何通过红绿灯自2013年1月1日起，对于驾驶员闯红灯的处罚将由之前的扣3分，提升为扣6分，这一规定的出台，着实引起了一阵热议。不过冷静下来，还是让我们来看看如何通过交通信号灯吧。       不按信号灯行驶的将被扣6分       在开始了解如何通过交通信号灯前，我们还是来</t>
  </si>
  <si>
    <t>新手上路指南 教你调整正确驾驶坐姿大家如何才能避免成为一个“马路杀手”呢？我们的新手上路指南会帮大家纠正一些坏习惯。       ■调整正确坐姿       新手上路的第一步，先得学会怎么坐。有人认为只要开车时坐着舒服就好，实则不然，调整良好的坐姿，不仅有利于控制车辆，对于在危急时刻的人身安全也是很</t>
  </si>
  <si>
    <t>如何停车，我想这是所有开车人都需要面对的问题。今天，编辑想和大家聊的是不少大城市CBD(中央商务区)中比较常见的立体车库停车时需要注意的哪些事儿。总结一句话就是：别心急，宁可多倒几把。       1、根据自己车辆的尺寸找车位       在停入立体车库之前，首先是要判断车位的大小，是不是适合自己的</t>
  </si>
  <si>
    <t>2020/02/17 08:58:00</t>
  </si>
  <si>
    <t>在日常驾车过程中，每个人多多少少都会存在一些“坏习惯”，许多事故中对我们造成伤害的也就是这些不起眼的“坏习惯”。       驾车恶习 NO.1       盲目使用安全带卡扣       现在许多车辆都有安全带报警设置，有些车主没有系安全带的习惯，而且十分烦“嘀嘀嘀”的报警音，所以一个极具创造力的</t>
  </si>
  <si>
    <t>遮阳板放CD 驾驶坏习惯TOP10排行榜在日常驾车过程中，每个人多多少少都会存在一些“坏习惯”，许多事故中对我们造成伤害的也就是这些不起眼的“坏习惯”。       驾车恶习 NO.1       盲目使用安全带卡扣       现在许多车辆都有安全带报警设置，有些车主没有系安全带的习惯，而且十分烦</t>
  </si>
  <si>
    <t>千万不能急！教你立体车库停车注意事项如何停车，我想这是所有开车人都需要面对的问题。今天，编辑想和大家聊的是不少大城市CBD(中央商务区)中比较常见的立体车库停车时需要注意的哪些事儿。总结一句话就是：别心急，宁可多倒几把。       1、根据自己车辆的尺寸找车位       在停入立体车库之前，首先</t>
  </si>
  <si>
    <t>　　因为疫情的出现，人们的生活被打乱了节奏，整个社会来了一次急刹车，同时对于消费者们来说，他们的购车计划可能需要搁置一段时间了，但这并不会妨碍他们去实现内心的“汽车梦”。因此，我们为大家整理了目前市场中十款热门紧凑级轿车的相关市场行情信息，来为他们在后续选车和购车过程中提供一份参考。　　朗逸全系共推</t>
  </si>
  <si>
    <t>2020/02/17 08:57:00</t>
  </si>
  <si>
    <t>新宝骏在年初正式发布了旗下首款纯电动车型——E300，根据最新消息显示，新宝骏E300纯电车将具体推出E300和E300P两个版本。其中，E300P版为四座车型，其在车身尺寸、动力参数以及续航里程方面相较两座版车型都会有所提升，NEDC工况下续航里程可达305km。    外观方面，四座版车型与两座</t>
  </si>
  <si>
    <t>2020/02/17 08:48:00</t>
  </si>
  <si>
    <t>对于轿跑SUV，不知道有多少人喜欢这种流线造型的。起初，从宝马X6开始，因其相对独特的设计，轿跑SUV并没有在消费群体中流行起来。可现如今，当年轻一代成为汽车市场的消费主力，他们想要摆脱“街车”的高度相似，渴望拥有一台既便宜又与众不同的车，如此一来，轿跑SUV又重新回到了大家的视野中。那么今天，大咖</t>
  </si>
  <si>
    <t>2020/02/17 08:46:00</t>
  </si>
  <si>
    <t>想做最靓的仔？这4款十万级轿跑SUV可别错过了对于轿跑SUV，不知道有多少人喜欢这种流线造型的。起初，从宝马X6开始，因其相对独特的设计，轿跑SUV并没有在消费群体中流行起来。可现如今，当年轻一代成为汽车市场的消费主力，他们想要摆脱“街车”的高度相似，渴望拥有一台既便宜又与众不同的车，如此一来，轿跑</t>
  </si>
  <si>
    <t>随着国内汽车市场的日趋成熟，很多家庭在买车时都希望购买一辆5座或7座车型，因此MPV车型越来越受到家庭青睐，驾乘舒适、空间多变且宽敞，尤其适合三口人以上的家庭。除此之外，创业人士也可将其作为创业路上的好帮手，宽敞的空间作为拉货的专车也不在话下。下面小编就为大家推荐3款适合家用商用都划算的MPV车型，</t>
  </si>
  <si>
    <t>2020/02/17 08:45:00</t>
  </si>
  <si>
    <t>家用商务两不误 这3款畅销车型推荐随着国内汽车市场的日趋成熟，很多家庭在买车时都希望购买一辆5座或7座车型，因此MPV车型越来越受到家庭青睐，驾乘舒适、空间多变且宽敞，尤其适合三口人以上的家庭。除此之外，创业人士也可将其作为创业路上的好帮手，宽敞的空间作为拉货的专车也不在话下。下面小编就为大家推荐3</t>
  </si>
  <si>
    <t>投诉编号：【447479】  投诉时间： 2020-02-17 08:45  投诉品牌： 北京奔驰  投诉车系： 奔驰GLA  投诉车型： 2017款 200 动感型        投诉内容  接到厂家召回信函后进站做召回，召回情况是（车辆的转向柱模块内的时钟弹簧因受异物进入导致气囊灯亮），但是进站</t>
  </si>
  <si>
    <t>对于一些朋友来说，一辆车可能不仅仅是一个简单的代步工具，拥有更加出色的行驶质感、更丰富的配置表现或者更有影响力的内外设计，才是这些朋友所看重的。为此，小编为大家挑选出下面三辆能让你享受更好行车品质的豪华中型车，它们不仅在各方面的表现都足够出色，关键是还有着力度不错的优惠。奥迪A4L厂商指导价：28.</t>
  </si>
  <si>
    <t>2020/02/17 08:44:00</t>
  </si>
  <si>
    <t>更出色的用车体验 三款优惠幅度不错的豪华车推荐对于一些朋友来说，一辆车可能不仅仅是一个简单的代步工具，拥有更加出色的行驶质感、更丰富的配置表现或者更有影响力的内外设计，才是这些朋友所看重的。为此，小编为大家挑选出下面三辆能让你享受更好行车品质的豪华中型车，它们不仅在各方面的表现都足够出色，关键是还有</t>
  </si>
  <si>
    <t>许多朋友总以为当下购买一台心仪的爱车会要花很多钱，但其实，随着我国经济发展的越来越好，许多的车子现在价格已经很亲民了。今天我就要来给大家推荐4款即便是正在读书的大学生也能够买得起的SUV车型，它们最低只需5.88万元就能够入手，也就是说如果大学生走贷款程序，那只需花1万多元就能把车子给开回家了。这样</t>
  </si>
  <si>
    <t>2020/02/17 08:43:00</t>
  </si>
  <si>
    <t>最低不到6万就买SUV 这4款国货你真要错过?许多朋友总以为当下购买一台心仪的爱车会要花很多钱，但其实，随着我国经济发展的越来越好，许多的车子现在价格已经很亲民了。今天我就要来给大家推荐4款即便是正在读书的大学生也能够买得起的SUV车型，它们最低只需5.88万元就能够入手，也就是说如果大学生走贷款程</t>
  </si>
  <si>
    <t>投诉编号：【447478】  投诉时间： 2020-02-17 08:41  投诉品牌： 一汽-大众  投诉车系： 高尔夫  投诉车型： 2018款 230TSI 自动 舒适型        投诉内容  低速正常行驶左前轮发出吱吱的异响，前悬挂过减速带发出咯吱咯吱异响，去过一次4s店到那里又不响了现</t>
  </si>
  <si>
    <t>2020/02/17 08:41:00</t>
  </si>
  <si>
    <t>此前，网络上曾曝光了几组改款现代胜达车型的测试谍照。日前，有海外媒体根据这些谍照绘制出了新车的渲染图。新款胜达整体造型更加前卫时尚，尤其是前脸设计十分个性。据悉，新车计划于今年年内或明年初正式亮相，未来也有望引入国内生产。    从渲染图来看，新车在前脸部分采用了现代最新的家族设计风格，相比以往的造</t>
  </si>
  <si>
    <t>2020/02/17 08:39:00</t>
  </si>
  <si>
    <t>　　此前，网络上曾曝光了几组改款现代胜达车型的测试谍照。日前，有海外媒体根据这些谍照绘制出了新车的渲染图。新款胜达整体造型更加前卫时尚，尤其是前脸设计十分个性。据悉，新车计划于今年年内或明年初正式亮相，未来也有望引入国内生产。　　从渲染图来看，新车在前脸部分采用了现代最新的家族设计风格，相比以往的造</t>
  </si>
  <si>
    <t>投诉编号：【447477】  投诉时间： 2020-02-17 08:38  投诉品牌： 北京现代  投诉车系： 领动  投诉车型： 2019款 1.4T 双离合 炫动·活力型        投诉内容  买车半年零3天，行驶3312公里，轮胎出现鼓包。      投诉回复  车质网已将您的投诉转给生</t>
  </si>
  <si>
    <t>2020/02/17 08:38:00</t>
  </si>
  <si>
    <t>日前，起亚全新索兰托官图正式曝光，新车预计将在3月份举办的日内瓦车展上首发亮相。此前，索兰托曾以进口形式引入到国内销售，而此次换代时间也明显早于其它品牌，预计新车上市后，还将继续与丰田汉兰达、别克昂科威等车型展开新一轮较量。    外观方面，与现款车型相比，新车整体视觉豪华感更强，同时，车身设计棱角</t>
  </si>
  <si>
    <t>2020/02/17 08:37:00</t>
  </si>
  <si>
    <t xml:space="preserve">日前，车质网从相关渠道获得了梅赛德斯-AMG G63 Cigarette Edition车型的官图。新车是由梅赛德斯-AMG与高性能快艇制造商Cigarette Racing共同打造而来，与此同时还推出了59‘ Tirranna AMG特别版豪华游艇，两者在细节之处采用了相同的车漆、图案等。    </t>
  </si>
  <si>
    <t>2020/02/17 08:35:00</t>
  </si>
  <si>
    <t>投诉编号：【447476】投诉时间：2020-02-1708:34投诉品牌：上汽集团投诉车系：名爵6投诉车型：2019款20T自动Trophy竞技版+BOSE音响豪华套装投诉内容中控台里有东西滚动异响，有时候在左，有时候在右，来回跑动。时速40左右响声特别明显。大灯起雾，左边灯光有大团黑边，导致照明</t>
  </si>
  <si>
    <t>2020/02/17 08:34:00</t>
  </si>
  <si>
    <t>面包车冬天能打着火，但是车不动弹，加油门也不走，有没有大神知道怎么回事，十万火急，求助。</t>
  </si>
  <si>
    <t>2020/02/17 08:29:32</t>
  </si>
  <si>
    <t>停车两天多一点，全车无电，无法启动及锁车，打400电话，过一会4s回电要收费救援，我一新车质量问题居然要收费；后来我自己找保险公司来救援的。最近几天天天得冒着疫情危险开车出去，就怕没电，昨天停了一天，今天打火就感觉很费劲，打了两次，而且哽哽了挺长时间，完全不像其他新车一把着那种。</t>
  </si>
  <si>
    <t>2020/02/17 08:16:00</t>
  </si>
  <si>
    <t>宝骏730胎压监测疑似减配发动机故障灯亮买车的时候有胎压监测显示，为什么提回来就没有，上次是气囊灯故障没解决好，这次又来个发动机故障灯，你们车用纸糊的吗？车子放2天就打不起火，这车给你们的人越造越垃圾，还有各种毛病没出来，才3100多公里就毛病一堆，一直相信上汽通用，这下搞的太伤心了。</t>
  </si>
  <si>
    <t>轮轮滚滚                高级技工</t>
  </si>
  <si>
    <t>买车的时候有胎压监测显示，为什么提回来就没有，上次是气囊灯故障没解决好，这次又来个发动机故障灯，你们车用纸糊的吗？车子放2天就打不起火，这车给你们的人越造越垃圾，还有各种毛病没出来，才3100多公里就毛病一堆，一直相信上汽通用，这下搞的太伤心了。</t>
  </si>
  <si>
    <t>日产途达电瓶亏电无法正常启动停车两天多一点，全车无电，无法启动及锁车，打400电话，过一会4s回电要收费救援，我一新车质量问题居然要收费；后来我自己找保险公司来救援的。最近几天天天得冒着疫情危险开车出去，就怕没电，昨天停了一天，今天打火就感觉很费劲，打了两次，而且哽哽了挺长时间，完全不像其他新车一把</t>
  </si>
  <si>
    <t>2018年购买车辆、开了12700公里发现四个原厂韩泰轮胎开裂，希望厂家处理问题。</t>
  </si>
  <si>
    <t>2020/02/17 08:15:00</t>
  </si>
  <si>
    <t>发动机抖动严重，加油门抖动更严重，而且发动机与变速箱连接处出现漏油现象，可能里面出现损伤，影响行车安全，希望尽快处理。</t>
  </si>
  <si>
    <t>上汽荣威RX3发动机与变速箱连接处漏油发动机抖动严重，加油门抖动更严重，而且发动机与变速箱连接处出现漏油现象，可能里面出现损伤，影响行车安全，希望尽快处理。</t>
  </si>
  <si>
    <t>大家看图 速腾韩泰轮胎开裂2018年购买车辆、开了12700公里发现四个原厂韩泰轮胎开裂，希望厂家处理问题。</t>
  </si>
  <si>
    <t>变速箱作为汽车三大件之一，刚刚购买四年的朗逸1.4t就出现严重的变速箱问题，实在让人无法接受。行驶中挡位灯闪烁失去动力，差点造成交通事故，4s店根据故障码检测需要更换变速箱机电单元，费用昂贵。才四年的车变速箱就坏了，设计缺陷毋庸置疑，大众却要消费者买单</t>
  </si>
  <si>
    <t>2020/02/17 08:14:00</t>
  </si>
  <si>
    <t>方向机故障，店内人员也检验过了，迟迟不到件，异响严重影响驾车心情。另外车快过保了维修遥遥无期，望尽快维修。</t>
  </si>
  <si>
    <t>CS10转向机故障导致异响方向机故障，店内人员也检验过了，迟迟不到件，异响严重影响驾车心情。另外车快过保了维修遥遥无期，望尽快维修。</t>
  </si>
  <si>
    <t>大众朗逸变速箱挡位灯闪烁变速箱作为汽车三大件之一，刚刚购买四年的朗逸1.4t就出现严重的变速箱问题，实在让人无法接受。行驶中挡位灯闪烁失去动力，差点造成交通事故，4s店根据故障码检测需要更换变速箱机电单元，费用昂贵。才四年的车变速箱就坏了，设计缺陷毋庸置疑，大众却要消费者买单</t>
  </si>
  <si>
    <t>帝豪GS车身多处生锈以前没注意过还是做保养，人说你车生锈的地方好几处，我开的很爱惜从来没有磕过碰过！还有开车时车载系统有时候突然自己增大音量吓人。</t>
  </si>
  <si>
    <t>2020/02/17 08:13:00</t>
  </si>
  <si>
    <t>哈弗F5变速箱无法正常提速变速箱故障给油不走，很容易出危险。希望厂家尽快解决。</t>
  </si>
  <si>
    <t>奇瑞艾瑞泽5发动机爆震有异响7000公里踩油门发动机舱有哒拉哒拉响，售后说发动机爆震是正常现象，后来越来越严重。24000公里厂家建议清洗缸内积碳，清洗后爆震减轻，行驶一千公里后症状又严重，爆震时动力减弱，油耗增加。希望厂家积极处理。</t>
  </si>
  <si>
    <t>一汽吉林森雅R9电瓶多次亏电这种问题已经出现两三次了，刚买不久也出现这种情况，现在又出这种情况，一点质量保障都没有，我要求给个说法，给个处理方案，不然要退换车。</t>
  </si>
  <si>
    <t>以前没注意过还是做保养，人说你车生锈的地方好几处，我开的很爱惜从来没有磕过碰过！还有开车时车载系统有时候突然自己增大音量吓人。</t>
  </si>
  <si>
    <t>7000公里踩油门发动机舱有哒拉哒拉响，售后说发动机爆震是正常现象，后来越来越严重。24000公里厂家建议清洗缸内积碳，清洗后爆震减轻，行驶一千公里后症状又严重，爆震时动力减弱，油耗增加。希望厂家积极处理。</t>
  </si>
  <si>
    <t>这种问题已经出现两三次了，刚买不久也出现这种情况，现在又出这种情况，一点质量保障都没有，我要求给个说法，给个处理方案，不然要退换车。</t>
  </si>
  <si>
    <t>变速箱故障给油不走，很容易出危险。希望厂家尽快解决。</t>
  </si>
  <si>
    <t>途达停放三天电瓶亏电可以去投诉吗？新型冠状病毒发生，小区不让车进出，车停放三天全车没电，用机械钥匙打开门，打开前盖，把电瓶并着，打火原地启动半小时左右，熄火。过了两天又打不着火，又用机械钥匙打开门用电瓶充电器给汽车电瓶充电。把人能折腾死，最后在网上一查，好多车友出现这个问题，真心希望有关部门领导能重</t>
  </si>
  <si>
    <t>平淡如水可否</t>
  </si>
  <si>
    <t>2020/02/17 08:12:00</t>
  </si>
  <si>
    <t>奇瑞艾瑞泽GX车身A柱及顶棚下雨漏水一下雨A柱顶棚就漏水，驾驶座都坐不成，顶棚都泡软了。</t>
  </si>
  <si>
    <t>一下雨A柱顶棚就漏水，驾驶座都坐不成，顶棚都泡软了。</t>
  </si>
  <si>
    <t>新型冠状病毒发生，小区不让车进出，车停放三天全车没电，用机械钥匙打开门，打开前盖，把电瓶并着，打火原地启动半小时左右，熄火。过了两天又打不着火，又用机械钥匙打开门用电瓶充电器给汽车电瓶充电。把人能折腾死，最后在网上一查，好多车友出现这个问题，真心希望有关部门领导能重视以及处理这个问题。</t>
  </si>
  <si>
    <t>吉林森雅R7发动机启动困难一汽吉林森雅R7发动机启动困难，开着开着如图故障，就停车了，熄火以后就不能启动了！还好是非常时期，没人，没车，不然真怕有重大事故。</t>
  </si>
  <si>
    <t>2020/02/17 08:11:00</t>
  </si>
  <si>
    <t>大众速腾副驾驶处漏水天窗关闭异常从年前开始，每次下雨副驾驶便有水漏进来，检查发现天窗排水孔并无堵塞，天窗也无法正常关闭，每次都会自动弹开，跟销售方联系无果，希望能给车主一个合理的解释。</t>
  </si>
  <si>
    <t>上汽名爵6两侧大灯下沉缝隙不均匀灯的两边不协调，往下沉下去。质量真的太差了名爵的。</t>
  </si>
  <si>
    <t>一汽吉林森雅R7发动机启动困难，开着开着如图故障，就停车了，熄火以后就不能启动了！还好是非常时期，没人，没车，不然真怕有重大事故。</t>
  </si>
  <si>
    <t>灯的两边不协调，往下沉下去。质量真的太差了名爵的。</t>
  </si>
  <si>
    <t>从年前开始，每次下雨副驾驶便有水漏进来，检查发现天窗排水孔并无堵塞，天窗也无法正常关闭，每次都会自动弹开，跟销售方联系无果，希望能给车主一个合理的解释。</t>
  </si>
  <si>
    <t>江铃驭胜S330车身生锈大灯开关故障离合器总泵换了几个，大灯开关换了两个，故障灯时不时亮，车生锈问题，我修了十多次了，4s店有记录。请你们给我个解决方案，我在此谢谢您们。</t>
  </si>
  <si>
    <t>2020/02/17 08:10:00</t>
  </si>
  <si>
    <t>速腾的问题真的是太普遍了一汽大众速腾1挡起步和倒挡半离合时转速高，1挡起步和倒挡半离合发动机转速过高，有自助补油现象。堵车很难控制。望厂家尽快给解决。</t>
  </si>
  <si>
    <t>草蛋的人生不需要解释</t>
  </si>
  <si>
    <t>奇瑞瑞虎8水箱泄漏防冻液水箱一直漏水没发现，一直补防冻液，希望厂家给予处理。</t>
  </si>
  <si>
    <t>宝骏730空调异味售后维修未解决问题在空调自动模式下，当车里温度与空调设定温度接近时，吹出来的风会有异味（像烧塑料的味道），经多次4S店维修仍未解决问题。</t>
  </si>
  <si>
    <t>速腾起步倒车转速升高 离合器磨损一汽大众速腾车子起步倒车时转速飙升1800-2000，售后没有解决方案，车子起步倒车转速高，堵车很难受，离合器磨损厉害，求厂家答复。</t>
  </si>
  <si>
    <t>是不是要下雪了</t>
  </si>
  <si>
    <t>如醉                  维修技师</t>
  </si>
  <si>
    <t>一汽大众速腾车子起步倒车时转速飙升1800-2000，售后没有解决方案，车子起步倒车转速高，堵车很难受，离合器磨损厉害，求厂家答复。</t>
  </si>
  <si>
    <t>水箱一直漏水没发现，一直补防冻液，希望厂家给予处理。</t>
  </si>
  <si>
    <t>一汽大众速腾1挡起步和倒挡半离合时转速高，1挡起步和倒挡半离合发动机转速过高，有自助补油现象。堵车很难控制。望厂家尽快给解决。</t>
  </si>
  <si>
    <t>在空调自动模式下，当车里温度与空调设定温度接近时，吹出来的风会有异味（像烧塑料的味道），经多次4S店维修仍未解决问题。</t>
  </si>
  <si>
    <t>离合器总泵换了几个，大灯开关换了两个，故障灯时不时亮，车生锈问题，我修了十多次了，4s店有记录。请你们给我个解决方案，我在此谢谢您们。</t>
  </si>
  <si>
    <t>中控显示屏黑屏一直无法解决广汽丰田汉兰达中控显示屏黑屏，购买时装的中控屏黑屏，原厂的中控屏就出现了这种问题，要求厂家解决好车辆的问题。</t>
  </si>
  <si>
    <t>坑货的双11</t>
  </si>
  <si>
    <t>2020/02/17 08:09:00</t>
  </si>
  <si>
    <t>北汽幻速S5天窗排水口堵塞车内都是水天窗排水口堵塞，天窗漏水，车后座明显积水。</t>
  </si>
  <si>
    <t>上汽大众朗逸车内异味上汽大众朗逸车内异味严重，买车这么久了，车内还是有异味，用了很多办法，都没办法根治。</t>
  </si>
  <si>
    <t>广汽丰田汉兰达中控显示屏黑屏，购买时装的中控屏黑屏，原厂的中控屏就出现了这种问题，要求厂家解决好车辆的问题。</t>
  </si>
  <si>
    <t>天窗排水口堵塞，天窗漏水，车后座明显积水。</t>
  </si>
  <si>
    <t>上汽大众朗逸车内异味严重，买车这么久了，车内还是有异味，用了很多办法，都没办法根治。</t>
  </si>
  <si>
    <t>雷克萨斯NX变速箱顿挫 异响本人今天倒车入库换挡，突然出现强烈顿挫感，并伴有异响，无故障灯亮起，停稳后熄火重启车辆，前后行进测试问题依然存在。2小时后开车出车库，未发现问题，但上路行驶3分钟后，发动机故障灯亮起，同时仪表盘显示“发动机故障请到经销店检查”、“TRC关闭了”灯信息提示，靠路边停车熄火重</t>
  </si>
  <si>
    <t>2020/02/17 08:08:00</t>
  </si>
  <si>
    <t>发动机故障灯亮怎么解决？提车后驾驶了几百公里就出发动机故障灯亮，去了多家4S店都没有解决，现在阜阳这边售后检查基本确定是三元催化器问题，说要等厂家发货，可现在又说什么资料不齐。</t>
  </si>
  <si>
    <t>生活中的希望是什么</t>
  </si>
  <si>
    <t>节温器渗漏怎么去解决？这是第二次投诉，很搞笑，厂家给我打个电话问了问题之后，就再没联系过我。然后自称采取令客户满意的措施。16年10月买的车，19年10月出质保期之前，特意去4S店检测有无毛病，当时并没有做全面检测，仅仅处理了我提出的一个小问题，然后回去以后，车放在家里一直没开，12月份回来，到保养</t>
  </si>
  <si>
    <t>湖人对猛龙</t>
  </si>
  <si>
    <t>投诉编号：【447474】  投诉时间： 2020-02-17 08:08  投诉品牌： 东风雪铁龙  投诉车系： 世嘉  投诉车型： 2013款 1.6L 手动 品尚型 三厢        投诉内容  车子停车时显示有3格油，再启动时没有油显示低液位报警，去加油站加满到跳枪，油表显示4分之3。打电</t>
  </si>
  <si>
    <t>本人今天倒车入库换挡，突然出现强烈顿挫感，并伴有异响，无故障灯亮起，停稳后熄火重启车辆，前后行进测试问题依然存在。2小时后开车出车库，未发现问题，但上路行驶3分钟后，发动机故障灯亮起，同时仪表盘显示“发动机故障请到经销店检查”、“TRC关闭了”灯信息提示，靠路边停车熄火重新打火着车，以上故障信息仍然</t>
  </si>
  <si>
    <t>这是第二次投诉，很搞笑，厂家给我打个电话问了问题之后，就再没联系过我。然后自称采取令客户满意的措施。16年10月买的车，19年10月出质保期之前，特意去4S店检测有无毛病，当时并没有做全面检测，仅仅处理了我提出的一个小问题，然后回去以后，车放在家里一直没开，12月份回来，到保养时间，去店里，马上指出</t>
  </si>
  <si>
    <t>大众宝来车身漏水严重影响使用没过质保期前换过减震换过方向机助力器球头修过一次漏水补过胶，这大众车子的通病这么多，设计不合理，现在又再次漏水，希望厂家能给予解决。继上次投诉完后，厂家叫去4S店检查，说是会给予解决，实际做法是，车子都没有检查直接就说是管子坏了，需要换管子。不在质保期内一律收费。垃圾大众</t>
  </si>
  <si>
    <t>2020/02/17 08:07:00</t>
  </si>
  <si>
    <t>减震器异响怎么去处理2016年12月16日我在邢台合强汽贸有限公司斯威4S店提的车，车型是斯威X7、16款豪华型，一年后在安静路段左前有轻微异响，怀疑减震器顶胶老化向4S店反应，修理工试了车说没试出来，我也没有太在意毕竟偶尔有响声，可能试时候没响。到2019年12月中就过保修期了，所以在12月前我又</t>
  </si>
  <si>
    <t>心太累想睡觉</t>
  </si>
  <si>
    <t>发动机异响应该怎么去处理？车速到30到50迈变速箱异响，现在已经更换了变速箱总成，但是问题还是存在，4S店技术也不到位，只能用排除法判断，之前说是变速箱的问题，既然更换后异响还是存在，那就证明这次是发动机异响导致的。</t>
  </si>
  <si>
    <t>洛杉矶只有LA</t>
  </si>
  <si>
    <t>2020/02/17 08:06:00</t>
  </si>
  <si>
    <t>吉利博越液晶仪表中控重启车辆行驶中液晶仪表自动重启，就和车辆熄火后重启动车辆液晶仪表就启动一样的，每次行驶中液晶仪表重启只有几秒钟4S店每次检查了都说正常，4s店叫我在出现了这个问题就录视频，这个是偶尔出现根本就没时间录视频只有几秒钟时间而且还是车辆行驶中（2018年一2020年有7一8次中控液晶仪</t>
  </si>
  <si>
    <t>奇瑞艾瑞泽5车门及车身生锈艾瑞泽5两后车门及后箱生锈，存在质量问题希望厂家解决。</t>
  </si>
  <si>
    <t>2020/02/17 08:05:00</t>
  </si>
  <si>
    <t>油耗增加应该怎么去处理？召回升级后发动机油耗增加同时噪音增大，升挡有抖动现象，慢速跟车过程中经常出现二挡升三挡发动机转速空转挡位不衔接，存在易追尾严重安全隐患。三年的车出现了后面两扇车窗框架锈蚀现象，越来越严重。郑重声明：以上反应情况属实，不抱希望得到有效解决，只是借此处告知广大群众，买车合资品牌也</t>
  </si>
  <si>
    <t>NBA即将开始</t>
  </si>
  <si>
    <t>召回升级后发动机油耗增加同时噪音增大，升挡有抖动现象，慢速跟车过程中经常出现二挡升三挡发动机转速空转挡位不衔接，存在易追尾严重安全隐患。三年的车出现了后面两扇车窗框架锈蚀现象，越来越严重。郑重声明：以上反应情况属实，不抱希望得到有效解决，只是借此处告知广大群众，买车合资品牌也不过如此。</t>
  </si>
  <si>
    <t>高速行驶中突然熄火真的是太危险了如何处理高速行驶突然熄火，拖维修站说电池坏了自费跟换电池，出维修站不到五公里又突然熄火。又拖维修站说发电机坏了，因车出现严重质量问题导致经济受损，售后不做任何处理。车出问题后所有拖车费用都是自费。因车短时间出现两次突然熄火现在都不敢开了，让售后找维修站给车做一次全面检</t>
  </si>
  <si>
    <t>不知道药好不好用</t>
  </si>
  <si>
    <t>2020/02/17 08:04:00</t>
  </si>
  <si>
    <t>没有合格证可以去起诉吗？购买时候说过俩天合格证就给，现在一个半月了还没有消息，没有合格证,上不了牌，打电话一推再推，帮忙给解决一下。</t>
  </si>
  <si>
    <t>2020/02/17 08:03:00</t>
  </si>
  <si>
    <t>　　日前，海外媒体曝光了一张全新大众高尔夫R车型的渲染图，新车基于全新高尔夫打造，配备了更具性能感的外观套件，并采用全新样式LOGO。据悉，该车或将搭载2.0T发动机，最大马力329Ps。　　根据此次曝光的渲染图来看，全新大众高尔夫R在第八代高尔夫车型的基础上，融入了运动感更强的性能套件。前格栅与前</t>
  </si>
  <si>
    <t>2020/02/17 07:48:00</t>
  </si>
  <si>
    <t>日前，海外媒体曝光了一张全新大众高尔夫R车型的渲染图，新车基于全新高尔夫打造，配备了更具性能感的外观套件，并采用全新样式LOGO。据悉，该车或将搭载2.0T发动机，最大马力329Ps。    根据此次曝光的渲染图来看，全新大众高尔夫R在第八代高尔夫车型的基础上，融入了运动感更强的性能套件。前格栅与前</t>
  </si>
  <si>
    <t>长安逸动手动挡和宝来传奇手动挡，哪个后期使用稳定些？油耗，保养便宜。</t>
  </si>
  <si>
    <t>2020/02/17 07:34:43</t>
  </si>
  <si>
    <t>宋pro精英版，A柱漏风一样的风燥，能处理不，厂家宣传与高配没有隔音棉的区别，现在如果要家装需自己掏100块钱，合理不？</t>
  </si>
  <si>
    <t>2015款速腾1.4T自动变速箱挡位灯闪烁能修的好吗？</t>
  </si>
  <si>
    <t>2020/02/17 07:26:19</t>
  </si>
  <si>
    <t>广州珠三角的物流在疫情期间是不是停运了？什么时候开运的？</t>
  </si>
  <si>
    <t>200L运动版这款车值得购买吗？</t>
  </si>
  <si>
    <t>2020/02/17 07:26:18</t>
  </si>
  <si>
    <t>雪佛兰迈锐宝节温器的位置在哪里？</t>
  </si>
  <si>
    <t>2020/02/17 07:22:18</t>
  </si>
  <si>
    <t>天逸C5 AIRCROSS质量如何有烧机油问题吗？是否值得购买。</t>
  </si>
  <si>
    <t>车大灯不亮，打开灯光后，所有灯都亮，就大灯不亮。有时候亮，有时候不亮。</t>
  </si>
  <si>
    <t>2020/02/17 07:18:51</t>
  </si>
  <si>
    <t>1月份新买的车，下雨天跑一趟，发动机舱到处溅泥水，怎么处理？</t>
  </si>
  <si>
    <t>2020/02/17 07:15:16</t>
  </si>
  <si>
    <t>宋pro的发动机和变速箱前期是否应用过其它车型？质量是否稳定。</t>
  </si>
  <si>
    <t>欲购买雷凌，看到不少雷凌后减震漏油的投诉，麻烦请问最新款雷凌后减震问题解决了吗？是否共性问题，谢谢！</t>
  </si>
  <si>
    <t>2020/02/17 07:10:11</t>
  </si>
  <si>
    <t>　　2020年新年伊始，一场突如其来的新型冠状病毒疫情彻底打乱了人们的生活节奏。作为平头老百姓的我们，也在积极响应政府号召，减少外出；从外地返家后自行在家隔离。但是，对于有车一族来说，疫情期间除了我们要保护好自己之外，车辆的健康问题也千万别落下！特别是由于车辆长时间放置而有可能引发的蓄电池亏电问题，</t>
  </si>
  <si>
    <t>2020/02/17 07:10:00</t>
  </si>
  <si>
    <t>　　广汽新能源2019年的销量成绩喜人，全年累计5.69万辆，Aion S功不可没。借助Aion S的强势表现，广汽集团成为了新能源领域里一匹强劲的黑马，赶超之势无法被对手阻挡。Aion S是广汽新能源复兴之路的基石，但仅凭一款车征服市场还远远不够。很快，广汽新能源就弥补了SUV市场的空白，推出了A</t>
  </si>
  <si>
    <t>2020年新年伊始，一场突如其来的新型冠状病毒疫情彻底打乱了人们的生活节奏。作为平头老百姓的我们，也在积极响应政府号召，减少外出；从外地返家后自行在家隔离。但是，对于有车一族来说，疫情期间除了我们要保护好自己之外，车辆的健康问题也千万别落下！特别是由于车辆长时间放置而有可能引发的蓄电池亏电问题，不容</t>
  </si>
  <si>
    <t>爱车保养得好与坏，关系到它能伴你多久，也直接关系到你和亲友们的出行安全。除了固定时间送去4S店里做保养以外，平时我们也必需多注意自己爱车的情况。毕竟这是涉及到生命安全的事情，建议不要忽视。        如果你还在为具体怎么保养而犯愁，那不妨来看看我为你准备的保养功课清单。如果觉得实用，那建议你先把</t>
  </si>
  <si>
    <t>2020/02/17 07:02:00</t>
  </si>
  <si>
    <t>除保养外应该还有哪些用车检查？        爱车保养得好与坏，关系到它能伴你多久，也直接关系到你和亲友们的出行安全。除了固定时间送去4S店里做保养以外，平时我们也必需多注意自己爱车的情况。毕竟这是涉及到生命安全的事情，建议不要忽视。        如果你还在为具体怎么保养而犯愁，那不妨来看看我为你</t>
  </si>
  <si>
    <t>2020/02/17 04:09:48</t>
  </si>
  <si>
    <t>投诉编号：【447473】
投诉时间： 2020-02-17 03:17
投诉品牌： 长城汽车
投诉车系： 哈弗F7
投诉车型： 2019款 2.0T 两驱 i范</t>
  </si>
  <si>
    <t>2020/02/17 00:18:51</t>
  </si>
  <si>
    <t>投诉编号：【447470】
投诉时间： 2020-02-17 00:14
投诉品牌： 上汽大众
投诉车系： 帕萨特
投诉车型： 2017款 330TSI 御尊版</t>
  </si>
  <si>
    <t>2020/02/17 00:18:48</t>
  </si>
  <si>
    <t>投诉编号：【447469】
投诉时间： 2020-02-17 00:05
投诉品牌： 上汽通用别克
投诉车系： 凯越
投诉车型： 2013款 1.5L 自动 尊享型</t>
  </si>
  <si>
    <t>2020/02/16 23:59:59</t>
  </si>
  <si>
    <t>投诉编号：【447468】
投诉时间： 2020-02-16 23:52
投诉品牌： 上汽通用雪佛兰
投诉车系： 科鲁兹
投诉车型： 2013款 1.6L SE 手动</t>
  </si>
  <si>
    <t>2020/02/16 22:38:26</t>
  </si>
  <si>
    <t>投诉编号：【447465】
投诉时间： 2020-02-16 22:34
投诉品牌： 上汽集团
投诉车系： 锐腾
投诉车型： 2017款 20T 自动 尊享版</t>
  </si>
  <si>
    <t>投诉编号：【447466】  投诉时间： 2020-02-16 22:35  投诉品牌： 东风本田  投诉车系： INSPIRE  投诉车型： 2019款 260TURBO 精致版 国V        投诉内容  发动机高压油泵异响，有尖锐的类似鸟叫的声音，希望厂家尽快给予回复。      投诉回复</t>
  </si>
  <si>
    <t>2020/02/16 22:35:00</t>
  </si>
  <si>
    <t>投诉编号：【447462】  投诉时间： 2020-02-16 21:54  投诉品牌： 一汽-大众  投诉车系： 速腾  投诉车型： 2018款 1.6L 自动 舒适型        投诉内容  刹车严重异响，刚开始只是前进踩刹车有异响，现在倒车踩刹车也有异响，而且声音非常大非常刺耳，严重影响驾驶</t>
  </si>
  <si>
    <t>2020/02/16 21:54:00</t>
  </si>
  <si>
    <t xml:space="preserve">投诉编号：【447461】  投诉时间： 2020-02-16 21:23  投诉品牌： 广汽丰田  投诉车系： 汉兰达  投诉车型： 2015款 2.0T 四驱 精英版 7座        投诉内容  广汽丰田汉兰达后曲轴油封漏油严重，在2015年汉兰达就已经出现该问题，所以希望厂家处理问题。  </t>
  </si>
  <si>
    <t>2020/02/16 21:23:00</t>
  </si>
  <si>
    <t>2020/02/16 20:56:42</t>
  </si>
  <si>
    <t>投诉编号：【447456】
投诉时间： 2020-02-16 20:13
投诉品牌： 上汽斯柯达
投诉车系： 柯米克
投诉车型： 2018款 1.5L 自动 舒适版 国VI</t>
  </si>
  <si>
    <t>投诉编号：【447459】  投诉时间： 2020-02-16 20:53  投诉品牌： 一汽-大众奥迪  投诉车系： 奥迪A4L  投诉车型： 2015款 2.0T CVT 标准型        投诉内容  2019年3月份装防冻液水壶无故开裂，价格较便宜自行更换，2019年11月发现防冻液缺失严</t>
  </si>
  <si>
    <t>2020/02/16 20:53:00</t>
  </si>
  <si>
    <t>2020/02/16 20:42:52</t>
  </si>
  <si>
    <t>投诉编号：【447455】
投诉时间： 2020-02-16 20:13
投诉品牌： 郑州日产
投诉车系： 途达
投诉车型： 2020款 2.5L 自动 四驱 旗舰版</t>
  </si>
  <si>
    <t>2020/02/16 20:38:34</t>
  </si>
  <si>
    <t>投诉编号：【447454】
投诉时间： 2020-02-16 19:58
投诉品牌： 长城汽车
投诉车系： 哈弗F7
投诉车型： 2019款 1.5T 两驱 i型</t>
  </si>
  <si>
    <t>朗逸400多公里出现故障 厂家不给解决新车400多公里变速箱出现故障，到大众4S店检查出现故障码，4S电说他们解决不了，没修过变速箱也不会修，说只能往厂家报，然后厂家说没问题，故障码都出来了还说没问题，难道是车开不走了才算有问题吗</t>
  </si>
  <si>
    <t>gbfjjcfgjggy</t>
  </si>
  <si>
    <t>2020/02/16 20:20:00</t>
  </si>
  <si>
    <t>2020/02/16 20:06:20</t>
  </si>
  <si>
    <t>投诉编号：【447453】
投诉时间： 2020-02-16 19:53
投诉品牌： 长城汽车
投诉车系： 哈弗F7
投诉车型： 2019款 1.5T 两驱 i型</t>
  </si>
  <si>
    <t>投诉编号：【447452】  投诉时间： 2020-02-16 19:39  投诉品牌： 东风雪铁龙  投诉车系： C4世嘉  投诉车型： 2016款 1.6L 自动 豪华型        投诉内容  方向盘存在晃动的问题，行驶时晃动明显，造成了行车安全隐患。4S店检查，确认方向盘转向柱坏了，需要更</t>
  </si>
  <si>
    <t>2020/02/16 19:39:00</t>
  </si>
  <si>
    <t>投诉编号：【447451】  投诉时间： 2020-02-16 19:29  投诉品牌： 北京越野  投诉车系： 北京BJ20  投诉车型： 2018款 1.5T CVT 豪华型        投诉内容  都漏成这样了，售后就回复自己清理下排水孔，然后自己去路边汽修点花钱清了地板棉都吸水了，过后又下</t>
  </si>
  <si>
    <t>2020/02/16 19:29:00</t>
  </si>
  <si>
    <t>2020/02/16 18:39:44</t>
  </si>
  <si>
    <t>投诉编号：【447444】
投诉时间： 2020-02-16 17:58
投诉品牌： 奇瑞汽车
投诉车系： 艾瑞泽5
投诉车型： 2016款 1.5L CVT 领潮版</t>
  </si>
  <si>
    <t>2020/02/16 18:38:43</t>
  </si>
  <si>
    <t>投诉编号：【447445】
投诉时间： 2020-02-16 18:00
投诉品牌： 广汽本田
投诉车系： 广汽本田VE-1
投诉车型： 2020款 豪华版</t>
  </si>
  <si>
    <t>投诉编号：【447449】  投诉时间： 2020-02-16 18:21  投诉品牌： 上汽集团  投诉车系： 荣威350  投诉车型： 2013款 1.5L 手动 迅驰版  350S        投诉内容  2020年2月15日启动困难，2月16日到4S店更换变速箱油时要求其检查正时链条是否出</t>
  </si>
  <si>
    <t>2020/02/16 18:21:00</t>
  </si>
  <si>
    <t>投诉编号：【447446】  投诉时间： 2020-02-16 18:01  投诉品牌： 东风本田  投诉车系： 思域  投诉车型： 2016款 220TURBO 自动 尊贵版        投诉内容  2019年还没过保的时候就发现汽车在车锁车状态下右转向灯不规则的闪烁，那时候没那么频繁。期间去过</t>
  </si>
  <si>
    <t>2020/02/16 18:01:00</t>
  </si>
  <si>
    <t>投诉编号：【447442】  投诉时间： 2020-02-16 17:52  投诉品牌： 奇瑞汽车  投诉车系： 艾瑞泽5  投诉车型： 2017款 1.5L 手动 豪华版        投诉内容  车开起来咚咚响跟骑三轮车一样，左后轮刹车锈完了，左大灯灯泡卡扣有问题，掰不开换灯泡要拆电瓶保险盒才能</t>
  </si>
  <si>
    <t>2020/02/16 17:52:00</t>
  </si>
  <si>
    <t>投诉编号：【447441】  投诉时间： 2020-02-16 17:41  投诉品牌： 奇瑞汽车  投诉车系： 艾瑞泽GX  投诉车型： 2019款 1.5T 自动 新型色版 国V        投诉内容  汽车开到400公里左右的时候就听到发动机舱传来咚咚的声音，特别是市区加速的时候声音特别明显</t>
  </si>
  <si>
    <t>2020/02/16 17:41:00</t>
  </si>
  <si>
    <t>投诉编号：【447439】  投诉时间： 2020-02-16 17:31  投诉品牌： 广汽本田  投诉车系： 缤智  投诉车型： 2017款 1.5L CVT 两驱 舒适型        投诉内容  副驾驶前方储物箱异响，找不到问题原因，希望厂家帮助解决问题。      投诉回复  车质网已将您</t>
  </si>
  <si>
    <t>2020/02/16 17:31:00</t>
  </si>
  <si>
    <t>2020/02/16 17:24:26</t>
  </si>
  <si>
    <t>投诉编号：【447432】
投诉时间： 2020-02-16 16:46
投诉品牌： 猎豹汽车
投诉车系： 猎豹CS10
投诉车型： 2017款 2.0T 自动 豪华型</t>
  </si>
  <si>
    <t>投诉编号：【447436】投诉时间：2020-02-1617:17投诉品牌：广汽丰田投诉车系：雷凌投诉车型：2019款185TCVT豪华版国V投诉内容水温上来之后，等红绿灯时挂P/N挡转速指针飘忽不定，指针在500～1000转区间摆动数次，发动机有类似喘息的声音。投诉回复车质网已将您的投诉转给生产企</t>
  </si>
  <si>
    <t>2020/02/16 17:17:00</t>
  </si>
  <si>
    <t>投诉编号：【447435】投诉时间：2020-02-1617:11投诉品牌：上汽大众投诉车系：帕萨特投诉车型：2019款380TSI尊贵版VI投诉内容当初购车花费26.89万元，购买帕萨特，出于对大众的信任，现在非常后悔，希望上汽大众能够给消费者一个答复。目前车辆行驶21000公里，变速箱异响，抖动</t>
  </si>
  <si>
    <t>2020/02/16 17:11:00</t>
  </si>
  <si>
    <t>投诉编号：【447433】  投诉时间： 2020-02-16 16:53  投诉品牌： 郑州日产  投诉车系： 途达  投诉车型： 2020款 2.5L 自动 四驱 豪华版        投诉内容  停车两天多一点，全车无电，无法启动及锁车，打400电话，过一会4s回电要收费救援，我一新车质量问题</t>
  </si>
  <si>
    <t>2020/02/16 16:53:00</t>
  </si>
  <si>
    <t>2020年1月7号订车，到现在没有拿到车，疫情影响就可以两月不给车，也没有解决方案，让也觉得我对这个品牌的信任随意的被事实践踏了，这就是长安对一个支持国产支持长安的我的最好的回复吗？</t>
  </si>
  <si>
    <t>2020/02/16 16:42:07</t>
  </si>
  <si>
    <t>请问，2020款荣放发动机和变速箱是进口的吗？</t>
  </si>
  <si>
    <t>帕萨特车门玻璃划痕越来越严重，我的长安六年了还没事，新帕萨特才三五个月就这样是为什么？</t>
  </si>
  <si>
    <t>2020/02/16 16:22:15</t>
  </si>
  <si>
    <t>汉腾X7故障码是p1204是什么问题？</t>
  </si>
  <si>
    <t>2020/02/16 16:13:49</t>
  </si>
  <si>
    <t>投诉编号：【447430】  投诉时间： 2020-02-16 16:11  投诉品牌： 北京现代  投诉车系： 菲斯塔  投诉车型： 2019款 280TGDi 智速版 国V        投诉内容  发动机故障灯亮！轮毂设计有缺陷，轮胎多处鼓包已经爆了四个胎了！      投诉回复  车质网已将</t>
  </si>
  <si>
    <t>2020/02/16 16:11:00</t>
  </si>
  <si>
    <t>卡罗拉质量是挺好，但是新款1.2T的发动机能赶上老款1.6自习的省心、省油、耐造吗？昂克赛拉怎么样？</t>
  </si>
  <si>
    <t>2020/02/16 16:02:25</t>
  </si>
  <si>
    <t>投诉编号：【447428】  投诉时间： 2020-02-16 15:43  投诉品牌： 上汽大众  投诉车系： 帕萨特  投诉车型： 2019款 330TSI 豪华版 国VI        投诉内容  a柱偷工减料，中保研碰撞测试严重不合格，存在安全隐患。      投诉回复  车质网已将您的投诉</t>
  </si>
  <si>
    <t>2020/02/16 15:43:00</t>
  </si>
  <si>
    <t>投诉编号：【447427】  投诉时间： 2020-02-16 15:39  投诉品牌： 上汽集团  投诉车系： 荣威RX3  投诉车型： 2018款 1.6L 手动 旗舰版        投诉内容  发动机抖动严重，加油门抖动更严重，而且发动机与变速箱连接处出现漏油现象，可能里面出现损伤，影响行车</t>
  </si>
  <si>
    <t>2020/02/16 15:39:00</t>
  </si>
  <si>
    <t>投诉编号：【447421】投诉时间：2020-02-1615:17投诉品牌：吉利汽车投诉车系：远景X6投诉车型：2019款1.4T手动4G互联豪华型国VI投诉内容车门关好，热车发动机怠速的声音大，时速30千米/小时路噪胎噪很大。与小区里同款车做过对比，都没有我的车噪音明显。投诉回复车质网已将您的投诉</t>
  </si>
  <si>
    <t>2020/02/16 15:17:00</t>
  </si>
  <si>
    <t>投诉编号：【447419】投诉时间：2020-02-1615:08投诉品牌：上汽斯柯达投诉车系：Yeti投诉车型：2016款1.4TSIDSG创行版投诉内容1、汽车右后座梁柱漏水，详细情况视频。2、本人于2015年9月底购买斯柯达野帝Yeti创行版，直到今天2020年2月16日，汽车内一直有非常难闻</t>
  </si>
  <si>
    <t>2020/02/16 15:08:00</t>
  </si>
  <si>
    <t>荣威i6这个故障怎么回事新车贴膜就全车没电打不着。现在行驶的时候一键启动按钮黄色小灯一直闪烁，车停一晚上就没电了。才1250公里</t>
  </si>
  <si>
    <t>17320391981</t>
  </si>
  <si>
    <t>2020/02/16 15:07:00</t>
  </si>
  <si>
    <t>秦80接2000w的电器，应该接哪个保险盒哪个位置？能否在增加一个220V的插口。</t>
  </si>
  <si>
    <t>2020/02/16 15:05:11</t>
  </si>
  <si>
    <t>投诉编号：【447417】  投诉时间： 2020-02-16 15:03  投诉品牌： 广汽丰田  投诉车系： 凯美瑞  投诉车型： 2015款 2.0G 自动 领先版        投诉内容  广汽丰田凯美瑞2015款，半轴防尘套漏油，太多人投诉这个问题了，我的车也是质保期一过这个问题就出来了，</t>
  </si>
  <si>
    <t>2020/02/16 15:03:00</t>
  </si>
  <si>
    <t>我的中华车已经超期服役了！打算买辆本田XR-V 1.5T舒式版，这款车质量可靠吗？上班用用，偶尔带家人旅游。看在网上说1.5T发动机机油增多，机油乳化有汽油味，心里没底了，哪位大神求解下，谢谢。</t>
  </si>
  <si>
    <t>2020/02/16 15:01:15</t>
  </si>
  <si>
    <t>2020/02/16 15:01:05</t>
  </si>
  <si>
    <t>投诉编号：【447416】
投诉时间： 2020-02-16 14:49
投诉品牌： 上汽通用雪佛兰
投诉车系： 迈锐宝
投诉车型： 2017款 1.5T 豪华版</t>
  </si>
  <si>
    <t>投诉编号：【447415】  投诉时间： 2020-02-16 14:39  投诉品牌： 吉利汽车  投诉车系： 星越  投诉车型： 2019款 350T 耀星者        投诉内容  吉利星越排气管设计缺陷，行驶时甩进泥沙，车辆排气口在和轮胎之间有空隙，当车辆行使过程中会导致大量泥沙甩进排气口</t>
  </si>
  <si>
    <t>2020/02/16 14:39:00</t>
  </si>
  <si>
    <t>名爵ZS挂倒挡异响，倒车倒不上15度至30度的斜坡，并发抖熄火，重新点火就必须前进，车型都是一样的问题，4S店竟然说是正常，该怎么办？</t>
  </si>
  <si>
    <t>2020/02/16 14:26:38</t>
  </si>
  <si>
    <t>2020/02/16 14:21:41</t>
  </si>
  <si>
    <t>投诉编号：【447410】
投诉时间： 2020-02-16 14:09
投诉品牌： 一汽丰田
投诉车系： 亚洲龙
投诉车型： 2019款 2.5L 进取版 国Ⅵ</t>
  </si>
  <si>
    <t>投诉编号：【447412】投诉时间：2020-02-1614:16投诉品牌：一汽吉林投诉车系：森雅R9投诉车型：2018款1.2T手动尊贵智悦型投诉内容这种问题已经出现两三次了，刚买不久也出现这种情况，现在又出这种情况，一点质量保障都没有，我要求给个说法，给个处理方案，不然要退换车。投诉回复车质网已</t>
  </si>
  <si>
    <t>2020/02/16 14:16:00</t>
  </si>
  <si>
    <t>落地不超14万，省心、省油自己长期代步用！推荐几款！谢谢。</t>
  </si>
  <si>
    <t>2020/02/16 13:59:39</t>
  </si>
  <si>
    <t>宝来、轩逸、雷凌哪个质量更稳定、省油？带T的不如自吸的稳定吧？也不易出积碳吧？昂克赛拉1.5的能入手吧？</t>
  </si>
  <si>
    <t>2020/02/16 13:56:03</t>
  </si>
  <si>
    <t>投诉编号：【447409】  投诉时间： 2020-02-16 13:17  投诉品牌： 长城汽车  投诉车系： 哈弗F5  投诉车型： 2018款 1.5T i型版        投诉内容  变速箱故障给油不走，很容易出危险。希望厂家尽快解决。      投诉回复  车质网已将您的投诉转给生产企业</t>
  </si>
  <si>
    <t>2020/02/16 13:17:00</t>
  </si>
  <si>
    <t>投诉编号：【447408】  投诉时间： 2020-02-16 13:06  投诉品牌： 奇瑞汽车  投诉车系： 艾瑞泽GX  投诉车型： 2018款 1.5T 手动 型色版        投诉内容  一下雨A柱顶棚就漏水，驾驶座都坐不成，顶棚都泡软了。      投诉回复  车质网已将您的投诉转给</t>
  </si>
  <si>
    <t>2020/02/16 13:06:00</t>
  </si>
  <si>
    <t>投诉编号：【447407】  投诉时间： 2020-02-16 12:52  投诉品牌： 上汽大众  投诉车系： 帕萨特  投诉车型： 2019款 330TSI 精英版 国VI        投诉内容  二十多万买的车！就这安全性能啊？还不如十万的A级车？谁还敢开？强烈要求召回，退车！2019年12</t>
  </si>
  <si>
    <t>2020/02/16 12:52:00</t>
  </si>
  <si>
    <t>投诉编号：【447405】  投诉时间： 2020-02-16 12:27  投诉品牌： 上汽大众  投诉车系： 途观L  投诉车型： 2018款 330TSI 自动 两驱 舒适版        投诉内容  严重漏水小雨也漏，出行非常不方便每天要停车库。      投诉回复  车质网已将您的投诉转给</t>
  </si>
  <si>
    <t>2020/02/16 12:27:00</t>
  </si>
  <si>
    <t>19年7月份买的大众凌渡280舒适版，开了1.1万公里，在2020年2月14日，正常行驶途中，突然报变速箱故障。踩油门变速箱里面一直咔咔的响，挂挡不走，倒车挡也不走。我该怎么维权？</t>
  </si>
  <si>
    <t>2020/02/16 12:26:47</t>
  </si>
  <si>
    <t>投诉编号：【447403】  投诉时间： 2020-02-16 12:02  投诉品牌： 上汽集团  投诉车系： 名爵ZS  投诉车型： 2018款 1.5L 自动 豪华版 国V        投诉内容  发动机D挡踩刹车等红灯时车里车外有震感抖动，发动机舱哒哒哒的声音特别明显，才20000公里就出</t>
  </si>
  <si>
    <t>2020/02/16 12:02:00</t>
  </si>
  <si>
    <t>请问，科迪亚克GT的发动机和变速箱是进口的吗？</t>
  </si>
  <si>
    <t>2020/02/16 11:39:35</t>
  </si>
  <si>
    <t>你好！请问赛欧三钥匙和备用钥匙都丢了怎么办？换一把要多少钱？</t>
  </si>
  <si>
    <t>2020/02/16 11:36:06</t>
  </si>
  <si>
    <t>2020/02/16 10:59:47</t>
  </si>
  <si>
    <t>投诉编号：【447395】
投诉时间： 2020-02-16 10:15
投诉品牌： 上汽集团
投诉车系： 荣威RX5
投诉车型： 2020款 20T 手动 4G互联超越旗舰版</t>
  </si>
  <si>
    <t>　　2020年是奥迪的产品大年，中期改款A4L、全新一代A3、Q3轿跑SUV等多款重磅车型将陆续上市。日前网上车市获取了一组奥迪中期改款A4L的实拍图，和现款在售车型相比，新车在造型方面进行了较大的调整，并首次提供普通、运动两个版本。根据此前的规划，中期改款A4L将在北京车展发布，随后上市销售。　　</t>
  </si>
  <si>
    <t>2020/02/16 10:58:00</t>
  </si>
  <si>
    <t xml:space="preserve">2020年是奥迪的产品大年，中期改款A4L、全新一代A3、Q3轿跑SUV等多款重磅车型将陆续上市。日前网上车市获取了一组奥迪中期改款A4L的实拍图，和现款在售车型相比，新车在造型方面进行了较大的调整，并首次提供普通、运动两个版本。根据此前的规划，中期改款A4L将在北京车展发布，随后上市销售。    </t>
  </si>
  <si>
    <t>投诉编号：【447400】  投诉时间： 2020-02-16 10:56  投诉品牌： 上汽集团  投诉车系： 名爵6  投诉车型： 2017款 20T 自动 尊享互联网版 国V        投诉内容  灯的两边不协调，往下沉下去。质量真的太差了名爵的。      投诉回复  车质网已将您的投诉</t>
  </si>
  <si>
    <t>2020/02/16 10:56:00</t>
  </si>
  <si>
    <t>　　近日，有海外媒体报道称，雪铁龙全新一代C4 Cactus或将于今年10月举行的2020巴黎车展上亮相，并于年底正式上市。根据此前的谍照看，新车将启用全新的外形设计语言。　　根据此前外媒曝光的谍照看，新一代车型放弃了现款采用的分体式头灯，回归到更容易被接受的一体式设计。车尾部位，全新C4 Cact</t>
  </si>
  <si>
    <t>2020/02/16 10:55:00</t>
  </si>
  <si>
    <t>近日，有海外媒体报道称，雪铁龙全新一代C4 Cactus或将于今年10月举行的2020巴黎车展上亮相，并于年底正式上市。根据此前的谍照看，新车将启用全新的外形设计语言。    根据此前外媒曝光的谍照看，新一代车型放弃了现款采用的分体式头灯，回归到更容易被接受的一体式设计。车尾部位，全新C4 Cact</t>
  </si>
  <si>
    <t>　　日前，有海外媒体发布消息称，全新保时捷911 Turbo/Turbo S将于2020年3月3日开幕的日内瓦车展正式首发。由于该系列车型此前曾“爽约”去年的洛杉矶车展，这次再度发布的亮相消息将使得新车更加令人期待。　　根据此前谍照，新车的车头造型在现款911的基础上换装了更造型更加激进的前保险杠、</t>
  </si>
  <si>
    <t>2020/02/16 10:49:00</t>
  </si>
  <si>
    <t>日前，有海外媒体发布消息称，全新保时捷911 Turbo/Turbo S将于2020年3月3日开幕的日内瓦车展正式首发。由于该系列车型此前曾“爽约”去年的洛杉矶车展，这次再度发布的亮相消息将使得新车更加令人期待。    根据此前谍照，新车的车头造型在现款911的基础上换装了更造型更加激进的前保险杠、</t>
  </si>
  <si>
    <t>投诉编号：【447399】投诉时间：2020-02-1610:48投诉品牌：东风日产投诉车系：轩逸投诉车型：2020款1.6LXLCVT智享版投诉内容2019年12月出现过5次前方无障碍物情况下系统自己刹车，去过多次4S店未得到解决，2020年2月12日跑高速时70km时速突然刹车，去4s店说是因为</t>
  </si>
  <si>
    <t>2020/02/16 10:48:00</t>
  </si>
  <si>
    <t>　　日前，有海外媒体曝光组福特Puma ST车型的无伪装谍照，新车定位为一款小型SUV，动力方面搭载一款1.5T涡轮增压发动机。据悉，普通版PUMA车型已经在海外部分市场上市销售，本次曝光的ST版车型预计将于2020年内正式亮相。　　外观方面，Puma ST与普通版车型保持一致，不过Puma ST将</t>
  </si>
  <si>
    <t>2020/02/16 10:47:00</t>
  </si>
  <si>
    <t>日前，有海外媒体曝光组福特Puma ST车型的无伪装谍照，新车定位为一款小型SUV，动力方面搭载一款1.5T涡轮增压发动机。据悉，普通版PUMA车型已经在海外部分市场上市销售，本次曝光的ST版车型预计将于2020年内正式亮相。    外观方面，Puma ST与普通版车型保持一致，不过Puma ST将</t>
  </si>
  <si>
    <t>　　日前，有海外海外媒体曝光了一组大众全新高尔夫R的无伪装谍照，作为大众家族热度最高的车型之一，第八代高尔夫的到来牵动了不少车迷的心，而本次高尔夫R的出现更是让新一代神车完成了全面进化。据悉，全新高尔夫R将搭载一台最大功率329马力的2.0T涡轮增压发动机，并有望于今年7月开幕的古德伍德速度节上进行</t>
  </si>
  <si>
    <t>2020/02/16 10:45:00</t>
  </si>
  <si>
    <t>日前，有海外海外媒体曝光了一组大众全新高尔夫R的无伪装谍照，作为大众家族热度最高的车型之一，第八代高尔夫的到来牵动了不少车迷的心，而本次高尔夫R的出现更是让新一代神车完成了全面进化。据悉，全新高尔夫R将搭载一台最大功率329马力的2.0T涡轮增压发动机，并有望于今年7月开幕的古德伍德速度节上进行首次</t>
  </si>
  <si>
    <t>投诉编号：【447398】投诉时间：2020-02-1610:40投诉品牌：东风日产投诉车系：天籁投诉车型：2020款2.0LXL舒适版投诉内容第一次处理结果不满意，第一次投诉当地4S店只给我回复正常然后这个投诉就处理完毕了。我对第一次投诉处理结果要进行申诉。对于日产对消费者完全不负责的态度实在忍无</t>
  </si>
  <si>
    <t>2020/02/16 10:40:00</t>
  </si>
  <si>
    <t>日前，我们从海外媒体处获悉，全新一代奇骏将于2021年正式上市，全新一代奇骏有望搭载经过重新调校的2.5L自然吸气汽油发动机和2.0T涡轮增压可变压缩比发动机，在外观方面将借鉴日产Xmotion概念车上的设计元素，造型也将变得更为时尚大气。    从海外媒体拍摄到的新一代奇骏路试谍照来看，尽管新一代</t>
  </si>
  <si>
    <t>2020/02/16 10:37:00</t>
  </si>
  <si>
    <t>　　日前，我们从海外媒体处获悉，全新一代奇骏将于2021年正式上市，全新一代奇骏有望搭载经过重新调校的2.5L自然吸气汽油发动机和2.0T涡轮增压可变压缩比发动机，在外观方面将借鉴日产Xmotion概念车上的设计元素，造型也将变得更为时尚大气。　　从海外媒体拍摄到的新一代奇骏路试谍照来看，尽管新一代</t>
  </si>
  <si>
    <t>　　奥迪性能轿跑车型――奥迪S7预售价102万元起，有望在3月下旬上市。奥迪全新S7采用了最新的家族式设计语言，不仅外观更加运动，科技感也有所提升，提供11种车身颜色供选择。在动力方面，奥迪全新S7将搭载2.9T V6发动机，并配备48V轻混系统，传动方面匹配8速自动变速箱。　　看了以下要点，本文算</t>
  </si>
  <si>
    <t>2020/02/16 10:35:00</t>
  </si>
  <si>
    <t>奥迪性能轿跑车型——奥迪S7预售价102万元起，有望在3月下旬上市。奥迪全新S7采用了最新的家族式设计语言，不仅外观更加运动，科技感也有所提升，提供11种车身颜色供选择。在动力方面，奥迪全新S7将搭载2.9T V6发动机，并配备48V轻混系统，传动方面匹配8速自动变速箱。    看了以下要点，本文算</t>
  </si>
  <si>
    <t>2020/02/16 10:32:43</t>
  </si>
  <si>
    <t>投诉编号：【447394】
投诉时间： 2020-02-16 09:58
投诉品牌： 北汽银翔
投诉车系： 幻速S5
投诉车型： 2017款 1.3T 手动 豪华型</t>
  </si>
  <si>
    <t>　　近日，我们从工信部网站上获取到一组海马6P申报图。作为海马汽车打造的全新紧凑型SUV，海马6P在海马S5车型基础上打造而来，并搭载一套插电混合动力系统。　　海马6P在造型方面与海马S5有着很高的相似度，新家族式设计语言的应用让其造型看上去格外张扬。不过相比于海马S5，海马6P在造型细节方面有所不</t>
  </si>
  <si>
    <t>2020/02/16 10:31:00</t>
  </si>
  <si>
    <t>近日，我们从工信部网站上获取到一组海马6P申报图。作为海马汽车打造的全新紧凑型SUV，海马6P在海马S5车型基础上打造而来，并搭载一套插电混合动力系统。    海马6P在造型方面与海马S5有着很高的相似度，新家族式设计语言的应用让其造型看上去格外张扬。不过相比于海马S5，海马6P在造型细节方面有所不</t>
  </si>
  <si>
    <t>　　近日，我们从工信部网站上获取到一组奔腾E01申报图。作为奔腾品牌纯电动E系列的首款车型，奔腾E01可以视作为早前发布的奔腾C015概念车的的量产版本。新车基于全新的FME平台打造而来，NEDC综合续航里程为450km。　　造型方面，奔腾E01与奔腾C015概念车有着很高的相似度，新车在采用全新设</t>
  </si>
  <si>
    <t>2020/02/16 10:30:00</t>
  </si>
  <si>
    <t>近日，我们从工信部网站上获取到一组奔腾E01申报图。作为奔腾品牌纯电动E系列的首款车型，奔腾E01可以视作为早前发布的奔腾C015概念车的的量产版本。新车基于全新的FME平台打造而来，NEDC综合续航里程为450km。    造型方面，奔腾E01与奔腾C015概念车有着很高的相似度，新车在采用全新设</t>
  </si>
  <si>
    <t>投诉编号：【447397】  投诉时间： 2020-02-16 10:28  投诉品牌： 奇瑞汽车  投诉车系： 瑞虎8  投诉车型： 2018款 1.5TCI 手动 豪华型 5座        投诉内容  水箱一直漏水没发现，一直补防冻液，希望厂家给予处理。      投诉回复  车质网已将您的投</t>
  </si>
  <si>
    <t>2020/02/16 10:28:00</t>
  </si>
  <si>
    <t>2019年全球SUV销量排行榜中，丰田RAV4销量高达931,852 辆，继2018年之后再度蝉联全球SUV销量冠军，在中国已拥有100万的用户量。2019年底丰田在海外市场发布了RAV4插电混动版车型，并已规划在美国、欧洲等市场上市。据悉，一汽丰田也即将国产该车，生产线会在2021年4月投入使用。</t>
  </si>
  <si>
    <t>2020/02/16 10:21:00</t>
  </si>
  <si>
    <t>　　2019年全球SUV销量排行榜中，丰田RAV4销量高达931,852 辆，继2018年之后再度蝉联全球SUV销量冠军，在中国已拥有100万的用户量。2019年底丰田在海外市场发布了RAV4插电混动版车型，并已规划在美国、欧洲等市场上市。据悉，一汽丰田也即将国产该车，生产线会在2021年4月投入使</t>
  </si>
  <si>
    <t>2020/02/16 10:19:49</t>
  </si>
  <si>
    <t>投诉编号：【447393】
投诉时间： 2020-02-16 09:50
投诉品牌： 长安福特
投诉车系： 蒙迪欧致胜
投诉车型： 2011款 200 GTDi 时尚型</t>
  </si>
  <si>
    <t>提及福特福克斯车型想必大家都很熟悉，该款车型为品牌旗下的一款紧凑级轿车，同时也是诸多80后以及90后消费者们的入门级首选车型。而近日海外媒体曝光了一组更高性能的全新福克斯RS车型最新消息，据海外媒体透露新车预计将于2022年正式推出。（配图均为现款车型）    动力方面，新车将搭载一台2.3T涡轮增</t>
  </si>
  <si>
    <t>2020/02/16 10:19:00</t>
  </si>
  <si>
    <t>　　提及福特福克斯车型想必大家都很熟悉，该款车型为品牌旗下的一款紧凑级轿车，同时也是诸多80后以及90后消费者们的入门级首选车型。而近日海外媒体曝光了一组更高性能的全新福克斯RS车型最新消息，据海外媒体透露新车预计将于2022年正式推出。（配图均为现款车型）　　动力方面，新车将搭载一台2.3T涡轮增</t>
  </si>
  <si>
    <t>投诉编号：【447396】  投诉时间： 2020-02-16 10:18  投诉品牌： 江铃汽车  投诉车系： 驭胜S330  投诉车型： 2017款 1.5L GTDi 两驱 极夜版        投诉内容  离合器总泵换了几个，大灯开关换了两个，故障灯时不时亮，车生锈问题，我修了十多次了，4s</t>
  </si>
  <si>
    <t>2020/02/16 10:18:00</t>
  </si>
  <si>
    <t>提及现代i30想必大家都有些陌生，该款车型为品牌旗下的一款紧凑级轿车，并仅在海外市场进行销售，国内市场尚未布局。近日海外媒体曝光了现代全新i30 N Line车型预告图，新车计划在下月即将开幕的日内瓦车展上正式亮相。（部分配图为基础款车型谍照）    动力方面，新车将搭载一台1.4T涡轮增压发动机，</t>
  </si>
  <si>
    <t>2020/02/16 10:17:00</t>
  </si>
  <si>
    <t>　　提及现代i30想必大家都有些陌生，该款车型为品牌旗下的一款紧凑级轿车，并仅在海外市场进行销售，国内市场尚未布局。近日海外媒体曝光了现代全新i30 N Line车型预告图，新车计划在下月即将开幕的日内瓦车展上正式亮相。（部分配图为基础款车型谍照）　　动力方面，新车将搭载一台1.4T涡轮增压发动机，</t>
  </si>
  <si>
    <t>广汽新能源Aion系列共有Aion S和Aion LX两款，均基于第二代纯电专属平台打造。网上车市获得了Aion序列第三款车型Aion V的实拍图，该车从侧面来看与GE3 530颇为相似，动力方面与Aion S相同。新车预计将于年内上市，竞争吉利帝豪GSe等同级别车型。    Aion V定位为纯电</t>
  </si>
  <si>
    <t>2020/02/16 10:15:00</t>
  </si>
  <si>
    <t>　　广汽新能源Aion系列共有Aion S和Aion LX两款，均基于第二代纯电专属平台打造。网上车市获得了Aion序列第三款车型Aion V的实拍图，该车从侧面来看与GE3 530颇为相似，动力方面与Aion S相同。新车预计将于年内上市，竞争吉利帝豪GSe等同级别车型。　　Aion V定位为纯电</t>
  </si>
  <si>
    <t>　　近日获悉，上汽通用五菱计划发布全新品牌。新品牌发布之后，将会通过全新的设计、全新的定位，来塑造更为高端且年轻化的品牌形象。据悉，新品牌主打的车型将是SUV以及MPV。　　目前，中国汽车产业转型加速，汽车消费升级和年轻化趋势日益明显，使得低端车市场快速萎缩。而以微型车起家，并占据低端车市场60%以</t>
  </si>
  <si>
    <t>2020/02/16 10:06:00</t>
  </si>
  <si>
    <t>近日获悉，上汽通用五菱计划发布全新品牌。新品牌发布之后，将会通过全新的设计、全新的定位，来塑造更为高端且年轻化的品牌形象。据悉，新品牌主打的车型将是SUV以及MPV。    目前，中国汽车产业转型加速，汽车消费升级和年轻化趋势日益明显，使得低端车市场快速萎缩。而以微型车起家，并占据低端车市场60%以</t>
  </si>
  <si>
    <t>近日，有媒体从外媒获悉，大众宣布ID系列家族再添新成员，它就是全新纯电轿车大众ID.5，这辆车定位为中型轿车，与迈腾同级。而有海外媒体猜测，大众ID.5很有可能将成为帕萨特和迈腾的继任者。    怎么样，吃不吃惊？意不意外？莫非大众要把它的“金字招牌”大众帕萨特和迈腾“下架”，用“电气化”的大众ID</t>
  </si>
  <si>
    <t>2020/02/16 10:04:00</t>
  </si>
  <si>
    <t>　　近日，有媒体从外媒获悉，大众宣布ID系列家族再添新成员，它就是全新纯电轿车大众ID.5，这辆车定位为中型轿车，与迈腾同级。而有海外媒体猜测，大众ID.5很有可能将成为帕萨特和迈腾的继任者。　　怎么样，吃不吃惊？意不意外？莫非大众要把它的“金字招牌”大众帕萨特和迈腾“下架”，用“电气化”的大众ID</t>
  </si>
  <si>
    <t>　　日前，有海外媒体获得了一组全新宝马4系的谍照，新车将于3月份开幕的日内瓦车展首发亮相。新车最引人瞩目的地方，就在于其采用全新的格栅设计，整体设计更加夸张。全新宝马4系出自宝马CLAR平台，国内投产的全新宝马3系也出自于此。　　全新一代宝马4系将采用最新的家族式设计语言，更加动感时尚，双肾型进气格</t>
  </si>
  <si>
    <t>2020/02/16 10:02:00</t>
  </si>
  <si>
    <t>日前，有海外媒体获得了一组全新宝马4系的谍照，新车将于3月份开幕的日内瓦车展首发亮相。新车最引人瞩目的地方，就在于其采用全新的格栅设计，整体设计更加夸张。全新宝马4系出自宝马CLAR平台，国内投产的全新宝马3系也出自于此。    全新一代宝马4系将采用最新的家族式设计语言，更加动感时尚，双肾型进气格</t>
  </si>
  <si>
    <t>　　在去年帕加尼便开始销售全球仅限量发售5台的Huayra Imola，并已完成首台车型的交付。近日，帕加尼则公布了这款超限量产品的更多图片，进一步展现了它的与众不同，也能让我们饱饱眼福。如果您要说：“不差钱，想买。”对不起，即使您有钱也买不到了，5台车均已售出。　　Huayra Imola依然采用</t>
  </si>
  <si>
    <t>2020/02/16 09:58:00</t>
  </si>
  <si>
    <t>在去年帕加尼便开始销售全球仅限量发售5台的Huayra Imola，并已完成首台车型的交付。近日，帕加尼则公布了这款超限量产品的更多图片，进一步展现了它的与众不同，也能让我们饱饱眼福。如果您要说：“不差钱，想买。”对不起，即使您有钱也买不到了，5台车均已售出。    Huayra Imola依然采用</t>
  </si>
  <si>
    <t>近日，起亚全新一代索兰托有望在3月3日开幕的日内瓦车展上首发亮相，目前已公布这款新车型的设计图。据了解，新车将基于现代与起亚研发的全新平台打造，内部代号为MQ4。    从设计图中可以看到，全新索兰托采用了起亚最新的设计语言，整体造型从视觉上更为硬朗运动。全新设计的虎啸式格栅采用了蜂窝状的设计思路，</t>
  </si>
  <si>
    <t>2020/02/16 09:52:00</t>
  </si>
  <si>
    <t>　　近日，起亚全新一代索兰托有望在3月3日开幕的日内瓦车展上首发亮相，目前已公布这款新车型的设计图。据了解，新车将基于现代与起亚研发的全新平台打造，内部代号为MQ4。　　从设计图中可以看到，全新索兰托采用了起亚最新的设计语言，整体造型从视觉上更为硬朗运动。全新设计的虎啸式格栅采用了蜂窝状的设计思路，</t>
  </si>
  <si>
    <t>如果你是一名奥迪车迷，那么对ABT这三个字母一定不会陌生。它总有办法把奥迪旗下的性能车进一步强化直至“封神”，同时它也是奥迪旗下御用的改装厂。随着奥迪RS Q8的上市，ABT再次对RS Q8下手了，让原本就无比凶悍的RS Q8再次进化。    我们先来说说ABT此次对RS Q8升级的重点，RS Q8</t>
  </si>
  <si>
    <t>2020/02/16 09:51:00</t>
  </si>
  <si>
    <t>　　如果你是一名奥迪车迷，那么对ABT这三个字母一定不会陌生。它总有办法把奥迪旗下的性能车进一步强化直至“封神”，同时它也是奥迪旗下御用的改装厂。随着奥迪RS Q8的上市，ABT再次对RS Q8下手了，让原本就无比凶悍的RS Q8再次进化。　　我们先来说说ABT此次对RS Q8升级的重点，RS Q8</t>
  </si>
  <si>
    <t>奥迪计划到2025年推出30余款电动化车型，而旗下全新一代R8是否实现电气化一直并未给出答案。近日，据奥迪Sport品牌董事奥利弗?霍夫曼透露，新一代奥迪R8需要满足全球所有排放法规，将带有电气化部件，并可通过电气化提升动力。    在采访中，奥迪Sport品牌董事奥利弗?霍夫曼表示：“新一代奥迪R</t>
  </si>
  <si>
    <t>2020/02/16 09:49:00</t>
  </si>
  <si>
    <t>　　奥迪计划到2025年推出30余款电动化车型，而旗下全新一代R8是否实现电气化一直并未给出答案。近日，据奥迪Sport品牌董事奥利弗?霍夫曼透露，新一代奥迪R8需要满足全球所有排放法规，将带有电气化部件，并可通过电气化提升动力。　　在采访中，奥迪Sport品牌董事奥利弗?霍夫曼表示：“新一代奥迪R</t>
  </si>
  <si>
    <t>　　日前，雷诺表示其子品牌Dacia计划在2021年-2022年推出一款定位在城市代步车级别的纯电动车，而不少外媒猜测这款车将会是雷诺 e诺的兄弟车型。　　雷诺在2019年财报当中公开了雷诺集团2020年新能源车型的新车计划：雷诺将在2020年推出新款clio混合动力车型、新款卡缤PHEV、梅甘娜P</t>
  </si>
  <si>
    <t>2020/02/16 09:40:00</t>
  </si>
  <si>
    <t>日前，雷诺表示其子品牌Dacia计划在2021年-2022年推出一款定位在城市代步车级别的纯电动车，而不少外媒猜测这款车将会是雷诺 e诺的兄弟车型。    雷诺在2019年财报当中公开了雷诺集团2020年新能源车型的新车计划：雷诺将在2020年推出新款clio混合动力车型、新款卡缤PHEV、梅甘娜P</t>
  </si>
  <si>
    <t>　　日前，在工信部最新一批新能源汽车推广目录中，我们找到了比亚迪汉EV以及DM版本的最新信息。其中汉EV根据配置不同提供双电机以及单电机，NEDC标准下纯电续航分别为550km、605km，而作为插电混合动力版车型的汉DM拥有NEDC标准下81km的纯电续航。　　除了续航信息，我们还从申报信息了解到</t>
  </si>
  <si>
    <t>2020/02/16 09:38:00</t>
  </si>
  <si>
    <t>日前，在工信部最新一批新能源汽车推广目录中，我们找到了比亚迪汉EV以及DM版本的最新信息。其中汉EV根据配置不同提供双电机以及单电机，NEDC标准下纯电续航分别为550km、605km，而作为插电混合动力版车型的汉DM拥有NEDC标准下81km的纯电续航。    除了续航信息，我们还从申报信息了解到</t>
  </si>
  <si>
    <t>　　日前，在工信部最新一批新能源汽车推广目录中，我们找到了荣威Ei6的最新信息，其中该车在NEDC标准下的综合续航里程为605km。官方表示，该车将于4月开幕的北京车展正式亮相。　　此外，我们还从申报信息中获悉，该车整备质量为1600kg，采用了三元锂离子电池，电池系统能量密度高达180.1Wh/k</t>
  </si>
  <si>
    <t>2020/02/16 09:36:00</t>
  </si>
  <si>
    <t>日前，在工信部最新一批新能源汽车推广目录中，我们找到了荣威Ei6的最新信息，其中该车在NEDC标准下的综合续航里程为605km。官方表示，该车将于4月开幕的北京车展正式亮相。    此外，我们还从申报信息中获悉，该车整备质量为1600kg，采用了三元锂离子电池，电池系统能量密度高达180.1Wh/k</t>
  </si>
  <si>
    <t>2月14日，中共中央政治局常委、国务院总理、中央应对新冠肺炎疫情工作领导小组组长李克强赴北京西站考察有序错峰返程和新冠肺炎疫情防控工作。在考察时李克强要求抓紧出台暂时免除包括小轿车在内的客车、货车等所有车辆收费公路全部通行费的政策，更好地保障重点医疗防控物资、生活必需品运输畅通，降低企业物流成本，继</t>
  </si>
  <si>
    <t>2020/02/16 09:35:00</t>
  </si>
  <si>
    <t>　　2月14日，中共中央政治局常委、国务院总理、中央应对新冠肺炎疫情工作领导小组组长李克强赴北京西站考察有序错峰返程和新冠肺炎疫情防控工作。在考察时李克强要求抓紧出台暂时免除包括小轿车在内的客车、货车等所有车辆收费公路全部通行费的政策，更好地保障重点医疗防控物资、生活必需品运输畅通，降低企业物流成本</t>
  </si>
  <si>
    <t>日前，特斯拉美国官网对Model S/X进行了更新，两车原长续航版本被更名为长续航Plus版本，同时续航里程也均有提升，但目前特斯拉中国官网还未更新。    在特斯拉美国官网，Model S(参数|询价)长续航（Long Range）版本的EPA续航里程为370英里（约合595.5公里），现在该车型</t>
  </si>
  <si>
    <t>2020/02/16 09:32:00</t>
  </si>
  <si>
    <t>　　日前，特斯拉美国官网对Model S/X进行了更新，两车原长续航版本被更名为长续航Plus版本，同时续航里程也均有提升，但目前特斯拉中国官网还未更新。　　在特斯拉美国官网，Model S(参数|询价)长续航（Long Range）版本的EPA续航里程为370英里（约合595.5公里），现在该车型</t>
  </si>
  <si>
    <t>　　由新型冠状病毒感染的肺炎疫情尚在紧急防治中，为保证广汽传祺车主们安心用车，广汽传祺为旗下车型的“病毒防护罩“进行技术升级，推出N95级别防护能力的滤芯技术。即日起购买传祺全系车型，将免费升级滤芯技术，预计3月1日起陆续搭载在全系车型上。　　据悉，该滤芯技术使用高效低阻熔喷复合技术生产，具有更高效</t>
  </si>
  <si>
    <t>2020/02/16 09:29:00</t>
  </si>
  <si>
    <t>由新型冠状病毒感染的肺炎疫情尚在紧急防治中，为保证广汽传祺车主们安心用车，广汽传祺为旗下车型的“病毒防护罩“进行技术升级，推出N95级别防护能力的滤芯技术。即日起购买传祺全系车型，将免费升级滤芯技术，预计3月1日起陆续搭载在全系车型上。    据悉，该滤芯技术使用高效低阻熔喷复合技术生产，具有更高效</t>
  </si>
  <si>
    <t>日前，在工信部最新一批新能源汽车推广目录中，我们找到两款几何C(参数|询价)车型，它们的NEDC综合续航里程有所差别，分别为400km以及520km。    从申报信息我们了解到，NEDC综合续航400km的几何C车型整备质量为1545kg（1607kg），电池系统能量密度160.28Wh/kg，N</t>
  </si>
  <si>
    <t>2020/02/16 09:27:00</t>
  </si>
  <si>
    <t>　　日前，在工信部最新一批新能源汽车推广目录中，我们找到两款几何C(参数|询价)车型，它们的NEDC综合续航里程有所差别，分别为400km以及520km。　　从申报信息我们了解到，NEDC综合续航400km的几何C车型整备质量为1545kg（1607kg），电池系统能量密度160.28Wh/kg，N</t>
  </si>
  <si>
    <t>日前，我们在保时捷媒体网站上发布的一段采访中了解到，未来保时捷或将推出一款全新的入门级跑车，这款车型或将成为保时捷914的继任者。    保时捷设计总监Michael Mauer表示，现在是时候将推出一款回归基础的跑车了，它的定位将低于718 Boxster，理想情况下，它将是一款“几乎没有电子化设</t>
  </si>
  <si>
    <t>2020/02/16 09:25:00</t>
  </si>
  <si>
    <t>　　日前，我们在保时捷媒体网站上发布的一段采访中了解到，未来保时捷或将推出一款全新的入门级跑车，这款车型或将成为保时捷914的继任者。　　保时捷设计总监Michael Mauer表示，现在是时候将推出一款回归基础的跑车了，它的定位将低于718 Boxster，理想情况下，它将是一款“几乎没有电子化设</t>
  </si>
  <si>
    <t>汽车之家</t>
  </si>
  <si>
    <t>为配合首都疫情防控需要，2月6日，中国石油化工集团有限公司（下称中石化）在北京展览路加油站等99座加油站试点，推出了“一键到车”业务，即在加油的同时，享受易捷商品配送到车的服务，做到加油不下车、充值不圈存、开票不进店、购物不接触。    中国石油化工股份有限公司北京石油分公司（下称北京石油）拓展了这</t>
  </si>
  <si>
    <t>2020/02/16 09:21:00</t>
  </si>
  <si>
    <t>　　为配合首都疫情防控需要，2月6日，中国石油化工集团有限公司（下称中石化）在北京展览路加油站等99座加油站试点，推出了“一键到车”业务，即在加油的同时，享受易捷商品配送到车的服务，做到加油不下车、充值不圈存、开票不进店、购物不接触。　　中国石油化工股份有限公司北京石油分公司（下称北京石油）拓展了这</t>
  </si>
  <si>
    <t>日前，全新一代本田飞度（第四代）已于日本正式上市，新车有望于2020年4月开幕的北京车展中正式亮相。根据此前官方表示，广汽本田将会结合中国年轻消费者的偏好和喜好，导入其中的部分版本车型。在动力方面，新车搭载HEV混动和i-VTEC传统汽油动力系统。    动力方面，参考日规车型的动力新车搭载了本田全</t>
  </si>
  <si>
    <t>2020/02/16 09:19:00</t>
  </si>
  <si>
    <t>　　日前，全新一代本田飞度（第四代）已于日本正式上市，新车有望于2020年4月开幕的北京车展中正式亮相。根据此前官方表示，广汽本田将会结合中国年轻消费者的偏好和喜好，导入其中的部分版本车型。在动力方面，新车搭载HEV混动和i-VTEC传统汽油动力系统。　　动力方面，参考日规车型的动力新车搭载了本田全</t>
  </si>
  <si>
    <t>19款凯美瑞2.0豪华车 发动机噪音大/漆太薄19年一月份买的，不到一千公里，买时销售说已经解决机舱进泥，买回来机舱岩浆还是严重，还有就是冷车启动，很难挂档，要用力才能搬动档杆，非常不顺滑，雨天车窗挂水，放下车窗，再升起，还是挂水好多，严重影响安全...发动机噪音有点点大，车漆太薄啊...</t>
  </si>
  <si>
    <t>夏光飞</t>
  </si>
  <si>
    <t>2020/02/16 09:18:00</t>
  </si>
  <si>
    <t>投诉编号：【447390】  投诉时间： 2020-02-16 08:22  投诉品牌： 广汽丰田  投诉车系： YARiS L 致享  投诉车型： 2017款 1.5E CVT 魅动版        投诉内容  2019年3月与丰田4S店购买2017款1.5CVT魅动版致享车型，至今已行驶4680</t>
  </si>
  <si>
    <t>2020/02/16 08:22:00</t>
  </si>
  <si>
    <t>我的车是2009年买的雪铁龙世嘉两箱，自动挡，2.0排量，现在9万公里，现在车用得不多，去年来，正常行驶时，经常咚的一声响，车子象撞了一个石头一样，猛地减速，降到3挡，然后就在3挡跑，仪表盘上s和雪花闪起，右边显service，这时你要是将车子熄火再打燃，又恢复正常，但跑着跑着又可能出现。这是什么问</t>
  </si>
  <si>
    <t>2020/02/16 07:55:05</t>
  </si>
  <si>
    <t>投诉编号：【447388】  投诉时间： 2020-02-16 07:52  投诉品牌： 上汽通用五菱  投诉车系： 宝骏730  投诉车型： 2016款 1.5L 手动 舒适版 7座 国V        投诉内容  2017年9月23日，在哈尔滨买车，换过多次配件，汽车喇叭盘线，挡杆套，汽车玻璃升</t>
  </si>
  <si>
    <t>2020/02/16 07:52:00</t>
  </si>
  <si>
    <t>2015款君威2.0自吸，持续缺少防冻液还未发现漏点，1月22日水温异常发现水壶防冻液已没有了加入4升，观察每天都会缺少。截止2月15日共计加入5升。4S店建议加入堵漏剂。如果缸垫出问题堵漏剂是否起作用。车子不冒白烟，防冻液里无机油，机油未乳化。</t>
  </si>
  <si>
    <t>2020/02/16 07:51:37</t>
  </si>
  <si>
    <t>迈锐宝XL2.0车型值得入手么？最关心的就是落地后质量问题。</t>
  </si>
  <si>
    <t>2020/02/16 07:48:41</t>
  </si>
  <si>
    <t>三挡升四挡的时候顿挫感很强，第一次的时候变速箱出现了齿轮异响，后来发生了有很多次的时候注意到是变速箱三挡升四挡的时候顿挫，去4S店检测发现故障码是P092900变速箱锁止电磁阀控制电路-不可信信号。4S店测了一下数据说往厂家报，说看厂家如何回复，后来4S通知我说厂家回复的测的数据没有问题，属于正常范</t>
  </si>
  <si>
    <t>2020/02/16 07:45:49</t>
  </si>
  <si>
    <t>2020款荣放上市至今有没有共性问题？</t>
  </si>
  <si>
    <t>我的20款捷途X70手尊，换挡的时候很干涩很卡，每次换挡总是咔嗒一声，明显感觉到挡把顿挫一下才进入挡位，手感很差。即使坐在后排顿挫声音也很明显。每个挡位都有这个现象。请问这是个例还是普遍存在现象？</t>
  </si>
  <si>
    <t>2020/02/16 07:45:48</t>
  </si>
  <si>
    <t>别克新君威，新车凉车启动，起动机需要转几秒才能着车，热车正常。是什么情况造成的？</t>
  </si>
  <si>
    <t>专家，您好。我现在大致看了奇骏、RAV4，CR-V等。您觉得哪款更适合家用啊（汽油版）。20万左右落地谢谢了。或是别的合资车推荐也可以啊。</t>
  </si>
  <si>
    <t>哈弗H41.5t的机油用半合成的多少公里保养一次，听说半合成的机油7500公里一次保养，到车厂和4S店说5000公里保养一次。到底该听谁的呢？</t>
  </si>
  <si>
    <t>2020/02/16 07:45:47</t>
  </si>
  <si>
    <t>请问，柯迪亚克和柯迪亚克GT的发动机有无烧机油问题？</t>
  </si>
  <si>
    <t>20万预算想买款省心省力的轿车中级车。</t>
  </si>
  <si>
    <t>本期“百名车主评新车”调查活动调查的车型为2019款上汽大众途岳，调查周期为2019年9月1日-2019年12月31日，共收集到有效样本102个，从中我们随机选取部分样本逐一进行回访。在回访过程中，车主对于2019款上汽大众途岳在外观设计和品牌价值方面表示满意，不过在产品质量方面和服务态度方面却有待</t>
  </si>
  <si>
    <t>2020/02/16 07:05:00</t>
  </si>
  <si>
    <t>　　本期“百名车主评新车”调查活动调查的车型为2019款上汽大众途岳，调查周期为2019年9月1日-2019年12月31日，共收集到有效样本102个，从中我们随机选取部分样本逐一进行回访。在回访过程中，车主对于2019款上汽大众途岳在外观设计和品牌价值方面表示满意，不过在产品质量方面和服务态度方面却</t>
  </si>
  <si>
    <t>　　作为国内领先第三方汽车品质评价平台，车质网自2010年8月开始启动“百名车主评新车”调查活动，每月将专题调查几款受关注程度较高、市场销售至少半年以上的全新车型，以全面了解中国市场在售新车的可靠性以及消费者满意度，帮助更多消费者选择可靠耐用的汽车产品。截至目前，“百名车主评新车”调查活动已累计调查</t>
  </si>
  <si>
    <t>2020/02/16 07:03:00</t>
  </si>
  <si>
    <t>说到奥迪，多数国人在潜意识里可能会把它与政府、机关单位联系在一起，特别是A6L和A8L这种商务定位的轿车。如今，新款奥迪A6L和A8L都在朝着年轻方向步步进化，使整体外貌看起来不再那么像官车。除了舒适、科技之外，运动也是奥迪的重要基因，所以奥迪每个车系都会推出S版本，“银耳”成为了奥迪S系列车型最具</t>
  </si>
  <si>
    <t>2020/02/16 07:01:00</t>
  </si>
  <si>
    <t>　　说到奥迪，多数国人在潜意识里可能会把它与政府、机关单位联系在一起，特别是A6L和A8L这种商务定位的轿车。如今，新款奥迪A6L和A8L都在朝着年轻方向步步进化，使整体外貌看起来不再那么像官车。除了舒适、科技之外，运动也是奥迪的重要基因，所以奥迪每个车系都会推出S版本，“银耳”成为了奥迪S系列车型</t>
  </si>
  <si>
    <t>投诉编号：【447383】  投诉时间： 2020-02-16 00:57  投诉品牌： 宝马（进口）  投诉车系： 宝马X5  投诉车型： 2014款 xDrive35i 典雅型 5座        投诉内容  2016年8月份购车，2018年10月份差速器漏油整体更换，2020年2月份发现再次漏</t>
  </si>
  <si>
    <t>2020/02/16 00:57:00</t>
  </si>
  <si>
    <t>2020/02/15 23:59:59</t>
  </si>
  <si>
    <t>投诉编号：【447380】
投诉时间： 2020-02-15 23:24
投诉品牌： 特斯拉（进口）
投诉车系： MODEL 3（进口）
投诉车型： 2019款 标准续航 后驱 升级版</t>
  </si>
  <si>
    <t>投诉编号：【447381】
投诉时间： 2020-02-15 23:24
投诉品牌： 上汽集团
投诉车系： 荣威RX5
投诉车型： 2016款 1.5T 自动 两驱 互联网智享版</t>
  </si>
  <si>
    <t>投诉编号：【447382】  投诉时间： 2020-02-15 23:38  投诉品牌： 雷克萨斯  投诉车系： 雷克萨斯NX  投诉车型： 2015款 200 锋行版 前驱 5座        投诉内容  本人今天倒车入库换挡，突然出现强烈顿挫感，并伴有异响，无故障灯亮起，停稳后熄火重启车辆，前后</t>
  </si>
  <si>
    <t>2020/02/15 23:38:00</t>
  </si>
  <si>
    <t>2020/02/15 23:26:59</t>
  </si>
  <si>
    <t>投诉编号：【447377】
投诉时间： 2020-02-15 22:55
投诉品牌： 上汽大众
投诉车系： 朗逸
投诉车型： 2017款 1.6L 自动 风尚版</t>
  </si>
  <si>
    <t>投诉编号：【447378】  投诉时间： 2020-02-15 23:19  投诉品牌： 上汽大众  投诉车系： 帕萨特  投诉车型： 2019款 330TSI 精英版 国VI        投诉内容  中保研碰撞测试A柱断裂，驾驶员一侧安全气囊偏离，严重影响安全，要求尽快处理。      投诉回复</t>
  </si>
  <si>
    <t>2020/02/15 23:19:00</t>
  </si>
  <si>
    <t>2020/02/15 23:02:33</t>
  </si>
  <si>
    <t>投诉编号：【447376】
投诉时间： 2020-02-15 22:51
投诉品牌： 上汽斯柯达
投诉车系： 明锐
投诉车型： 2010款 1.4TSI DSG 逸俊版</t>
  </si>
  <si>
    <t>投诉编号：【447375】  投诉时间： 2020-02-15 22:17  投诉品牌： 上汽大众  投诉车系： 朗逸  投诉车型： 2019款 1.5L 手动 舒适版 国VI        投诉内容  行驶一千公里时出现的异响，中途跑了三次4s店，第三次找出问题所在，更换了曲轴后油封的密封法兰，更</t>
  </si>
  <si>
    <t>2020/02/15 22:17:00</t>
  </si>
  <si>
    <t>传祺GS5你让我欲哭无泪 问题太多反正买了这款车，新车就毛病不断，方向盘打方向异响，刹车异响，涡轮增压排气阀漏油，涡轮噪音大，排气系统故障提示，等等，我感觉就跟买了个试验品一样。能帮帮我们解决吗，要知道买车对中国老百姓是件大事，你不能那我们血汗钱开涮啊！！！</t>
  </si>
  <si>
    <t>旭日东升传祺GS5</t>
  </si>
  <si>
    <t>2020/02/15 22:00:00</t>
  </si>
  <si>
    <t>2020/02/15 21:18:50</t>
  </si>
  <si>
    <t>投诉编号：【447365】
投诉时间： 2020-02-15 19:54
投诉品牌： 上汽通用别克
投诉车系： 君威
投诉车型： 2017款 20T 自动 豪华型</t>
  </si>
  <si>
    <t>2020/02/15 21:16:20</t>
  </si>
  <si>
    <t>投诉编号：【447366】
投诉时间： 2020-02-15 19:54
投诉品牌： 东风本田
投诉车系： INSPIRE
投诉车型： 2019款 锐·混动 2.0L 净越版 国VI</t>
  </si>
  <si>
    <t>投诉编号：【447372】  投诉时间： 2020-02-15 21:04  投诉品牌： 众泰汽车  投诉车系： 众泰T500  投诉车型： 2018款 1.5T 自动 尊享型 5座        投诉内容  底盘异响，变速箱异响，满车故障灯亮，4s店也找不到也不管，现在不知道找谁。      投诉</t>
  </si>
  <si>
    <t>2020/02/15 21:04:00</t>
  </si>
  <si>
    <t>2020/02/15 20:46:48</t>
  </si>
  <si>
    <t>投诉编号：【447362】
投诉时间： 2020-02-15 19:29
投诉品牌： 一汽奔腾
投诉车系： 奔腾X40
投诉车型： 2017款 1.6L 手动 豪华型</t>
  </si>
  <si>
    <t>长城C30打火问题有解决的吗c30热车停车一会不好打火有解决的吗</t>
  </si>
  <si>
    <t>lk1993548008</t>
  </si>
  <si>
    <t>2020/02/15 20:39:00</t>
  </si>
  <si>
    <t>投诉编号：【447371】  投诉时间： 2020-02-15 20:39  投诉品牌： 一汽-大众  投诉车系： 宝来  投诉车型： 2020款 1.5L 自动 精英型        投诉内容  原地刹车异响，开车时车内及?盘有异响。反正开起来很不舒服。      投诉回复  车质网已将您的投诉转</t>
  </si>
  <si>
    <t>投诉编号：【447370】  投诉时间： 2020-02-15 20:36  投诉品牌： 领克汽车  投诉车系： 领克01  投诉车型： 2017款 2.0T 自动 两驱 型 Pro        投诉内容  偷偷刷程序，动力变弱，油耗增高。扭矩没有宣传说的1400转达到峰值扭矩，存在欺骗行为，原来</t>
  </si>
  <si>
    <t>2020/02/15 20:36:00</t>
  </si>
  <si>
    <t>投诉编号：【447369】  投诉时间： 2020-02-15 20:23  投诉品牌： 上汽大众  投诉车系： 帕萨特  投诉车型： 2019款 330TSI 精英版 国VI        投诉内容  2019年12月中保研25%偏置测试中证明帕萨特设计存在重大安全隐患，可能造成驾驶员生命安全问题</t>
  </si>
  <si>
    <t>2020/02/15 20:23:00</t>
  </si>
  <si>
    <t>投诉编号：【447368】  投诉时间： 2020-02-15 20:21  投诉品牌： 吉利汽车  投诉车系： 帝豪  投诉车型： 2014款 1.5L 手动 时尚型 三厢        投诉内容  15年不顾朋友反对提了帝豪ec7，果然没有让我失望，不到三年左边两个门烂穿，四个下槛烂穿，4s处理</t>
  </si>
  <si>
    <t>2020/02/15 20:21:00</t>
  </si>
  <si>
    <t>投诉编号：【447367】  投诉时间： 2020-02-15 20:00  投诉品牌： 一汽-大众  投诉车系： 宝来  投诉车型： 2014款 1.6L 自动 舒适型        投诉内容  没过质保期前换过减震换过方向机助力器球头修过一次漏水补过胶，这大众车子的通病这么多，设计不合理，现在又</t>
  </si>
  <si>
    <t>2020/02/15 20:00:00</t>
  </si>
  <si>
    <t>2020/02/15 17:46:37</t>
  </si>
  <si>
    <t>投诉编号：【447356】
投诉时间： 2020-02-15 17:44
投诉品牌： 奇瑞汽车
投诉车系： 艾瑞泽5
投诉车型： 2017款 1.5L CVT 豪华版</t>
  </si>
  <si>
    <t>投诉编号：【447355】  投诉时间： 2020-02-15 17:40  投诉品牌： 广汽本田  投诉车系： 飞度  投诉车型： 2014款 1.5L CVT SE时尚型        投诉内容  1万公里出现发动机冷启动异响后一直存在，开始一个月几回，后面越发频繁，现在车辆里程是4.1万公里，</t>
  </si>
  <si>
    <t>2020/02/15 17:40:00</t>
  </si>
  <si>
    <t>2020新款宝来发动机是第几代，可以放心购买吗？</t>
  </si>
  <si>
    <t>2020/02/15 17:22:06</t>
  </si>
  <si>
    <t>2020/02/15 17:16:19</t>
  </si>
  <si>
    <t>投诉编号：【447351】
投诉时间： 2020-02-15 16:56
投诉品牌： 广汽本田
投诉车系： 雅阁
投诉车型： 2018款 260TURBO 精英版 国V</t>
  </si>
  <si>
    <t>投诉编号：【447352】投诉时间：2020-02-1516:58投诉品牌：郑州日产投诉车系：途达投诉车型：2020款2.5L自动四驱旗舰版投诉内容郑州日产途达电瓶亏电严重无法启动。电池充满电后，停车两天无法启动。投诉回复车质网已将您的投诉转给生产企业以及国家市场监督管理总局缺陷产品管理中心，我们将</t>
  </si>
  <si>
    <t>2020/02/15 16:58:00</t>
  </si>
  <si>
    <t>雪铁龙天逸C5 AIRCROSS质量表现怎么样？值得购买吗？</t>
  </si>
  <si>
    <t>2020/02/15 16:52:52</t>
  </si>
  <si>
    <t>以前都没有这个情况。现在一下雨副驾就进水。地板积水很多。地胶都是湿透的。</t>
  </si>
  <si>
    <t>出现了几次，在斜坡的地方停车，从D挡挂P挡，然后由于有坡度，车身向后倒退了一点，感觉整个车身晃动严重，长期这样对车有影响吗？</t>
  </si>
  <si>
    <t>投诉编号：【447348】  投诉时间： 2020-02-15 16:37  投诉品牌： 领克汽车  投诉车系： 领克01  投诉车型： 2017款 2.0T 双离合 四驱 劲Pro        投诉内容  2018年3月19日，本人买的领克01劲pro，202800元，新车动了轻快干脆，跟厂家宣</t>
  </si>
  <si>
    <t>2020/02/15 16:37:00</t>
  </si>
  <si>
    <t>投诉编号：【447346】  投诉时间： 2020-02-15 16:33  投诉品牌： 一汽-大众  投诉车系： T-ROC探歌  投诉车型： 2018款 280TSI DSG 四驱 豪华型 国V        投诉内容  怠速时发动机舱异响，不知道是双离合变速箱还是发动机，声音像是金属摩擦的吱吱</t>
  </si>
  <si>
    <t>2020/02/15 16:33:00</t>
  </si>
  <si>
    <t>投诉编号：【447345】投诉时间：2020-02-1516:29投诉品牌：云度新能源投诉车系：云度π1投诉车型：2018款Pro智派型投诉内容空调无法调节温度，不开闷死，开冷死，只有一个温度，跟4S店沟通过，他们说也跟厂家技术沟通过，是这样的，这样子也叫空调吗？调控按钮是假的，根本调不了。出风口又</t>
  </si>
  <si>
    <t>2020/02/15 16:29:00</t>
  </si>
  <si>
    <t>疫情期间车辆保养防护措施疫情期间，宅在家就是自我保护的重要措施！有车一族，即便汽车长期不开也要注意防护，若有个别情况需要开车外出时，一定要做好车辆保养防护消毒措施。1、汽车定期检查和发动汽车长期不开时，建议定期检查电瓶和轮胎：胎压不足时要及时充气；注意轮胎的老化情况，发现不对要立刻更换；注意电瓶电量</t>
  </si>
  <si>
    <t>2020/02/15 16:21:22</t>
  </si>
  <si>
    <t>投诉编号：【447344】
投诉时间： 2020-02-15 16:07
投诉品牌： 陆风汽车
投诉车系： 陆风X5
投诉车型： 2016款 1.5T CVT 创领版 Plus</t>
  </si>
  <si>
    <t>2020/02/15 16:06:56</t>
  </si>
  <si>
    <t>投诉编号：【447340】
投诉时间： 2020-02-15 15:43
投诉品牌： 上汽大众
投诉车系： 帕萨特
投诉车型： 2019款 330TSI 精英版 国VI</t>
  </si>
  <si>
    <t>2020/02/15 16:06:47</t>
  </si>
  <si>
    <t>投诉编号：【447339】
投诉时间： 2020-02-15 15:41
投诉品牌： 北京现代
投诉车系： 悦动
投诉车型： 2018款 1.6L 自动 悦目版 GL 国VI</t>
  </si>
  <si>
    <t>2020/02/15 15:18:13</t>
  </si>
  <si>
    <t>投诉编号：【447337】
投诉时间： 2020-02-15 15:07
投诉品牌： 东风日产
投诉车系： 奇骏
投诉车型： 2017款 2.0L CVT 舒适版 5座 2WD</t>
  </si>
  <si>
    <t>投诉编号：【447336】  投诉时间： 2020-02-15 14:50  投诉品牌： 东风雪铁龙  投诉车系： C4世嘉  投诉车型： 2016款 1.6L 自动 豪华型        投诉内容  出现方向盘晃动的问题，无论是熄火后还是行驶中，都晃动明显，造成了行车安全隐患，危害行车人员安全。去</t>
  </si>
  <si>
    <t>2020/02/15 14:50:00</t>
  </si>
  <si>
    <t>投诉编号：【447335】  投诉时间： 2020-02-15 14:45  投诉品牌： 吉利汽车  投诉车系： 博越  投诉车型： 2016款 1.8TD 自动 两驱 智尊型        投诉内容  发动机声音越来越大，怠速以及开空调时抖动厉害！车速40KM/H时变速箱有咔擦的金属撞击声！踩刹车</t>
  </si>
  <si>
    <t>2020/02/15 14:45:00</t>
  </si>
  <si>
    <t>2020/02/15 14:22:40</t>
  </si>
  <si>
    <t>投诉编号：【447331】
投诉时间： 2020-02-15 14:02
投诉品牌： 一汽-大众
投诉车系： 迈腾
投诉车型： 2020款 330TSI DSG 领先型</t>
  </si>
  <si>
    <t>哈弗M6这车可以考虑入手吗其质量如何？</t>
  </si>
  <si>
    <t>2020/02/15 14:21:40</t>
  </si>
  <si>
    <t>如何才能正确检查车辆发电机是否正常？怎样检查小车发电机发不发电？怎么连充电故障指示灯也亮了？</t>
  </si>
  <si>
    <t>你好！咨询一下，我的长安CS35 PLUS现在过减速路面时，车内感觉嗡嗡响声有点大，以前没有感觉这么大声响啊，是减震器出了问题吗？路面平坦时就没有这种嗡嗡声。</t>
  </si>
  <si>
    <t>2020/02/15 14:14:42</t>
  </si>
  <si>
    <t>大众EA888发动机，废气阀也换了，还是发动机有点抖，突突声音，修理厂说漏气就是查不到，求解可能那有问题？</t>
  </si>
  <si>
    <t>2020/02/15 14:08:28</t>
  </si>
  <si>
    <t>投诉编号：【447329】
投诉时间： 2020-02-15 13:45
投诉品牌： 东风悦达起亚
投诉车系： 焕驰
投诉车型： 2017款 1.4L 手动 智享版 Value</t>
  </si>
  <si>
    <t>裸车6万，纯代步，不要求功能，故障少，油耗低，（轿车，suv均可）什么车合适？</t>
  </si>
  <si>
    <t>2020/02/15 14:04:19</t>
  </si>
  <si>
    <t>投诉编号：【447330】  投诉时间： 2020-02-15 13:58  投诉品牌： 一汽-大众  投诉车系： 宝来  投诉车型： 2015款 1.6L 自动 舒适型  质惠版        投诉内容  一汽大众的车子真是太烂，别人现代的十年了没有一次天窗漏水现象，我的破宝来才四年天窗就已经漏水</t>
  </si>
  <si>
    <t>2020/02/15 13:58:00</t>
  </si>
  <si>
    <t>2020/02/15 13:26:33</t>
  </si>
  <si>
    <t>投诉编号：【447327】
投诉时间： 2020-02-15 13:16
投诉品牌： 一汽-大众奥迪
投诉车系： 奥迪Q5L
投诉车型： 2018款 40 TFSI 荣享时尚型 国V</t>
  </si>
  <si>
    <t>投诉编号：【447328】  投诉时间： 2020-02-15 13:19  投诉品牌： 长城汽车  投诉车系： 风骏5  投诉车型： 2017款 2.0T 两驱 欧洲版 柴油 进取型 大双排GW4D20D        投诉内容  挂不上挡，检查结果是变速杆质量问题，更换过，问题没有解决，再次检查</t>
  </si>
  <si>
    <t>2020/02/15 13:19:00</t>
  </si>
  <si>
    <t>投诉编号：【447326】  投诉时间： 2020-02-15 12:56  投诉品牌： 长城汽车  投诉车系： 哈弗F5  投诉车型： 2018款 1.5T i型版        投诉内容  车子停放两天蓄电池就没电，打不着火，已更换过电瓶问题无法解决，仍然频繁亏电。      投诉回复  车质网</t>
  </si>
  <si>
    <t>2020/02/15 12:56:00</t>
  </si>
  <si>
    <t>2020/02/15 12:47:43</t>
  </si>
  <si>
    <t>投诉编号：【447323】
投诉时间： 2020-02-15 12:24
投诉品牌： 上汽通用雪佛兰
投诉车系： 科鲁兹
投诉车型： 2009款 1.6 SL 手动</t>
  </si>
  <si>
    <t>2020/02/15 12:33:10</t>
  </si>
  <si>
    <t>投诉编号：【447321】
投诉时间： 2020-02-15 12:22
投诉品牌： 奔驰（进口）
投诉车系： 奔驰C级（进口）
投诉车型： 2018款 200 旅行轿车</t>
  </si>
  <si>
    <t>投诉编号：【447324】  投诉时间： 2020-02-15 12:33  投诉品牌： 上汽集团  投诉车系： 名爵6  投诉车型： 2018款 20T 手动 豪华智联版 国VI        投诉内容  2018年9月底购入，2019年12月出现起步异响。半联动有摩擦声。那时候声音还不大，偶尔出</t>
  </si>
  <si>
    <t>2020/02/15 12:33:00</t>
  </si>
  <si>
    <t>2020/02/15 12:32:33</t>
  </si>
  <si>
    <t>投诉编号：【447310】
投诉时间： 2020-02-15 11:45
投诉品牌： 上汽通用雪佛兰
投诉车系： 科鲁兹
投诉车型： 2015款 1.5L 手动 精英版</t>
  </si>
  <si>
    <t>2020/02/15 12:20:42</t>
  </si>
  <si>
    <t>投诉编号：【447315】
投诉时间： 2020-02-15 12:04
投诉品牌： 长城汽车
投诉车系： 哈弗H6
投诉车型： 2018款 1.5T 自动 豪华型 换代 蓝标</t>
  </si>
  <si>
    <t>投诉编号：【447320】  投诉时间： 2020-02-15 12:14  投诉品牌： 长安汽车  投诉车系： 长安欧尚X70A  投诉车型： 2018款 1.5L 手动 豪华型        投诉内容  2019年大初5停了一天，第二天就没电了，大概6-7月份的时候又没电了，在服务站换过电瓶，而</t>
  </si>
  <si>
    <t>2020/02/15 12:14:00</t>
  </si>
  <si>
    <t>投诉编号：【447319】  投诉时间： 2020-02-15 12:11  投诉品牌： 东风本田  投诉车系： 本田CR-V  投诉车型： 2019款 240TURBO CVT 两驱 风尚版 国V        投诉内容  买之前跟东本4s再三确认4s明确告知新款CRV已经解决了机油增多问题，而且</t>
  </si>
  <si>
    <t>2020/02/15 12:11:00</t>
  </si>
  <si>
    <t>投诉编号：【447318】  投诉时间： 2020-02-15 12:09  投诉品牌： 长城汽车  投诉车系： 长城M2  投诉车型： 2012款 1.5 手动 两驱 都市版        投诉内容  本车购于2013年2月使用过程陆陆续续发现车身有些地方开始有锈斑，但是没有在意2015年看汽车之</t>
  </si>
  <si>
    <t>2020/02/15 12:09:00</t>
  </si>
  <si>
    <t>投诉编号：【447317】  投诉时间： 2020-02-15 12:07  投诉品牌： 上汽通用五菱  投诉车系： 宝骏560  投诉车型： 2015款 1.8L 手动 豪华型        投诉内容  发动机冷启动异响，在宝骏的服务站重庆市梁平区汽贸多次维修，仍未解决，负责人态度恶劣，以车辆能开</t>
  </si>
  <si>
    <t>2020/02/15 12:07:00</t>
  </si>
  <si>
    <t>投诉编号：【447316】  投诉时间： 2020-02-15 12:04  投诉品牌： 郑州日产  投诉车系： 途达  投诉车型： 2020款 2.5L 自动 四驱 旗舰版        投诉内容  车放在楼下三天没有开，当要用车发现整车没有电，电子钥匙都无法使用，找车搭电，第二天下午车子又没电了</t>
  </si>
  <si>
    <t>2020/02/15 12:04:00</t>
  </si>
  <si>
    <t>投诉编号：【447314】  投诉时间： 2020-02-15 12:03  投诉品牌： 众泰汽车  投诉车系： 众泰T600  投诉车型： 2015款 2.0T 自动 豪华型        投诉内容  2015年4月份买的众泰T600,2.0T，到2017年5月份发动机开始吱吱响，我第一时间去了售</t>
  </si>
  <si>
    <t>2020/02/15 12:03:00</t>
  </si>
  <si>
    <t>投诉编号：【447312】  投诉时间： 2020-02-15 11:59  投诉品牌： 北京现代  投诉车系： 名图  投诉车型： 2014款 1.8L 自动 尊贵型        投诉内容  发动机出现哒哒响，好像拉缸似的。初步判断机油供给不够。      投诉回复  车质网已将您的投诉转给生产</t>
  </si>
  <si>
    <t>2020/02/15 11:59:00</t>
  </si>
  <si>
    <t>投诉编号：【447311】  投诉时间： 2020-02-15 11:54  投诉品牌： 郑州日产  投诉车系： 途达  投诉车型： 2020款 2.5L 自动 四驱 豪华版        投诉内容  郑州日产途达电瓶亏电无法正常启动，希望尽快得到处理。      投诉回复  车质网已将您的投诉转给</t>
  </si>
  <si>
    <t>2020/02/15 11:54:00</t>
  </si>
  <si>
    <t>投诉编号：【447309】  投诉时间： 2020-02-15 11:40  投诉品牌： 东风标致  投诉车系： 标致301  投诉车型： 2014款 1.6L 手动 舒适版        投诉内容  标致301换电瓶后，abs泵烧毁。同样方式给其他车换就不会烧，求厂家解答。给用户讲解一下，什么设计</t>
  </si>
  <si>
    <t>2020/02/15 11:40:00</t>
  </si>
  <si>
    <t>投诉编号：【447307】  投诉时间： 2020-02-15 11:25  投诉品牌： 北京现代  投诉车系： 领动  投诉车型： 2016款 1.6L 自动 智炫·精英型        投诉内容  跑高速微调方向岀现发卡,跑去4s店说试不岀来。厂家拿顾客生命当儿戏,不召回。换过管柱同样会岀现方向</t>
  </si>
  <si>
    <t>2020/02/15 11:25:00</t>
  </si>
  <si>
    <t>2020/02/15 11:22:53</t>
  </si>
  <si>
    <t>投诉编号：【447304】
投诉时间： 2020-02-15 11:10
投诉品牌： 上汽大众
投诉车系： 帕萨特
投诉车型： 2019款 280TSI 商务版 国VI</t>
  </si>
  <si>
    <t>2020/02/15 11:22:25</t>
  </si>
  <si>
    <t>投诉编号：【447301】
投诉时间： 2020-02-15 10:54
投诉品牌： 比速汽车
投诉车系： 比速T5
投诉车型： 2017款 1.5T 豪华型</t>
  </si>
  <si>
    <t>投诉编号：【447306】投诉时间：2020-02-1511:19投诉品牌：众泰汽车投诉车系：众泰E200投诉车型：2018款飞鱼座投诉内容我于2018年5月15日在南阳滨源众泰4店购买众泰E200，开了一个月就突然动力丢失，整车故障，售后维修说是线路技术改造，中间陆陆续续一直都有动力丢失的整车故障</t>
  </si>
  <si>
    <t>2020/02/15 11:19:00</t>
  </si>
  <si>
    <t>2020/02/15 11:15:00</t>
  </si>
  <si>
    <t>投诉编号：【447302】
投诉时间： 2020-02-15 11:01
投诉品牌： 一汽-大众奥迪
投诉车系： 奥迪A4L
投诉车型： 2018款 2.0T 时尚型 30周年年型</t>
  </si>
  <si>
    <t>日前，爱卡汽车从相关渠道获得了梅赛德斯-AMG G63 Cigarette Edition车型的官图。该车由梅赛德斯-AMG与高性能快艇制造商Cigarette Racing共同打造而来，在细节方面加入了诸多特殊元素。动力部分AMG G63 Cigarette Edition依旧搭载4.0L V8双</t>
  </si>
  <si>
    <t>2020/02/15 11:03:00</t>
  </si>
  <si>
    <t>　　日前，爱卡汽车从相关渠道获得了梅赛德斯-AMG G63 Cigarette Edition车型的官图。该车由梅赛德斯-AMG与高性能快艇制造商Cigarette Racing共同打造而来，在细节方面加入了诸多特殊元素。动力部分AMG G63 Cigarette Edition依旧搭载4.0L V</t>
  </si>
  <si>
    <t>日前，大众官方发布了全新大众高尔夫GTD车型部分预告图，新车将在3月3日开幕的2020日内瓦车展上正式亮相。新车基于MQB平台打造，延续了全新高尔夫车型的设计，但部分细节有所调整。值得注意的是，全新高尔夫GTD与GTI车型将共享内饰和外观设计方案。此外，全新高尔夫R(参数|询价)版则将于6月底举办的</t>
  </si>
  <si>
    <t>2020/02/15 10:56:00</t>
  </si>
  <si>
    <t>　　日前，大众官方发布了全新大众高尔夫GTD车型部分预告图，新车将在3月3日开幕的2020日内瓦车展上正式亮相。新车基于MQB平台打造，延续了全新高尔夫车型的设计，但部分细节有所调整。值得注意的是，全新高尔夫GTD与GTI车型将共享内饰和外观设计方案。此外，全新高尔夫R(参数|询价)版则将于6月底举</t>
  </si>
  <si>
    <t xml:space="preserve">说起方向盘，相信大家都不陌生。如今每个汽车品牌基本上都会有着独一无二的方向盘造型，这些方向盘造型就像汽车品牌的LOGO一样深入人心，即便挡住中央的LOGO，熟悉的人也能快速的甄别。然而方向盘作为汽车的功能件，是如何发展到现在这样的呢？在漫长的汽车历史长河中，又有哪些令人印象深刻的方向盘造型呢？   </t>
  </si>
  <si>
    <t>2020/02/15 10:52:00</t>
  </si>
  <si>
    <t>　　说起方向盘，相信大家都不陌生。如今每个汽车品牌基本上都会有着独一无二的方向盘造型，这些方向盘造型就像汽车品牌的LOGO一样深入人心，即便挡住中央的LOGO，熟悉的人也能快速的甄别。然而方向盘作为汽车的功能件，是如何发展到现在这样的呢？在漫长的汽车历史长河中，又有哪些令人印象深刻的方向盘造型呢？　</t>
  </si>
  <si>
    <t>2020/02/15 10:50:14</t>
  </si>
  <si>
    <t>投诉编号：【447300】
投诉时间： 2020-02-15 10:30
投诉品牌： 长城汽车
投诉车系： 哈弗F7
投诉车型： 2019款 1.5T 两驱 i型</t>
  </si>
  <si>
    <t>2018年，宝马前首席执行官哈拉尔德·克鲁格曾表示，宝马正在考虑在俄罗斯建立自己的本地工厂及生产设施。但据外媒近期报道，宝马放弃了此前在俄罗斯建设工厂的计划，原因是宝马与俄罗斯就政府补贴问题的谈判宣告破裂。    宝马俄罗斯首席执行官斯特凡·图谢（Stefan Teuchert）表示，宝马与俄罗斯政</t>
  </si>
  <si>
    <t>2020/02/15 10:48:00</t>
  </si>
  <si>
    <t>　　2018年，宝马前首席执行官哈拉尔德・克鲁格曾表示，宝马正在考虑在俄罗斯建立自己的本地工厂及生产设施。但据外媒近期报道，宝马放弃了此前在俄罗斯建设工厂的计划，原因是宝马与俄罗斯就政府补贴问题的谈判宣告破裂。　　宝马俄罗斯首席执行官斯特凡・图谢（Stefan Teuchert）表示，宝马与俄罗斯政</t>
  </si>
  <si>
    <t>据英国广播公司BBC报道，英国运输部长格兰特?沙普斯（Grant Shapps）日前表示，英国计划最早将于2032年开始实施燃油车禁售法令，并首次将范围从原有的汽油动力、柴油动力汽车，扩大到混合动力汽车。    就在上周，英国政府刚刚才宣布将燃油车禁售法令的生效日期从2040年提前到2035年，以配</t>
  </si>
  <si>
    <t>2020/02/15 10:47:00</t>
  </si>
  <si>
    <t>　　据英国广播公司BBC报道，英国运输部长格兰特?沙普斯（Grant Shapps）日前表示，英国计划最早将于2032年开始实施燃油车禁售法令，并首次将范围从原有的汽油动力、柴油动力汽车，扩大到混合动力汽车。　　就在上周，英国政府刚刚才宣布将燃油车禁售法令的生效日期从2040年提前到2035年，以配</t>
  </si>
  <si>
    <t>　　为支持南京疫情防控工作，解决医护人员出行需求，2月14日，滴滴出行在南京组建“医护保障车队”。根据统一安排，保障车队将为南京3家定点医院的医务工作者，提供免费接送服务。据介绍，“医护保障车队”的组建得到了南京滴滴司机师傅的积极响应。车队首批司机已配备防护装备和消毒剂，启动保障服务，24小时待命服</t>
  </si>
  <si>
    <t>2020/02/15 10:42:00</t>
  </si>
  <si>
    <t>为支持南京疫情防控工作，解决医护人员出行需求，2月14日，滴滴出行在南京组建“医护保障车队”。根据统一安排，保障车队将为南京3家定点医院的医务工作者，提供免费接送服务。据介绍，“医护保障车队”的组建得到了南京滴滴司机师傅的积极响应。车队首批司机已配备防护装备和消毒剂，启动保障服务，24小时待命服务。</t>
  </si>
  <si>
    <t>　　近日据外媒报道，在2019年日内瓦车展上推出纯电动跑车――Carmen(参数|询价)的西班牙昔日顶级豪华车品牌Hispano Suiza，将在2020年日内瓦车展上携Carmen的特别版车型亮相。　　据了解，Carmen的特别版车型极有可能被命名为Carmen Boulogne，Boulogne</t>
  </si>
  <si>
    <t>2020/02/15 10:31:00</t>
  </si>
  <si>
    <t>近日据外媒报道，在2019年日内瓦车展上推出纯电动跑车——Carmen(参数|询价)的西班牙昔日顶级豪华车品牌Hispano Suiza，将在2020年日内瓦车展上携Carmen的特别版车型亮相。    据了解，Carmen的特别版车型极有可能被命名为Carmen Boulogne，Boulogne</t>
  </si>
  <si>
    <t>　　日前，我们从官方获悉，上汽通用汽车针对整车质保在2020年2月、3月间到期的所有别克、雪佛兰以及凯迪拉克品牌车型，提供3个月的延长质保服务。此外，上汽通用汽车官方还推出多项疫情期间关怀服务。　　具体来看，上汽通用汽车针对2020年2月、3月整车质保到期的别克、雪佛兰、凯迪拉克品牌车型，提供3个月</t>
  </si>
  <si>
    <t>2020/02/15 10:28:00</t>
  </si>
  <si>
    <t>日前，我们从官方获悉，上汽通用汽车针对整车质保在2020年2月、3月间到期的所有别克、雪佛兰以及凯迪拉克品牌车型，提供3个月的延长质保服务。此外，上汽通用汽车官方还推出多项疫情期间关怀服务。    具体来看，上汽通用汽车针对2020年2月、3月整车质保到期的别克、雪佛兰、凯迪拉克品牌车型，提供3个月</t>
  </si>
  <si>
    <t>2020/02/15 10:27:45</t>
  </si>
  <si>
    <t>投诉编号：【447294】
投诉时间： 2020-02-15 10:01
投诉品牌： 上汽大众
投诉车系： 帕萨特
投诉车型： 2019款 330TSI 豪华版 国VI</t>
  </si>
  <si>
    <t>2020/02/15 10:27:39</t>
  </si>
  <si>
    <t>投诉编号：【447299】
投诉时间： 2020-02-15 10:25
投诉品牌： 一汽-大众
投诉车系： 迈腾
投诉车型： 2015款 1.8TSI 豪华型 改款</t>
  </si>
  <si>
    <t>　　雷诺F1车队在2020赛季启动仪式上宣布，中国年轻车手周冠宇在新赛季升任车队的试车手。　　1999年出生的周冠宇从8岁就开始接触卡丁车，10岁时赢得全国锦标赛冠军。2012年，来到英国开始在欧洲的卡丁车生涯，2013年获得英国Super 1国家卡丁锦标赛Rotax Max Junior和Rota</t>
  </si>
  <si>
    <t>2020/02/15 10:26:00</t>
  </si>
  <si>
    <t>雷诺F1车队在2020赛季启动仪式上宣布，中国年轻车手周冠宇在新赛季升任车队的试车手。    1999年出生的周冠宇从8岁就开始接触卡丁车，10岁时赢得全国锦标赛冠军。2012年，来到英国开始在欧洲的卡丁车生涯，2013年获得英国Super 1国家卡丁锦标赛Rotax Max Junior和Rota</t>
  </si>
  <si>
    <t>　　当前疫情防控正处关键期，汽车行业积极发扬担当精神，为疫情防控贡献力量。2月14日，宝马中国及华晨宝马宣布实施第三笔捐赠，通过中华慈善总会宝马爱心基金，向辽宁省慈善总会捐款人民币500万元，用于定向支持沈阳市抗击新冠肺炎疫情的工作。　　该笔捐款将主要用于资助沈阳市第六人民医院（沈阳市传染病院）紧急</t>
  </si>
  <si>
    <t>2020/02/15 10:16:00</t>
  </si>
  <si>
    <t>当前疫情防控正处关键期，汽车行业积极发扬担当精神，为疫情防控贡献力量。2月14日，宝马中国及华晨宝马宣布实施第三笔捐赠，通过中华慈善总会宝马爱心基金，向辽宁省慈善总会捐款人民币500万元，用于定向支持沈阳市抗击新冠肺炎疫情的工作。    该笔捐款将主要用于资助沈阳市第六人民医院（沈阳市传染病院）紧急</t>
  </si>
  <si>
    <t>继上周Formula E（电动方程式）宣布取消原定于3月21日在海南三亚举办的赛事后，本周，原定于4月17-19日登陆上海的F1中国大奖赛也宣布延期举办。    近期新型冠状病毒感染的肺炎疫情，对F1中国大奖赛的前期保障产生了极大影响。按照惯例，需要在赛前两个月启动的赛道及车库整修、赛事物资海运等工</t>
  </si>
  <si>
    <t>2020/02/15 10:10:00</t>
  </si>
  <si>
    <t>　　继上周Formula E（电动方程式）宣布取消原定于3月21日在海南三亚举办的赛事后，本周，原定于4月17-19日登陆上海的F1中国大奖赛也宣布延期举办。　　近期新型冠状病毒感染的肺炎疫情，对F1中国大奖赛的前期保障产生了极大影响。按照惯例，需要在赛前两个月启动的赛道及车库整修、赛事物资海运等工</t>
  </si>
  <si>
    <t>李伊文</t>
  </si>
  <si>
    <t>投诉编号：【447297】  投诉时间： 2020-02-15 10:08  投诉品牌： 广汽本田  投诉车系： 冠道  投诉车型： 2017款 370TURBO 自动 四驱 至尊版        投诉内容  发现问题后，立即到4s店检查，维修人员已确定为油箱问题。要求回家后录音给他们，他们发给厂商</t>
  </si>
  <si>
    <t>2020/02/15 10:08:00</t>
  </si>
  <si>
    <t>过去的一年里，华为凭借5G技术一时风头无两，而它作为ICT（信息通信技术）龙头又看到了汽车产业向智能化、网联化方向转型所带来的巨大商机。华为轮值董事长徐直军曾直言：“华为不造车，聚焦ICT技术，帮助车企造好车。”由此可见，华为有志于成为汽车行业新的供应商。    然而，汽车界的供应商不是谁想当就能当</t>
  </si>
  <si>
    <t>2020/02/15 10:07:00</t>
  </si>
  <si>
    <t>　　过去的一年里，华为凭借5G技术一时风头无两，而它作为ICT（信息通信技术）龙头又看到了汽车产业向智能化、网联化方向转型所带来的巨大商机。华为轮值董事长徐直军曾直言：“华为不造车，聚焦ICT技术，帮助车企造好车。”由此可见，华为有志于成为汽车行业新的供应商。　　然而，汽车界的供应商不是谁想当就能当</t>
  </si>
  <si>
    <t xml:space="preserve">投诉编号：【447295】  投诉时间： 2020-02-15 10:06  投诉品牌： 一汽-大众  投诉车系： 速腾  投诉车型： 2018款 280TSI DSG熠动版        投诉内容  2018年购买车辆开了一年半，不到18000公里发现四个原厂韩泰轮胎开裂，希望厂家处理问题。   </t>
  </si>
  <si>
    <t>2020/02/15 10:06:00</t>
  </si>
  <si>
    <t>请问防冻液泄漏，在发动机范围内吗？</t>
  </si>
  <si>
    <t>2020/02/15 10:03:01</t>
  </si>
  <si>
    <t>日前我们从理想汽车官方获悉，在2020年2月末、3月末、4月末，理想ONE(参数|询价)每月将进行一次OTA升级，理想ONE也将具备全新的功能和更强的性能。理想ONE整个春季的OTA提升项目如下：    ● 新的能源模式：纯电优先和燃油优先    新版的能源模式将由原来的三种改为两种，官方建议有充电</t>
  </si>
  <si>
    <t>2020/02/15 09:59:00</t>
  </si>
  <si>
    <t>　　日前我们从理想汽车官方获悉，在2020年2月末、3月末、4月末，理想ONE(参数|询价)每月将进行一次OTA升级，理想ONE也将具备全新的功能和更强的性能。理想ONE整个春季的OTA提升项目如下：　　● 新的能源模式：纯电优先和燃油优先　　新版的能源模式将由原来的三种改为两种，官方建议有充电条件</t>
  </si>
  <si>
    <t>发动机熄火时一瞬间变速箱摩擦异响大概两秒左右，汽车行驶过程中变速箱换挡有异响，求解！</t>
  </si>
  <si>
    <t>2020/02/15 09:58:58</t>
  </si>
  <si>
    <t>汉腾X7变速箱经常挂挡换挡困难是怎么回事？</t>
  </si>
  <si>
    <t>机油乳化，4S店说我短途行车，造成的，检查车没毛病。</t>
  </si>
  <si>
    <t>车速加到120方向盘抖是怎么回事如何解决？</t>
  </si>
  <si>
    <t>据悉，菲亚特500e将于2020年日内瓦车展正式亮相，其续航里程为125英里（约合201公里）。根据此前消息，新车将基于全新的纯电动平台打造，并有望于2020年下半年正式上市。    此前已有外媒绘制了菲亚特500e的假想图，新车独特的复古设计使其韵味十足，双色车身又使其极具现代化气息。其前脸采用封</t>
  </si>
  <si>
    <t>2020/02/15 09:56:00</t>
  </si>
  <si>
    <t>　　据悉，菲亚特500e将于2020年日内瓦车展正式亮相，其续航里程为125英里（约合201公里）。根据此前消息，新车将基于全新的纯电动平台打造，并有望于2020年下半年正式上市。　　此前已有外媒绘制了菲亚特500e的假想图，新车独特的复古设计使其韵味十足，双色车身又使其极具现代化气息。其前脸采用封</t>
  </si>
  <si>
    <t>看了2020款的广汽传祺GS4，感觉还可以！但是有的朋友说广汽传祺的质量不是太好！后期毛病比较多！想问问专家这个车到底怎么样？值不值得买！？ 如果不行的话落地14万左右的SUV专家有什么推荐？</t>
  </si>
  <si>
    <t>2020/02/15 09:55:38</t>
  </si>
  <si>
    <t>福特锐界变速箱换挡顿挫是什么原因？如何处理？</t>
  </si>
  <si>
    <t>对普通大众来说，“伟巴斯特（Webasto）”这个名字从未像最近几天这样频繁出现在视野中。因1月21日公司在德国组织了一次培训，一名感染了新冠肺炎的伟巴斯特中国员工参与其中，数天内这家企业被感染的员工数量增至10名（2名中国人和8名德国人）。为防止“人传人”扩散，伟巴斯已于1月29日-2月11日暂时</t>
  </si>
  <si>
    <t>2020/02/15 09:53:00</t>
  </si>
  <si>
    <t>　　对普通大众来说，“伟巴斯特（Webasto）”这个名字从未像最近几天这样频繁出现在视野中。因1月21日公司在德国组织了一次培训，一名感染了新冠肺炎的伟巴斯特中国员工参与其中，数天内这家企业被感染的员工数量增至10名（2名中国人和8名德国人）。为防止“人传人”扩散，伟巴斯已于1月29日-2月11日</t>
  </si>
  <si>
    <t>　　2月13日，哪吒汽车官方宣布线上数字展厅1.0版本发布。届时，消费者可通过手机App或微信公众号等官方渠道实现线上看车。线上展厅共含有六大功能：经销商信息展示、智能服务、VR全景展厅、在线咨询、在线活动、官网联动，全方位提升用户体验。　　数字展厅包含哪吒汽车所有经销商信息，消费者可一键拨打电话或</t>
  </si>
  <si>
    <t>2020/02/15 09:48:00</t>
  </si>
  <si>
    <t>2月13日，哪吒汽车官方宣布线上数字展厅1.0版本发布。届时，消费者可通过手机App或微信公众号等官方渠道实现线上看车。线上展厅共含有六大功能：经销商信息展示、智能服务、VR全景展厅、在线咨询、在线活动、官网联动，全方位提升用户体验。    数字展厅包含哪吒汽车所有经销商信息，消费者可一键拨打电话或</t>
  </si>
  <si>
    <t>　　日前，新晋跑车品牌APEX官方表示，将在3月3日举办的2020日内瓦车展上，推出一款全新纯电动超跑，代号为AP-0。『AP-0纯电动超跑』　　从预告图上来看，新车为双门跑车，整车造型具备空气动力学性能，设计低矮且线条极具流线感。新车竖向放置的尾灯位于车身上部扰流板的尾端，视觉效果科幻，使得尾部造</t>
  </si>
  <si>
    <t>2020/02/15 09:46:00</t>
  </si>
  <si>
    <t>日前，新晋跑车品牌APEX官方表示，将在3月3日举办的2020日内瓦车展上，推出一款全新纯电动超跑，代号为AP-0。『AP-0纯电动超跑』    从预告图上来看，新车为双门跑车，整车造型具备空气动力学性能，设计低矮且线条极具流线感。新车竖向放置的尾灯位于车身上部扰流板的尾端，视觉效果科幻，使得尾部造</t>
  </si>
  <si>
    <t>　　由新型冠状病毒感染的肺炎疫情尚在紧急防治中，在疫情期间，一汽奔腾针对经销商推行了“一减负二支持三保障”六项经销商支持政策，同时面向消费者出台了“两净两时挚心关怀四项服务”的用户保障。　　为致敬医护人员，一汽奔腾开展致敬医护人员主题活动，打造两大专属服务向医护人员献礼。医护人员凭本人身份证及从业资</t>
  </si>
  <si>
    <t>2020/02/15 09:41:00</t>
  </si>
  <si>
    <t>由新型冠状病毒感染的肺炎疫情尚在紧急防治中，在疫情期间，一汽奔腾针对经销商推行了“一减负二支持三保障”六项经销商支持政策，同时面向消费者出台了“两净两时挚心关怀四项服务”的用户保障。    为致敬医护人员，一汽奔腾开展致敬医护人员主题活动，打造两大专属服务向医护人员献礼。医护人员凭本人身份证及从业资</t>
  </si>
  <si>
    <t>　　电动汽车实现长续航、高安全、低成本的突破口在于动力电池技术。全球汽车企业纷纷在动力电池领域进行前瞻性布局。日前，据外媒报道，戴姆勒与加拿大魁北克水电公司宣布建立合作关系，共同开发固态电池技术。双方合作目的是测试新材料，加速固态电池量产应用。　　何谓固态电池？简单理解，就是用陶瓷、玻璃或化学聚合物</t>
  </si>
  <si>
    <t>2020/02/15 09:37:00</t>
  </si>
  <si>
    <t>电动汽车实现长续航、高安全、低成本的突破口在于动力电池技术。全球汽车企业纷纷在动力电池领域进行前瞻性布局。日前，据外媒报道，戴姆勒与加拿大魁北克水电公司宣布建立合作关系，共同开发固态电池技术。双方合作目的是测试新材料，加速固态电池量产应用。    何谓固态电池？简单理解，就是用陶瓷、玻璃或化学聚合物</t>
  </si>
  <si>
    <t>　　日前，我们从官方获悉，威马为了致敬身处抗疫前线的医疗工作者，特推出“威笑天使关爱计划”，符合条件的人员将能够获得5200元的购车费用减免，活动截止时间为2020年12月31日。　　我们从官方获悉，本次活动针对的对象为全国医疗体系从业人员、医学院校师生（在职/在校）及其直系亲属。此外，并非目前所有</t>
  </si>
  <si>
    <t>2020/02/15 09:34:00</t>
  </si>
  <si>
    <t>日前，我们从官方获悉，威马为了致敬身处抗疫前线的医疗工作者，特推出“威笑天使关爱计划”，符合条件的人员将能够获得5200元的购车费用减免，活动截止时间为2020年12月31日。    我们从官方获悉，本次活动针对的对象为全国医疗体系从业人员、医学院校师生（在职/在校）及其直系亲属。此外，并非目前所有</t>
  </si>
  <si>
    <t>投诉编号：【447291】  投诉时间： 2020-02-15 09:33  投诉品牌： 吉利汽车  投诉车系： 博越  投诉车型： 2016款 1.8TD 自动 两驱 智联型        投诉内容  吉利博越气温低发动机启动不了，已经连续三年了，新车买了三年一到冬天就打不着，按厂家要求换了电瓶，</t>
  </si>
  <si>
    <t>2020/02/15 09:33:00</t>
  </si>
  <si>
    <t>　　由新型冠状病毒感染的肺炎疫情尚在紧急防治中，为保证捷途车主们安心用车，捷途针对性的推出了达到“N90”过滤级别的空调过滤系统升级方案，捷途车主们可在线预约当地经销商进行升级。部分具备条件的地区和经销商，还可提供上门取车和整车消毒后上门交车等服务，车主可以不出门就能完成相关升级。　　为保障车内空气</t>
  </si>
  <si>
    <t>2020/02/15 09:31:00</t>
  </si>
  <si>
    <t>由新型冠状病毒感染的肺炎疫情尚在紧急防治中，为保证捷途车主们安心用车，捷途针对性的推出了达到“N90”过滤级别的空调过滤系统升级方案，捷途车主们可在线预约当地经销商进行升级。部分具备条件的地区和经销商，还可提供上门取车和整车消毒后上门交车等服务，车主可以不出门就能完成相关升级。    为保障车内空气</t>
  </si>
  <si>
    <t>　　近期，受新冠肺炎疫情影响，各地汽车经销商都面临着前所未有的压力。面对冲击，东风风神针对经销商启动抗击疫情支援行动，并出台“一降二升三延四松”政策，分别从商务政策松绑、强化团队能力和加强资金支持等方面，减轻经销商销售压力。　　东风风神官方决定免除全网经销商网电销业务的二月单月考核，通过远程培训强化</t>
  </si>
  <si>
    <t>2020/02/15 09:29:00</t>
  </si>
  <si>
    <t>近期，受新冠肺炎疫情影响，各地汽车经销商都面临着前所未有的压力。面对冲击，东风风神针对经销商启动抗击疫情支援行动，并出台“一降二升三延四松”政策，分别从商务政策松绑、强化团队能力和加强资金支持等方面，减轻经销商销售压力。    东风风神官方决定免除全网经销商网电销业务的二月单月考核，通过远程培训强化</t>
  </si>
  <si>
    <t>　　近日据外媒报道，由意大利知名汽车设计公司宾尼法利纳打造的全球限量150台的纯电动超级跑车――Battista(参数|询价)已正式进入到动态测试环节，目前该车已经达到了预期性能的80%。『宾尼法利纳Battista测试车』　　宾尼法利纳跑车项目总监Rene-Christopher Wollmann</t>
  </si>
  <si>
    <t>2020/02/15 09:25:00</t>
  </si>
  <si>
    <t>近日据外媒报道，由意大利知名汽车设计公司宾尼法利纳打造的全球限量150台的纯电动超级跑车——Battista(参数|询价)已正式进入到动态测试环节，目前该车已经达到了预期性能的80%。『宾尼法利纳Battista测试车』    宾尼法利纳跑车项目总监Rene-Christopher Wollmann</t>
  </si>
  <si>
    <t>投诉编号：【447290】  投诉时间： 2020-02-15 09:22  投诉品牌： 一汽-大众  投诉车系： 迈腾  投诉车型： 2009款 1.8TSI DSG 技术型        投诉内容  自购车以来，车内异味严重。黑心棉异味。投诉咨询一汽大众，无奈得到的答复这一车型不在召回之列。我认</t>
  </si>
  <si>
    <t>2020/02/15 09:22:00</t>
  </si>
  <si>
    <t>　　日前，美国北美公路安全保险协会IIHS（Insurance Institute for Highway Safety）正式发布了2020年首批Top Safety获奖车型名单，获奖车型共计64款。该奖项分为TOP SAFETY PICK（最佳安全选择）和TOP SAFETY PICK+（最佳安全</t>
  </si>
  <si>
    <t>日前，美国北美公路安全保险协会IIHS（Insurance Institute for Highway Safety）正式发布了2020年首批Top Safety获奖车型名单，获奖车型共计64款。该奖项分为TOP SAFETY PICK（最佳安全选择）和TOP SAFETY PICK+（最佳安全选择</t>
  </si>
  <si>
    <t>　　日前，上海汽车集团股份有限公司（以下简称“上汽集团”）公布了2020年1月产销快报，数据显示，该企业1月份共生产汽车41.89万辆，同比下滑32.72%；售出汽车40.02万辆，同比下滑34.55%。由于2020年春节提前，1月实际工作日只有17天，比2019年1月同期少5天，销量下滑并非不可理</t>
  </si>
  <si>
    <t>2020/02/15 09:11:00</t>
  </si>
  <si>
    <t>日前，上海汽车集团股份有限公司（以下简称“上汽集团”）公布了2020年1月产销快报，数据显示，该企业1月份共生产汽车41.89万辆，同比下滑32.72%；售出汽车40.02万辆，同比下滑34.55%。由于2020年春节提前，1月实际工作日只有17天，比2019年1月同期少5天，销量下滑并非不可理解。</t>
  </si>
  <si>
    <t>2020/02/15 09:10:44</t>
  </si>
  <si>
    <t>投诉编号：【447286】
投诉时间： 2020-02-15 08:50
投诉品牌： 一汽红旗
投诉车系： 红旗HS5
投诉车型： 2019款 2.0T 智联旗享四驱版</t>
  </si>
  <si>
    <t>　　日前，据外媒报道，日本电产计划投入约2000亿日元（18亿美元）用于电动车动力总成的研发和生产，这笔资金将投入其包括中国大连在内的全世界三大工厂，从而进一步扩大电动车动力总成的产能。　　目前日本电产在为中国广汽乘用车及PSA等多家车企提供电动车驱动电机，之前日本电产曾公开了其未来五年的计划，当中</t>
  </si>
  <si>
    <t>2020/02/15 09:08:00</t>
  </si>
  <si>
    <t>日前，据外媒报道，日本电产计划投入约2000亿日元（18亿美元）用于电动车动力总成的研发和生产，这笔资金将投入其包括中国大连在内的全世界三大工厂，从而进一步扩大电动车动力总成的产能。    目前日本电产在为中国广汽乘用车及PSA等多家车企提供电动车驱动电机，之前日本电产曾公开了其未来五年的计划，当中</t>
  </si>
  <si>
    <t>　　自动驾驶出租车（Robotaxi），这是当前消费者感到相对陌生，但是很快就将习以为常的自动驾驶技术应用。我们所熟知的自动驾驶出租车都有哪些呢？比如谷歌系的Waymo和国内百度都已经推出了相应的服务。就国内而言，较早进行Robotaxi运营测试的是广州的一家自动驾驶初创公司――文远知行。这家公司曾</t>
  </si>
  <si>
    <t>2020/02/15 09:06:00</t>
  </si>
  <si>
    <t>自动驾驶出租车（Robotaxi），这是当前消费者感到相对陌生，但是很快就将习以为常的自动驾驶技术应用。我们所熟知的自动驾驶出租车都有哪些呢？比如谷歌系的Waymo和国内百度都已经推出了相应的服务。就国内而言，较早进行Robotaxi运营测试的是广州的一家自动驾驶初创公司——文远知行。这家公司曾在2</t>
  </si>
  <si>
    <t>　　2月14日，长安汽车发布最新产销快报。数据显示，长安汽车1月份产量123913辆，同比下降13.7%，销量134578辆，同比下降4.56%。　　其中，重庆长安、河北长安、合肥长安1月销量累计81337辆，同比增长3.29%，合资品牌方面，长安福特1月销量15358辆，同比增长4.22%；长安马</t>
  </si>
  <si>
    <t>2020/02/15 09:03:00</t>
  </si>
  <si>
    <t>2月14日，长安汽车发布最新产销快报。数据显示，长安汽车1月份产量123913辆，同比下降13.7%，销量134578辆，同比下降4.56%。    其中，重庆长安、河北长安、合肥长安1月销量累计81337辆，同比增长3.29%，合资品牌方面，长安福特1月销量15358辆，同比增长4.22%；长安马</t>
  </si>
  <si>
    <t>　　继2月6日宣布融资约1亿美元后，2月14日，蔚来汽车再次宣布获得新融资。据悉，蔚来已与两家与其无关联关系的亚洲投资基金(以下简称“购买方”)签订了可转换债券认购协议。根据协议，蔚来将以非公开发行的方式向购买方发行和出售本金总额1亿美元的可转换债券。两笔交易的配售均需满足惯例成交条件，预计不晚于2</t>
  </si>
  <si>
    <t>2020/02/15 09:01:00</t>
  </si>
  <si>
    <t>继2月6日宣布融资约1亿美元后，2月14日，蔚来汽车再次宣布获得新融资。据悉，蔚来已与两家与其无关联关系的亚洲投资基金(以下简称“购买方”)签订了可转换债券认购协议。根据协议，蔚来将以非公开发行的方式向购买方发行和出售本金总额1亿美元的可转换债券。两笔交易的配售均需满足惯例成交条件，预计不晚于202</t>
  </si>
  <si>
    <t>　　日前，零部件供应商万向集团旗下的电动车制造商Karma汽车传来了一个不好的消息：公司计划在7个月内进行裁员。这也是Karma汽车成立以来的第二轮裁员风波。　　Karma汽车表示，第二轮裁员将波及公司位于美国加利福尼亚州尔湾市总部的60名员工，此外，加州莫瑞诺谷制造工厂的工人们也将面临裁员，但具体</t>
  </si>
  <si>
    <t>2020/02/15 08:59:00</t>
  </si>
  <si>
    <t>日前，零部件供应商万向集团旗下的电动车制造商Karma汽车传来了一个不好的消息：公司计划在7个月内进行裁员。这也是Karma汽车成立以来的第二轮裁员风波。    Karma汽车表示，第二轮裁员将波及公司位于美国加利福尼亚州尔湾市总部的60名员工，此外，加州莫瑞诺谷制造工厂的工人们也将面临裁员，但具体</t>
  </si>
  <si>
    <t>2020/02/15 08:16:32</t>
  </si>
  <si>
    <t>投诉编号：【447283】
投诉时间： 2020-02-15 05:41
投诉品牌： 奇瑞汽车
投诉车系： 艾瑞泽5
投诉车型： 2016款 1.5L CVT 领潮版</t>
  </si>
  <si>
    <t>2020/02/15 07:25:19</t>
  </si>
  <si>
    <t>投诉编号：【447282】
投诉时间： 2020-02-15 05:12
投诉品牌： 东风本田
投诉车系： 思域
投诉车型： 2016款 220TURBO 自动 豪华版</t>
  </si>
  <si>
    <t>　　和往年不同，2020年春节受疫情的影响，全国各地大部分公司企业都选择推迟延后上班时间，而为了躲避疫情复工返程高峰，不少自驾的车主都选择错峰出行。赶巧的是，近段时间北方地区降雪量异常增高，就连往年整个冬季都不下一场雪的北京，竟然在一周时间内连续降雪三次，对民众出行以及返程人员造成了很大影响。下面，</t>
  </si>
  <si>
    <t>2020/02/15 07:10:00</t>
  </si>
  <si>
    <t>　　上汽通用凯迪拉克近年来取得了长足的进步，凭借旗下丰富的轿车和SUV产品布局，以及较大幅度的终端优惠取得了不错的市场销量成绩。2019年，上汽通用凯迪拉克调整了轿车产品策略，放弃以“TS”命名的车型，全面启用“CT”系列。先行推出了比CT6定位低一级的CT5，而定位更加入门的CT4也已经提上了日程</t>
  </si>
  <si>
    <t>和往年不同，2020年春节受疫情的影响，全国各地大部分公司企业都选择推迟延后上班时间，而为了躲避疫情复工返程高峰，不少自驾的车主都选择错峰出行。赶巧的是，近段时间北方地区降雪量异常增高，就连往年整个冬季都不下一场雪的北京，竟然在一周时间内连续降雪三次，对民众出行以及返程人员造成了很大影响。下面，小编</t>
  </si>
  <si>
    <t>上汽通用凯迪拉克近年来取得了长足的进步，凭借旗下丰富的轿车和SUV产品布局，以及较大幅度的终端优惠取得了不错的市场销量成绩。2019年，上汽通用凯迪拉克调整了轿车产品策略，放弃以“TS”命名的车型，全面启用“CT”系列。先行推出了比CT6定位低一级的CT5，而定位更加入门的CT4也已经提上了日程。从</t>
  </si>
  <si>
    <t>2020/02/15 06:39:16</t>
  </si>
  <si>
    <t>投诉编号：【447281】
投诉时间： 2020-02-15 04:05
投诉品牌： 长安福特
投诉车系： 福克斯
投诉车型： 2017款 180 自动 精英型 两厢 EcoBoost</t>
  </si>
  <si>
    <t>2020/02/15 03:22:41</t>
  </si>
  <si>
    <t>投诉编号：【447279】
投诉时间： 2020-02-15 01:52
投诉品牌： 上汽通用雪佛兰
投诉车系： 科鲁兹
投诉车型： 2012款 1.6 SE 手动</t>
  </si>
  <si>
    <t>2020/02/15 02:27:04</t>
  </si>
  <si>
    <t>投诉编号：【447278】
投诉时间： 2020-02-15 01:39
投诉品牌： 一汽-大众
投诉车系： 高尔夫
投诉车型： 2014款 1.4TSI 自动 舒适型</t>
  </si>
  <si>
    <t>2020/02/15 02:16:45</t>
  </si>
  <si>
    <t>投诉编号：【447274】
投诉时间： 2020-02-15 00:33
投诉品牌： 海马汽车
投诉车系： 海马S5
投诉车型： 2017款 1.5T 手动 舒适型 强动力版</t>
  </si>
  <si>
    <t>2020/02/14 23:59:59</t>
  </si>
  <si>
    <t>投诉编号：【447272】
投诉时间： 2020-02-14 23:43
投诉品牌： 上汽大众
投诉车系： 朗逸
投诉车型： 2017款 1.6L 手动 舒适版</t>
  </si>
  <si>
    <t>投诉编号：【447273】
投诉时间： 2020-02-14 23:45
投诉品牌： 众泰汽车
投诉车系： 众泰E200
投诉车型： 2016款 纯电动 三门两座科技版</t>
  </si>
  <si>
    <t>投诉编号：【447271】  投诉时间： 2020-02-14 23:28  投诉品牌： 奇瑞汽车  投诉车系： 瑞虎5  投诉车型： 2017款 1.5T CVT 舒适版        投诉内容  1.变速箱挂D挡或者R挡有严重冲击感R挡倒异响啸。2.每次起步手刹回位不及时，尖叫刺耳声。3.车内安</t>
  </si>
  <si>
    <t>2020/02/14 23:28:00</t>
  </si>
  <si>
    <t>2020/02/14 23:14:53</t>
  </si>
  <si>
    <t>投诉编号：【447269】
投诉时间： 2020-02-14 22:58
投诉品牌： 长安马自达
投诉车系： 马自达3 昂克赛拉
投诉车型： 2016款 1.5L 自动 豪华型 三厢</t>
  </si>
  <si>
    <t>启辰D60垃圾车 发动机坏了两次 没人解决新车买来15天内发动机坏了两次，没人解决，杂种一样的东西</t>
  </si>
  <si>
    <t>你爹爹</t>
  </si>
  <si>
    <t>2020/02/14 22:55:00</t>
  </si>
  <si>
    <t>2020/02/14 22:11:26</t>
  </si>
  <si>
    <t>投诉编号：【447264】
投诉时间： 2020-02-14 21:29
投诉品牌： 东风日产
投诉车系： 轩逸
投诉车型： 2019款 1.6XE 手动 舒适版 国VI</t>
  </si>
  <si>
    <t>2020/02/14 21:22:17</t>
  </si>
  <si>
    <t>投诉编号：【447262】
投诉时间： 2020-02-14 21:09
投诉品牌： 一汽-大众
投诉车系： 速腾
投诉车型： 2019款 200TSI 手动 舒适型 国VI</t>
  </si>
  <si>
    <t>2020/02/14 21:18:02</t>
  </si>
  <si>
    <t>投诉编号：【447263】
投诉时间： 2020-02-14 21:14
投诉品牌： 比亚迪
投诉车系： 宋
投诉车型： 2019款 1.5TI 手动 智联越动型</t>
  </si>
  <si>
    <t>2020/02/14 21:15:38</t>
  </si>
  <si>
    <t>投诉编号：【447259】
投诉时间： 2020-02-14 20:37
投诉品牌： 上汽通用五菱
投诉车系： 宝骏730
投诉车型： 2017款 1.5T 手动 豪华型 7座</t>
  </si>
  <si>
    <t>2020/02/14 21:07:28</t>
  </si>
  <si>
    <t>投诉编号：【447260】
投诉时间： 2020-02-14 20:37
投诉品牌： 北汽银翔
投诉车系： 幻速H3F
投诉车型： 2016款 1.5L 豪华型</t>
  </si>
  <si>
    <t>投诉编号：【447261】  投诉时间： 2020-02-14 21:02  投诉品牌： 上汽斯柯达  投诉车系： 速派  投诉车型： 2018款 TSI330 DSG 豪华版 国V        投诉内容  远光故障随动故障动态大灯故障，自从19年12月18日检测出问题后索赔，厂家没有配件直至现在</t>
  </si>
  <si>
    <t>2020/02/14 21:02:00</t>
  </si>
  <si>
    <t>2020/02/14 21:01:14</t>
  </si>
  <si>
    <t>投诉编号：【447257】
投诉时间： 2020-02-14 20:17
投诉品牌： 一汽-大众
投诉车系： 速腾
投诉车型： 2019款 200TSI DSG 舒适型 国VI</t>
  </si>
  <si>
    <t>荣威i5手动互联领豪旗舰版发动机部件生锈汽车行驶三千公里出头，离合器分泵漏油换过一个，现在前挡风玻璃橡皮出现变形，发动机部件生锈，二挡减一挡挂不顺畅，像卡住一样发动机部件生锈</t>
  </si>
  <si>
    <t>15502586373</t>
  </si>
  <si>
    <t>2020/02/14 20:43:00</t>
  </si>
  <si>
    <t>亚洲龙2.0升版本推荐购买吗？可靠性怎么样？</t>
  </si>
  <si>
    <t>2020/02/14 20:41:25</t>
  </si>
  <si>
    <t>一个月机油乳化，都换俩次机油了，4S店说我冷车，短途，叫我多跑，这样对吗，别人车也没这情况呀</t>
  </si>
  <si>
    <t>2020/02/14 20:34:24</t>
  </si>
  <si>
    <t>新买的车子跑了一段时间也就四百多公里，然而这几天车子熄火的时候就感觉发动机有一股胶味，以前没有就是最近几天发现了，车子跑还正常的，谢谢。</t>
  </si>
  <si>
    <t>探界者要中期改款了，1.5T版的还值得买吗？不考虑2.0T版。</t>
  </si>
  <si>
    <t>2020/02/14 20:06:37</t>
  </si>
  <si>
    <t>投诉编号：【447253】
投诉时间： 2020-02-14 19:30
投诉品牌： 东风本田
投诉车系： 本田CR-V
投诉车型： 2019款 耀目版 240TURBO CVT 两驱 舒适版</t>
  </si>
  <si>
    <t>投诉编号：【447255】  投诉时间： 2020-02-14 20:01  投诉品牌： 长城汽车  投诉车系： 哈弗H2s  投诉车型： 2018款 1.5T 双离合 风尚型        投诉内容  我于2019.6.11号在烟台哈弗4s店购买一辆哈弗H2s，于2019年12月底出现刹车踩一点后</t>
  </si>
  <si>
    <t>2020/02/14 20:01:00</t>
  </si>
  <si>
    <t>1.6T行驶中发动机抖动 失去动力/故障灯亮标志408，1.6T行驶中发动机突然抖动，失去动力，故障灯亮，维权请进来！修过很多次，从质保期修到出保了，都修不好。我们建立个维权群，这样厂家才能重视！！！</t>
  </si>
  <si>
    <t>陈勇2544</t>
  </si>
  <si>
    <t>2020/02/14 19:54:00</t>
  </si>
  <si>
    <t>2020/02/14 19:46:40</t>
  </si>
  <si>
    <t>投诉编号：【447252】
投诉时间： 2020-02-14 19:22
投诉品牌： 广汽本田
投诉车系： 飞度
投诉车型： 2014款 1.5L CVT LX舒适型</t>
  </si>
  <si>
    <t>2020/02/14 19:20:17</t>
  </si>
  <si>
    <t>投诉编号：【447251】
投诉时间： 2020-02-14 19:17
投诉品牌： 广汽本田
投诉车系： 缤智
投诉车型： 2015款 1.5L CVT 两驱舒适型</t>
  </si>
  <si>
    <t>2020/02/14 19:19:25</t>
  </si>
  <si>
    <t>投诉编号：【447249】
投诉时间： 2020-02-14 19:08
投诉品牌： 东风雪铁龙
投诉车系： 世嘉
投诉车型： 2013款 1.6L 自动 品尚型 三厢</t>
  </si>
  <si>
    <t>雷克萨斯UX  推荐给大家我听朋友说雷克萨斯UX这款车挺好的，他买了一台，我开了一会，感觉开着很舒服，盆友说UX性能比较好，还很安全，也很省油，我之前开的是X1早就想换了，我朋友有大力推荐我换UX，我就买了一台混动的，感觉还不错，最主要是我家人很喜欢这个车，说车内比我之前那个安静，所以我也来向大家推</t>
  </si>
  <si>
    <t>2020/02/14 19:12:00</t>
  </si>
  <si>
    <t>投诉编号：【447244】  投诉时间： 2020-02-14 18:18  投诉品牌： 北京奔驰  投诉车系： 奔驰GLC  投诉车型： 2018款 GLC 260 4MATIC 豪华型 改款        投诉内容  本人于2018年3月8日在延安市奔驰4S店，车价41.6万?必须装修、信息咨询</t>
  </si>
  <si>
    <t>2020/02/14 18:18:00</t>
  </si>
  <si>
    <t>2020/02/14 18:02:58</t>
  </si>
  <si>
    <t>投诉编号：【447242】
投诉时间： 2020-02-14 17:49
投诉品牌： 广汽本田
投诉车系： 飞度
投诉车型： 2014款 1.5L CVT LX舒适型</t>
  </si>
  <si>
    <t>投诉编号：【447243】  投诉时间： 2020-02-14 17:50  投诉品牌： 一汽丰田  投诉车系： RAV4荣放  投诉车型： 2019款 2.0L CVT 两驱 风尚版 国VI        投诉内容  从2019年7月17日购车，就在驾驶室听到哒哒哒的异响，像敲鼓声，4S店销售员说</t>
  </si>
  <si>
    <t>2020/02/14 17:50:00</t>
  </si>
  <si>
    <t>车钥匙放车里面了，门能锁了，也不提示了，原来是不能锁的，会提示你钥匙没拿出来。</t>
  </si>
  <si>
    <t>2020/02/14 17:34:09</t>
  </si>
  <si>
    <t>投诉编号：【447238】  投诉时间： 2020-02-14 17:32  投诉品牌： 上汽集团  投诉车系： 名爵HS  投诉车型： 2018款 20T 自动 两驱 荷尔蒙劲取版 国V        投诉内容  上汽名爵HS车辆停放五天电瓶亏电，由于疫情，车辆停放5天，电瓶亏电。没有办法启动！要</t>
  </si>
  <si>
    <t>2020/02/14 17:32:00</t>
  </si>
  <si>
    <t>冬天车天天跑近道冷车，就机油乳化吗，我的跑的近，车没热到地方了。</t>
  </si>
  <si>
    <t>2020/02/14 17:30:33</t>
  </si>
  <si>
    <t>投诉编号：【447237】  投诉时间： 2020-02-14 17:28  投诉品牌： 北京现代  投诉车系： 途胜  投诉车型： 2015款 1.6T   双离合 四驱 尊贵型        投诉内容  召回升级后发动机油耗增加同时噪音增大，升挡有抖动现象，慢速跟车过程中经常出现二挡升三挡发动机</t>
  </si>
  <si>
    <t>2020/02/14 17:28:00</t>
  </si>
  <si>
    <t>投诉编号：【447236】  投诉时间： 2020-02-14 17:22  投诉品牌： 宝马（进口）  投诉车系： 宝马1系（进口）  投诉车型： 2013款 116i 1.6T 自动 都市型 改款        投诉内容  正常行驶中突然车身剧烈抖动，报传动系统故障，自动跳入N挡被动停车。尝试重</t>
  </si>
  <si>
    <t>2020/02/14 17:22:00</t>
  </si>
  <si>
    <t>投诉编号：【447235】投诉时间：2020-02-1417:21投诉品牌：上汽大众投诉车系：朗逸投诉车型：2019款1.5L自动舒适版国VI投诉内容ABS泵故障，所有故障灯亮起，车辆出现刹车异常，功能错乱，年前1月12日故障，到年后问题没有处理，整整一个月都是说没有配件。投诉回复车质网已将您的投诉</t>
  </si>
  <si>
    <t>2020/02/14 17:21:00</t>
  </si>
  <si>
    <t>刚换机油就乳化4S点说和冷车短途有关系？4S店说的对吗，刚换的机油又乳化了，我跑的近，车刚热就到地方了。</t>
  </si>
  <si>
    <t>2020/02/14 17:14:17</t>
  </si>
  <si>
    <t>捷达VS5这款车怎么样？是否值得入手？</t>
  </si>
  <si>
    <t>2020/02/14 17:10:37</t>
  </si>
  <si>
    <t>投诉编号：【447234】  投诉时间： 2020-02-14 17:04  投诉品牌： 江淮汽车  投诉车系： 瑞风S2  投诉车型： 2017款 1.5L CVT 尚酷版        投诉内容  车速到30到50迈变速箱异响，现在已经更换了变速箱总成，但是问题还是存在，4S店技术也不到位，只能</t>
  </si>
  <si>
    <t>2020/02/14 17:04:00</t>
  </si>
  <si>
    <t>投诉编号：【447233】投诉时间：2020-02-1417:00投诉品牌：吉利汽车投诉车系：帝豪投诉车型：2016款1.5LCVT豪华版三厢投诉内容更换的副驾驶车门，非原厂，严重变色，当时更换的副驾驶车门，要求更换原厂的，不会变色，现在严重变色，给厂家打电话，没人管，4S店说原厂的就这样的质量。投</t>
  </si>
  <si>
    <t>2020/02/14 17:00:00</t>
  </si>
  <si>
    <t>投诉编号：【447232】投诉时间：2020-02-1416:58投诉品牌：SWM斯威汽车投诉车系：SWM斯威X7投诉车型：2016款1.5T豪华型投诉内容2016年12月16日我在邢台合强汽贸有限公司斯威4S店提的车，车型是斯威X7、16款豪华型，一年后在安静路段左前有轻微异响，怀疑减震器顶胶老化</t>
  </si>
  <si>
    <t>2020/02/14 16:58:00</t>
  </si>
  <si>
    <t>吉利帝豪GS踩油门车不走 转速表也不动2016年吉利帝豪GS手自一体，现在有时候起步时，踩下油门，车不走，转速表也不动，来回踩好几次才走或熄火再启动又好了，去4S店也没有修好，说正常。有人知道原因吗？</t>
  </si>
  <si>
    <t>sun13199816183</t>
  </si>
  <si>
    <t>2016年吉利帝豪GS手自一体，现在有时候起步时，踩下油门，车不走，转速表也不动，来回踩好几次才走或熄火再启动又好了，去4S店也没有修好，说正常。有人知道原因吗？</t>
  </si>
  <si>
    <t>投诉编号：【447231】  投诉时间： 2020-02-14 16:56  投诉品牌： 北京越野  投诉车系： 北京BJ40  投诉车型： 2018款 PLUS 2.0T 手动 四驱 尊享版 国V        投诉内容  提车后驾驶了几百公里就出发动机故障灯亮，去了多家4S店都没有解决，现在阜阳</t>
  </si>
  <si>
    <t>2020/02/14 16:56:00</t>
  </si>
  <si>
    <t>奔驰C级19年8月的新车，5000公里发动机异响，4S店拆修发动机，已经一周了，还没找到异响原因，发动机拆的凸轮轴，除了正常4S店免费维修还提供了台代步车，可以另外提出损失赔偿吗？因为我这新车首保还没做呢，就开始拆修，也会影响我后期卖车。</t>
  </si>
  <si>
    <t>2020/02/14 16:54:54</t>
  </si>
  <si>
    <t>投诉编号：【447228】  投诉时间： 2020-02-14 16:39  投诉品牌： 一汽-大众奥迪  投诉车系： 奥迪A6L  投诉车型： 2017款 TFSI 双离合 技术型        投诉内容  这是第二次投诉，很搞笑，厂家给我打个电话问了问题之后，就再没联系过我。然后自称采取令客户满</t>
  </si>
  <si>
    <t>2020/02/14 16:39:00</t>
  </si>
  <si>
    <t>2020/02/14 16:38:55</t>
  </si>
  <si>
    <t>投诉编号：【447226】
投诉时间： 2020-02-14 16:35
投诉品牌： 长安马自达
投诉车系： 马自达3 昂克赛拉
投诉车型： 2017款 1.5L 自动 豪华型 三厢 国V</t>
  </si>
  <si>
    <t>2020/02/14 16:38:09</t>
  </si>
  <si>
    <t>投诉编号：【447227】
投诉时间： 2020-02-14 16:35
投诉品牌： 广汽丰田
投诉车系： 汉兰达
投诉车型： 2018款 2.0T 四驱 尊贵版 7座 国VI</t>
  </si>
  <si>
    <t>为了更好的用车及延长车的使用寿命，我们在日常中要多学习车辆保养的相关知识，注意保养，下面就跟我一起来看看吧。1、不要频繁的打腊，以后也不要，车容易旧；新车更不要封釉，因为新车油漆的表层本来就有一层保护层，而封釉是要打磨的，你愿意新车买回来就被打磨?2、刹车片要定期检查，前刹车片在30000公里要检查</t>
  </si>
  <si>
    <t>2020/02/14 16:38:00</t>
  </si>
  <si>
    <t>车辆要怎么保养会更好？快来学习一下为了更好的用车及延长车的使用寿命，我们在日常中要多学习车辆保养的相关知识，注意保养，下面就跟我一起来看看吧。1、不要频繁的打腊，以后也不要，车容易旧；新车更不要封釉，因为新车油漆的表层本来就有一层保护层，而封釉是要打磨的，你愿意新车买回来就被打磨?2、刹车片要定期检</t>
  </si>
  <si>
    <t>投诉编号：【447225】投诉时间：2020-02-1416:33投诉品牌：一汽丰田投诉车系：卡罗拉投诉车型：2016款1.6LCVTGL-i炫酷版投诉内容一汽丰田卡罗拉减震器漏油，电瓶断电，保修期之内反映过这些问题，说是正常的不影响使用。现在刚出保修期进店说电瓶需要更换。投诉回复车质网已将您的投诉</t>
  </si>
  <si>
    <t>2020/02/14 16:33:00</t>
  </si>
  <si>
    <t>投诉编号：【447224】投诉时间：2020-02-1416:32投诉品牌：一汽-大众投诉车系：速腾投诉车型：2019款200TSI手动舒适型国VI投诉内容一汽大众速腾1挡起步和倒挡半离合时转速高，1挡起步和倒挡半离合发动机转速过高，有自助补油现象。堵车很难控制。望厂家尽快给解决。投诉回复车质网已将</t>
  </si>
  <si>
    <t>2020/02/14 16:32:00</t>
  </si>
  <si>
    <t>投诉编号：【447223】  投诉时间： 2020-02-14 16:29  投诉品牌： 一汽-大众  投诉车系： 速腾  投诉车型： 2019款 200TSI 手动 舒适型 国VI        投诉内容  一汽大众速腾车子起步倒车时转速飙升1800-2000，售后没有解决方案，车子起步倒车转速高</t>
  </si>
  <si>
    <t>2020/02/14 16:29:00</t>
  </si>
  <si>
    <t>2020/02/14 16:20:38</t>
  </si>
  <si>
    <t>投诉编号：【447221】
投诉时间： 2020-02-14 16:14
投诉品牌： 郑州日产
投诉车系： 途达
投诉车型： 2020款 2.5L 自动 四驱 豪华版</t>
  </si>
  <si>
    <t>投诉编号：【447222】  投诉时间： 2020-02-14 16:16  投诉品牌： 上汽大众  投诉车系： 帕萨特  投诉车型： 2019款 330TSI 豪华版 国VI        投诉内容  2019八月提车，现在里程7000，首保完后，发现发动机渗油两处比较严重，正时盖和发动机缸盖，油</t>
  </si>
  <si>
    <t>2020/02/14 16:16:00</t>
  </si>
  <si>
    <t>投诉编号：【447220】  投诉时间： 2020-02-14 16:12  投诉品牌： 郑州日产  投诉车系： 途达  投诉车型： 2020款 2.5L 自动 四驱 旗舰版        投诉内容  郑州日产途达电瓶亏电，预碰撞故障灯闪亮，车辆停放二天后，全车没电，车门都打不开，行驶中预碰撞故障灯</t>
  </si>
  <si>
    <t>2020/02/14 16:12:00</t>
  </si>
  <si>
    <t>投诉编号：【447219】  投诉时间： 2020-02-14 16:10  投诉品牌： 上汽集团  投诉车系： 名爵HS  投诉车型： 2019款 20T 自动 两驱 豪华版 国VI        投诉内容  2019年12月验车时，发现车辆无法启动，4S店解释说放太久没电了，经过搭电以后，车辆启</t>
  </si>
  <si>
    <t>2020/02/14 16:10:00</t>
  </si>
  <si>
    <t>2020/02/14 16:01:47</t>
  </si>
  <si>
    <t>投诉编号：【447216】
投诉时间： 2020-02-14 15:44
投诉品牌： 广汽本田
投诉车系： 雅阁
投诉车型： 2018款 260TURBO 豪华版 国V</t>
  </si>
  <si>
    <t>投诉编号：【447217】投诉时间：2020-02-1415:53投诉品牌：上汽集团投诉车系：荣威RX8投诉车型：2019款30T两驱超群旗舰版投诉内容车方向不受控制，方向盘转弯时车辆继续直前直后行驶，网站上传限制，无法上传车辆不受控制的视频。投诉回复车质网已将您的投诉转给生产企业以及国家市场监督管</t>
  </si>
  <si>
    <t>2020/02/14 15:53:00</t>
  </si>
  <si>
    <t>车界典型的"扮猪吃虎" 披着20万时尚外衣 却配400马力卖51万</t>
  </si>
  <si>
    <t>汽车作为当今世界上顶级的机械产物，在科技飞速发展的大环境加持下，同样呈现出直线上升的发展趋势。不但在外观与配置方面作出改进，动力也成为了每一家车商都必不可少的研制重点。虽然对动力追求有偏执的人群仅占小部分，但是不得不承认速度与性能是验证车商技术的关键表现。因此，汽车领域涌现出大量只注重汽车性能的品牌</t>
  </si>
  <si>
    <t>2020/02/14 15:49:00</t>
  </si>
  <si>
    <t>车界典型的"扮猪吃虎" 披着20万时尚外衣 却配400马力卖51万汽车作为当今世界上顶级的机械产物，在科技飞速发展的大环境加持下，同样呈现出直线上升的发展趋势。不但在外观与配置方面作出改进，动力也成为了每一家车商都必不可少的研制重点。虽然对动力追求有偏执的人群仅占小部分，但是不得不承认速度与性能是验</t>
  </si>
  <si>
    <t>2020/02/14 15:48:46</t>
  </si>
  <si>
    <t>投诉编号：【447207】
投诉时间： 2020-02-14 14:39
投诉品牌： 长安福特
投诉车系： 福克斯
投诉车型： 2012款 1.6 自动 风尚型 三厢</t>
  </si>
  <si>
    <t>全款落地16万元 雪佛兰探界者性价比高今天要聊的是一款性价比极高的中型SUV，而且它是一款全球车型，入门版优惠后裸车价在14万左右，全款落地不到16万元，你可能会认为这是一款国产车，让我来告诉你，它是雪佛兰探界者SUV。2019款探界者1.5T自动领界版优惠3.5万~4万元左右（不同地区优惠不同），</t>
  </si>
  <si>
    <t>2020/02/14 15:48:00</t>
  </si>
  <si>
    <t>10万以内 比较可靠的5款SUV推荐纵观整个国内汽车市场的销量走向和车型分布来看，多数家庭在选车时会优先考虑10万以内的车型，毕竟10万这个价位恰好是一个分水岭，这个价位的车型相对给家庭带来的经济负担更小，而且大厂出品的车型也很多，品质上不用担心出问题，所以我们今天要介绍10万以内比较可靠的5款SU</t>
  </si>
  <si>
    <t>今天要聊的是一款性价比极高的中型SUV，而且它是一款全球车型，入门版优惠后裸车价在14万左右，全款落地不到16万元，你可能会认为这是一款国产车，让我来告诉你，它是雪佛兰探界者SUV。2019款探界者1.5T自动领界版优惠3.5万~4万元左右（不同地区优惠不同），怎么样？惊到了吧！   国内目前还是2</t>
  </si>
  <si>
    <t>纵观整个国内汽车市场的销量走向和车型分布来看，多数家庭在选车时会优先考虑10万以内的车型，毕竟10万这个价位恰好是一个分水岭，这个价位的车型相对给家庭带来的经济负担更小，而且大厂出品的车型也很多，品质上不用担心出问题，所以我们今天要介绍10万以内比较可靠的5款SUV，看看其中有没有你的爱车。 第一款</t>
  </si>
  <si>
    <t>日系车皮薄？大众车厚重？日系车皮薄？大众车厚重？看完碰撞测试，只想说：且行且珍惜吧！说起汽车的安全性，这个话题一直就非常受大家关注，那么各个车系阵营究竟谁的安全性更高呢？下面我们以中保研的碰撞测试结果为标准来看一下。日系车  向来有“纸皮车”之称的日系车，安全性一直就不被人看好，然而，丰田亚洲龙这款</t>
  </si>
  <si>
    <t>2020/02/14 15:47:00</t>
  </si>
  <si>
    <t>日系车皮薄？大众车厚重？看完碰撞测试，只想说：且行且珍惜吧！说起汽车的安全性，这个话题一直就非常受大家关注，那么各个车系阵营究竟谁的安全性更高呢？下面我们以中保研的碰撞测试结果为标准来看一下。日系车  向来有“纸皮车”之称的日系车，安全性一直就不被人看好，然而，丰田亚洲龙这款车型却在各项测试中，却全</t>
  </si>
  <si>
    <t>本打算四月份入手雪佛兰2019款探界者驰界版，但最近有相关报道1.5T将改款为1.3T三缸机。那么，1.5T版本的还能购买吗？1.5T版本的以后就停产了，是否各种配件丶费用的就造成使用成本的增加？现在1.5T驰界版15万，大众途岳R-Line版也15万左右。从价格、性能和配置以及市场占有率和使用成本</t>
  </si>
  <si>
    <t>2020/02/14 15:43:11</t>
  </si>
  <si>
    <t>随着汽车市场的竞争变得越来越激烈，老百姓们买车也变得更加容易了起来。举一个很简单的例子，现在大部分品牌的车型价格都在下探，即使是豪华品牌旗下的车型，降价也是非常"凶猛"，因此对于很多人来说，如今这个买车时机是非常成熟的。 而要说老百姓买车最看重的是什么，我觉得首当其冲的就是性价比了。仔细研究就会发现</t>
  </si>
  <si>
    <t>2020/02/14 15:43:00</t>
  </si>
  <si>
    <t>投诉编号：【447215】  投诉时间： 2020-02-14 15:43  投诉品牌： 吉利汽车  投诉车系： 帝豪  投诉车型： 2018款 1.5L CVT 向上互联版        投诉内容  变速箱顿挫特别严重低速特别不好控制车速。起步较慢油大闯车，堵车低速车速不容易控制顿挫明显。4S店说</t>
  </si>
  <si>
    <t>X1都已经降至20万出头了 还在买荣放CR-V？随着汽车市场的竞争变得越来越激烈，老百姓们买车也变得更加容易了起来。举一个很简单的例子，现在大部分品牌的车型价格都在下探，即使是豪华品牌旗下的车型，降价也是非常"凶猛"，因此对于很多人来说，如今这个买车时机是非常成熟的。 而要说老百姓买车最看重的是什么</t>
  </si>
  <si>
    <t>近日有外媒曝光了新一代 Mercedes-Benz S-Class 的无伪装谍照，让外界得以一窥其全貌！据悉，新车最快将于今年年底正式发表。以下为 Motor1 根据该谍照绘制出的 W223 世代预想图外观部分导入最新家族式设计风格内饰方面，新车将搭载功能更强大的 MBUX 系统，并且换上大尺寸触控</t>
  </si>
  <si>
    <t>2020/02/14 15:42:00</t>
  </si>
  <si>
    <t xml:space="preserve">新一代奔驰S实车现身 内外设计曝光近日有外媒曝光了新一代 Mercedes-Benz S-Class 的无伪装谍照，让外界得以一窥其全貌！据悉，新车最快将于今年年底正式发表。以下为 Motor1 根据该谍照绘制出的 W223 世代预想图外观部分导入最新家族式设计风格内饰方面，新车将搭载功能更强大的 </t>
  </si>
  <si>
    <t xml:space="preserve">投诉编号：【447214】  投诉时间： 2020-02-14 15:41  投诉品牌： 广汽本田  投诉车系： 飞度  投诉车型： 2014款 1.5L CVT LX舒适型        投诉内容  广汽本田飞度冷启动异响，天冷首次启动车辆发动机会有咔咔打齿的声音。要求厂家解决好车辆的问题。   </t>
  </si>
  <si>
    <t>2020/02/14 15:41:00</t>
  </si>
  <si>
    <t>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V   编辑点评：红旗在广州车展上为我们带来了全新的</t>
  </si>
  <si>
    <t>2020/02/14 15:37:00</t>
  </si>
  <si>
    <t>哈喽小伙伴们大家好！我是Sunny哥，又到年底了，除了完不成的KPI，就剩下选哪台车回家过年帅了。 无论你是北漂、海漂、广漂，过年就是在参加大型集会式炫富活动，不需要反驳。So必须要体面，而且还要花最少的钱，就能让七大姑八大姨投来羡慕的表情，你除了学会“嘴炮”之外，还真的需要一台车。 好啦，今天Su</t>
  </si>
  <si>
    <t>这5台新车霸气亮相 个个都是中国骄傲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V   编辑点评</t>
  </si>
  <si>
    <t>这3款10多万的SUV 有100万的面子哈喽小伙伴们大家好！我是Sunny哥，又到年底了，除了完不成的KPI，就剩下选哪台车回家过年帅了。 无论你是北漂、海漂、广漂，过年就是在参加大型集会式炫富活动，不需要反驳。So必须要体面，而且还要花最少的钱，就能让七大姑八大姨投来羡慕的表情，你除了学会“嘴炮”</t>
  </si>
  <si>
    <t>2020/02/14 15:36:00</t>
  </si>
  <si>
    <t>日前，编辑从相关渠道获得了一组日产全新奇骏路试谍照图，新车外观依旧采用了X-motion设计语言。根据外媒推测，新车将于明年中旬正式亮相。外观方面，新车造型与现款车型变化不大，继续采用了X-motion设计语言，前脸V字形镀铬饰条依旧宽大，给人以强烈的视觉冲击。新车尾部变化不大，依旧以圆润的造型呈现</t>
  </si>
  <si>
    <t>2020/02/14 15:35:00</t>
  </si>
  <si>
    <t>搭载电子挡把 日产全新奇骏内饰图曝光日前，编辑从相关渠道获得了一组日产全新奇骏路试谍照图，新车外观依旧采用了X-motion设计语言。根据外媒推测，新车将于明年中旬正式亮相。外观方面，新车造型与现款车型变化不大，继续采用了X-motion设计语言，前脸V字形镀铬饰条依旧宽大，给人以强烈的视觉冲击。新</t>
  </si>
  <si>
    <t>投诉编号：【447213】  投诉时间： 2020-02-14 15:30  投诉品牌： 一汽-大众  投诉车系： 速腾  投诉车型： 2019款 200TSI 手动 舒适型 国VI        投诉内容  1挡、倒挡起步转速自动升高到1700–2000转，冰雪路、起步困难，车轮打滑。堵车、跟车时</t>
  </si>
  <si>
    <t>2020/02/14 15:30:00</t>
  </si>
  <si>
    <t>投诉编号：【447212】  投诉时间： 2020-02-14 15:21  投诉品牌： 一汽-大众奥迪  投诉车系： 奥迪A4L  投诉车型： 2019款 40 TFSI 进取型 国VI        投诉内容  车子在正常启动，怠速状态下，发动机舱异响，声音较大且抖动厉害，继续行驶一段时间后情况</t>
  </si>
  <si>
    <t>2020/02/14 15:21:00</t>
  </si>
  <si>
    <t>新款凯美瑞2.0的变速箱是CVT的，相比于老款的6AT的变速箱可靠性和耐用性是否降低？虽然都是丰田旗下爱信的，但总感觉不如AT的耐用可靠！</t>
  </si>
  <si>
    <t>2020/02/14 15:11:21</t>
  </si>
  <si>
    <t>2020/02/14 14:54:21</t>
  </si>
  <si>
    <t>投诉编号：【447205】
投诉时间： 2020-02-14 14:36
投诉品牌： 上汽通用别克
投诉车系： 英朗
投诉车型： 2018款 18T 自动 精英型</t>
  </si>
  <si>
    <t>投诉编号：【447206】  投诉时间： 2020-02-14 14:38  投诉品牌： 华晨宝马  投诉车系： 宝马3系  投诉车型： 2018款 320Li 领先型M运动套装        投诉内容  通过二级经销商在武汉购买了一台宝马三系，在互联驾驶apo开通互联驾驶功能的最后一步，我多次联系</t>
  </si>
  <si>
    <t>2020/02/14 14:38:00</t>
  </si>
  <si>
    <t>宝骏560智能手动，请问这款车变速箱保多长时间？</t>
  </si>
  <si>
    <t>2020/02/14 14:21:09</t>
  </si>
  <si>
    <t xml:space="preserve">投诉编号：【447203】  投诉时间： 2020-02-14 14:15  投诉品牌： 吉利汽车  投诉车系： 帝豪  投诉车型： 2019款 领军版 1.5L 手动 向上互联型 国VI        投诉内容  吉利帝豪正常行驶中发动机故障灯亮，才3000多公里发动机故障灯就亮了。谁还敢开。  </t>
  </si>
  <si>
    <t>2020/02/14 14:15:00</t>
  </si>
  <si>
    <t>投诉编号：【447201】  投诉时间： 2020-02-14 14:11  投诉品牌： 东风悦达起亚  投诉车系： 智跑  投诉车型： 2018款 2.0L 自动 智享豪华版        投诉内容  我一九年买的起亚智跑，说真心的还不如我以前的铃木小车，虽然小是小的点但是省心，开了六七年都没有问</t>
  </si>
  <si>
    <t>2020/02/14 14:11:00</t>
  </si>
  <si>
    <t>故障灯亮了变速箱齿轮灯也亮了，迈速表不动，不升挡就有一挡和倒挡，宝骏560智能手动座椅提示音也没了。</t>
  </si>
  <si>
    <t>2020/02/14 14:10:29</t>
  </si>
  <si>
    <t>虽然汽车电气化一直在快速推进中，但结合我国用车环境来说，目前最便捷和主流的还是传统燃油车。那如果既想拥有电动车的行驶品质和高经济性，又想像燃油车那样方便的话，该如何实现呢？很简单，下面的4款油电混动SUV就能满足你。注：以下内容信息皆为各车型中的混动版车辆点评：本田的混动在业界一直都非常出名，相比丰</t>
  </si>
  <si>
    <t>2020/02/14 14:08:00</t>
  </si>
  <si>
    <t>推荐几款油耗极低的热门车型 省钱利器虽然汽车电气化一直在快速推进中，但结合我国用车环境来说，目前最便捷和主流的还是传统燃油车。那如果既想拥有电动车的行驶品质和高经济性，又想像燃油车那样方便的话，该如何实现呢？很简单，下面的4款油电混动SUV就能满足你。注：以下内容信息皆为各车型中的混动版车辆点评：本</t>
  </si>
  <si>
    <t>蜗友问：三缸机真的比四缸机省油吗？可以买吗？三缸机的话题火了一整年，也被各种吐槽，各种黑了一年。但是似乎仍然阻挡不了汽车厂家们对于小排量发动机三缸化的步伐和决心，宝马、通用、福特，大众，明年你还会看到越来越多的汽车厂家加入进来。为什么他们敢冒着这么大的市场风险，甚至可以说是市场损失；而还舍得放弃非常</t>
  </si>
  <si>
    <t>2020/02/14 14:07:00</t>
  </si>
  <si>
    <t>三缸发动机的先天优势 是四缸机无法取代的蜗友问：三缸机真的比四缸机省油吗？可以买吗？三缸机的话题火了一整年，也被各种吐槽，各种黑了一年。但是似乎仍然阻挡不了汽车厂家们对于小排量发动机三缸化的步伐和决心，宝马、通用、福特，大众，明年你还会看到越来越多的汽车厂家加入进来。为什么他们敢冒着这么大的市场风险</t>
  </si>
  <si>
    <t>长安逸动是除了长安CS35 PLUS以外另一辆率先搭载上长安蓝鲸1.4T涡轮增压发动机的车型。此次的新增车型对于逸动阵营来说是一举两得的，填补了逸动车系在高功率车型方面的缺失。长安第逸动在设计层面的突破是有目共睹的，在经过几年的沉淀与市场经验的积累，长安第逸动形成了别具一格的自我风格。车头部分使用了</t>
  </si>
  <si>
    <t>2020/02/14 14:05:00</t>
  </si>
  <si>
    <t>7万元你想买什么？这款车绝对够你用长安逸动是除了长安CS35 PLUS以外另一辆率先搭载上长安蓝鲸1.4T涡轮增压发动机的车型。此次的新增车型对于逸动阵营来说是一举两得的，填补了逸动车系在高功率车型方面的缺失。长安第逸动在设计层面的突破是有目共睹的，在经过几年的沉淀与市场经验的积累，长安第逸动形成了</t>
  </si>
  <si>
    <t>投诉编号：【447200】投诉时间：2020-02-1414:03投诉品牌：上汽大众投诉车系：凌渡投诉车型：2015款280TSIDSG舒适版投诉内容上汽大众凌渡挡杆位于P挡却提示挂入P挡，变速箱控制单元故障，有时着不了车，提示变速箱故障，提示将挡位挂入P挡。投诉回复车质网已将您的投诉转给生产企业以</t>
  </si>
  <si>
    <t>2020/02/14 14:03:00</t>
  </si>
  <si>
    <t>疫情爆发后，越来越多的人开始意识到私家车的便利优势。而随着本周开始大部分地区迎来复工，开车也成了一种有效避开公共交通人群聚集造成病毒传播的出行方式。不过受疫情影响，一部分人的爱车也停放了不短的日子，还有的可能都已经到了保养周期却不敢去外边做保养。说到汽车保养，其实就是对汽车相关部分进行检查、清洁、补</t>
  </si>
  <si>
    <t>2020/02/14 14:01:00</t>
  </si>
  <si>
    <t>做好这四步 宅家也能亲手给爱车来一次小保养疫情爆发后，越来越多的人开始意识到私家车的便利优势。而随着本周开始大部分地区迎来复工，开车也成了一种有效避开公共交通人群聚集造成病毒传播的出行方式。不过受疫情影响，一部分人的爱车也停放了不短的日子，还有的可能都已经到了保养周期却不敢去外边做保养。说到汽车保养</t>
  </si>
  <si>
    <t>在上周的2020巴黎经典车大展中，除了琳琅满目的经典车，还有一部分令人难忘的概念车，它们来自富有传奇色彩的博通汽车设计公司。2015年9月，意大利斯托里科汽车俱乐部(ASI)在博通破产后的拍卖会中，拍得了博通设计公司的收藏，该收藏由79个汽车项目组成，包括一些底盘和设计模型，以及可以正常运作的完整概</t>
  </si>
  <si>
    <t>2020/02/14 14:00:00</t>
  </si>
  <si>
    <t>回顾博通经典又怪异的9款概念车在上周的2020巴黎经典车大展中，除了琳琅满目的经典车，还有一部分令人难忘的概念车，它们来自富有传奇色彩的博通汽车设计公司。2015年9月，意大利斯托里科汽车俱乐部(ASI)在博通破产后的拍卖会中，拍得了博通设计公司的收藏，该收藏由79个汽车项目组成，包括一些底盘和设计</t>
  </si>
  <si>
    <t>要说哪家车企的大灯最牛X，想必很多人第一时间都会想到“灯厂”--奥迪。然而随着各大品牌对光源技术研发的进步，目前已有不少车型的大灯能和奥迪一决高下。除了先进的技术外，让人过目不忘的独特造型和超高的辨识度也十分重要。所以今天我们就来聊一聊那些令我们过目不忘的车灯。作为汽车安全的代名词，沃尔沃的车灯设计</t>
  </si>
  <si>
    <t>2020/02/14 13:59:00</t>
  </si>
  <si>
    <t>奥迪是“灯厂”？这些车第一个不服要说哪家车企的大灯最牛X，想必很多人第一时间都会想到“灯厂”--奥迪。然而随着各大品牌对光源技术研发的进步，目前已有不少车型的大灯能和奥迪一决高下。除了先进的技术外，让人过目不忘的独特造型和超高的辨识度也十分重要。所以今天我们就来聊一聊那些令我们过目不忘的车灯。作为汽</t>
  </si>
  <si>
    <t>投诉编号：【447199】  投诉时间： 2020-02-14 13:58  投诉品牌： 郑州日产  投诉车系： 途达  投诉车型： 2020款 2.5L 自动 四驱 旗舰版        投诉内容  郑州日产途达车辆停放一天电瓶亏电严重，停车一天，车上电器正常关闭正常锁门，一天后上车无法点火，明显</t>
  </si>
  <si>
    <t>2020/02/14 13:58:00</t>
  </si>
  <si>
    <t>投诉编号：【447197】投诉时间：2020-02-1413:54投诉品牌：陆风汽车投诉车系：陆风X7投诉车型：2015款2.0T全景尊贵版投诉内容我是2015年8月底买的陆风X72015款2.0T尊贵版，今年2月4号，正常行驶中突然亮起故障灯，车辆正常起步，轻踩油门转速达到5-6000转，还不升挡</t>
  </si>
  <si>
    <t>2020/02/14 13:54:00</t>
  </si>
  <si>
    <t>轿车和SUV各推荐一款吧，最好具体到型号，谢谢！</t>
  </si>
  <si>
    <t>2020/02/14 13:51:44</t>
  </si>
  <si>
    <t>投诉编号：【447196】投诉时间：2020-02-1413:43投诉品牌：一汽-大众奥迪投诉车系：奥迪Q3投诉车型：2019款35TFSI时尚动感型投诉内容一汽大众奥迪Q3车子在起步过停车怠速状态下，方向盘打大一点或者打大一点会出现嘎吱嘎吱的异响。投诉回复车质网已将您的投诉转给生产企业以及国家市场</t>
  </si>
  <si>
    <t>2020/02/14 13:43:00</t>
  </si>
  <si>
    <t>投诉编号：【447195】投诉时间：2020-02-1413:37投诉品牌：一汽-大众投诉车系：高尔夫・嘉旅投诉车型：2016款230TSI自动豪华型投诉内容车辆在行驶过程中，EPC故障灯亮，经过4S店检测，说是燃油压力传感器出现了问题，向厂家反馈，现在发现车辆的方向盘沉重，打方向盘都打不动，行驶过</t>
  </si>
  <si>
    <t>2020/02/14 13:37:00</t>
  </si>
  <si>
    <t>车子开了40公里后熄火，用万用表量电瓶两端电压是12.6V，然后启动车子怠速，量电瓶两端电压还是12.6，没变化。感觉发电机没在发电，难道是开了40公里路电瓶满了它不充电了？不是说车子启动后电压有14V左右的吗？我的为什么没变化？</t>
  </si>
  <si>
    <t>2020/02/14 13:22:20</t>
  </si>
  <si>
    <t>您好，我想咨询一下比亚迪秦、科沃兹、长安逸动这三款车，选哪个会较好。注重口碑和油耗方面。</t>
  </si>
  <si>
    <t>2020/02/14 13:18:53</t>
  </si>
  <si>
    <t>　　飞度是本田旗下的一款小型轿车，自新车入华国产销售以来，便受到了诸多年轻消费者以及改装车迷们的青睐，同时也被大家称之为“本田超跑”。近日海外媒体曝光了本田全新飞度的最新消息，新车将于今年夏季登陆欧洲市场上市开售，海外市场起售价为22,900欧元（约为17万人民币）。　　动力方面，新车将搭载1.5L</t>
  </si>
  <si>
    <t>2020/02/14 13:14:00</t>
  </si>
  <si>
    <t>飞度是本田旗下的一款小型轿车，自新车入华国产销售以来，便受到了诸多年轻消费者以及改装车迷们的青睐，同时也被大家称之为“本田超跑”。近日海外媒体曝光了本田全新飞度的最新消息，新车将于今年夏季登陆欧洲市场上市开售，海外市场起售价为22,900欧元（约为17万人民币）。    动力方面，新车将搭载1.5L</t>
  </si>
  <si>
    <t>维特拉是铃木旗下的一款小型SUV车型，该款车型于2016年正式在华国产开售，目前在售的仅为2018款车型。近日海外媒体曝光了铃木维特拉新款混动版车型的最新消息，新车海外市场起售价为22,400欧元（约为17万人民币），而目前新车也已在西班牙进行路试中，并预计将于今年年内上市开售。    动力方面，新</t>
  </si>
  <si>
    <t>2020/02/14 13:12:00</t>
  </si>
  <si>
    <t>　　维特拉是铃木旗下的一款小型SUV车型，该款车型于2016年正式在华国产开售，目前在售的仅为2018款车型。近日海外媒体曝光了铃木维特拉新款混动版车型的最新消息，新车海外市场起售价为22,400欧元（约为17万人民币），而目前新车也已在西班牙进行路试中，并预计将于今年年内上市开售。　　动力方面，新</t>
  </si>
  <si>
    <t>投诉编号：【447193】投诉时间：2020-02-1413:10投诉品牌：东风悦达起亚投诉车系：智跑投诉车型：2018款2.0L自动智享豪华版投诉内容2020年1月26日晚上9点从外面开车回来停到地下车库，2020年1月29日上午8点半去开车，按一键启动，发现电瓶电微弱，启动不了，再启动一次，还是</t>
  </si>
  <si>
    <t>2020/02/14 13:10:00</t>
  </si>
  <si>
    <t>　　日前，丰田发布了2021年款美规GR Supra车型的官图。此次改款，丰田针对美国市场追加了搭载2.0T直列四缸发动机的入门动力车型，3.0T车型的动力有所提升，同时有限量1000辆的3.0T A91 Edition版本供美国消费者选择。据悉，新车预计将于今年6月在美国市场开售。2.0T车型　　</t>
  </si>
  <si>
    <t>2020/02/14 13:09:00</t>
  </si>
  <si>
    <t xml:space="preserve">日前，丰田发布了2021年款美规GR Supra车型的官图。此次改款，丰田针对美国市场追加了搭载2.0T直列四缸发动机的入门动力车型，3.0T车型的动力有所提升，同时有限量1000辆的3.0T A91 Edition版本供美国消费者选择。据悉，新车预计将于今年6月在美国市场开售。2.0T车型    </t>
  </si>
  <si>
    <t>　　日前，有海外媒体描绘了一张全新凯迪拉克凯雷德escalade v假想图。图片显示该车车身配备运动套件以及大尺寸轮圈等，动力预计搭载4.2升双涡轮增压v8发动机，具有一定的参考意义。假想图　　从图片来看，新车采用重新设计的前保险杠，下方进气口搭配亮黑色前唇，看起来更加凌厉，雾灯区域的设计也有所变化</t>
  </si>
  <si>
    <t>2020/02/14 13:08:00</t>
  </si>
  <si>
    <t>日前，有海外媒体描绘了一张全新凯迪拉克凯雷德escalade v假想图。图片显示该车车身配备运动套件以及大尺寸轮圈等，动力预计搭载4.2升双涡轮增压v8发动机，具有一定的参考意义。假想图    从图片来看，新车采用重新设计的前保险杠，下方进气口搭配亮黑色前唇，看起来更加凌厉，雾灯区域的设计也有所变化</t>
  </si>
  <si>
    <t>三菱奕歌这个油耗，大家说说，表现怎样？三菱奕歌这个油耗，大家说说，表现怎样？</t>
  </si>
  <si>
    <t>酒别的人</t>
  </si>
  <si>
    <t>2020/02/14 13:07:00</t>
  </si>
  <si>
    <t>三菱奕歌这个油耗大家说说 表现怎样？三菱奕歌这个油耗，大家说说，表现怎样？三菱奕歌这个油耗，大家说说，表现怎样？</t>
  </si>
  <si>
    <t>日前，福特正式发布了欧洲规格版mustang mach-e车型的官图。相比于此前首发的美规版车型，欧规版mustang mach-e升级了长续航后驱版车型的续航里程，其wltp工况下的续航超过370英里（592公里）。福特mustang mach-e未来的主要竞争对手为特斯拉model y，该车也预</t>
  </si>
  <si>
    <t>2020/02/14 13:06:00</t>
  </si>
  <si>
    <t>　　日前，福特正式发布了欧洲规格版mustang mach-e车型的官图。相比于此前首发的美规版车型，欧规版mustang mach-e升级了长续航后驱版车型的续航里程，其wltp工况下的续航超过370英里（592公里）。福特mustang mach-e未来的主要竞争对手为特斯拉model y，该车</t>
  </si>
  <si>
    <t>日前，菲亚特官方发布了全新菲Strada皮卡的官图，新车主要为南美市场打造，动力方面将搭载1.3L/1.4L发动机全新菲亚特strada    作为一款身材颇为“迷你”的皮卡，上一代strada在南美市场有着不错的销量，此次公布的官图仅有一张，全新strada巨大的中网采用黑色格栅，内部有横向贯穿饰</t>
  </si>
  <si>
    <t>2020/02/14 13:05:00</t>
  </si>
  <si>
    <t>　　日前，菲亚特官方发布了全新菲Strada皮卡的官图，新车主要为南美市场打造，动力方面将搭载1.3L/1.4L发动机全新菲亚特strada　　作为一款身材颇为“迷你”的皮卡，上一代strada在南美市场有着不错的销量，此次公布的官图仅有一张，全新strada巨大的中网采用黑色格栅，内部有横向贯穿饰</t>
  </si>
  <si>
    <t>投诉编号：【447191】投诉时间：2020-02-1413:02投诉品牌：北京现代投诉车系：菲斯塔投诉车型：2019款280TGDi智速版国VI投诉内容北京现代菲斯塔耐克森轮胎开裂，轮胎也掉漆，都这么长时间了一直没给我一个答复，要求厂家解决好车辆的问题。投诉回复车质网已将您的投诉转给生产企业以及国</t>
  </si>
  <si>
    <t>2020/02/14 13:02:00</t>
  </si>
  <si>
    <t>2月14日，我们从奇瑞捷豹路虎官方了解到，国产路虎发现运动版正式公布售价，其共推出5款车型，售价区间为35.68-45.58万元。同时，该车将于3月份正式上市，其为发现神行的改款车型，虽然整体比例没有变化，但在外观细节和内饰设计上都有了非常大的调整。关于售价详情，请见下表：    发现运动版是发现神</t>
  </si>
  <si>
    <t>2020/02/14 13:00:00</t>
  </si>
  <si>
    <t>2月14日，几何汽车正式公布旗下首款SUV车型GE13命名为几何C，延续了几何品牌几何+字母的命名形式。根据官方介绍，新车搭载了吉利旗下最新智能网联技术，将成为全球首款量产无人驾驶纯电SUV。    从同期曝光的黑棚图来看，几何C整体线条流畅、充满动感，采用了时下流行的悬浮式车顶设计，突出运动潮流范</t>
  </si>
  <si>
    <t>　　2月14日，几何汽车正式公布旗下首款SUV车型GE13命名为几何C，延续了几何品牌几何+字母的命名形式。根据官方介绍，新车搭载了吉利旗下最新智能网联技术，将成为全球首款量产无人驾驶纯电SUV。　　从同期曝光的黑棚图来看，几何C整体线条流畅、充满动感，采用了时下流行的悬浮式车顶设计，突出运动潮流范</t>
  </si>
  <si>
    <t>　　2月14日，我们从奇瑞捷豹路虎官方了解到，国产路虎发现运动版正式公布售价，其共推出5款车型，售价区间为35.68-45.58万元。同时，该车将于3月份正式上市，其为发现神行的改款车型，虽然整体比例没有变化，但在外观细节和内饰设计上都有了非常大的调整。关于售价详情，请见下表：　　发现运动版是发现神</t>
  </si>
  <si>
    <t>汽车进入智能网联时代，在保证安全性的同时简化驾乘人员的操作流程是众多企业的研发重点。日前，据外媒报道，菲亚特克莱斯勒（fca）选中了idemia的智能网联解决方案，用以提升智能网联汽车的用户体验。idemia旗下的gsma合规性智能网联解决方案，能够强化车辆的智能网联生态系统，提升驾驶安全性的同时简</t>
  </si>
  <si>
    <t>2020/02/14 12:56:00</t>
  </si>
  <si>
    <t>　　汽车进入智能网联时代，在保证安全性的同时简化驾乘人员的操作流程是众多企业的研发重点。日前，据外媒报道，菲亚特克莱斯勒（fca）选中了idemia的智能网联解决方案，用以提升智能网联汽车的用户体验。idemia旗下的gsma合规性智能网联解决方案，能够强化车辆的智能网联生态系统，提升驾驶安全性的同</t>
  </si>
  <si>
    <t>日前，斯巴鲁汽车（中国）有限公司根据《缺陷汽车产品召回管理条例》和《缺陷汽车产品召回管理条例实施办法》的要求，向国家市场监督管理总局备案了召回计划。将自2020年4月1日起，召回部分进口森林人、力狮、傲虎、翼豹系列汽车，共计17178辆。具体如下：    （一）2007年12月20日至2009年12</t>
  </si>
  <si>
    <t>2020/02/14 12:49:00</t>
  </si>
  <si>
    <t>　　日前，斯巴鲁汽车（中国）有限公司根据《缺陷汽车产品召回管理条例》和《缺陷汽车产品召回管理条例实施办法》的要求，向国家市场监督管理总局备案了召回计划。将自2020年4月1日起，召回部分进口森林人、力狮、傲虎、翼豹系列汽车，共计17178辆。具体如下：　　（一）2007年12月20日至2009年12</t>
  </si>
  <si>
    <t xml:space="preserve">日前，斯巴鲁汽车（中国）有限公司根据《缺陷汽车产品召回管理条例》和《缺陷汽车产品召回管理条例实施方法》的要求，向国家市场监督管理总局备案了召回计划。将自2020年3月14日起，召回2013年3月25日至2015年12月25日期间生产的部分进口2013-2015年款森林人系列汽车，共计81260辆。 </t>
  </si>
  <si>
    <t>2020/02/14 12:44:00</t>
  </si>
  <si>
    <t>　　日前，斯巴鲁汽车（中国）有限公司根据《缺陷汽车产品召回管理条例》和《缺陷汽车产品召回管理条例实施方法》的要求，向国家市场监督管理总局备案了召回计划。将自2020年3月14日起，召回2013年3月25日至2015年12月25日期间生产的部分进口2013-2015年款森林人系列汽车，共计81260辆</t>
  </si>
  <si>
    <t>2020/02/14 12:43:43</t>
  </si>
  <si>
    <t>投诉编号：【447189】
投诉时间： 2020-02-14 12:36
投诉品牌： 上汽通用别克
投诉车系： 昂科拉
投诉车型： 2014款 1.4T 自动 两驱都市精英型</t>
  </si>
  <si>
    <t>2020/02/14 12:39:12</t>
  </si>
  <si>
    <t>投诉编号：【447188】
投诉时间： 2020-02-14 12:33
投诉品牌： 长安福特
投诉车系： 福睿斯
投诉车型： 2015款 1.5L 手动 时尚型</t>
  </si>
  <si>
    <t>　　借助于2019年销量逆势上涨30%的底气，一汽奔腾冀望在2020年继续大幅提升销量，并定下增幅近66%的高增长目标。独立冲高本属不易，再加上开年突如其来的疫情，更加打乱了车市的节奏。在丝毫不能松懈疫情防控的同时，面对供应链、生产销售、营销服务、成本等方面的重重压力，企业如何朝着既定目标前进？近日</t>
  </si>
  <si>
    <t>2020/02/14 12:37:00</t>
  </si>
  <si>
    <t>日前，特斯拉汽车（北京）有限公司根据《缺陷汽车产品召回管理条例》和《缺陷汽车产品召回管理条例实施办法》的要求，向国家市场监督管理总局备案了召回计划。决定自2020年6月7日起，召回2016年4月15日至2016年10月16日期间生产的部分进口Model X系列汽车，共计3183辆。    本次召回范</t>
  </si>
  <si>
    <t>　　日前，特斯拉汽车（北京）有限公司根据《缺陷汽车产品召回管理条例》和《缺陷汽车产品召回管理条例实施办法》的要求，向国家市场监督管理总局备案了召回计划。决定自2020年6月7日起，召回2016年4月15日至2016年10月16日期间生产的部分进口Model X系列汽车，共计3183辆。　　本次召回范</t>
  </si>
  <si>
    <t>借助于2019年销量逆势上涨30%的底气，一汽奔腾冀望在2020年继续大幅提升销量，并定下增幅近66%的高增长目标。独立冲高本属不易，再加上开年突如其来的疫情，更加打乱了车市的节奏。在丝毫不能松懈疫情防控的同时，面对供应链、生产销售、营销服务、成本等方面的重重压力，企业如何朝着既定目标前进？近日，汽</t>
  </si>
  <si>
    <t>　　2月13日晚，广汽集团公布最新产销数据。2020年1月，集团实现汽车产量13.8万辆，同比下降24.3%；实现汽车销量17.6万辆，比去年同期减少15.9%。　　从合资企业看，2020年1月，广汽本田销售6.2万辆，同比减少16.1%；广汽丰田销售6.8万辆，同比下降15.2%；广汽菲克销售0.</t>
  </si>
  <si>
    <t>2020/02/14 12:34:00</t>
  </si>
  <si>
    <t>2月13日晚，广汽集团公布最新产销数据。2020年1月，集团实现汽车产量13.8万辆，同比下降24.3%；实现汽车销量17.6万辆，比去年同期减少15.9%。    从合资企业看，2020年1月，广汽本田销售6.2万辆，同比减少16.1%；广汽丰田销售6.8万辆，同比下降15.2%；广汽菲克销售0.</t>
  </si>
  <si>
    <t>　　从一汽集团官方获悉，今年1月，一汽集团整体销量为35.4万辆，同比增长18.3%。　　具体来看，合资品牌方面，一汽马自达官方数据显示，2020年1月销售7539辆，同比增长7.45%；乘联会数据显示，一汽-大众1月销售18.7万辆，同比下滑2%，占一汽集团总销量的53%。奔腾品牌截止1月22日销</t>
  </si>
  <si>
    <t>2020/02/14 12:33:00</t>
  </si>
  <si>
    <t>从一汽集团官方获悉，今年1月，一汽集团整体销量为35.4万辆，同比增长18.3%。    具体来看，合资品牌方面，一汽马自达官方数据显示，2020年1月销售7539辆，同比增长7.45%；乘联会数据显示，一汽-大众1月销售18.7万辆，同比下滑2%，占一汽集团总销量的53%。奔腾品牌截止1月22日销</t>
  </si>
  <si>
    <t>　　2月13日，观致汽车宣布，即日起研发具备n95级同等防护功能的空气过滤系统，将率先在suv车型观致5s上实现量产并推向市场，同时在今后的新产品上实现标配。　　“n95”是美国口罩标准的级别，对应的中国口罩标准是“kn95”。“95”代表着它对直径0.3μm的颗粒过滤效率能够大于95%。而类似新冠</t>
  </si>
  <si>
    <t>2020/02/14 12:32:00</t>
  </si>
  <si>
    <t>2月13日，观致汽车宣布，即日起研发具备n95级同等防护功能的空气过滤系统，将率先在suv车型观致5s上实现量产并推向市场，同时在今后的新产品上实现标配。    “n95”是美国口罩标准的级别，对应的中国口罩标准是“kn95”。“95”代表着它对直径0.3μm的颗粒过滤效率能够大于95%。而类似新冠</t>
  </si>
  <si>
    <t>神车五菱宏光S再进化 纯电版实拍流出虽然新能源车型今年销量集体遇冷，但是不能否认，电气化转型是全球汽车转型的大势所趋。在电气化这条路上，我们能看到越来越多的品牌加入其中了，例如奥迪、奔驰、宝马等都外宣了自己的纯电产品，更别提我们的一些自主品牌了。近日，我们在网络上看到一组神车五菱宏光S 的EV版申报</t>
  </si>
  <si>
    <t>标致F</t>
  </si>
  <si>
    <t>2020/02/14 12:30:00</t>
  </si>
  <si>
    <t>虽然新能源车型今年销量集体遇冷，但是不能否认，电气化转型是全球汽车转型的大势所趋。在电气化这条路上，我们能看到越来越多的品牌加入其中了，例如奥迪、奔驰、宝马等都外宣了自己的纯电产品，更别提我们的一些自主品牌了。近日，我们在网络上看到一组神车五菱宏光S 的EV版申报信息，看来我们的神车五菱宏光S也即将</t>
  </si>
  <si>
    <t>标致F                 维修技师</t>
  </si>
  <si>
    <t>1月跌幅18%！车市连降19个月春节长假+肺炎疫情，国内汽车行业受到的影响有多大？刚刚，中国汽车工业协会给出了答案。2020年1月，全国汽车产销分别预计完成178.3万辆和194.1万辆，同比分别下降24.6%和18.0%。其中，乘用车产销预计完成144.4万辆和161.4万辆，同比下降 27.6%</t>
  </si>
  <si>
    <t>2020/02/14 12:29:00</t>
  </si>
  <si>
    <t>插混车型（PHEV）到底要不要买我们先来对比一下插混相对纯电和燃油车的优势和缺点。优势：1、没有里程焦虑没有里程焦虑是插混车型相对纯电车型最大的优势，不仅没有里程焦虑，还有长续航，因为插混车型在亏电情况下也相当于HEV，油耗还是比较低的，多数在4~8L/100km，所以和燃油车同样大小的油箱可以支撑</t>
  </si>
  <si>
    <t>不搞电动汽车 日本主攻氢能源很多专家预言：电动汽车是未来发展的新方向。为此，全球很多国家都为电动汽车的发展一路绿灯，我国也不例外，开展了近十年的电动汽车补贴，消费者每买一辆电动汽车，国家就补贴数万元，但是，电池技术一直没有突破，电池衰减是横在消费者和汽车制造厂商之间的“一座大山”，谁也无法撼动。国家</t>
  </si>
  <si>
    <t>　　据路透社报道，一份政府文件显示，特斯拉正在寻求中国监管机构的批准，以生产一款全新的Model 3车型。　　据知情人士透露，这款车的行驶里程将会更长。该消息人士还称，与目前中国制造的标准版Model 3拥有超过400公里续航里程不同，这款车将是一款后轮驱动版。　　而据electrek报道，特斯拉将</t>
  </si>
  <si>
    <t>据路透社报道，一份政府文件显示，特斯拉正在寻求中国监管机构的批准，以生产一款全新的Model 3车型。    据知情人士透露，这款车的行驶里程将会更长。该消息人士还称，与目前中国制造的标准版Model 3拥有超过400公里续航里程不同，这款车将是一款后轮驱动版。    而据electrek报道，特斯</t>
  </si>
  <si>
    <t>春节长假+肺炎疫情，国内汽车行业受到的影响有多大？刚刚，中国汽车工业协会给出了答案。2020年1月，全国汽车产销分别预计完成178.3万辆和194.1万辆，同比分别下降24.6%和18.0%。其中，乘用车产销预计完成144.4万辆和161.4万辆，同比下降 27.6%和20.2%。18.0%的跌幅，</t>
  </si>
  <si>
    <t>很多专家预言：电动汽车是未来发展的新方向。为此，全球很多国家都为电动汽车的发展一路绿灯，我国也不例外，开展了近十年的电动汽车补贴，消费者每买一辆电动汽车，国家就补贴数万元，但是，电池技术一直没有突破，电池衰减是横在消费者和汽车制造厂商之间的“一座大山”，谁也无法撼动。国家的补贴力度退坡后，电动汽车也</t>
  </si>
  <si>
    <t>我们先来对比一下插混相对纯电和燃油车的优势和缺点。优势：1、没有里程焦虑没有里程焦虑是插混车型相对纯电车型最大的优势，不仅没有里程焦虑，还有长续航，因为插混车型在亏电情况下也相当于HEV，油耗还是比较低的，多数在4~8L/100km，所以和燃油车同样大小的油箱可以支撑插混车型跑更长的里程，再加上电池</t>
  </si>
  <si>
    <t>99%司机都知道要定时更换三滤、换机油、换齿轮油、打黄油，但很多司机却经常忽略“防冻液”。如果你不信，随便抓一个司机问问： “防冻液多长时间更换一次？”“防冻液有什么好坏之分？”“防冻液能用水或酒精代替吗？”在细节方面的迷糊和疏忽，让很多司机稀里糊涂中开坏了发动机，无意中省下来的一点钱最终加倍付给了</t>
  </si>
  <si>
    <t>2020/02/14 12:28:00</t>
  </si>
  <si>
    <t>为了省100块钱 很多司机付出惨重代价99%司机都知道要定时更换三滤、换机油、换齿轮油、打黄油，但很多司机却经常忽略“防冻液”。如果你不信，随便抓一个司机问问： “防冻液多长时间更换一次？”“防冻液有什么好坏之分？”“防冻液能用水或酒精代替吗？”在细节方面的迷糊和疏忽，让很多司机稀里糊涂中开坏了发动</t>
  </si>
  <si>
    <t>2020汽车可靠性排行榜出炉随着人们汽车消费观念的提升，相比价格，人们更加关注汽车的品质及可靠性。近日JD Power2020汽车可靠性报告发布，该报告可以给有购车需求的消费者提供一定的参考。据报告显示，在2020汽车可靠性排名中，雷克萨斯位居第二，别克排名第三，而现代旗下的豪华品牌Genesis（</t>
  </si>
  <si>
    <t>2020/02/14 12:27:00</t>
  </si>
  <si>
    <t>随着人们汽车消费观念的提升，相比价格，人们更加关注汽车的品质及可靠性。近日JD Power2020汽车可靠性报告发布，该报告可以给有购车需求的消费者提供一定的参考。据报告显示，在2020汽车可靠性排名中，雷克萨斯位居第二，别克排名第三，而现代旗下的豪华品牌Genesis（捷恩斯）夺得第一，着实令人意</t>
  </si>
  <si>
    <t>女生眼中的“便宜车” 你知道吗？有人说，女生是天生的视觉天才，分辨口红却能一眼便知正红、砖红、姨妈红、珊瑚红、桃红色~。如果以车标区别哪些是豪华车，多数女生只知道奔驰、宝马、奥迪、路虎。车界恰好有一些反其道而行的高端豪华汽车，常常被误认为是廉价车。例如大众辉腾（已停产），售价区间在75.00-253</t>
  </si>
  <si>
    <t>2020/02/14 12:26:00</t>
  </si>
  <si>
    <t>13日晚上7点，“上汽通用五菱”微信公众号发布信息称，上汽通用五菱生产的第一批口罩已批量出货。对此，微姐也曾发布相关报道（点击查看详情）。消息发出后，正当网友们纷纷赞赏了生产企业的行为，并表示非常期待口罩上市时，有些人却打起了这批口罩的主意，在各大微信群和朋友圈中售卖“五菱口罩"。有人在朋友圈打起了</t>
  </si>
  <si>
    <t>有人说，女生是天生的视觉天才，分辨口红却能一眼便知正红、砖红、姨妈红、珊瑚红、桃红色~。如果以车标区别哪些是豪华车，多数女生只知道奔驰、宝马、奥迪、路虎。车界恰好有一些反其道而行的高端豪华汽车，常常被误认为是廉价车。例如大众辉腾（已停产），售价区间在75.00-253.18万元，妥妥的一款高端豪华轿</t>
  </si>
  <si>
    <t>五菱口罩有卖了？1.8元一个？官方回应了13日晚上7点，“上汽通用五菱”微信公众号发布信息称，上汽通用五菱生产的第一批口罩已批量出货。对此，微姐也曾发布相关报道（点击查看详情）。消息发出后，正当网友们纷纷赞赏了生产企业的行为，并表示非常期待口罩上市时，有些人却打起了这批口罩的主意，在各大微信群和朋友</t>
  </si>
  <si>
    <t>2019年，车市继续遭遇寒流，自主汽车品牌淘汰加速。然而，就算大环境不怎么好，国内汽车市场的新车依旧如同“雨后春笋”一般不断推出新的车型。在即将到来的2020年，仍有众多新车将亮相并上市，接下来我就给大家盘点出2020年最值得期待的几款国产SUV，看看谁才是你的菜？长安UNI-T上市时间：预计202</t>
  </si>
  <si>
    <t>2020/02/14 12:25:00</t>
  </si>
  <si>
    <t>马自达旗下的车型由于拥有不俗的驾驶乐趣，甚至可以媲美以往“纯粹”的宝马，所以被车迷冠以“东瀛宝马”的美誉。而如今宝马将大批入门车换成了横置前驱布局，反观马自达却要玩起纵置直6引擎+8AT……前几天，马自达刚刚过完了100岁的生日，成为世界上又一个拥有百年历史的车企。与此同时，外媒也曝光了一份马自达最</t>
  </si>
  <si>
    <t>东瀛宝马这下真变“宝马”了​马自达旗下的车型由于拥有不俗的驾驶乐趣，甚至可以媲美以往“纯粹”的宝马，所以被车迷冠以“东瀛宝马”的美誉。而如今宝马将大批入门车换成了横置前驱布局，反观马自达却要玩起纵置直6引擎+8AT……前几天，马自达刚刚过完了100岁的生日，成为世界上又一个拥有百年历史的车企。与此同</t>
  </si>
  <si>
    <t>2020最值得期待的四款国产SUV2019年，车市继续遭遇寒流，自主汽车品牌淘汰加速。然而，就算大环境不怎么好，国内汽车市场的新车依旧如同“雨后春笋”一般不断推出新的车型。在即将到来的2020年，仍有众多新车将亮相并上市，接下来我就给大家盘点出2020年最值得期待的几款国产SUV，看看谁才是你的菜？</t>
  </si>
  <si>
    <t>投诉编号：【447186】投诉时间：2020-02-1412:19投诉品牌：上汽大众投诉车系：朗逸投诉车型：2015款1.6L自动舒适版投诉内容上汽大众朗逸车身漏水，希望厂家解决，上次漏水，我还以为是车窗没关，这次停家里几天没开，发现漏水。希望厂家得到解决。投诉回复车质网已将您的投诉转给生产企业以及</t>
  </si>
  <si>
    <t>2020/02/14 12:19:00</t>
  </si>
  <si>
    <t>　　据smalltechnews报道，特斯拉提交给美国证券交易委员会（sec）的一份10-k文件显示，该公司2019年在中国市场的营收为29.79亿美元，比2018年的17.57亿美元增长了69.55%。　　相比之下，特斯拉去年在美国市场的收入为126.53亿美元，比2018年的148.72亿美元下</t>
  </si>
  <si>
    <t>据smalltechnews报道，特斯拉提交给美国证券交易委员会（sec）的一份10-k文件显示，该公司2019年在中国市场的营收为29.79亿美元，比2018年的17.57亿美元增长了69.55%。    相比之下，特斯拉去年在美国市场的收入为126.53亿美元，比2018年的148.72亿美元下</t>
  </si>
  <si>
    <t>有媒体从广汽集团官方获悉，广汽新能源1月销量3,002辆，同比增长53%，优于全国行业水平107个百分点；1月份终端销量为2,826辆，同比增长12.9%，实现逆势增长。根据广汽新能源此前的规划，今年年内将推出两款全新车型，其中就包括aion系列第二款suv-aion v，新车最早预计在4月份发布。</t>
  </si>
  <si>
    <t>2020/02/14 11:52:00</t>
  </si>
  <si>
    <t>索兰托是起亚旗下的一款中型suv，该款车型以进口形式引入国内市场开售，并与大众探岳、别克昂科威、丰田汉兰达等车型展开竞争。近日海外媒体曝光了一组起亚全新索兰托车型最新渲染图，新车将于下月开幕的日内瓦车展上正式亮相。    动力方面，海外版车型将搭载2.0l自然吸气发动机 电动机所组成的轻混系统，以及</t>
  </si>
  <si>
    <t>　　索兰托是起亚旗下的一款中型suv，该款车型以进口形式引入国内市场开售，并与大众探岳、别克昂科威、丰田汉兰达等车型展开竞争。近日海外媒体曝光了一组起亚全新索兰托车型最新渲染图，新车将于下月开幕的日内瓦车展上正式亮相。　　动力方面，海外版车型将搭载2.0l自然吸气发动机 电动机所组成的轻混系统，以及</t>
  </si>
  <si>
    <t>　　有媒体从广汽集团官方获悉，广汽新能源1月销量3,002辆，同比增长53%，优于全国行业水平107个百分点；1月份终端销量为2,826辆，同比增长12.9%，实现逆势增长。根据广汽新能源此前的规划，今年年内将推出两款全新车型，其中就包括aion系列第二款suv-aion v，新车最早预计在4月份发</t>
  </si>
  <si>
    <t>es是雷克萨斯旗下的一款中大型轿车，该款车型早于2006年引入国内市场销售，其市场销量也与热门豪华品牌奥迪a6l、宝马5系、奔驰e级等车型不相上下。近日海外媒体曝光了雷克萨斯新款es车型最新信息，新车将于下月即将开幕的日内瓦车展上正式亮相。    动力方面，新车预计将沿用现款2.0l、2.5l两款自</t>
  </si>
  <si>
    <t>2020/02/14 11:50:00</t>
  </si>
  <si>
    <t>　　es是雷克萨斯旗下的一款中大型轿车，该款车型早于2006年引入国内市场销售，其市场销量也与热门豪华品牌奥迪a6l、宝马5系、奔驰e级等车型不相上下。近日海外媒体曝光了雷克萨斯新款es车型最新信息，新车将于下月即将开幕的日内瓦车展上正式亮相。　　动力方面，新车预计将沿用现款2.0l、2.5l两款自</t>
  </si>
  <si>
    <t>最近新型冠状病毒肆虐，为了减少在公共密闭空间逗留，很多朋友都选择了开私家车上班，但由此笔者也发现了一个现象：有些人开车戴口罩，有些又不戴，那开车究竟要不要戴口罩呢？翻阅了一下网上资料，有权威机构发布声明表示：独自开车不用戴口罩。虽说如此，我还是建议大家戴上比较稳妥。。毕竟喷嚏飞沫能飞到8米远啊，就怕</t>
  </si>
  <si>
    <t>2020/02/14 11:46:00</t>
  </si>
  <si>
    <t>车里真的需要戴口罩吗 车里的空气质量玄学最近新型冠状病毒肆虐，为了减少在公共密闭空间逗留，很多朋友都选择了开私家车上班，但由此笔者也发现了一个现象：有些人开车戴口罩，有些又不戴，那开车究竟要不要戴口罩呢？翻阅了一下网上资料，有权威机构发布声明表示：独自开车不用戴口罩。虽说如此，我还是建议大家戴上比较</t>
  </si>
  <si>
    <t>最近，有一位老车车主在微信上给小编私信，说是在保养时发现车的底盘上出现了一些锈斑，担心有什么问题，问一下有什么补救措施。于是，我给他推荐了底盘清洗养护加底盘装甲套装。没想到他又问，为什么底盘会生锈，难道厂商没有考虑到这个问题吗？原厂底盘当然是有防锈层的，无非就是能撑几年的问题，一旦防锈层失效，就只能</t>
  </si>
  <si>
    <t>2020/02/14 11:45:00</t>
  </si>
  <si>
    <t>你的车有没有减配 就看这里会不会生锈了最近，有一位老车车主在微信上给小编私信，说是在保养时发现车的底盘上出现了一些锈斑，担心有什么问题，问一下有什么补救措施。于是，我给他推荐了底盘清洗养护加底盘装甲套装。没想到他又问，为什么底盘会生锈，难道厂商没有考虑到这个问题吗？原厂底盘当然是有防锈层的，无非就是</t>
  </si>
  <si>
    <t>纵观现在的新车，除了可靠的质量和使用的空间，豪华感和科技感成为了吸引消费者的其它潜在因素。此前，消费者喜爱炫酷的中控大屏，而中控大屏陆续普及后，车企又将华丽的屏幕转移到了仪表盘上。这些曾经属于高端车型上的配置已经陆续下放，像高尔夫等紧凑型家轿都已经拥有了全液晶仪表盘的配置。那么都是全液晶仪表盘，各个</t>
  </si>
  <si>
    <t>同样都是大屏 看看全液晶仪表盘都是怎样的设计纵观现在的新车，除了可靠的质量和使用的空间，豪华感和科技感成为了吸引消费者的其它潜在因素。此前，消费者喜爱炫酷的中控大屏，而中控大屏陆续普及后，车企又将华丽的屏幕转移到了仪表盘上。这些曾经属于高端车型上的配置已经陆续下放，像高尔夫等紧凑型家轿都已经拥有了全</t>
  </si>
  <si>
    <t>常听一些老司机说：“车不一定是开坏的，而是放坏的。”昨天在途虎车主群里，就看到一个求助：也就10天没开车，车打不着火了。这位陈姓车主的车是六七年的老车，电瓶也有三四年了。春节假期已延长到2月3日，有不少城市的企业要到2月10日才复工，前后算起来足有半个月之久。这期间，大部分车主都选择待在家里不出门。</t>
  </si>
  <si>
    <t>2020/02/14 11:44:00</t>
  </si>
  <si>
    <t>春节假期期间，小编除了每天关心疫情发展动态外，同样也在途虎车主俱乐部里和大家聊着汽车保养问题。有些车友担心长假结束后，返城开高速会引发拥堵，造成发动机积碳的问题。小编首先说一个观点：轻微的积碳其实有利于发动机的密封，无需担心。但如果积碳严重了，且长期不处理，那后果可能会导致发动机大修。燃油成分再复杂</t>
  </si>
  <si>
    <t>我们说过某些欧洲本地的轮胎为了高速性能，而加强轮胎的散热速度，因此胎侧设计的较薄。相对国内的轮胎为了路况需要而胎侧厚度较大。世界上的很多东西都没有绝对的“对”和绝对的“错”。无非只是适合不适合当地当时的客观使用要求，仅此而已。但是大虎悠却发现国内很多媒体将“胎侧厚度”和“胎侧层数”混淆了。以至于一直</t>
  </si>
  <si>
    <t>轮胎结实不结实关键看哪里我们说过某些欧洲本地的轮胎为了高速性能，而加强轮胎的散热速度，因此胎侧设计的较薄。相对国内的轮胎为了路况需要而胎侧厚度较大。世界上的很多东西都没有绝对的“对”和绝对的“错”。无非只是适合不适合当地当时的客观使用要求，仅此而已。但是大虎悠却发现国内很多媒体将“胎侧厚度”和“胎侧</t>
  </si>
  <si>
    <t>车停半个月电瓶就没电 怎么预防常听一些老司机说：“车不一定是开坏的，而是放坏的。”昨天在途虎车主群里，就看到一个求助：也就10天没开车，车打不着火了。这位陈姓车主的车是六七年的老车，电瓶也有三四年了。春节假期已延长到2月3日，有不少城市的企业要到2月10日才复工，前后算起来足有半个月之久。这期间，大</t>
  </si>
  <si>
    <t>积碳到底怎么洗才干净春节假期期间，小编除了每天关心疫情发展动态外，同样也在途虎车主俱乐部里和大家聊着汽车保养问题。有些车友担心长假结束后，返城开高速会引发拥堵，造成发动机积碳的问题。小编首先说一个观点：轻微的积碳其实有利于发动机的密封，无需担心。但如果积碳严重了，且长期不处理，那后果可能会导致发动机</t>
  </si>
  <si>
    <t>对于目前不断发展的纯电动汽车来说，很多消费者关注的都是续航里程。诚然，续航里程的高低确实影响用车的便捷性，但是风阻的高低同样相当重要。而且根据相关研究表明，对于纯电动汽车来说，在其他因素不变条件下风阻系数每降低10%，续航里程就能提升约3%。那么纯电动汽车都有哪些降低风阻的方法呢？影响风阻的因素其实</t>
  </si>
  <si>
    <t>2020/02/14 11:43:00</t>
  </si>
  <si>
    <t>疫情期间不出门 纯电动车维护有哪些注意事项今年的春节比较特殊，本来应该是全家团圆的日子，却因为新型肺炎的关系，全国人民都出不了门。那么，疫情期间出不了门，纯电动车维护有哪些注意事项？  首先，如果有条件的话，最好将车辆停放在地下停车场或者是室内停车场。因为如果纯电动汽车上时间露天停车，车漆会有一定的</t>
  </si>
  <si>
    <t>今年的春节比较特殊，本来应该是全家团圆的日子，却因为新型肺炎的关系，全国人民都出不了门。那么，疫情期间出不了门，纯电动车维护有哪些注意事项？  首先，如果有条件的话，最好将车辆停放在地下停车场或者是室内停车场。因为如果纯电动汽车上时间露天停车，车漆会有一定的老化，长时间下来会对车漆造成一定损伤。如果</t>
  </si>
  <si>
    <t>纯电动车有哪些降低风阻的方法对于目前不断发展的纯电动汽车来说，很多消费者关注的都是续航里程。诚然，续航里程的高低确实影响用车的便捷性，但是风阻的高低同样相当重要。而且根据相关研究表明，对于纯电动汽车来说，在其他因素不变条件下风阻系数每降低10%，续航里程就能提升约3%。那么纯电动汽车都有哪些降低风阻</t>
  </si>
  <si>
    <t>在法拉利发布SF 1000之后，红牛车队也带来了其新赛季的赛车-RB16，并且在英国银石赛道首航。有了上赛季拿下分站赛冠军的经历，红牛也希望新赛车能够让其在2020一级方程式大奖赛中为车队拿下车手或车队总冠军奖杯。2019年，本田发动机在红牛赛车RB15上的表现可圈可点，尤其是稳定性的提升令人瞩目，</t>
  </si>
  <si>
    <t>2020/02/14 11:42:00</t>
  </si>
  <si>
    <t>将于银石赛道首航 红牛发布新赛季赛车在法拉利发布SF 1000之后，红牛车队也带来了其新赛季的赛车-RB16，并且在英国银石赛道首航。有了上赛季拿下分站赛冠军的经历，红牛也希望新赛车能够让其在2020一级方程式大奖赛中为车队拿下车手或车队总冠军奖杯。2019年，本田发动机在红牛赛车RB15上的表现可</t>
  </si>
  <si>
    <t>由于全球的环保与排放法规变得愈发严格，也因为纯电动品牌特斯拉近两年的成功，让许多传统车企与新势力品牌越来越相信电动车才是我们的未来。除了在传统家用车领域，一些汽车制造商甚至已开始为电动跑车的指数增长做出积极准备。不过你知道吗，其实早在特斯拉Model S为电动车打开市场之前，具体说是1899年，纯电</t>
  </si>
  <si>
    <t>2020/02/14 11:41:00</t>
  </si>
  <si>
    <t>投诉编号：【447181】  投诉时间： 2020-02-14 11:41  投诉品牌： 吉利汽车  投诉车系： 帝豪GSe  投诉车型： 2019款 500 领尚型        投诉内容  电池标的的是400公里，实际就跑100多公里，车载多媒体在线应用一个也没有。咨询厂家，告诉我不能升级，说车</t>
  </si>
  <si>
    <t>到2025年 全球将迎来这些硬核纯电跑车由于全球的环保与排放法规变得愈发严格，也因为纯电动品牌特斯拉近两年的成功，让许多传统车企与新势力品牌越来越相信电动车才是我们的未来。除了在传统家用车领域，一些汽车制造商甚至已开始为电动跑车的指数增长做出积极准备。不过你知道吗，其实早在特斯拉Model S为电动</t>
  </si>
  <si>
    <t>投诉编号：【447180】投诉时间：2020-02-1411:37投诉品牌：郑州日产投诉车系：途达投诉车型：2020款2.5L自动四驱旗舰版投诉内容郑州日产途达两个月新车只放了两天没开电瓶就没电了，车无法启动，正两个月的新车只放了两天电瓶就没有电了，车无法启动，车门不能锁。电瓶一点电也没有了。怀疑是</t>
  </si>
  <si>
    <t>2020/02/14 11:37:00</t>
  </si>
  <si>
    <t>投诉编号：【447179】  投诉时间： 2020-02-14 11:37  投诉品牌： 奇瑞汽车  投诉车系： 艾瑞泽GX  投诉车型： 2018款 1.5T 手动 型色版        投诉内容  第一次天窗关闭不复位到4S维修，第二次也是不复位到4S维修，期间我问老实出现这个问题怎么处理，修理</t>
  </si>
  <si>
    <t>投诉编号：【447177】  投诉时间： 2020-02-14 11:36  投诉品牌： 江淮汽车  投诉车系： 瑞风S3  投诉车型： 2015款 1.5L 手动 豪华智能尊享版        投诉内容  江淮瑞风S3佳通轮胎有裂纹影响质量安全，希望厂家处理。      投诉回复  车质网已将您的</t>
  </si>
  <si>
    <t>2020/02/14 11:36:00</t>
  </si>
  <si>
    <t>　　3年前，纯电动汽车的续航还停留在200km左右的水平，人们对于纯电动车的印象还是续航焦虑，不能满足长途出行。而进入2020年，新推出的车型动辄续航达到了500km以上，其中也不乏许多续航超过600km的车型，有些已经上市，有些会在近期推出，本篇文章的主题，就让我们来认识一下那些续航超过600km</t>
  </si>
  <si>
    <t>余文娟</t>
  </si>
  <si>
    <t>2020/02/14 11:34:00</t>
  </si>
  <si>
    <t>　　由于疫情，这个情人节注定是不能在外面嗨皮了，同时，2月底新能源指标也下来了，zan不如在家选选车吧。在中国纯电动市场里，小型SUV独占鳌头，相比于紧凑型和中型SUV，它的车身尺寸相对更小，驾驶起来兼具SUV的高度却又不失灵活，颇受消费者喜爱。在这次中国新能源汽车消费者调研中，有四款纯电动小型SU</t>
  </si>
  <si>
    <t>2020/02/14 11:28:00</t>
  </si>
  <si>
    <t>受技术性回补操作影响，国际油价继昨日收盘反弹后，今日开盘一路走高。北京时间2月12日，纽约商品期货交易所wti 3月原油期货开盘价格为49.96美元/桶，此后一路走高，截至19：04价格升至50.71美元/桶，涨幅达1.54%。洲际交易所布伦特4月原油期货合约走势类似，北京时间2月12日17：04，</t>
  </si>
  <si>
    <t>2020/02/14 11:26:00</t>
  </si>
  <si>
    <t>　　受技术性回补操作影响，国际油价继昨日收盘反弹后，今日开盘一路走高。北京时间2月12日，纽约商品期货交易所wti 3月原油期货开盘价格为49.96美元/桶，此后一路走高，截至19：04价格升至50.71美元/桶，涨幅达1.54%。洲际交易所布伦特4月原油期货合约走势类似，北京时间2月12日17：0</t>
  </si>
  <si>
    <t>一汽轿车的并购重组将于下周迎来关键节点。    根据证监会2月12日发布的公告，2月18日将审议一汽轿车发行股份购买资产事宜。    根据证监会官网公布的《并购重组委2020年第4次工作会议公告》，中国证监会上市公司并购重组审核委员会（以下简称“并购重组委”）定于2020年2月18日上午9：00召开</t>
  </si>
  <si>
    <t>2020/02/14 11:24:00</t>
  </si>
  <si>
    <t>　　一汽轿车的并购重组将于下周迎来关键节点。　　根据证监会2月12日发布的公告，2月18日将审议一汽轿车发行股份购买资产事宜。　　根据证监会官网公布的《并购重组委2020年第4次工作会议公告》，中国证监会上市公司并购重组审核委员会（以下简称“并购重组委”）定于2020年2月18日上午9：00召开20</t>
  </si>
  <si>
    <t>近日东风本田表示，为缓解经销商压力，取消对经销商1-2月的销售目标考核，且按销售实际的110%给予返利支持。    受新冠肺炎疫情影响，汽车消费端近乎停滞，经销商经营压力骤增。东风本田表示接下来将根据市场情况及时调整商务政策，并加大对经销商的融资支持。    对于特殊时期的销售策略，东风本田推出相关</t>
  </si>
  <si>
    <t>2020/02/14 11:23:00</t>
  </si>
  <si>
    <t>　　近日东风本田表示，为缓解经销商压力，取消对经销商1-2月的销售目标考核，且按销售实际的110%给予返利支持。　　受新冠肺炎疫情影响，汽车消费端近乎停滞，经销商经营压力骤增。东风本田表示接下来将根据市场情况及时调整商务政策，并加大对经销商的融资支持。　　对于特殊时期的销售策略，东风本田推出相关举措</t>
  </si>
  <si>
    <t>投诉编号：【447176】  投诉时间： 2020-02-14 11:22  投诉品牌： Jeep（进口）  投诉车系： 指南者（进口）  投诉车型： 2012款 2.0 CVT 豪华版        投诉内容  车辆购买后，第二次保养的时候就清洗了节气门。应该节气门就存在问题，4S店没有及时给彻底</t>
  </si>
  <si>
    <t>2020/02/14 11:22:00</t>
  </si>
  <si>
    <t>2020年2月13日，中国汽车技术研究中心（以下称“中汽中心”）公布了2020年1月国内车市上险数据。根据数据显示，2020年1月蔚来品牌整体上险数达1600台，es6依然是中国销量最高的豪华电动suv。    其中，品牌旗下智能电动全能suv es6 的1月上险数量达到1483台，以35万元以上的</t>
  </si>
  <si>
    <t>　　2020年2月13日，中国汽车技术研究中心（以下称“中汽中心”）公布了2020年1月国内车市上险数据。根据数据显示，2020年1月蔚来品牌整体上险数达1600台，es6依然是中国销量最高的豪华电动suv。　　其中，品牌旗下智能电动全能suv es6 的1月上险数量达到1483台，以35万元以上的</t>
  </si>
  <si>
    <t>“巧妇难为无米之炊”，大概是半数国内车企在“复工日”的写照。2月11日，北京商报记者了解到，人员不足、物流遇阻、疫情防控需要等因素下，不少零配件供应商生产受限，导致5成国内车企未在2月10日如期复工。业内人士表示，受疫情影响，多数车企及零部件供应商延迟复工，使得今年国内车市大盘走势再添不确定性，同时</t>
  </si>
  <si>
    <t>2020/02/14 11:21:00</t>
  </si>
  <si>
    <t>　　“巧妇难为无米之炊”，大概是半数国内车企在“复工日”的写照。2月11日，北京商报记者了解到，人员不足、物流遇阻、疫情防控需要等因素下，不少零配件供应商生产受限，导致5成国内车企未在2月10日如期复工。业内人士表示，受疫情影响，多数车企及零部件供应商延迟复工，使得今年国内车市大盘走势再添不确定性，</t>
  </si>
  <si>
    <t>开门红往往带来好兆头，这在汽车市场也不例外。为了在1月取得一个好的开端，从而助力全年目标的完成，一些企业甚至在去年12月有意将销量压低，当然其中也有控制2019年整体销量不至于过高的因素存在。    然而从整体车市而言，今年1月取得开门红就不太现实了。受春节假期影响，加之我国汽车市场仍处于调整周期，</t>
  </si>
  <si>
    <t>2020/02/14 11:20:00</t>
  </si>
  <si>
    <t>　　开门红往往带来好兆头，这在汽车市场也不例外。为了在1月取得一个好的开端，从而助力全年目标的完成，一些企业甚至在去年12月有意将销量压低，当然其中也有控制2019年整体销量不至于过高的因素存在。　　然而从整体车市而言，今年1月取得开门红就不太现实了。受春节假期影响，加之我国汽车市场仍处于调整周期，</t>
  </si>
  <si>
    <t>据英国广播公司bbc报道，英国运输部长格兰特?沙普斯（grant shapps）日前表示，英国计划最早将于2032年开始实施汽油动力、柴油动力与混合动力汽车的禁售法令。    上周，英国政府宣布，将禁售法令生效的日期从2040年提前到2035年，以期实现零碳排放目标，从而引发了业界的关注。而英国汽车</t>
  </si>
  <si>
    <t>2020/02/14 11:19:00</t>
  </si>
  <si>
    <t>　　据英国广播公司bbc报道，英国运输部长格兰特?沙普斯（grant shapps）日前表示，英国计划最早将于2032年开始实施汽油动力、柴油动力与混合动力汽车的禁售法令。　　上周，英国政府宣布，将禁售法令生效的日期从2040年提前到2035年，以期实现零碳排放目标，从而引发了业界的关注。而英国汽车</t>
  </si>
  <si>
    <t>据美国汽车新闻网报道美国汽车销售商汉姆控股公司（haah automotive holdings）表示，其已经与中国奇瑞汽车达成了北美分销协议。    haah在一份声明中表示，奇瑞汽车在美国组装的高档suv最早将于2021年底以vantas品牌销售和提供服务。    据双方签署的技术合作协议，va</t>
  </si>
  <si>
    <t>2020/02/14 11:18:00</t>
  </si>
  <si>
    <t>　　据美国汽车新闻网报道美国汽车销售商汉姆控股公司（haah automotive holdings）表示，其已经与中国奇瑞汽车达成了北美分销协议。　　haah在一份声明中表示，奇瑞汽车在美国组装的高档suv最早将于2021年底以vantas品牌销售和提供服务。　　据双方签署的技术合作协议，vant</t>
  </si>
  <si>
    <t>日前，一汽-大众suv coupe车型申报图曝光，根据其尾部标识来看，该车或将命名为探岳x（tayron x）。根据此前消息，新车计划在4月举行的北京车展首发，但因新冠肺炎疫情的影响，发布时间可能会有所变化。    外观方面，新车沿用了一汽-大众探岳的设计语言，车头部分基本与探岳保持一致，上中下三段</t>
  </si>
  <si>
    <t>2020/02/14 11:16:00</t>
  </si>
  <si>
    <t>　　日前，一汽-大众suv coupe车型申报图曝光，根据其尾部标识来看，该车或将命名为探岳x（tayron x）。根据此前消息，新车计划在4月举行的北京车展首发，但因新冠肺炎疫情的影响，发布时间可能会有所变化。　　外观方面，新车沿用了一汽-大众探岳的设计语言，车头部分基本与探岳保持一致，上中下三段</t>
  </si>
  <si>
    <t>　　近日，现代汽车发布了全新i20车型预告图，新车预计在今年3月的日内瓦车展上发布。作为亮点之一，全新i20不排除增加电动化的选择。　　从设计草图来看，全新一代现代i20采用了“sensuous sportiness ”（“性感的运动”）设计语言，大灯和led日间行车灯造型线条非常犀利，这和菲斯特以</t>
  </si>
  <si>
    <t>2020/02/14 11:15:00</t>
  </si>
  <si>
    <t>近日，现代汽车发布了全新i20车型预告图，新车预计在今年3月的日内瓦车展上发布。作为亮点之一，全新i20不排除增加电动化的选择。    从设计草图来看，全新一代现代i20采用了“sensuous sportiness ”（“性感的运动”）设计语言，大灯和led日间行车灯造型线条非常犀利，这和菲斯特以</t>
  </si>
  <si>
    <t>　　日前，新宝骏e300的内饰图发布，新车整体设计较为简洁，配备大尺寸液晶屏，搭载huawei hicar智慧互联解决方案，动力部分则配备39马力的驱动电机。　　 新车信息：　　三辐式多功能方向盘配合前方尺寸较大的全液晶悬浮式显示屏，并未配备中控液晶屏，空调出风口以及各功能实体按键造型简单，配备hu</t>
  </si>
  <si>
    <t>2020/02/14 11:14:00</t>
  </si>
  <si>
    <t>日前，新宝骏e300的内饰图发布，新车整体设计较为简洁，配备大尺寸液晶屏，搭载huawei hicar智慧互联解决方案，动力部分则配备39马力的驱动电机。     新车信息：    三辐式多功能方向盘配合前方尺寸较大的全液晶悬浮式显示屏，并未配备中控液晶屏，空调出风口以及各功能实体按键造型简单，配备</t>
  </si>
  <si>
    <t>　　据外媒报道，大众id. buzz量产版车型将于2022在德国实现小规模投产，并将在卡塔尔举行的世界杯期间正式亮相。对于大众来说，目前最让人头疼的莫过于为这款新车取名了，此前有消息透露称该车将命名为id.7，但是大众似乎还在纠结当中。　　大众id. buzz概念车　　目前已知的信息来看，新车将于2</t>
  </si>
  <si>
    <t>2020/02/14 11:11:00</t>
  </si>
  <si>
    <t>据外媒报道，大众id. buzz量产版车型将于2022在德国实现小规模投产，并将在卡塔尔举行的世界杯期间正式亮相。对于大众来说，目前最让人头疼的莫过于为这款新车取名了，此前有消息透露称该车将命名为id.7，但是大众似乎还在纠结当中。    大众id. buzz概念车    目前已知的信息来看，新车将</t>
  </si>
  <si>
    <t>　　近日，有海外网友在社交平台曝光了一张海外版新款大众途观的无伪装谍照。该车属于中期改款车型，外观上对比现款车型有所调整。　　根据曝光的谍照可以看到，新款途观的前脸作出了部分调整，其中前大灯组的造型设计更新成与第八代高尔夫相似的风格，同时前进气格栅样式以及大众logo也经过调整。由于雾灯已集成到前大</t>
  </si>
  <si>
    <t>2020/02/14 11:10:00</t>
  </si>
  <si>
    <t>近日，有海外网友在社交平台曝光了一张海外版新款大众途观的无伪装谍照。该车属于中期改款车型，外观上对比现款车型有所调整。    根据曝光的谍照可以看到，新款途观的前脸作出了部分调整，其中前大灯组的造型设计更新成与第八代高尔夫相似的风格，同时前进气格栅样式以及大众logo也经过调整。由于雾灯已集成到前大</t>
  </si>
  <si>
    <t>2016年6月购车，分别在2017年、2018年裂了两次，也换了两次。正在庆幸换好了，结果今天2020年2月12日，发现又裂了！第三次了，这质量，北现怎么解释？</t>
  </si>
  <si>
    <t>2020/02/14 11:09:00</t>
  </si>
  <si>
    <t>2020年1月31日正常行驶中，突然显示变速箱故障无倒挡，同时无偶数挡，车辆使用期间从无事故，按时4s店正常保养，看到网络上同样车型的同样故障情况不少，我认为是毫无疑问的质量问题，现在车辆停放在修理厂，不敢停在车库，因为没有倒挡也无法正常行驶！</t>
  </si>
  <si>
    <t>奥迪A7变速箱故障挡位缺失2020年1月31日正常行驶中，突然显示变速箱故障无倒挡，同时无偶数挡，车辆使用期间从无事故，按时4s店正常保养，看到网络上同样车型的同样故障情况不少，我认为是毫无疑问的质量问题，现在车辆停放在修理厂，不敢停在车库，因为没有倒挡也无法正常行驶！</t>
  </si>
  <si>
    <t>索纳塔九真皮座椅开裂质量不行呀2016年6月购车，分别在2017年、2018年裂了两次，也换了两次。正在庆幸换好了，结果今天2020年2月12日，发现又裂了！第三次了，这质量，北现怎么解释？</t>
  </si>
  <si>
    <t>雪铁龙C4L行驶跑偏行驶过程中不安全过稍微颠簸路或过减速带，方向盘都要向左歪然后车辆跑偏，高速左拐弯倾斜路面需要把方向盘往右打5-8度才能顺利过弯，如果把方向盘扶正，车子会一直往左跑偏。18年12月份4s店给予索赔更换了方向机总成，但是问题依然未能根治，依旧往左跑偏。现在厂家与4s店一致称车子无问题</t>
  </si>
  <si>
    <t>2020/02/14 11:08:00</t>
  </si>
  <si>
    <t>过稍微颠簸路或过减速带，方向盘都要向左歪然后车辆跑偏，高速左拐弯倾斜路面需要把方向盘往右打5-8度才能顺利过弯，如果把方向盘扶正，车子会一直往左跑偏。18年12月份4s店给予索赔更换了方向机总成，但是问题依然未能根治，依旧往左跑偏。现在厂家与4s店一致称车子无问题，不予解决。</t>
  </si>
  <si>
    <t>　　在今年1月10日开幕的2020东京改装展上，丰田发布了全新yaris的高性能版本―gr yaris。如今，丰田将继续推出gr c-hr，该车作为c-hr的高性能版本，将搭载与gr yaris同款的1.6t三缸涡轮增压发动机，最大能够提供272匹马力。据悉，该车最快将于2021年问世，主要竞争对手</t>
  </si>
  <si>
    <t>在今年1月10日开幕的2020东京改装展上，丰田发布了全新yaris的高性能版本—gr yaris。如今，丰田将继续推出gr c-hr，该车作为c-hr的高性能版本，将搭载与gr yaris同款的1.6t三缸涡轮增压发动机，最大能够提供272匹马力。据悉，该车最快将于2021年问世，主要竞争对手有大</t>
  </si>
  <si>
    <t>L3电液模块损坏 故障灯亮个不停比亚迪L3这车小毛病不多，出个问题就是大的。2019年1月份变速箱异响，开去4s店检查漏油导致变速箱坏，坏了就修吧，维修师傅说修不了需要换变速箱总成需要8000多，那还不一定能完事还要检查离合器和电液模块是否可以正常使用，如果不行就要花更多，加上工时可能会在15000</t>
  </si>
  <si>
    <t>2020/02/14 11:07:00</t>
  </si>
  <si>
    <t>凌轩悬挂故障厂家不解决呀长安凌轩悬挂故障导致车子变形，售后不管，我提出更换车架子不给换，同意第三方鉴定后，要求我在协议上写明我自己去外面找修理厂维修。</t>
  </si>
  <si>
    <t>比亚迪L3这车小毛病不多，出个问题就是大的。2019年1月份变速箱异响，开去4s店检查漏油导致变速箱坏，坏了就修吧，维修师傅说修不了需要换变速箱总成需要8000多，那还不一定能完事还要检查离合器和电液模块是否可以正常使用，如果不行就要花更多，加上工时可能会在15000-16000元，听完报价实在接受</t>
  </si>
  <si>
    <t>　　近日，工信部公布了最新一批的新车申报目录，海马6p名列其中，该车是继海马8s插混后旗下第二款插电式混合动力车型，新车动力总成由一台1.2t发动机 混动系统组成。　　从申报图来看，海马6p基本沿袭了海马s5燃油车的造型设计，诸如熟悉的犀利的分体式前大灯、回旋镖式尾灯等设计元素，也都很好的融入到了新</t>
  </si>
  <si>
    <t>2020/02/14 11:06:00</t>
  </si>
  <si>
    <t>猎豹CS10变速箱漏油密封性差2016年7月21日，从曲靖4S店买了一台猎豹CS10，到2017年1月10日做首保的时候，发现变速箱漏油属于质量问题。经过多次协商，换了一套变速箱总成，到今天为止，期间到4S店多次，仍为解决漏油问题！同一个部件油管经多次更换任然漏油，方向机油管也更换过至今仍然漏油。多</t>
  </si>
  <si>
    <t>近日，工信部公布了最新一批的新车申报目录，海马6p名列其中，该车是继海马8s插混后旗下第二款插电式混合动力车型，新车动力总成由一台1.2t发动机 混动系统组成。    从申报图来看，海马6p基本沿袭了海马s5燃油车的造型设计，诸如熟悉的犀利的分体式前大灯、回旋镖式尾灯等设计元素，也都很好的融入到了新</t>
  </si>
  <si>
    <t>2016年7月21日，从曲靖4S店买了一台猎豹CS10，到2017年1月10日做首保的时候，发现变速箱漏油属于质量问题。经过多次协商，换了一套变速箱总成，到今天为止，期间到4S店多次，仍为解决漏油问题！同一个部件油管经多次更换任然漏油，方向机油管也更换过至今仍然漏油。多次出现发动机故障灯报警！因质量</t>
  </si>
  <si>
    <t>广汽传祺GS5下雨时车顶上有水迹，以前是一点水印，现在越来越多，也没有发现天窗那里漏水，也没当回事，这个车的质量真让人堪忧，希望能给我解决这个问题。</t>
  </si>
  <si>
    <t>传祺GS5车顶漏水怎么处理质量让人堪忧广汽传祺GS5下雨时车顶上有水迹，以前是一点水印，现在越来越多，也没有发现天窗那里漏水，也没当回事，这个车的质量真让人堪忧，希望能给我解决这个问题。</t>
  </si>
  <si>
    <t>　　近日，我们从国家工信部获取了一组东风启辰t90的1.5t车型的申报信息，这款1.5t发动机最大可以输出177马力，百公里综合油耗为6.1升。　　1.5t版的新启辰t90采用了和2.0l车型相同的外观设计，它的前脸设计语言很丰富，和日产的v-motion设计语言有些类似，它的进气格栅的周围采用了一</t>
  </si>
  <si>
    <t>2020/02/14 11:05:00</t>
  </si>
  <si>
    <t>近日，我们从国家工信部获取了一组东风启辰t90的1.5t车型的申报信息，这款1.5t发动机最大可以输出177马力，百公里综合油耗为6.1升。    1.5t版的新启辰t90采用了和2.0l车型相同的外观设计，它的前脸设计语言很丰富，和日产的v-motion设计语言有些类似，它的进气格栅的周围采用了一</t>
  </si>
  <si>
    <t>上汽荣威Ei5遥控器无法解锁，有时候会提示小电瓶电压低。最近没出门停了10天，今天用遥控器和app都无法解锁车辆。才半年小电瓶就不行，电瓶质量太差。</t>
  </si>
  <si>
    <t>荣威Ei5遥控器无法解锁车开不了了上汽荣威Ei5遥控器无法解锁，有时候会提示小电瓶电压低。最近没出门停了10天，今天用遥控器和app都无法解锁车辆。才半年小电瓶就不行，电瓶质量太差。</t>
  </si>
  <si>
    <t>　　近日，一汽奔腾官方公布了最新的产品规划，该公司将于年内推出包括中型纯电动suv、两厢掀背轿车以及小型suv在内的三款新车。　　从我们最新获取的工信部申报信息来看，内部代号为c105的中型纯电动suv或将命名为奔腾e01。据悉，该车将是一汽奔腾首款纯电动车型，外观上高度还原了概念车的设计，搭载最大</t>
  </si>
  <si>
    <t>2020/02/14 11:04:00</t>
  </si>
  <si>
    <t>近日，一汽奔腾官方公布了最新的产品规划，该公司将于年内推出包括中型纯电动suv、两厢掀背轿车以及小型suv在内的三款新车。    从我们最新获取的工信部申报信息来看，内部代号为c105的中型纯电动suv或将命名为奔腾e01。据悉，该车将是一汽奔腾首款纯电动车型，外观上高度还原了概念车的设计，搭载最大</t>
  </si>
  <si>
    <t>北京现代领动变速箱加速无力故障灯亮，严重缺失动力！当地4S店说变速箱坏了。</t>
  </si>
  <si>
    <t>北京现代领动车速达到80码以上方向发生像胶粘一样，严重影响行车安全，希望厂家给予维修或者部件换新。</t>
  </si>
  <si>
    <t>领动高速行驶转向有卡顿的现象北京现代领动车速达到80码以上方向发生像胶粘一样，严重影响行车安全，希望厂家给予维修或者部件换新。</t>
  </si>
  <si>
    <t>领动变速箱加速无力动力不行了北京现代领动变速箱加速无力故障灯亮，严重缺失动力！当地4S店说变速箱坏了。</t>
  </si>
  <si>
    <t>CR-V发动机机油增多厂家就不管呀东风本田CR-V，发动机机油增多有汽油味，要求延保发动机。</t>
  </si>
  <si>
    <t>2020/02/14 11:03:00</t>
  </si>
  <si>
    <t>现代领动发动机不起火北京现代领动正常使用发动机无法启动，车子一直在开，第二天就很难启动。要求厂家解决好车辆的问题。</t>
  </si>
  <si>
    <t>北京现代领动正常使用发动机无法启动，车子一直在开，第二天就很难启动。要求厂家解决好车辆的问题。</t>
  </si>
  <si>
    <t>东风本田CR-V，发动机机油增多有汽油味，要求延保发动机。</t>
  </si>
  <si>
    <t>广汽本田雅阁变速箱有漏油的现象，昨天去保养，突然看见变速箱渗油漏油。希望广汽本田给个解决方案。</t>
  </si>
  <si>
    <t>2020/02/14 11:02:00</t>
  </si>
  <si>
    <t>雅阁变速箱漏油应该怎么处理？广汽本田雅阁变速箱有漏油的现象，昨天去保养，突然看见变速箱渗油漏油。希望广汽本田给个解决方案。</t>
  </si>
  <si>
    <t>因疫情影响，2月9日，上汽MAXUS通过线上直播形式召开了以“聚力逐变，势赢未来”为主题的2020营销商务年会，与来自全国的经销商伙伴共同回顾总结2019年的得与失，展望2020年发展目标和规划。    2019年，上汽MAXUS全年总销量再创新高，达到120,017台，同比增长42.85%，其中，</t>
  </si>
  <si>
    <t>2020/02/14 11:01:00</t>
  </si>
  <si>
    <t>变速箱在换挡的时候顿挫感很强烈，后轮悬挂发出异响，刹车的时候也会发出异响，中控屏幕有时间也会突然卡死。要求厂家解决好车辆的问题。</t>
  </si>
  <si>
    <t>东南DX3发动机故障灯常亮，要求厂家解决好车辆的问题。</t>
  </si>
  <si>
    <t>东南DX3发动机故障灯亮了起来质量不行呀东南DX3发动机故障灯常亮，要求厂家解决好车辆的问题。</t>
  </si>
  <si>
    <t>缤越变速箱换挡顿挫质量不行呀变速箱在换挡的时候顿挫感很强烈，后轮悬挂发出异响，刹车的时候也会发出异响，中控屏幕有时间也会突然卡死。要求厂家解决好车辆的问题。</t>
  </si>
  <si>
    <t>　　因疫情影响，2月9日，上汽MAXUS通过线上直播形式召开了以“聚力逐变，势赢未来”为主题的2020营销商务年会，与来自全国的经销商伙伴共同回顾总结2019年的得与失，展望2020年发展目标和规划。　　2019年，上汽MAXUS全年总销量再创新高，达到120,017台，同比增长42.85%，其中，</t>
  </si>
  <si>
    <t>投诉编号：【447174】投诉时间：2020-02-1411:00投诉品牌：东风本田投诉车系：杰德投诉车型：2017款210TURBOCVT风尚版5座投诉内容上次保养完加的机油到油尺上下线格中间位置，近期查看时发现机油增多到油尺上限格位置了，测量时间为早晨冷车时，希望厂家可以安排工作人员尽快解决。投</t>
  </si>
  <si>
    <t>2020/02/14 11:00:00</t>
  </si>
  <si>
    <t>据海外媒体报道，宝马与俄罗斯政府关于工厂建设补贴的谈判失败之后，宣布将放弃该计划。    就新工厂可为俄罗斯经济带来的促进作用方面，宝马未能与俄罗斯政府达成一致意见，因此宝马未能争取到满意的补贴水平。    当前，宝马在俄罗斯的合作伙伴阿维托托尔（Avtotor）负责用进口的半拆件套装制造宝马3系和</t>
  </si>
  <si>
    <t>　　据海外媒体报道，宝马与俄罗斯政府关于工厂建设补贴的谈判失败之后，宣布将放弃该计划。　　就新工厂可为俄罗斯经济带来的促进作用方面，宝马未能与俄罗斯政府达成一致意见，因此宝马未能争取到满意的补贴水平。　　当前，宝马在俄罗斯的合作伙伴阿维托托尔（Avtotor）负责用进口的半拆件套装制造宝马3系和5系</t>
  </si>
  <si>
    <t>日前，海外媒体曝光了一组大众全新新能源SUV——ID.4路试谍照。新车是一款SUV车型，最大续航500公里。最新消息表示新车将推迟至6月份底特律车展发布，未来国产版将由一汽大众和上汽大众两家合资公司共同生产。    作为大众集团将在美国市场投放的首款ID系列纯电动车型ID.4将在美国Chattano</t>
  </si>
  <si>
    <t>2020/02/14 10:58:00</t>
  </si>
  <si>
    <t>　　日前，海外媒体曝光了一组大众全新新能源SUV――ID.4路试谍照。新车是一款SUV车型，最大续航500公里。最新消息表示新车将推迟至6月份底特律车展发布，未来国产版将由一汽大众和上汽大众两家合资公司共同生产。　　作为大众集团将在美国市场投放的首款ID系列纯电动车型ID.4将在美国Chattano</t>
  </si>
  <si>
    <t>乔大</t>
  </si>
  <si>
    <t>日前，海外媒体曝光一张全新悍马皮卡电动版的假想图，预计将在2022年正式发布。此前有消息称。该车在上市时或将提供单电机、双电机和三电机版本，其中三电机版本将拥有1000马力的最大功率，百公里加速仅为3秒。    从图片中可以看到，该车外观十分彪悍，前脸采用了经典的竖状设计，同时每个方格中还有HUMM</t>
  </si>
  <si>
    <t>2020/02/14 10:57:00</t>
  </si>
  <si>
    <t>　　日前，海外媒体曝光一张全新悍马皮卡电动版的假想图，预计将在2022年正式发布。此前有消息称。该车在上市时或将提供单电机、双电机和三电机版本，其中三电机版本将拥有1000马力的最大功率，百公里加速仅为3秒。　　从图片中可以看到，该车外观十分彪悍，前脸采用了经典的竖状设计，同时每个方格中还有HUMM</t>
  </si>
  <si>
    <t>近日，北汽蓝谷公布了北汽新能源1月产量销量快报。1月北汽新能源产量为1602辆，同比增长1028.17%，受新冠病毒疫情的影响，1月销量仅2006辆，同比下降55.54%。    2019年北汽新能源汽车销量尽管突破了15万辆，截止到2019年底，累计销售纯电动汽车50万台。但相比2018年仍然减少</t>
  </si>
  <si>
    <t>2020/02/14 10:56:00</t>
  </si>
  <si>
    <t>　　近日，北汽蓝谷公布了北汽新能源1月产量销量快报。1月北汽新能源产量为1602辆，同比增长1028.17%，受新冠病毒疫情的影响，1月销量仅2006辆，同比下降55.54%。　　2019年北汽新能源汽车销量尽管突破了15万辆，截止到2019年底，累计销售纯电动汽车50万台。但相比2018年仍然减少</t>
  </si>
  <si>
    <t>日前，小鹏汽车官方宣布，小鹏融资租赁、中国银行、平安银行三家合作服务机构在疫情期间推出延迟还款政策，主要面向因疫情原因不能按时或足额还款的医护系统人员、疫情相关患者、受疫情影响耽误还款的小鹏g3车主，该政策可根据车主的实际情况给予延期还款、减免罚息、征信保护等还款保障服务。此次延迟还款政策的推出，主</t>
  </si>
  <si>
    <t>2020/02/14 10:55:00</t>
  </si>
  <si>
    <t>　　日前，小鹏汽车官方宣布，小鹏融资租赁、中国银行、平安银行三家合作服务机构在疫情期间推出延迟还款政策，主要面向因疫情原因不能按时或足额还款的医护系统人员、疫情相关患者、受疫情影响耽误还款的小鹏g3车主，该政策可根据车主的实际情况给予延期还款、减免罚息、征信保护等还款保障服务。此次延迟还款政策的推出</t>
  </si>
  <si>
    <t>第三代奥迪r8已进入研发阶段，一项重大的改变便是采用电动化的动力单元，audi sport部门负责人oliver hoffmann表示，关于下一代r8车型的平台以及技术虽尚无定论，但为满足全球排放法规，电气化是一条必经之路。图片为奥迪pb18 e-tron概念车    可以预测的是，电气化必然将增加</t>
  </si>
  <si>
    <t>2020/02/14 10:54:00</t>
  </si>
  <si>
    <t>　　第三代奥迪r8已进入研发阶段，一项重大的改变便是采用电动化的动力单元，audi sport部门负责人oliver hoffmann表示，关于下一代r8车型的平台以及技术虽尚无定论，但为满足全球排放法规，电气化是一条必经之路。图片为奥迪pb18 e-tron概念车　　可以预测的是，电气化必然将增加</t>
  </si>
  <si>
    <t>2020/02/14 10:53:15</t>
  </si>
  <si>
    <t>投诉编号：【447168】
投诉时间： 2020-02-14 10:25
投诉品牌： 北京现代
投诉车系： 途胜
投诉车型： 2018款 1.6T 双离合 两驱 15周年特别版</t>
  </si>
  <si>
    <t>　　前几天的直播过程中有很多网友都在问“15万左右推荐什么车型？”，当时也有很多人提议购买本田缤智、xr-v、大众探影这类空间充足、实用性强的小型suv。相信在疫情结束之后，大多数人会考虑到出行的私密性，15万级车型的售卖会变得更加火热，那么既然作为品牌专家，这里除了推荐小型suv当然也有更专业观点</t>
  </si>
  <si>
    <t>2020/02/14 10:52:00</t>
  </si>
  <si>
    <t>您好，我想咨询一下：吉利帝豪，和比亚迪秦该怎么选择，主要想看口碑和油耗方面。</t>
  </si>
  <si>
    <t>2020/02/14 10:51:19</t>
  </si>
  <si>
    <t>投诉编号：【447171】投诉时间：2020-02-1410:45投诉品牌：吉利汽车投诉车系：缤越投诉车型：2019款260TDCT游侠国VI运动款投诉内容变速箱在换挡的时候顿挫感很强烈，后轮悬挂发出异响，刹车的时候也会发出异响，中控屏幕有时间也会突然卡死。要求厂家解决好车辆的问题。投诉回复车质网已</t>
  </si>
  <si>
    <t>2020/02/14 10:45:00</t>
  </si>
  <si>
    <t>　　轿跑SUV如今已经自成一派，成为SUV车型中的一个重要组成部分。而这个细分市场的“鼻祖”当数宝马X6，如今全新宝马X6已经完成换代。面对越来越多的后来者，全新X6有哪些本事当好“守擂者”？下面咱们就一块来看看。　　一、外观：继往开来，攻击性更强　　二、内饰：豪华感提升，科技感领先　　三、科技与娱</t>
  </si>
  <si>
    <t>　　自从官方发布了全新奔驰gls官图后很多人都有所关注，全尺寸suv的特点是什么想必大家心中都有数，体格大、排量大、空间大，这些都是它优于其它车型的地方，作为奔驰旗舰型suv这次的变化是由内而外的，那么它的竞争力和产品力如何我们慢慢道来。  外观竞争力　　从外观看来全新奔驰gls依旧延续着家族化设计</t>
  </si>
  <si>
    <t>2020/02/14 10:44:00</t>
  </si>
  <si>
    <t>　　放眼国内豪华大型suv市场，bba中奔驰gle和宝马x5已陆续更新，奥迪q7也即将迎来新款车型。届时，三款车型再次站在同一起跑线上，新一轮较量将开始。与“老对手”相比，临近上市的新款q7又将拥有怎样的表现呢？能否改变现有格局呢？下面我们一一分析。    细节分胜负　　通过车身尺寸对比，可以看出新</t>
  </si>
  <si>
    <t>2020/02/14 10:43:00</t>
  </si>
  <si>
    <t>2019年的汽车市场依然是在火热的竞争，每家车企都在用尽全力，去吸引更多消费者。今天，我们就给大家盘点5款2019年的热门车型。宝马3系2019年全新改款的宝马三系已经是热门车里绕不过的话题。从刚上市就吸引一众目光。更豪华的车内氛围，更舒适的驾驶体验，不变的依然是宝马精准的操控。除了更年轻运动化的外</t>
  </si>
  <si>
    <t>无码无码</t>
  </si>
  <si>
    <t>经常听到一些车友炫耀，说“我的纯电动车在过红绿灯的时候又秒了几辆传统的汽油车”，“那辆豪华品牌的SUV起步都不够纯电车快”，之类的话。有电机辅助的车型的优势就是起步快、扭矩足，然而却有个弊端，那就是：不擅长用来跑长途。因为纯电车一般在极寒的天气或者当时速超过100km/h之后，电机工作时所消耗的电量</t>
  </si>
  <si>
    <t>新司机小心了，这几类车一般人都驾驭不了经常听到一些车友炫耀，说“我的纯电动车在过红绿灯的时候又秒了几辆传统的汽油车”，“那辆豪华品牌的SUV起步都不够纯电车快”，之类的话。有电机辅助的车型的优势就是起步快、扭矩足，然而却有个弊端，那就是：不擅长用来跑长途。因为纯电车一般在极寒的天气或者当时速超过10</t>
  </si>
  <si>
    <t>盘点2019年5款热门轿车，有你喜欢的2019年的汽车市场依然是在火热的竞争，每家车企都在用尽全力，去吸引更多消费者。今天，我们就给大家盘点5款2019年的热门车型。宝马3系2019年全新改款的宝马三系已经是热门车里绕不过的话题。从刚上市就吸引一众目光。更豪华的车内氛围，更舒适的驾驶体验，不变的依然</t>
  </si>
  <si>
    <t>在合资品牌SUV市场，20万元左右是主力的区间，多数车型已经在该细分市场征战了多年。那么销量最高的是哪几款，它们又各有什么特色呢？今天就带大家分析一下。01大众途观2019年销量：249,457辆同比变化：-12.5%途观L售价：21.88万-31.18万元优惠幅度：3.5万元左右在20万元左右的S</t>
  </si>
  <si>
    <t>2020/02/14 10:42:00</t>
  </si>
  <si>
    <t>近年来，合资品牌为了利润最大化，抢起了自主品牌的“饭碗”，很多合资品牌汽车已经降到了10万元以内。虽然苦了不少自主品牌，但这对咱们消费者来说可是好事。现在，不到8万左右就能买到一款可靠、经济的合资车了。别克英朗指导价：11.59-14.39万元（终端参考价 ：7-10万元）不是说好的8万左右吗？怎么</t>
  </si>
  <si>
    <t>20万元左右合资SUV，为何这4款销量最高？在合资品牌SUV市场，20万元左右是主力的区间，多数车型已经在该细分市场征战了多年。那么销量最高的是哪几款，它们又各有什么特色呢？今天就带大家分析一下。01大众途观2019年销量：249,457辆同比变化：-12.5%途观L售价：21.88万-31.18万</t>
  </si>
  <si>
    <t>8万买合资车，这四款省油又可靠近年来，合资品牌为了利润最大化，抢起了自主品牌的“饭碗”，很多合资品牌汽车已经降到了10万元以内。虽然苦了不少自主品牌，但这对咱们消费者来说可是好事。现在，不到8万左右就能买到一款可靠、经济的合资车了。别克英朗指导价：11.59-14.39万元（终端参考价 ：7-10万</t>
  </si>
  <si>
    <t>我们知道，中国传统文化中有着“以大为美”的审美观念，因此在手握一定预算的前提下，大部分中国人都偏向买尺寸更大的车，而SUV又是乘用车中最容易把尺寸做大，同时又是当下最受欢迎的汽车构型。在今年也就是2020年，国内车市将会有不少大尺寸SUV上市或有希望引进，下面就看看这些SUV有没有你喜欢的吧！上汽通</t>
  </si>
  <si>
    <t>2020/02/14 10:40:00</t>
  </si>
  <si>
    <t>前段时间，有朋友准备预算16-18万左右买车，原以为他是想买台配置不错的合资紧凑级车，没想到他打算买台B级车，看了一圈之后，发现这个预算有点尴尬，于是就将预算上浮了一些，18-20万，结果发现平时看似很多车型可选的B级车，具体到20万内能落地的就寥寥无几了，加上朋友身高超过1.8米，家庭成员的平均海</t>
  </si>
  <si>
    <t>价格都曝光了？这些马上来的热门SUV看了不亏我们知道，中国传统文化中有着“以大为美”的审美观念，因此在手握一定预算的前提下，大部分中国人都偏向买尺寸更大的车，而SUV又是乘用车中最容易把尺寸做大，同时又是当下最受欢迎的汽车构型。在今年也就是2020年，国内车市将会有不少大尺寸SUV上市或有希望引进，</t>
  </si>
  <si>
    <t>最终跳不出这几台，20万落地想选台B级车前段时间，有朋友准备预算16-18万左右买车，原以为他是想买台配置不错的合资紧凑级车，没想到他打算买台B级车，看了一圈之后，发现这个预算有点尴尬，于是就将预算上浮了一些，18-20万，结果发现平时看似很多车型可选的B级车，具体到20万内能落地的就寥寥无几了，加</t>
  </si>
  <si>
    <t>2020年跌3万、5万、10万的车型合集2019年车市遇冷，在2020年，车市将继续受到寒流的波及和影响，消费需求本就低迷，现如今又受疫情影响，第一季度车市将出现明显下滑，而降价依旧是2020年车企品牌的“秘密武器”。今天我们就来预测一下，这些热门车型和品牌，2020年降幅将会维持在多少上下。帕萨特</t>
  </si>
  <si>
    <t>2020/02/14 10:39:00</t>
  </si>
  <si>
    <t>在一个盛夏的黄昏，我接到了舅舅的电话：“小北，广州的指标太难摇了，我打算把家里那台老现代给报废了，腾出指标买新车，你的工作和汽车沾边，问问你现在买什么车好？”“报废掉怪可惜的，要不我帮你迁回老家吧”“这样吧，你迁回去后这车以后就你开吧”就是这样，我拥有了人生的第一辆车。这是一台04年出厂上牌的北京现</t>
  </si>
  <si>
    <t>2019年车市遇冷，在2020年，车市将继续受到寒流的波及和影响，消费需求本就低迷，现如今又受疫情影响，第一季度车市将出现明显下滑，而降价依旧是2020年车企品牌的“秘密武器”。今天我们就来预测一下，这些热门车型和品牌，2020年降幅将会维持在多少上下。帕萨特、迈锐宝、探界者、蒙迪欧等车型预计三万上</t>
  </si>
  <si>
    <t>老铁 不要再“盲目”地买车了在一个盛夏的黄昏，我接到了舅舅的电话：“小北，广州的指标太难摇了，我打算把家里那台老现代给报废了，腾出指标买新车，你的工作和汽车沾边，问问你现在买什么车好？”“报废掉怪可惜的，要不我帮你迁回老家吧”“这样吧，你迁回去后这车以后就你开吧”就是这样，我拥有了人生的第一辆车。这</t>
  </si>
  <si>
    <t>　　2020年的情人节比往年来的更冷淡一些，往年的情人节，男方都在想方设法给女方制造惊喜，今年，虽然不知道你是否还在Plus版的假期中，出个门都有可能会被门口的保安拦着。这个时候计划选购爱车和Ta出去浪的你，心中怕是已经按捺不住了。　　今天就给大家推荐一款适合情侣出行的潮流座驾----丰田C-HR，</t>
  </si>
  <si>
    <t>张青云</t>
  </si>
  <si>
    <t>2020/02/14 10:38:00</t>
  </si>
  <si>
    <t>前两期介绍的二手车主要以实用性为主，可玩性和车辆档次并不是很高，对于一些喜欢玩车或者有商务需求的朋友来说，有些不太适合，那么本期我们一起来看看8-10万价位都有什么好玩有排面的二手车值得买。如果你是个私营业主，经常需要见一些客户，开个雨燕或者福克斯多多少少看起来都有些不合适，8-10万可以考虑201</t>
  </si>
  <si>
    <t>相比于此前“大秀肌肉”的时代，2019年算是行业上演“比惨大会”的一年，超半数企业开启震荡模式，一部分车企被迫开始转型，这对于刚刚起步的自主品牌而言，不仅仅机会不多，而且还面临当下生死考验。最近网上一张图，很能说明问题。某不知出处的销量统计图最近吸引眼球，其统计出中国市场中跌幅超50%汽车品牌，虽然</t>
  </si>
  <si>
    <t>8-10万值得买的二手车推荐前两期介绍的二手车主要以实用性为主，可玩性和车辆档次并不是很高，对于一些喜欢玩车或者有商务需求的朋友来说，有些不太适合，那么本期我们一起来看看8-10万价位都有什么好玩有排面的二手车值得买。如果你是个私营业主，经常需要见一些客户，开个雨燕或者福克斯多多少少看起来都有些不合</t>
  </si>
  <si>
    <t>2019年销量最差排名：标致还能再降相比于此前“大秀肌肉”的时代，2019年算是行业上演“比惨大会”的一年，超半数企业开启震荡模式，一部分车企被迫开始转型，这对于刚刚起步的自主品牌而言，不仅仅机会不多，而且还面临当下生死考验。最近网上一张图，很能说明问题。某不知出处的销量统计图最近吸引眼球，其统计出</t>
  </si>
  <si>
    <t>　　说起韩国车，你最先想到的是什么？如果是我，一定是配置、颜值和性价比。今天我们就来聊聊一款韩国车，去年年底刚上市的全新北京现代ix25。北京现代ix25是一款小型SUV车型，还记得早年间，这个细分市场上的合资品牌并不是很多，且大部分市场份额都被自主品牌占据着。　　而现在，小型SUV细分市场中，合资</t>
  </si>
  <si>
    <t>2020/02/14 10:37:00</t>
  </si>
  <si>
    <t>买车前，跟老婆好好保证一定要开上多少多少年，结果中途反悔狂打自己脸。所以买车时，保值率就成为了一个重要的参考因素。想象一下，开了5年的车拿到二手车市场还能卖到当初售价的70%甚至更高，是不是会庆幸自己买对了车？接下来，天涯君就为大家盘点一下那些5年过后保值率还在70%左右的车型。铃木吉姆尼吉姆尼有“</t>
  </si>
  <si>
    <t>保值率最高的五款车 五年才折损30%买车前，跟老婆好好保证一定要开上多少多少年，结果中途反悔狂打自己脸。所以买车时，保值率就成为了一个重要的参考因素。想象一下，开了5年的车拿到二手车市场还能卖到当初售价的70%甚至更高，是不是会庆幸自己买对了车？接下来，天涯君就为大家盘点一下那些5年过后保值率还在7</t>
  </si>
  <si>
    <t>　　天籁和雅阁作为日系中级家轿在国内市场一直保持着较高的热度，甚至在整个中级车市场同样极具代表性，被消费者贴上了省油、舒适、耐用等诸多标签，可以说在亚洲龙横空出世之前，这两款车和凯美瑞是不少预算在20万左右消费者的首选车型。那么，天籁和雅阁究竟各自有哪些特点？两者如何选择？今天我们就为大家详细对比。</t>
  </si>
  <si>
    <t>2020/02/14 10:34:00</t>
  </si>
  <si>
    <t>2020/02/14 10:33:43</t>
  </si>
  <si>
    <t>投诉编号：【447169】
投诉时间： 2020-02-14 10:31
投诉品牌： 东南汽车
投诉车系： 东南DX3
投诉车型： 2019款 1.5L 手动 豪华型 国VI</t>
  </si>
  <si>
    <t>　　数据显示，1月新能源汽车产销预计分别完成4.0万辆和4.4万辆，同比分别下降55.4%和54.4%。其中，新能源乘用车产销预计完成3.5万辆和3.9万辆，同比分别下降56.3%和54.5%；新能源商用车产销预计均完成0.5万辆，同比分别下降37.4%和51.7%。　　对此，中汽协会副总工程师许海</t>
  </si>
  <si>
    <t>2020/02/14 10:32:00</t>
  </si>
  <si>
    <t>数据显示，1月新能源汽车产销预计分别完成4.0万辆和4.4万辆，同比分别下降55.4%和54.4%。其中，新能源乘用车产销预计完成3.5万辆和3.9万辆，同比分别下降56.3%和54.5%；新能源商用车产销预计均完成0.5万辆，同比分别下降37.4%和51.7%。    对此，中汽协会副总工程师许海</t>
  </si>
  <si>
    <t>　　2019财年的前三季度，日产汽车的净收入为7.5073万亿日元，同比跌幅为12.5%；经营利润为543亿日元，同比下跌82.7%；经营利润率从上一财年同期的3.7%下降至0.7%；净收益大跌87.6%至393亿日元。（以3个月内平均汇率108.7日元/美元和121日元/欧元为基准计算）　　根据管</t>
  </si>
  <si>
    <t>Ramy</t>
  </si>
  <si>
    <t>2020/02/14 10:31:00</t>
  </si>
  <si>
    <t>2019财年的前三季度，日产汽车的净收入为7.5073万亿日元，同比跌幅为12.5%；经营利润为543亿日元，同比下跌82.7%；经营利润率从上一财年同期的3.7%下降至0.7%；净收益大跌87.6%至393亿日元。（以3个月内平均汇率108.7日元/美元和121日元/欧元为基准计算）    根据管</t>
  </si>
  <si>
    <t>投诉编号：【447170】  投诉时间： 2020-02-14 10:31  投诉品牌： 奇瑞汽车  投诉车系： 艾瑞泽5  投诉车型： 2017款 1.5L 手动 领潮版        投诉内容  出现新故障昨日车辆出现右侧倒车雷达误报警（有视频凭证，看截图），之前已经索赔更换个两次，同样故障有坏</t>
  </si>
  <si>
    <t>　　又到了J.D.Power发布年度汽车可靠性排行榜的日子。从去年的7月到11月，J.D.Power对36,555名2017款车型的车主进行调查，主要调查车主在过去的一年中遇到的问题。品牌的整体可靠性是由每100辆车出现的问题数量（PP100）决定，也就是说问题越少，车辆越可靠。　　根据J.D.Po</t>
  </si>
  <si>
    <t>2020/02/14 10:27:00</t>
  </si>
  <si>
    <t>又到了J.D.Power发布年度汽车可靠性排行榜的日子。从去年的7月到11月，J.D.Power对36,555名2017款车型的车主进行调查，主要调查车主在过去的一年中遇到的问题。品牌的整体可靠性是由每100辆车出现的问题数量（PP100）决定，也就是说问题越少，车辆越可靠。    根据J.D.Po</t>
  </si>
  <si>
    <t>据外媒报道，无人机巨头大疆（DJI）的子公司Livox在2020年CES展上公布了两款新型高性能、低成本、大众市场激光雷达传感器的价格，虽然这两款传感器早于2019年1月就首次亮相了。不过，该公司在此次才提供了更多有关其独特激光雷达扫描模式如何工作的信息。    传统的激光雷达传感器使用水平线性扫描</t>
  </si>
  <si>
    <t>2020/02/14 10:25:00</t>
  </si>
  <si>
    <t>　　据外媒报道，无人机巨头大疆（DJI）的子公司Livox在2020年CES展上公布了两款新型高性能、低成本、大众市场激光雷达传感器的价格，虽然这两款传感器早于2019年1月就首次亮相了。不过，该公司在此次才提供了更多有关其独特激光雷达扫描模式如何工作的信息。　　传统的激光雷达传感器使用水平线性扫描</t>
  </si>
  <si>
    <t>据外媒报道，日产汽车公司为欧洲疲惫不堪的服务提供了一种无忧解决方案，可以为严重依赖“dream driving”（开车哄孩子入睡）神奇效果来哄孩子入睡的父母提供帮助。日产推出了全球首个零排放催眠曲专辑日产聆风Dream Drive，由日产工程师与声音设计师和睡眠教练Tom Middleton合作创造</t>
  </si>
  <si>
    <t>2020/02/14 10:24:00</t>
  </si>
  <si>
    <t>　　据外媒报道，日产汽车公司为欧洲疲惫不堪的服务提供了一种无忧解决方案，可以为严重依赖“dream driving”（开车哄孩子入睡）神奇效果来哄孩子入睡的父母提供帮助。日产推出了全球首个零排放催眠曲专辑日产聆风Dream Drive，由日产工程师与声音设计师和睡眠教练Tom Middleton合作</t>
  </si>
  <si>
    <t xml:space="preserve">据外媒报道，当地时间2月13日，迪拜道路交通运输管理局（RTA）宣布，利用形磁共振技术（Shaped Magnetic Field in Resonance，SMFIR）成功对运行中的电动汽车和公交车进行了动态无线充电测试。今后，迪拜的电动公交车和电动汽车可以在路上边行驶边充电了。图片来源：RTA </t>
  </si>
  <si>
    <t>2020/02/14 10:23:00</t>
  </si>
  <si>
    <t>　　据外媒报道，当地时间2月13日，迪拜道路交通运输管理局（RTA）宣布，利用形磁共振技术（Shaped Magnetic Field in Resonance，SMFIR）成功对运行中的电动汽车和公交车进行了动态无线充电测试。今后，迪拜的电动公交车和电动汽车可以在路上边行驶边充电了。图片来源：RT</t>
  </si>
  <si>
    <t>2020/02/14 10:21:17</t>
  </si>
  <si>
    <t>投诉编号：【447166】
投诉时间： 2020-02-14 10:17
投诉品牌： 上汽通用凯迪拉克
投诉车系： 凯迪拉克ATS-L
投诉车型： 2017款 28T 精英型</t>
  </si>
  <si>
    <t>　　不知道从什么时候开始，越来越多的车型在命名时都会加上“pro”或者“plus”，代表升级。事实上，我起初对这样的命名并不“感冒”，甚至觉得有点拗口，不过后来看多了也就习惯了。今天我们的车型pk就是“pro”和“plus”之争，它们分别是两款时下相当热门的中国品牌紧凑型suv：博越pro和长安cs</t>
  </si>
  <si>
    <t>陈海佣</t>
  </si>
  <si>
    <t>2020/02/14 10:20:00</t>
  </si>
  <si>
    <t>　　近年来国内suv产品销量持续增长，在中国品牌更有优势的15万元及以下细分市场中，供我们选择的车型不在少数。筛选后我们不难发现，这个价位中的一些兼顾颜值和综合实力的中型suv更是不错的实惠之选，它们有着更大的块头，颜值上也不逞多让，下面就来看看它们究竟是谁吧。　　这次我们海选的四款车型分别为比亚迪</t>
  </si>
  <si>
    <t>2020/02/14 10:11:00</t>
  </si>
  <si>
    <t>　　比起荷尔蒙过盛的欧洲对手，雷克萨斯ux的柔美形体和精致设计，所流露出的东方神韵使它犹如一股清流。虽然市场优惠不大，但品质有口皆碑，再加上纯进口的身份，还是吸引了不少年轻人的关注。其中最入门的雷克萨斯ux 260h 探・酷版是一款混动车型，指导价28.3万元。第二便宜的车型是搭载2.0l自然吸气发</t>
  </si>
  <si>
    <t>陶�轩</t>
  </si>
  <si>
    <t>2020/02/14 10:07:00</t>
  </si>
  <si>
    <t>激光雷达作为自动驾驶汽车的“眼睛”已经成为了核心部件，激光雷达公司更是产业链中的“香饽饽”。越来越多的车企在开发自动驾驶汽车时，总会选择与一家激光雷达公司建立深度绑定的合作关系，比如宝马和以色列激光雷达公司innoviz的合作就是典型。如今，一家中国车企也与innoviz达成了合作，后者也进一步巩固</t>
  </si>
  <si>
    <t>2020/02/14 10:04:00</t>
  </si>
  <si>
    <t xml:space="preserve">投诉编号：【447164】  投诉时间： 2020-02-14 10:04  投诉品牌： 广汽本田  投诉车系： 雅阁  投诉车型： 2016款 2.0L CVT  舒适版        投诉内容  广汽本田雅阁变速箱有漏油的现象，昨天去保养，突然看见变速箱渗油漏油。希望广汽本田给个解决方案。   </t>
  </si>
  <si>
    <t>　　激光雷达作为自动驾驶汽车的“眼睛”已经成为了核心部件，激光雷达公司更是产业链中的“香饽饽”。越来越多的车企在开发自动驾驶汽车时，总会选择与一家激光雷达公司建立深度绑定的合作关系，比如宝马和以色列激光雷达公司innoviz的合作就是典型。如今，一家中国车企也与innoviz达成了合作，后者也进一步</t>
  </si>
  <si>
    <t>　　雷诺 e诺于2019年9月在成都车展上正式上市，该车虽不属于让人眼前一亮的高颜值“小鲜肉”，但是其外观设计还是相对比价耐看的。但该车的最大亮点还是其价格，补贴后售价为6.18-7.18万元，不论是在合资还是国产纯电动小型suv中，都有着一定的优势。那么今天我们就从提车、保养、底盘浅析等方面，给大</t>
  </si>
  <si>
    <t>虽然在几年前已经推出，但是 Honda Accord 一直到了去年才进入东南亚市场，新一代的 Honda Accord 最大的不同之处就是全车系没有自然进气引擎，而这一点是之前的 Accord 前所未见的，而在我国市场，我们相信新一代 Accord 只有1.5L涡轮引擎可以选择！新一代的 Honda</t>
  </si>
  <si>
    <t>老许要老婆不</t>
  </si>
  <si>
    <t>2020/02/14 10:01:00</t>
  </si>
  <si>
    <t>2020值得期待新车  Honda Accord 大改款虽然在几年前已经推出，但是 Honda Accord 一直到了去年才进入东南亚市场，新一代的 Honda Accord 最大的不同之处就是全车系没有自然进气引擎，而这一点是之前的 Accord 前所未见的，而在我国市场，我们相信新一代 Acco</t>
  </si>
  <si>
    <t>雪铁龙很清楚设计美学对于消费者的吸引力，所以法国人在这方面下了不少赌注。第三代C3在上市三年后如期迎来了中期改款，尽管造型变化不大，但它在装备方面进行了升级。雪铁龙希望经过修改后的C3仍然能与雷诺Clio（第五代）和标致208（第二代）一较高下。2016年推出的第三代C32020年推出的中期改款C3</t>
  </si>
  <si>
    <t>2020/02/14 10:00:00</t>
  </si>
  <si>
    <t>不易察觉的中期改款 雪铁龙推出2020款新C3雪铁龙很清楚设计美学对于消费者的吸引力，所以法国人在这方面下了不少赌注。第三代C3在上市三年后如期迎来了中期改款，尽管造型变化不大，但它在装备方面进行了升级。雪铁龙希望经过修改后的C3仍然能与雷诺Clio（第五代）和标致208（第二代）一较高下。2016</t>
  </si>
  <si>
    <t>不知不觉，奥迪A3即将迎来它的第四代车型。奥迪官方宣布，3月3日全新一代奥迪A3将于日内瓦车展正式发布，率先推出两厢版车型。而让车迷最感兴趣的S3早于A3登场，于3月2日正式和大家见面，比较特别的是，这一代S3居然是一款两厢车型。国产版本的奥迪A3首台整车已于一汽-大众青岛工厂正式下线，4月量产，国</t>
  </si>
  <si>
    <t>2020/02/14 09:59:00</t>
  </si>
  <si>
    <t>豪华紧凑级车型的引领者终于换代了不知不觉，奥迪A3即将迎来它的第四代车型。奥迪官方宣布，3月3日全新一代奥迪A3将于日内瓦车展正式发布，率先推出两厢版车型。而让车迷最感兴趣的S3早于A3登场，于3月2日正式和大家见面，比较特别的是，这一代S3居然是一款两厢车型。国产版本的奥迪A3首台整车已于一汽-大</t>
  </si>
  <si>
    <t>近日，有国外媒体报道了关于特斯拉新申请的专利，新专利显示特斯拉将在汽车中用触摸屏的方式来取代传统的换挡杆。作为电动汽车领域的龙头，特斯拉的汽车一向以极简著称，在特斯拉最新的Model汽车中，特斯拉在整个驾驶区域仅保留了方向盘、换挡杆和中控大屏，而换挡杆恐怕也将在不久后取消。从曝光的专利图来看，特斯拉</t>
  </si>
  <si>
    <t>2020/02/14 09:58:00</t>
  </si>
  <si>
    <t>说起日产骐达，老司机们对它的评价几乎都为省油、耐用、好开。也正是凭借着这些优点，骐达在日系代步车市场中，极具知名度，并且民间口碑同样优秀。日前，我们于工信部新车申报目录中，发现了新款骐达的身影。并从申报信息中，发现新款骐达在外观方面也作出了不小的调整。动力上，仍然搭载1.6L自然吸气发动机，不过油耗</t>
  </si>
  <si>
    <t>日系代步王者新车来袭 油耗创新低说起日产骐达，老司机们对它的评价几乎都为省油、耐用、好开。也正是凭借着这些优点，骐达在日系代步车市场中，极具知名度，并且民间口碑同样优秀。日前，我们于工信部新车申报目录中，发现了新款骐达的身影。并从申报信息中，发现新款骐达在外观方面也作出了不小的调整。动力上，仍然搭载</t>
  </si>
  <si>
    <t>特斯拉新专利显示将在方向盘加入触摸屏近日，有国外媒体报道了关于特斯拉新申请的专利，新专利显示特斯拉将在汽车中用触摸屏的方式来取代传统的换挡杆。作为电动汽车领域的龙头，特斯拉的汽车一向以极简著称，在特斯拉最新的Model汽车中，特斯拉在整个驾驶区域仅保留了方向盘、换挡杆和中控大屏，而换挡杆恐怕也将在不</t>
  </si>
  <si>
    <t>2020/02/14 09:57:00</t>
  </si>
  <si>
    <t>名爵6 20T自动Trophy超级运动互联网版 四种车身颜色选择今天就给大家介绍2019款名爵6 20T自动Trophy超级运动互联网这款车！2019款名爵6 20T自动Trophy超级运动互联网外观方面采用Trophy专属的星辉骑盾格栅、伦敦眼全LED大灯、渐进式LED转向灯、Trophy专属徽标</t>
  </si>
  <si>
    <t>刚刚于10月底首发的全新一代高尔夫搭载了众多大众集团的最新技术，其中轻混动总成相当引人关注，虽然这套总成理论上并没有丰田油电混动那样复杂，但大众同样通过自己的技术达到了出色的油耗表现。近日，外媒放出了了一组历经近40分钟行驶33公里的油耗测试视频，测试中全新高尔夫1.5 eTSI车型，即1.5T发动</t>
  </si>
  <si>
    <t>2020/02/14 09:56:00</t>
  </si>
  <si>
    <t>雅马哈的MT-09在去年引进国内销售后算是开启了雅马哈在国内大排量多缸的大门，最近雅马哈率先从日本发布了2020款MT-09，这次的蓝色变得更深了。2020款主要改变的还是颜色上，蓝色是雅马哈的主打色也是雅马哈运动精神的体现，随着这几年雅马哈GP赛车的蓝色越来越深，20款MT-09的颜色也采用了雅马</t>
  </si>
  <si>
    <t>雅马哈在日本发布20款MT-09售价保持不变雅马哈的MT-09在去年引进国内销售后算是开启了雅马哈在国内大排量多缸的大门，最近雅马哈率先从日本发布了2020款MT-09，这次的蓝色变得更深了。2020款主要改变的还是颜色上，蓝色是雅马哈的主打色也是雅马哈运动精神的体现，随着这几年雅马哈GP赛车的蓝色</t>
  </si>
  <si>
    <t>全新高尔夫轻混动版百公里实测油耗仅4.4升刚刚于10月底首发的全新一代高尔夫搭载了众多大众集团的最新技术，其中轻混动总成相当引人关注，虽然这套总成理论上并没有丰田油电混动那样复杂，但大众同样通过自己的技术达到了出色的油耗表现。近日，外媒放出了了一组历经近40分钟行驶33公里的油耗测试视频，测试中全新</t>
  </si>
  <si>
    <t>　　日前，零部件供应商里卡多被中欧汽车技术中心（cevt）选中，将为后者提供关键的变速箱控制软件，该软件可供一款七速双离合变速箱使用，相关产品或将搭载于紧凑型suv车型中。值得一提的是，中欧汽车技术中心是一家位于瑞典的创新中心，致力于为吉利集团旗下各品牌研发移动出行方案。吉利星越　　里卡多这款控制软</t>
  </si>
  <si>
    <t>2020/02/14 09:55:00</t>
  </si>
  <si>
    <t>刚刚开幕的2019洛杉矶车展上，全新丰田2021款RAV4 Prime正式对外亮相。外观方面，2021款丰田RAV4 Prime与2019款丰田RAV4并没有太大的变化，还是继续保持了硬朗的造型和犀利的线条设计。但作为一款插电式混合动力车型，2021款丰田RAV4 Prime却在性能上全面提升，堪称</t>
  </si>
  <si>
    <t>日前，零部件供应商里卡多被中欧汽车技术中心（cevt）选中，将为后者提供关键的变速箱控制软件，该软件可供一款七速双离合变速箱使用，相关产品或将搭载于紧凑型suv车型中。值得一提的是，中欧汽车技术中心是一家位于瑞典的创新中心，致力于为吉利集团旗下各品牌研发移动出行方案。吉利星越    里卡多这款控制软</t>
  </si>
  <si>
    <t>史上最强RAV4 5.8秒破百刚刚开幕的2019洛杉矶车展上，全新丰田2021款RAV4 Prime正式对外亮相。外观方面，2021款丰田RAV4 Prime与2019款丰田RAV4并没有太大的变化，还是继续保持了硬朗的造型和犀利的线条设计。但作为一款插电式混合动力车型，2021款丰田RAV4 Pr</t>
  </si>
  <si>
    <t>　　近日，来自英国的赛车制造商lister在某社交媒体上发布了其最新的纯电动超跑效果图，这款纯电动超跑名为“storm ii”。据外媒报道storm ii将路特斯evija锁定为竞争对手，目前该车尚处于研发阶段，具体推出时间尚未公布。　　此次lister发布的效果图仅有车头斜侧角度和车身正侧角度两张</t>
  </si>
  <si>
    <t>2020/02/14 09:54:00</t>
  </si>
  <si>
    <t>近几年，丰田在我国汽车市场中的表现一直都非常不错。相比其他汽车市场，对于丰田人们总是有些偏爱的，尤其是经过全新TNGA平台架构打造而成的车型，更是受到了无数人的偏爱。不论是销量，还是口碑，它们都有着非常出色的表现，而我们今天要说的丰田雷凌也是如此。凭借着出众的颜值，实用的性能，雷凌也是直接从众多车型</t>
  </si>
  <si>
    <t>近日，来自英国的赛车制造商lister在某社交媒体上发布了其最新的纯电动超跑效果图，这款纯电动超跑名为“storm ii”。据外媒报道storm ii将路特斯evija锁定为竞争对手，目前该车尚处于研发阶段，具体推出时间尚未公布。    此次lister发布的效果图仅有车头斜侧角度和车身正侧角度两张</t>
  </si>
  <si>
    <t>实力颜值兼具 油耗仅4.1L近几年，丰田在我国汽车市场中的表现一直都非常不错。相比其他汽车市场，对于丰田人们总是有些偏爱的，尤其是经过全新TNGA平台架构打造而成的车型，更是受到了无数人的偏爱。不论是销量，还是口碑，它们都有着非常出色的表现，而我们今天要说的丰田雷凌也是如此。凭借着出众的颜值，实用的</t>
  </si>
  <si>
    <t>　　日前，路特斯针对疫情为国内消费者推出了关爱政策，包含有“无忧服务”、延长保修、免费更换空调滤芯等。　　官方宣布，对于名下车辆保修日期终止于2020年1月1日-3月31日（含当日）的车主，原厂整车保修将自原截止日期顺延3个月；整车保修延长时间内的车辆，享有原厂整车保修的各项完整权益。　　官方将会提</t>
  </si>
  <si>
    <t>2020/02/14 09:52:00</t>
  </si>
  <si>
    <t>日前，路特斯针对疫情为国内消费者推出了关爱政策，包含有“无忧服务”、延长保修、免费更换空调滤芯等。    官方宣布，对于名下车辆保修日期终止于2020年1月1日-3月31日（含当日）的车主，原厂整车保修将自原截止日期顺延3个月；整车保修延长时间内的车辆，享有原厂整车保修的各项完整权益。    官方将</t>
  </si>
  <si>
    <t>　　据外媒报道，特斯拉正在弗里蒙特建造一条试点电池生产线，并设计自己的设备生产电池。这将是特斯拉首次生产自己的电池。　　几个月来，一直有传言称，特斯拉正在为其电动车制造自己的电池。它首先在2019年5月收购了拥有电池技术的超级电容器制造商麦克斯韦尔(maxwell)，后来在年度股东大会上，首席执行官</t>
  </si>
  <si>
    <t>2020/02/14 09:51:00</t>
  </si>
  <si>
    <t>据外媒报道，特斯拉正在弗里蒙特建造一条试点电池生产线，并设计自己的设备生产电池。这将是特斯拉首次生产自己的电池。    几个月来，一直有传言称，特斯拉正在为其电动车制造自己的电池。它首先在2019年5月收购了拥有电池技术的超级电容器制造商麦克斯韦尔(maxwell)，后来在年度股东大会上，首席执行官</t>
  </si>
  <si>
    <t>人们常说初恋是最令人最难忘的，因为初恋最简单纯粹，也因为失去才懂得珍惜，其实在我看来，抛开恋爱本身，初恋最难忘还在于一个“初”字。事实上，我们初次经历的某件事情都会更难忘一些，第一次学会骑自行车、第一次领到工资，哪怕是第一次打架被揍得鼻青脸肿，因为它们建立起了我们对某件事情或事物的第一印象。回想几年</t>
  </si>
  <si>
    <t>“上汽奥迪”A7终于来了！可我还是高兴不起来人们常说初恋是最令人最难忘的，因为初恋最简单纯粹，也因为失去才懂得珍惜，其实在我看来，抛开恋爱本身，初恋最难忘还在于一个“初”字。事实上，我们初次经历的某件事情都会更难忘一些，第一次学会骑自行车、第一次领到工资，哪怕是第一次打架被揍得鼻青脸肿，因为它们建立</t>
  </si>
  <si>
    <t>如今越来越多的消费者选择购买一台豪华品牌车型，但是目前国内消费者的整体收入水平还没有达到多数人能够轻松负担得起一台豪华车型的水准，更何况，养车本身也是一个不小的数字，所以大多数人在买这类豪华车型之前都要先算一下自己是否能买得起这台车。今天我们就以奥迪A6L为例，来算一下年收入多少才能买得起这样一台车</t>
  </si>
  <si>
    <t>2020/02/14 09:50:00</t>
  </si>
  <si>
    <t>大家好，检车家老司机又和大家见面了，我是检车家芽兰豆，一名自带金箍棒和火眼金睛技能的检测师，任何大的小的事故车都逃不过我的火眼金睛。在茫茫二手车行业内斗智斗勇多年，虽受过质疑，受过嘲笑，但依然坚守着初心，只为在买车的曲折道路上为您保驾护航。芽兰豆我做二手车检测这么久，可以说是阅车无数，无论是高大上的</t>
  </si>
  <si>
    <t>6万买一辆大众高尔夫值吗？拆开仪表台，这台小钢炮让我一脸懵逼大家好，检车家老司机又和大家见面了，我是检车家芽兰豆，一名自带金箍棒和火眼金睛技能的检测师，任何大的小的事故车都逃不过我的火眼金睛。在茫茫二手车行业内斗智斗勇多年，虽受过质疑，受过嘲笑，但依然坚守着初心，只为在买车的曲折道路上为您保驾护航。</t>
  </si>
  <si>
    <t>购车前记得先算账，年入多少才能负担得起一台奥迪A6L呢？如今越来越多的消费者选择购买一台豪华品牌车型，但是目前国内消费者的整体收入水平还没有达到多数人能够轻松负担得起一台豪华车型的水准，更何况，养车本身也是一个不小的数字，所以大多数人在买这类豪华车型之前都要先算一下自己是否能买得起这台车。今天我们就</t>
  </si>
  <si>
    <t>　　日前，宾利官方发布全新gt跑车――bacalar车型的预告图，该车由宾利mulliner部门手工打造，将在3月3日开幕的2020日内瓦车展中首发。新车设计灵感来自exp 100 gt概念车，并采用限量形式发售。　　预告图向我们展示了这款gt跑车的车顶线条和尾部细节，其中车顶线条流畅呈溜背式设计，</t>
  </si>
  <si>
    <t>2020/02/14 09:49:00</t>
  </si>
  <si>
    <t>日前，宾利官方发布全新gt跑车——bacalar车型的预告图，该车由宾利mulliner部门手工打造，将在3月3日开幕的2020日内瓦车展中首发。新车设计灵感来自exp 100 gt概念车，并采用限量形式发售。    预告图向我们展示了这款gt跑车的车顶线条和尾部细节，其中车顶线条流畅呈溜背式设计，</t>
  </si>
  <si>
    <t>在国产三厢A级问世之前，奔驰CLA会是消费者最容易接触到的奔驰轿车，在此基础上其还附带纯进口姿态；对于品牌溢价一向过高的奔驰而言，能够将一辆进口轿车控制在二十几万起步实在是令人意外，可自2014年后，奔驰CLA就这么的存在了。一直以来，奔驰CLA受限于自身产品力问题虽销量不高但关注度却不低。对于部分</t>
  </si>
  <si>
    <t>2020/02/14 09:48:00</t>
  </si>
  <si>
    <t>二十几万也能买进口奔驰，溜背+无框车门，新款还带双屏内饰在国产三厢A级问世之前，奔驰CLA会是消费者最容易接触到的奔驰轿车，在此基础上其还附带纯进口姿态；对于品牌溢价一向过高的奔驰而言，能够将一辆进口轿车控制在二十几万起步实在是令人意外，可自2014年后，奔驰CLA就这么的存在了。一直以来，奔驰CL</t>
  </si>
  <si>
    <t>X1都已经降至20万出头了，还在买荣放CR-V？随着汽车市场的竞争变得越来越激烈，老百姓们买车也变得更加容易了起来。举一个很简单的例子，现在大部分品牌的车型价格都在下探，即使是豪华品牌旗下的车型，降价也是非常"凶猛"，因此对于很多人来说，如今这个买车时机是非常成熟的。而要说老百姓买车最看重的是什么，</t>
  </si>
  <si>
    <t>随着汽车市场的竞争变得越来越激烈，老百姓们买车也变得更加容易了起来。举一个很简单的例子，现在大部分品牌的车型价格都在下探，即使是豪华品牌旗下的车型，降价也是非常"凶猛"，因此对于很多人来说，如今这个买车时机是非常成熟的。而要说老百姓买车最看重的是什么，我觉得首当其冲的就是性价比了。仔细研究就会发现，</t>
  </si>
  <si>
    <t>　　无论出于刚需还是抱着有就比没有强的心态，现在越来越多的人会选择7座suv作为自己的家庭用车。但在有限的预算下，人们在这辆车的选择上还是会存在很大的分歧，到底是选一辆空间够大的，还是配置足够丰富的、亦或是选择一个豪华品牌呢？今天我们在30万左右的价格区间内，从紧凑型suv、中型suv和中大型suv</t>
  </si>
  <si>
    <t>2020/02/14 09:47:00</t>
  </si>
  <si>
    <t>2020/02/14 09:45:00</t>
  </si>
  <si>
    <t>今天说的这款车就是奥迪A7。去年11月底，2020款全新奥迪A7 Sportback 2.0T车型上市。值得一提的是，2020款全新奥迪A7 Sportback将奥迪A7的指导起售价下探至57.38万，45TFSI 专享型顶配车型也仅70.48万。在外观设计方面，2020款全新奥迪A7 Sportb</t>
  </si>
  <si>
    <t>女生眼中的“便宜车”，你知道有哪些吗？有人说，女生是天生的视觉天才，分辨口红却能一眼便知正红、砖红、姨妈红、珊瑚红、桃红色~。如果以车标区别哪些是豪华车，多数女生只知道奔驰、宝马、奥迪、路虎。车界恰好有一些反其道而行的高端豪华汽车，常常被误认为是廉价车。例如大众辉腾（已停产），售价区间在75.00-</t>
  </si>
  <si>
    <t>2020/02/14 09:44:00</t>
  </si>
  <si>
    <t>国产车质量太差，千万别买？这3款10多万的SUV，有100万的面子无论你是北漂、海漂、广漂，过年就是在参加大型集会式炫富活动，不需要反驳。So必须要体面，而且还要花最少的钱，就能让七大姑八大姨投来羡慕的表情，你除了学会“嘴炮”之外，还真的需要一台车。好啦，今天Sunny哥就跟您聊聊，15万级别自主品</t>
  </si>
  <si>
    <t>无论你是北漂、海漂、广漂，过年就是在参加大型集会式炫富活动，不需要反驳。So必须要体面，而且还要花最少的钱，就能让七大姑八大姨投来羡慕的表情，你除了学会“嘴炮”之外，还真的需要一台车。好啦，今天Sunny哥就跟您聊聊，15万级别自主品牌SUV，开回家谁更有面子？推荐一：长安CS75 PLUS推荐理由</t>
  </si>
  <si>
    <t>　　2020年2月13日下午，中国汽车工业协会（文中简称“中汽协会”）举办线上会议公布了1月份重点企业集团统计数据，数据显示，今年1月份，乘用车销量为161.4万辆，环比下降27.1%，同比下降20.2%。对于销量下滑的原因，中汽协会表示由于1月份受一些单位提前放假因素，因此有效工作日较少是今年1月</t>
  </si>
  <si>
    <t>2020/02/14 09:42:00</t>
  </si>
  <si>
    <t>2020年2月13日下午，中国汽车工业协会（文中简称“中汽协会”）举办线上会议公布了1月份重点企业集团统计数据，数据显示，今年1月份，乘用车销量为161.4万辆，环比下降27.1%，同比下降20.2%。对于销量下滑的原因，中汽协会表示由于1月份受一些单位提前放假因素，因此有效工作日较少是今年1月份产</t>
  </si>
  <si>
    <t>　　日前，有媒体从官方渠道获悉，长城汽车1月份的销量为80261辆，同比下滑28.6%，造成较大幅度下滑的原因为春节假期提前（1月份有效交付天数仅为17天）及疫情的影响。虽然长城汽车今年1月份的销量不如去年，但旗下哈弗suv依旧是中国suv领域中的销量冠军，且长城皮卡的市场占有率超过了45%。另一方</t>
  </si>
  <si>
    <t>2020/02/14 09:41:00</t>
  </si>
  <si>
    <t>日前，有媒体从官方渠道获悉，长城汽车1月份的销量为80261辆，同比下滑28.6%，造成较大幅度下滑的原因为春节假期提前（1月份有效交付天数仅为17天）及疫情的影响。虽然长城汽车今年1月份的销量不如去年，但旗下哈弗suv依旧是中国suv领域中的销量冠军，且长城皮卡的市场占有率超过了45%。另一方面，</t>
  </si>
  <si>
    <t>　　有媒体车获悉，受疫情影响，公安部正部署各地公安机关特别是交管部门，要针对疫情防控期间群众居家防疫、停车需求上升等实际情况，积极提请政府采取免费开放公共停车场、减免路侧停车收费等措施，并会同相关部门调整优化停车管理措施，最大限度满足群众的停车需求。　　日前，公安部下发《关于切实做好新冠肺炎疫情防控</t>
  </si>
  <si>
    <t>2020/02/14 09:39:00</t>
  </si>
  <si>
    <t>有媒体车获悉，受疫情影响，公安部正部署各地公安机关特别是交管部门，要针对疫情防控期间群众居家防疫、停车需求上升等实际情况，积极提请政府采取免费开放公共停车场、减免路侧停车收费等措施，并会同相关部门调整优化停车管理措施，最大限度满足群众的停车需求。    日前，公安部下发《关于切实做好新冠肺炎疫情防控</t>
  </si>
  <si>
    <t>　　随着排放法规的日趋严苛，汽车电动化已经成为不争的事实，尤其是自主品牌车企，转型尤为积极。而反观大多数国外车企，相比之下都要慢半拍，豪华品牌更是如此，奥迪、奔驰直至去年才在国内市场完成首款纯电动车型的投放。而老对手宝马虽说入场较早，但现如今与无法与它们平起平坐了，这不禁有些令人唏嘘。但以宝马的技术</t>
  </si>
  <si>
    <t>2020/02/14 09:38:00</t>
  </si>
  <si>
    <t>随着排放法规的日趋严苛，汽车电动化已经成为不争的事实，尤其是自主品牌车企，转型尤为积极。而反观大多数国外车企，相比之下都要慢半拍，豪华品牌更是如此，奥迪、奔驰直至去年才在国内市场完成首款纯电动车型的投放。而老对手宝马虽说入场较早，但现如今与无法与它们平起平坐了，这不禁有些令人唏嘘。但以宝马的技术实力</t>
  </si>
  <si>
    <t>投诉编号：【447161】  投诉时间： 2020-02-14 09:37  投诉品牌： 一汽-大众奥迪  投诉车系： 奥迪Q5  投诉车型： 2011款 2.0TFSI  自动 舒适型        投诉内容  奥迪Q5变速箱故障无倒挡及偶数挡，变速箱故障，无倒挡，无偶数挡。指定去上海检测维修，联</t>
  </si>
  <si>
    <t>2020/02/14 09:37:00</t>
  </si>
  <si>
    <t>　　受春节以及疫情因素影响，今年1月国内狭义乘用车销量同比降低21.5%，增速低于预期，各大车企正承受着巨大的压力。但有媒体从广汽本田官方获悉，广汽本田今年1月终端零售销量达到76,650辆，同比逆势增长1.1%，领先行业均值22.6%，为2020年的销量达成奠定了扎实的基础。而去年底上市的皓影正在</t>
  </si>
  <si>
    <t>2020/02/14 09:36:00</t>
  </si>
  <si>
    <t>受春节以及疫情因素影响，今年1月国内狭义乘用车销量同比降低21.5%，增速低于预期，各大车企正承受着巨大的压力。但有媒体从广汽本田官方获悉，广汽本田今年1月终端零售销量达到76,650辆，同比逆势增长1.1%，领先行业均值22.6%，为2020年的销量达成奠定了扎实的基础。而去年底上市的皓影正在逐渐</t>
  </si>
  <si>
    <t>　　在刚刚过去的2019年雪铁龙迎来了百岁生日，成为了一个百年老字号。在中国，雪铁龙是第一批合资车企，富康、爱丽舍、世嘉等车型让中国万千家庭实现了汽车梦。　　在东风集团和神龙公司的统一领导和指挥下，身处抗击疫情第一线的企业东风雪铁龙第一时间启动应急预案，并对各项工作及时作出调整。东风雪铁龙总经理任光</t>
  </si>
  <si>
    <t>2020/02/14 09:34:00</t>
  </si>
  <si>
    <t>在刚刚过去的2019年雪铁龙迎来了百岁生日，成为了一个百年老字号。在中国，雪铁龙是第一批合资车企，富康、爱丽舍、世嘉等车型让中国万千家庭实现了汽车梦。    在东风集团和神龙公司的统一领导和指挥下，身处抗击疫情第一线的企业东风雪铁龙第一时间启动应急预案，并对各项工作及时作出调整。东风雪铁龙总经理任光</t>
  </si>
  <si>
    <t>　　2月13日，吉利汽车控股有限公司（简称“吉利汽车”）公布了最新销量数据：1月份，吉利总销量达111,838辆，继续保持中国品牌乘用车销冠，其中博越、帝豪、帝豪gs、缤越4款车销量均过万辆。值得一提的是，尽管受春节假期以及疫情的影响，吉利在中国市场的终端销量仍然处于增长态势，使其市占率创下纪录新高</t>
  </si>
  <si>
    <t>2020/02/14 09:33:00</t>
  </si>
  <si>
    <t xml:space="preserve">2月13日，吉利汽车控股有限公司（简称“吉利汽车”）公布了最新销量数据：1月份，吉利总销量达111,838辆，继续保持中国品牌乘用车销冠，其中博越、帝豪、帝豪gs、缤越4款车销量均过万辆。值得一提的是，尽管受春节假期以及疫情的影响，吉利在中国市场的终端销量仍然处于增长态势，使其市占率创下纪录新高。 </t>
  </si>
  <si>
    <t>　　中汽协最新统计数据预计，受有效工作日减少和新冠肺炎疫情影响，2020年1月乘用车销量预计完成161.4万辆，同比、环比分别下降20.2%和27.1%。有媒体从广汽集团官方获悉：今年1月，广汽乘用车有限公司（广汽传祺）实现销售35,688辆，逆势同比增长5.29%，取得了开门红！其中，第二代传祺g</t>
  </si>
  <si>
    <t>2020/02/14 09:32:00</t>
  </si>
  <si>
    <t>中汽协最新统计数据预计，受有效工作日减少和新冠肺炎疫情影响，2020年1月乘用车销量预计完成161.4万辆，同比、环比分别下降20.2%和27.1%。有媒体从广汽集团官方获悉：今年1月，广汽乘用车有限公司（广汽传祺）实现销售35,688辆，逆势同比增长5.29%，取得了开门红！其中，第二代传祺gs4</t>
  </si>
  <si>
    <t>　　有媒体从中国汽车技术研究中心获悉，哪吒n01今年1月份上险量为1,025台，同比大幅增长262.19%，环比增长53.67%，仅次于蔚来es6和小鹏g3。接下来的3月份，哪吒第二款重磅车型哪吒u将上市。该车定位为a 级suv，预售价格区间为15万-21万元。　　在去年12月26日，哪吒u在哪吒汽</t>
  </si>
  <si>
    <t>2020/02/14 09:31:00</t>
  </si>
  <si>
    <t>投诉编号：【447160】投诉时间：2020-02-1409:31投诉品牌：上汽集团投诉车系：荣威RX5MAX投诉车型：2019款300TGI自动智能座舱豪华版投诉内容4s店在未告知我的情况下，把展车出售给我，我去4s店购车，明确提出不要展车，销售答应我，有现车，让我交钱，带我去看车，交完钱后情况却</t>
  </si>
  <si>
    <t>有媒体从中国汽车技术研究中心获悉，哪吒n01今年1月份上险量为1,025台，同比大幅增长262.19%，环比增长53.67%，仅次于蔚来es6和小鹏g3。接下来的3月份，哪吒第二款重磅车型哪吒u将上市。该车定位为a 级suv，预售价格区间为15万-21万元。    在去年12月26日，哪吒u在哪吒汽</t>
  </si>
  <si>
    <t>　　北汽集团在去年10月底整合了北京汽车与北汽新能源两个品牌产品及其他相关资源，正式推出了beijing品牌。beijing旗下现共有8款产品在售，涵盖轿车、suv以及新能源车，目前在售的车型中有使用家族最新的beijing作为命名方式。近日有媒体获取到了一组beijing全新suv――x7的详细信</t>
  </si>
  <si>
    <t>2020/02/14 09:30:00</t>
  </si>
  <si>
    <t>北汽集团在去年10月底整合了北京汽车与北汽新能源两个品牌产品及其他相关资源，正式推出了beijing品牌。beijing旗下现共有8款产品在售，涵盖轿车、suv以及新能源车，目前在售的车型中有使用家族最新的beijing作为命名方式。近日有媒体获取到了一组beijing全新suv——x7的详细信息，</t>
  </si>
  <si>
    <t>　　2020年一汽-大众大众品牌将挑战142.5万辆的销量目标，为此大众品牌将推出5款重磅车型，进一步扩大市场份额。其中包括探岳x、探岳gte、全新高尔夫（第八代）、中期改款cc以及cc shooting brake（以下简称猎装版），而其他的在售车型预计也会根据市场情况推出年度改款车型，不断完善产</t>
  </si>
  <si>
    <t>2020/02/14 09:28:00</t>
  </si>
  <si>
    <t>2020年一汽-大众大众品牌将挑战142.5万辆的销量目标，为此大众品牌将推出5款重磅车型，进一步扩大市场份额。其中包括探岳x、探岳gte、全新高尔夫（第八代）、中期改款cc以及cc shooting brake（以下简称猎装版），而其他的在售车型预计也会根据市场情况推出年度改款车型，不断完善产品力</t>
  </si>
  <si>
    <t>　　说起汉兰达一直是选购中型suv时绕不开的车型之一，甚至在前些日子和领导聊起汉兰达，畅销程度令人咋舌，目前经销商连试驾车都十分难提供，基本上就是到一台卖一台的节奏。虽然我上面说了汉兰达这么多好话，但是想必年轻的朋友是绝对不懈的，毕竟汉兰达中庸的外观、沉稳的内饰风格以及偏向家用的驾驶感受并不符合他们</t>
  </si>
  <si>
    <t>2020/02/14 09:26:00</t>
  </si>
  <si>
    <t>小编侃车第151期：一次说清！各级别买什么车好近期，很多网友都宅在家里不知道干点什么，要我说，不如看看各级别购买哪款车型合适，给自己订一个小目标，待不远的未来成功后，满怀欣喜提新车！本期小编侃车就来个一次说清，各级别推荐哪款车型合适，赶快来看看吧。</t>
  </si>
  <si>
    <t>2020/02/14 09:25:00</t>
  </si>
  <si>
    <t>近期，很多网友都宅在家里不知道干点什么，要我说，不如看看各级别购买哪款车型合适，给自己订一个小目标，待不远的未来成功后，满怀欣喜提新车！本期小编侃车就来个一次说清，各级别推荐哪款车型合适，赶快来看看吧。</t>
  </si>
  <si>
    <t>近日我们获取到上汽大通t60专项作业车的4款新车申报信息，其中包含两款工程车，一款勘察车和一款救险车，4款新车款均以上汽大通t60为基础改装而来。    两款工程车从外观来看最大的区别为货箱是否为封闭式，其中封闭式货箱车型采用短货箱版，长宽高分别为：5365mm，1900mm，2009mm。非封闭式</t>
  </si>
  <si>
    <t>　　近日我们获取到上汽大通t60专项作业车的4款新车申报信息，其中包含两款工程车，一款勘察车和一款救险车，4款新车款均以上汽大通t60为基础改装而来。　　两款工程车从外观来看最大的区别为货箱是否为封闭式，其中封闭式货箱车型采用短货箱版，长宽高分别为：5365mm，1900mm，2009mm。非封闭式</t>
  </si>
  <si>
    <t>紧凑型suv市场向来是主流车企的必争之地，比亚迪在这一领域祭出的是宋家族，其中2019款宋燃油版全系搭载型号为byd476zqa的1.5t涡轮增压发动机，官方售价区间7.98万-11.98万元。有媒体获得了一组新款比亚迪宋燃油版的图片和部分参数：新车搭载型号为byd476zqb的1.5t涡轮增压发动</t>
  </si>
  <si>
    <t>2020/02/14 09:23:00</t>
  </si>
  <si>
    <t>　　紧凑型suv市场向来是主流车企的必争之地，比亚迪在这一领域祭出的是宋家族，其中2019款宋燃油版全系搭载型号为byd476zqa的1.5t涡轮增压发动机，官方售价区间7.98万-11.98万元。有媒体获得了一组新款比亚迪宋燃油版的图片和部分参数：新车搭载型号为byd476zqb的1.5t涡轮增压</t>
  </si>
  <si>
    <t>近日，上汽通用公布了1月份销量数据，其中别克品牌销量达66,500辆。受到春节假期的影响，销量有所下滑但君威、英朗、昂科威及gl8车型销量均超过万辆。新型冠状病毒肺炎疫情在全国蔓延对汽车厂商的生产与销售均有一定的影响，为了更好的抗击疫情同时解决用户担忧，别克关怀推出了6大暖心举措。    1月份，别</t>
  </si>
  <si>
    <t>2020/02/14 09:22:00</t>
  </si>
  <si>
    <t>　　近日，上汽通用公布了1月份销量数据，其中别克品牌销量达66,500辆。受到春节假期的影响，销量有所下滑但君威、英朗、昂科威及gl8车型销量均超过万辆。新型冠状病毒肺炎疫情在全国蔓延对汽车厂商的生产与销售均有一定的影响，为了更好的抗击疫情同时解决用户担忧，别克关怀推出了6大暖心举措。　　1月份，别</t>
  </si>
  <si>
    <t>疫情当前，我国万众一心，共同阻击这场突发的灾难。皮卡企业更是心连心，各自承担起巨大的社会责任，向重灾区捐钱捐物、面对经销商推出减压政策、给消费者制定各种补贴、为用户启动爱心通道。    今年1月份，福田拓陆者皮卡工业销量达1818台，同比增长23.1%。该品牌在终端市场上抢占了更大的份额，市占率同比</t>
  </si>
  <si>
    <t>2020/02/14 09:21:00</t>
  </si>
  <si>
    <t>　　疫情当前，我国万众一心，共同阻击这场突发的灾难。皮卡企业更是心连心，各自承担起巨大的社会责任，向重灾区捐钱捐物、面对经销商推出减压政策、给消费者制定各种补贴、为用户启动爱心通道。　　今年1月份，福田拓陆者皮卡工业销量达1818台，同比增长23.1%。该品牌在终端市场上抢占了更大的份额，市占率同比</t>
  </si>
  <si>
    <t>有媒体从中国汽车技术研究中心获悉，小鹏汽车今年1月份上险量为1,073台，同比增长79.1%。在造车新势力上险量超过1,000台的车型中，小鹏g3位居第二。除g3之外，小鹏还将推出全新车型p7，该车将于今年4月份上市，竞争特斯拉国产model 3。    实际上，小鹏汽车2019年全年共销售16,6</t>
  </si>
  <si>
    <t>2020/02/14 09:20:00</t>
  </si>
  <si>
    <t>　　有媒体从中国汽车技术研究中心获悉，小鹏汽车今年1月份上险量为1,073台，同比增长79.1%。在造车新势力上险量超过1,000台的车型中，小鹏g3位居第二。除g3之外，小鹏还将推出全新车型p7，该车将于今年4月份上市，竞争特斯拉国产model 3。　　实际上，小鹏汽车2019年全年共销售16,6</t>
  </si>
  <si>
    <t>前段时间强制安装etc的事件屡禁不止，更是闹出了未安装etc就不让上高速的笑剧。然而，一波未平一波又起，国家现在又实行了新政来让各位车主安装etc。这究竟是怎么回事呢？    工业和信息化部装备工业发展中心发布关于调整《道路机动车辆产品准入审查要求》相关内容的通知（以下简称“《通知》”）。针对车辆生</t>
  </si>
  <si>
    <t>2020/02/14 09:18:00</t>
  </si>
  <si>
    <t>2019年，受到中国汽车市场大环境以及自主品牌崛起等影响，韩系车型销量出现了一定波动。但永远不要小瞧在中国市场中略显疲态的韩系车，在新技术、新产品不断导入的基础上，以现代、起亚为代表的韩系车在2020年或许会打一场翻身仗。有媒体通过梳理后发现，现代和起亚品牌将在2020年推出全新索纳塔、全新名图以及</t>
  </si>
  <si>
    <t>　　前段时间强制安装etc的事件屡禁不止，更是闹出了未安装etc就不让上高速的笑剧。然而，一波未平一波又起，国家现在又实行了新政来让各位车主安装etc。这究竟是怎么回事呢？　　工业和信息化部装备工业发展中心发布关于调整《道路机动车辆产品准入审查要求》相关内容的通知（以下简称“《通知》”）。针对车辆生</t>
  </si>
  <si>
    <t>　　2019年，受到中国汽车市场大环境以及自主品牌崛起等影响，韩系车型销量出现了一定波动。但永远不要小瞧在中国市场中略显疲态的韩系车，在新技术、新产品不断导入的基础上，以现代、起亚为代表的韩系车在2020年或许会打一场翻身仗。有媒体通过梳理后发现，现代和起亚品牌将在2020年推出全新索纳塔、全新名图</t>
  </si>
  <si>
    <t>瞄准月亮，即使迷失也是落于星辰之间。    如果按照广汽菲亚特克莱斯勒汽车有限公司（以下简称“广汽菲克”）官网上的时间来计算，2020年3月9日，广汽菲克将迎来十周年纪念日。    在汽车这个领域，百年车企、百年品牌比比皆是，十年实在算不得什么，但对于广汽菲克这家年轻的公司来说，却已是历经沧桑。这十</t>
  </si>
  <si>
    <t>2020/02/14 09:15:00</t>
  </si>
  <si>
    <t>　　瞄准月亮，即使迷失也是落于星辰之间。　　如果按照广汽菲亚特克莱斯勒汽车有限公司（以下简称“广汽菲克”）官网上的时间来计算，2020年3月9日，广汽菲克将迎来十周年纪念日。　　在汽车这个领域，百年车企、百年品牌比比皆是，十年实在算不得什么，但对于广汽菲克这家年轻的公司来说，却已是历经沧桑。这十年间</t>
  </si>
  <si>
    <t>牛莉</t>
  </si>
  <si>
    <t>日前，有海外媒体拍摄到了一组现代45概念车的测试谍照，虽然该车采用了高度伪装，但透过一些细节，我们依然能够判断出其真实身份。    从外观来看，整车造型与2019年法兰克福车展上亮相的45概念车非常接近，车身采用轿跑SUV设计风格，C柱倾斜角度达到了45度，视觉上看起来运动感十足。同时，封闭式轮毂造</t>
  </si>
  <si>
    <t>2020/02/14 09:14:00</t>
  </si>
  <si>
    <t>　　日前，有海外媒体拍摄到了一组现代45概念车的测试谍照，虽然该车采用了高度伪装，但透过一些细节，我们依然能够判断出其真实身份。　　从外观来看，整车造型与2019年法兰克福车展上亮相的45概念车非常接近，车身采用轿跑SUV设计风格，C柱倾斜角度达到了45度，视觉上看起来运动感十足。同时，封闭式轮毂造</t>
  </si>
  <si>
    <t>自2019年日内瓦车展亮相已有近一年的时间。在电动超跑的军备竞赛中，各大超跑新势力都在全力以赴。毕竟，如谁也不想失去世界首款全电动豪华超跑的名号，这次battista不仅承担着献礼宾尼法利纳90周年盛典的作用，而且正好赶上2020年日内瓦车展，经过一年时间，battista完成度如何了呢？    测</t>
  </si>
  <si>
    <t>2020/02/14 09:13:00</t>
  </si>
  <si>
    <t>　　自2019年日内瓦车展亮相已有近一年的时间。在电动超跑的军备竞赛中，各大超跑新势力都在全力以赴。毕竟，如谁也不想失去世界首款全电动豪华超跑的名号，这次battista不仅承担着献礼宾尼法利纳90周年盛典的作用，而且正好赶上2020年日内瓦车展，经过一年时间，battista完成度如何了呢？　　测</t>
  </si>
  <si>
    <t>近日，马自达中国公布了1月的销量数据，其中长安马自达销量达到13,424辆。虽然整体环比数据有所下降，但旗下主力车型马自达3自去年换代后销量逐月提升，已经连续3个月销量突破万辆（2019年11月-2020年1月）。suv方面，cx-5销量达到2,648辆。近期由于新型冠状病毒肺炎疫情在全国蔓延，各品</t>
  </si>
  <si>
    <t>2020/02/14 09:12:00</t>
  </si>
  <si>
    <t>　　近日，马自达中国公布了1月的销量数据，其中长安马自达销量达到13,424辆。虽然整体环比数据有所下降，但旗下主力车型马自达3自去年换代后销量逐月提升，已经连续3个月销量突破万辆（2019年11月-2020年1月）。suv方面，cx-5销量达到2,648辆。近期由于新型冠状病毒肺炎疫情在全国蔓延，</t>
  </si>
  <si>
    <t>　　近年来，很多朋友们都会看到一种现象，不论是科技数码产品还是汽车车型产品，都会以“某某plus”进行命名，其中这个“plus”可以最接地气的理解为升级版，而这种升级体现在包括：造型设计、性能、做工以及性价比等等众多方面。那么今天我们就来聊聊一款将于近期内上市的车型：长安逸动plus，来看一下它的这</t>
  </si>
  <si>
    <t>2020/02/14 09:10:00</t>
  </si>
  <si>
    <t>荣威RX5的变速箱还出问题吗？</t>
  </si>
  <si>
    <t>2020/02/14 09:08:11</t>
  </si>
  <si>
    <t>投诉编号：【447159】  投诉时间： 2020-02-14 09:07  投诉品牌： 郑州日产  投诉车系： 途达  投诉车型： 2020款 2.5L 自动 四驱 旗舰版        投诉内容  郑州日产途达停放一段时间后电瓶亏电，车辆停放3天以上电瓶失电致使无法启动，已发生3次。希望厂家可以</t>
  </si>
  <si>
    <t>2020/02/14 09:07:00</t>
  </si>
  <si>
    <t>　　又到了一年一度的情人节，虽然今年的情人节注定要被新型冠状病毒所打搅，但在这个充满爱的节日里，也不能失去浪漫爆棚的仪式感。车不仅作为出行的交通的工具，也是人类感情沟通的桥梁。今天，我们便为大家推荐几款在这个十分特殊的节日里，能营造浪漫氛围的车型，保证让您的女朋友乖乖束手就擒。　　奔驰长轴距A级轿车</t>
  </si>
  <si>
    <t>2020/02/14 09:06:00</t>
  </si>
  <si>
    <t>　　作为奔驰旗下的畅销车型之一，旗下c级中型轿车在2019年国内市场累计销量达到了154,614台，并超越同级对手宝马3系，且与销量冠军车型奥迪a4l不相上下。近日海外媒体曝光了一组奔驰全新c级路试谍照图，新车将于今年下半年正式亮相，并在明年春季率先登陆海外市场开售。　　动力方面，新车或将继续沿用现</t>
  </si>
  <si>
    <t>2020/02/14 09:05:00</t>
  </si>
  <si>
    <t>作为奔驰旗下的畅销车型之一，旗下c级中型轿车在2019年国内市场累计销量达到了154,614台，并超越同级对手宝马3系，且与销量冠军车型奥迪a4l不相上下。近日海外媒体曝光了一组奔驰全新c级路试谍照图，新车将于今年下半年正式亮相，并在明年春季率先登陆海外市场开售。    动力方面，新车或将继续沿用现</t>
  </si>
  <si>
    <t>瞄准年轻人的高颜值车型！汉兰达 VS 本田CR-V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汉兰达和本田CR-V各自的表现，看谁</t>
  </si>
  <si>
    <t>2020/02/14 09:03:00</t>
  </si>
  <si>
    <t>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汉兰达和本田CR-V各自的表现，看谁更受青睐！外观：内饰：动力：指标名称汉兰达本田CR</t>
  </si>
  <si>
    <t>年轻族的战场！31万级中型车是看着几款车就够了!现在的人们生活水平十分的高，生活水平高了手里有钱了买的车也自然不会差。可是总有人在买车的时候会比较喜欢攀比，但最好的不一定是最贵的，今天我们就来对比奔驰C级和宝马3系这两款车，看看哪款更适合你。外观：指标名称奔驰C级宝马3系长[mm]47844829宽</t>
  </si>
  <si>
    <t>2020/02/14 09:02:00</t>
  </si>
  <si>
    <t>　　保时捷于2018年11月推出最新一代911的carrera s和4s之后，于2019年7月扩展了基本车型的产品阵容。现在，保时捷正加班测试911 turbo和911 turbos，预计将在下月的日内瓦车展发布。　　据外媒透露，全新911 turbo与turbo s将共享一台3.8l水平对置六缸发</t>
  </si>
  <si>
    <t>保时捷于2018年11月推出最新一代911的carrera s和4s之后，于2019年7月扩展了基本车型的产品阵容。现在，保时捷正加班测试911 turbo和911 turbos，预计将在下月的日内瓦车展发布。    据外媒透露，全新911 turbo与turbo s将共享一台3.8l水平对置六缸发</t>
  </si>
  <si>
    <t>现在的人们生活水平十分的高，生活水平高了手里有钱了买的车也自然不会差。可是总有人在买车的时候会比较喜欢攀比，但最好的不一定是最贵的，今天我们就来对比奔驰C级和宝马3系这两款车，看看哪款更适合你。外观：指标名称奔驰C级宝马3系长[mm]47844829宽[mm]18101827高[mm]1457146</t>
  </si>
  <si>
    <t>90后最喜欢的几款车！几款主流10万级SUV油耗与舒适性大比拼！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奔腾X40和宝骏510</t>
  </si>
  <si>
    <t>2020/02/14 09:00:00</t>
  </si>
  <si>
    <t>日前，有外媒报道称，大众的id.家族将推出一款新的车型id.5。这款车或定位为一款中型车，甚至有可能成为帕萨特的继任者。而此前在洛杉矶车展上正式亮相的纯电动概念车id. space vizzion，或成为id.5的原型车。    从外观来看，id. space vizzion的整体造型更像是旅行车型</t>
  </si>
  <si>
    <t>　　日前，有外媒报道称，大众的id.家族将推出一款新的车型id.5。这款车或定位为一款中型车，甚至有可能成为帕萨特的继任者。而此前在洛杉矶车展上正式亮相的纯电动概念车id. space vizzion，或成为id.5的原型车。　　从外观来看，id. space vizzion的整体造型更像是旅行车型</t>
  </si>
  <si>
    <t>现在很多90后年轻人，已经加入到购车大军之中了，所以大家对于车型的要求，也变得非常严苛，为了能更好的迎合年轻用户的购车需要，很多车企就把全新的车型推出来，而且它们非常注重颜值、配置、动力方面的表现。今天我们就来看看奔腾X40和宝骏510各自的表现，看谁更受青睐！外观：内饰：动力：指标名称奔腾X40宝</t>
  </si>
  <si>
    <t>合资车十多万都没有独立悬挂？自主品牌：我最低五万就能搞定悬挂是很多消费者在购车时非常关注的一个点。在挑选汽车时，关于后悬挂我们一般会遇到两种：独立悬挂和非独立悬挂。顾名思义，独立悬挂是指两个后轮可以分开运动而互不干涉，非独立悬挂则意味着左右两个后轮连接在一起，一侧车轮的任何运动都会对另一侧车轮产生影</t>
  </si>
  <si>
    <t>2020/02/14 08:59:00</t>
  </si>
  <si>
    <t>悬挂是很多消费者在购车时非常关注的一个点。在挑选汽车时，关于后悬挂我们一般会遇到两种：独立悬挂和非独立悬挂。顾名思义，独立悬挂是指两个后轮可以分开运动而互不干涉，非独立悬挂则意味着左右两个后轮连接在一起，一侧车轮的任何运动都会对另一侧车轮产生影响。在实际驾驶过程中，假设后轴一侧车轮轧到坑洼或凸起等障</t>
  </si>
  <si>
    <t>日前，我们从上汽斯柯达官方获悉，新款昕锐和新款昕动将于2月17日正式上市。作为中期改款车型，新款昕锐和昕动外观变化明显，采用了最新家族设计语言，搭载了全新造型的大灯及尾灯组，更加时尚动感。动力方面，两款车搭载1.5l自然吸气发动机。    外观方面，新款昕锐/昕动可以说变化还是非常大的，家族最新设计</t>
  </si>
  <si>
    <t>2020/02/14 08:58:00</t>
  </si>
  <si>
    <t>特斯拉能否成为汽车市场的iPhone？华尔街曾押注这家电动汽车制造商的掌门人马斯克遭遇硬着陆，甚至可能破产。如今，如果股市是可信的，他已把整个世界踩在脚下。特斯拉是否会成为电动汽车领域的iPhone？或者在汽车业告别内燃发动机之际，马斯克的公司能否成为行业的电池和电动动力总成供应商中的主导者；或者无</t>
  </si>
  <si>
    <t>蔚来汽车的质量如何 看完蔚来ES8的生产过程你就明白了随着经济的不断发展和人们生活水平的逐步提高，以及各种政策和补贴的完善，买车对于现在的消费者来说，已经不是一件需要考虑很久的事情了。但对于一个普通家庭来说，如果让你拿出40万去买一辆纯电动汽车的话，还是需要去好好的权衡一下值不值的。颜值可能是最初吸</t>
  </si>
  <si>
    <t>　　日前，我们从上汽斯柯达官方获悉，新款昕锐和新款昕动将于2月17日正式上市。作为中期改款车型，新款昕锐和昕动外观变化明显，采用了最新家族设计语言，搭载了全新造型的大灯及尾灯组，更加时尚动感。动力方面，两款车搭载1.5l自然吸气发动机。　　外观方面，新款昕锐/昕动可以说变化还是非常大的，家族最新设计</t>
  </si>
  <si>
    <t>日前，有国内媒体曝光了一组新款吉利嘉际PHEV实车谍照，新车外观/内饰与现款保持一致，主要不同在于电池容量有所升级，预计纯电续航里程将高于现款的56km。    外观方面，新车仍采用现款车型设计，水滴涟漪前格栅已成为吉利标志性设计语言，并与两侧头灯相连接。车尾整体层次感十足，两侧硕大的尾灯中间配有粗</t>
  </si>
  <si>
    <t>　　日前，有国内媒体曝光了一组新款吉利嘉际PHEV实车谍照，新车外观/内饰与现款保持一致，主要不同在于电池容量有所升级，预计纯电续航里程将高于现款的56km。　　外观方面，新车仍采用现款车型设计，水滴涟漪前格栅已成为吉利标志性设计语言，并与两侧头灯相连接。车尾整体层次感十足，两侧硕大的尾灯中间配有粗</t>
  </si>
  <si>
    <t>随着经济的不断发展和人们生活水平的逐步提高，以及各种政策和补贴的完善，买车对于现在的消费者来说，已经不是一件需要考虑很久的事情了。但对于一个普通家庭来说，如果让你拿出40万去买一辆纯电动汽车的话，还是需要去好好的权衡一下值不值的。颜值可能是最初吸引你的原因，但最终让你决定入手的原因中，质量肯定是最重</t>
  </si>
  <si>
    <t>华尔街曾押注这家电动汽车制造商的掌门人马斯克遭遇硬着陆，甚至可能破产。如今，如果股市是可信的，他已把整个世界踩在脚下。特斯拉是否会成为电动汽车领域的iPhone？或者在汽车业告别内燃发动机之际，马斯克的公司能否成为行业的电池和电动动力总成供应商中的主导者；或者无人驾驶软件的巨头，机器人汽车车队的大脑</t>
  </si>
  <si>
    <t>配双边四出排气，最大功率333马力，全新高尔夫R谍照曝光近日，有海外媒体曝光了一组全新大众高尔夫R无伪谍照。新车在外观设计上与普通版有所不同，看起来更运动。据悉，新车预计将于2020年年底亮相。外观方面，新车前脸设计相比普通版车型要更具有攻击性。采用了全新的前包围设计，透露出象征运动的“R”精神。车</t>
  </si>
  <si>
    <t>2020/02/14 08:57:00</t>
  </si>
  <si>
    <t>20万内最好玩的车，这3款被称驾控一流，最后一款竟是国产随着社会的高速发展，人们的生活水平也变得越来越好，对于大多数人来说，汽车不再是奢侈品了，甚至以前想都不敢想的豪华品牌，国产后的价格都已经很亲民，并不是遥不可及。加上如今购车人群越来越年轻化的趋势，更多的年轻人希望在有限的预算里选一台拉风又好玩的</t>
  </si>
  <si>
    <t>日前有海外媒体报道，大众集团零部件公司和能源公司E.On联手向外界展示了一款便捷式充电设备，该设备自带一块超大容量电池，能够为电动车进行充电。便捷式充电桩集成度很高，能够实现即插即充，单枪最大充电功率可达150kW。    充电桩内的电池可以使用16A-63A的电流进行充电，由于自带电池，因此充电桩</t>
  </si>
  <si>
    <t>随着社会的高速发展，人们的生活水平也变得越来越好，对于大多数人来说，汽车不再是奢侈品了，甚至以前想都不敢想的豪华品牌，国产后的价格都已经很亲民，并不是遥不可及。加上如今购车人群越来越年轻化的趋势，更多的年轻人希望在有限的预算里选一台拉风又好玩的车。如果你也是一个个性十足的年轻人，手握20万左右的预算</t>
  </si>
  <si>
    <t>　　日前有海外媒体报道，大众集团零部件公司和能源公司E.On联手向外界展示了一款便捷式充电设备，该设备自带一块超大容量电池，能够为电动车进行充电。便捷式充电桩集成度很高，能够实现即插即充，单枪最大充电功率可达150kW。　　充电桩内的电池可以使用16A-63A的电流进行充电，由于自带电池，因此充电桩</t>
  </si>
  <si>
    <t>近日，有海外媒体曝光了一组全新大众高尔夫R无伪谍照。新车在外观设计上与普通版有所不同，看起来更运动。据悉，新车预计将于2020年年底亮相。外观方面，新车前脸设计相比普通版车型要更具有攻击性。采用了全新的前包围设计，透露出象征运动的“R”精神。车尾部分，新车配备了双边四出排气，其余部分并没有与普通版车</t>
  </si>
  <si>
    <t>东风本田日前宣布，旗下2020款xr-v正式上市，共包含7款车型，售价区间与老款车型一致，依然为12.79-17.59万元。2020款xr-v是一款年度改款车型，其整体设计延续了来款车型，仅对配置进行了调整。    据官方介绍，2020款xr-v整体设计延续老款车型，其长宽高依然为4328/1772</t>
  </si>
  <si>
    <t>2020/02/14 08:56:00</t>
  </si>
  <si>
    <t>阿斯顿·马丁Vantage敞篷版官图发布，将于二季度交付近日，从阿斯顿·马丁官方获得了其Vantage敞篷版车型官图发布。该车采用了轻巧的“Z”字折叠车顶机构，预计将于2020年第二季度正式交付。阿斯顿马丁 V12 Vantage阿斯顿马丁 V12 VantageVantage敞篷版车型与硬顶版在各</t>
  </si>
  <si>
    <t>　　东风本田日前宣布，旗下2020款xr-v正式上市，共包含7款车型，售价区间与老款车型一致，依然为12.79-17.59万元。2020款xr-v是一款年度改款车型，其整体设计延续了来款车型，仅对配置进行了调整。　　据官方介绍，2020款xr-v整体设计延续老款车型，其长宽高依然为4328/1772</t>
  </si>
  <si>
    <t>近日，从阿斯顿·马丁官方获得了其Vantage敞篷版车型官图发布。该车采用了轻巧的“Z”字折叠车顶机构，预计将于2020年第二季度正式交付。阿斯顿马丁 V12 Vantage阿斯顿马丁 V12 VantageVantage敞篷版车型与硬顶版在各方面表现将基本一致，但会提供一系列新的轮圈和颜色。而最为</t>
  </si>
  <si>
    <t>日前，Karma首席执行官Henrik Fisker在其Twitter上发布了一张可能被称为Fisker Alaska的电动皮卡尾部照片，并配文“Electric pick up!”，但这篇推文随后便被删除了。事后该公司的一位发言人表示这张图片发出纯属“无心之举”，但表示目前正在开发一个模块化电动汽</t>
  </si>
  <si>
    <t>2020/02/14 08:55:00</t>
  </si>
  <si>
    <t>丰田全新MPV亮相，商务性不输LM，价格却不到LM一半丰田MPV在海外和国内都是比较畅销的，不过之前丰田MPV的知名度并不算高，面临的竞争压力也是比较大的。比如五十铃、马自达的MPV，都是比丰田要更具有优势的。丰田MPV的多数车型都在本土和海外市场上市，再通过进口的方式销售到国内。丰田在原有的车型上</t>
  </si>
  <si>
    <t>　　日前，Karma首席执行官Henrik Fisker在其Twitter上发布了一张可能被称为Fisker Alaska的电动皮卡尾部照片，并配文“Electric pick up!”，但这篇推文随后便被删除了。事后该公司的一位发言人表示这张图片发出纯属“无心之举”，但表示目前正在开发一个模块化电</t>
  </si>
  <si>
    <t>丰田MPV在海外和国内都是比较畅销的，不过之前丰田MPV的知名度并不算高，面临的竞争压力也是比较大的。比如五十铃、马自达的MPV，都是比丰田要更具有优势的。丰田MPV的多数车型都在本土和海外市场上市，再通过进口的方式销售到国内。丰田在原有的车型上，不管充实自己的阵容，推出了新型柴油MPV，就是Gra</t>
  </si>
  <si>
    <t>2020/02/14 08:48:11</t>
  </si>
  <si>
    <t>投诉编号：【447157】
投诉时间： 2020-02-14 08:09
投诉品牌： 上汽集团
投诉车系： 荣威i6
投诉车型： 2017款 20T 自动 互联网智尊版</t>
  </si>
  <si>
    <t>已经是第二次车子好端端停在那里电瓶没电了，第一次是一个晚上，到店里检查无果，这次是停了3天，，到底从什么时候开始没电不清楚，打电话给销售经理小路没用，她说解决不了，还询问是不是自己哪个开关没关导致漏电，不要忘记了虽然顾客不是上帝，但是出了问题我们用户又多无助，车子有质量问题不是推卸这里就是那里。</t>
  </si>
  <si>
    <t>2020/02/14 08:42:00</t>
  </si>
  <si>
    <t>名爵的电瓶问题为什么会这么普遍？已经是第二次车子好端端停在那里电瓶没电了，第一次是一个晚上，到店里检查无果，这次是停了3天，，到底从什么时候开始没电不清楚，打电话给销售经理小路没用，她说解决不了，还询问是不是自己哪个开关没关导致漏电，不要忘记了虽然顾客不是上帝，但是出了问题我们用户又多无助，车子有质</t>
  </si>
  <si>
    <t>2020.1.12早上6:42车辆停放在北京市海淀区22号，车辆停放一夜后发生自燃，起火位置是主驾驶室座椅下发生自燃，室内严重烧毁，消防支队调取视频监控后排除外因并出具一份火灾事故认定书：起火原因为电气线路故障导致！我于2017.11月在北京上汽丰华4s店购买车辆，4s店售后经理曾到现场勘察，车辆还</t>
  </si>
  <si>
    <t>2020/02/14 08:41:00</t>
  </si>
  <si>
    <t>帕萨特自燃怎么去处理？2020.1.12早上6:42车辆停放在北京市海淀区22号，车辆停放一夜后发生自燃，起火位置是主驾驶室座椅下发生自燃，室内严重烧毁，消防支队调取视频监控后排除外因并出具一份火灾事故认定书：起火原因为电气线路故障导致！我于2017.11月在北京上汽丰华4s店购买车辆，4s店售后经</t>
  </si>
  <si>
    <t>接到厂家召回升级信息，做完升级后出现发动机抖动，噪音大，油耗增加，动力下降，机油增加，变速箱异响等诸多问题。希望厂家可以安排工作人员尽快解决。</t>
  </si>
  <si>
    <t>2020/02/14 08:40:00</t>
  </si>
  <si>
    <t>郑州日产途达汽车停放三天电池亏电无法打火，充过电之后还是如此，希望厂家可以安排工作人员尽快解决。</t>
  </si>
  <si>
    <t>途达的电瓶问题确实是太普遍了郑州日产途达汽车停放三天电池亏电无法打火，充过电之后还是如此，希望厂家可以安排工作人员尽快解决。</t>
  </si>
  <si>
    <t>途胜升级后问题真的是太多了接到厂家召回升级信息，做完升级后出现发动机抖动，噪音大，油耗增加，动力下降，机油增加，变速箱异响等诸多问题。希望厂家可以安排工作人员尽快解决。</t>
  </si>
  <si>
    <t>以往，自主品牌的造车方向基本都是朝着居家实用做功，而近两年随着产品力的稳步提升并趋于稳定，自主品牌也开始了走上了高端领域的道路。其中为此创立新品牌的有长城旗下之WEY、吉利旗下之领克、奇瑞旗下之星途，当然也有沿用目前品牌的广汽传祺等等。这些车型的落地价基本已经达到了20万元，如果买一台合资车的话也能</t>
  </si>
  <si>
    <t>2020/02/14 08:39:00</t>
  </si>
  <si>
    <t>奇瑞艾瑞泽GX正常操作，买不到一年离合片就坏了，拒保。正常操作，2019年3月买的车，不到一年离合片烧坏，4s说是人为，拒赔。希望厂家可以安排工作人员尽快解决。</t>
  </si>
  <si>
    <t>我的车于2019年12月22日出现亏电，开去广西万博4s店检查，没检查出什么问题，然后把电池拆下来留在4s检测，几天后4s来电说电瓶没问题，说是导航的问题，叫去升级导航，然后也开去升级了。可是今天2020年2月13日又出现了亏电，春节期间我基本每天都用车，应该没有因为停太久导致亏电的情况。我想问一下</t>
  </si>
  <si>
    <t>离合器烧毁质保时间是多久？奇瑞艾瑞泽GX正常操作，买不到一年离合片就坏了，拒保。正常操作，2019年3月买的车，不到一年离合片烧坏，4s说是人为，拒赔。希望厂家可以安排工作人员尽快解决。</t>
  </si>
  <si>
    <t>自主造高端车 看完这些车你还想买合资吗？以往，自主品牌的造车方向基本都是朝着居家实用做功，而近两年随着产品力的稳步提升并趋于稳定，自主品牌也开始了走上了高端领域的道路。其中为此创立新品牌的有长城旗下之WEY、吉利旗下之领克、奇瑞旗下之星途，当然也有沿用目前品牌的广汽传祺等等。这些车型的落地价基本已经</t>
  </si>
  <si>
    <t>　　日前，编辑从相关渠道获得了一组日产全新奇骏路试谍照图，新车外观依旧采用了X-motion设计语言。根据外媒推测，新车将于明年中旬正式亮相。　　外观方面，新车造型与现款车型变化不大，继续采用了X-motion设计语言，前脸V字形镀铬饰条依旧宽大，给人以强烈的视觉冲击。新车尾部变化不大，依旧以圆润的</t>
  </si>
  <si>
    <t>日前，编辑从相关渠道获得了一组日产全新奇骏路试谍照图，新车外观依旧采用了X-motion设计语言。根据外媒推测，新车将于明年中旬正式亮相。    外观方面，新车造型与现款车型变化不大，继续采用了X-motion设计语言，前脸V字形镀铬饰条依旧宽大，给人以强烈的视觉冲击。新车尾部变化不大，依旧以圆润的</t>
  </si>
  <si>
    <t>电瓶亏电质保时间应该是多久？我的车于2019年12月22日出现亏电，开去广西万博4s店检查，没检查出什么问题，然后把电池拆下来留在4s检测，几天后4s来电说电瓶没问题，说是导航的问题，叫去升级导航，然后也开去升级了。可是今天2020年2月13日又出现了亏电，春节期间我基本每天都用车，应该没有因为停太</t>
  </si>
  <si>
    <t>东风悦达起亚焕驰离合器漏油无解决方案，希望厂家可以安排工作人员尽快解决。</t>
  </si>
  <si>
    <t>2020/02/14 08:38:00</t>
  </si>
  <si>
    <t>离合器漏油可以质保吗东风悦达起亚焕驰离合器漏油无解决方案，希望厂家可以安排工作人员尽快解决。</t>
  </si>
  <si>
    <t>一款车的油耗到底如何，是每一位消费者在购车时都会考虑的因素。而随着发动机技术的不断提升，如今不少车型的燃油经济表现都值得我们认可。部分车型的油耗甚至比混动车型还要低。这次笔者将给大家推荐四款油耗极低的家用车。它们的工信部百公里综合油耗均不超过6L，最低甚至低至4.9L。试问这样的家用车，你又有什么理</t>
  </si>
  <si>
    <t>2020/02/14 08:37:00</t>
  </si>
  <si>
    <t>上汽大众凌渡变速箱异响，一挡及二挡拖挡，变速箱异响，1挡2挡拖挡严重，1挡位消失直接2挡，</t>
  </si>
  <si>
    <t>千万别和这四款车比油耗 就算是混动车也未必斗得过一款车的油耗到底如何，是每一位消费者在购车时都会考虑的因素。而随着发动机技术的不断提升，如今不少车型的燃油经济表现都值得我们认可。部分车型的油耗甚至比混动车型还要低。这次笔者将给大家推荐四款油耗极低的家用车。它们的工信部百公里综合油耗均不超过6L，最低</t>
  </si>
  <si>
    <t>凌渡变速箱异响问题可以解决吗上汽大众凌渡变速箱异响，一挡及二挡拖挡，变速箱异响，1挡2挡拖挡严重，1挡位消失直接2挡，</t>
  </si>
  <si>
    <t>2020/02/14 08:36:00</t>
  </si>
  <si>
    <t>2018年10月4日购买的奇骏智联舒适版。自2020年1月18日开始，每次行使到30公里以上，踩油门时引擎盖内有类似于摩托车排气、风扇转动的声音（电锯声，共振声），声音随油门大小变化，油门越大，噪声越大，低速踩油门最明显，保养时石家庄两个4S店的师傅试车也发现此问题，肯定是异响，可能是左前轮轴承问题</t>
  </si>
  <si>
    <t>大家都知道，年轻人喜欢追求个性，而一款操控与舒适兼顾的运动型轿车，往往成为了年轻人的购车首选。正好前段时间我发现了几款落地价只需十万左右，且性价比颇高的运动型轿车。下面，就为大家逐一介绍一番。江淮嘉悦A5指导售价：8.48-11.58万元江淮嘉悦A5是一款江淮与江淮大众共线生产的首款掀背式轿车，该车</t>
  </si>
  <si>
    <t>加速时发动机舱异响2018年10月4日购买的奇骏智联舒适版。自2020年1月18日开始，每次行使到30公里以上，踩油门时引擎盖内有类似于摩托车排气、风扇转动的声音（电锯声，共振声），声音随油门大小变化，油门越大，噪声越大，低速踩油门最明显，保养时石家庄两个4S店的师傅试车也发现此问题，肯定是异响，可</t>
  </si>
  <si>
    <t>雷凌异味问题可以解决吗？之前已投诉，但是厂家2月10日给我回复，说联系我，到了2月13日，依然没有联系，怎么解决？如何解决？用了几年车，把我臭安逸了，血汗钱买来的车，你就用黑心棉敷衍老百姓。在这里，我郑重向厂家隔空喊话：你这样敷衍消费者，漠视群众利益，那我每天到这里来投诉，如果2月16日没有解决方案</t>
  </si>
  <si>
    <t>预算只有10万还想要运动？推荐四款高性价比车型大家都知道，年轻人喜欢追求个性，而一款操控与舒适兼顾的运动型轿车，往往成为了年轻人的购车首选。正好前段时间我发现了几款落地价只需十万左右，且性价比颇高的运动型轿车。下面，就为大家逐一介绍一番。江淮嘉悦A5指导售价：8.48-11.58万元江淮嘉悦A5是一</t>
  </si>
  <si>
    <t>随着人们生活质量的不断提高，大家对于车辆的要求也有了明显的上升。价格低自然能吸引消费者的关注，但如果没有一副大方得体的外观和内饰，恐怕也并不会有太多消费者会买账，毕竟汽车在一定程度上也是人们自身的一张重要名片。那在10万级的SUV中，会不会有那些既显得高档，同时也有较高性价比的产品呢？答案是肯定的。</t>
  </si>
  <si>
    <t>2020/02/14 08:34:00</t>
  </si>
  <si>
    <t>日前，国内媒体从相关渠道得到了宝沃全新BXi5的谍照。新车是基于宝沃BX5打造的纯电动版车型。据悉，NEDC综合续航里程或将达到401km。    外观方面，宝沃全新BXi5测试车前脸针对格栅做了伪装，贴纸风格为直瀑式，我们猜测新车的格栅将会延续品牌旗下首款纯电动车BXi7的环形蜂窝设计方案，与新能</t>
  </si>
  <si>
    <t>　　日前，国内媒体从相关渠道得到了宝沃全新BXi5的谍照。新车是基于宝沃BX5打造的纯电动版车型。据悉，NEDC综合续航里程或将达到401km。　　外观方面，宝沃全新BXi5测试车前脸针对格栅做了伪装，贴纸风格为直瀑式，我们猜测新车的格栅将会延续品牌旗下首款纯电动车BXi7的环形蜂窝设计方案，与新能</t>
  </si>
  <si>
    <t>十万级SUV就选这四款 性价比高之余还显有品位随着人们生活质量的不断提高，大家对于车辆的要求也有了明显的上升。价格低自然能吸引消费者的关注，但如果没有一副大方得体的外观和内饰，恐怕也并不会有太多消费者会买账，毕竟汽车在一定程度上也是人们自身的一张重要名片。那在10万级的SUV中，会不会有那些既显得高</t>
  </si>
  <si>
    <t>投诉编号：【447158】投诉时间：2020-02-1408:24投诉品牌：东风本田投诉车系：本田CR-V投诉车型：2019款240TURBOCVT两驱舒适版国V投诉内容东风本田CR-V，发动机机油增多有汽油味，要求延保发动机。投诉回复车质网已将您的投诉转给生产企业以及国家市场监督管理总局缺陷产品管</t>
  </si>
  <si>
    <t>2020/02/14 08:24:00</t>
  </si>
  <si>
    <t>奥迪S3换完B14绞牙避震之后行驶时出现异响？</t>
  </si>
  <si>
    <t>2020/02/14 08:11:56</t>
  </si>
  <si>
    <t>东风日产劲客整体的性价比及质量如何？</t>
  </si>
  <si>
    <t>2020/02/14 08:11:55</t>
  </si>
  <si>
    <t>机油乳化了，4S店换完，一个星期又乳化了，4S店说温度太低，跑的太近，容易乳化，我是早中晚，上班接孩子来回6趟，一趟就一公里多，车没热我就到地方了，就放那了，和我用车有关系吗？</t>
  </si>
  <si>
    <t>2020/02/14 08:08:27</t>
  </si>
  <si>
    <t>奇瑞和长城两家哪家的湿式双离合质量更稳定一些？</t>
  </si>
  <si>
    <t>专家您好！本人和4S店聊了不少问题，看上华晨宝马1系2.0领先运动版。销售告诉我1.5价格划算，我摇头因为它是三缸机，销售说问题不大，三缸机抖动只有启动的时候，开起来什么的不会抖动，请问我信销售吗？还有你觉得这款车怎么样呢？谢谢！</t>
  </si>
  <si>
    <t>2020/02/14 08:05:42</t>
  </si>
  <si>
    <t>您好，请问下致炫X和帝豪gs怎么选择呢，家用代步。帝豪gs故障率怎么样小毛病多么，真实油耗市区开能到多少</t>
  </si>
  <si>
    <t>2020/02/14 08:02:47</t>
  </si>
  <si>
    <t>猎豹CS10天窗异响，想找4S店换天窗，想问一下天窗质保时间是多久？</t>
  </si>
  <si>
    <t>2020/02/14 08:02:46</t>
  </si>
  <si>
    <t>为什么新买的车，车上前后玻璃日期不一样啊？</t>
  </si>
  <si>
    <t>您好，我想咨询一下比亚迪秦动力是不是太弱了，油耗怎么样。以及和长安逸动1.6自吸相比哪个更值得购买？</t>
  </si>
  <si>
    <t>2020/02/14 07:59:46</t>
  </si>
  <si>
    <t>我去年12月份刚买的车子，大概1月份中旬时候有次启动不了了，那时是停了5天，经销商说是停的太久了小电瓶跑电了，帮我解决了，这次是2月11号还开过的，12号没开，13号就启动不了了，就一天没开，怎么就这样了？我想问问这是不是车子存在质量问题呀？我该怎么办？</t>
  </si>
  <si>
    <t>2020/02/14 07:55:42</t>
  </si>
  <si>
    <t>　　日前，海外媒体曝光了一张林肯品牌全新纯电动SUV车型的渲染图。新车由林肯与Rivian品牌联手设计，并基于Rivian的skateboard纯电动平台打造，整体风格与林肯飞行家较为相似。据悉，该车或将于2022年正式亮相。　　根据此前的报道来看，由于Rivian品牌参与了该车的设计与研发，所以这</t>
  </si>
  <si>
    <t>2020/02/14 07:53:00</t>
  </si>
  <si>
    <t>日前，海外媒体曝光了一张林肯品牌全新纯电动SUV车型的渲染图。新车由林肯与Rivian品牌联手设计，并基于Rivian的skateboard纯电动平台打造，整体风格与林肯飞行家较为相似。据悉，该车或将于2022年正式亮相。    根据此前的报道来看，由于Rivian品牌参与了该车的设计与研发，所以这</t>
  </si>
  <si>
    <t>　　要问现阶段什么话题最热，想必大家都能脱口而出：“新能源啊”。没错！随着时代进步，汽车工业发展迎来了新的节点，纯电动车相比燃油车多出许多优势，且后期维护成本较低。不过，现如今的年轻消费者十分挑剔，对于纯电动车型，他们不仅要求续航水平过硬，颜值、配置、空间也必须样样不落。那么今天推荐的这四款车型均能</t>
  </si>
  <si>
    <t>2020/02/14 07:10:00</t>
  </si>
  <si>
    <t>　　捷豹品牌自诞生之初就深受英国皇室的推崇，从伊丽莎白女王到查尔斯王子无不对其青睐有加，尽显皇家风范。除了英国皇室座驾的特殊身份以外，捷豹骨子里的运动基因或许才是其真正的魅力所在。捷豹品牌创始人里昂斯的风格就是将简约的高雅与速度和空间进行完美融合，而对于这一理念的最好诠释，非F-TYPE莫属。引用最</t>
  </si>
  <si>
    <t>捷豹品牌自诞生之初就深受英国皇室的推崇，从伊丽莎白女王到查尔斯王子无不对其青睐有加，尽显皇家风范。除了英国皇室座驾的特殊身份以外，捷豹骨子里的运动基因或许才是其真正的魅力所在。捷豹品牌创始人里昂斯的风格就是将简约的高雅与速度和空间进行完美融合，而对于这一理念的最好诠释，非F-TYPE莫属。引用最广泛</t>
  </si>
  <si>
    <t>2020/02/14 05:06:48</t>
  </si>
  <si>
    <t>投诉编号：【447156】
投诉时间： 2020-02-14 04:53
投诉品牌： 东风日产
投诉车系： 奇骏
投诉车型： 2019款 2.0L CVT 智联舒适版 5座 2WD</t>
  </si>
  <si>
    <t>投诉编号：【447155】  投诉时间： 2020-02-14 04:38  投诉品牌： 上汽集团  投诉车系： 名爵6  投诉车型： 2019款 20T 自动 运动版        投诉内容  我方正常行驶撞到正在调头的车辆，车损严重，正副驾驶人员都带了安全带但是安全气囊一个都没有弹出来，副驾驶人</t>
  </si>
  <si>
    <t>2020/02/14 04:38:00</t>
  </si>
  <si>
    <t>2020/02/14 02:50:26</t>
  </si>
  <si>
    <t>投诉编号：【447154】
投诉时间： 2020-02-14 02:33
投诉品牌： 东南汽车
投诉车系： 东南DX3
投诉车型： 2016款 1.5T CVT 尊贵型</t>
  </si>
  <si>
    <t>2020/02/13 23:51:16</t>
  </si>
  <si>
    <t>投诉编号：【447152】
投诉时间： 2020-02-13 23:49
投诉品牌： 广汽丰田
投诉车系： 汉兰达
投诉车型： 2015款 2.0T 四驱 豪华版 7座</t>
  </si>
  <si>
    <t>投诉编号：【447151】  投诉时间： 2020-02-13 23:19  投诉品牌： 江淮汽车  投诉车系： 瑞风S3  投诉车型： 2014款 1.5L 手动 豪华智能型        投诉内容  江淮瑞风S3更换和维修不低于五次还是老毛病修不好，驾驶位玻璃升降器开关总成有质量问题，还有方向打</t>
  </si>
  <si>
    <t>2020/02/13 23:19:00</t>
  </si>
  <si>
    <t>投诉编号：【447150】  投诉时间： 2020-02-13 22:52  投诉品牌： 比亚迪  投诉车系： 比亚迪F0  投诉车型： 2013款 1.0L AMT 悦酷型        投诉内容  2013款比亚迪F0，变速箱AMT，行使4.4万公里。故障为行驶中低速时经常加不上油门，然后原地抛</t>
  </si>
  <si>
    <t>2020/02/13 22:52:00</t>
  </si>
  <si>
    <t>投诉编号：【447148】  投诉时间： 2020-02-13 22:48  投诉品牌： 广汽丰田  投诉车系： 雷凌  投诉车型： 2016款 1.6G 手动 精英版        投诉内容  之前已投诉，但是厂家2月10日给我回复，说联系我，到了2月13日，依然没有联系，怎么解决？如何解决？用了</t>
  </si>
  <si>
    <t>2020/02/13 22:48:00</t>
  </si>
  <si>
    <t>投诉编号：【447147】  投诉时间： 2020-02-13 22:24  投诉品牌： 领克汽车  投诉车系： 领克03  投诉车型： 2018款 1.5TD DCT 劲版        投诉内容  因疫情严重，7日未出门，今日到车上发现电量少无法启动，拨打了救援电话，说只能等到疫情结束，希望对我</t>
  </si>
  <si>
    <t>2020/02/13 22:24:00</t>
  </si>
  <si>
    <t>2020/02/13 21:46:11</t>
  </si>
  <si>
    <t>投诉编号：【447145】
投诉时间： 2020-02-13 21:40
投诉品牌： 比亚迪
投诉车系： 比亚迪S7
投诉车型： 2016款 2.0T 自动 尊贵型Plus</t>
  </si>
  <si>
    <t xml:space="preserve">投诉编号：【447146】  投诉时间： 2020-02-13 21:41  投诉品牌： 上汽大众  投诉车系： 凌渡  投诉车型： 2019款 230TSI DSG 风尚版 国V        投诉内容  上汽大众凌渡变速箱异响，一挡及二挡拖挡，变速箱异响，1挡2挡拖挡严重，1挡位消失直接2挡， </t>
  </si>
  <si>
    <t>2020/02/13 21:41:00</t>
  </si>
  <si>
    <t>投诉编号：【447142】  投诉时间： 2020-02-13 20:47  投诉品牌： 郑州日产  投诉车系： 途达  投诉车型： 2020款 2.5L 自动 四驱 旗舰版        投诉内容  由于疫情，春节期间车辆不经常开出去，后发现电池没电，无法点火着车，搭火点着车后出去跑了两百公里，回</t>
  </si>
  <si>
    <t>2020/02/13 20:47:00</t>
  </si>
  <si>
    <t>投诉编号：【447141】  投诉时间： 2020-02-13 20:31  投诉品牌： 吉利汽车  投诉车系： 帝豪  投诉车型： 2017款 1.5L CVT 向上版 三厢 百万款        投诉内容  2017年购帝豪1.5L自动三厢，新车发现后轮刹车异响，首保向4S反馈，未能解决及给出维</t>
  </si>
  <si>
    <t>2020/02/13 20:31:00</t>
  </si>
  <si>
    <t>2020/02/13 20:25:06</t>
  </si>
  <si>
    <t>投诉编号：【447140】
投诉时间： 2020-02-13 20:15
投诉品牌： 北京现代
投诉车系： 领动
投诉车型： 2016款 1.6L 自动 智炫·精英型</t>
  </si>
  <si>
    <t>17款朗逸自风版，无天窗。今天早上下过大雨，晚上发现副驾后面脚垫处有明显积水（如下图），其它地方没有，不清楚是不是漏水，以前漏不漏水没注意。这个位置年前有倒过大半瓶矿泉水，没处理，按说不会积水1个月这么久吧！请赐教！</t>
  </si>
  <si>
    <t>臻于至善</t>
  </si>
  <si>
    <t>2020/02/13 20:25:00</t>
  </si>
  <si>
    <t>大众17款朗逸脚垫处有明显积水17款朗逸自风版，无天窗。今天早上下过大雨，晚上发现副驾后面脚垫处有明显积水（如下图），其它地方没有，不清楚是不是漏水，以前漏不漏水没注意。这个位置年前有倒过大半瓶矿泉水，没处理，按说不会积水1个月这么久吧！请赐教！脚垫处积水，各位大神帮忙看看是不是质量问题，才1年半，</t>
  </si>
  <si>
    <t>2020/02/13 20:10:19</t>
  </si>
  <si>
    <t>投诉编号：【447136】
投诉时间： 2020-02-13 19:44
投诉品牌： 北京现代
投诉车系： 领动
投诉车型： 2019款 1.5L CVT 智炫·精英型</t>
  </si>
  <si>
    <t>2020/02/13 20:08:42</t>
  </si>
  <si>
    <t>投诉编号：【447137】
投诉时间： 2020-02-13 19:51
投诉品牌： 北京现代
投诉车系： 领动
投诉车型： 2016款 1.6L 自动 智炫·精英型</t>
  </si>
  <si>
    <t>投诉编号：【447134】  投诉时间： 2020-02-13 19:05  投诉品牌： 上汽集团  投诉车系： 荣威Ei5  投诉车型： 2019款 智联旗舰版        投诉内容  上汽荣威Ei5遥控器无法解锁，有时候会提示小电瓶电压低。最近没出门停了10天，今天用遥控器和app都无法解锁车</t>
  </si>
  <si>
    <t>2020/02/13 19:05:00</t>
  </si>
  <si>
    <t>2020/02/13 18:53:12</t>
  </si>
  <si>
    <t>投诉编号：【447132】
投诉时间： 2020-02-13 18:48
投诉品牌： 广汽乘用车
投诉车系： 传祺GS5
投诉车型： 2019款 270T 自动 尊享版</t>
  </si>
  <si>
    <t>2020/02/13 18:04:50</t>
  </si>
  <si>
    <t>投诉编号：【447130】
投诉时间： 2020-02-13 17:55
投诉品牌： 猎豹汽车
投诉车系： 猎豹CS10
投诉车型： 2016款 2.0T 自动 豪华型</t>
  </si>
  <si>
    <t>02款A7 3.0T 7万公里，正常行驶过程中突然提示变速箱故障无倒档（同时无偶数档），维修厂报价2-3万，打奥迪官方投诉电话被告知已出质保期只能自费修理，心有不甘的上网看了看，咋感觉是个A7就有这个问题呀！！这不就是产品缺陷吗！！？？只不过有的人运气好，6万公里内出现问题，有的倒霉过6万了而已。。</t>
  </si>
  <si>
    <t>wjznb</t>
  </si>
  <si>
    <t>2020/02/13 18:00:00</t>
  </si>
  <si>
    <t>奥迪A7变速箱故障无倒档02款A7 3.0T 7万公里，正常行驶过程中突然提示变速箱故障无倒档（同时无偶数档），维修厂报价2-3万，打奥迪官方投诉电话被告知已出质保期只能自费修理，心有不甘的上网看了看，咋感觉是个A7就有这个问题呀！！这不就是产品缺陷吗！！？？只不过有的人运气好，6万公里内出现问题，</t>
  </si>
  <si>
    <t>请问新逍客豪华版行驶不到3000公里，为什么ESP系统，TCS系统警告灯常亮？</t>
  </si>
  <si>
    <t>2020/02/13 17:36:06</t>
  </si>
  <si>
    <t>长途驾驶前后都需要您为自己的爱车做个检查，为您的安全驾驶做保障！一、汽车在进行长途或高速行驶前必须仔细检查、维护汽车（1）发动机的检查：机油量、冷却液、制动液、动力转向液、洗涤液等；发动机低速、高速、过渡的运转情况；各真空管路、气路等是否正常。（2）离合器及变速器的检查（发动机怠速运转时）：检查离合</t>
  </si>
  <si>
    <t>2020/02/13 17:24:00</t>
  </si>
  <si>
    <t>长途驾驶您需要遵守这些车辆保养手册长途驾驶前后都需要您为自己的爱车做个检查，为您的安全驾驶做保障！一、汽车在进行长途或高速行驶前必须仔细检查、维护汽车（1）发动机的检查：机油量、冷却液、制动液、动力转向液、洗涤液等；发动机低速、高速、过渡的运转情况；各真空管路、气路等是否正常。（2）离合器及变速器的</t>
  </si>
  <si>
    <t>求吉利缤瑞最新版本GKUI19，4.2.7破解代码与教程，车子是2019年12月造1.0T。</t>
  </si>
  <si>
    <t>2020/02/13 17:23:50</t>
  </si>
  <si>
    <t>2020/02/13 17:18:50</t>
  </si>
  <si>
    <t>投诉编号：【447127】
投诉时间： 2020-02-13 17:18
投诉品牌： 上汽大众
投诉车系： 朗逸
投诉车型： 2017款 1.6L 自动 舒适版</t>
  </si>
  <si>
    <t>2020/02/13 17:16:08</t>
  </si>
  <si>
    <t>投诉编号：【447125】
投诉时间： 2020-02-13 17:00
投诉品牌： 东风悦达起亚
投诉车系： 焕驰
投诉车型： 2017款 1.4L 手动 时尚版 Smart</t>
  </si>
  <si>
    <t>请问我的车才买半年还在三包期范围内，变速箱漏油，能要求厂家换新变速箱吗？厂家说只换油底壳就得了。</t>
  </si>
  <si>
    <t>2020/02/13 17:15:46</t>
  </si>
  <si>
    <t>猎豹CS10全景天窗的质保时间是多久？</t>
  </si>
  <si>
    <t>2020/02/13 17:04:34</t>
  </si>
  <si>
    <t>专家好，市区上下班为主，偶尔高速，一年一万公里，30万落地省心耐用毛病少的轿车选哪个车型？</t>
  </si>
  <si>
    <t>吉利帝豪GL投诉多吗，油耗如何？</t>
  </si>
  <si>
    <t>投诉编号：【447124】  投诉时间： 2020-02-13 16:58  投诉品牌： 奇瑞汽车  投诉车系： 艾瑞泽GX  投诉车型： 2018款 1.5T 手动 型色版        投诉内容  奇瑞艾瑞泽GX正常操作，买不到一年离合片就坏了，拒保。正常操作，2019年3月买的车，不到一年离合</t>
  </si>
  <si>
    <t>2020/02/13 16:58:00</t>
  </si>
  <si>
    <t>马自达阿特兹2.5，为什么早上冷车启动不亮蓝色水温灯？别人的车子会亮，水温表正常。是不是哪里出了问题！</t>
  </si>
  <si>
    <t>2020/02/13 16:56:16</t>
  </si>
  <si>
    <t>19款哈弗H7在使用中油耗表现怎么样？</t>
  </si>
  <si>
    <t>投诉编号：【447123】  投诉时间： 2020-02-13 16:55  投诉品牌： 广汽三菱  投诉车系： 奕歌  投诉车型： 2019款 1.5T CVT 两驱 信念版 国V        投诉内容  我的车于2019年12月22日出现亏电，开去广西万博4s店检查，没检查出什么问题，然后把电</t>
  </si>
  <si>
    <t>2020/02/13 16:55:00</t>
  </si>
  <si>
    <t>瑞虎8的湿式双离合质量稳定性和耐用性如何？</t>
  </si>
  <si>
    <t>2020/02/13 16:51:19</t>
  </si>
  <si>
    <t>2020/02/13 16:50:08</t>
  </si>
  <si>
    <t>投诉编号：【447120】
投诉时间： 2020-02-13 16:28
投诉品牌： 长城汽车
投诉车系： 哈弗F7
投诉车型： 2019款 2.0T 两驱 i范</t>
  </si>
  <si>
    <t>2020款vv6智驭型，后保险杠无故掉漆应该怎么解决？</t>
  </si>
  <si>
    <t>2020/02/13 16:46:23</t>
  </si>
  <si>
    <t>打火完就是一千转，声音大油门感觉沉一点，加油就达到两千至三千，方向盘下轮子感觉旮瘩旮瘩的声音，咋回事求解释。</t>
  </si>
  <si>
    <t>2020/02/13 16:46:22</t>
  </si>
  <si>
    <t>老师，你好！近一年，我对哈弗H9这款车比较感兴趣。但是顾虑有两点，看到车质网与各大论坛里面的评论，有点额外担心。第一点就是增压发动机相比自吸发动机质量与寿命相对较低，故障率较高，那么从搭载增压发动机的车型日常使用的角度来看，日常使用与保养应该注意哪些？第二点就是哈弗H9在车质网的投诉主要是发动机烧机</t>
  </si>
  <si>
    <t>2020/02/13 16:38:34</t>
  </si>
  <si>
    <t>2019年全年中大型轿车销量排名 奔驰E级夺冠【2019年全年中大型轿车销量排行榜】目前在售中大型轿车比较少，2019年录得销量的中大型轿车共有16款车型，其中销量比较好的都是豪华品牌车型。据统计，2019年中大型轿车销量为61.1万辆，占轿车市场总销量的6%左右。 2019年，销量前七的车型都是豪</t>
  </si>
  <si>
    <t>2020/02/13 16:35:00</t>
  </si>
  <si>
    <t>【2019年全年中大型轿车销量排行榜】目前在售中大型轿车比较少，2019年录得销量的中大型轿车共有16款车型，其中销量比较好的都是豪华品牌车型。据统计，2019年中大型轿车销量为61.1万辆，占轿车市场总销量的6%左右。 2019年，销量前七的车型都是豪华品牌轿车。其中，奔驰E级销量为157504辆</t>
  </si>
  <si>
    <t>我的车子是别克君越尊贵19年7月份购买，开了18000多公里第一次显示变速箱紧急维修，一直到今天总共出现4次这样的提示，去4S店里检查不出毛病，可我开的过程中明显感觉到加速无力，和自吸车型一样。给我做了变速箱升级，可问题依旧没有解决，请问这是怎么回事，我个人觉得是不是变速箱模块坏了？</t>
  </si>
  <si>
    <t>2020/02/13 16:34:42</t>
  </si>
  <si>
    <t>六年磨一剑 丰田汉兰达全面升级归来导读：丰田汉兰达自进入中国以来，成为了大中型SUV中极具影响力的车型，国内当前款汉兰达车型已经6年没有大换代了。丰田六年磨一剑，全新汉兰达终于全面升级归来，让我们来看一下吧。 海外版全新丰田汉兰达 海外版全新丰田汉兰达 海外版全新丰田汉兰达全新汉兰达海外版已曝光，新</t>
  </si>
  <si>
    <t>2020/02/13 16:34:00</t>
  </si>
  <si>
    <t>导读：丰田汉兰达自进入中国以来，成为了大中型SUV中极具影响力的车型，国内当前款汉兰达车型已经6年没有大换代了。丰田六年磨一剑，全新汉兰达终于全面升级归来，让我们来看一下吧。 海外版全新丰田汉兰达 海外版全新丰田汉兰达 海外版全新丰田汉兰达全新汉兰达海外版已曝光，新款汉兰达出自丰田引以为傲的TNGA</t>
  </si>
  <si>
    <t>2019年乘用车销量榜单厂商榜单              轿车榜单              MPV榜单              SUV榜单              注：长城汽车不准，请下面长城汽车在证券市场发布的报告高端轿车榜单              注：起步市场指导价30万元以上。高端</t>
  </si>
  <si>
    <t>2020/02/13 16:33:00</t>
  </si>
  <si>
    <t xml:space="preserve">厂商榜单              轿车榜单              MPV榜单              SUV榜单              注：长城汽车不准，请下面长城汽车在证券市场发布的报告高端轿车榜单              注：起步市场指导价30万元以上。高端SUV榜单       </t>
  </si>
  <si>
    <t>2020/02/13 16:32:00</t>
  </si>
  <si>
    <t>2020/02/13 16:31:00</t>
  </si>
  <si>
    <t>普拉多2700，6AT切换到手动挡状态下，在城市路况，可以挂入空挡行使不？另外12款的本田思域AT变速箱，在山路上坡行使状态下，可以由D挡直接挂入D3或D2挡不？谢谢！</t>
  </si>
  <si>
    <t>2020/02/13 16:30:39</t>
  </si>
  <si>
    <t>投诉编号：【447119】投诉时间：2020-02-1316:14投诉品牌：上汽通用五菱投诉车系：宝骏730投诉车型：2017款1.8LAMT智能手动尊享型7座投诉内容在空调自动模式下，当车里温度与空调设定温度接近时，吹出来的风会有异味（像烧塑料的味道），经多次4S店维修仍未解决问题。投诉回复车质网</t>
  </si>
  <si>
    <t>2020/02/13 16:14:00</t>
  </si>
  <si>
    <t>富人看不上 穷人买不起 这些车可真尴尬滴滴司机总会问我们： 你搞清楚自己的定位没有？清楚自己的定位是一件很重要的事情，在汽车行业也是如此。目前的汽车销售格局无非大致分为两种，普通品牌以性价比收割大量的消费者，豪华品牌以更加出色的品质针对高端用户。精准的车型定位就像走对了路，条条大路也可以通罗马。而如</t>
  </si>
  <si>
    <t>2020/02/13 16:07:00</t>
  </si>
  <si>
    <t>马自达直6引擎+8AT专利曝光 网友：这下真变宝马了​马自达旗下的车型由于拥有不俗的驾驶乐趣，甚至可以媲美以往“纯粹”的宝马，所以被车迷冠以“东瀛宝马”的美誉。而如今宝马将大批入门车换成了横置前驱布局，反观马自达却要玩起纵置直6引擎+8AT…… 前几天，马自达刚刚过完了100岁的生日，成为世界上又一</t>
  </si>
  <si>
    <t>2020/02/13 16:06:00</t>
  </si>
  <si>
    <t>马自达旗下的车型由于拥有不俗的驾驶乐趣，甚至可以媲美以往“纯粹”的宝马，所以被车迷冠以“东瀛宝马”的美誉。而如今宝马将大批入门车换成了横置前驱布局，反观马自达却要玩起纵置直6引擎+8AT…… 前几天，马自达刚刚过完了100岁的生日，成为世界上又一个拥有百年历史的车企。与此同时，外媒也曝光了一份马自达</t>
  </si>
  <si>
    <t>导读：这才是撩妹车，连跌7万，年轻人都抢着要，开出去比保时捷还拉风！下面就让我们一探究竟。 今天说的这款车就是奥迪A7。去年11月底，2020款全新奥迪A7 Sportback 2.0T车型上市。值得一提的是，2020款全新奥迪A7 Sportback将奥迪A7的指导起售价下探至57.38万，45T</t>
  </si>
  <si>
    <t>这才是撩妹车 连跌7万 年轻人都抢着要导读：这才是撩妹车，连跌7万，年轻人都抢着要，开出去比保时捷还拉风！下面就让我们一探究竟。 今天说的这款车就是奥迪A7。去年11月底，2020款全新奥迪A7 Sportback 2.0T车型上市。值得一提的是，2020款全新奥迪A7 Sportback将奥迪A7</t>
  </si>
  <si>
    <t>目前优惠甚大的奥迪A4L 体验40TFSI的进取型小伙伴们，全新的奥迪A4L即将开卖。这一句话的言外之意就是现款的奥迪A4L优惠相当大。然后就有这样一个问题，是等新款的奥迪A4L呢还是入手超高性价比的现款奥迪A4L呢？这个问题还是放在图文最后来回答吧。 配图为奥迪A4L的40TFSI进取型。车型解析</t>
  </si>
  <si>
    <t>2020/02/13 16:05:00</t>
  </si>
  <si>
    <t>小伙伴们，全新的奥迪A4L即将开卖。这一句话的言外之意就是现款的奥迪A4L优惠相当大。然后就有这样一个问题，是等新款的奥迪A4L呢还是入手超高性价比的现款奥迪A4L呢？这个问题还是放在图文最后来回答吧。 配图为奥迪A4L的40TFSI进取型。车型解析外观在聊这辆奥迪A4L之前呢，先来一起欣赏一下它的</t>
  </si>
  <si>
    <t>宝马作为国人最为喜爱的几大豪华品牌之一，在外观设计上的辨识度还是非常强的，除了它本身的车标以外，就数那双肾格栅最有特点。而随着宝马车型的更新换代，标志性的双肾格栅也得到了进一步的发展，不过这个发展的方向却似乎有点歪了。如今新出的几款车型宝马X7，新7系等车型都采用了较大的双肾格栅，全新一代4系更是采</t>
  </si>
  <si>
    <t>2020/02/13 16:03:00</t>
  </si>
  <si>
    <t>宝马全新一代4系实车曝光 不料众人受不了了 宝马作为国人最为喜爱的几大豪华品牌之一，在外观设计上的辨识度还是非常强的，除了它本身的车标以外，就数那双肾格栅最有特点。而随着宝马车型的更新换代，标志性的双肾格栅也得到了进一步的发展，不过这个发展的方向却似乎有点歪了。如今新出的几款车型宝马X7，新7系等车</t>
  </si>
  <si>
    <t>2020/02/13 16:02:20</t>
  </si>
  <si>
    <t>投诉编号：【447113】
投诉时间： 2020-02-13 15:29
投诉品牌： 奇瑞汽车
投诉车系： 艾瑞泽5
投诉车型： 2017款 1.5L CVT 领潮版</t>
  </si>
  <si>
    <t>全新K5上市 轿跑造型内饰升级随着中国二胎政策的开放，国内七座SUV如春笋般涌出，越来越多的消费者开始选择大尺寸SUV车型，而轿车的需求量近些年来，比起往年下降许多。但B级轿车领域还是各大车企不可忽视的一个销量增长点，如果有着20万左右的预算，想入手一辆出色的中型轿跑车，那么来自韩系起亚旗下的全新K</t>
  </si>
  <si>
    <t>2020/02/13 16:00:00</t>
  </si>
  <si>
    <t xml:space="preserve">随着中国二胎政策的开放，国内七座SUV如春笋般涌出，越来越多的消费者开始选择大尺寸SUV车型，而轿车的需求量近些年来，比起往年下降许多。但B级轿车领域还是各大车企不可忽视的一个销量增长点，如果有着20万左右的预算，想入手一辆出色的中型轿跑车，那么来自韩系起亚旗下的全新K5，是值得考虑的一款车型。  </t>
  </si>
  <si>
    <t>投诉编号：【447118】投诉时间：2020-02-1315:56投诉品牌：一汽-大众投诉车系：速腾投诉车型：2019款280TSIDSG舒适型国V投诉内容从年前开始，每次下雨副驾驶便有水漏进来，检查发现天窗排水孔并无堵塞，天窗也无法正常关闭，每次都会自动弹开，跟销售方联系无果，希望能给车主一个合理</t>
  </si>
  <si>
    <t>2020/02/13 15:56:00</t>
  </si>
  <si>
    <t>投诉编号：【447115】  投诉时间： 2020-02-13 15:37  投诉品牌： 一汽吉林  投诉车系： 森雅R7  投诉车型： 2016款 1.6L 手动 豪华型        投诉内容  一汽吉林森雅R7发动机启动困难，开着开着如图故障，就停车了，熄火以后就不能启动了！还好是非常时期，没</t>
  </si>
  <si>
    <t>2020/02/13 15:37:00</t>
  </si>
  <si>
    <t>投诉编号：【447114】  投诉时间： 2020-02-13 15:36  投诉品牌： 上汽集团  投诉车系： 名爵6  投诉车型： 2017款 20T 自动 豪华智联版 国V        投诉内容  车库内停了4-5天，车辆无法启动点火，8号发现，当天就打了售后电话，说停时间久了都会没法启动的</t>
  </si>
  <si>
    <t>2020/02/13 15:36:00</t>
  </si>
  <si>
    <t>投诉编号：【447111】投诉时间：2020-02-1315:15投诉品牌：猎豹汽车投诉车系：猎豹CS10投诉车型：2017款1.5T手动精英型投诉内容方向机故障，店内人员也检验过了，迟迟不到件，异响严重影响驾车心情。另外车快过保了维修遥遥无期，望尽快维修。投诉回复车质网已将您的投诉转给生产企业以及</t>
  </si>
  <si>
    <t>2020/02/13 15:15:00</t>
  </si>
  <si>
    <t>投诉编号：【447109】  投诉时间： 2020-02-13 14:52  投诉品牌： 北京现代  投诉车系： 途胜  投诉车型： 2018款 1.6T 双离合 两驱 15周年特别版        投诉内容  接到厂家召回升级信息，做完升级后出现发动机抖动，噪音大，油耗增加，动力下降，机油增加，变</t>
  </si>
  <si>
    <t>2020/02/13 14:52:00</t>
  </si>
  <si>
    <t xml:space="preserve">投诉编号：【447108】  投诉时间： 2020-02-13 14:51  投诉品牌： 郑州日产  投诉车系： 途达  投诉车型： 2020款 2.5L 自动 四驱 豪华版        投诉内容  郑州日产途达汽车停放三天电池亏电无法打火，充过电之后还是如此，希望厂家可以安排工作人员尽快解决。 </t>
  </si>
  <si>
    <t>2020/02/13 14:51:00</t>
  </si>
  <si>
    <t>投诉编号：【447107】  投诉时间： 2020-02-13 14:49  投诉品牌： 上汽大众  投诉车系： 帕萨特  投诉车型： 2017款 330TSI 尊荣版        投诉内容  2020.1.12早上6:42车辆停放在北京市海淀区22号，车辆停放一夜后发生自燃，起火位置是主驾驶室座</t>
  </si>
  <si>
    <t>2020/02/13 14:49:00</t>
  </si>
  <si>
    <t>投诉编号：【447106】  投诉时间： 2020-02-13 14:39  投诉品牌： 上汽集团  投诉车系： 名爵6  投诉车型： 2019款 20T 自动 运动版        投诉内容  已经是第二次车子好端端停在那里电瓶没电了，第一次是一个晚上，到店里检查无果，这次是停了3天，，到底从什么</t>
  </si>
  <si>
    <t>2020/02/13 14:39:00</t>
  </si>
  <si>
    <t>2020/02/13 14:34:20</t>
  </si>
  <si>
    <t>投诉编号：【447105】
投诉时间： 2020-02-13 14:23
投诉品牌： 东风日产
投诉车系： 轩逸
投诉车型： 2019款 1.6XE CVT 舒适版 国VI</t>
  </si>
  <si>
    <t>我在4S店以旧车进行置换当时店里销售承诺我的车子可以置换48000元钱，可是后来看车4S店把155800元的星越探星者车按185800元驭星者买给了我（当时展台上面是放的155800元的这款车型但是旁边的标牌是放的185800元的标牌）后来我提车回到单位发现我的这款车是155800元的车，找4S店他</t>
  </si>
  <si>
    <t>Penglong</t>
  </si>
  <si>
    <t>2020/02/13 14:26:00</t>
  </si>
  <si>
    <t>吉利4S店拿探星者冒充驭星者欺骗消费者我在4S店以旧车进行置换当时店里销售承诺我的车子可以置换48000元钱，可是后来看车4S店把155800元的星越探星者车按185800元驭星者买给了我（当时展台上面是放的155800元的这款车型但是旁边的标牌是放的185800元的标牌）后来我提车回到单位发现我的</t>
  </si>
  <si>
    <t>2020款vv6四驱后保险杠雷达那里无故掉漆，绝对不是认为，而且漆面特别薄，手都不敢碰，一碰边上的漆就鼓起来了，什么原因？去4S店要怎么处理后保险杠后保险杠</t>
  </si>
  <si>
    <t>相濡以沫LW</t>
  </si>
  <si>
    <t>2020/02/13 14:12:00</t>
  </si>
  <si>
    <t>2020款WEY VV6后保险杠无故掉漆是什么原因？2020款vv6四驱后保险杠雷达那里无故掉漆，绝对不是认为，而且漆面特别薄，手都不敢碰，一碰边上的漆就鼓起来了，什么原因？去4S店要怎么处理后保险杠后保险杠</t>
  </si>
  <si>
    <t>2020/02/13 14:00:59</t>
  </si>
  <si>
    <t>投诉编号：【447102】
投诉时间： 2020-02-13 13:53
投诉品牌： 长安福特
投诉车系： 福睿斯
投诉车型： 2015款 1.5L 自动 舒适型</t>
  </si>
  <si>
    <t>2020/02/13 13:55:32</t>
  </si>
  <si>
    <t>投诉编号：【447101】
投诉时间： 2020-02-13 13:53
投诉品牌： 郑州日产
投诉车系： 途达
投诉车型： 2020款 2.5L 自动 四驱 旗舰版</t>
  </si>
  <si>
    <t>投诉编号：【447104】  投诉时间： 2020-02-13 13:55  投诉品牌： 一汽红旗  投诉车系： 红旗H5  投诉车型： 2019款 30TD 型动版        投诉内容  因春节冠状病毒原因，车辆自2020年1月25日停放家中，2月13日准备用车，遥控钥匙无法开门，机械钥匙进入</t>
  </si>
  <si>
    <t>2020/02/13 13:55:00</t>
  </si>
  <si>
    <t>老爷车中的极品 但贵滴让人头晕世界上最稀有的汽车都有一个故事。这些独特的汽车为汽车工业增添了不可思议的历史，也为各地汽车爱好者的梦想加油。这些超级老爷车不仅很难找到，而且有些是世界上最贵的车之一！让我们一起了解更多关于下面这10辆稀有老爷车背后的有趣故事，以及它们对汽车工业历史的贡献。【第十辆】：1</t>
  </si>
  <si>
    <t>2020/02/13 13:54:00</t>
  </si>
  <si>
    <t>说到心坎里了 据说中国人买车最讨厌​这10件事看到人家V8发动机车型满街跑时，也许会让国人萌生“国外的月亮比较圆”的想法。有了比较之后，才知道“好坏”，商品亦是如此！这次，我们不说别的，说说在国内买车最讨厌的10件事情。经过几十年的发展，国内汽车市场销量连续多年达到全球最大规模。面对巨大的市场蛋糕，</t>
  </si>
  <si>
    <t>世界上最稀有的汽车都有一个故事。这些独特的汽车为汽车工业增添了不可思议的历史，也为各地汽车爱好者的梦想加油。这些超级老爷车不仅很难找到，而且有些是世界上最贵的车之一！让我们一起了解更多关于下面这10辆稀有老爷车背后的有趣故事，以及它们对汽车工业历史的贡献。【第十辆】：1957年版捷豹XKSS作为最受</t>
  </si>
  <si>
    <t>看到人家V8发动机车型满街跑时，也许会让国人萌生“国外的月亮比较圆”的想法。有了比较之后，才知道“好坏”，商品亦是如此！这次，我们不说别的，说说在国内买车最讨厌的10件事情。经过几十年的发展，国内汽车市场销量连续多年达到全球最大规模。面对巨大的市场蛋糕，许多国际车企纷纷进军国内市场，形成“百家争鸣，</t>
  </si>
  <si>
    <t>在百余年发展历程中 汽车内饰材料都有哪些？从第一辆真正意义的汽车诞生至今，已经有130多年的历史，随着汽车技术和性能的不断发展进步，汽车的内饰的设计、材料的运用也在不断发生着变化和升级。如果说造型是汽车的形象和外表，内饰则反映出了一辆车的性格和内涵。那么，汽车发展至今，内饰的材料发生了哪些变化，又有</t>
  </si>
  <si>
    <t>2020/02/13 13:53:00</t>
  </si>
  <si>
    <t>从第一辆真正意义的汽车诞生至今，已经有130多年的历史，随着汽车技术和性能的不断发展进步，汽车的内饰的设计、材料的运用也在不断发生着变化和升级。如果说造型是汽车的形象和外表，内饰则反映出了一辆车的性格和内涵。那么，汽车发展至今，内饰的材料发生了哪些变化，又有哪些新材料运用到了汽车上呢？·真皮（Nap</t>
  </si>
  <si>
    <t>从GT86到GR86 希望属于我们的那个世界依在去年有FCA和PSA全面合并，今年又传来吉利沃尔沃考虑两者合并重组，刚刚度过生死年的各位小伙伴，看来还有继续抱团取暖的趋势，这不汽车界市值老大就先发话了。去年继与宁德时代、比亚迪在新能源动力电池领域建立全面合作关系后，2月6日丰田与斯巴鲁达成协议，同意</t>
  </si>
  <si>
    <t>2020/02/13 13:52:00</t>
  </si>
  <si>
    <t>面对疫情如何用车？专家给你一次说清楚武汉肺炎仍在蔓延，春节期间，小编呼吁大家带好口罩，做好个人卫生，尽量避免外出。并且作为车主，也一定要注意用车卫生。分享一篇17年前非典时期的用车安全新闻，仍然适用于当下，希望能够对各位车主有所帮助，并提高病毒防范意识。1、车内空气污染，如何进行有效消毒？宋广生：时</t>
  </si>
  <si>
    <t>去年有FCA和PSA全面合并，今年又传来吉利沃尔沃考虑两者合并重组，刚刚度过生死年的各位小伙伴，看来还有继续抱团取暖的趋势，这不汽车界市值老大就先发话了。去年继与宁德时代、比亚迪在新能源动力电池领域建立全面合作关系后，2月6日丰田与斯巴鲁达成协议，同意丰田将持股比例由16.8%增加至20%。这也意味</t>
  </si>
  <si>
    <t>武汉肺炎仍在蔓延，春节期间，小编呼吁大家带好口罩，做好个人卫生，尽量避免外出。并且作为车主，也一定要注意用车卫生。分享一篇17年前非典时期的用车安全新闻，仍然适用于当下，希望能够对各位车主有所帮助，并提高病毒防范意识。1、车内空气污染，如何进行有效消毒？宋广生：时任中国室内装饰协会室内环境监测中心主</t>
  </si>
  <si>
    <t>作死的办法千千万 养成哪些习惯才不损耗车辆？作为一名汽车编辑，职业本身就很损耗汽车。但也正因为如此，反推一下我们平常做的一些事情，就能知道怎么做才不损耗车辆了。知乎上看到“对车子损耗很大的行为习惯有哪些”这样一个话题。作为一名汽车编辑，我不免有些惭愧。因为平常试车，尤其是在赛道上试车的过程中，真是没</t>
  </si>
  <si>
    <t>2020/02/13 13:51:00</t>
  </si>
  <si>
    <t>猛兽中的佼佼者 奔驰C63 AMG 507当本文的主角端端正正地停在我面前时，我在脑海中不断呈现出各种辞藻想要给它一个定义。要形容C63，“暴力、粗暴”这等词汇再适合不过，西装暴徒更是被前辈们用烂了，虽然我一直不明白一台C级怎么就看起来很“绅士”了，明明是偏运动化的外观......言归正传，若是用上</t>
  </si>
  <si>
    <t>当本文的主角端端正正地停在我面前时，我在脑海中不断呈现出各种辞藻想要给它一个定义。要形容C63，“暴力、粗暴”这等词汇再适合不过，西装暴徒更是被前辈们用烂了，虽然我一直不明白一台C级怎么就看起来很“绅士”了，明明是偏运动化的外观......言归正传，若是用上述那些词汇未免无法形容今天这台C63，因为</t>
  </si>
  <si>
    <t>作为一名汽车编辑，职业本身就很损耗汽车。但也正因为如此，反推一下我们平常做的一些事情，就能知道怎么做才不损耗车辆了。知乎上看到“对车子损耗很大的行为习惯有哪些”这样一个话题。作为一名汽车编辑，我不免有些惭愧。因为平常试车，尤其是在赛道上试车的过程中，真是没少损耗车辆。首先我还是要向那些在赛道上被我“</t>
  </si>
  <si>
    <t>投诉编号：【447099】投诉时间：2020-02-1313:26投诉品牌：一汽奔腾投诉车系：奔腾X40投诉车型：2017款1.6L手动豪华型投诉内容一汽奔腾X40转向柱生锈有异响，车子停几天不开转方向时前轮有异响，行驶一会异响消失，方向盘下杆生锈，希望厂家处理问题。投诉回复车质网已将您的投诉转给生</t>
  </si>
  <si>
    <t>2020/02/13 13:26:00</t>
  </si>
  <si>
    <t>投诉编号：【447098】  投诉时间： 2020-02-13 13:22  投诉品牌： 一汽丰田  投诉车系： RAV4荣放  投诉车型： 2019款 2.0L CVT 两驱 风尚版 国VI        投诉内容  车辆买回第三天就发现发动机在怠速，倒车，等红绿灯时会出现咚咚咚的声音很明显，就像</t>
  </si>
  <si>
    <t>2020/02/13 13:22:00</t>
  </si>
  <si>
    <t xml:space="preserve">投诉编号：【447097】  投诉时间： 2020-02-13 13:20  投诉品牌： 海马汽车  投诉车系： 海马S5青春版  投诉车型： 2017款 1.6L 手动 尊贵型        投诉内容  故障灯亮起，有行车电脑删除故障码后过一会又出现这样的情况，反复出现，希望厂家处理问题。    </t>
  </si>
  <si>
    <t>2020/02/13 13:20:00</t>
  </si>
  <si>
    <t>tiguan是大众旗下的一款紧凑级suv车型，目前国产版车型处于停产在售状态，并被大众途岳车型所取代，而进口版车型也仍处于在售状态。近日海外媒体曝光了一组大众全新tiguan无伪路试实车图片，据此外海外媒体透露，新车预计将于今年年内正式亮相。    动力方面，新车将搭载2.0t涡轮增压发动机，最大功</t>
  </si>
  <si>
    <t>2020/02/13 13:12:00</t>
  </si>
  <si>
    <t>　　tiguan是大众旗下的一款紧凑级suv车型，目前国产版车型处于停产在售状态，并被大众途岳车型所取代，而进口版车型也仍处于在售状态。近日海外媒体曝光了一组大众全新tiguan无伪路试实车图片，据此外海外媒体透露，新车预计将于今年年内正式亮相。　　动力方面，新车将搭载2.0t涡轮增压发动机，最大功</t>
  </si>
  <si>
    <t>　　ABT是奥迪旗下的一间御用改装厂，并在奥迪下RS以及S系列车型上进行升级改装，且将车型性能以及豪华感展现的淋漓尽致。而近期奥迪ABT Sportsline宣布，将对旗下4.0T V8发动机进行升级，同时该款引擎也将应用在RS6 Avant、RS7 Sportback和RS Q8车型之上。　　外观</t>
  </si>
  <si>
    <t>2020/02/13 13:09:00</t>
  </si>
  <si>
    <t>ABT是奥迪旗下的一间御用改装厂，并在奥迪下RS以及S系列车型上进行升级改装，且将车型性能以及豪华感展现的淋漓尽致。而近期奥迪ABT Sportsline宣布，将对旗下4.0T V8发动机进行升级，同时该款引擎也将应用在RS6 Avant、RS7 Sportback和RS Q8车型之上。    外观</t>
  </si>
  <si>
    <t>　　puma是福特旗下的一款小型suv，该款车型已于去年在海外车展上正式亮相，并已陆续在海外国家上市开售，据悉新车的推出或将取代福特翼搏的位置。近日海外媒体曝光了一组更高性能的puma st车型实拍图片，据海外媒体透露，新车将于今年年内正式亮相。　　动力方面，新车将搭载一台1.5t涡轮增压发动机，最</t>
  </si>
  <si>
    <t>2020/02/13 13:08:00</t>
  </si>
  <si>
    <t>puma是福特旗下的一款小型suv，该款车型已于去年在海外车展上正式亮相，并已陆续在海外国家上市开售，据悉新车的推出或将取代福特翼搏的位置。近日海外媒体曝光了一组更高性能的puma st车型实拍图片，据海外媒体透露，新车将于今年年内正式亮相。    动力方面，新车将搭载一台1.5t涡轮增压发动机，最</t>
  </si>
  <si>
    <t>　　目前现代已在华布局了一款纯电SUV车型――昂希诺纯电版，新车已于去年11月在华正式上市开售。而近日海外媒体再次曝光了一组现代全新纯电SUV路试谍照图片，新车内部代号为45 EV Concept，并计划在2021年下半年正式亮相。　　外观方面，新车前脸将采用封闭式格栅设计，两侧或将配备LED光源。</t>
  </si>
  <si>
    <t>2020/02/13 13:04:00</t>
  </si>
  <si>
    <t>目前现代已在华布局了一款纯电SUV车型——昂希诺纯电版，新车已于去年11月在华正式上市开售。而近日海外媒体再次曝光了一组现代全新纯电SUV路试谍照图片，新车内部代号为45 EV Concept，并计划在2021年下半年正式亮相。    外观方面，新车前脸将采用封闭式格栅设计，两侧或将配备LED光源。</t>
  </si>
  <si>
    <t>　　天际汽车此前规划在5年内推出8款全新车型，包括2款轿车、5款SUV及1款MPV，全面覆盖各细分市场。目前，天际首款SUV-ME7已正式上市，新车已经下线，计划在今年1季度交付给用户。这也意味着，天际汽车还将有7款新车将陆续推出，有媒体从湖南省生态环境厅获得了天际全新SUV的相关信息，新车将于20</t>
  </si>
  <si>
    <t>2020/02/13 13:02:00</t>
  </si>
  <si>
    <t>天际汽车此前规划在5年内推出8款全新车型，包括2款轿车、5款SUV及1款MPV，全面覆盖各细分市场。目前，天际首款SUV-ME7已正式上市，新车已经下线，计划在今年1季度交付给用户。这也意味着，天际汽车还将有7款新车将陆续推出，有媒体从湖南省生态环境厅获得了天际全新SUV的相关信息，新车将于2021</t>
  </si>
  <si>
    <t>　　此前首辆大众CC Shooting Brake（猎装版）白车身在一汽-大众长春工厂正式下线，根据一汽-大众此前公布的信息，大众CC猎装版将在年内上市。不过，当很多人以为其将成为中国专属车型时，外媒拍摄到一组海外版Arteon Shooting Brake的路试谍照，也预示着未来海外市场也将销售这</t>
  </si>
  <si>
    <t>2020/02/13 12:59:00</t>
  </si>
  <si>
    <t>此前首辆大众CC Shooting Brake（猎装版）白车身在一汽-大众长春工厂正式下线，根据一汽-大众此前公布的信息，大众CC猎装版将在年内上市。不过，当很多人以为其将成为中国专属车型时，外媒拍摄到一组海外版Arteon Shooting Brake的路试谍照，也预示着未来海外市场也将销售这款产</t>
  </si>
  <si>
    <t>宾利汽车于近日宣布，将会在2020年日内瓦国际车展上正式推出宾利Mulliner Bacalar车型，以此诠释未来车身定制水准。有媒体从宾利汽车官方获悉，该车由宾利汽车个性化定制部门Mulliner打造，采用符合可持续发展理念的甄选材质，设计灵感汲取自宾利EXP 100 GT概念车。    宾利汽车</t>
  </si>
  <si>
    <t>2020/02/13 12:56:00</t>
  </si>
  <si>
    <t>　　宾利汽车于近日宣布，将会在2020年日内瓦国际车展上正式推出宾利Mulliner Bacalar车型，以此诠释未来车身定制水准。有媒体从宾利汽车官方获悉，该车由宾利汽车个性化定制部门Mulliner打造，采用符合可持续发展理念的甄选材质，设计灵感汲取自宾利EXP 100 GT概念车。　　宾利汽车</t>
  </si>
  <si>
    <t>劲客是日产旗下的一款小型SUV，这款车主打年轻消费群体，日产目前国内在售的唯一一款小型SUV。日前，有媒体从国家工信部获悉，东风日产劲客将推出一组全新选装件，根据不同的车型可选装的项目也略有差异，包括选装不同颜色门把手、后视镜样式、不同颜色的保险杠和摄像头等等。    从申报图可以看出，选装项目中不</t>
  </si>
  <si>
    <t>2020/02/13 12:54:00</t>
  </si>
  <si>
    <t>　　劲客是日产旗下的一款小型SUV，这款车主打年轻消费群体，日产目前国内在售的唯一一款小型SUV。日前，有媒体从国家工信部获悉，东风日产劲客将推出一组全新选装件，根据不同的车型可选装的项目也略有差异，包括选装不同颜色门把手、后视镜样式、不同颜色的保险杠和摄像头等等。　　从申报图可以看出，选装项目中不</t>
  </si>
  <si>
    <t>作为路虎发现神行的中期改款车型，全新路虎发现运动版针对五个方面进行升级，并于2020年1月1日开启预售，预售价格区间为35.98万-45.98万元。2月13日，有媒体从路虎官方获悉，全新路虎发现运动版将于明日正式上市。新车对外观内饰进行了重新设计，并提升科技配置，动力方面搭载最新的英杰力系列发动机。</t>
  </si>
  <si>
    <t>2020/02/13 12:52:00</t>
  </si>
  <si>
    <t>　　作为路虎发现神行的中期改款车型，全新路虎发现运动版针对五个方面进行升级，并于2020年1月1日开启预售，预售价格区间为35.98万-45.98万元。2月13日，有媒体从路虎官方获悉，全新路虎发现运动版将于明日正式上市。新车对外观内饰进行了重新设计，并提升科技配置，动力方面搭载最新的英杰力系列发动</t>
  </si>
  <si>
    <t>吴垠</t>
  </si>
  <si>
    <t>18款逸动主驾能一键降窗，为什么不能一键升窗。</t>
  </si>
  <si>
    <t>2020/02/13 12:50:32</t>
  </si>
  <si>
    <t>最近在看车觉得缤智不错，请问值得买吗？</t>
  </si>
  <si>
    <t>　　近日，有媒体从相关渠道获悉，雷克萨斯ES 300h在欧洲获得电子后视镜许可，未来该车可提供用于数字侧视摄像头和监视器的选装服务，这项选装服务预计从2020年3月开始执行。　　雷克萨斯最早于2018年在日本市场的2019款ES轿车中添加了这项技术，这也是当时首次在量产车上尝试采用侧视摄像头+显示屏</t>
  </si>
  <si>
    <t>2020/02/13 12:48:00</t>
  </si>
  <si>
    <t>近日，有媒体从相关渠道获悉，雷克萨斯ES 300h在欧洲获得电子后视镜许可，未来该车可提供用于数字侧视摄像头和监视器的选装服务，这项选装服务预计从2020年3月开始执行。    雷克萨斯最早于2018年在日本市场的2019款ES轿车中添加了这项技术，这也是当时首次在量产车上尝试采用侧视摄像头+显示屏</t>
  </si>
  <si>
    <t>　　近日，有媒体从外媒获悉，丰田GR性能子品牌计划推出GR C-HR车型，这款由GR部门打造的新车从外观上就和普通C-HR有明显区别，展现出强烈的日式战斗风格。　　经过GR部门改造之后的C-HR在外观上的进化有目共睹，前保险杠和进气格栅的样式和普通车型有较大区别，双五辐19英寸轮圈造型也十分运动。　</t>
  </si>
  <si>
    <t>2020/02/13 12:46:00</t>
  </si>
  <si>
    <t xml:space="preserve">近日，有媒体从外媒获悉，丰田GR性能子品牌计划推出GR C-HR车型，这款由GR部门打造的新车从外观上就和普通C-HR有明显区别，展现出强烈的日式战斗风格。    经过GR部门改造之后的C-HR在外观上的进化有目共睹，前保险杠和进气格栅的样式和普通车型有较大区别，双五辐19英寸轮圈造型也十分运动。 </t>
  </si>
  <si>
    <t>　　日前，有媒体从国家工信部官网获取了江铃福特全顺福祉车的申报信息，新车基于全顺短轴版打造，针对行动不便的老人或残疾人拥有更好的便利性，动力系统将搭载2.0T柴油发动机。　　外观方面，全顺福祉车沿用了商用版车型的车身配色，根据需求提供了3-7座布局，第三排位置则去掉常规座椅，配备了一个能够固定轮椅的</t>
  </si>
  <si>
    <t>2020/02/13 12:45:00</t>
  </si>
  <si>
    <t>日前，有媒体从国家工信部官网获取了江铃福特全顺福祉车的申报信息，新车基于全顺短轴版打造，针对行动不便的老人或残疾人拥有更好的便利性，动力系统将搭载2.0T柴油发动机。    外观方面，全顺福祉车沿用了商用版车型的车身配色，根据需求提供了3-7座布局，第三排位置则去掉常规座椅，配备了一个能够固定轮椅的</t>
  </si>
  <si>
    <t>　　SWM斯威X7是该品牌旗下一款中型七座SUV，该车型于2019年7月上市，售价区间为7.39-8.79万元，提供1.8L自然吸气和1.5T涡轮增压两种动力可以选择。2019年底SWM斯威X7国六车型上市，新车换装了2.0L自然吸气发动机，与之匹配的是5速手动变速箱最大功率101千瓦，峰值扭矩18</t>
  </si>
  <si>
    <t>2020/02/13 12:43:00</t>
  </si>
  <si>
    <t>SWM斯威X7是该品牌旗下一款中型七座SUV，该车型于2019年7月上市，售价区间为7.39-8.79万元，提供1.8L自然吸气和1.5T涡轮增压两种动力可以选择。2019年底SWM斯威X7国六车型上市，新车换装了2.0L自然吸气发动机，与之匹配的是5速手动变速箱最大功率101千瓦，峰值扭矩185牛</t>
  </si>
  <si>
    <t>斯柯达公司首款电动SUV将基于大众集团的MEB新平台打造，并被命名为Enyaq。    据国外媒体报道，斯柯达公司首款电动SUV将基于大众集团的MEB新平台打造，并被命名为Enyaq。    斯柯达公司此前所有的SUV名字都以“K”开头，以“Q”结尾。对于即将推出的电动SUV车型，这一捷克品牌对旗下</t>
  </si>
  <si>
    <t>2020/02/13 12:42:00</t>
  </si>
  <si>
    <t>　　斯柯达公司首款电动SUV将基于大众集团的MEB新平台打造，并被命名为Enyaq。　　据国外媒体报道，斯柯达公司首款电动SUV将基于大众集团的MEB新平台打造，并被命名为Enyaq。　　斯柯达公司此前所有的SUV名字都以“K”开头，以“Q”结尾。对于即将推出的电动SUV车型，这一捷克品牌对旗下车型</t>
  </si>
  <si>
    <t>　　去年夏天，标致的老板泽维尔・标致旗下雪铁龙紧凑型跨界车C4 Cactus迎来换代。当时这家法国汽车制造商希望其替代产品更加传统，放弃一些非常规的设计思想。但在近日，有外媒曝光出了雪铁龙C4 Cactus的谍照，展示了一个不同的原型。　　该测试车暗示该量产车型将是掀背式SUV，它将以醒目的外观出现</t>
  </si>
  <si>
    <t>2020/02/13 12:39:00</t>
  </si>
  <si>
    <t>去年夏天，标致的老板泽维尔·标致旗下雪铁龙紧凑型跨界车C4 Cactus迎来换代。当时这家法国汽车制造商希望其替代产品更加传统，放弃一些非常规的设计思想。但在近日，有外媒曝光出了雪铁龙C4 Cactus的谍照，展示了一个不同的原型。    该测试车暗示该量产车型将是掀背式SUV，它将以醒目的外观出现</t>
  </si>
  <si>
    <t xml:space="preserve">随着992一代车型的全面铺开，保时捷对于各个型号的更新换代工作也在日渐加快。近日，海外车媒Motor1.com曝光了一组新一代保时捷911 Targa GTS车型的无伪装测试谍照，揭示了关于该车型的诸多设计信息，预计新车将会在今年三月份举行的日内瓦国际车展上进行正式发布，并在年底前正式发售。    </t>
  </si>
  <si>
    <t>2020/02/13 12:38:00</t>
  </si>
  <si>
    <t>　　随着992一代车型的全面铺开，保时捷对于各个型号的更新换代工作也在日渐加快。近日，海外车媒Motor1.com曝光了一组新一代保时捷911 Targa GTS车型的无伪装测试谍照，揭示了关于该车型的诸多设计信息，预计新车将会在今年三月份举行的日内瓦国际车展上进行正式发布，并在年底前正式发售。　　</t>
  </si>
  <si>
    <t>　　虽然在过去的一年里，国内车市依旧处于寒冬时期，但本田在国内汽车发展并没有受太多影响，相反还有一定提升，在接下来的2020年，本田会投放不少新的产品，当中不乏一些重磅车型，以此让本田在未来2020年的汽车市场上继续发热。　　本田汽车在国内持续发力，在刚过去的2019年本田的销量成绩，主要包括旗下2</t>
  </si>
  <si>
    <t>潘洪瀚</t>
  </si>
  <si>
    <t>2020/02/13 12:36:00</t>
  </si>
  <si>
    <t>虽然在过去的一年里，国内车市依旧处于寒冬时期，但本田在国内汽车发展并没有受太多影响，相反还有一定提升，在接下来的2020年，本田会投放不少新的产品，当中不乏一些重磅车型，以此让本田在未来2020年的汽车市场上继续发热。    本田汽车在国内持续发力，在刚过去的2019年本田的销量成绩，主要包括旗下2</t>
  </si>
  <si>
    <t>　　吉利icon作为品牌旗下的全新重磅产品，原定2月14日情人节在吉利总部所在地，杭州的新地标建筑――杭州奥体中心网球馆（小莲花）举行上市发布会。疫情当前，这场发布会取消，但吉利icon上市时间不变，改为2月14日线上直播上市。　　吉利icon此前在2019广州车展全球首秀。在尚未公布价格的情况下，</t>
  </si>
  <si>
    <t>谢鹏</t>
  </si>
  <si>
    <t>2020/02/13 12:33:00</t>
  </si>
  <si>
    <t>吉利icon作为品牌旗下的全新重磅产品，原定2月14日情人节在吉利总部所在地，杭州的新地标建筑——杭州奥体中心网球馆（小莲花）举行上市发布会。疫情当前，这场发布会取消，但吉利icon上市时间不变，改为2月14日线上直播上市。    吉利icon此前在2019广州车展全球首秀。在尚未公布价格的情况下，</t>
  </si>
  <si>
    <t>投诉编号：【447095】  投诉时间： 2020-02-13 12:19  投诉品牌： 广汽丰田  投诉车系： 凯美瑞  投诉车型： 2015款 2.0G 自动 领先版        投诉内容  广汽丰田凯美瑞半轴防尘套漏油，质保期内出现少许渗油，4S店人员说不要紧没更换，现在油漏厉害了，4S店人</t>
  </si>
  <si>
    <t>2020/02/13 12:19:00</t>
  </si>
  <si>
    <t>投诉编号：【447092】投诉时间：2020-02-1312:13投诉品牌：上汽集团投诉车系：荣威RX3投诉车型：2018款1.6LCVT旗舰版投诉内容低速行驶时感觉不到，快速时特别是在高速上感觉很明显。不是往一个方向偏，总是要不停地修正。比如说现在有点往左偏，我就往右修正一点点，车子就又往右偏了。</t>
  </si>
  <si>
    <t>2020/02/13 12:13:00</t>
  </si>
  <si>
    <t>我是2017年11月份购车，现在车辆的里程大概是2.6万公里，之前车辆的左后尾灯就发生过进水现象，当时在4S店进行了索赔更换。上周发现车辆的右后尾灯也出现进水现象，这是车灯的普遍质量问题，要求厂家免费更换车灯。</t>
  </si>
  <si>
    <t>小黑-狗狗</t>
  </si>
  <si>
    <t>2020/02/13 12:11:00</t>
  </si>
  <si>
    <t>本田雅阁后尾灯进水我是2017年11月份购车，现在车辆的里程大概是2.6万公里，之前车辆的左后尾灯就发生过进水现象，当时在4S店进行了索赔更换。上周发现车辆的右后尾灯也出现进水现象，这是车灯的普遍质量问题，要求厂家免费更换车灯。</t>
  </si>
  <si>
    <t>先后多次出现冷却系统故障：1、液位传感器无故损坏，之前已经维修更换。2、出水室漏冷却液，几个月前已维修更换。3、现又出现冷却液全部漏完，监测为冷却液的某根管道磨损漏水（待处理）。4、发动机盖子接缝处漏油（这个年前就开始，目前待处理）本车现在是第四年，去年出保后半年时间到现在问题频繁，到底还有什么问题</t>
  </si>
  <si>
    <t>红月亮</t>
  </si>
  <si>
    <t>2020/02/13 12:10:00</t>
  </si>
  <si>
    <t>雪铁龙C4L冷却液水管损坏先后多次出现冷却系统故障：1、液位传感器无故损坏，之前已经维修更换。2、出水室漏冷却液，几个月前已维修更换。3、现又出现冷却液全部漏完，监测为冷却液的某根管道磨损漏水（待处理）。4、发动机盖子接缝处漏油（这个年前就开始，目前待处理）本车现在是第四年，去年出保后半年时间到现在</t>
  </si>
  <si>
    <t>经厂家指定维修店检测，确认为因车辆发动机与变速器不匹配，导致变速器打滑，造成车辆自动停驶，车辆已停在厂家指定维修店十多天，反映厂家一直没有配件寄来，已咨询厂家全国热线却无一个解决时限，难道车辆就只能一直放在维修店等吗，等到什么时候为止，请厂家给予答复何时可把配件寄到维修店供我车更换？从交车到维修店至</t>
  </si>
  <si>
    <t>染色房</t>
  </si>
  <si>
    <t>2020/02/13 12:09:00</t>
  </si>
  <si>
    <t>众泰SR9变速器打滑无法行驶经厂家指定维修店检测，确认为因车辆发动机与变速器不匹配，导致变速器打滑，造成车辆自动停驶，车辆已停在厂家指定维修店十多天，反映厂家一直没有配件寄来，已咨询厂家全国热线却无一个解决时限，难道车辆就只能一直放在维修店等吗，等到什么时候为止，请厂家给予答复何时可把配件寄到维修店</t>
  </si>
  <si>
    <t>停车三四个小时以上，或者每天第一次启动车辆。发生咔咔咔类似的齿轮打齿声，持续几秒左右。热车后再发动无声音，但冷车状态下每次都响，和其他飞度车友交流，很多有类似情况。是本田VTC配件设计缺陷，vtc盘存在问题，严重打齿会导致执行器破碎开裂，导致车辆发动机损坏，百分之90以上车主都有发生类似情况。本田至</t>
  </si>
  <si>
    <t>灰色笔记</t>
  </si>
  <si>
    <t>2020/02/13 12:08:00</t>
  </si>
  <si>
    <t>本田飞度冷车启动时发动机异响停车三四个小时以上，或者每天第一次启动车辆。发生咔咔咔类似的齿轮打齿声，持续几秒左右。热车后再发动无声音，但冷车状态下每次都响，和其他飞度车友交流，很多有类似情况。是本田VTC配件设计缺陷，vtc盘存在问题，严重打齿会导致执行器破碎开裂，导致车辆发动机损坏，百分之90以上</t>
  </si>
  <si>
    <t>北汽幻速H3F电脑板损坏导致无法加速，一直没货。一直反馈。审车审不过。现在都马上超出审车范围了。希望厂家尽快处理。</t>
  </si>
  <si>
    <t>酷狗爱唱歌</t>
  </si>
  <si>
    <t>2020/02/13 12:07:00</t>
  </si>
  <si>
    <t>要求瑞鸿汽车服务有限公司更换右翼子板，收取1700的更换维修费用，但是4S店未按照更换零配件，只做了原车配件修复，欺诈消费者权益。4S店告知更换了翼子板，之前原车留下的陈旧部位依然原样的存在。以及原车留有的旧痕依然存在。欺诈消费者，反而冠冕堂皇的说我说更换了就更换了，我说了算。不服气你去投诉我，你大</t>
  </si>
  <si>
    <t>咸蛋侠</t>
  </si>
  <si>
    <t>北汽幻速H3F电脑板损坏北汽幻速H3F电脑板损坏导致无法加速，一直没货。一直反馈。审车审不过。现在都马上超出审车范围了。希望厂家尽快处理。</t>
  </si>
  <si>
    <t>东南DX7进行事故维修售后未更换翼子板要求瑞鸿汽车服务有限公司更换右翼子板，收取1700的更换维修费用，但是4S店未按照更换零配件，只做了原车配件修复，欺诈消费者权益。4S店告知更换了翼子板，之前原车留下的陈旧部位依然原样的存在。以及原车留有的旧痕依然存在。欺诈消费者，反而冠冕堂皇的说我说更换了就更</t>
  </si>
  <si>
    <t>事件经过：1.因水泵故障，2月4日，接该4s店通知，将车开至该4s店更换水泵；2.更换水泵后，被4s店告知车辆无法点火，初步判断发动机故障，需拆修发动机；3. 2月5日，被4s店告知因长期烧机油，导致发动机损坏，需大修发动机，材料费10954元+工时费4600元；4.因对出现该故障原因提出质疑，向一</t>
  </si>
  <si>
    <t>钥匙遇上锁</t>
  </si>
  <si>
    <t>2020/02/13 12:06:00</t>
  </si>
  <si>
    <t>副驾驶安全带问题已经上报，但是厂家生产和售后机制非常的差，日产处理解决不及时，流程各种繁琐，日产售后完全不行，并且途达可以在东风日产销售和售后，但是东风日产所有惠民政策途达不能享受，太卑劣，广告和卖车的时候怎么不告知。电瓶打火的时候出现不稳定，阶段性点火，天气冷的时候尤为明显，电瓶存在漏电现象并影响</t>
  </si>
  <si>
    <t>泽恩</t>
  </si>
  <si>
    <t>郑州日产途达电瓶漏电副驾驶安全带问题已经上报，但是厂家生产和售后机制非常的差，日产处理解决不及时，流程各种繁琐，日产售后完全不行，并且途达可以在东风日产销售和售后，但是东风日产所有惠民政策途达不能享受，太卑劣，广告和卖车的时候怎么不告知。电瓶打火的时候出现不稳定，阶段性点火，天气冷的时候尤为明显，电</t>
  </si>
  <si>
    <t>大众高尔夫发动机烧机油事件经过：1.因水泵故障，2月4日，接该4s店通知，将车开至该4s店更换水泵；2.更换水泵后，被4s店告知车辆无法点火，初步判断发动机故障，需拆修发动机；3. 2月5日，被4s店告知因长期烧机油，导致发动机损坏，需大修发动机，材料费10954元+工时费4600元；4.因对出现该</t>
  </si>
  <si>
    <t>2019年12月开始偶尔亮故障灯，去4S店维修师傅未做准确的维修方案，只是把故障码清除了一下，出了4S店走了十几公里又亮起了故障灯，现在只要启动车子，故障灯就会保持长亮，去4S店再次检查，仍未检查出具体问题，现在导致行车仪表长亮故障码丧失其他功能，车辆ASC防侧滑功能故障，影响行车安全！车辆无法正常</t>
  </si>
  <si>
    <t>戴拿</t>
  </si>
  <si>
    <t>2020/02/13 12:05:00</t>
  </si>
  <si>
    <t>三菱翼神行车电脑提示ASC故障灯亮2019年12月开始偶尔亮故障灯，去4S店维修师傅未做准确的维修方案，只是把故障码清除了一下，出了4S店走了十几公里又亮起了故障灯，现在只要启动车子，故障灯就会保持长亮，去4S店再次检查，仍未检查出具体问题，现在导致行车仪表长亮故障码丧失其他功能，车辆ASC防侧滑功</t>
  </si>
  <si>
    <t>长安悦翔V7车门生锈，副驾驶车门从里向外锈迹斑斑，而且掉漆严重，希望厂家处理问题。</t>
  </si>
  <si>
    <t>2020/02/13 12:03:00</t>
  </si>
  <si>
    <t>如图，长安悦翔V7车门生锈严重长安悦翔V7车门生锈，副驾驶车门从里向外锈迹斑斑，而且掉漆严重，希望厂家处理问题。</t>
  </si>
  <si>
    <t>　　福克斯自2018年换代以来已过去一年多，众所周知，福克斯除了普通型号以外，还有两款性能车款，分别是st以及rs，其中rs更是代表了福克斯的最高性能。但随着时间的推移，新一代福克斯st如期而至，但其终极型号rs却迟迟未见身影，不少人将rs的缺席归结于排放条例的严厉，没有合适的动力，rs自然无法落地</t>
  </si>
  <si>
    <t>2020/02/13 11:49:00</t>
  </si>
  <si>
    <t>福克斯自2018年换代以来已过去一年多，众所周知，福克斯除了普通型号以外，还有两款性能车款，分别是st以及rs，其中rs更是代表了福克斯的最高性能。但随着时间的推移，新一代福克斯st如期而至，但其终极型号rs却迟迟未见身影，不少人将rs的缺席归结于排放条例的严厉，没有合适的动力，rs自然无法落地。2</t>
  </si>
  <si>
    <t>　　2月11日，戴姆勒集团召开2020年度新闻发布会，公布了2019年集团财报以及2020年的目标与新动作。戴姆勒表示，未来将依赖于碳中和出行及持续的数字化布局，其中2020年就将推出eqa、eqv以及20多款插电式混合动力汽车。　　纯电动车方面，基于全新奔驰gla而来的eqa将会在今年第三季度或第</t>
  </si>
  <si>
    <t>2020/02/13 11:48:00</t>
  </si>
  <si>
    <t>2月11日，戴姆勒集团召开2020年度新闻发布会，公布了2019年集团财报以及2020年的目标与新动作。戴姆勒表示，未来将依赖于碳中和出行及持续的数字化布局，其中2020年就将推出eqa、eqv以及20多款插电式混合动力汽车。    纯电动车方面，基于全新奔驰gla而来的eqa将会在今年第三季度或第</t>
  </si>
  <si>
    <t>2020/02/13 11:47:05</t>
  </si>
  <si>
    <t>投诉编号：【447091】
投诉时间： 2020-02-13 11:46
投诉品牌： 长安汽车
投诉车系： 长安CS55
投诉车型： 2017款 1.5T 自动 炫动型</t>
  </si>
  <si>
    <t>　　2020年2月12日，在意大利reggio emilia的romolo valli歌剧院法拉利发布了2020赛季全新的f1赛车，他们给它命名为“sf1000”。法拉利新赛季车手阵容依旧是塞巴斯蒂安・维特尔和夏尔・勒克莱尔，虽然是第一次搭档，两人在上赛季就为车队拿下了三场胜利，而初来乍到的勒克莱尔</t>
  </si>
  <si>
    <t>王岳</t>
  </si>
  <si>
    <t>2020/02/13 11:46:00</t>
  </si>
  <si>
    <t>2020年2月12日，在意大利reggio emilia的romolo valli歌剧院法拉利发布了2020赛季全新的f1赛车，他们给它命名为“sf1000”。法拉利新赛季车手阵容依旧是塞巴斯蒂安·维特尔和夏尔·勒克莱尔，虽然是第一次搭档，两人在上赛季就为车队拿下了三场胜利，而初来乍到的勒克莱尔以七</t>
  </si>
  <si>
    <t>投诉编号：【447090】  投诉时间： 2020-02-13 11:45  投诉品牌： 一汽-大众  投诉车系： 速腾  投诉车型： 2018款 280TSI DSG熠动版        投诉内容  2018年购买车辆、开了12700公里发现四个原厂韩泰轮胎开裂，希望厂家处理问题。      投诉</t>
  </si>
  <si>
    <t>2020/02/13 11:45:00</t>
  </si>
  <si>
    <t>适合全家出游车型 这四款MPV最值得推荐随着生活水平的提升，越来越多的人开始注重生活的品质，在平时快节奏的生活中也都渴望在休息的时候可以更好的放松一下自己。这个时候带上家人或者是跟身边的朋友一场说走就走的旅行就成为了很多都市人的选择。接下来，我就给大家推荐几款空间大、配置高的自主品牌MPV，它们不仅</t>
  </si>
  <si>
    <t>2020/02/13 11:43:00</t>
  </si>
  <si>
    <t>随着生活水平的提升，越来越多的人开始注重生活的品质，在平时快节奏的生活中也都渴望在休息的时候可以更好的放松一下自己。这个时候带上家人或者是跟身边的朋友一场说走就走的旅行就成为了很多都市人的选择。接下来，我就给大家推荐几款空间大、配置高的自主品牌MPV，它们不仅适合出游，关键最低还不到8万元！吉利嘉际</t>
  </si>
  <si>
    <t>2020最值得期待的十款全新轿车转眼间，2020年就已经过去一个月之多了，作为史上最"难熬"鼠年，今年的消费者注定不会过得特别开心，因为最新爆发的新冠病毒正大肆蔓延，所以全国人民也都被迫加入了这场战"疫"之中。不过好在目前疫情已经得到了基本有效的控制，所以咱们老百姓也不要太过于担心，做好在家隔离的工</t>
  </si>
  <si>
    <t>2020/02/13 11:42:00</t>
  </si>
  <si>
    <t>　　近日，我们从名爵官方获悉，因受到疫情影响，针对2020年1月1日-2月29日保修期即将过期的车主，厂商将保修期延长至2020年3月31日。</t>
  </si>
  <si>
    <t>杜宇</t>
  </si>
  <si>
    <t>转眼间，2020年就已经过去一个月之多了，作为史上最"难熬"鼠年，今年的消费者注定不会过得特别开心，因为最新爆发的新冠病毒正大肆蔓延，所以全国人民也都被迫加入了这场战"疫"之中。不过好在目前疫情已经得到了基本有效的控制，所以咱们老百姓也不要太过于担心，做好在家隔离的工作就可以了。那对于要买车的朋友而</t>
  </si>
  <si>
    <t>近日，我们从名爵官方获悉，因受到疫情影响，针对2020年1月1日-2月29日保修期即将过期的车主，厂商将保修期延长至2020年3月31日。</t>
  </si>
  <si>
    <t>本篇文章给大家来盘点一下，2019年中国最热销的10款汽车。通过盘点中国最热销的汽车，我们可以发现其中的一些有意思的规律。1. 消费者依然偏爱德系车，日系车从上榜的10款车型来看，朗逸，宝来，速腾，桑塔纳，帕萨特，这5款车型全部是德系车。而轩逸，卡罗拉，思域，雅阁这4款来自日本的汽车销量也都挺好的。</t>
  </si>
  <si>
    <t>2020/02/13 11:41:00</t>
  </si>
  <si>
    <t>2019年中国最热销的轿车，全是合资本篇文章给大家来盘点一下，2019年中国最热销的10款汽车。通过盘点中国最热销的汽车，我们可以发现其中的一些有意思的规律。1. 消费者依然偏爱德系车，日系车从上榜的10款车型来看，朗逸，宝来，速腾，桑塔纳，帕萨特，这5款车型全部是德系车。而轩逸，卡罗拉，思域，雅阁</t>
  </si>
  <si>
    <t>汽车作为人类最重要的交通工具之一，已经跟大家的日常生活紧密不分。随着国人收入水平的不断提高，购买一辆汽车作为日常代步工具，也开始成为许多人的短期目标。在购买汽车时，除了去S4店购买新车以外，还有一部分人会选择购买性价比更高的二手汽车。我个人觉得，如果三五年之内会换车，购买二手汽车的确要比新车划算很多</t>
  </si>
  <si>
    <t>2020/02/13 11:40:00</t>
  </si>
  <si>
    <t>国内消费者对于三缸发动机的抵制，导致车企只能向他们低头，这不最近就有两款车型重新增加了四缸发动机，好让消费者能够接受它们。第一款车型是英朗，英朗自从全系配备三缸发动机开始，这款车就与月销量前十无缘了，后来靠着较大的优惠，才算是将急剧下滑的销量给稳住。如今国内车市已进入寒冬，所有品牌不可避免的将进行一</t>
  </si>
  <si>
    <t>便宜又好开的5款二手车！汽车作为人类最重要的交通工具之一，已经跟大家的日常生活紧密不分。随着国人收入水平的不断提高，购买一辆汽车作为日常代步工具，也开始成为许多人的短期目标。在购买汽车时，除了去S4店购买新车以外，还有一部分人会选择购买性价比更高的二手汽车。我个人觉得，如果三五年之内会换车，购买二手</t>
  </si>
  <si>
    <t>实在卖不动了 这两款车改用四缸发动机国内消费者对于三缸发动机的抵制，导致车企只能向他们低头，这不最近就有两款车型重新增加了四缸发动机，好让消费者能够接受它们。第一款车型是英朗，英朗自从全系配备三缸发动机开始，这款车就与月销量前十无缘了，后来靠着较大的优惠，才算是将急剧下滑的销量给稳住。如今国内车市已</t>
  </si>
  <si>
    <t>　　在主流合资中型车这个领域，各家品牌尽显其能。而想要在20万元左右的区间，找一辆个性还想兼顾实用的车型似乎并不难。眼看着消费群体越发年轻，各家中级轿车也在往年轻化、运动化的方向不断演变，伴随着车市的潮来潮去，时下不少性价比高的运动型中级轿车脱颖而出，标致508l/日产天籁/大众帕萨特/别克君威作为</t>
  </si>
  <si>
    <t>侃驾</t>
  </si>
  <si>
    <t>转眼2019年就要过去了，又到了一年的盘点季。虽然今年SUV的销量下滑明显，但是从今年厂家推出的新车来看，SUV车型依旧占据了主导地位。众多车型齐入SUV红海，更是加剧了该细分市场的竞争，有上市后销量扑街的，自然有上市后大卖的。今天，《车壹圈》就为大家盘点一下2019年上市即热卖的SUV车型，为大家</t>
  </si>
  <si>
    <t>2020/02/13 11:39:00</t>
  </si>
  <si>
    <t>说到爆款车型你会想到哪款车呢？是颜值动力并存的本田思域？还是经久不衰的丰田汉兰达？不过这里要对汉兰达说一句“你再不换代，竞品车型可真要威胁到你了”。小伙伴们都知道，汉兰达一直是同级别车型中BUG一样的存在，不论是比它大还是比它动力好的车型，都威胁不到它的“霸主”地位。虽然竞品车型都双双败下阵来，但输</t>
  </si>
  <si>
    <t>本以为是“爆款”SUV，结果成了昙花一现？说到爆款车型你会想到哪款车呢？是颜值动力并存的本田思域？还是经久不衰的丰田汉兰达？不过这里要对汉兰达说一句“你再不换代，竞品车型可真要威胁到你了”。小伙伴们都知道，汉兰达一直是同级别车型中BUG一样的存在，不论是比它大还是比它动力好的车型，都威胁不到它的“霸</t>
  </si>
  <si>
    <t>盘点2019年上市即热卖的SUV车型转眼2019年就要过去了，又到了一年的盘点季。虽然今年SUV的销量下滑明显，但是从今年厂家推出的新车来看，SUV车型依旧占据了主导地位。众多车型齐入SUV红海，更是加剧了该细分市场的竞争，有上市后销量扑街的，自然有上市后大卖的。今天，《车壹圈》就为大家盘点一下20</t>
  </si>
  <si>
    <t>有些人在买车的时候，会把保值率当做评价车辆好坏的依据，似乎保值率低就代表车辆不好。但是，市面上有很多保值率低、本身产品力还不错的车，如果买它们的二手车，由于最狠的一刀已经砍在了第一任车主身上，所以是非常划算的！今天要聊的这10款，就是目前市面上“不保值好车”中的翘楚！说到ATS-L，它可能是继当年锐</t>
  </si>
  <si>
    <t>2020/02/13 11:38:00</t>
  </si>
  <si>
    <t>二手必看 这10款“不保值好车”买就完事了有些人在买车的时候，会把保值率当做评价车辆好坏的依据，似乎保值率低就代表车辆不好。但是，市面上有很多保值率低、本身产品力还不错的车，如果买它们的二手车，由于最狠的一刀已经砍在了第一任车主身上，所以是非常划算的！今天要聊的这10款，就是目前市面上“不保值好车”</t>
  </si>
  <si>
    <t>这些经典SUV要彻底和中国说再见前言：国六排放标准分为两个阶段实施，第一阶段是从2020年7月1日起，所有销售和注册登记的汽车都必须符合国六A标准；而第二阶段实施，则是从2023年7月1日起，所有销售和注册登记的汽车都必须符合国六B标准。这就意味着，今年7月份可以正式告别不符合国六排放的所有新车了，</t>
  </si>
  <si>
    <t>前言：国六排放标准分为两个阶段实施，第一阶段是从2020年7月1日起，所有销售和注册登记的汽车都必须符合国六A标准；而第二阶段实施，则是从2023年7月1日起，所有销售和注册登记的汽车都必须符合国六B标准。这就意味着，今年7月份可以正式告别不符合国六排放的所有新车了，这也是平行进口车车商宣布消亡的第</t>
  </si>
  <si>
    <t>2020/02/13 11:36:05</t>
  </si>
  <si>
    <t>投诉编号：【447088】
投诉时间： 2020-02-13 11:28
投诉品牌： 长安汽车
投诉车系： 悦翔V7
投诉车型： 2015款 1.6L 手动 乐享型 国IV</t>
  </si>
  <si>
    <t>　　尽管元宵已过，但还是要给各位易车的网友们拜个晚年！由于冠状病毒的爆发，这个春节假期过得并不热闹，相信很多人都跟我一样，都是在家中躺着为国家做贡献，为抗击病毒疫情出着自己的一份力。突然爆发的病毒疫情，不仅影响着大家的生活进度，较高的传染性，也让很多人近期不敢再通过公共交通出勤。　　而如此现状，也使</t>
  </si>
  <si>
    <t>2020/02/13 11:36:00</t>
  </si>
  <si>
    <t>近日据外媒报道，因欧宝在被psa集团收购后没有后继车型的开发计划，欧宝旗下纯电动小型车ampera-e（雪佛兰bolt ev的姊妹车型）即将退市，在欧洲部分国家和地区这款车型已经开始大幅降价清仓。    在欧宝被psa收购前，通用汽车将bolt ev引入到欧洲，命名为ampera-e后归属到欧宝品牌</t>
  </si>
  <si>
    <t>2020/02/13 11:33:00</t>
  </si>
  <si>
    <t>　　近日据外媒报道，因欧宝在被psa集团收购后没有后继车型的开发计划，欧宝旗下纯电动小型车ampera-e（雪佛兰bolt ev的姊妹车型）即将退市，在欧洲部分国家和地区这款车型已经开始大幅降价清仓。　　在欧宝被psa收购前，通用汽车将bolt ev引入到欧洲，命名为ampera-e后归属到欧宝品牌</t>
  </si>
  <si>
    <t>日前，本田发布其第三财季（2019年10月1日-2019年12月31日）财报。数据显示，第三财季，本田营业收入为37475亿日元（约合人民币2385亿元），同比下降5.7%；营业利润为1666亿日元（约合人民币106亿元），同比下滑2.1%；净利润为1164亿日元（约合人民币74亿元），同比下降30</t>
  </si>
  <si>
    <t>2020/02/13 11:32:00</t>
  </si>
  <si>
    <t>　　日前，本田发布其第三财季（2019年10月1日-2019年12月31日）财报。数据显示，第三财季，本田营业收入为37475亿日元（约合人民币2385亿元），同比下降5.7%；营业利润为1666亿日元（约合人民币106亿元），同比下滑2.1%；净利润为1164亿日元（约合人民币74亿元），同比下降</t>
  </si>
  <si>
    <t>10万块钱之内的女生代步车怎么选10万块钱之内，要求自动档省油的女生代步车怎么选？首先我们来看一下小女生的对汽车的基本需求。首先汽车外观颜值一定要高，即使不漂亮，但也一定不能丑，内饰也要尽可能的豪华漂亮；第二是车不能太大，最好是车身小巧、转向灵活轻便的，停车比较方便；第三是经济耐用，可靠性好，故障率</t>
  </si>
  <si>
    <t>2020/02/13 11:28:00</t>
  </si>
  <si>
    <t>10万块钱之内，要求自动档省油的女生代步车怎么选？首先我们来看一下小女生的对汽车的基本需求。首先汽车外观颜值一定要高，即使不漂亮，但也一定不能丑，内饰也要尽可能的豪华漂亮；第二是车不能太大，最好是车身小巧、转向灵活轻便的，停车比较方便；第三是经济耐用，可靠性好，故障率低，用起来省心、放心。此外，小女</t>
  </si>
  <si>
    <t>图源：Envision官网    据外媒报道，Envision Solar公司的可再生能源路灯获得专利，该产品名为EV Standard，可在路边为电动汽车充电。    该设备旨在克服电动汽车街头充电的障碍，同时提供节能和可持续的照明解决方案。通过将太阳能、风能和公共电力结合在集成电池组中，以可持续</t>
  </si>
  <si>
    <t>2020/02/13 11:27:00</t>
  </si>
  <si>
    <t>图源：Envision官网　　据外媒报道，Envision Solar公司的可再生能源路灯获得专利，该产品名为EV Standard，可在路边为电动汽车充电。　　该设备旨在克服电动汽车街头充电的障碍，同时提供节能和可持续的照明解决方案。通过将太阳能、风能和公共电力结合在集成电池组中，以可持续又经济的</t>
  </si>
  <si>
    <t>新买的车没有重新喷漆 为什么会有色差大家在买车时会发现，有些新车的前后保险杠、叶子板等部位，与车身的颜色有色差。但是4s店却可以绝对保证这车没有碰撞过，也没有重新做过漆。很多人就奇怪了，为什么新车就会有色差呢？其实这是一种正常现象，主要原因是由于材料的差异导致的。大家知道，汽车主机厂在制造汽车时，汽</t>
  </si>
  <si>
    <t>大家在谈论汽车的动力大小时，经常会说发动机是多少马力的，但是发动机铭牌上标注的却是千瓦，这个马力与千瓦有什么区别呢？其实千瓦和马力都是发动机功率的单位，所不同的是千瓦是国际单位，一千瓦是指发动机在一秒钟之内做了一千焦耳的功；而马力是英制单位，它又分为公制马力和英制马力，公制马力是指一匹马每秒能够把7</t>
  </si>
  <si>
    <t>大家在买车时会发现，有些新车的前后保险杠、叶子板等部位，与车身的颜色有色差。但是4s店却可以绝对保证这车没有碰撞过，也没有重新做过漆。很多人就奇怪了，为什么新车就会有色差呢？其实这是一种正常现象，主要原因是由于材料的差异导致的。大家知道，汽车主机厂在制造汽车时，汽车的颜色喷涂一般要经过四道工序：电泳</t>
  </si>
  <si>
    <t>发动机功率单位千瓦和马力有什么区别大家在谈论汽车的动力大小时，经常会说发动机是多少马力的，但是发动机铭牌上标注的却是千瓦，这个马力与千瓦有什么区别呢？其实千瓦和马力都是发动机功率的单位，所不同的是千瓦是国际单位，一千瓦是指发动机在一秒钟之内做了一千焦耳的功；而马力是英制单位，它又分为公制马力和英制马</t>
  </si>
  <si>
    <t>　　从2018年4月发布至今，丰田tnga丰巢概念已走过将近2年的时间了。在这期间，丰田品牌相继推出了多款基于tnga架构开发的全新车型，并获得了全球范围内的广泛关注和好评。对于消费者来说，我们或许并不需要了解tnga丰巢概念究竟是什么，但是我们一定想知道基于tnga架构开发的新产品，会为我们带来哪</t>
  </si>
  <si>
    <t>2020/02/13 11:26:00</t>
  </si>
  <si>
    <t>图源：Enevate官网    据外媒报道，锂离子电池技术公司Enevate宣布推出第四代全新以硅为主导的电池技术，可以进行大批量生产，进行商业化。全新XFC-Energy电池技术，可使能量密度可达到800 Wh/L，并实现5分钟充电至75%。目前，传统大容量锂离子电动车电池的能量密度大约为500-</t>
  </si>
  <si>
    <t>图源：Enevate官网　　据外媒报道，锂离子电池技术公司Enevate宣布推出第四代全新以硅为主导的电池技术，可以进行大批量生产，进行商业化。全新XFC-Energy电池技术，可使能量密度可达到800 Wh/L，并实现5分钟充电至75%。目前，传统大容量锂离子电动车电池的能量密度大约为500-60</t>
  </si>
  <si>
    <t>汽车水泵叶片破损的原因是什么有些车出现发动机水温过高、水箱开锅的故障，最终的检查结果是水泵坏了。把水泵拆下来之后发现，水泵上的叶片破损甚至消失了，这究竟是为什么呢？汽车发动机水泵的功用是对冷却液加压，保证其在冷却系统中循环流动。汽车发动机广泛采用离心式水泵。它的工作原理是：当发动机运转时，曲轴通过皮</t>
  </si>
  <si>
    <t>车子的造型设计固然是非常重要的，但是内饰也是很多人关注的重点。对于驾驶者来说，车子的内饰是常常要接触的，因此内饰的材质、设计、触感和设置等等，都变得尤为重要。在内饰的用料中，有一种用料叫做搪塑工艺，这里我们就来说说搪塑工艺是什么，汽车厂家是怎么样通过内饰材料的选择才营造内饰的高级感的？内饰的材料主要</t>
  </si>
  <si>
    <t>有些车出现发动机水温过高、水箱开锅的故障，最终的检查结果是水泵坏了。把水泵拆下来之后发现，水泵上的叶片破损甚至消失了，这究竟是为什么呢？汽车发动机水泵的功用是对冷却液加压，保证其在冷却系统中循环流动。汽车发动机广泛采用离心式水泵。它的工作原理是：当发动机运转时，曲轴通过皮带带动水泵叶轮旋转，水泵中的</t>
  </si>
  <si>
    <t>都说搪塑工艺高档 什么是搪塑工艺车子的造型设计固然是非常重要的，但是内饰也是很多人关注的重点。对于驾驶者来说，车子的内饰是常常要接触的，因此内饰的材质、设计、触感和设置等等，都变得尤为重要。在内饰的用料中，有一种用料叫做搪塑工艺，这里我们就来说说搪塑工艺是什么，汽车厂家是怎么样通过内饰材料的选择才营</t>
  </si>
  <si>
    <t>电动四驱技术与传统的四驱有何区别大家都知道，传统燃油车有两驱车，也有四驱车，其中四驱车动力更加充沛。而对于目前不断发展的新能源汽车来说，同样拥有四驱技术。那么电动四驱技术和传统的四驱又有何区别呢？功能实现有差异吗？其实电动四驱并不是指的单一来源的四驱，而是可以有多个动力来源。比如说可以用电机，也可以</t>
  </si>
  <si>
    <t>2020/02/13 11:25:00</t>
  </si>
  <si>
    <t>随着汽车电动化进程的不断加快和充电基础设施的完善，很多消费者在购车时都考虑购买纯电动汽车。但是就目前来看，纯电动汽车在后期用车过程中依然存在着里程焦虑，所以续航表现成为了关注的重点。那么购买纯电动汽车时，多长的续航才适合自己呢？其实纯电动汽车续航多少更加适合自己，需要根据自己的用车需求来决定。就目前</t>
  </si>
  <si>
    <t>大家都知道，传统燃油车有两驱车，也有四驱车，其中四驱车动力更加充沛。而对于目前不断发展的新能源汽车来说，同样拥有四驱技术。那么电动四驱技术和传统的四驱又有何区别呢？功能实现有差异吗？其实电动四驱并不是指的单一来源的四驱，而是可以有多个动力来源。比如说可以用电机，也可以用传统的燃油发动机。电动四驱是由</t>
  </si>
  <si>
    <t>买纯电动汽车 多长续航适合自己随着汽车电动化进程的不断加快和充电基础设施的完善，很多消费者在购车时都考虑购买纯电动汽车。但是就目前来看，纯电动汽车在后期用车过程中依然存在着里程焦虑，所以续航表现成为了关注的重点。那么购买纯电动汽车时，多长的续航才适合自己呢？其实纯电动汽车续航多少更加适合自己，需要根</t>
  </si>
  <si>
    <t>　　话说，汽车市场经过这些年的发展，在国内也涌现出了一批 “神车”。在轿车和suv领域，到底谁才是“神车”，可能尚存一丝争议，不过一说起mpv，五菱宏光绝对是当仁不让的王者，它虽然貌不惊人，却有着强大的市场号召力和非常亮眼的销量成绩。回顾2019年国内mpv市场，“销量王”同样没有任何悬念，还是五菱</t>
  </si>
  <si>
    <t>2020/02/13 11:24:00</t>
  </si>
  <si>
    <t>“立扫把挑战”你试了吗 来看看那些汽车真相最近，想必很多人的朋友圈都被“NASA立扫把挑战"刷爆了。打开朋友圈，各式各样的扫把全都立起来了，紧接着菜刀、剪刀、黄瓜、辣椒等也都立来了，甚至连隔壁瘫痪10年的“吴老二”也立起来了。其实，这是一个美丽的谎言，扫把能立起来与引力无关，只要你耐心地找到平衡，姑</t>
  </si>
  <si>
    <t>最近，想必很多人的朋友圈都被“NASA立扫把挑战"刷爆了。打开朋友圈，各式各样的扫把全都立起来了，紧接着菜刀、剪刀、黄瓜、辣椒等也都立来了，甚至连隔壁瘫痪10年的“吴老二”也立起来了。其实，这是一个美丽的谎言，扫把能立起来与引力无关，只要你耐心地找到平衡，姑且当做一个“宅家新游戏”。同样，国内汽车起</t>
  </si>
  <si>
    <t>随着汽车行业的不断发展，纯电动汽车所受到的关注度也在逐步增加。对于纯电动汽车来说，主要的动力来源是电池组。而经过近些年的发展，目前纯电动汽车所搭载的电池依然稳定性较低，受温度影响比较明显，在一定程度上制约了消费者的用车。那么电池进步到底有多难呢？还有哪些突破的空间呢？对于目前的新能源汽车来说，主要是</t>
  </si>
  <si>
    <t>电池进步到底有多难 还有哪些突破空间随着汽车行业的不断发展，纯电动汽车所受到的关注度也在逐步增加。对于纯电动汽车来说，主要的动力来源是电池组。而经过近些年的发展，目前纯电动汽车所搭载的电池依然稳定性较低，受温度影响比较明显，在一定程度上制约了消费者的用车。那么电池进步到底有多难呢？还有哪些突破的空间</t>
  </si>
  <si>
    <t>现在，越来越多的人开始关注汽车的保养，但是一般的保养是为了汽车表面的清洁以及发动机等一些经常听到的方面，而轮毂就很少有朋友注意了，这也是很重要的一部分。清理：轮毂的表面特别容易出现一些土壤颗粒或污垢，在轮毂上发现这些东西时，必须及时将其清除，否则合金会被腐蚀。如果要延长轮毂的使用寿命，最好两个月给你</t>
  </si>
  <si>
    <t>2020/02/13 11:23:00</t>
  </si>
  <si>
    <t>汽车轮毂日常该怎么保养现在，越来越多的人开始关注汽车的保养，但是一般的保养是为了汽车表面的清洁以及发动机等一些经常听到的方面，而轮毂就很少有朋友注意了，这也是很重要的一部分。清理：轮毂的表面特别容易出现一些土壤颗粒或污垢，在轮毂上发现这些东西时，必须及时将其清除，否则合金会被腐蚀。如果要延长轮毂的使</t>
  </si>
  <si>
    <t>　　此前，布加迪在海外社交媒体上发布了一张全新超跑的预告图，随即便引起了车迷们的广泛关注，很多人均认为这将是chiron的继任车型。不过有媒体从海外媒体获悉，预告图中的全新车型，将仍为chiron的特别限量版本，或将命名为chiron r。　　据了解，该款新车型将于3月3日开幕的日内瓦车展首发亮相。</t>
  </si>
  <si>
    <t>2020/02/13 11:20:00</t>
  </si>
  <si>
    <t>投诉编号：【447086】投诉时间：2020-02-1311:20投诉品牌：奇瑞汽车投诉车系：瑞虎8投诉车型：2019款1.5TCI自动时尚型投诉内容奇瑞瑞虎8大灯照射盲区大影响行车安全，走乡村路线转弯，感觉灯光照射盲区有点大。影响行车安全，希望厂家可以安排工作人员尽快解决。投诉回复车质网已将您的投</t>
  </si>
  <si>
    <t>此前，布加迪在海外社交媒体上发布了一张全新超跑的预告图，随即便引起了车迷们的广泛关注，很多人均认为这将是chiron的继任车型。不过有媒体从海外媒体获悉，预告图中的全新车型，将仍为chiron的特别限量版本，或将命名为chiron r。    据了解，该款新车型将于3月3日开幕的日内瓦车展首发亮相。</t>
  </si>
  <si>
    <t>投诉编号：【447087】  投诉时间： 2020-02-13 11:20  投诉品牌： 北京现代  投诉车系： 索纳塔八  投诉车型： 2011款 2.0 LUX至尊版        投诉内容  8000多公里就拉缸，一直加的好机油没有品质问题，我在网上也看见许多车友有拉缸问题，因为已经过保4S店</t>
  </si>
  <si>
    <t>　　2020年2月12日，有媒体获悉，名爵hector plus在2020年新德里汽车博览会中正式首发。单以hector plus的名字大家可能都不熟悉，但要说到宝骏530大家肯定都不陌生，名爵hector plus正是宝骏530的姊妹车型。　　也正是如此，hector plus的外观与宝骏530很</t>
  </si>
  <si>
    <t>2020/02/13 11:19:00</t>
  </si>
  <si>
    <t>2020年2月12日，有媒体获悉，名爵hector plus在2020年新德里汽车博览会中正式首发。单以hector plus的名字大家可能都不熟悉，但要说到宝骏530大家肯定都不陌生，名爵hector plus正是宝骏530的姊妹车型。    也正是如此，hector plus的外观与宝骏530很</t>
  </si>
  <si>
    <t>2020/02/13 11:18:16</t>
  </si>
  <si>
    <t>投诉编号：【447077】
投诉时间： 2020-02-13 10:02
投诉品牌： 上汽通用别克
投诉车系： 英朗
投诉车型： 2019款 18T 自动 互联精英型 国VI</t>
  </si>
  <si>
    <t>投诉编号：【447085】  投诉时间： 2020-02-13 11:18  投诉品牌： 一汽-大众奥迪  投诉车系： 奥迪Q5L  投诉车型： 2018款 40 TFSI 荣享时尚型 国VI        投诉内容  涨紧轮故障需要更换但不影响正常车辆使用，当时是已经向厂商下订单，但是售后说目前订</t>
  </si>
  <si>
    <t>2020/02/13 11:18:00</t>
  </si>
  <si>
    <t>投诉编号：【447084】  投诉时间： 2020-02-13 11:18  投诉品牌： 长安汽车  投诉车系： 奔奔MINI  投诉车型： 2012款 1.0L 手动 时尚版 国IV        投诉内容  正常行驶过程中方向沉重，转向卡顿，存在重大安全隐患。希望长安能够召回并免费更换电子转向助</t>
  </si>
  <si>
    <t>　　小鹏p7是小鹏汽车旗下的旗舰级纯电动轿跑车，自2019年上海车展开启预售，p7累计预订量已在2020年初超过了15,000辆。日前，有媒体从国家工信部获得了小鹏p7的车型申报图。根据不久前刚刚获得的信息，小鹏p7暂时计划于今年4月公布正式售价，有望在上半年陆续开始交付。　　小鹏p7一经亮相就获得</t>
  </si>
  <si>
    <t>2020/02/13 11:17:00</t>
  </si>
  <si>
    <t>小鹏p7是小鹏汽车旗下的旗舰级纯电动轿跑车，自2019年上海车展开启预售，p7累计预订量已在2020年初超过了15,000辆。日前，有媒体从国家工信部获得了小鹏p7的车型申报图。根据不久前刚刚获得的信息，小鹏p7暂时计划于今年4月公布正式售价，有望在上半年陆续开始交付。    小鹏p7一经亮相就获得</t>
  </si>
  <si>
    <t>　　瑞虎7和瑞虎7pro即将在2月18日正式上市销售，目前车辆已经开始了预售活动，预售价格区间为8.69-14.59万元，目前来看这个价格也算是比较不错的，预售活动还会伴有特别的优惠政策，对于一些比较喜欢这款车的朋友来说，现在可能是一个比较好的下手时机，如果您现在想要购买这款车到底怎么选呢？今儿我就</t>
  </si>
  <si>
    <t>2020/02/13 11:15:00</t>
  </si>
  <si>
    <t>2020/02/13 11:12:12</t>
  </si>
  <si>
    <t>投诉编号：【447083】
投诉时间： 2020-02-13 11:08
投诉品牌： 东南汽车
投诉车系： 翼神
投诉车型： 2012款 1.8 手动 致尚版豪华型</t>
  </si>
  <si>
    <t>据外媒报道，当地时间2月11日，现代汽车集团（Hyundai Motor Group）与Canoo公司宣布，两家公司将合作研发一款电动汽车（EV）平台。该平台将基于Canoo的专利滑板式设计打造，用于生产未来上市的现代和起亚车型。图片来源：现代汽车集团    作为合作的一部分，Canoo将提供工程服</t>
  </si>
  <si>
    <t>2020/02/13 11:11:00</t>
  </si>
  <si>
    <t>　　据外媒报道，当地时间2月11日，现代汽车集团（Hyundai Motor Group）与Canoo公司宣布，两家公司将合作研发一款电动汽车（EV）平台。该平台将基于Canoo的专利滑板式设计打造，用于生产未来上市的现代和起亚车型。图片来源：现代汽车集团　　作为合作的一部分，Canoo将提供工程服</t>
  </si>
  <si>
    <t>现在，打造一个密集的电动汽车超快速公共充电站网络比之前设想的要快得多。据外媒报道，大众集团零部件公司（Volkswagen Group Components）与德国意昂集团（E.ON）将合作在德国埃森市推出新型灵活的超快速充电站原型。该超快速充电站集成了一个电池系统，能够在几乎所有地方以极低的成本安</t>
  </si>
  <si>
    <t>2020/02/13 11:10:00</t>
  </si>
  <si>
    <t>　　现在，打造一个密集的电动汽车超快速公共充电站网络比之前设想的要快得多。据外媒报道，大众集团零部件公司（Volkswagen Group Components）与德国意昂集团（E.ON）将合作在德国埃森市推出新型灵活的超快速充电站原型。该超快速充电站集成了一个电池系统，能够在几乎所有地方以极低的成</t>
  </si>
  <si>
    <t>图片来源：戴姆勒官网    在电动汽车潮到来之前，车企对于供应链的担忧正在日益加剧。据路透社报道，一份政府游说文件显示，德国汽车制造商大众和戴姆勒启动了一项研究，旨在推动智利锂金属的“可持续”开采。    智利的阿塔卡马盐滩是南美“锂三角”最大的超轻电池金属供应地。该区域的水供应十分有限，且生态系统</t>
  </si>
  <si>
    <t>2020/02/13 11:09:00</t>
  </si>
  <si>
    <t>图片来源：戴姆勒官网　　在电动汽车潮到来之前，车企对于供应链的担忧正在日益加剧。据路透社报道，一份政府游说文件显示，德国汽车制造商大众和戴姆勒启动了一项研究，旨在推动智利锂金属的“可持续”开采。　　智利的阿塔卡马盐滩是南美“锂三角”最大的超轻电池金属供应地。该区域的水供应十分有限，且生态系统脆弱，同</t>
  </si>
  <si>
    <t>图片来源：特斯拉官网　　据外媒报道，最新的消息显示，特斯拉将在其位于弗里蒙特的工厂建造一条电芯试点生产线，或将自己设计电芯生产设备。　　在过去的数月中，一直有传闻称特斯拉正在自己开发用于电动汽车的电芯。该传闻的起点，来自于特斯拉收购了Maxwell公司，后者是一家超级电容生产商，拥有一些电芯技术。之</t>
  </si>
  <si>
    <t>2020/02/13 11:07:00</t>
  </si>
  <si>
    <t>图片来源：特斯拉官网    据外媒报道，最新的消息显示，特斯拉将在其位于弗里蒙特的工厂建造一条电芯试点生产线，或将自己设计电芯生产设备。    在过去的数月中，一直有传闻称特斯拉正在自己开发用于电动汽车的电芯。该传闻的起点，来自于特斯拉收购了Maxwell公司，后者是一家超级电容生产商，拥有一些电芯</t>
  </si>
  <si>
    <t>投诉编号：【447082】投诉时间：2020-02-1311:06投诉品牌：一汽-大众投诉车系：高尔夫投诉车型：2012款1.4TSIDSG舒适型投诉内容事件经过：1.因水泵故障，2月4日，接该4s店通知，将车开至该4s店更换水泵；2.更换水泵后，被4s店告知车辆无法点火，初步判断发动机故障，需拆修</t>
  </si>
  <si>
    <t>2020/02/13 11:06:00</t>
  </si>
  <si>
    <t xml:space="preserve">　　2020年初，照明和电子产品专家海拉与美国初创公司Oculii宣布达成战略合作。此次合作旨在开发高性能、可扩展的雷达解决方案，以满足辅助驾驶和自动驾驶的需求。基于此次开发合作，两家公司将在专业知识和技术专长方面实现优势互补。此次合作还包括对Oculii的战略投资，投资方为位于硅谷的风险投资机构 </t>
  </si>
  <si>
    <t xml:space="preserve">2020年初，照明和电子产品专家海拉与美国初创公司Oculii宣布达成战略合作。此次合作旨在开发高性能、可扩展的雷达解决方案，以满足辅助驾驶和自动驾驶的需求。基于此次开发合作，两家公司将在专业知识和技术专长方面实现优势互补。此次合作还包括对Oculii的战略投资，投资方为位于硅谷的风险投资机构 — </t>
  </si>
  <si>
    <t>据路透社报道，当地时间2月12日，以色列公司Innoviz Technologies宣布，将与中国陕西重型汽车有限公司（Shaanxi Heavy Duty Automobile Co）合作，在中国最大的港口之一部署600辆自动驾驶卡车。图片来源：Innoviz    Innoviz Technol</t>
  </si>
  <si>
    <t>2020/02/13 11:05:00</t>
  </si>
  <si>
    <t>　　据路透社报道，当地时间2月12日，以色列公司Innoviz Technologies宣布，将与中国陕西重型汽车有限公司（Shaanxi Heavy Duty Automobile Co）合作，在中国最大的港口之一部署600辆自动驾驶卡车。图片来源：Innoviz　　Innoviz Technol</t>
  </si>
  <si>
    <t>2020年新年伊始，“新冠”的爆发无疑成为春节最大的“插曲”，私家车出行成为了人们防疫的共识。然而，污染、花粉、飞沫、异味，种种因素同样困扰着车内空气质量。上汽大众的智能空气净化技术，全方位净化车内空气，硬核守卫健康出行。    高效滤芯打造车载净化器  有效捕捉病毒飞沫核、隔绝PM2.5等有害物质</t>
  </si>
  <si>
    <t>2020/02/13 11:04:00</t>
  </si>
  <si>
    <t>　　2020年新年伊始，“新冠”的爆发无疑成为春节最大的“插曲”，私家车出行成为了人们防疫的共识。然而，污染、花粉、飞沫、异味，种种因素同样困扰着车内空气质量。上汽大众的智能空气净化技术，全方位净化车内空气，硬核守卫健康出行。　　 高效滤芯打造车载净化器  有效捕捉病毒飞沫核、隔绝PM2.5等有害物</t>
  </si>
  <si>
    <t>图片来源：费劳恩霍夫集成电路研究所官网　　目前，在自动驾驶或辅助驾驶中，车辆已经独立承担了特定的步骤，例如泊车。在欧盟支持的合作项目PRoPART（自动道路运输精确和鲁棒定位）中，上述合作伙伴开发了精确可靠的位置检测系统，用于自动化道路货物运输。在瑞典的AstaZero测试基地，该项目成功演示了一辆</t>
  </si>
  <si>
    <t>2020/02/13 11:02:00</t>
  </si>
  <si>
    <t>图片来源：费劳恩霍夫集成电路研究所官网    目前，在自动驾驶或辅助驾驶中，车辆已经独立承担了特定的步骤，例如泊车。在欧盟支持的合作项目PRoPART（自动道路运输精确和鲁棒定位）中，上述合作伙伴开发了精确可靠的位置检测系统，用于自动化道路货物运输。在瑞典的AstaZero测试基地，该项目成功演示了</t>
  </si>
  <si>
    <t>图片来源： Analog Devices    Analog Devices的ToF技术与Jungo的Codriver软件相结合，可通过观察头部、身体位置以及视线，从而监测车内人员的睡意和注意力分散程度。该解决方案还能实现基于面部、身体和手势的智能车辆交互，并提供面部识别功能，识别车内人员。此外，该</t>
  </si>
  <si>
    <t>2020/02/13 11:01:00</t>
  </si>
  <si>
    <t>图片来源： Analog Devices　　Analog Devices的ToF技术与Jungo的Codriver软件相结合，可通过观察头部、身体位置以及视线，从而监测车内人员的睡意和注意力分散程度。该解决方案还能实现基于面部、身体和手势的智能车辆交互，并提供面部识别功能，识别车内人员。此外，该解决</t>
  </si>
  <si>
    <t>请问换了电池后如何激活启停功能，求解！</t>
  </si>
  <si>
    <t>2020/02/13 10:59:55</t>
  </si>
  <si>
    <t>　　据外媒报道，Polestar是一个遵循可持续性理念的品牌，在生产Polestar 1混动车型之后，该汽车制造商表示今后只生产电动汽车，包括即将上市的Polestar 2电动汽车。目前，Polestar 2车型的配备了纯素内饰（vegan interior）。而且该公司计划继续在可持续方面深入发展</t>
  </si>
  <si>
    <t>2020/02/13 10:59:00</t>
  </si>
  <si>
    <t>据外媒报道，Polestar是一个遵循可持续性理念的品牌，在生产Polestar 1混动车型之后，该汽车制造商表示今后只生产电动汽车，包括即将上市的Polestar 2电动汽车。目前，Polestar 2车型的配备了纯素内饰（vegan interior）。而且该公司计划继续在可持续方面深入发展，用</t>
  </si>
  <si>
    <t>图源：AFC官网　　据外媒报道，英国AFC能源公司推出电动汽车氢动力充电器。这一自给式充电系统基于碱性氢燃料电池技术，有效克服电网覆盖不良的问题，可在任何需要的地方为电动汽车快速充电。　　最新研究显示，在英国，要实现电动汽车部署目标，需要投资近1000亿英镑，才能在全国范围内完成充电网络升级，并部署</t>
  </si>
  <si>
    <t>2020/02/13 10:58:00</t>
  </si>
  <si>
    <t>投诉编号：【447080】投诉时间：2020-02-1310:58投诉品牌：郑州日产投诉车系：途达投诉车型：2020款2.5L自动四驱旗舰版投诉内容副驾驶安全带问题已经上报，但是厂家生产和售后机制非常的差，日产处理解决不及时，流程各种繁琐，日产售后完全不行，并且途达可以在东风日产销售和售后，但是东风</t>
  </si>
  <si>
    <t>图源：AFC官网    据外媒报道，英国AFC能源公司推出电动汽车氢动力充电器。这一自给式充电系统基于碱性氢燃料电池技术，有效克服电网覆盖不良的问题，可在任何需要的地方为电动汽车快速充电。    最新研究显示，在英国，要实现电动汽车部署目标，需要投资近1000亿英镑，才能在全国范围内完成充电网络升级</t>
  </si>
  <si>
    <t>图片来源：特斯拉官网　　据外媒报道，特斯拉公司宣布，因动力转向辅助存潜在问题，Model X可能存在转向困难进而导致事故，所以决定在北美市场召回1.5万辆Model X。　　美国国家公路交通安全管理局（NHTSA）与加拿大交通部表示，连接电动转向器辅助电机与齿轮箱的铝制螺栓可能会出现腐蚀和断裂现象，</t>
  </si>
  <si>
    <t>2020/02/13 10:57:00</t>
  </si>
  <si>
    <t>图片来源：特斯拉官网    据外媒报道，特斯拉公司宣布，因动力转向辅助存潜在问题，Model X可能存在转向困难进而导致事故，所以决定在北美市场召回1.5万辆Model X。    美国国家公路交通安全管理局（NHTSA）与加拿大交通部表示，连接电动转向器辅助电机与齿轮箱的铝制螺栓可能会出现腐蚀和断</t>
  </si>
  <si>
    <t>18款逸动领尚，主驾驶一键降窗为什么不能使用？</t>
  </si>
  <si>
    <t>2020/02/13 10:56:13</t>
  </si>
  <si>
    <t>图片来源：巴斯夫官网　　据外媒报道，化工行业巨头巴斯夫2月12日宣布，该公司在德国东部勃兰登堡州选择了一处地点，作为其第二座欧洲电池材料工厂的厂址。这是该公司4亿欧元投资计划的一部分，旨在进入日益增长的电动汽车市场。　　去年11月，特斯拉宣布将在柏林附近建造该公司第一座欧洲工厂和设计中心。本次巴斯夫</t>
  </si>
  <si>
    <t>2020/02/13 10:55:00</t>
  </si>
  <si>
    <t>　　大家好！对于经常关注国内车市的老铁来说，应该都会有下面这个感觉。那就是，近年来很多豪华汽车品牌都纷纷降低了准入门槛，自降身段，不断拉低售价。即便是贵为“豪车标杆”的bba，现在也已经走入了寻常百姓家。拿奥迪来说，在轿车领域，它有国产奥迪a3在十几万元级别市场打拼，在suv领域，它也投放了一款20</t>
  </si>
  <si>
    <t>图片来源：巴斯夫官网    据外媒报道，化工行业巨头巴斯夫2月12日宣布，该公司在德国东部勃兰登堡州选择了一处地点，作为其第二座欧洲电池材料工厂的厂址。这是该公司4亿欧元投资计划的一部分，旨在进入日益增长的电动汽车市场。    去年11月，特斯拉宣布将在柏林附近建造该公司第一座欧洲工厂和设计中心。本</t>
  </si>
  <si>
    <t>我的车2019年10月份提的，提的40进取型，提车的时候变速箱低速闯挡、顿挫严重，问4S店，回复说通病。这不就是产品缺陷么？ 这也不说了，刚好进入冬季，车辆早上起步的第一下，异响声很大，天越冷声音越大。车跑热了，起步异响消失，同伴们，都有没有这种情况出现？</t>
  </si>
  <si>
    <t>2020/02/13 10:48:49</t>
  </si>
  <si>
    <t>最近看车觉得缤智奕泽还不错纠结买那个，相比较而言那款比较好一点？</t>
  </si>
  <si>
    <t>　　豪华品牌的紧凑级suv“从多到精”不仅局限于空间够大就好，延伸出更加个性的细分市场。比如全新宝马x2就是这样一款非常有个性的suv，和奔驰gla这样的产品构成直接竞争关系；去年全新宝马x2完成国产，在价格上更加有竞争力。那么在产品力方面全新宝马x2到底是有过硬的实力还是徒有其表？接下来就为大家全</t>
  </si>
  <si>
    <t>2020/02/13 10:48:00</t>
  </si>
  <si>
    <t>日前，西雅特旗下高性能子品牌cupra发布了一张cupra leon的预告图，新车将在2月20日的发布会上首次亮相，随后在2020日内瓦车展上展出。新车的动力系统与斯柯达明锐rs插电式混合动力车型相同，由1.4tsi发动机和驱动电机组成，最大功率为242hp（180kw）。    cupra是西雅特</t>
  </si>
  <si>
    <t>2020/02/13 10:44:00</t>
  </si>
  <si>
    <t>　　日前，西雅特旗下高性能子品牌cupra发布了一张cupra leon的预告图，新车将在2月20日的发布会上首次亮相，随后在2020日内瓦车展上展出。新车的动力系统与斯柯达明锐rs插电式混合动力车型相同，由1.4tsi发动机和驱动电机组成，最大功率为242hp（180kw）。　　cupra是西雅特</t>
  </si>
  <si>
    <t>《超级测试》是2020年我们的全新的测试类系列选题，除了全方位的测试数据之外，它将涵盖包括单车、多车类的多种测试，观点犀利、明确、直接。车型选取很简单，热门以及高销量车型都将成为主角。第一期我们搬出的两位中大型suv选手途昂以及昂科旗，前者高销量、后者新晋高热度，孰强孰弱对比见分晓。    超级测试</t>
  </si>
  <si>
    <t>2020/02/13 10:40:00</t>
  </si>
  <si>
    <t>　　《超级测试》是2020年我们的全新的测试类系列选题，除了全方位的测试数据之外，它将涵盖包括单车、多车类的多种测试，观点犀利、明确、直接。车型选取很简单，热门以及高销量车型都将成为主角。第一期我们搬出的两位中大型suv选手途昂以及昂科旗，前者高销量、后者新晋高热度，孰强孰弱对比见分晓。　　超级测试</t>
  </si>
  <si>
    <t>蒋易辰</t>
  </si>
  <si>
    <t>投诉编号：【447079】  投诉时间： 2020-02-13 10:34  投诉品牌： 东南汽车  投诉车系： 东南DX7  投诉车型： 2017款 1.5T 手动 凯旋版        投诉内容  要求瑞鸿汽车服务有限公司更换右翼子板，收取1700的更换维修费用，但是4S店未按照更换零配件，只做</t>
  </si>
  <si>
    <t>2020/02/13 10:34:00</t>
  </si>
  <si>
    <t>日前我们从零跑汽车官方了解到，该品牌第二款车型t03正在进行高寒测试，以检验车辆的环境适应性以及整车性能的可靠性，包括冷启动、动力性、经济性以及直流快充和交流慢充，同时公布了新车动力、续航等信息。    在2019年12月份、2020年1月初，零跑汽车先后发布了t03的预告图以及内饰官图；首先从此次</t>
  </si>
  <si>
    <t>2020/02/13 10:33:00</t>
  </si>
  <si>
    <t>　　日前我们从零跑汽车官方了解到，该品牌第二款车型t03正在进行高寒测试，以检验车辆的环境适应性以及整车性能的可靠性，包括冷启动、动力性、经济性以及直流快充和交流慢充，同时公布了新车动力、续航等信息。　　在2019年12月份、2020年1月初，零跑汽车先后发布了t03的预告图以及内饰官图；首先从此次</t>
  </si>
  <si>
    <t>日前，我们从汽车之家热心网友处获取到了一张奥迪全新一代s8长轴距版车型的国内路试谍照。新车此前曾于2019洛杉矶车展全球首发，长轴距版本主要面向中美两地市场，而欧规版为标准轴距。根据此前曝光的规划，全新s8长轴距版将于今年7月正式上市。    此次谍照中被拍摄到的全新s8长轴距版测试车并未进行任何伪</t>
  </si>
  <si>
    <t>2020/02/13 10:32:00</t>
  </si>
  <si>
    <t>　　日前，我们从汽车之家热心网友处获取到了一张奥迪全新一代s8长轴距版车型的国内路试谍照。新车此前曾于2019洛杉矶车展全球首发，长轴距版本主要面向中美两地市场，而欧规版为标准轴距。根据此前曝光的规划，全新s8长轴距版将于今年7月正式上市。　　此次谍照中被拍摄到的全新s8长轴距版测试车并未进行任何伪</t>
  </si>
  <si>
    <t>　　日前，我们从工信部获取到新版本的国产特斯拉model 3申报图，从公布的多项参数推断，新车或为国产model 3的长续航后轮驱动版。目前，汽车之家正在与特斯拉官方进行核实，但尚未收到对方的答复。　　从工信部的申报图中，我们几乎看不出新版本的model 3与此前推出的国产model 3标准续航后驱</t>
  </si>
  <si>
    <t>2020/02/13 10:30:00</t>
  </si>
  <si>
    <t>日前，我们从工信部获取到新版本的国产特斯拉model 3申报图，从公布的多项参数推断，新车或为国产model 3的长续航后轮驱动版。目前，汽车之家正在与特斯拉官方进行核实，但尚未收到对方的答复。    从工信部的申报图中，我们几乎看不出新版本的model 3与此前推出的国产model 3标准续航后驱</t>
  </si>
  <si>
    <t>　　日前，我们从工信部获得了奔腾c015量产版车型申报图。新车高度还原概念车设计，预计将被命名为奔腾e01。该车是奔腾品牌纯电动e系列首款车型，动力搭载最大功率为82马力的电动机。概念车　　从外观来看，新车保留了概念车的大部分设计。新车采用官方名为“光影魅学”设计理念，车头整体线条较为硬朗，且以凌厉</t>
  </si>
  <si>
    <t>2020/02/13 10:28:00</t>
  </si>
  <si>
    <t>大众ID.4推迟发布时间近日，我们从海外媒体处得知，大众ID.4将不会按原计划于4月份纽约车展发布，而是推迟至6月份的底特律车展正式亮相。ID.Crozz大众ID.4是一款标准的电动SUV车型，新车将采用此前亮相的ID.Crozz概念车的设计理念，包括上扬的腰线、圆润的前脸、溜背造型以及上翘的尾部都</t>
  </si>
  <si>
    <t>最新改装版Mustang CS800普通的福特Mustang是一款日常驾驶起来让人轻松愉快的产品，但如果你开过改装款CS800绝对能明白真正暴力的Mustang的是什么样子。CS800是在最新一代的Mustang的基础上进行改装的，用户可以自己搭配自己喜欢的配置来进行定制，也可以选择现成的改装套装，</t>
  </si>
  <si>
    <t>普通的福特Mustang是一款日常驾驶起来让人轻松愉快的产品，但如果你开过改装款CS800绝对能明白真正暴力的Mustang的是什么样子。CS800是在最新一代的Mustang的基础上进行改装的，用户可以自己搭配自己喜欢的配置来进行定制，也可以选择现成的改装套装，这样看来，改装车辆这件事就像选择配置</t>
  </si>
  <si>
    <t>近日，我们从海外媒体处得知，大众ID.4将不会按原计划于4月份纽约车展发布，而是推迟至6月份的底特律车展正式亮相。ID.Crozz大众ID.4是一款标准的电动SUV车型，新车将采用此前亮相的ID.Crozz概念车的设计理念，包括上扬的腰线、圆润的前脸、溜背造型以及上翘的尾部都或将得到传承。ID.Cr</t>
  </si>
  <si>
    <t>日前，我们从工信部获得了奔腾c015量产版车型申报图。新车高度还原概念车设计，预计将被命名为奔腾e01。该车是奔腾品牌纯电动e系列首款车型，动力搭载最大功率为82马力的电动机。概念车    从外观来看，新车保留了概念车的大部分设计。新车采用官方名为“光影魅学”设计理念，车头整体线条较为硬朗，且以凌厉</t>
  </si>
  <si>
    <t>　　作为比亚迪布局紧凑型纯电动suv细分市场的新产品，宋pro ev凭借更时尚的外观设计、更具科技感的内饰以及更高的配置水准，一经推出就获得了消费者的广泛关注。产品力的提升，再加上与同级车型相比不算低的指导价（17.98-21.98万元），不由得让人心生疑虑：会不会这款车型的用车成本也随之水涨船高？</t>
  </si>
  <si>
    <t>2020/02/13 10:27:00</t>
  </si>
  <si>
    <t>作为比亚迪布局紧凑型纯电动suv细分市场的新产品，宋pro ev凭借更时尚的外观设计、更具科技感的内饰以及更高的配置水准，一经推出就获得了消费者的广泛关注。产品力的提升，再加上与同级车型相比不算低的指导价（17.98-21.98万元），不由得让人心生疑虑：会不会这款车型的用车成本也随之水涨船高？今天</t>
  </si>
  <si>
    <t>富人看不上 穷人买不起滴滴司机总会问我们： 你搞清楚自己的定位没有？清楚自己的定位是一件很重要的事情，在汽车行业也是如此。目前的汽车销售格局无非大致分为两种，普通品牌以性价比收割大量的消费者，豪华品牌以更加出色的品质针对高端用户。精准的车型定位就像走对了路，条条大路也可以通罗马。而如果夹在中间则是一</t>
  </si>
  <si>
    <t>2020/02/13 10:26:00</t>
  </si>
  <si>
    <t>疫情之后买车会便宜吗？疫情爆发期间，有部分城市迅速开展城市内限号行驶，初衷还是为了最大限度限制人们外出，在家就是为国家做贡献。但是人们必要的日常出行不可避免，如果因此挤公交、地铁，病毒传播将会更快，城市内限号行驶也“适得其反”。因此，重庆市在发布城市内机动车限号行驶的通知后，第二天就迅速取消。必要的</t>
  </si>
  <si>
    <t>2020年汽车价格将会降得更猛2019年车市有几大显著特征，日系车集体向上，豪华销量大涨，为了抵御车市寒流，车市掀起一股降价热潮，从BBA到家用车领域，都有不同程度的降幅。不少没有入手的消费者担心2020年汽车降幅会收窄，照目前的趋势来看，2020年汽车价格恐怕将会降得更猛。降价是围绕2019年国内</t>
  </si>
  <si>
    <t>2019年车市有几大显著特征，日系车集体向上，豪华销量大涨，为了抵御车市寒流，车市掀起一股降价热潮，从BBA到家用车领域，都有不同程度的降幅。不少没有入手的消费者担心2020年汽车降幅会收窄，照目前的趋势来看，2020年汽车价格恐怕将会降得更猛。降价是围绕2019年国内车市的主要关键词，从年中的国五</t>
  </si>
  <si>
    <t>疫情爆发期间，有部分城市迅速开展城市内限号行驶，初衷还是为了最大限度限制人们外出，在家就是为国家做贡献。但是人们必要的日常出行不可避免，如果因此挤公交、地铁，病毒传播将会更快，城市内限号行驶也“适得其反”。因此，重庆市在发布城市内机动车限号行驶的通知后，第二天就迅速取消。必要的出行如果能有私家车出行</t>
  </si>
  <si>
    <t>　　日前，工信部官方公布了海马全新紧凑型suv――6p车型的申报图。新车基于燃油版车型――海马s5打造。动力方面，海马6p搭载了一套1.2t发动机和电机组成的插电混动系统。　　从外观来看，海马6p整体设计与海马s5保持一致，最新的设计风格包含犀利的分体式前大灯、回旋镖式尾灯等设计元素，相比于在售的s</t>
  </si>
  <si>
    <t>2020/02/13 10:25:00</t>
  </si>
  <si>
    <t>日前，工信部官方公布了海马全新紧凑型suv——6p车型的申报图。新车基于燃油版车型——海马s5打造。动力方面，海马6p搭载了一套1.2t发动机和电机组成的插电混动系统。    从外观来看，海马6p整体设计与海马s5保持一致，最新的设计风格包含犀利的分体式前大灯、回旋镖式尾灯等设计元素，相比于在售的s</t>
  </si>
  <si>
    <t>多年后我依然是那个迷人的小钢炮说到高性能小钢炮，来自德国的大众高尔夫GTI（Volkswagen Golf GTI）和高尔夫R（Golf R）肯定是最为人所熟知的代表车型之一；但是高尔夫的高性能车型就只有这两款么？非也，大众还有一款混合动力的高性能小钢炮，名叫高尔夫GTE。笔者实在想不懂，为何国家如</t>
  </si>
  <si>
    <t>说到高性能小钢炮，来自德国的大众高尔夫GTI（Volkswagen Golf GTI）和高尔夫R（Golf R）肯定是最为人所熟知的代表车型之一；但是高尔夫的高性能车型就只有这两款么？非也，大众还有一款混合动力的高性能小钢炮，名叫高尔夫GTE。笔者实在想不懂，为何国家如此推崇低碳环保，却不国产这种高</t>
  </si>
  <si>
    <t>　　有媒体从奇瑞内部获悉，美国当地时间2月10日，haah汽车控股有限公司与奇瑞汽车正式开展汽车业务合作。　　根据双方合作规划，美国haah汽车控股有限公司将在美国注册并运营全新汽车品牌vantas，新品牌将率先以奇瑞集团旗下星途品牌产品作为原型车，在奇瑞技术团队的支持下，根据北美地区相关法规和市场</t>
  </si>
  <si>
    <t>2020/02/13 10:24:00</t>
  </si>
  <si>
    <t>长安蓝鲸1.4T和铃木1.4T发动机对比如今汽车似乎已经进入了涡轮时代，相比自然吸气，小排量的涡轮增压也能实现动力更强，油耗更低的需求。说到小排量的涡轮增压发动机，相信大家也想到铃木的1.4T发动机。不过虽然大众这款发动机比较实用，但是由于也是有一定的年限了，在油耗、平顺、动力方面都不如一些新研发的</t>
  </si>
  <si>
    <t>如今汽车似乎已经进入了涡轮时代，相比自然吸气，小排量的涡轮增压也能实现动力更强，油耗更低的需求。说到小排量的涡轮增压发动机，相信大家也想到铃木的1.4T发动机。不过虽然大众这款发动机比较实用，但是由于也是有一定的年限了，在油耗、平顺、动力方面都不如一些新研发的发动机。比如长安NE平台的1.4T高压直</t>
  </si>
  <si>
    <t>有媒体从奇瑞内部获悉，美国当地时间2月10日，haah汽车控股有限公司与奇瑞汽车正式开展汽车业务合作。    根据双方合作规划，美国haah汽车控股有限公司将在美国注册并运营全新汽车品牌vantas，新品牌将率先以奇瑞集团旗下星途品牌产品作为原型车，在奇瑞技术团队的支持下，根据北美地区相关法规和市场</t>
  </si>
  <si>
    <t>　　广汽传祺gs5在2018年下半年完成了换代，重新回到大家的视线，同时也跟小老弟gs4在紧凑型suv这个级别中形成双车阵线。传祺的意图很明确，就是铆足了劲要跟几个老对手继续厮杀，但是从数据上来看，gs5却近来却销量平平，也许有些朋友觉得它价格稍高，那今天我们就来看看，最便宜的传祺gs5能给我们带来</t>
  </si>
  <si>
    <t>2020/02/13 10:23:00</t>
  </si>
  <si>
    <t>宾利庆祝品牌100周年 发布EXP 100 GT宾利EXP 100 GT是宾利为了庆祝100周年发布的概念车。宾利EXP 100 GT是未来宾利品牌方向的概括，重新设想了未来的大型GT概念。宾利EXP 100 GT从内到外设计都是源于全新的全电动平台，不得不说这是继EXP 9之后另一款让人觉得赏心悦</t>
  </si>
  <si>
    <t>宾利EXP 100 GT是宾利为了庆祝100周年发布的概念车。宾利EXP 100 GT是未来宾利品牌方向的概括，重新设想了未来的大型GT概念。宾利EXP 100 GT从内到外设计都是源于全新的全电动平台，不得不说这是继EXP 9之后另一款让人觉得赏心悦目的车型如果说此前的宾利带着旧贵族的古板，那么新</t>
  </si>
  <si>
    <t>　　全新昂科拉在2019年7月正式上市，指导价格区间为12.59-15.59万元。换代后的昂科拉造型更加运动，且身形线条也更加的舒展，一改曾经“呆萌”的风格特征。新车共推出1.0t和1.3t两种动力、共计4款车型。那么，作为入门版车型的15t 自动进取型（以下简称进取型）是否值得购买呢？下面我们就去</t>
  </si>
  <si>
    <t>2020/02/13 10:21:00</t>
  </si>
  <si>
    <t>新款路虎卫士内饰堪称奢华正在举行的洛杉矶车展上，路虎展台最引人注意的车型就是2020款卫士，包括90和110两款。与以往卫士粗糙的内饰相比，新一代的卫士在内饰方面堪称脱胎换骨，堪称豪华，给人留下了非常深刻的印象。木质扶手、金属钉，这样的配置既实用又显得上档次。外露的金属钉也符合路虎卫士的气质。全新设</t>
  </si>
  <si>
    <t>百星青铜</t>
  </si>
  <si>
    <t>2020/02/13 10:16:00</t>
  </si>
  <si>
    <t>国内畅销合资品牌有大众，丰田，本田还有日产，大众汽车在终端销量上一直领先，大众汽车的车型阵容强大，在国内上市的车型要比海外市场上市车型多很多。大众旗下还有很多豪华高端品牌，保时捷，奥迪，宾利等等，保时捷和奥迪在国内市场也有不错的销量。大众汽车和旗下品牌在动力系统方面，有优势，发动机精密度高，传动效率</t>
  </si>
  <si>
    <t>正在举行的洛杉矶车展上，路虎展台最引人注意的车型就是2020款卫士，包括90和110两款。与以往卫士粗糙的内饰相比，新一代的卫士在内饰方面堪称脱胎换骨，堪称豪华，给人留下了非常深刻的印象。木质扶手、金属钉，这样的配置既实用又显得上档次。外露的金属钉也符合路虎卫士的气质。全新设计的空调控制区。 卫士在</t>
  </si>
  <si>
    <t>大众CC无边框漂亮轿车 为啥没帕萨特迈腾吃香国内畅销合资品牌有大众，丰田，本田还有日产，大众汽车在终端销量上一直领先，大众汽车的车型阵容强大，在国内上市的车型要比海外市场上市车型多很多。大众旗下还有很多豪华高端品牌，保时捷，奥迪，宾利等等，保时捷和奥迪在国内市场也有不错的销量。大众汽车和旗下品牌在动</t>
  </si>
  <si>
    <t>国产豪车再上一层楼 配3.0T与空气悬架来自斯图加特的戴勒姆奔驰始终是豪华车市场中最重要的主机厂之一，百年的历史沉淀让奔驰的名字被全球消费者耳熟能详，而S级作为奔驰最重要、也是知名度最高的旗舰级车，在百万级无人能敌，但其实这代车型已经走到自己的产品末期，换代在即，因此有不少消费者都准备等待奔驰S级换</t>
  </si>
  <si>
    <t>2020/02/13 10:15:00</t>
  </si>
  <si>
    <t>来自斯图加特的戴勒姆奔驰始终是豪华车市场中最重要的主机厂之一，百年的历史沉淀让奔驰的名字被全球消费者耳熟能详，而S级作为奔驰最重要、也是知名度最高的旗舰级车，在百万级无人能敌，但其实这代车型已经走到自己的产品末期，换代在即，因此有不少消费者都准备等待奔驰S级换代，毕竟已经有外媒曝光全新奔驰S级的假想</t>
  </si>
  <si>
    <t>2.0T四驱顶配15万 看看这款单月销量一万多的SUV哪款最值前不久，长城公布了11月份车型销量，H6单月销量超过4万。当然，这还不是重点，重点是哈弗新推出的F系列，在11月的销量超过了1.4万辆，作为一个新的系列，上市仅仅一年，就能达到这么高的销量，并且今年1-11月的总销量已经超过了13万，这也</t>
  </si>
  <si>
    <t>2020/02/13 10:13:00</t>
  </si>
  <si>
    <t>前不久，长城公布了11月份车型销量，H6单月销量超过4万。当然，这还不是重点，重点是哈弗新推出的F系列，在11月的销量超过了1.4万辆，作为一个新的系列，上市仅仅一年，就能达到这么高的销量，并且今年1-11月的总销量已经超过了13万，这也说明了大家对于它的认可。在今年11月，2020款的F7正式上市</t>
  </si>
  <si>
    <t>2020/02/13 10:12:00</t>
  </si>
  <si>
    <t>宾利庆祝品牌100周年 发布了帅爆的EXP 100 GT宾利EXP 100 GT是宾利为了庆祝100周年发布的概念车。宾利EXP 100 GT是未来宾利品牌方向的概括，重新设想了未来的大型GT概念。宾利EXP 100 GT从内到外设计都是源于全新的全电动平台，不得不说这是继EXP 9之后另一款让人觉</t>
  </si>
  <si>
    <t>2020/02/13 10:11:00</t>
  </si>
  <si>
    <t>[懂车帝原创 产品] 日前，海外媒体曝光了一张大众新款Tiguan无伪装谍照，该车将是现款第二代大众Tiguan的中期改款车型。通过谍照可以看出，新车主要对外观细节进行了调整。官方尚未透露该车的发布时间，不过外媒预计该车最早有望于2020年日内瓦车展正式亮相。大众新一代高尔夫根据谍照可以看出，新款T</t>
  </si>
  <si>
    <t>2020/02/13 10:10:00</t>
  </si>
  <si>
    <t>改款途观长这样 大众新款Tiguan无伪装谍照曝光[懂车帝原创 产品] 日前，海外媒体曝光了一张大众新款Tiguan无伪装谍照，该车将是现款第二代大众Tiguan的中期改款车型。通过谍照可以看出，新车主要对外观细节进行了调整。官方尚未透露该车的发布时间，不过外媒预计该车最早有望于2020年日内瓦车展</t>
  </si>
  <si>
    <t>2020/02/13 10:09:10</t>
  </si>
  <si>
    <t>投诉编号：【447073】
投诉时间： 2020-02-13 09:49
投诉品牌： 郑州日产
投诉车系： 途达
投诉车型： 2020款 2.5L 自动 四驱 旗舰版</t>
  </si>
  <si>
    <t>2020/02/13 10:09:00</t>
  </si>
  <si>
    <t>买车不用急 2020年汽车价格将会降得更猛2019年车市有几大显著特征，日系车集体向上，豪华销量大涨，为了抵御车市寒流，车市掀起一股降价热潮，从BBA到家用车领域，都有不同程度的降幅。不少没有入手的消费者担心2020年汽车降幅会收窄，照目前的趋势来看，2020年汽车价格恐怕将会降得更猛。降价是围绕2</t>
  </si>
  <si>
    <t>2020/02/13 10:08:55</t>
  </si>
  <si>
    <t>投诉编号：【447076】
投诉时间： 2020-02-13 10:02
投诉品牌： 一汽-大众
投诉车系： 宝来
投诉车型： 2016款 1.6L 自动 时尚型</t>
  </si>
  <si>
    <t>新款捷豹F-TYPE实拍解析肩负复兴捷豹跑车的重任，F-TYPE自2012年发布至今，已走过了8年的生命周期。如今，中期改款车型在2020芝加哥车展首发亮相，尽管不是换代，但是它却给我们带来了诸多惊喜。“TYPE”的意义在常人来看，字母type的中文含义代表了类型、种类，它仅是一种对品类划分的英文叫</t>
  </si>
  <si>
    <t>2020/02/13 10:08:00</t>
  </si>
  <si>
    <t>肩负复兴捷豹跑车的重任，F-TYPE自2012年发布至今，已走过了8年的生命周期。如今，中期改款车型在2020芝加哥车展首发亮相，尽管不是换代，但是它却给我们带来了诸多惊喜。“TYPE”的意义在常人来看，字母type的中文含义代表了类型、种类，它仅是一种对品类划分的英文叫法，但对于捷豹而言，TYPE</t>
  </si>
  <si>
    <t>2020/02/13 10:07:00</t>
  </si>
  <si>
    <t>　　2020年农历新年比以往来得更早一些，全民几乎在1月20日之前便已经开始筹备欢度春节。1月份皮卡市场的正常运转周期仅为20天左右，单月皮卡销售时间比往年减少了至少三分之一，那么1月份的市占率变化更能体现企业的整体市场销量表现。　　2020年1月份，我国皮卡终端销量为26920辆，相比去年同期的3</t>
  </si>
  <si>
    <t>2020/02/13 10:04:00</t>
  </si>
  <si>
    <t>2020年农历新年比以往来得更早一些，全民几乎在1月20日之前便已经开始筹备欢度春节。1月份皮卡市场的正常运转周期仅为20天左右，单月皮卡销售时间比往年减少了至少三分之一，那么1月份的市占率变化更能体现企业的整体市场销量表现。    2020年1月份，我国皮卡终端销量为26920辆，相比去年同期的3</t>
  </si>
  <si>
    <t>　　2019年，五菱品牌实现销售1,055,981辆，至此累计车主超过1,730万。继推出新宝骏品牌之后，上汽通用五菱针对国内汽车市场消费升级趋势，即将做出新的尝试。有媒体从上汽通用五菱内部获悉：公司将于今年发布新五菱品牌，并将推出相应的乘用车产品（预计以suv和mpv为主）。　　目前在售的五菱车型</t>
  </si>
  <si>
    <t>2020/02/13 10:03:00</t>
  </si>
  <si>
    <t>2019年，五菱品牌实现销售1,055,981辆，至此累计车主超过1,730万。继推出新宝骏品牌之后，上汽通用五菱针对国内汽车市场消费升级趋势，即将做出新的尝试。有媒体从上汽通用五菱内部获悉：公司将于今年发布新五菱品牌，并将推出相应的乘用车产品（预计以suv和mpv为主）。    目前在售的五菱车型</t>
  </si>
  <si>
    <t>雷克萨斯NX</t>
  </si>
  <si>
    <t>我是一个已婚爸爸，之前开的是宝马X3，想换一台同级别的新车，听朋友介绍说雷克萨斯NX300h挺好的，我就去了解了一下，发现雷克萨斯NX300h外观挺漂亮的，可能是看X3看久了，感觉NX300h比X3外观看着更顺眼一些，而且NX300h也是混动的，还挺省油的，内饰也挺精致的，我老婆特别喜欢NX300h</t>
  </si>
  <si>
    <t>2020/02/13 10:01:00</t>
  </si>
  <si>
    <t>雷克萨斯NX论坛</t>
  </si>
  <si>
    <t>雷克萨斯NX   我买这车的感受我是一个已婚爸爸，之前开的是宝马X3，想换一台同级别的新车，听朋友介绍说雷克萨斯NX300h挺好的，我就去了解了一下，发现雷克萨斯NX300h外观挺漂亮的，可能是看X3看久了，感觉NX300h比X3外观看着更顺眼一些，而且NX300h也是混动的，还挺省油的，内饰也挺精</t>
  </si>
  <si>
    <t>　　yaris是丰田旗下的一款小型轿车，该款车型曾在2008-2011年间于广汽丰田旗下国产开售，后因市场需求量较小而停产，其全新一代车型已于去年10月东京车展上正式亮相。近日海外媒体曝光了一组更高性能的gr yaris车型最新消息，新车计划在2023年率先投放海外市场开售。　　外观方面，新车前脸预</t>
  </si>
  <si>
    <t>2020/02/13 09:59:00</t>
  </si>
  <si>
    <t>yaris是丰田旗下的一款小型轿车，该款车型曾在2008-2011年间于广汽丰田旗下国产开售，后因市场需求量较小而停产，其全新一代车型已于去年10月东京车展上正式亮相。近日海外媒体曝光了一组更高性能的gr yaris车型最新消息，新车计划在2023年率先投放海外市场开售。    外观方面，新车前脸预</t>
  </si>
  <si>
    <t>　　2020年，奇瑞控股捷途定下了年销20万辆的目标，并计划推出6款新产品，最先与消费者见面的就是x70 coupe。这款车已于1月15日开启限量预售，价格区间为9.10-12.90万元（5座车型价格，6座、5 2座车型在此基础上加价2000元）。日前，这款车已陆续到达终端4s店，并将于3月正式上市</t>
  </si>
  <si>
    <t>2020/02/13 09:58:00</t>
  </si>
  <si>
    <t>2020年，奇瑞控股捷途定下了年销20万辆的目标，并计划推出6款新产品，最先与消费者见面的就是x70 coupe。这款车已于1月15日开启限量预售，价格区间为9.10-12.90万元（5座车型价格，6座、5 2座车型在此基础上加价2000元）。日前，这款车已陆续到达终端4s店，并将于3月正式上市。新</t>
  </si>
  <si>
    <t>沃尔沃XC60最低配为T4 智行豪华版，官方指导价为36.29万，竞争对手是奔驰GLC、奥迪Q5、凯迪拉克XT5等，从官方售价来看，他们基本处于同一区间，但沃尔沃向来有较大的终端优惠，根据网上垂直网站车主反馈的提车价格来看，大家基本在30万内都买到了T4 智行豪华版，看来优惠也在数万元以上，有了如此</t>
  </si>
  <si>
    <t>2020/02/13 09:56:00</t>
  </si>
  <si>
    <t>近日网上车市获取到了一组BEIJING全新SUV——X7的实拍图，该车是品牌在2020年的重点产品，产品定位高于X3和X5。该车内部代号C62X，有望于2020年北京车展中开启预售，并在6月上市。动力方面，新车搭载1.5T发动机，外观采用了时下流行的贯穿尾灯设计。动力方面，根据品牌的规划显示，X7所</t>
  </si>
  <si>
    <t>BEIJING全新SUV X7搭1.5T引擎 6月将上市近日网上车市获取到了一组BEIJING全新SUV——X7的实拍图，该车是品牌在2020年的重点产品，产品定位高于X3和X5。该车内部代号C62X，有望于2020年北京车展中开启预售，并在6月上市。动力方面，新车搭载1.5T发动机，外观采用了时下</t>
  </si>
  <si>
    <t>关于沃尔沃XC60，为何全国不少车主提车价均在30万内？沃尔沃XC60最低配为T4 智行豪华版，官方指导价为36.29万，竞争对手是奔驰GLC、奥迪Q5、凯迪拉克XT5等，从官方售价来看，他们基本处于同一区间，但沃尔沃向来有较大的终端优惠，根据网上垂直网站车主反馈的提车价格来看，大家基本在30万内都</t>
  </si>
  <si>
    <t>在车市凛冬愈发寒冷的2019年里，丰田集团绝对是在华汽车厂商里的大赢家之一，其整体销量同比增长了9%至162万辆，其中一汽丰田销量同比增长2%至73.8万辆，广汽丰田同比劲增18%至68.2万辆，至于雷克萨斯的销量增速更是高达25%，可见去年丰田的攻势确实凶猛。有意思的是，丰田品牌的在华车型里，除去</t>
  </si>
  <si>
    <t>2020/02/13 09:55:00</t>
  </si>
  <si>
    <t>丰田将以1.5T发动机应战，不过三缸机有戏吗？在车市凛冬愈发寒冷的2019年里，丰田集团绝对是在华汽车厂商里的大赢家之一，其整体销量同比增长了9%至162万辆，其中一汽丰田销量同比增长2%至73.8万辆，广汽丰田同比劲增18%至68.2万辆，至于雷克萨斯的销量增速更是高达25%，可见去年丰田的攻势确</t>
  </si>
  <si>
    <t>新冠状病毒疫情对经济的影响还在持续发酵中，我们也不难预见2020年的第一季度众多车企都不会太好过。这对于已经连续两年负增长的汽车市场来说，确实有点雪上加霜的味道。目前已经有多家车企宣布延迟开工，集体进入了停产期。各品牌旗下的众多4S店也大多没有复工，毕竟即便是硬着头皮开门可能也不会有什么顾客。销量低</t>
  </si>
  <si>
    <t>2020/02/13 09:54:00</t>
  </si>
  <si>
    <t>豪华品牌也有大优惠 这三款中型SUV值得看新冠状病毒疫情对经济的影响还在持续发酵中，我们也不难预见2020年的第一季度众多车企都不会太好过。这对于已经连续两年负增长的汽车市场来说，确实有点雪上加霜的味道。目前已经有多家车企宣布延迟开工，集体进入了停产期。各品牌旗下的众多4S店也大多没有复工，毕竟即便</t>
  </si>
  <si>
    <t>近日在费城车展上，SSC展出了Tuatara量产版跑车的第一台。官方表示，Tuatara虽然开始量产，但是只限量生产100台。目前量产版的Tuatara还没有公布定价信息，也真是吊足了大家的胃口。新车背景：2011年，美国超跑车厂SSC发布了一款概念超跑车，它就是Tuatara。很多人不明白Tuat</t>
  </si>
  <si>
    <t>2020/02/13 09:53:00</t>
  </si>
  <si>
    <t>超跑终极形态Tuatara开始量产，真能切割空气？近日在费城车展上，SSC展出了Tuatara量产版跑车的第一台。官方表示，Tuatara虽然开始量产，但是只限量生产100台。目前量产版的Tuatara还没有公布定价信息，也真是吊足了大家的胃口。新车背景：2011年，美国超跑车厂SSC发布了一款概念</t>
  </si>
  <si>
    <t>别克GL8长期占据20-40万级MPV销量的榜首位置，2019年全年销量近15万辆，今年将迎来中期改款车型的上市。新款GL8此前已经曝光，网上车市近日获得了新款GL8 Avenir图片。新车整体造型与普通版并无区别，前大灯组造型经过重新设计，与普通版不同的是采用了蜂窝状前进气格栅并配有镀铬装饰，看上</t>
  </si>
  <si>
    <t>2020/02/13 09:52:00</t>
  </si>
  <si>
    <t>日前，行车视线从国家工信部获取到荣威i6 MAX的申报图。此次曝光的车型搭载了1.5T发动机。外观方面，1.5T车型相较于此前曝光的插电混动版车型没有太多变化，整体造型较为犀利。动力方面，新车将搭载一台1.5T四缸涡轮增压发动机。外观方面，新车与插电混动版车型保持了相同的设计语言，前脸采用了四条镀铬</t>
  </si>
  <si>
    <t>荣威i6 MAX申报图曝光 外观犀利/搭1.5T发动机日前，行车视线从国家工信部获取到荣威i6 MAX的申报图。此次曝光的车型搭载了1.5T发动机。外观方面，1.5T车型相较于此前曝光的插电混动版车型没有太多变化，整体造型较为犀利。动力方面，新车将搭载一台1.5T四缸涡轮增压发动机。外观方面，新车与</t>
  </si>
  <si>
    <t>别克新GL8 Avenir外观大气 搭新2.0T引擎别克GL8长期占据20-40万级MPV销量的榜首位置，2019年全年销量近15万辆，今年将迎来中期改款车型的上市。新款GL8此前已经曝光，网上车市近日获得了新款GL8 Avenir图片。新车整体造型与普通版并无区别，前大灯组造型经过重新设计，与普通</t>
  </si>
  <si>
    <t>现代品牌在2019年发布了一款代号为45的电动概念车，相信很多人都对它犀利的外形还留有印象。近日，我们得到一组现代45概念车量产版车型的测试谍照，新车仍旧处于高度伪装阶段，很难看出细节上的设计，但通过露出的区域和整体的造型来看，量产版45显然已经没有了概念车上的那些锋利的线条，只是整体轮廓非常像。新</t>
  </si>
  <si>
    <t>2020/02/13 09:51:00</t>
  </si>
  <si>
    <t>现代全新纯电动跨界车谍照，预计2021年发布现代品牌在2019年发布了一款代号为45的电动概念车，相信很多人都对它犀利的外形还留有印象。近日，我们得到一组现代45概念车量产版车型的测试谍照，新车仍旧处于高度伪装阶段，很难看出细节上的设计，但通过露出的区域和整体的造型来看，量产版45显然已经没有了概念</t>
  </si>
  <si>
    <t>　　东风启辰在去年11月广州车展中，首次发布了全新vsa架构，并带来了基于该架构打造的首款车型――启辰星。而“星”的命名也打破了东风启辰此前以“字母 数字”的车型定名方式，也表明启辰想让vsa架构下的产品与以前的车型产生区隔。有媒体从商标局获悉，东风汽车注册了“启辰畅”、“启辰威”。启辰vsa架构可</t>
  </si>
  <si>
    <t>2020/02/13 09:50:00</t>
  </si>
  <si>
    <t>东风启辰在去年11月广州车展中，首次发布了全新vsa架构，并带来了基于该架构打造的首款车型——启辰星。而“星”的命名也打破了东风启辰此前以“字母 数字”的车型定名方式，也表明启辰想让vsa架构下的产品与以前的车型产生区隔。有媒体从商标局获悉，东风汽车注册了“启辰畅”、“启辰威”。启辰vsa架构可衍生</t>
  </si>
  <si>
    <t>最近国内疫情导致口罩防护服等医疗物资短缺，日本社会最大力度的向我们伸出了援助之手，不仅捐赠了一批物资，而且许多中国古诗词的运用让我们不少人感受到了这位隔海相望的邻居的善意和温暖。中国人讲究投桃报李，今天我们就来关注一下，本次疫情对于日本车企在国内会受到哪些波及。 众所周知近几年日系品牌在国内可谓是高</t>
  </si>
  <si>
    <t>肺炎疫情对仍处于销量攀升期的日系品牌影响有多大？最近国内疫情导致口罩防护服等医疗物资短缺，日本社会最大力度的向我们伸出了援助之手，不仅捐赠了一批物资，而且许多中国古诗词的运用让我们不少人感受到了这位隔海相望的邻居的善意和温暖。中国人讲究投桃报李，今天我们就来关注一下，本次疫情对于日本车企在国内会受到</t>
  </si>
  <si>
    <t>投诉编号：【447074】投诉时间：2020-02-1309:49投诉品牌：比亚迪投诉车系：比亚迪F3投诉车型：2012款1.5GL-i手动标准型投诉内容2020年1月28日去检测站审车，OBD不通过，检测站告知到SSSS店升级，我跑了4家店都无法升级，无奈我打厂家投诉电话，厂家告知会升级，我又去4</t>
  </si>
  <si>
    <t>2020/02/13 09:49:00</t>
  </si>
  <si>
    <t>多地发布最严“无房谴返令”，扎心！没有车“家”回得去吗？近日，昆山发布一则公告称“安徽，浙江、湖南等7省无自有房产的人员全部遣返，如有租客坚持返苏，将被集中隔离，隔离费用自行承担，14天费用4760元”，引起了广泛讨论。为了打赢这场没有硝烟的战“疫”，全国各地的疫情防控力度不断加码，才出现了“无房遣</t>
  </si>
  <si>
    <t>近日，昆山发布一则公告称“安徽，浙江、湖南等7省无自有房产的人员全部遣返，如有租客坚持返苏，将被集中隔离，隔离费用自行承担，14天费用4760元”，引起了广泛讨论。为了打赢这场没有硝烟的战“疫”，全国各地的疫情防控力度不断加码，才出现了“无房遣返”这样的扎心局面。疫情让人们惊醒，在灾难面前如果在城市</t>
  </si>
  <si>
    <t>投诉编号：【447071】投诉时间：2020-02-1309:46投诉品牌：一汽-大众奥迪投诉车系：奥迪Q5L投诉车型：2020款40TFSI荣享进取型投诉内容我是2019年10月3日，在宁夏4S店提车（40进取型）。在使用过程中出现以下5种问题：一是车辆低速闯挡严重，顿挫感明显，尤其2挡降1挡尤为</t>
  </si>
  <si>
    <t>2020/02/13 09:46:00</t>
  </si>
  <si>
    <t>　　上汽大众大众品牌将在2020年推出4款全新车型，包括viloran、途岳纯电、途观l轿跑版以及id.系列纯电动suv，除此之外大众品牌预计还将推出多款年度改款车型，主要对车型配置进行调整。其中viloran将在上半年率先上市，参考上汽大众旗下途昂、辉昂两款旗舰产品的定价策略（售价均超30万元），</t>
  </si>
  <si>
    <t>2020/02/13 09:45:00</t>
  </si>
  <si>
    <t>上汽大众大众品牌将在2020年推出4款全新车型，包括viloran、途岳纯电、途观l轿跑版以及id.系列纯电动suv，除此之外大众品牌预计还将推出多款年度改款车型，主要对车型配置进行调整。其中viloran将在上半年率先上市，参考上汽大众旗下途昂、辉昂两款旗舰产品的定价策略（售价均超30万元），预计</t>
  </si>
  <si>
    <t>拜腾首款suv(m-byte）工装样件此前在南京工厂正式下线，该车基于了m-byte concept概念车打造，并保留了概念车90%的亮点设计元素，提供4座和5座两种不同版本。根据拜腾此前公布的产品规划，m-byte将在明年年中开始量产。拜腾ceo戴雷此前表示，截至到1月份，m-byte已有6万辆订</t>
  </si>
  <si>
    <t>2020/02/13 09:33:00</t>
  </si>
  <si>
    <t>　　拜腾首款suv(m-byte）工装样件此前在南京工厂正式下线，该车基于了m-byte concept概念车打造，并保留了概念车90%的亮点设计元素，提供4座和5座两种不同版本。根据拜腾此前公布的产品规划，m-byte将在明年年中开始量产。拜腾ceo戴雷此前表示，截至到1月份，m-byte已有6万</t>
  </si>
  <si>
    <t>顶着“大众共用生产线”和“阿尔法·罗密欧品牌设计师操刀”光环的江淮嘉悦a5，自亮相后凭借独树一帜的外观设计吸睛无数，也再一次将大众视线转移到了江淮品牌上。近日有媒体获取到了一组江淮全新suv的外观专利图，该车内部代号为s432，值得一提的是，嘉悦a5的内部代号为a432。这样来看，这款全新suv大概</t>
  </si>
  <si>
    <t>2020/02/13 09:32:00</t>
  </si>
  <si>
    <t>　　顶着“大众共用生产线”和“阿尔法・罗密欧品牌设计师操刀”光环的江淮嘉悦a5，自亮相后凭借独树一帜的外观设计吸睛无数，也再一次将大众视线转移到了江淮品牌上。近日有媒体获取到了一组江淮全新suv的外观专利图，该车内部代号为s432，值得一提的是，嘉悦a5的内部代号为a432。这样来看，这款全新suv</t>
  </si>
  <si>
    <t>有媒体从东风柳汽官方获悉：旗下乘用车品牌东风风行，在今年1月实现销售11,109辆，同比增长0.21%，环比增长10.77%。据悉，公司今年下半年还将推出拥有更强市场竞争力的新款风行t5车型，以进一步刺激销量。    风行t5是东风风行旗下的紧凑型suv（同级别热销产品有哈弗h6、长安cs75 pl</t>
  </si>
  <si>
    <t>2020/02/13 09:30:00</t>
  </si>
  <si>
    <t>纵观2019年汽车市场，suv依然占据了46.4%的市场份额，随着各品牌suv产品布局逐步完善，2020年suv市场的竞争将更为残酷。有媒体通过梳理后发现，日系合资品牌在2020年将至少推出11款suv车型，包含广汽丰田威兰达、长安马自达cx-30等全新车型、东风本田新款cr-v等热门改款车型以及全</t>
  </si>
  <si>
    <t>　　纵观2019年汽车市场，suv依然占据了46.4%的市场份额，随着各品牌suv产品布局逐步完善，2020年suv市场的竞争将更为残酷。有媒体通过梳理后发现，日系合资品牌在2020年将至少推出11款suv车型，包含广汽丰田威兰达、长安马自达cx-30等全新车型、东风本田新款cr-v等热门改款车型以</t>
  </si>
  <si>
    <t>　　有媒体从东风柳汽官方获悉：旗下乘用车品牌东风风行，在今年1月实现销售11,109辆，同比增长0.21%，环比增长10.77%。据悉，公司今年下半年还将推出拥有更强市场竞争力的新款风行t5车型，以进一步刺激销量。　　风行t5是东风风行旗下的紧凑型suv（同级别热销产品有哈弗h6、长安cs75 pl</t>
  </si>
  <si>
    <t>投诉编号：【447070】投诉时间：2020-02-1309:29投诉品牌：上汽通用五菱投诉车系：五菱宏光投诉车型：2018款1.2LS基本型经典款投诉内容我本人购买的车，第一次做保养，做完保养以后发现发动机上面全是机油，我咨询服务工作人员，工作人员告诉我是正常的，对我本人就不在过问，我投诉工作人员</t>
  </si>
  <si>
    <t>2020/02/13 09:29:00</t>
  </si>
  <si>
    <t>　　野马汽车旗下共有ec30、ec60、ec70三款纯电动车型，在去年6月份获得轿车生产资质后，野马计划到2021年底推出包括传统燃油车和新能源车在内的8款全新车型，产品矩阵涵盖轿车、suv和mpv。此前工信部已公布野马新能源星歌以及新款ec60两款新车，预计均将于今年年内上市。　　野马汽车在去年年</t>
  </si>
  <si>
    <t>2020/02/13 09:27:00</t>
  </si>
  <si>
    <t>野马汽车旗下共有ec30、ec60、ec70三款纯电动车型，在去年6月份获得轿车生产资质后，野马计划到2021年底推出包括传统燃油车和新能源车在内的8款全新车型，产品矩阵涵盖轿车、suv和mpv。此前工信部已公布野马新能源星歌以及新款ec60两款新车，预计均将于今年年内上市。    野马汽车在去年年</t>
  </si>
  <si>
    <t>　　日益发展的今天，越来越多人选择新能源汽车作为自己日常出行的交通工具，而层出不穷的产品究竟如何更好地提升能效，是眼下时局中的大发展方向。作为汽车行业巨头之一的现代汽车也在致力积极布局电动车市场，旗下的第十代索纳塔也是现代最为重点的车型，不久前的芝加哥车展上现代也发布了其混动版车型，先进的黑科技、动</t>
  </si>
  <si>
    <t>2020/02/13 09:25:00</t>
  </si>
  <si>
    <t>星途作为奇瑞旗下的高端品牌，将在2019年-2022年期间推出8款全新产品，目前已经推出了tx、txl以及lx。根据品牌规划显示，星途在今年将陆续推出b 级suv vx、a级纯电suv lx ev和首款定位为a 级轿车的星途ts，价格区间覆盖10-30万元。这其中最早与大家见面的将是4月上市的vx，</t>
  </si>
  <si>
    <t>2020/02/13 09:23:00</t>
  </si>
  <si>
    <t>　　星途作为奇瑞旗下的高端品牌，将在2019年-2022年期间推出8款全新产品，目前已经推出了tx、txl以及lx。根据品牌规划显示，星途在今年将陆续推出b 级suv vx、a级纯电suv lx ev和首款定位为a 级轿车的星途ts，价格区间覆盖10-30万元。这其中最早与大家见面的将是4月上市的v</t>
  </si>
  <si>
    <t>2019年别克先后推出了全新昂科拉、昂科拉gx、新款昂科威、全新昂科旗车型，suv产品完成了更新同时对于市场的覆盖也更加全面。此前别克官方表示，2020年别克将有10款以上的新车上市，有媒体梳理后发现，今年的新产品将主要集中在轿车、mpv车型以及新动力系统方面。    新款英朗    英朗是别克旗下</t>
  </si>
  <si>
    <t>2020/02/13 09:22:00</t>
  </si>
  <si>
    <t>　　2019年别克先后推出了全新昂科拉、昂科拉gx、新款昂科威、全新昂科旗车型，suv产品完成了更新同时对于市场的覆盖也更加全面。此前别克官方表示，2020年别克将有10款以上的新车上市，有媒体梳理后发现，今年的新产品将主要集中在轿车、mpv车型以及新动力系统方面。　　新款英朗　　英朗是别克旗下的一</t>
  </si>
  <si>
    <t>　　在国内市场，入门级豪华suv的选择面也非常广泛，例如打头阵的奥迪q2l、奔驰gla，雷克萨斯作为二线豪华品牌的代表，也在2018年正式在国内发布了旗下入门级紧凑suv雷克萨斯ux，官方定价在28.3万~38.6万之间，雷克萨斯非常自信的将混合动力车型作为主力车型，在所有配置中仅有一款纯燃油版车型</t>
  </si>
  <si>
    <t>2020/02/13 09:19:00</t>
  </si>
  <si>
    <t>　　2019年东风雷诺公布了最新产品规划，到2022年在售产品将增至11款，覆盖suv、跨界、轿车与mpv市场，同时保持一年投放一款国产车，一年导入一款进口车的节奏。有媒体近日获得了东风雷诺全新轿跑suv车型arkana图片，外观部分延续了海外版的设计，轿跑的造型让整车看上去更加年轻、运动。新车动力</t>
  </si>
  <si>
    <t>2020/02/13 09:17:00</t>
  </si>
  <si>
    <t>2019年东风雷诺公布了最新产品规划，到2022年在售产品将增至11款，覆盖suv、跨界、轿车与mpv市场，同时保持一年投放一款国产车，一年导入一款进口车的节奏。有媒体近日获得了东风雷诺全新轿跑suv车型arkana图片，外观部分延续了海外版的设计，轿跑的造型让整车看上去更加年轻、运动。新车动力方面</t>
  </si>
  <si>
    <t>　　东风启辰在2019年底推出了中期改款t90，相比老款车型主要调整了前脸造型，动力上仍搭载2.0l cvt的组合。作为一款中型suv，启辰t90在动力上相比同级竞品没有优势。有媒体从东风启辰官方获悉，t90将新增1.5t发动机。该机型也在启辰星上使用，参数上相比现款2.0l更强，并且部分车型加入了</t>
  </si>
  <si>
    <t>2020/02/13 09:16:00</t>
  </si>
  <si>
    <t>东风启辰在2019年底推出了中期改款t90，相比老款车型主要调整了前脸造型，动力上仍搭载2.0l cvt的组合。作为一款中型suv，启辰t90在动力上相比同级竞品没有优势。有媒体从东风启辰官方获悉，t90将新增1.5t发动机。该机型也在启辰星上使用，参数上相比现款2.0l更强，并且部分车型加入了48</t>
  </si>
  <si>
    <t>一汽奔腾于去年广州车展亮相了全新纯电suv——c105（内部代号）。日前，有媒体获得了该车的外观图以及尺寸动力信息。新车基于全新fme纯电平台打造，定位于a级纯电suv，从尾标的标识来看，新车或命名为“水星”，隶属于奔腾的e系列产品。根据此前消息，新车将于4月份的北京车展开启预售，预计售价在20万元</t>
  </si>
  <si>
    <t>2020/02/13 09:14:00</t>
  </si>
  <si>
    <t>　　一汽奔腾于去年广州车展亮相了全新纯电suv――c105（内部代号）。日前，有媒体获得了该车的外观图以及尺寸动力信息。新车基于全新fme纯电平台打造，定位于a级纯电suv，从尾标的标识来看，新车或命名为“水星”，隶属于奔腾的e系列产品。根据此前消息，新车将于4月份的北京车展开启预售，预计售价在20</t>
  </si>
  <si>
    <t>近日有媒体获取到了一组beijing全新suv——x7的实拍图，该车是品牌在2020年的重点产品，产品定位高于x3和x5。该车内部代号c62x，有望于2020年北京车展中开启预售，并在6月上市。动力方面，新车搭载1.5t发动机，外观采用了时下流行的贯穿尾灯设计。    动力方面，根据品牌的规划显示，</t>
  </si>
  <si>
    <t>2020/02/13 09:12:00</t>
  </si>
  <si>
    <t>　　近日有媒体获取到了一组beijing全新suv――x7的实拍图，该车是品牌在2020年的重点产品，产品定位高于x3和x5。该车内部代号c62x，有望于2020年北京车展中开启预售，并在6月上市。动力方面，新车搭载1.5t发动机，外观采用了时下流行的贯穿尾灯设计。　　动力方面，根据品牌的规划显示，</t>
  </si>
  <si>
    <t>别克gl8长期占据20-40万级mpv销量的榜首位置，2019年全年销量近15万辆，今年将迎来中期改款车型的上市。新款gl8此前已经曝光，近日获得了新款gl8 avenir图片。新车整体造型与普通版并无区别，前大灯组造型经过重新设计，与普通版不同的是采用了蜂窝状前进气格栅并配有镀铬装饰，看上去更加豪</t>
  </si>
  <si>
    <t>2020/02/13 09:11:00</t>
  </si>
  <si>
    <t>　　别克gl8长期占据20-40万级mpv销量的榜首位置，2019年全年销量近15万辆，今年将迎来中期改款车型的上市。新款gl8此前已经曝光，近日获得了新款gl8 avenir图片。新车整体造型与普通版并无区别，前大灯组造型经过重新设计，与普通版不同的是采用了蜂窝状前进气格栅并配有镀铬装饰，看上去更</t>
  </si>
  <si>
    <t>广汽新能源aion s是基于第二代纯电专属平台打造的首款车型，于去年4月份正式上市，补贴后官方售价区间为13.98万元-20.58万元。该车分为魅和炫两大序列，其种aion s魅共有6款不同版本，aion s炫则仅有2款车型。有媒体获得了新款aion s的实拍图，该车或为aion s低配版本，预计将</t>
  </si>
  <si>
    <t>2020/02/13 09:09:00</t>
  </si>
  <si>
    <t>　　广汽新能源aion s是基于第二代纯电专属平台打造的首款车型，于去年4月份正式上市，补贴后官方售价区间为13.98万元-20.58万元。该车分为魅和炫两大序列，其种aion s魅共有6款不同版本，aion s炫则仅有2款车型。有媒体获得了新款aion s的实拍图，该车或为aion s低配版本，预</t>
  </si>
  <si>
    <t>近日有媒体获得了一组一汽-大众探岳轿跑suv的实拍图，新车整体尺寸比普通版探岳更大一些，车长达到超过了4.6米。探岳coupe前脸造型比普通版更为运动，保险杠为贯穿式设计，拉宽了视觉效果。溜背式车身造型让其看上去极为动感，同时提供双色车身和单色车身两种配色。灰色为普通版探岳    价格方面，按照行业</t>
  </si>
  <si>
    <t>2020/02/13 09:07:00</t>
  </si>
  <si>
    <t>　　近日有媒体获得了一组一汽-大众探岳轿跑suv的实拍图，新车整体尺寸比普通版探岳更大一些，车长达到超过了4.6米。探岳coupe前脸造型比普通版更为运动，保险杠为贯穿式设计，拉宽了视觉效果。溜背式车身造型让其看上去极为动感，同时提供双色车身和单色车身两种配色。灰色为普通版探岳　　价格方面，按照行业</t>
  </si>
  <si>
    <t>　　有媒体获取了一组东风日产新款骐达的实拍图片，新车外观仅在细节方面做出调整，取消雾灯并换装镀铬饰件，增配黑色车顶更加年轻运动，还拥有多种轮毂造型可供选择。新车长宽高分别为4393×1766×1539mm，轴距为2700mm，车高较现款车型增加15mm。　　动力方面，新车依然搭载1.6l自然吸气发动</t>
  </si>
  <si>
    <t>2020/02/13 09:06:00</t>
  </si>
  <si>
    <t>有媒体获取了一组东风日产新款骐达的实拍图片，新车外观仅在细节方面做出调整，取消雾灯并换装镀铬饰件，增配黑色车顶更加年轻运动，还拥有多种轮毂造型可供选择。新车长宽高分别为4393×1766×1539mm，轴距为2700mm，车高较现款车型增加15mm。    动力方面，新车依然搭载1.6l自然吸气发动</t>
  </si>
  <si>
    <t>提到50万以内的豪华品牌SUV，奔驰GLC与宝马X3绝对是绕不过去的两款车，并且这两款车在市场上都是属于走量的车型，在2019年SUV销量排行榜中，奔驰GLC以142857辆的成绩占据第12位，宝马X3以121500辆的成绩屈居第23位，定位相同的两款，车宝马X3无论是在价格上还是配置上都比奔驰GL</t>
  </si>
  <si>
    <t>宝马X3为什么卖不过奔驰GLC  主要是这五个原因提到50万以内的豪华品牌SUV，奔驰GLC与宝马X3绝对是绕不过去的两款车，并且这两款车在市场上都是属于走量的车型，在2019年SUV销量排行榜中，奔驰GLC以142857辆的成绩占据第12位，宝马X3以121500辆的成绩屈居第23位，定位相同的两</t>
  </si>
  <si>
    <t>酷路泽一直都是越野界的标杆性车型，其不仅越野强悍而且还是皮实耐用可靠，保值率更是非常的惊人，而其中的顶配车型酷路泽5700更是越野的顶级存在，也称为陆地巡洋舰，不能说上天入地，但也差不多这个意思了，任何路况都是不在话下。前几日好车在线就有一辆19款酷路泽5700VXS顶配到店，配置非常奢华，价格大家</t>
  </si>
  <si>
    <t>2020/02/13 09:05:00</t>
  </si>
  <si>
    <t>2019全球卖最好的10款车，国内都有卖，你买对了吗？2020年鼠年驾到，万事开头难，2020年的开局确实太难，本可以开着新车、豪车拜年串门的日子，却成了大家集体“做月子”的日子。望着窗外的天空，想要猛吸一口新鲜的空气，闭上双眼是该对过去的2019年做一个复盘，也是为2020年重新出发理清思路与规划</t>
  </si>
  <si>
    <t>酷路泽5700“顶配版”VXS到店：配置奢华，价格看看就好了酷路泽一直都是越野界的标杆性车型，其不仅越野强悍而且还是皮实耐用可靠，保值率更是非常的惊人，而其中的顶配车型酷路泽5700更是越野的顶级存在，也称为陆地巡洋舰，不能说上天入地，但也差不多这个意思了，任何路况都是不在话下。前几日好车在线就有一</t>
  </si>
  <si>
    <t>　　瑞虎3是奇瑞旗下的一款小型suv，目前在售的是2018款以及百万全球版车型。日前，有媒体获得了新款瑞虎3的实拍图，新车外观部分基本与百万全球版保持一致，最大的变化是增加了1.5t发动机，相比现款在售的1.5l、1.6l车型，动力更加强劲。新车预计将于年内推向市场。　　新款瑞虎3所搭载的这款1.5</t>
  </si>
  <si>
    <t>2020/02/13 09:04:00</t>
  </si>
  <si>
    <t>瑞虎3是奇瑞旗下的一款小型suv，目前在售的是2018款以及百万全球版车型。日前，有媒体获得了新款瑞虎3的实拍图，新车外观部分基本与百万全球版保持一致，最大的变化是增加了1.5t发动机，相比现款在售的1.5l、1.6l车型，动力更加强劲。新车预计将于年内推向市场。    新款瑞虎3所搭载的这款1.5</t>
  </si>
  <si>
    <t>　　dx5是东南汽车于2019年9月推出的一款入门级紧凑型suv，在售车型搭载1.5l自然吸气或1.5t（4a91t）涡轮增压两种动力机型，官方售价为6.99万-9.99万元。有媒体获得了一组东南新款dx5的图片和部分参数信息：新车搭载型号为4a95t的1.5t发动机，最大功率可达130kw，远超现</t>
  </si>
  <si>
    <t>2020/02/13 09:03:00</t>
  </si>
  <si>
    <t>dx5是东南汽车于2019年9月推出的一款入门级紧凑型suv，在售车型搭载1.5l自然吸气或1.5t（4a91t）涡轮增压两种动力机型，官方售价为6.99万-9.99万元。有媒体获得了一组东南新款dx5的图片和部分参数信息：新车搭载型号为4a95t的1.5t发动机，最大功率可达130kw，远超现款同</t>
  </si>
  <si>
    <t>吉利换回四缸机，是醒悟还是迷失？JLB-4G14TB发动机将会出现在缤越上， 这意味着这台吉利体系中销量较为出色的三缸机SUV再添强势版本，对于急需拉动销量的吉利来说，并非不是一件好事儿。2019年，吉利销量随行就市下滑，全年累计销量下滑幅度超9%，销量下滑的一个原因在于吉利销量体系较大，过去一年市</t>
  </si>
  <si>
    <t>投诉编号：【447069】  投诉时间： 2020-02-13 09:03  投诉品牌： 北汽银翔  投诉车系： 幻速H3F  投诉车型： 2016款 1.5L 尊贵型        投诉内容  北汽幻速H3F电脑板损坏导致无法加速，一直没货。一直反馈。审车审不过。现在都马上超出审车范围了。希望厂家</t>
  </si>
  <si>
    <t>　　虽然我们已经难以避免地在克莱斯勒品牌的汽车产品上看到越来越多的意大利风格亦或是法兰西元素，但是幸好这个品牌还保持着他们在mpv产品方面的地位，并且不断推陈出新。几天前在芝加哥车展上，新款大捷龙被外媒评价为“席卷了风城”，除了新颖的外观内饰改进之外，这款新车还为全系汽油版车型增加了四驱系统可选，并</t>
  </si>
  <si>
    <t>2020/02/13 09:02:00</t>
  </si>
  <si>
    <t>相信大家经常有在网络上看到这样一句话：不懂车的买丰田，半懂车的买大众…这话有什么依据呢？说法对吗？那真正懂车的人又买什么品牌呢？今天我们来聊一聊…不懂车的买丰田？大家在买车时，一般情况下都会大范围的从品牌入手，而素来以「开不坏」著称的丰田车，拥有绝对的可靠性和稳定性。曾经一句人人朗朗上口的「有路必有</t>
  </si>
  <si>
    <t>不懂车的买丰田，半懂车的买大众，那真正懂车的人买什么车？相信大家经常有在网络上看到这样一句话：不懂车的买丰田，半懂车的买大众…这话有什么依据呢？说法对吗？那真正懂车的人又买什么品牌呢？今天我们来聊一聊…不懂车的买丰田？大家在买车时，一般情况下都会大范围的从品牌入手，而素来以「开不坏」著称的丰田车，拥</t>
  </si>
  <si>
    <t>五款不保值的好车，购买二手车人群的福音随着汽车逐渐成为了大部分家庭大型消耗品之一，他们在买车的时候，会把保值率当做评价车辆好坏的依据，同时，保值率高的车，如果开几年想换了，卖掉也不会亏太多。其实，市面上有很多保值率虽低、但本身拥有不错产品力的车型，如果买它们的二手车，是非常划算的。今天马拉车市推荐五</t>
  </si>
  <si>
    <t>2020/02/13 09:01:00</t>
  </si>
  <si>
    <t>又给国人长脸了！这5台新车霸气亮相，个个都是中国骄傲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t>
  </si>
  <si>
    <t>　　丰田Sienna原本是一款专为北美市场打造的MPV车型，不过由于新车具备了宽大的空间、可靠的质量，因而受到全球消费者的欢迎。目前国内消费者只能通过平行进口车商订购Sienna车型，价格偏高且维修保养很不便。日前，有媒体从国家商标局获取了一组广汽丰田申报的一系列专利名称，这些名称都是音译自“Sie</t>
  </si>
  <si>
    <t>2020/02/13 09:00:00</t>
  </si>
  <si>
    <t>　　近日有媒体获取到了一组汉腾新款v7的实拍图，该车针对头灯组进行了调整，内部结构类似于矩阵式结构，后续或仅体现在高配车型中。动力方面，新车搭载的1.5t发动机动力提升，最大功率由现款的115kw增加至135kw。　　汉腾v7车身长宽高分别为4827×1858×1721mm，轴距为2800mm。整体</t>
  </si>
  <si>
    <t>近日有媒体获取到了一组汉腾新款v7的实拍图，该车针对头灯组进行了调整，内部结构类似于矩阵式结构，后续或仅体现在高配车型中。动力方面，新车搭载的1.5t发动机动力提升，最大功率由现款的115kw增加至135kw。    汉腾v7车身长宽高分别为4827×1858×1721mm，轴距为2800mm。整体</t>
  </si>
  <si>
    <t>丰田Sienna原本是一款专为北美市场打造的MPV车型，不过由于新车具备了宽大的空间、可靠的质量，因而受到全球消费者的欢迎。目前国内消费者只能通过平行进口车商订购Sienna车型，价格偏高且维修保养很不便。日前，有媒体从国家商标局获取了一组广汽丰田申报的一系列专利名称，这些名称都是音译自“Sienn</t>
  </si>
  <si>
    <t>在2019年北美车展上，代号A90的丰田全新第五代Supra正式进行了首发亮相。作为丰田一款传奇车型，Supra停产了17年，如今再次复活。而它也与宝马Z4共享平台，并基于宝马CLAR平台打造。此前，搭载3.0T发动机的Supra在美国的起步价为4.999万美金（折合人民币约33.74万元起）。配图</t>
  </si>
  <si>
    <t>入门版“牛魔王”来了！丰田全新Supra 2.0T限量版车型官图发布在2019年北美车展上，代号A90的丰田全新第五代Supra正式进行了首发亮相。作为丰田一款传奇车型，Supra停产了17年，如今再次复活。而它也与宝马Z4共享平台，并基于宝马CLAR平台打造。此前，搭载3.0T发动机的Supra在</t>
  </si>
  <si>
    <t>“准新车”5折清仓，前途K50保值率让人堪忧新能源汽车成为大势所趋已是不争的事实，不过虽然其保有量在逐年提高，但二手车市场却十分萧条，甚至很多二手车商对新能源避之不及。马拉车市也曾多次走访其所在的成都市二手车市场，对新能源二手车的保值率有过一探究竟。经走访发现，新能源二手车车源稀少，二手车商直呼很“</t>
  </si>
  <si>
    <t>　　当前疫情因素的叠加，让本就是车市淡季的2月份变得更加冷清，不过这并不影响车企推出新产品的“热情”。有媒体梳理了2020年2月份最新一批工信部新车申报图，其中不乏一汽-大众探岳x（轿跑suv）、别克中期改款gl8 avenir、雷诺轿跑suv、荣威i6 max轿车、beijing x7五款重磅新车</t>
  </si>
  <si>
    <t>2020/02/13 08:58:00</t>
  </si>
  <si>
    <t>当前疫情因素的叠加，让本就是车市淡季的2月份变得更加冷清，不过这并不影响车企推出新产品的“热情”。有媒体梳理了2020年2月份最新一批工信部新车申报图，其中不乏一汽-大众探岳x（轿跑suv）、别克中期改款gl8 avenir、雷诺轿跑suv、荣威i6 max轿车、beijing x7五款重磅新车型，</t>
  </si>
  <si>
    <t>　　2月12日，长城汽车发布了最新销量数据：尽管受春节假期以及疫情影响，长城汽车1月份仍然逆势突围，销售新车80,261辆。其中，哈弗suv稳居中国suv销量冠军，h6、f7、m6三款车型持续热销，单月销量继续在万辆以上。值得一提的是，硬派越野suv――哈弗h9取得了较大的提升，同比大增50.12%</t>
  </si>
  <si>
    <t>2020/02/13 08:56:00</t>
  </si>
  <si>
    <t>2月12日，长城汽车发布了最新销量数据：尽管受春节假期以及疫情影响，长城汽车1月份仍然逆势突围，销售新车80,261辆。其中，哈弗suv稳居中国suv销量冠军，h6、f7、m6三款车型持续热销，单月销量继续在万辆以上。值得一提的是，硬派越野suv——哈弗h9取得了较大的提升，同比大增50.12%，达</t>
  </si>
  <si>
    <t>　　宋是比亚迪王朝系列中的一款紧凑型suv，2019款车型全系搭载型号为byd476zqa的1.5t涡轮增压发动机，官方售价区间7.98万-11.98万元。有媒体获得了一组新款比亚迪宋燃油版的图片和部分参数：新车搭载型号为byd476zqb的1.5t涡轮增压发动机，最大功率118kw，较2019款车</t>
  </si>
  <si>
    <t>2020/02/13 08:55:00</t>
  </si>
  <si>
    <t>宋是比亚迪王朝系列中的一款紧凑型suv，2019款车型全系搭载型号为byd476zqa的1.5t涡轮增压发动机，官方售价区间7.98万-11.98万元。有媒体获得了一组新款比亚迪宋燃油版的图片和部分参数：新车搭载型号为byd476zqb的1.5t涡轮增压发动机，最大功率118kw，较2019款车型小</t>
  </si>
  <si>
    <t>　　s5是海马汽车旗下的一款紧凑型suv，在售的汽油版车型官方售价区间为6.98万-10.98万元。有媒体获得了一组海马二代s5插电混动版的实拍图和部分参数：新车整体尺寸与汽油版保持一致，动力方面搭载一台型号为hma ga12-yf1的1.2t涡轮增压发动机，并匹配驱动电机，百公里综合油耗仅需1.3</t>
  </si>
  <si>
    <t>2020/02/13 08:53:00</t>
  </si>
  <si>
    <t>s5是海马汽车旗下的一款紧凑型suv，在售的汽油版车型官方售价区间为6.98万-10.98万元。有媒体获得了一组海马二代s5插电混动版的实拍图和部分参数：新车整体尺寸与汽油版保持一致，动力方面搭载一台型号为hma ga12-yf1的1.2t涡轮增压发动机，并匹配驱动电机，百公里综合油耗仅需1.38l</t>
  </si>
  <si>
    <t>　　广汽新能源aion系列共有aion s和aion lx两款，均基于第二代纯电专属平台打造。有媒体获得了aion序列第三款车型aion v的实拍图，该车从侧面来看与ge3 530颇为相似，或为ge3换代车型，动力方面与aion s相同。新车预计将于年内上市，竞争吉利帝豪gse等同级别车型。　　ai</t>
  </si>
  <si>
    <t>2020/02/13 08:52:00</t>
  </si>
  <si>
    <t>广汽新能源aion系列共有aion s和aion lx两款，均基于第二代纯电专属平台打造。有媒体获得了aion序列第三款车型aion v的实拍图，该车从侧面来看与ge3 530颇为相似，或为ge3换代车型，动力方面与aion s相同。新车预计将于年内上市，竞争吉利帝豪gse等同级别车型。    ai</t>
  </si>
  <si>
    <t>日前，车质网从工信部获得了广汽新能源Aion V车型申报图。从公布信息来看，新车定位为纯电动SUV车型，搭载宁德时代三元锂电池，最大功率184马力。    外观方面，新车采用了广汽新能源Aion家族式设计语言，两侧细长前大灯与前格栅相连接，起到视觉拉伸效果。车身侧面来看，新车在D柱采用黑色处理，从而</t>
  </si>
  <si>
    <t>2020/02/13 08:50:00</t>
  </si>
  <si>
    <t>　　近日有媒体获取到了一组奇瑞新款艾瑞泽5的实拍图。新车在外观、尺寸方面均与现款在售车型保持一致，但有意思的是，新车提供了一种双色拼接的配色方案，这种双色车身跟传统的从车窗下沿为界的设计理念不同，它的涂装范围涵盖了引擎盖、后备箱盖处，不知最后上市版本能否延续。动力方面，新车搭载1.6l cng（压缩</t>
  </si>
  <si>
    <t>近日有媒体获取到了一组奇瑞新款艾瑞泽5的实拍图。新车在外观、尺寸方面均与现款在售车型保持一致，但有意思的是，新车提供了一种双色拼接的配色方案，这种双色车身跟传统的从车窗下沿为界的设计理念不同，它的涂装范围涵盖了引擎盖、后备箱盖处，不知最后上市版本能否延续。动力方面，新车搭载1.6l cng（压缩天然</t>
  </si>
  <si>
    <t>　　近日有媒体获取到了一组上汽大通g20柴油版车型的实拍图。外观方面，该车与汽油版车型保持一致，动力方面搭载2.0t柴油涡轮增压发动机，最大功率为120kw，将满足国六排放标准，与汽油版本车型（最大功率165kw）相比，该引擎动力下降明显。但百公里油耗申报值为7.8l，相比汽油版车型油耗表现更优。　</t>
  </si>
  <si>
    <t>2020/02/13 08:49:00</t>
  </si>
  <si>
    <t xml:space="preserve">近日有媒体获取到了一组上汽大通g20柴油版车型的实拍图。外观方面，该车与汽油版车型保持一致，动力方面搭载2.0t柴油涡轮增压发动机，最大功率为120kw，将满足国六排放标准，与汽油版本车型（最大功率165kw）相比，该引擎动力下降明显。但百公里油耗申报值为7.8l，相比汽油版车型油耗表现更优。   </t>
  </si>
  <si>
    <t>日前，我们获悉了一组全新一代宝马4系的谍照，新车将于3月份开幕的日内瓦车展首发亮相，新车采用了宝马家族式设计，但是相比现款车型在豪华感上有着明显的提升。    全新一代宝马4系将与全新一代宝马3系共享clar平台，全新一代宝马4系将采用最新的家族式设计语言，更加动感时尚，双肾型进气格栅有所加大，造型</t>
  </si>
  <si>
    <t>2020/02/13 08:46:00</t>
  </si>
  <si>
    <t>　　日前，我们获悉了一组全新一代宝马4系的谍照，新车将于3月份开幕的日内瓦车展首发亮相，新车采用了宝马家族式设计，但是相比现款车型在豪华感上有着明显的提升。　　全新一代宝马4系将与全新一代宝马3系共享clar平台，全新一代宝马4系将采用最新的家族式设计语言，更加动感时尚，双肾型进气格栅有所加大，造型</t>
  </si>
  <si>
    <t>日前，我们从海外媒体处获悉了一组新一代路虎揽胜运动版的路试谍照，新车在前脸的整个设计上采用了路虎全新的家族式设计风格，中网尺寸进一步加大，换装了全新样式的大灯组。据了解，新车预计将于2021年发布。    外观方面，新一代路虎揽胜运动版在前脸的整个设计上采用了路虎全新的家族式设计风格，新车的造型方正</t>
  </si>
  <si>
    <t>2020/02/13 08:44:00</t>
  </si>
  <si>
    <t>　　日前，我们从海外媒体处获悉了一组新一代路虎揽胜运动版的路试谍照，新车在前脸的整个设计上采用了路虎全新的家族式设计风格，中网尺寸进一步加大，换装了全新样式的大灯组。据了解，新车预计将于2021年发布。　　外观方面，新一代路虎揽胜运动版在前脸的整个设计上采用了路虎全新的家族式设计风格，新车的造型方正</t>
  </si>
  <si>
    <t>日前，有媒体获得了雪铁龙c3中期改款车型的官图。中期改款c3的整体造型更加圆润，依旧提供定制化服务，且外观组合升级到了97种。中期改款的雪铁龙c3在动力部分搭载新一代三缸汽油发动机和柴油发动机。    中期改款的雪铁龙c3采用了最新的家族式设计语言，整体轮廓更加圆润，分体式前大灯为其提供了较高的辨识</t>
  </si>
  <si>
    <t>2020/02/13 08:42:00</t>
  </si>
  <si>
    <t>　　日前，有媒体获得了雪铁龙c3中期改款车型的官图。中期改款c3的整体造型更加圆润，依旧提供定制化服务，且外观组合升级到了97种。中期改款的雪铁龙c3在动力部分搭载新一代三缸汽油发动机和柴油发动机。　　中期改款的雪铁龙c3采用了最新的家族式设计语言，整体轮廓更加圆润，分体式前大灯为其提供了较高的辨识</t>
  </si>
  <si>
    <t>日前，我们从相关渠道获悉，大众全新高尔夫r将于今年年底正式发布亮相，全新高尔夫r将采用全新的前包围设计，新车搭载2.0t发动机，最大输出功率达220kw（300ps）。配图为：2017款golf r     外观方面，大众全新高尔夫r基于全新高尔夫打造而来，相比普通版车型，全新高尔夫r在外观方面极具</t>
  </si>
  <si>
    <t>2020/02/13 08:41:00</t>
  </si>
  <si>
    <t>　　日前，我们从相关渠道获悉，大众全新高尔夫r将于今年年底正式发布亮相，全新高尔夫r将采用全新的前包围设计，新车搭载2.0t发动机，最大输出功率达220kw（300ps）。配图为：2017款golf r 　　外观方面，大众全新高尔夫r基于全新高尔夫打造而来，相比普通版车型，全新高尔夫r在外观方面极具</t>
  </si>
  <si>
    <t>近日获悉，上汽通用雪佛兰畅巡将于本月中下旬上市发售。作为一款全新纯电动紧凑型车，畅巡搭载最大功率为110kw（150ps）的电动机，nedc综合续航里程为410km。此外，官方针对畅巡提供了整车3年或10万公里，及电池组8年或16万公里的质保服务。    作为一款全新纯电动紧凑型车，畅巡借鉴雪佛兰f</t>
  </si>
  <si>
    <t>2020/02/13 08:39:00</t>
  </si>
  <si>
    <t>　　近日获悉，上汽通用雪佛兰畅巡将于本月中下旬上市发售。作为一款全新纯电动紧凑型车，畅巡搭载最大功率为110kw（150ps）的电动机，nedc综合续航里程为410km。此外，官方针对畅巡提供了整车3年或10万公里，及电池组8年或16万公里的质保服务。　　作为一款全新纯电动紧凑型车，畅巡借鉴雪佛兰f</t>
  </si>
  <si>
    <t>日前，有媒体从相关渠道获悉，上汽大众viloran（巍昂）或将于二季度上市。作为上汽大众首款采用大众品牌新标识的车型，viloran采用了最新的家族化设计语言，动力方面将搭载2.0t高功率发动机，定位为一款主打商务的mpv车型。    看了以下要点，本文算读完一半    上汽大众首款采用大众品牌新标</t>
  </si>
  <si>
    <t>2020/02/13 08:36:00</t>
  </si>
  <si>
    <t>　　日前，有媒体从相关渠道获悉，上汽大众viloran（巍昂）或将于二季度上市。作为上汽大众首款采用大众品牌新标识的车型，viloran采用了最新的家族化设计语言，动力方面将搭载2.0t高功率发动机，定位为一款主打商务的mpv车型。　　看了以下要点，本文算读完一半　　上汽大众首款采用大众品牌新标识的</t>
  </si>
  <si>
    <t>日前，有海外媒体报道，根据现代内部的商议决定，全新现代索纳塔将取消插电式混合动力版车型，仅保留燃油动力版以及油电混合动力版本。做出如此决定的主要原因是在于过去几年中，索纳塔PHEV版本的销量持续走低，2016年该车销量不足20万辆，而到了2019年，其销量甚至还不到10万辆。    现代首次推出插电</t>
  </si>
  <si>
    <t>2020/02/13 08:35:00</t>
  </si>
  <si>
    <t>热爱驾驶的你怎能缺少这四款四驱轿车呢？在看完《头文字D》以后，相信很多驾驶者都能里面的角色一样拥有一手高超的漂移技术。但事实上，能熟练掌握漂移技术的人是少之又少。在这种情况下，一套好的四驱系统就能帮助我们拥有更好的弯道表现，速度甚至更胜漂移。碍于四驱系统的成本问题，不少四驱轿车的价格都不那么友好。在</t>
  </si>
  <si>
    <t>2020/02/13 08:33:00</t>
  </si>
  <si>
    <t>在看完《头文字D》以后，相信很多驾驶者都能里面的角色一样拥有一手高超的漂移技术。但事实上，能熟练掌握漂移技术的人是少之又少。在这种情况下，一套好的四驱系统就能帮助我们拥有更好的弯道表现，速度甚至更胜漂移。碍于四驱系统的成本问题，不少四驱轿车的价格都不那么友好。在千挑万选后，笔者终于找到了四款价格亲民</t>
  </si>
  <si>
    <t>有设计也有内涵的3款国产精品纯电SUV推荐今年上半年，几何A、Aion S和比亚迪秦Pro EV等几款国产精品纯电动轿车，让消费者看到了自主品牌在新能源车上的实力，其中Aion S更是连续几个月销量保持上涨。而在SUV领域，也有这么三款实力不输合资，既有设计也有内涵的精品车型。蔚来 - 蔚来ES6厂</t>
  </si>
  <si>
    <t>2020/02/13 08:31:00</t>
  </si>
  <si>
    <t>　　据悉，现代品牌将会在3月日内瓦车展上发布旗下i30的中期改款车型，该车定位为紧凑型车。官方日前正式发布了新款i30 N Line的预告图，旅行版i30有望借此次改款机会增加N Line车型。　　N Line顾名思义就是运动版本，预告图上的现代新款i30 N Line采用全新设计的前大灯，对称V字</t>
  </si>
  <si>
    <t>据悉，现代品牌将会在3月日内瓦车展上发布旗下i30的中期改款车型，该车定位为紧凑型车。官方日前正式发布了新款i30 N Line的预告图，旅行版i30有望借此次改款机会增加N Line车型。    N Line顾名思义就是运动版本，预告图上的现代新款i30 N Line采用全新设计的前大灯，对称V字</t>
  </si>
  <si>
    <t>今年上半年，几何A、Aion S和比亚迪秦Pro EV等几款国产精品纯电动轿车，让消费者看到了自主品牌在新能源车上的实力，其中Aion S更是连续几个月销量保持上涨。而在SUV领域，也有这么三款实力不输合资，既有设计也有内涵的精品车型。蔚来 - 蔚来ES6厂商指导价：35.8 - 54.8万上市后销</t>
  </si>
  <si>
    <t>高配还带四驱 这款10万级SUV实力不输H6众所周知，哈弗中的主销产品绝对就是“神车”H6。但如果只靠单一爆款来撑起整个企业的经营，这既不长久也不现实。因此哈弗推出了另一款价格、配置、尺寸以及动力系统都与H6相近的紧凑型SUV——F7来分担它的压力。熟知哈弗的朋友应该都还记得，过往哈弗有红蓝标之分，</t>
  </si>
  <si>
    <t>大雨天</t>
  </si>
  <si>
    <t>2020/02/13 08:30:00</t>
  </si>
  <si>
    <t>众所周知，哈弗中的主销产品绝对就是“神车”H6。但如果只靠单一爆款来撑起整个企业的经营，这既不长久也不现实。因此哈弗推出了另一款价格、配置、尺寸以及动力系统都与H6相近的紧凑型SUV——F7来分担它的压力。熟知哈弗的朋友应该都还记得，过往哈弗有红蓝标之分，红标代表豪华，而蓝标则代表运动。在蓝标取消后</t>
  </si>
  <si>
    <t>长安福特锐际怎么选？中配嘉享款最值得入手SUV在国内市场的热度相信大家都是有目共睹的，但到2018年开始国内SUV市场热度都开始呈下滑的趋势，但对于紧凑级SUV细分市场来说其依旧十分的坚挺，依旧是众多消费者最为青睐的车型，再加上有越来越多的年轻消费群体进入消费市场，在消费层面上又更多的回归理性，因此</t>
  </si>
  <si>
    <t>2020/02/13 08:29:00</t>
  </si>
  <si>
    <t>SUV在国内市场的热度相信大家都是有目共睹的，但到2018年开始国内SUV市场热度都开始呈下滑的趋势，但对于紧凑级SUV细分市场来说其依旧十分的坚挺，依旧是众多消费者最为青睐的车型，再加上有越来越多的年轻消费群体进入消费市场，在消费层面上又更多的回归理性，因此在面对庞大的年轻消费群体，各大车企也继续</t>
  </si>
  <si>
    <t>日前，记者从国家工信部网站获取了一组荣威i6 MAX的申报图，新车整体看上去非常硬朗，与此前曝光的插混版车型基本相一致。而燃油版车型动力或将搭载一台1.5T四缸涡轮发动机。    外观方面，新车与此前曝光的插混版车型基本保持一致，整车造型棱角分明。细节部分，该车前脸视觉上看起来非常犀利，其中网依旧为</t>
  </si>
  <si>
    <t>2020/02/13 08:22:00</t>
  </si>
  <si>
    <t>　　日前，海外媒体报道称，斯科达全新纯电动SUV车型将命名为Enyaq。在斯柯达SUV车系命名传统中，一般会以“K”开头，以“q”结尾，所以很明显以“E”开头的Enyaq将采用纯电动力系统，这也是斯柯达首款专门开发的新能源车型。　　斯柯达Enyaq将基于大众集团的MEB平台打造，但目前斯柯达官方尚未</t>
  </si>
  <si>
    <t>2020/02/13 08:21:00</t>
  </si>
  <si>
    <t>日前，海外媒体报道称，斯科达全新纯电动SUV车型将命名为Enyaq。在斯柯达SUV车系命名传统中，一般会以“K”开头，以“q”结尾，所以很明显以“E”开头的Enyaq将采用纯电动力系统，这也是斯柯达首款专门开发的新能源车型。    斯柯达Enyaq将基于大众集团的MEB平台打造，但目前斯柯达官方尚未</t>
  </si>
  <si>
    <t>2020/02/13 08:17:24</t>
  </si>
  <si>
    <t>投诉编号：【447068】
投诉时间： 2020-02-13 08:03
投诉品牌： 上汽通用五菱
投诉车系： 新宝骏RM-5
投诉车型： 2019款 1.5L CVT 24小时在线精英型 7座</t>
  </si>
  <si>
    <t>车辆在行驶过程中突然提示变速箱进入紧急运行模式，然后失去动力，一挡转速升高；熄火等待10分钟重启后，故障码消失；5天后在高架上行驶再次出现，车子无法挂入偶数挡位且无法挂入倒车挡，跳挡；第二天去4S店检测，维修人员告诉我是机电控制单元坏了，无法维修，只能更换，要18000。车子是1月22号过保的，2月</t>
  </si>
  <si>
    <t>2020/02/13 08:14:00</t>
  </si>
  <si>
    <t>大众的机电控制单元质量这么差劲吗？车辆在行驶过程中突然提示变速箱进入紧急运行模式，然后失去动力，一挡转速升高；熄火等待10分钟重启后，故障码消失；5天后在高架上行驶再次出现，车子无法挂入偶数挡位且无法挂入倒车挡，跳挡；第二天去4S店检测，维修人员告诉我是机电控制单元坏了，无法维修，只能更换，要180</t>
  </si>
  <si>
    <t>北京现代途胜升级发动机后噪音大，油耗增加，升级发动机后噪音增大，油耗增加，动力减弱，偶尔发动机抖动。要求回复发动机出厂程序。</t>
  </si>
  <si>
    <t>2020/02/13 08:13:00</t>
  </si>
  <si>
    <t>1、第一次出现故障：2019年11月24日晚上20点30分我到地下停车的启动车辆无法启动（此前一直正常使用，并且每天都会行驶，当时已经行驶总里程309公里），联系4S点到地下停车场搭电救援后正常启动。本人于8天后（12月2日）到宝源宝马进行检测故障，检测时我在检测现场看到电脑提示“电池老化过快需更换</t>
  </si>
  <si>
    <t>途胜升级后问题真的是太多了，怎么去处理北京现代途胜升级发动机后噪音大，油耗增加，升级发动机后噪音增大，油耗增加，动力减弱，偶尔发动机抖动。要求回复发动机出厂程序。</t>
  </si>
  <si>
    <t>宝马3电池电量不足怎么解决？1、第一次出现故障：2019年11月24日晚上20点30分我到地下停车的启动车辆无法启动（此前一直正常使用，并且每天都会行驶，当时已经行驶总里程309公里），联系4S点到地下停车场搭电救援后正常启动。本人于8天后（12月2日）到宝源宝马进行检测故障，检测时我在检测现场看到</t>
  </si>
  <si>
    <t>车辆四门生锈，希望厂家能有人给我回复，目前为止没有人联系我。车辆生锈难道是我自己的原因吗？18年去4S店处理过一次，现在车门已经锈穿，希望厂家尽快给我答复。这样的售后以后谁还敢买。</t>
  </si>
  <si>
    <t>2020/02/13 08:12:00</t>
  </si>
  <si>
    <t>奇瑞的车门生锈是不是通病车辆四门生锈，希望厂家能有人给我回复，目前为止没有人联系我。车辆生锈难道是我自己的原因吗？18年去4S店处理过一次，现在车门已经锈穿，希望厂家尽快给我答复。这样的售后以后谁还敢买。</t>
  </si>
  <si>
    <t>比日常噪音大了很多，以前两千转以下几乎没多大声音，现在1500转噪音就很明显，2000转的噪音是以前三千转那么大，而且动力也下降了，偶尔怠速和行驶方向盘有抖动！</t>
  </si>
  <si>
    <t>2020/02/13 08:11:00</t>
  </si>
  <si>
    <t>之前六万公里保养的时候发现右前轮上方有油渍，当时以为是脏东西，让师傅看了看没发现有漏油的地方，发动机也没有渗油的情况，但是前几天加玻璃水的时候发现发动机渗油严重，图片也是刚拍的，请广汽本田售后给个说法。</t>
  </si>
  <si>
    <t>哈弗的问题真的是太普遍了比日常噪音大了很多，以前两千转以下几乎没多大声音，现在1500转噪音就很明显，2000转的噪音是以前三千转那么大，而且动力也下降了，偶尔怠速和行驶方向盘有抖动！</t>
  </si>
  <si>
    <t>　　日前，编辑从相关渠道获得了路特斯Elise Cup 250特别版车型官图，该车的推出是为了向诺拉马山赛道举行的巴瑟斯特12小时耐力赛致敬。据悉，新车只针对澳大利亚市场进行销售。　　外观方面，新车延续了现款车型设计，但在车身颜色方面则运用了罗杰・摩尔在电影《爱我的间谍》中驾驶的水陆两用汽车相同的配</t>
  </si>
  <si>
    <t>日前，编辑从相关渠道获得了路特斯Elise Cup 250特别版车型官图，该车的推出是为了向诺拉马山赛道举行的巴瑟斯特12小时耐力赛致敬。据悉，新车只针对澳大利亚市场进行销售。    外观方面，新车延续了现款车型设计，但在车身颜色方面则运用了罗杰·摩尔在电影《爱我的间谍》中驾驶的水陆两用汽车相同的配</t>
  </si>
  <si>
    <t>发动机渗油可以将问题解决吗？之前六万公里保养的时候发现右前轮上方有油渍，当时以为是脏东西，让师傅看了看没发现有漏油的地方，发动机也没有渗油的情况，但是前几天加玻璃水的时候发现发动机渗油严重，图片也是刚拍的，请广汽本田售后给个说法。</t>
  </si>
  <si>
    <t>Play Video车子当时买回来一年多的时候就开始出现打火异响的问题，当时的异响也不是很频繁，有时候几天才响一次，后就越来越频繁，只要冷车启动就会响，就把车开到4s店去检查，当时工作人员对我说这个没什么影响，很多车都有这个现象，只是打火有响声，而且要修就要拆开发动机，车子没问题的，放心开吧。听到这</t>
  </si>
  <si>
    <t>2020/02/13 08:09:00</t>
  </si>
  <si>
    <t>VTC执行器的问题吗？Play Video车子当时买回来一年多的时候就开始出现打火异响的问题，当时的异响也不是很频繁，有时候几天才响一次，后就越来越频繁，只要冷车启动就会响，就把车开到4s店去检查，当时工作人员对我说这个没什么影响，很多车都有这个现象，只是打火有响声，而且要修就要拆开发动机，车子没问</t>
  </si>
  <si>
    <t>本人车辆2016年10月份出厂，正常行驶和保养，于2019年底启动车辆时，多次显示变速箱故障灯灯，经吉利4S店电脑检测，具体问题也不清楚，建议换整套变速箱，但刚过了保质期，价格昂贵（接近2万）。整车3年折旧后也就值6万左右，如此昂贵的变速箱只质保3年，而且刚过3年即出现问题。于法律上来讲是合法的，但</t>
  </si>
  <si>
    <t>2020/02/13 08:08:00</t>
  </si>
  <si>
    <t>轮胎胎侧受车轮外轮缘挤压，造成胎侧支撑胶和胎体帘线断裂，对应位置产生鼓包、切口，导致轮胎失压。厂家虽回复联系经销商或倍耐力厂家，但经销商回复没接到通知，倍耐力回复是外力导致！厂家与倍耐力踢皮球！</t>
  </si>
  <si>
    <t>变速箱的问题真的是太多了吉利问题太多本人车辆2016年10月份出厂，正常行驶和保养，于2019年底启动车辆时，多次显示变速箱故障灯灯，经吉利4S店电脑检测，具体问题也不清楚，建议换整套变速箱，但刚过了保质期，价格昂贵（接近2万）。整车3年折旧后也就值6万左右，如此昂贵的变速箱只质保3年，而且刚过3年</t>
  </si>
  <si>
    <t>轮胎爆胎倍耐力真的是不行吗？轮胎胎侧受车轮外轮缘挤压，造成胎侧支撑胶和胎体帘线断裂，对应位置产生鼓包、切口，导致轮胎失压。厂家虽回复联系经销商或倍耐力厂家，但经销商回复没接到通知，倍耐力回复是外力导致！厂家与倍耐力踢皮球！</t>
  </si>
  <si>
    <t>东风风行景逸X5两万多公里后轮胎就磨平了。我的车很少开，买了五年开了不到3万公里，前轮磨损正常，后轮胎磨平了。希望厂家可以安排工作人员尽快解决。</t>
  </si>
  <si>
    <t>2020/02/13 08:07:00</t>
  </si>
  <si>
    <t>轮胎磨损是什么原因？东风风行景逸X5两万多公里后轮胎就磨平了。我的车很少开，买了五年开了不到3万公里，前轮磨损正常，后轮胎磨平了。希望厂家可以安排工作人员尽快解决。</t>
  </si>
  <si>
    <t>雪铁龙C4L一键启动功能，第一次启动不了，第二次才启动着，这个是什么原因？</t>
  </si>
  <si>
    <t>2020/02/13 07:57:28</t>
  </si>
  <si>
    <t>有没有2020款哈弗H6车主，2.0T的真实油耗是多少？</t>
  </si>
  <si>
    <t>挂到四驱上无法回到两驱，手动的也推不动。</t>
  </si>
  <si>
    <t>2020/02/13 07:54:56</t>
  </si>
  <si>
    <t>你好，我想问一下奥迪A6的自动变速箱是湿式双离合吗？质量可靠吗？故障率高吗？</t>
  </si>
  <si>
    <t>2020/02/13 07:54:45</t>
  </si>
  <si>
    <t>您好，我在网上看到科鲁泽市区百公里油耗有说是十一升，又说八升的，想知道科鲁泽一般的市区油耗是多少？</t>
  </si>
  <si>
    <t>2020/02/13 07:54:43</t>
  </si>
  <si>
    <t>您好，我的买车预算在十万以内，哪些国产车比较值得入手。一般在市区上下班，只有过年过节才上高速回家，高速相对较少。所以想买油耗相对较低，配置比较不错，相对耐用一点（不经常出问题）的车。希望您能给个建议。</t>
  </si>
  <si>
    <t>2020/02/13 07:54:39</t>
  </si>
  <si>
    <t>怎么样区分19款天籁智行版和20款天籁智行版？</t>
  </si>
  <si>
    <t>2020/02/13 07:46:32</t>
  </si>
  <si>
    <t>去年年初的时候我来问过这个问题，现在一年过去了，这两款车，在质量稳定性方面如何呢？发动机是谁更优秀呢？</t>
  </si>
  <si>
    <t>2020/02/13 07:43:18</t>
  </si>
  <si>
    <t>帝豪和i5还有艾瑞泽5哪种车自动挡比较好。</t>
  </si>
  <si>
    <t>明明挂的是空挡，一键启动一直提示挂空挡，无法启动？</t>
  </si>
  <si>
    <t>2020/02/13 07:39:00</t>
  </si>
  <si>
    <t>您好，最近想购买XT4，但是看到网上写的刹车，变速箱，甩尾等问题挺多，不知道是否值得购买。</t>
  </si>
  <si>
    <t>传祺GS4车门用电子钥匙和机械钥匙都打不开，这是为什么？</t>
  </si>
  <si>
    <t>看了很多帖子。说天籁的变速箱不可靠，请问新款也是如此吗？</t>
  </si>
  <si>
    <t>2020/02/13 07:35:30</t>
  </si>
  <si>
    <t>冷却液低于最小值刻度线应该怎么办，请问这种情况正常吗？冷却液是粉红色的。</t>
  </si>
  <si>
    <t>裸车十万左右，买什么车合适。</t>
  </si>
  <si>
    <t>开车途中仪表盘显示整车亮红灯什么意思？4-5次啦！！！一次高速途中自动挂入N挡，差点出事故！望尽快回复。</t>
  </si>
  <si>
    <t>凯迪拉克XT5行驶中方向跑偏什么原因？</t>
  </si>
  <si>
    <t>2020/02/13 07:31:12</t>
  </si>
  <si>
    <t>刚买车20天，还没挂上牌就便宜了查不到四千左右，可以退差价吗，有录音。</t>
  </si>
  <si>
    <t>想入手名爵6都说干式双离合不行，我想咨询下2019款的变速箱怎样，有没有改进。</t>
  </si>
  <si>
    <t>2020/02/13 07:23:12</t>
  </si>
  <si>
    <t>我开车门，或者车子通电，仪表指针跳动，新车才开2600公里。</t>
  </si>
  <si>
    <t>2020/02/13 07:19:45</t>
  </si>
  <si>
    <t>看了几款比较纠结，长安cs85 coupe，长cs75puls，荣威rx5 max，哈佛f7x  哪一款问题毛病少些？</t>
  </si>
  <si>
    <t>2020/02/13 07:11:24</t>
  </si>
  <si>
    <t>通过经销商购车，想了解什么车是库存车？</t>
  </si>
  <si>
    <t>2020/02/13 07:11:23</t>
  </si>
  <si>
    <t>　　爱美之心，人皆有之。想必大部分车主在购买新车后都会精心装饰一番，而其中，作为外在装饰，贴纸拉花是很多新手朋友的最爱，如何能让自己的车辆与众不同，选择黏贴一个小贴纸或许是一个不错的想法。但随着时间的推移，这种小贴纸用不了多久就会看腻，然后在清理过程中就会变得非常棘手，此外，清理前挡风玻璃上黏贴的过</t>
  </si>
  <si>
    <t>2020/02/13 07:10:00</t>
  </si>
  <si>
    <t>　　2020庚子之年伊始，一场突如其来的新冠病毒肺炎疫情肆虐而来，时刻牵动着亿万国人的心。在这场没有硝烟的战争中，各行各业都肩负着沉重的压力和严峻的挑战。特别是对于已经进入到存量竞争时期的国内汽车市场而言，更是如履薄冰。疫情无情人有情，面对这场充满挑战的疫情防控狙击战，国内各大车企迅速响应，纷纷伸出</t>
  </si>
  <si>
    <t>2020庚子之年伊始，一场突如其来的新冠病毒肺炎疫情肆虐而来，时刻牵动着亿万国人的心。在这场没有硝烟的战争中，各行各业都肩负着沉重的压力和严峻的挑战。特别是对于已经进入到存量竞争时期的国内汽车市场而言，更是如履薄冰。疫情无情人有情，面对这场充满挑战的疫情防控狙击战，国内各大车企迅速响应，纷纷伸出援手</t>
  </si>
  <si>
    <t>爱美之心，人皆有之。想必大部分车主在购买新车后都会精心装饰一番，而其中，作为外在装饰，贴纸拉花是很多新手朋友的最爱，如何能让自己的车辆与众不同，选择黏贴一个小贴纸或许是一个不错的想法。但随着时间的推移，这种小贴纸用不了多久就会看腻，然后在清理过程中就会变得非常棘手，此外，清理前挡风玻璃上黏贴的过期车</t>
  </si>
  <si>
    <t>轮胎作为全车损耗性最大的部件，其在我们平常的使用中真的没有得到过多人的注意，关于换胎很多人肯定就是秉持这个原则，要换就换原厂胎，或者换上大牌轮胎，要么就随便换个便宜的，但是你不知道一款对的胎会大幅度改善你的驾乘感受      对此，我身边的朋友深有体会。我一朋友习惯性暴力驾驶，但是原厂胎很硬，抓地力</t>
  </si>
  <si>
    <t>2020/02/13 06:57:00</t>
  </si>
  <si>
    <t>马上要换轮胎了应该如何选择？      轮胎作为全车损耗性最大的部件，其在我们平常的使用中真的没有得到过多人的注意，关于换胎很多人肯定就是秉持这个原则，要换就换原厂胎，或者换上大牌轮胎，要么就随便换个便宜的，但是你不知道一款对的胎会大幅度改善你的驾乘感受      对此，我身边的朋友深有体会。我一朋</t>
  </si>
  <si>
    <t>2020/02/13 01:31:18</t>
  </si>
  <si>
    <t>投诉编号：【447061】
投诉时间： 2020-02-13 01:22
投诉品牌： 上汽集团
投诉车系： 荣威RX3
投诉车型： 2018款 1.6L CVT 旗舰版</t>
  </si>
  <si>
    <t>投诉编号：【447058】  投诉时间： 2020-02-12 23:34  投诉品牌： 天津一汽  投诉车系： 威志V5  投诉车型： 2012款 1.5 手动 精英型        投诉内容  行驶动力缺失，油门踏板无反应，故障码为节气门传感器故障，更换节气门也没用，新车买回来就是这样，清一下故</t>
  </si>
  <si>
    <t>2020/02/12 23:34:00</t>
  </si>
  <si>
    <t>投诉编号：【447057】  投诉时间： 2020-02-12 23:30  投诉品牌： 一汽丰田  投诉车系： 卡罗拉  投诉车型： 2017款 1.2T CVT GL        投诉内容  首先我怀疑在购车过程中，销售经理以装潢为借口，多收了我1000元；其次在2019年五一前后，车开始出现</t>
  </si>
  <si>
    <t>2020/02/12 23:30:00</t>
  </si>
  <si>
    <t>2020/02/12 23:23:11</t>
  </si>
  <si>
    <t>投诉编号：【447055】
投诉时间： 2020-02-12 23:19
投诉品牌： 吉利汽车
投诉车系： 博瑞
投诉车型： 2016款 1.8T 尊雅型</t>
  </si>
  <si>
    <t>投诉编号：【447056】  投诉时间： 2020-02-12 23:21  投诉品牌： 吉利汽车  投诉车系： 远景  投诉车型： 2016款 1.5L 自动 幸福版        投诉内容  吉利远景变速箱质量问题，P进D挡车辆熄火，4S店无法修理，建议更换变速箱总成。希望厂家可以安排工作人员尽</t>
  </si>
  <si>
    <t>2020/02/12 23:21:00</t>
  </si>
  <si>
    <t>2020/02/12 23:14:21</t>
  </si>
  <si>
    <t>投诉编号：【447049】
投诉时间： 2020-02-12 22:18
投诉品牌： 上汽大众
投诉车系： 帕萨特
投诉车型： 2016款 330TSI DSG 尊荣版</t>
  </si>
  <si>
    <t>投诉编号：【447054】  投诉时间： 2020-02-12 22:56  投诉品牌： 广汽讴歌  投诉车系： 讴歌TLX-L  投诉车型： 2018款 2.4L 尊享版        投诉内容  广汽讴歌TLX-L发动机1300转方向盘共振严重，1300转方向盘共振严重，超过这个转速就没有共振，</t>
  </si>
  <si>
    <t>2020/02/12 22:56:00</t>
  </si>
  <si>
    <t>2020/02/12 22:55:38</t>
  </si>
  <si>
    <t>投诉编号：【447048】
投诉时间： 2020-02-12 22:03
投诉品牌： 一汽-大众
投诉车系： 宝来
投诉车型： 2019款 1.5L 自动 精英型</t>
  </si>
  <si>
    <t>2020/02/12 22:55:08</t>
  </si>
  <si>
    <t>投诉编号：【447045】
投诉时间： 2020-02-12 21:41
投诉品牌： 一汽丰田
投诉车系： RAV4荣放
投诉车型： 2016款 2.0L CVT 两驱 风尚版 国V</t>
  </si>
  <si>
    <t>2020/02/12 22:53:53</t>
  </si>
  <si>
    <t>投诉编号：【447053】
投诉时间： 2020-02-12 22:48
投诉品牌： 众泰汽车
投诉车系： 大迈X7
投诉车型： 2017款 1.8T 手动 尊贵型</t>
  </si>
  <si>
    <t>投诉编号：【447052】  投诉时间： 2020-02-12 22:46  投诉品牌： 上汽集团  投诉车系： 名爵HS  投诉车型： 2018款 20T 自动 两驱 荷尔蒙激情版 国V        投诉内容  过年车辆停放了11天因蓄电池没电车辆无法启动，经过搭电之后启动了，发现车辆在开的过程</t>
  </si>
  <si>
    <t>2020/02/12 22:46:00</t>
  </si>
  <si>
    <t>投诉编号：【447051】  投诉时间： 2020-02-12 22:39  投诉品牌： 广汽丰田  投诉车系： 凯美瑞  投诉车型： 2019款 2.5G 豪华版 国V        投诉内容  我2019年6月30日购买了一辆19款凯美瑞油电混合豪华版，刚买下，车机自带的carlife与手机还可</t>
  </si>
  <si>
    <t>2020/02/12 22:39:00</t>
  </si>
  <si>
    <t>投诉编号：【447050】  投诉时间： 2020-02-12 22:22  投诉品牌： 上汽集团  投诉车系： 荣威RX5 MAX  投诉车型： 2019款 300TGI 手动 4G互联豪华版        投诉内容  上汽荣威RX5 MAX右侧后视镜不能调节，后视镜维修五次还没有维修好，要求厂家</t>
  </si>
  <si>
    <t>2020/02/12 22:22:00</t>
  </si>
  <si>
    <t>投诉编号：【447046】  投诉时间： 2020-02-12 21:53  投诉品牌： 东风雪铁龙  投诉车系： 世嘉  投诉车型： 2013款 1.6L 自动 品尚型 三厢        投诉内容  东风雪铁龙世嘉自动变速箱电磁阀故障，跑高速突然出现雪花挡和S挡闪烁，以及服务灯亮，最高只能跑80</t>
  </si>
  <si>
    <t>2020/02/12 21:53:00</t>
  </si>
  <si>
    <t>2020/02/12 21:08:09</t>
  </si>
  <si>
    <t>投诉编号：【447037】
投诉时间： 2020-02-12 20:28
投诉品牌： 上汽通用凯迪拉克
投诉车系： 凯迪拉克ATS-L
投诉车型： 2017款 28T 时尚型</t>
  </si>
  <si>
    <t>投诉编号：【447041】  投诉时间： 2020-02-12 20:48  投诉品牌： 郑州日产  投诉车系： 途达  投诉车型： 2020款 2.5L 自动 四驱 豪华版        投诉内容  郑州日产途达亏电严重，停车几天就全车没有电了，要搭电才能着车，过年车停了几天后，电池就没电了，需要</t>
  </si>
  <si>
    <t>2020/02/12 20:48:00</t>
  </si>
  <si>
    <t>第2款科鲁兹自动at ，12万公里，最近车辆通电自检时 这个灯会偶尔亮起，关电拔出钥匙锁车 插钥匙，重新通电后有可能会正常。  图标：车里面有个扳手</t>
  </si>
  <si>
    <t>oupenggele</t>
  </si>
  <si>
    <t>2020/02/12 20:13:00</t>
  </si>
  <si>
    <t>科鲁兹故障灯亮起 这个故障灯代表什么？？第2款科鲁兹自动at ，12万公里，最近车辆通电自检时 这个灯会偶尔亮起，关电拔出钥匙锁车 插钥匙，重新通电后有可能会正常。  图标：车里面有个扳手</t>
  </si>
  <si>
    <t>投诉编号：【447034】  投诉时间： 2020-02-12 19:54  投诉品牌： 广汽本田  投诉车系： 飞度  投诉车型： 2014款 1.5L CVT LX舒适型        投诉内容  停车三四个小时以上，或者每天第一次启动车辆。发生咔咔咔类似的齿轮打齿声，持续几秒左右。热车后再发动</t>
  </si>
  <si>
    <t>2020/02/12 19:54:00</t>
  </si>
  <si>
    <t>2020/02/12 19:04:50</t>
  </si>
  <si>
    <t>投诉编号：【447032】
投诉时间： 2020-02-12 19:03
投诉品牌： 众泰汽车
投诉车系： 众泰SR9
投诉车型： 2017款 2.0T 自动 极致之光版</t>
  </si>
  <si>
    <t>投诉编号：【447030】  投诉时间： 2020-02-12 18:59  投诉品牌： 上汽大众  投诉车系： 朗逸  投诉车型： 2019款 280TSI DSG 舒适版 国VI        投诉内容  本人于2019年11月购买了2019款大众朗逸Plus1.4T自动舒适版，当时首付款交了9</t>
  </si>
  <si>
    <t>2020/02/12 18:59:00</t>
  </si>
  <si>
    <t>2020/02/12 18:45:16</t>
  </si>
  <si>
    <t>投诉编号：【447025】
投诉时间： 2020-02-12 18:31
投诉品牌： 上汽通用五菱
投诉车系： 宝骏560
投诉车型： 2016款 1.8L 智能 手动版 豪华型</t>
  </si>
  <si>
    <t>投诉编号：【447026】  投诉时间： 2020-02-12 18:33  投诉品牌： 东风悦达起亚  投诉车系： 智跑  投诉车型： 2018款 2.0L 自动 智享豪华版        投诉内容  每次启动都会显示外部设备用电可能会导致蓄电池亏电，现在车子刚放两天，电瓶就没电了，车子启动不了。</t>
  </si>
  <si>
    <t>2020/02/12 18:33:00</t>
  </si>
  <si>
    <t>落地13万合资SUV哪款质量更好值得购买？有没有推荐？</t>
  </si>
  <si>
    <t>2020/02/12 17:38:58</t>
  </si>
  <si>
    <t>投诉编号：【447021】  投诉时间： 2020-02-12 17:35  投诉品牌： 一汽丰田  投诉车系： 卡罗拉  投诉车型： 2014款 1.6L CVT GL-i真皮版        投诉内容  一汽丰田卡罗拉仪表盘黑屏，存在质量问题，希望厂家处理。      投诉回复  车质网已将您的</t>
  </si>
  <si>
    <t>2020/02/12 17:35:00</t>
  </si>
  <si>
    <t>2020/02/12 17:25:01</t>
  </si>
  <si>
    <t>投诉编号：【447019】
投诉时间： 2020-02-12 17:14
投诉品牌： 东风雪铁龙
投诉车系： 雪铁龙C4L
投诉车型： 2016款 1.6T 自动 精英型</t>
  </si>
  <si>
    <t>投诉编号：【447020】  投诉时间： 2020-02-12 17:19  投诉品牌： 长安汽车  投诉车系： 凌轩  投诉车型： 2017款 1.6L 手动 幸福型        投诉内容  长安凌轩悬挂故障导致车子变形，售后不管，我提出更换车架子不给换，同意第三方鉴定后有要求我在协议上写明我自</t>
  </si>
  <si>
    <t>2020/02/12 17:19:00</t>
  </si>
  <si>
    <t>2020/02/12 17:16:56</t>
  </si>
  <si>
    <t>投诉编号：【447016】
投诉时间： 2020-02-12 17:04
投诉品牌： 一汽丰田
投诉车系： 奕泽IZOA
投诉车型： 2018款 2.0L 奕驰版 国V</t>
  </si>
  <si>
    <t>投诉编号：【447018】投诉时间：2020-02-1217:12投诉品牌：奥迪（进口）投诉车系：奥迪A7投诉车型：2012款3.0TFSIquattro舒适型投诉内容2020年1月31日正常行驶中，突然显示变速箱故障无倒挡，同时无偶数挡，车辆使用期间从无事故，按时4s店正常保养，看到网络上同样车型</t>
  </si>
  <si>
    <t>2020/02/12 17:12:00</t>
  </si>
  <si>
    <t>东风本田CR-V发动机机油乳化，5000公里的时候就有点机油乳化，擦了一下，感觉没事，现在5800公里的时候洗车的时候一看，又乳化了，要求厂家解决好车辆的问题。</t>
  </si>
  <si>
    <t>CR-V发动机机油乳化质量差东风本田CR-V发动机机油乳化，5000公里的时候就有点机油乳化，擦了一下，感觉没事，现在5800公里的时候洗车的时候一看，又乳化了，要求厂家解决好车辆的问题。</t>
  </si>
  <si>
    <t>20天之前发生过一次，联系4s店检查说没问题，我也没多想，以为是偶发，可最近就惨了经常这样了，因为新冠病毒疫情进出公司，小区，路口都要求打开后尾箱检查，名爵真是牛只有提示音，经常打不开，名爵这牌子不用去说，自己在丢人丢到家了。</t>
  </si>
  <si>
    <t>2020/02/12 17:10:00</t>
  </si>
  <si>
    <t>五菱荣光V变速箱挂挡困难，车窗无法上升，经常是第一次起步时1、2挡难挂入，几公里后缓解，副驾驶窗玻璃无法升起。要求厂家解决好车辆的问题。</t>
  </si>
  <si>
    <t>荣光V变速箱挂挡困难车窗上升不了了五菱荣光V变速箱挂挡困难，车窗无法上升，经常是第一次起步时1、2挡难挂入，几公里后缓解，副驾驶窗玻璃无法升起。要求厂家解决好车辆的问题。</t>
  </si>
  <si>
    <t>名爵HS电动后备箱打开不了了20天之前发生过一次，联系4s店检查说没问题，我也没多想，以为是偶发，可最近就惨了经常这样了，因为新冠病毒疫情进出公司，小区，路口都要求打开后尾箱检查，名爵真是牛只有提示音，经常打不开，名爵这牌子不用去说，自己在丢人丢到家了。</t>
  </si>
  <si>
    <t xml:space="preserve">五菱荣光V论坛 &gt; </t>
  </si>
  <si>
    <t>红色蓝色                中级技工</t>
  </si>
  <si>
    <t>2020/02/12 17:09:00</t>
  </si>
  <si>
    <t>速派发动机烧机油故障灯长亮浙江省宁波市4s店售后服务太差劲了。质保3年内做了无数次机油标定测试，却没有一张检测报告单，均以口头形式被告之正常。车主每3000公里左右机油灯会亮，却拖在质保最后一天大修，然而大修之后漏油，缺缸，抖动严重，过高低路车内异响严重，天窗漏水，车窗异响，均被说成通病。可气的最近</t>
  </si>
  <si>
    <t>电瓶跑电，车放一两天电瓶就没电了，启动不了，要求厂家解决好车辆的问题。</t>
  </si>
  <si>
    <t>2020/02/12 17:04:00</t>
  </si>
  <si>
    <t>途达停放就只有两天就启动不了了电瓶跑电，车放一两天电瓶就没电了，启动不了，要求厂家解决好车辆的问题。</t>
  </si>
  <si>
    <t>吉利GX7安全气囊故障灯亮，车身生锈，车太垃圾了，安全气囊灯一直亮，花了十几万买回来三个月吧减震器出现了问题，就换了减震器。要求厂家解决好车辆的问题。</t>
  </si>
  <si>
    <t>2020/02/12 17:03:00</t>
  </si>
  <si>
    <t>GX7安全气囊故障灯一直在亮车太垃圾了吉利GX7安全气囊故障灯亮，车身生锈，车太垃圾了，安全气囊灯一直亮，花了十几万买回来三个月吧减震器出现了问题，就换了减震器。要求厂家解决好车辆的问题。</t>
  </si>
  <si>
    <t>红旗HS5行驶时发动机车门异响不断呀车辆行驶正副驾驶车门处有异响，于是去了4s店维修，售后师傅说是车门胶条异响，并没有给我更换胶条，而是把车门门扣紧了紧，并把正副驾驶门边框处向内侧掰，维修以后上路开着还是异响不断甚至比之前更响了，我怀疑是掰完车门以后水平位置都达不到出厂时的严密，于是发现车门现在与车</t>
  </si>
  <si>
    <t>2020/02/12 17:02:00</t>
  </si>
  <si>
    <t>车辆行驶正副驾驶车门处有异响，于是去了4s店维修，售后师傅说是车门胶条异响，并没有给我更换胶条，而是把车门门扣紧了紧，并把正副驾驶门边框处向内侧掰，维修以后上路开着还是异响不断甚至比之前更响了，我怀疑是掰完车门以后水平位置都达不到出厂时的严密，于是发现车门现在与车身空隙很大，并发现正驾驶处有小程度的</t>
  </si>
  <si>
    <t>车辆在家停放2日，全车没电，发动机无法启动，后用搭电方式才可启动。要求厂家尽快解决好车辆的问题。</t>
  </si>
  <si>
    <t>途达电池没电启动不了质量不行车辆在家停放2日，全车没电，发动机无法启动，后用搭电方式才可启动。要求厂家尽快解决好车辆的问题。</t>
  </si>
  <si>
    <t>高尔夫变速箱挂倒挡开不了车进口大众高尔夫变速箱挂倒挡加油没反应，请厂家尽快给我解决方案，进口大众这样的品控加上这样的服务，实在不敢恭维！</t>
  </si>
  <si>
    <t>2020/02/12 17:01:00</t>
  </si>
  <si>
    <t>进口大众高尔夫变速箱挂倒挡加油没反应，请厂家尽快给我解决方案，进口大众这样的品控加上这样的服务，实在不敢恭维！</t>
  </si>
  <si>
    <t>艾力绅仪表盘故障灯亮车门也打不开我的车刚出4S店，仪表盘上故障灯一直在闪烁，当时就在4S店进行维修，到家里后，故障灯又亮了，后来故障更加严重，仪表上不光故障灯亮，像燃油表、水温表等都归零，行驶时发动机熄火，坐在车里下不来，因为车门打不开，人员能后后窗钻出来。</t>
  </si>
  <si>
    <t>2020/02/12 17:00:00</t>
  </si>
  <si>
    <t>风神AX7离合器卡住不回位不能挂挡了东风风神AX7离合器卡住导致无法回弹，车辆在行驶过程中离合器卡住，无法回弹，要求厂家解决。</t>
  </si>
  <si>
    <t>我的车刚出4S店，仪表盘上故障灯一直在闪烁，当时就在4S店进行维修，到家里后，故障灯又亮了，后来故障更加严重，仪表上不光故障灯亮，像燃油表、水温表等都归零，行驶时发动机熄火，坐在车里下不来，因为车门打不开，人员能后后窗钻出来。</t>
  </si>
  <si>
    <t>东风风神AX7离合器卡住导致无法回弹，车辆在行驶过程中离合器卡住，无法回弹，要求厂家解决。</t>
  </si>
  <si>
    <t>高尔夫变速箱顿挫 厂家怎么看我的车是一汽大众高尔夫行驶中变速箱顿挫严重，车辆在行驶过程中顿挫感非常严重，要求厂家解决好车辆的问题。</t>
  </si>
  <si>
    <t>2020/02/12 16:59:00</t>
  </si>
  <si>
    <t>我的车是一汽大众高尔夫行驶中变速箱顿挫严重，车辆在行驶过程中顿挫感非常严重，要求厂家解决好车辆的问题。</t>
  </si>
  <si>
    <t>标致308发动机烧机油越来越严重发现车辆的发动机有烧机油的问题，行驶3000公里，在机油尺上就已经看不到机油了。现在投诉，要求厂家尽快解决好车辆的问题。</t>
  </si>
  <si>
    <t>2020/02/12 16:58:00</t>
  </si>
  <si>
    <t>发现车辆的发动机有烧机油的问题，行驶3000公里，在机油尺上就已经看不到机油了。现在投诉，要求厂家尽快解决好车辆的问题。</t>
  </si>
  <si>
    <t>瑞虎8LED大灯照射面积太小了这是原厂的灯吗？奇瑞瑞虎8原厂LED大灯照射角度过小，晚上led大灯照射角度小，车辆两边照射不到，盲区大，夜间车辆转弯看不清路面情况，影响行车安全。</t>
  </si>
  <si>
    <t>2020/02/12 16:57:00</t>
  </si>
  <si>
    <t>奇瑞瑞虎8原厂LED大灯照射角度过小，晚上led大灯照射角度小，车辆两边照射不到，盲区大，夜间车辆转弯看不清路面情况，影响行车安全。</t>
  </si>
  <si>
    <t>索纳塔九真皮座椅裂开了而且不是一次两次2016年6月购车，分别在2017年、2018年裂了两次，也换了两次。正在庆幸换好了，结果今天2020年2月12日，发现又裂了！第三次了，这质量，北现怎么解释？</t>
  </si>
  <si>
    <t>保时捷好</t>
  </si>
  <si>
    <t>2020/02/12 16:56:00</t>
  </si>
  <si>
    <t>江铃驭胜S350方向跑偏抖动进站一周工作人员路试给我跑了半箱油，维修后未解决问题，维修期间在使用车辆升降器升降过程导致车辆造成车辆侧杠受损。变形。问题发生后未及时处理，问题反而一味的推脱，这是这个服务行业该有的态度吗！排气管严重生锈更换的初衷是解决生锈问题结果给换一个还是生锈的排气管上去更换的新的排</t>
  </si>
  <si>
    <t>西经无缺</t>
  </si>
  <si>
    <t>2020/02/12 16:54:00</t>
  </si>
  <si>
    <t>进站一周工作人员路试给我跑了半箱油，维修后未解决问题，维修期间在使用车辆升降器升降过程导致车辆造成车辆侧杠受损。变形。问题发生后未及时处理，问题反而一味的推脱，这是这个服务行业该有的态度吗！排气管严重生锈更换的初衷是解决生锈问题结果给换一个还是生锈的排气管上去更换的新的排气管生产日期是2019.3月</t>
  </si>
  <si>
    <t>师傅给人的态度是不给钱不做事，有问题去找他们，师傅不用检查，一问问题就知道结果的，直接来一句是操作问题，反正就是没钱不修的态度，北京现代官方给的结果更好笑，除了质量问题其他完全收费，只要是没问题，做什么都是要收钱的，怎么收，4S店说了算，花十来万买的东西，还没有花两千块买的东西的服务态度好。</t>
  </si>
  <si>
    <t>元邪皇</t>
  </si>
  <si>
    <t>2020/02/12 16:53:00</t>
  </si>
  <si>
    <t>北京现代途胜发动机噪音大，水温上不去，变速箱换挡异响。</t>
  </si>
  <si>
    <t>锦烟霞</t>
  </si>
  <si>
    <t>广汽本田飞度冷车发动机VTC动作器异响，天冷首次启动车辆发动机会有打齿的声音。</t>
  </si>
  <si>
    <t>公子开明</t>
  </si>
  <si>
    <t>北京现代途胜发动机噪音大真烦人北京现代途胜发动机噪音大，水温上不去，变速箱换挡异响。是不是气门声</t>
  </si>
  <si>
    <t>广汽本田飞度冷车发动机VTC动作器异响广汽本田飞度冷车发动机VTC动作器异响，天冷首次启动车辆发动机会有打齿的声音。就是通病</t>
  </si>
  <si>
    <t>北京现代领动售后服务态度差师傅给人的态度是不给钱不做事，有问题去找他们，师傅不用检查，一问问题就知道结果的，直接来一句是操作问题，反正就是没钱不修的态度，北京现代官方给的结果更好笑，除了质量问题其他完全收费，只要是没问题，做什么都是要收钱的，怎么收，4S店说了算，花十来万买的东西，还没有花两千块买的</t>
  </si>
  <si>
    <t>LED大灯照射角度小，两边不开阔，盲区大，晚上转弯看不见路，影响行车安全。</t>
  </si>
  <si>
    <t>缺舟先生</t>
  </si>
  <si>
    <t>2020/02/12 16:52:00</t>
  </si>
  <si>
    <t>奇瑞瑞虎8车灯灯光照射角度过窄LED大灯照射角度小，两边不开阔，盲区大，晚上转弯看不见路，影响行车安全。应该算设计缺陷了吧</t>
  </si>
  <si>
    <t>2020/02/12 16:51:00</t>
  </si>
  <si>
    <t>哈弗H9发动机烧机油厂家拒绝质保你好我反应的是车子还在质保期，并且还购买了延保。车子发生严重烧机油，发动机损伤厂家拒保。购买车型为：17款哈弗H9豪华7坐版本。车子在新车1保的时候快到2保的公里数时候我跑高速超车无力，加不上油的感觉。在深圳市4s店保养期间反应，并且经4s店工作人员确实为少机油。机油</t>
  </si>
  <si>
    <t>购车一个月不到已经三次电池耗尽无法启动，希望尽快处理。看到车质上反应这个问题的不在少数，不知道是缺陷还是通病。</t>
  </si>
  <si>
    <t>天地不容客</t>
  </si>
  <si>
    <t>2020/02/12 16:50:00</t>
  </si>
  <si>
    <t>十二月份发现接缝处渗油，到东莞市塘厦镇永徕处理，给出的结论，装配用油痕迹，清洗干净之后再观察，那个时候大约一万五千公里，后来两万多一点做保养，回买车的店，拆开发动机下护板，漏油依旧，再次清洁干净，喷了一种身什么东东，说，再次渗漏，可据此判断是发动机油还是变速箱油，新车，出现这种需要拆吊发动机变速箱的</t>
  </si>
  <si>
    <t>郑州日产途达耗电过大致电池亏电无法启动购车一个月不到已经三次电池耗尽无法启动，希望尽快处理。看到车质上反应这个问题的不在少数，不知道是缺陷还是通病。</t>
  </si>
  <si>
    <t>东风本田INSPIRE发动机变速箱接缝处漏油十二月份发现接缝处渗油，到东莞市塘厦镇永徕处理，给出的结论，装配用油痕迹，清洗干净之后再观察，那个时候大约一万五千公里，后来两万多一点做保养，回买车的店，拆开发动机下护板，漏油依旧，再次清洁干净，喷了一种身什么东东，说，再次渗漏，可据此判断是发动机油还是变</t>
  </si>
  <si>
    <t>车打不着火，发动机锁了，故障灯亮，仪表盘有个小锁闪烁。</t>
  </si>
  <si>
    <t>三肾人</t>
  </si>
  <si>
    <t>2020/02/12 16:49:00</t>
  </si>
  <si>
    <t>郑州日产途达电瓶亏电导致无法启动新车买下不到一月时间，已经出现三四次全车没电车门开不了。只能用机械钥匙开门。就是通病啊</t>
  </si>
  <si>
    <t>藏镜人</t>
  </si>
  <si>
    <t>新车买下不到一月时间，已经出现三四次全车没电车门开不了。只能用机械钥匙开门。</t>
  </si>
  <si>
    <t>长城风骏5发动机无法启动故障灯亮车打不着火，发动机锁了，故障灯亮，仪表盘有个小锁闪烁。</t>
  </si>
  <si>
    <t>2020/02/12 16:48:03</t>
  </si>
  <si>
    <t>投诉编号：【447005】
投诉时间： 2020-02-12 16:27
投诉品牌： 长安汽车
投诉车系： 长安CS75 PLUS
投诉车型： 2020款 2.0T 自动 旗舰型</t>
  </si>
  <si>
    <t>20年1月8号在哈尔滨4s店提了一台20款远景x6，1月20多号此款App就无法使用，投入到吉利客服 ，吉利客服刚开始记录，后来推脱到吉利车机客服，车机客服迟迟不解决，迟迟推诿！这就是中国的销量冠军，吉利真的膨胀了！说好的客服解决呢？</t>
  </si>
  <si>
    <t>无语厉苍天</t>
  </si>
  <si>
    <t>2020/02/12 16:48:00</t>
  </si>
  <si>
    <t>奇瑞艾瑞泽5车身多处生锈太烦人了车门生锈，座椅支架生锈，底盘生锈，严重影响使用，希望尽快处理。真的太烦了。</t>
  </si>
  <si>
    <t>豆浆油条儿</t>
  </si>
  <si>
    <t>车门生锈，座椅支架生锈，底盘生锈，严重影响使用，希望尽快处理。真的太烦了。</t>
  </si>
  <si>
    <t>吉利远景X6车机远程启动无法使用20年1月8号在哈尔滨4s店提了一台20款远景x6，1月20多号此款App就无法使用，投入到吉利客服 ，吉利客服刚开始记录，后来推脱到吉利车机客服，车机客服迟迟不解决，迟迟推诿！这就是中国的销量冠军，吉利真的膨胀了！说好的客服解决呢？</t>
  </si>
  <si>
    <t>20200113发现前挡风玻璃破碎，认为车身玻璃存在质量问题，1.安装存在应力未释放导致，轻微碰撞（肉眼不易观察）玻璃破碎。2.玻璃本身有质量风险，不能承受外力。方向盘异响4S检查为气囊游丝以上认为该车辆有质量风险，需要全车检查以及问题解决</t>
  </si>
  <si>
    <t>包子炒肝儿</t>
  </si>
  <si>
    <t>2020/02/12 16:45:00</t>
  </si>
  <si>
    <t>广汽丰田凯美瑞前挡风玻璃碎了怎么办20200113发现前挡风玻璃破碎，认为车身玻璃存在质量问题，1.安装存在应力未释放导致，轻微碰撞（肉眼不易观察）玻璃破碎。2.玻璃本身有质量风险，不能承受外力。方向盘异响4S检查为气囊游丝以上认为该车辆有质量风险，需要全车检查以及问题解决</t>
  </si>
  <si>
    <t>在2020年1月我在静止车辆12小时之后测试机油，发现机油增多现象，并伴有浓烈的汽油味，我特意对比了原装本田绿桶机油是什么味道，确定是汽油味。坐标北京，进入冬季以来发现耗油量从夏天的7.6直接到了9.5，按理说冬季是要更耗油一点，本田L15B发动机工况与外界温度高度相关，但是我也无法想象油耗直接提升</t>
  </si>
  <si>
    <t>临风祈愿</t>
  </si>
  <si>
    <t>2020/02/12 16:44:00</t>
  </si>
  <si>
    <t>广汽本田雅阁出现机油增多问题在2020年1月我在静止车辆12小时之后测试机油，发现机油增多现象，并伴有浓烈的汽油味，我特意对比了原装本田绿桶机油是什么味道，确定是汽油味。坐标北京，进入冬季以来发现耗油量从夏天的7.6直接到了9.5，按理说冬季是要更耗油一点，本田L15B发动机工况与外界温度高度相关，</t>
  </si>
  <si>
    <t>17年8月购买17款奥德赛至尊版，首保缸体漏油，二年变速箱漏油，厂家认定是橡胶件老化，只是答应给更换油封，两年多车让你拆的磨磨唧唧，关键拆完还不一定就能处理好，咨询了多个车主，换了油封后质量仍没有保障，卖车的时候还算大修车！这就是广本的质量。当初买广本就是信任广本多年的质量，口碑。我不明白网上那么多</t>
  </si>
  <si>
    <t>噬魂教父</t>
  </si>
  <si>
    <t>2020/02/12 16:43:00</t>
  </si>
  <si>
    <t>广汽本田奥德赛发动机和变速箱漏油17年8月购买17款奥德赛至尊版，首保缸体漏油，二年变速箱漏油，厂家认定是橡胶件老化，只是答应给更换油封，两年多车让你拆的磨磨唧唧，关键拆完还不一定就能处理好，咨询了多个车主，换了油封后质量仍没有保障，卖车的时候还算大修车！这就是广本的质量。当初买广本就是信任广本多年</t>
  </si>
  <si>
    <t>投诉编号：【447011】投诉时间：2020-02-1216:41投诉品牌：上汽大众投诉车系：帕萨特投诉车型：2019款330TSI豪华版国VI投诉内容我是17款帕萨特车主，开了十多万公里，觉得挺好，就换了一款19款330精英国六帕萨特，因为相信品质，结果买完之后看到网上中保研的碰撞测试，安全性极差</t>
  </si>
  <si>
    <t>2020/02/12 16:41:00</t>
  </si>
  <si>
    <t>路虎发现神行这车质量如何？值得购买吗？请老师答疑，谢谢。</t>
  </si>
  <si>
    <t>2020/02/12 16:39:22</t>
  </si>
  <si>
    <t>投诉编号：【447009】  投诉时间： 2020-02-12 16:37  投诉品牌： 上汽斯柯达  投诉车系： 速派  投诉车型： 2018款 TSI330 DSG 舒适版 国V        投诉内容  变速箱投诉多次厂家和4S店不予解决，14日晚上跑了20多公里高架到郊区车少路段试车拍的视频</t>
  </si>
  <si>
    <t>2020/02/12 16:37:00</t>
  </si>
  <si>
    <t>您好，科鲁泽的油耗如何，想在科沃兹和科鲁泽之间选一个。或者说三缸车都不好，买车预算十万以内。</t>
  </si>
  <si>
    <t>2020/02/12 16:35:15</t>
  </si>
  <si>
    <t>投诉编号：【447008】  投诉时间： 2020-02-12 16:31  投诉品牌： 广汽本田  投诉车系： 雅阁  投诉车型： 2018款 260TURBO 精英版 国VI        投诉内容  1月20日深圳出发回四川，21日凌晨5点过，雨雾天气，汽车70-80码。汽车突然失速踩油门有转</t>
  </si>
  <si>
    <t>2020/02/12 16:31:00</t>
  </si>
  <si>
    <t>跑700多公里高速，下了高速离合踏板松踏踏的，轻轻一碰就到底了，挡位不好挂，不过过一两天会慢慢恢复，这是什么原因？</t>
  </si>
  <si>
    <t>2020/02/12 16:30:35</t>
  </si>
  <si>
    <t>投诉编号：【447006】  投诉时间： 2020-02-12 16:29  投诉品牌： 比速汽车  投诉车系： 比速M3  投诉车型： 2017款 1.5L 精英型        投诉内容  气囊游丝坏了，气囊显示故障，喇叭不响，多功能亏向盘按钮失灵。联系售后电话告知昆明没有售后，要到昭通才有。没</t>
  </si>
  <si>
    <t>2020/02/12 16:29:00</t>
  </si>
  <si>
    <t>名爵6车电瓶亏电，后充电后再点火，方向盘故障灯，牵引力故障灯，自动驻车故障灯都是亮的，把电瓶拆了再装，还是一样，这是怎么回事？</t>
  </si>
  <si>
    <t>2020/02/12 16:26:50</t>
  </si>
  <si>
    <t>2016款猎豹CS10尊享版中控黑屏，请问这是什么原因导致的？</t>
  </si>
  <si>
    <t>2020/02/12 16:22:00</t>
  </si>
  <si>
    <t>买车有半年了，玻璃水也没有用过几回，一到用的时候就喷不出水，打开机舱盖也听不见电机运转的声音，最后又灌了两瓶玻璃水才能出来，昨天一用又喷不出来了，不知道是什么原因。求解。</t>
  </si>
  <si>
    <t>2020/02/12 16:18:25</t>
  </si>
  <si>
    <t>吉利百万款刚换的新电瓶，放了四五天就没电了，请问这是怎么回事？</t>
  </si>
  <si>
    <t>2020/02/12 16:14:24</t>
  </si>
  <si>
    <t>朗逸，领动这两款车作为家用，怎么选择？</t>
  </si>
  <si>
    <t>2020/02/12 16:14:23</t>
  </si>
  <si>
    <t>投诉编号：【447002】投诉时间：2020-02-1216:02投诉品牌：奇瑞汽车投诉车系：瑞虎8投诉车型：2019款1.6TGDI自动豪华型投诉内容奇瑞瑞虎8原厂LED大灯照射角度过小，晚上led大灯照射角度小，车辆两边照射不到，盲区大，夜间车辆转弯看不清路面情况，影响行车安全。投诉回复车质网已</t>
  </si>
  <si>
    <t>2020/02/12 16:02:00</t>
  </si>
  <si>
    <t>投诉编号：【447001】  投诉时间： 2020-02-12 16:01  投诉品牌： 北京奔驰  投诉车系： 奔驰GLC  投诉车型： 2020款 GLC 300 L 4MATIC 豪华型        投诉内容  新车价格买到7月出厂的车，购车日期2020年1月10日，购车当天付全款加保险。付</t>
  </si>
  <si>
    <t>2020/02/12 16:01:00</t>
  </si>
  <si>
    <t>投诉编号：【447000】投诉时间：2020-02-1215:52投诉品牌：东风标致投诉车系：标致308投诉车型：2016款1.6L手动时尚版投诉内容发现车辆的发动机有烧机油的问题，行驶3000公里，在机油尺上就已经看不到机油了。现在投诉，要求厂家尽快解决好车辆的问题。投诉回复车质网已将您的投诉转给</t>
  </si>
  <si>
    <t>2020/02/12 15:52:00</t>
  </si>
  <si>
    <t>2020/02/12 15:45:27</t>
  </si>
  <si>
    <t>投诉编号：【446997】
投诉时间： 2020-02-12 15:33
投诉品牌： 广汽本田
投诉车系： 雅阁
投诉车型： 2018款 260TURBO 豪华版 国V</t>
  </si>
  <si>
    <t>投诉编号：【446998】  投诉时间： 2020-02-12 15:37  投诉品牌： 广汽本田  投诉车系： 奥德赛  投诉车型： 2017款 2.4L CVT 至尊版        投诉内容  17年8月购买17款奥德赛至尊版，首保缸体漏油，二年变速箱漏油，厂家认定是橡胶件老化，只是答应给更换</t>
  </si>
  <si>
    <t>2020/02/12 15:37:00</t>
  </si>
  <si>
    <t>投诉编号：【446995】  投诉时间： 2020-02-12 15:25  投诉品牌： 广汽丰田  投诉车系： 凯美瑞  投诉车型： 2019款 2.5G 豪华版 国VI        投诉内容  20200113发现前挡风玻璃破碎，认为车身玻璃存在质量问题，1.安装存在应力未释放导致，轻微碰撞（</t>
  </si>
  <si>
    <t>2020/02/12 15:25:00</t>
  </si>
  <si>
    <t>投诉编号：【446994】  投诉时间： 2020-02-12 15:19  投诉品牌： 奇瑞汽车  投诉车系： 艾瑞泽5  投诉车型： 2016款 1.5L 手动 领锐版        投诉内容  车门生锈，座椅支架生锈，底盘生锈，严重影响使用，希望尽快处理。      投诉回复  车质网已将您的</t>
  </si>
  <si>
    <t>2020/02/12 15:19:00</t>
  </si>
  <si>
    <t>2020/02/12 15:06:46</t>
  </si>
  <si>
    <t>投诉编号：【446986】
投诉时间： 2020-02-12 14:38
投诉品牌： 奇瑞汽车
投诉车系： 捷途X70
投诉车型： 2018款 1.5T 自动 尊行版</t>
  </si>
  <si>
    <t>2020/02/12 15:06:31</t>
  </si>
  <si>
    <t>投诉编号：【446987】
投诉时间： 2020-02-12 14:39
投诉品牌： 一汽-大众
投诉车系： 高尔夫
投诉车型： 2012款 1.6 自动 舒适型</t>
  </si>
  <si>
    <t>投诉编号：【446992】  投诉时间： 2020-02-12 14:59  投诉品牌： 吉利汽车  投诉车系： 远景X6  投诉车型： 2020款 1.4T CVT 尊贵型        投诉内容  20年1月8号在哈尔滨4s店提了一台20款远景x6，1月20多号此款App就无法使用，投入到吉利客</t>
  </si>
  <si>
    <t>2020/02/12 14:59:00</t>
  </si>
  <si>
    <t>2020/02/12 14:53:47</t>
  </si>
  <si>
    <t>投诉编号：【446985】
投诉时间： 2020-02-12 14:28
投诉品牌： 广汽本田
投诉车系： 飞度
投诉车型： 2014款 1.5L CVT SE时尚型</t>
  </si>
  <si>
    <t>2020/02/12 14:22:36</t>
  </si>
  <si>
    <t>投诉编号：【446980】
投诉时间： 2020-02-12 13:39
投诉品牌： 上汽通用别克
投诉车系： 英朗
投诉车型： 2012款 1.6 自动 舒适型 GT</t>
  </si>
  <si>
    <t>投诉编号：【446983】  投诉时间： 2020-02-12 14:21  投诉品牌： 东风乘用车  投诉车系： 风神AX7  投诉车型： 2019款 经典 230T 手动 豪华型 国V        投诉内容  东风风神AX7离合器卡住导致无法回弹，车辆在行驶过程中离合器卡住，无法回弹，要求厂家</t>
  </si>
  <si>
    <t>2020/02/12 14:21:00</t>
  </si>
  <si>
    <t>启动后挂挡不走，挡位显示一直在闪，重新再挂挡后可以正常行驶！</t>
  </si>
  <si>
    <t>2020/02/12 14:20:49</t>
  </si>
  <si>
    <t>挡杆处异响，冷启动的时候有，要么有时候过坑洼路面的时候嗡嗡响，声音不大，倒是很烦人。</t>
  </si>
  <si>
    <t>18年买的风骏5欧版汽油车，买回来开了一年就打不着火，仪表盘故障灯亮，有个小锁在闪烁，是什么原因？</t>
  </si>
  <si>
    <t>2020/02/12 14:20:48</t>
  </si>
  <si>
    <t>2020/02/12 14:06:11</t>
  </si>
  <si>
    <t>投诉编号：【446981】
投诉时间： 2020-02-12 13:41
投诉品牌： 沃尔沃亚太
投诉车系： 沃尔沃XC60
投诉车型： 2020款 T5 四驱 智远豪华版</t>
  </si>
  <si>
    <t>投诉编号：【446979】  投诉时间： 2020-02-12 13:39  投诉品牌： 长城汽车  投诉车系： 风骏5  投诉车型： 2017款 2.4L 四驱 欧洲版 汽油 领航型 大双排4G69S4N        投诉内容  车打不着火，发动机锁了，故障灯亮，仪表盘有个小锁闪烁      投</t>
  </si>
  <si>
    <t>2020/02/12 13:39:00</t>
  </si>
  <si>
    <t>2020/02/12 13:35:19</t>
  </si>
  <si>
    <t>投诉编号：【446978】
投诉时间： 2020-02-12 13:29
投诉品牌： 广汽菲克Jeep
投诉车系： 指南者
投诉车型： 2017款 200T 自动 家享版</t>
  </si>
  <si>
    <t xml:space="preserve">投诉编号：【446977】  投诉时间： 2020-02-12 12:54  投诉品牌： 郑州日产  投诉车系： 途达  投诉车型： 2020款 2.5L 自动 四驱 旗舰版        投诉内容  新车买下不到一月时间，已经出现三四次全车没电车门开不了。只能用机械钥匙开门。      投诉回复 </t>
  </si>
  <si>
    <t>2020/02/12 12:54:00</t>
  </si>
  <si>
    <t>2020/02/12 12:40:49</t>
  </si>
  <si>
    <t>投诉编号：【446973】
投诉时间： 2020-02-12 12:32
投诉品牌： 郑州日产
投诉车系： 途达
投诉车型： 2020款 2.5L 自动 四驱 豪华版</t>
  </si>
  <si>
    <t>投诉编号：【446976】  投诉时间： 2020-02-12 12:38  投诉品牌： 东风本田  投诉车系： 艾力绅  投诉车型： 2019款 2.0L 混动至尊版        投诉内容  我的车刚出4S店，仪表盘上故障灯一直在闪烁，当时就在4S店进行维修，到家里后，故障灯又亮了，后来故障更加</t>
  </si>
  <si>
    <t>2020/02/12 12:38:00</t>
  </si>
  <si>
    <t>近日的冷空气不仅带来了潮湿阴冷，前挡风玻璃起雾的麻烦也随之而来，面对这个严重影响行车安全的老问题，下面来看下雾气的产生原因和都有哪些除雾妙招。    一、雾气的产生    关于车窗内雾气的产生原理，我们就不做复杂的赘述了。简单来说就是由“外冷内热”的温差所造成的。车内的温度要高于室外温度，雾气随之形</t>
  </si>
  <si>
    <t>2020/02/12 12:36:00</t>
  </si>
  <si>
    <t>　　近日的冷空气不仅带来了潮湿阴冷，前挡风玻璃起雾的麻烦也随之而来，面对这个严重影响行车安全的老问题，下面来看下雾气的产生原因和都有哪些除雾妙招。　　一、雾气的产生　　关于车窗内雾气的产生原理，我们就不做复杂的赘述了。简单来说就是由“外冷内热”的温差所造成的。车内的温度要高于室外温度，雾气随之形成。</t>
  </si>
  <si>
    <t>郭裕轩</t>
  </si>
  <si>
    <t>　　近日，我们从美国haah公司了解到，该公司将把奇瑞exeed tx车型引入美国市场进行销售，不过它将以vantas品牌的名义在美国上市。只是根据目前从海外获得的消息，奇瑞车型真正在美上市可能会推迟到2021年。　　车型回顾：　　星途tx前脸采用大嘴式蜂窝格栅并带有横辐式镀铬饰条点缀，其中上方黑色</t>
  </si>
  <si>
    <t>2020/02/12 12:32:00</t>
  </si>
  <si>
    <t>近日，我们从美国haah公司了解到，该公司将把奇瑞exeed tx车型引入美国市场进行销售，不过它将以vantas品牌的名义在美国上市。只是根据目前从海外获得的消息，奇瑞车型真正在美上市可能会推迟到2021年。    车型回顾：    星途tx前脸采用大嘴式蜂窝格栅并带有横辐式镀铬饰条点缀，其中上方</t>
  </si>
  <si>
    <t>　　近日，有媒体从国家知识产权局了解到，西雅特股份有限公司申请了el-born车型的设计专利，这意味着其很可能会被引入到国内。据悉，el-born是一款纯电动车型，首次亮相于去年的日内瓦车展，其采用大众集团的meb平台模块化架构，此平台同样应用于奥迪、大众、斯柯达等品牌的电动车型。　　西雅特el-b</t>
  </si>
  <si>
    <t>2020/02/12 12:31:00</t>
  </si>
  <si>
    <t>近日，有媒体从国家知识产权局了解到，西雅特股份有限公司申请了el-born车型的设计专利，这意味着其很可能会被引入到国内。据悉，el-born是一款纯电动车型，首次亮相于去年的日内瓦车展，其采用大众集团的meb平台模块化架构，此平台同样应用于奥迪、大众、斯柯达等品牌的电动车型。    西雅特el-b</t>
  </si>
  <si>
    <t>　　近日，有国外媒体曝光了一组新款奥迪rs6 avant官图。外观方面，全新rs6 avant整体延续家族式设计风格，六边形宽大的横幅式格栅配以两侧造型犀利的矩阵大灯。　　新车的车顶曲线和车身比例相比现款车型没有发生大的变化，只是增添了更多凌厉线条。此外，新车首次采用了自适应空气悬架，常规状态下比新</t>
  </si>
  <si>
    <t>2020/02/12 12:29:00</t>
  </si>
  <si>
    <t>近日，有国外媒体曝光了一组新款奥迪rs6 avant官图。外观方面，全新rs6 avant整体延续家族式设计风格，六边形宽大的横幅式格栅配以两侧造型犀利的矩阵大灯。    新车的车顶曲线和车身比例相比现款车型没有发生大的变化，只是增添了更多凌厉线条。此外，新车首次采用了自适应空气悬架，常规状态下比新</t>
  </si>
  <si>
    <t>　　近日，国外媒体曝光了2021款达契亚logan车型的测试谍照。据悉，2021款达契亚logan车型将亮相今年十月的巴黎车展。　　从已经曝光的测试谍照上我们可以发现，全新达契亚logan车型的整车尺寸更大，更加圆润且倾斜的车顶曲线让该全新车型显得更加现代。2021款达契亚logan车型后部车门尺寸</t>
  </si>
  <si>
    <t>2020/02/12 12:28:00</t>
  </si>
  <si>
    <t>近日，国外媒体曝光了2021款达契亚logan车型的测试谍照。据悉，2021款达契亚logan车型将亮相今年十月的巴黎车展。    从已经曝光的测试谍照上我们可以发现，全新达契亚logan车型的整车尺寸更大，更加圆润且倾斜的车顶曲线让该全新车型显得更加现代。2021款达契亚logan车型后部车门尺寸</t>
  </si>
  <si>
    <t>　　近日，起亚公司公布了全新sorento车型的内饰照片。据悉，全新起亚sorento车型将在3月3日正式发布。　　在已经公布的内饰照片上我们可以发现，全新起亚sorento车型的仪表盘和中控台获得全新设计。仪表盘和中控台多媒体信息系统使用了并列式双液晶显示设计，空调出风口被挪至液晶屏下方，不再与多</t>
  </si>
  <si>
    <t>2020/02/12 12:26:00</t>
  </si>
  <si>
    <t>近日，起亚公司公布了全新sorento车型的内饰照片。据悉，全新起亚sorento车型将在3月3日正式发布。    在已经公布的内饰照片上我们可以发现，全新起亚sorento车型的仪表盘和中控台获得全新设计。仪表盘和中控台多媒体信息系统使用了并列式双液晶显示设计，空调出风口被挪至液晶屏下方，不再与多</t>
  </si>
  <si>
    <t>　　在2018年开幕的巴黎车展上，雷诺正式发布了旗下EZ-ULTIMO以及EZ-GO两款纯电动概念车。其中EZ-ULTIMO车型配备有L4级自动驾驶功能的机器人车辆。它可以连接到城市环境和高速公路基础设施，例如去机场或从酒店到旅游景点。而EZ-GO可同时容纳6位乘客，并可根据操作员的个人喜好，通过应</t>
  </si>
  <si>
    <t>2020/02/12 12:21:00</t>
  </si>
  <si>
    <t>在2018年开幕的巴黎车展上，雷诺正式发布了旗下EZ-ULTIMO以及EZ-GO两款纯电动概念车。其中EZ-ULTIMO车型配备有L4级自动驾驶功能的机器人车辆。它可以连接到城市环境和高速公路基础设施，例如去机场或从酒店到旅游景点。而EZ-GO可同时容纳6位乘客，并可根据操作员的个人喜好，通过应用程</t>
  </si>
  <si>
    <t>提及奔驰EQ纯电动系列车型想必大家并不陌生， 旗下纯电动中型SUV——EQC也于今年在华正式开售。近日海外媒体曝光了一组奔驰全新纯电动轿车EQS最新路试谍照图，新车预计将于今年年内正式亮相，未开也将与EQA、EQB、EQE以及EQV等多款纯电动车型入华销售。    动力方面，新车将采用纯电动形式进行</t>
  </si>
  <si>
    <t>2020/02/12 12:18:00</t>
  </si>
  <si>
    <t>　　提及奔驰EQ纯电动系列车型想必大家并不陌生， 旗下纯电动中型SUV――EQC也于今年在华正式开售。近日海外媒体曝光了一组奔驰全新纯电动轿车EQS最新路试谍照图，新车预计将于今年年内正式亮相，未开也将与EQA、EQB、EQE以及EQV等多款纯电动车型入华销售。　　动力方面，新车将采用纯电动形式进行</t>
  </si>
  <si>
    <t>吉利缤越一经推向市场，就处在持续热销状态，单月销量持续过万，成为吉利继博越之后的第二款畅销SUV。缤越目前搭载的两款3缸发动机就动力表现来说，应该是无功无过，但对于有着3缸情结的部分消费者来说，还是迈不过心里的那道坎。不过上个月，吉利新款缤越进行了申报，新车新增了1.4T发动机，目前也在帝豪GL以及</t>
  </si>
  <si>
    <t>2020/02/12 12:16:00</t>
  </si>
  <si>
    <t>　　吉利缤越一经推向市场，就处在持续热销状态，单月销量持续过万，成为吉利继博越之后的第二款畅销SUV。缤越目前搭载的两款3缸发动机就动力表现来说，应该是无功无过，但对于有着3缸情结的部分消费者来说，还是迈不过心里的那道坎。不过上个月，吉利新款缤越进行了申报，新车新增了1.4T发动机，目前也在帝豪GL</t>
  </si>
  <si>
    <t>零跑汽车副总裁赵刚此前在接受媒体采访时表示：“2020年底到（2021）上半年，零跑轴距2.9m以上车型（SUV、轿车）会陆续上市”，这意味着零跑今年年内至少将推出2款全新车型。零跑汽车T03已经发布，该车定位为纯电动微型车，采用5门4座设计，造型与smart forfour颇为相似，新车预计将在4</t>
  </si>
  <si>
    <t>2020/02/12 12:14:00</t>
  </si>
  <si>
    <t>　　零跑汽车副总裁赵刚此前在接受媒体采访时表示：“2020年底到（2021）上半年，零跑轴距2.9m以上车型（SUV、轿车）会陆续上市”，这意味着零跑今年年内至少将推出2款全新车型。零跑汽车T03已经发布，该车定位为纯电动微型车，采用5门4座设计，造型与smart forfour颇为相似，新车预计将</t>
  </si>
  <si>
    <t>2020/02/12 12:12:28</t>
  </si>
  <si>
    <t>投诉编号：【446970】
投诉时间： 2020-02-12 12:05
投诉品牌： 郑州日产
投诉车系： 途达
投诉车型： 2020款 2.5L 自动 四驱 旗舰版</t>
  </si>
  <si>
    <t>2020/02/12 12:10:00</t>
  </si>
  <si>
    <t>日前，阿斯顿·马丁官方发布了Vantage敞篷版的官图，新车基于硬顶版车型打造，更加优雅和不羁，它将会在2020年第二季度正式交付。    Vantage敞篷版与硬顶版的不同主要就是车顶，工程师为该车配备了轻巧的“Z”字折叠车顶机构，重量仅仅是60kg。在不高于50km/h的车速下，该车顶仅需6.8</t>
  </si>
  <si>
    <t>2020/02/12 12:08:00</t>
  </si>
  <si>
    <t>　　日前，阿斯顿・马丁官方发布了Vantage敞篷版的官图，新车基于硬顶版车型打造，更加优雅和不羁，它将会在2020年第二季度正式交付。　　Vantage敞篷版与硬顶版的不同主要就是车顶，工程师为该车配备了轻巧的“Z”字折叠车顶机构，重量仅仅是60kg。在不高于50km/h的车速下，该车顶仅需6.8</t>
  </si>
  <si>
    <t>2020/02/12 11:51:29</t>
  </si>
  <si>
    <t>投诉编号：【446967】
投诉时间： 2020-02-12 11:47
投诉品牌： 广汽乘用车
投诉车系： 传祺GS4
投诉车型： 2015款 200T G-DCT 豪华版</t>
  </si>
  <si>
    <t>　　日前，西雅特发布了Tarraco FR及FR Sport车型的官图。新车采用了较为运动化的外观套件，使其看上去更加年轻。此前，FR套件车型为Tarraco PHEV插电混动版专属，现在燃油版Tarraco也拥有了FR套件车型。价格方面，Tarraco FR在英国市场的起售价为31680英镑（约合</t>
  </si>
  <si>
    <t>2020/02/12 11:49:00</t>
  </si>
  <si>
    <t>日前，西雅特发布了Tarraco FR及FR Sport车型的官图。新车采用了较为运动化的外观套件，使其看上去更加年轻。此前，FR套件车型为Tarraco PHEV插电混动版专属，现在燃油版Tarraco也拥有了FR套件车型。价格方面，Tarraco FR在英国市场的起售价为31680英镑（约合人民</t>
  </si>
  <si>
    <t>　　日前，有海外媒体曝光了一组大众Arteon Shooting Brake（以下统一为：猎装版）的测试谍照。大众Arteon即是现款大众CC在海外市场的名称，而此前我们已经曝光了国产CC猎装版车型的谍照，二者也将采用非常近似的设计。大众Arteon猎装版谍照一汽-大众CC猎装版谍照　　外观方面，此</t>
  </si>
  <si>
    <t>2020/02/12 11:48:00</t>
  </si>
  <si>
    <t>日前，有海外媒体曝光了一组大众Arteon Shooting Brake（以下统一为：猎装版）的测试谍照。大众Arteon即是现款大众CC在海外市场的名称，而此前我们已经曝光了国产CC猎装版车型的谍照，二者也将采用非常近似的设计。大众Arteon猎装版谍照一汽-大众CC猎装版谍照    外观方面，此</t>
  </si>
  <si>
    <t>　　外观方面，新款Tiguan采用了全新设计的LED头灯组，下方的灯珠设计其实是伪装的贴纸，内部灯带的造型与第八代高尔夫有一定的相似度。我们可以看到新车的中网同新款途昂一样，更换为家族最新的T字造型，前保险杠虽然被伪装罩住，但整体造型更为激进，雾灯体积进一步缩小。　　尾部方面，新车后保险杠处同样出现</t>
  </si>
  <si>
    <t>2020/02/12 11:46:00</t>
  </si>
  <si>
    <t>外观方面，新款Tiguan采用了全新设计的LED头灯组，下方的灯珠设计其实是伪装的贴纸，内部灯带的造型与第八代高尔夫有一定的相似度。我们可以看到新车的中网同新款途昂一样，更换为家族最新的T字造型，前保险杠虽然被伪装罩住，但整体造型更为激进，雾灯体积进一步缩小。    尾部方面，新车后保险杠处同样出现</t>
  </si>
  <si>
    <t>投诉编号：【446966】  投诉时间： 2020-02-12 11:45  投诉品牌： 大众（进口）  投诉车系： 高尔夫（进口）  投诉车型： 2015款 1.4TSI 舒适旅行版        投诉内容  进口大众高尔夫变速箱挂倒挡加油没反应，请厂家尽快给我解决方案，进口大众这样的品控加上这样</t>
  </si>
  <si>
    <t>2020/02/12 11:45:00</t>
  </si>
  <si>
    <t>　　据国机汽车发布的相关统计数据显示，2019年进口汽车市场累计进口108.6万辆，同比下降2%；进口车市场销售83.8万辆，同比下降1.8%，进口汽车市场降幅继续收窄。　　在整体进口汽车市场当中，平行进口汽车为16.32万辆，同比增长了16.8%。值得注意的是，平行进口量占进口总量的15%，较20</t>
  </si>
  <si>
    <t>王林</t>
  </si>
  <si>
    <t>2020/02/12 11:44:00</t>
  </si>
  <si>
    <t>据国机汽车发布的相关统计数据显示，2019年进口汽车市场累计进口108.6万辆，同比下降2%；进口车市场销售83.8万辆，同比下降1.8%，进口汽车市场降幅继续收窄。    在整体进口汽车市场当中，平行进口汽车为16.32万辆，同比增长了16.8%。值得注意的是，平行进口量占进口总量的15%，较20</t>
  </si>
  <si>
    <t>　　日前，有海外媒体曝光了一组全新起亚嘉华路试谍照。新车相比现款车型看起来要更加硬朗，细节处也有所变化。据悉，新车或将在2020年4月开幕的纽约车展中首发。　　从谍照来看，尽管新车覆盖大量的伪装，我们还是可以发现这款车在视觉感觉上与现款车型明显不同。网格状的进气格栅看起来更加硬朗，两侧前大灯组造型有</t>
  </si>
  <si>
    <t>2020/02/12 11:43:00</t>
  </si>
  <si>
    <t>日前，有海外媒体曝光了一组全新起亚嘉华路试谍照。新车相比现款车型看起来要更加硬朗，细节处也有所变化。据悉，新车或将在2020年4月开幕的纽约车展中首发。    从谍照来看，尽管新车覆盖大量的伪装，我们还是可以发现这款车在视觉感觉上与现款车型明显不同。网格状的进气格栅看起来更加硬朗，两侧前大灯组造型有</t>
  </si>
  <si>
    <t>　　为保证交付，特斯拉上海工厂已于2月10日恢复生产，其充电桩配套设施也在同步推进中。最新数据显示，截至2019年年底，特斯拉建设的超级充电站已达到1821座，超级充电桩则增加到16104个。　　中国地区方面，2019年全年特斯拉共开放112座超级充电站，874个充电桩；截至2019年底，特斯拉超级</t>
  </si>
  <si>
    <t>2020/02/12 11:40:00</t>
  </si>
  <si>
    <t>为保证交付，特斯拉上海工厂已于2月10日恢复生产，其充电桩配套设施也在同步推进中。最新数据显示，截至2019年年底，特斯拉建设的超级充电站已达到1821座，超级充电桩则增加到16104个。    中国地区方面，2019年全年特斯拉共开放112座超级充电站，874个充电桩；截至2019年底，特斯拉超级</t>
  </si>
  <si>
    <t>　　日前，雪铁龙官方发布了中期改款C3车型的官图。新车整体造型更加圆润，凸显其特点。此外，新车升级至97种外观颜色组合，消费者可以根据自己的喜好来选择搭配。　　外观方面，雪铁龙C3采用全新的家族化设计，整体造型风格更加时尚圆润。分体式设计的前大灯显得格外迥异，内部采用LED光源。侧面来看，新车采用隐</t>
  </si>
  <si>
    <t>2020/02/12 11:39:00</t>
  </si>
  <si>
    <t>日前，雪铁龙官方发布了中期改款C3车型的官图。新车整体造型更加圆润，凸显其特点。此外，新车升级至97种外观颜色组合，消费者可以根据自己的喜好来选择搭配。    外观方面，雪铁龙C3采用全新的家族化设计，整体造型风格更加时尚圆润。分体式设计的前大灯显得格外迥异，内部采用LED光源。侧面来看，新车采用隐</t>
  </si>
  <si>
    <t>　　日前，据外媒报道，Lyft与安波福宣布，双方合作的自动驾驶汽车已经为用户提供了超过10万次自动驾驶出行付费服务。在所有这些使用过该项服务的用户中，98%的用户均给了五星好评。　　据悉，安波福使用宝马5系车辆作为服务用车，这些车辆的服务范围已经覆盖美国拉斯维加斯市内超过3400个地点，包括餐厅、酒</t>
  </si>
  <si>
    <t>2020/02/12 11:38:00</t>
  </si>
  <si>
    <t>日前，据外媒报道，Lyft与安波福宣布，双方合作的自动驾驶汽车已经为用户提供了超过10万次自动驾驶出行付费服务。在所有这些使用过该项服务的用户中，98%的用户均给了五星好评。    据悉，安波福使用宝马5系车辆作为服务用车，这些车辆的服务范围已经覆盖美国拉斯维加斯市内超过3400个地点，包括餐厅、酒</t>
  </si>
  <si>
    <t>投诉编号：【446965】  投诉时间： 2020-02-12 11:37  投诉品牌： 一汽红旗  投诉车系： 红旗HS5  投诉车型： 2019款 2.0T 智联旗领四驱版        投诉内容  车辆行驶正副驾驶车门处有异响，于是去了4s店维修，售后师傅说是车门胶条异响，并没有给我更换胶条，</t>
  </si>
  <si>
    <t>2020/02/12 11:37:00</t>
  </si>
  <si>
    <t>　　日前，丰田发布了兰德酷路泽Sahara Horizon（撒哈拉地平线）限量版车型的官图。这款新车将在澳大利亚市场限量发售400部，起售价格为129090澳元（约合人民币60.48万元）。　　作为限量版车型，兰德酷路泽Sahara Horizon采用了一些专属设计，包括暗色镀铬前格栅、黑底LED大</t>
  </si>
  <si>
    <t>2020/02/12 11:36:00</t>
  </si>
  <si>
    <t>日前，丰田发布了兰德酷路泽Sahara Horizon（撒哈拉地平线）限量版车型的官图。这款新车将在澳大利亚市场限量发售400部，起售价格为129090澳元（约合人民币60.48万元）。    作为限量版车型，兰德酷路泽Sahara Horizon采用了一些专属设计，包括暗色镀铬前格栅、黑底LED大</t>
  </si>
  <si>
    <t xml:space="preserve">投诉编号：【446964】  投诉时间： 2020-02-12 11:36  投诉品牌： 郑州日产  投诉车系： 途达  投诉车型： 2020款 2.5L 自动 四驱 豪华版        投诉内容  车辆在家停放2日，全车没电，发动机无法启动，后用搭电方式才可启动。要求厂家尽快解决好车辆的问题。 </t>
  </si>
  <si>
    <t>投诉编号：【446963】  投诉时间： 2020-02-12 11:36  投诉品牌： 吉利汽车  投诉车系： 吉利GX7  投诉车型： 2013款 1.8L 手动 进取型        投诉内容  吉利GX7安全气囊故障灯亮，车身生锈，车太垃圾了，安全气囊灯一直亮，花了十几万买回来三个月吧减震器</t>
  </si>
  <si>
    <t>投诉编号：【446962】  投诉时间： 2020-02-12 11:35  投诉品牌： 郑州日产  投诉车系： 途达  投诉车型： 2020款 2.5L 自动 四驱 旗舰版        投诉内容  电瓶跑电，车放一两天电瓶就没电了，启动不了，要求厂家解决好车辆的问题。      投诉回复  车质</t>
  </si>
  <si>
    <t>2020/02/12 11:35:00</t>
  </si>
  <si>
    <t>　　日前，兰博基尼发布了一段其全新车型的预告视频，视频以非常隐晦的光阴效果向我们展示了新车的细节和大致轮廓。据悉，新车将由兰博基尼赛车部门Squadra Corse开发，将是一款one-off的定制赛车，其概念近似于法拉利P80/C。同时由于兰博基尼已经宣布不参加2020年日内瓦车展，这意味着该车将</t>
  </si>
  <si>
    <t>2020/02/12 11:34:00</t>
  </si>
  <si>
    <t>日前，兰博基尼发布了一段其全新车型的预告视频，视频以非常隐晦的光阴效果向我们展示了新车的细节和大致轮廓。据悉，新车将由兰博基尼赛车部门Squadra Corse开发，将是一款one-off的定制赛车，其概念近似于法拉利P80/C。同时由于兰博基尼已经宣布不参加2020年日内瓦车展，这意味着该车将不会</t>
  </si>
  <si>
    <t>投诉编号：【446961】  投诉时间： 2020-02-12 11:30  投诉品牌： 一汽-大众  投诉车系： 探岳  投诉车型： 2019款 330TSI 两驱 豪华型 国Ⅵ        投诉内容  2019年12月8日去当地4S店检测，当时副驾驶手套箱和大灯有问题，经过检测后换了副驾驶手套</t>
  </si>
  <si>
    <t>2020/02/12 11:30:00</t>
  </si>
  <si>
    <t>　　各位，不知道这些日子以来的疫情对您的生活产生了多少的影响，反正我身边的好几个朋友都在问我买个代步车的事儿了。毕竟公交地铁的消毒措施再严密也无发让人们完全摆脱恐惧，一辆属于自己的车此时此和无疑还是非常有优势的。就算这场“战”“疫”过去，私家车的存在也足够大幅提升你的生活质量。　　本着不多花钱，够用</t>
  </si>
  <si>
    <t>2020/02/12 11:28:00</t>
  </si>
  <si>
    <t>　　神车“GK5”的换代车型已来临，2019年末本田在日本发布了第四代飞度，仅从外观上就能分辨出这款车的改动非常大。未来新飞度定会进入国内市场，GK5靠主打运动赚足了人气，换代飞度又将用什么新鲜东西打动消费者?　　全新飞度是该车系的第四代产品，于2019年东京车展首发亮相，预计2020年会正式在国内</t>
  </si>
  <si>
    <t>2020/02/12 11:26:00</t>
  </si>
  <si>
    <t>　　说到豪华紧凑级车我们都不陌生，并且分分钟就能举出例子。但如果再加上轿跑两个字呢？我想也就只有奔驰CLA可以胜任了。轿跑式的元素、无框车门、豪华内饰，这些元素加在一起让它成为了很多年轻朋友们的梦想座驾，下面我们就来聊一聊买辆CLA值不值？　　目前奔驰CLA的市场优惠幅度比较小，从2000元-100</t>
  </si>
  <si>
    <t>2020/02/12 11:23:00</t>
  </si>
  <si>
    <t>　　说起运动型轿车，最近领克03比较火，得益于在WTCC房车赛上的优异表现，领克03一下子成为很多年轻人心目中的Dream Car，而且得到它的门槛也不是很高，只需要十几万就能搞定。当然在这个价位里，老牌运动型轿车福克斯也是不错的选择，毕竟同级别里论底盘操控性，福克斯还是排名比较靠前的，那么福克斯和</t>
  </si>
  <si>
    <t>2020/02/12 11:21:00</t>
  </si>
  <si>
    <t>2020/02/12 11:20:45</t>
  </si>
  <si>
    <t>投诉编号：【446953】
投诉时间： 2020-02-12 10:42
投诉品牌： 郑州日产
投诉车系： 途达
投诉车型： 2020款 2.5L 自动 四驱 旗舰版</t>
  </si>
  <si>
    <t>　　2019年，一汽-大众随着SUV产品的“疯狂铺开”，一举夺得了年度销冠，这也是五年来一汽-大众首次夺冠，逆势横扫兄弟公司，终于扬眉吐气。　　其中，一汽-大众探岳的表现十分抢眼，2019年下半年开始连续数月夺得单月销冠，甚至压过了老大哥途观L，虽然总销量还有一定的差距，但已然称得上合资SUV中的一</t>
  </si>
  <si>
    <t>2020/02/12 11:20:00</t>
  </si>
  <si>
    <t>据媒体援引熟悉日产汽车的消息人士称，该公司通知一家荷兰法庭，要求前董事长卡洛斯戈恩（carlos ghosn）偿还所获得的工资和奖金。    上述消息人士称，日产汽车将向戈恩寻求退款，理由是薪资未得到适当授权。    日产公司律师称，戈恩利用日产和三菱在荷兰的合资企业，在公司董事会不知情的情况下，为</t>
  </si>
  <si>
    <t>2020/02/12 11:17:00</t>
  </si>
  <si>
    <t>　　据媒体援引熟悉日产汽车的消息人士称，该公司通知一家荷兰法庭，要求前董事长卡洛斯戈恩（carlos ghosn）偿还所获得的工资和奖金。　　上述消息人士称，日产汽车将向戈恩寻求退款，理由是薪资未得到适当授权。　　日产公司律师称，戈恩利用日产和三菱在荷兰的合资企业，在公司董事会不知情的情况下，为自己</t>
  </si>
  <si>
    <t>　　据外媒报道，计划于明年在美国销售众泰汽车的haah表示，已经与另一家中国汽车制造商，奇瑞汽车，达成了北美市场分销协议。奇瑞将在美国组装一款高端suv，最早将于2021年底使用vantas品牌在北美进行销售，并向买家提供服务。　　在美国的车辆生产工作将从半散装件开始。haah发言人chris ho</t>
  </si>
  <si>
    <t>2020/02/12 11:16:00</t>
  </si>
  <si>
    <t>据外媒报道，计划于明年在美国销售众泰汽车的haah表示，已经与另一家中国汽车制造商，奇瑞汽车，达成了北美市场分销协议。奇瑞将在美国组装一款高端suv，最早将于2021年底使用vantas品牌在北美进行销售，并向买家提供服务。    在美国的车辆生产工作将从半散装件开始。haah发言人chris ho</t>
  </si>
  <si>
    <t>2020/02/12 11:15:57</t>
  </si>
  <si>
    <t>投诉编号：【446955】
投诉时间： 2020-02-12 10:46
投诉品牌： 长城汽车
投诉车系： 哈弗F7
投诉车型： 2020款 1.5T 两驱 i潮</t>
  </si>
  <si>
    <t>　　据媒体报道，本田汽车公司周二表示，计划从2月17日起在中国大部分工厂重新启动汽车和零部件工厂生产。　　这家日本汽车制造商表示，其部分员工已返回在中国的五家工厂中，并正在采取措施确保员工的安全，以便于2月17日或更晚恢复生产。　　同时，丰田汽车还表示，将于2月17日那周重新启动位于新型冠状病毒疫情</t>
  </si>
  <si>
    <t>2020/02/12 11:13:00</t>
  </si>
  <si>
    <t>据媒体报道，本田汽车公司周二表示，计划从2月17日起在中国大部分工厂重新启动汽车和零部件工厂生产。    这家日本汽车制造商表示，其部分员工已返回在中国的五家工厂中，并正在采取措施确保员工的安全，以便于2月17日或更晚恢复生产。    同时，丰田汽车还表示，将于2月17日那周重新启动位于新型冠状病毒</t>
  </si>
  <si>
    <t>　　据媒体报道，梅赛德斯-奔驰母公司戴姆勒首席执行官康林松（ola kaellenius）周二表示，该公司已于本周在北京工厂恢复生产。　　在斯图加特举行的2019年度业绩新闻发布会上，康林松向分析师表示：“我们已经在昨日（2月10日）启动北京工厂的生产，并将加大在生产和零售方面的力度。”　　同时，康</t>
  </si>
  <si>
    <t>2020/02/12 11:11:00</t>
  </si>
  <si>
    <t>据媒体报道，梅赛德斯-奔驰母公司戴姆勒首席执行官康林松（ola kaellenius）周二表示，该公司已于本周在北京工厂恢复生产。    在斯图加特举行的2019年度业绩新闻发布会上，康林松向分析师表示：“我们已经在昨日（2月10日）启动北京工厂的生产，并将加大在生产和零售方面的力度。”    同时</t>
  </si>
  <si>
    <t>投诉编号：【446959】投诉时间：2020-02-1211:11投诉品牌：东风本田投诉车系：INSPIRE投诉车型：2019款260TURBO精致版国VI投诉内容十二月份发现接缝处渗油，到东莞市塘厦镇永徕处理，给出的结论，装配用油痕迹，清洗干净之后再观察，那个时候大约一万五千公里，后来两万多一点做</t>
  </si>
  <si>
    <t>　　一到季节变化雨雪天气，我们对于车辆在湿滑路面上的安全性变得尤为关注。车辆一般分为前驱、后驱和四驱，对于日常驾驶来说，附着力良好的路面区别并不大。而一旦遇到湿滑路面，路面的低附着力特性被放大，驱动行驶的不同特性也被放大。下面我们就来简单解读不同驱动形式具有不同的行驶特性，以及不同驱动形式如何选购自</t>
  </si>
  <si>
    <t>2020/02/12 11:08:00</t>
  </si>
  <si>
    <t>一到季节变化雨雪天气，我们对于车辆在湿滑路面上的安全性变得尤为关注。车辆一般分为前驱、后驱和四驱，对于日常驾驶来说，附着力良好的路面区别并不大。而一旦遇到湿滑路面，路面的低附着力特性被放大，驱动行驶的不同特性也被放大。下面我们就来简单解读不同驱动形式具有不同的行驶特性，以及不同驱动形式如何选购自己满</t>
  </si>
  <si>
    <t>　　近日，有媒体获得了一组欧规版2020款三菱mirage的官方图片。作为改款车型，新车采用了最新家族化设计风格，整体彰显运动感。据了解，新车在英国的起售价格为10,550英镑。　　mirage定位一款小型车，它最早主要在泰国和菲律宾进行生产，销售到日本、泰国、菲律宾、澳大利亚、北美等多个市场。此次</t>
  </si>
  <si>
    <t>2020/02/12 11:07:00</t>
  </si>
  <si>
    <t>近日，有媒体获得了一组欧规版2020款三菱mirage的官方图片。作为改款车型，新车采用了最新家族化设计风格，整体彰显运动感。据了解，新车在英国的起售价格为10,550英镑。    mirage定位一款小型车，它最早主要在泰国和菲律宾进行生产，销售到日本、泰国、菲律宾、澳大利亚、北美等多个市场。此次</t>
  </si>
  <si>
    <t>近日，我们从海外媒体获悉，大众将基于即将推出id.3车型打造高性能版本，即id.3 r，并绘制了该车型的假想图。新车将利用id.r赛车项目所获得的经验，调配动力系统，并采用四驱形式。    新车未来上市则将与目前高尔夫r同级，并有望在2023年推出。大众r部门的负责人jost capito在奥地利举</t>
  </si>
  <si>
    <t>2020/02/12 11:03:00</t>
  </si>
  <si>
    <t>　　近日，我们从海外媒体获悉，大众将基于即将推出id.3车型打造高性能版本，即id.3 r，并绘制了该车型的假想图。新车将利用id.r赛车项目所获得的经验，调配动力系统，并采用四驱形式。　　新车未来上市则将与目前高尔夫r同级，并有望在2023年推出。大众r部门的负责人jost capito在奥地利举</t>
  </si>
  <si>
    <t>近日，通用公司发布了2021款雪佛兰equinox车型。2021款雪佛兰equinox车型将在今年秋季上市销售。    2021款雪佛兰equinox车型的机械部分与当前款车型一致，但是外部造型获得全新设计。全新equinox车型的设计与雪佛兰家族最新设计理念相一致，该全新车型采用了面积更大的盾牌型</t>
  </si>
  <si>
    <t>2020/02/12 11:01:00</t>
  </si>
  <si>
    <t>　　近日，通用公司发布了2021款雪佛兰equinox车型。2021款雪佛兰equinox车型将在今年秋季上市销售。　　2021款雪佛兰equinox车型的机械部分与当前款车型一致，但是外部造型获得全新设计。全新equinox车型的设计与雪佛兰家族最新设计理念相一致，该全新车型采用了面积更大的盾牌型</t>
  </si>
  <si>
    <t>近日，据国外媒体报道，日产新juke是一款基于雷诺-日产联盟cmf-b平台打造的汽车，这个平台专门生产小型车，包括新雷诺clio和卡缤。但日产新juke底盘经过特别调校，仅供日产使用，同时提供汽油和柴油发动机选项，以及配备了两驱版和四驱版。    新款juke在设计上有了新的变动，相比于老款，新款的</t>
  </si>
  <si>
    <t>2020/02/12 10:58:00</t>
  </si>
  <si>
    <t>　　近日，据国外媒体报道，日产新juke是一款基于雷诺-日产联盟cmf-b平台打造的汽车，这个平台专门生产小型车，包括新雷诺clio和卡缤。但日产新juke底盘经过特别调校，仅供日产使用，同时提供汽油和柴油发动机选项，以及配备了两驱版和四驱版。　　新款juke在设计上有了新的变动，相比于老款，新款的</t>
  </si>
  <si>
    <t>近日，国外媒体曝光了全新雪佛兰科尔维特z06车型的测试谍照。据悉，全新雪佛兰科尔维特z06车型将拥有强大的动力系统，力争超越法拉利458 italia等竞争对手。    虽然在已经曝光的测试谍照中全新雪佛兰科尔维特z06车型使用了伪装包裹，但是可以发现的是该全新车型拥有更加宽大的车尾，尾部扩散器也更</t>
  </si>
  <si>
    <t>2020/02/12 10:57:00</t>
  </si>
  <si>
    <t>　　近日，国外媒体曝光了全新雪佛兰科尔维特z06车型的测试谍照。据悉，全新雪佛兰科尔维特z06车型将拥有强大的动力系统，力争超越法拉利458 italia等竞争对手。　　虽然在已经曝光的测试谍照中全新雪佛兰科尔维特z06车型使用了伪装包裹，但是可以发现的是该全新车型拥有更加宽大的车尾，尾部扩散器也更</t>
  </si>
  <si>
    <t>近日，国外媒体抢先测试了全新丰田雅力士车型。目前，全新丰田雅力士车型还处于上市前最终调校阶段，在测试中该车型也使用了伪装包裹。虽然有小范围伪装，但是不难发现第四代丰田雅力士车型造型设计动感。该车型并非是gr-four，而是更贴近现实生活的混合动力小型车。第四代雅力士车型在未来的市场前景被广泛看好。目</t>
  </si>
  <si>
    <t>2020/02/12 10:56:00</t>
  </si>
  <si>
    <t>　　近日，国外媒体抢先测试了全新丰田雅力士车型。目前，全新丰田雅力士车型还处于上市前最终调校阶段，在测试中该车型也使用了伪装包裹。虽然有小范围伪装，但是不难发现第四代丰田雅力士车型造型设计动感。该车型并非是gr-four，而是更贴近现实生活的混合动力小型车。第四代雅力士车型在未来的市场前景被广泛看好</t>
  </si>
  <si>
    <t>投诉编号：【446957】投诉时间：2020-02-1210:55投诉品牌：郑州日产投诉车系：途达投诉车型：2020款2.5L自动四驱旗舰版投诉内容郑州日产途达停放2-3天电瓶亏电无法启动已有两次了。投诉回复车质网已将您的投诉转给生产企业以及国家市场监督管理总局缺陷产品管理中心，我们将会对此投诉继续</t>
  </si>
  <si>
    <t>2020/02/12 10:55:00</t>
  </si>
  <si>
    <t>日本汽车巨头丰田对斯巴鲁的持股比例由16.48%上升到20％，正式控股斯巴鲁。    当地时间2月10日，日本的一份备案文件显示，丰田对斯巴鲁的股权变更已完成。稍早前斯巴鲁也已宣布，2月6日起丰田对公司的持股比例由16.8%提升至20%，斯巴鲁正式成为丰田的控股公司。    上述股权变更意味着，斯巴</t>
  </si>
  <si>
    <t>2020/02/12 10:54:00</t>
  </si>
  <si>
    <t>　　日本汽车巨头丰田对斯巴鲁的持股比例由16.48%上升到20％，正式控股斯巴鲁。　　当地时间2月10日，日本的一份备案文件显示，丰田对斯巴鲁的股权变更已完成。稍早前斯巴鲁也已宣布，2月6日起丰田对公司的持股比例由16.8%提升至20%，斯巴鲁正式成为丰田的控股公司。　　上述股权变更意味着，斯巴鲁正</t>
  </si>
  <si>
    <t>张超_NA1563</t>
  </si>
  <si>
    <t>2020/02/12 10:53:09</t>
  </si>
  <si>
    <t>投诉编号：【446948】
投诉时间： 2020-02-12 10:30
投诉品牌： 上汽通用别克
投诉车系： 凯越
投诉车型： 2015款 1.5L 手动 经典型</t>
  </si>
  <si>
    <t>奇瑞全新一代瑞虎7/瑞虎7 pro将于2月18日正式上市，作为换代产品，这款新车究竟在外观内饰等方面进行了哪些升级呢？此前各路消息铺天盖地，今天我们就来个小汇总吧。    新车背景    上一代瑞虎7于2016年9月20日上市，售价区间为9.79-15.39万元，不到3年半的时间里，全新一代车型如约</t>
  </si>
  <si>
    <t>2020/02/12 10:52:00</t>
  </si>
  <si>
    <t>　　奇瑞全新一代瑞虎7/瑞虎7 pro将于2月18日正式上市，作为换代产品，这款新车究竟在外观内饰等方面进行了哪些升级呢？此前各路消息铺天盖地，今天我们就来个小汇总吧。　　新车背景　　上一代瑞虎7于2016年9月20日上市，售价区间为9.79-15.39万元，不到3年半的时间里，全新一代车型如约而至</t>
  </si>
  <si>
    <t>　　2020芝加哥车展开幕，捷豹新款f-type车型正式发布，新车继续提供双门轿跑和双门软顶敞篷两种车身形式，在北美地区售价区间为6.16万-10.59万美元，约合人民币42.93-73.81万元。　　新车信息：　　前脸采用全新的设计风格，在圆角矩形轮廓的黑色中网两侧，搭配有大尺寸的前包围侧方进气口</t>
  </si>
  <si>
    <t>2020/02/12 10:50:00</t>
  </si>
  <si>
    <t>2020芝加哥车展开幕，捷豹新款f-type车型正式发布，新车继续提供双门轿跑和双门软顶敞篷两种车身形式，在北美地区售价区间为6.16万-10.59万美元，约合人民币42.93-73.81万元。    新车信息：    前脸采用全新的设计风格，在圆角矩形轮廓的黑色中网两侧，搭配有大尺寸的前包围侧方进</t>
  </si>
  <si>
    <t>据媒体报道，LG公司的Webos Auto系统IVI将与Cerence公司的智能语音助手Cerence ，发布了Hondadreamdriv最新信息娱乐系统，双方的共同目标是通过可以语音指令，让驾驶人员和乘客对车辆系统，导航和汽车多媒体内容拥有更大的控制力，打造出更加便捷的车内使用感受。为用户提供更</t>
  </si>
  <si>
    <t>2020/02/12 10:48:00</t>
  </si>
  <si>
    <t>前驱、后驱、四驱……在购车时经常能听到导购人员如此介绍车辆。其实，这都是车辆的驱动方式，根据发动机不同的放置位置和不同的传动形式，汽车分为多种不同的驱动方式，并各有其优缺点。那么，汽车都有哪些驱动模式？一起来看看。前置前驱（FF）前置前驱是当今最常见的驱动形式，一般广泛应用在发动机排量为2.5L以下</t>
  </si>
  <si>
    <t>　　英国小众造车品牌bac（briggs automotive company）发布了旗下车型bac mono final edition（最终版）的官图。bac mono自2011年问世以来一直以独特的单座式设计以及恐怖的机械性能著称，同时也是bac品牌旗下唯一的车型。此前有消息称，该车型将在20</t>
  </si>
  <si>
    <t>英国小众造车品牌bac（briggs automotive company）发布了旗下车型bac mono final edition（最终版）的官图。bac mono自2011年问世以来一直以独特的单座式设计以及恐怖的机械性能著称，同时也是bac品牌旗下唯一的车型。此前有消息称，该车型将在2020</t>
  </si>
  <si>
    <t>全新的汽车体验 联网汽车时代即将到来据媒体报道，LG公司的Webos Auto系统IVI将与Cerence公司的智能语音助手Cerence ，发布了Hondadreamdriv最新信息娱乐系统，双方的共同目标是通过可以语音指令，让驾驶人员和乘客对车辆系统，导航和汽车多媒体内容拥有更大的控制力，打造出</t>
  </si>
  <si>
    <t>汽车都有哪几种驱动方式 各有什么优缺点前驱、后驱、四驱……在购车时经常能听到导购人员如此介绍车辆。其实，这都是车辆的驱动方式，根据发动机不同的放置位置和不同的传动形式，汽车分为多种不同的驱动方式，并各有其优缺点。那么，汽车都有哪些驱动模式？一起来看看。前置前驱（FF）前置前驱是当今最常见的驱动形式，</t>
  </si>
  <si>
    <t>在目前的汽车行业中，轻量化设计所受到的关注度越来越高。汽车实行轻量化设计对于传统燃油车来说意味着可以降低油耗，而对于纯电动汽车来说，则意味着可以降低电耗，两者都可以降低后期的用车成本。对于纯电动汽车所搭载的动力电池来说，轻量化设计同样重要。那么目前影响动力电池轻量化设计的关键是什么呢？能量密度和安全</t>
  </si>
  <si>
    <t>2020/02/12 10:47:00</t>
  </si>
  <si>
    <t>现在新能源汽车技术得到了很大的发展，车辆上也配备了越来越多的智能配置，而笔者还希望新能源汽车增加下文中的配置。  第一，增加驾驶员酒精测量仪。现在酒驾和醉驾管控得是越来越严格了，但是还是有不少驾驶者持有侥幸心理，喝了酒之后还敢开车，从而造成交通事故导致一定的人员伤亡。所以说，笔者希望之后的新能源汽车</t>
  </si>
  <si>
    <t>AsparkOwl超级跑车是一家日本制造商Aspark展示的纯电动超级汽车。Owl使用4台电动机产生1984马力的动力，特殊的扭矩矢量控制系统，64.0 kWh的锂离子电池组。Aspark承诺可以达到280英里的续航里程。Owl的最高时速为249英里/小时，售价为320万美元。全球生产将量50台，交</t>
  </si>
  <si>
    <t>隔壁二狗去年买了台电动车，考虑到某些原因咱不说哪个品牌，反正就是国内标号动不动超400km续航的“超省钱牌”电动车，如果用手指头来算，400km续航其实跟我家那台燃油车续航差不多，毕竟我家的车续航也只有500多公里。其实我算了一下，他14万多买的这台电动车，如果能开上20万公里，那就算赚回来了，当然</t>
  </si>
  <si>
    <t>目前对于新能源车你还希望增加哪些配置现在新能源汽车技术得到了很大的发展，车辆上也配备了越来越多的智能配置，而笔者还希望新能源汽车增加下文中的配置。  第一，增加驾驶员酒精测量仪。现在酒驾和醉驾管控得是越来越严格了，但是还是有不少驾驶者持有侥幸心理，喝了酒之后还敢开车，从而造成交通事故导致一定的人员伤</t>
  </si>
  <si>
    <t>影响动力电池轻量化设计的关键是什么在目前的汽车行业中，轻量化设计所受到的关注度越来越高。汽车实行轻量化设计对于传统燃油车来说意味着可以降低油耗，而对于纯电动汽车来说，则意味着可以降低电耗，两者都可以降低后期的用车成本。对于纯电动汽车所搭载的动力电池来说，轻量化设计同样重要。那么目前影响动力电池轻量化</t>
  </si>
  <si>
    <t>　　日前，布加迪在海外社交媒体上发布了一张旗下全新车型的预告图。有海外媒体预测，该车很可能将是基于chiron打造的全新限量版车型，或命名为chiron r。据悉，该车将在3月3日开幕的2020年日内瓦车展上首发亮相。　　新车预告图　　按照外媒的说法，新车的定位在chiron sport和chiro</t>
  </si>
  <si>
    <t>日前，布加迪在海外社交媒体上发布了一张旗下全新车型的预告图。有海外媒体预测，该车很可能将是基于chiron打造的全新限量版车型，或命名为chiron r。据悉，该车将在3月3日开幕的2020年日内瓦车展上首发亮相。    新车预告图    按照外媒的说法，新车的定位在chiron sport和chi</t>
  </si>
  <si>
    <t>纯电超跑新悍将AsparkOwl超级跑车是一家日本制造商Aspark展示的纯电动超级汽车。Owl使用4台电动机产生1984马力的动力，特殊的扭矩矢量控制系统，64.0 kWh的锂离子电池组。Aspark承诺可以达到280英里的续航里程。Owl的最高时速为249英里/小时，售价为320万美元。全球生产</t>
  </si>
  <si>
    <t>信我 别买电动车隔壁二狗去年买了台电动车，考虑到某些原因咱不说哪个品牌，反正就是国内标号动不动超400km续航的“超省钱牌”电动车，如果用手指头来算，400km续航其实跟我家那台燃油车续航差不多，毕竟我家的车续航也只有500多公里。其实我算了一下，他14万多买的这台电动车，如果能开上20万公里，那就</t>
  </si>
  <si>
    <t>随着网约车的不断发展，上班族下班之后驾驶自己的爱车挣点零花钱成为常见的事情，同时以也可以全职。但是在目前的汽车行业中，除了传统燃油车之外，也有纯电动汽车存在，那么如果在北京跑网约车，用纯电动汽车划算还是用传统燃油车更加划算呢？需要从以下几个方面进行考虑。政策影响北京作为我国的首都，本身车辆众多，所以</t>
  </si>
  <si>
    <t>2020/02/12 10:46:00</t>
  </si>
  <si>
    <t>近些年新能源汽车行业的发展较为迅速，保有量也在稳步提升。根据数据统计，截止到2019年6月份，我国新能源汽车保有量约344万台。但是新能源汽车也是代步工具，安全应当放在首位。那么新能源汽车的安全性由什么决定的呢？动力电池对于新能源汽车尤其是纯电动汽车来说，动力电池的重要性不言而喻。从成本分析上来看，</t>
  </si>
  <si>
    <t>前几天，一辆克莱斯勒300C从我和我一朋友身边驶过，我那朋友张口说道“哇！劳斯莱斯”。我说那不是劳斯莱斯，只不过是一款长的和劳斯莱斯很像的轿车，朋友则表示那也一定不便宜，看着就很豪气。可他不知克莱斯勒300C的售价才30多万。我相信除了克莱斯勒300C，还会有一些车看着很贵，实则很便宜，下面我来举几</t>
  </si>
  <si>
    <t>这些车看起来很贵前几天，一辆克莱斯勒300C从我和我一朋友身边驶过，我那朋友张口说道“哇！劳斯莱斯”。我说那不是劳斯莱斯，只不过是一款长的和劳斯莱斯很像的轿车，朋友则表示那也一定不便宜，看着就很豪气。可他不知克莱斯勒300C的售价才30多万。我相信除了克莱斯勒300C，还会有一些车看着很贵，实则很便</t>
  </si>
  <si>
    <t>轿车保值率新鲜出炉前言“保值率”是我们买车时的一个很重要的指标，保值率越高的车，在卖车的时候也就越值钱。谁都不能保证，买了车就能把这辆车开到报废，即便有也是极少数的人。一般而言，大多数人的换车周期都在5-8年。所以选择一款保值率高的车，在日后换车时就能少损失一部分钱，这样看来保值率对于选车来说的确很</t>
  </si>
  <si>
    <t>跑滴滴用纯电动汽车划算还是用燃油车划算随着网约车的不断发展，上班族下班之后驾驶自己的爱车挣点零花钱成为常见的事情，同时以也可以全职。但是在目前的汽车行业中，除了传统燃油车之外，也有纯电动汽车存在，那么如果在北京跑网约车，用纯电动汽车划算还是用传统燃油车更加划算呢？需要从以下几个方面进行考虑。政策影响</t>
  </si>
  <si>
    <t>新能源汽车的安全性能由什么决定近些年新能源汽车行业的发展较为迅速，保有量也在稳步提升。根据数据统计，截止到2019年6月份，我国新能源汽车保有量约344万台。但是新能源汽车也是代步工具，安全应当放在首位。那么新能源汽车的安全性由什么决定的呢？动力电池对于新能源汽车尤其是纯电动汽车来说，动力电池的重要</t>
  </si>
  <si>
    <t>随着近几年新能源汽车行业的不断发展，保有量也在稳步增加。但是新能源汽车也属于代步工具，安全性应当放在首位。那么新能源汽车的安全系数都与什么有关呢？今天就以纯电动汽车为例和大家一起讨论一下。首先，动力电池。根据目前纯电动汽车的成本分析来看，动力电池占据整车生产的约30%~40%，所以动力电池的稳定性与</t>
  </si>
  <si>
    <t>2020/02/12 10:45:00</t>
  </si>
  <si>
    <t>随着这些年汽车行业不断发展，车型也是越来越丰富，除了传统的燃油车之外，还有纯电动汽车，混合动力汽车等。那么究竟是纯电动汽车更强，还是混合动力更强呢？其实这点需要根据不同的方面来进行对比。环保方面：纯电动汽车更强纯电动汽车搭载的是动力电池，然后匹配电动机驱动车辆，所以这种车型在后期使用过程中尾气排放为</t>
  </si>
  <si>
    <t>目前的纯电动汽车主要搭载的是三元的电池，部分车型使用的是磷酸铁锂电池，这两种电池都属于液态锂电池。作为液态电池，受温度影响较为明显，尤其是低温条件下内部的化学反应会受到抑制，导致储电量受到影响，进而影响续航表现。而为了缓解这种状况，很多企业开始布局固态电池领域，那么固态电池会取代锂电池吗？其实所谓的</t>
  </si>
  <si>
    <t>固态电池会取代现在使用的锂电池么目前的纯电动汽车主要搭载的是三元的电池，部分车型使用的是磷酸铁锂电池，这两种电池都属于液态锂电池。作为液态电池，受温度影响较为明显，尤其是低温条件下内部的化学反应会受到抑制，导致储电量受到影响，进而影响续航表现。而为了缓解这种状况，很多企业开始布局固态电池领域，那么固</t>
  </si>
  <si>
    <t>纯电动汽车强还是混合动力汽车更强呢随着这些年汽车行业不断发展，车型也是越来越丰富，除了传统的燃油车之外，还有纯电动汽车，混合动力汽车等。那么究竟是纯电动汽车更强，还是混合动力更强呢？其实这点需要根据不同的方面来进行对比。环保方面：纯电动汽车更强纯电动汽车搭载的是动力电池，然后匹配电动机驱动车辆，所以</t>
  </si>
  <si>
    <t>新能源汽车的安全系数与什么有关随着近几年新能源汽车行业的不断发展，保有量也在稳步增加。但是新能源汽车也属于代步工具，安全性应当放在首位。那么新能源汽车的安全系数都与什么有关呢？今天就以纯电动汽车为例和大家一起讨论一下。首先，动力电池。根据目前纯电动汽车的成本分析来看，动力电池占据整车生产的约30%~</t>
  </si>
  <si>
    <t>投诉编号：【446954】  投诉时间： 2020-02-12 10:45  投诉品牌： 一汽-大众  投诉车系： 高尔夫  投诉车型： 2014款 1.4TSI 自动 豪华型        投诉内容  一汽大众高尔夫变速箱机电单元故障导致仪表盘上挡位显示闪得很厉害，还有刹车灯也亮。      投诉</t>
  </si>
  <si>
    <t>受到新型冠状病毒疫情的影响，很多朋友也纷纷减少了外出的频率，原本的代步工具汽车现在也静静的放在家里。那么对于近些年不断增长的纯电动汽车来说，疫情期间出不了门，在维护方面有哪些需要注意的事项呢？电池电量要关注对于纯电动汽车来说，动力来源为电池组，并没有燃油发动机和变速箱，所以对于动力电池的关注度要更高</t>
  </si>
  <si>
    <t>2020/02/12 10:44:00</t>
  </si>
  <si>
    <t>纯电动车维护有哪些注意事项受到新型冠状病毒疫情的影响，很多朋友也纷纷减少了外出的频率，原本的代步工具汽车现在也静静的放在家里。那么对于近些年不断增长的纯电动汽车来说，疫情期间出不了门，在维护方面有哪些需要注意的事项呢？电池电量要关注对于纯电动汽车来说，动力来源为电池组，并没有燃油发动机和变速箱，所以</t>
  </si>
  <si>
    <t>我们获得了一组保时捷taycan sport turismo的路试谍照，该车为保时捷taycan的衍生车型，预计其量产版车型将于今年晚些时候正式发布，2021年开售。    从命名可以猜到taycan sport turismo与taycan的关系如panamera与panamera sport t</t>
  </si>
  <si>
    <t>　　我们获得了一组保时捷taycan sport turismo的路试谍照，该车为保时捷taycan的衍生车型，预计其量产版车型将于今年晚些时候正式发布，2021年开售。　　从命名可以猜到taycan sport turismo与taycan的关系如panamera与panamera sport t</t>
  </si>
  <si>
    <t>现在开着燃油车的我们都知道，目前全球所有厂家都在大幅度生产新能源车系，而之所以他们日以继夜的去研究更高效能的新能源汽车，但最终目的一方面是为了响应国家本地排放政策，另一方面则是想能在新能源市场的一席之地罢了。而我国自主品牌中最早接触到新能源行业的也属于比亚迪了。在那个被万人吐槽各种不靠谱的比亚迪，自</t>
  </si>
  <si>
    <t>“丰田比亚迪”来了 双方到底有何居心现在开着燃油车的我们都知道，目前全球所有厂家都在大幅度生产新能源车系，而之所以他们日以继夜的去研究更高效能的新能源汽车，但最终目的一方面是为了响应国家本地排放政策，另一方面则是想能在新能源市场的一席之地罢了。而我国自主品牌中最早接触到新能源行业的也属于比亚迪了。在</t>
  </si>
  <si>
    <t>据海外媒体报道，保时捷将于2021年正式推出macan纯电版车型，并将于2022年起开始投产交付。同时，燃油动力版本的macan至少将会再生产三年，这意味着这个版本至少在2024年前不会停产。配图为2020款macan turbo 2.9t    在2019年，保时捷在美国销售的suv数量是轿车的两</t>
  </si>
  <si>
    <t>2020/02/12 10:42:00</t>
  </si>
  <si>
    <t>　　据海外媒体报道，保时捷将于2021年正式推出macan纯电版车型，并将于2022年起开始投产交付。同时，燃油动力版本的macan至少将会再生产三年，这意味着这个版本至少在2024年前不会停产。配图为2020款macan turbo 2.9t　　在2019年，保时捷在美国销售的suv数量是轿车的两</t>
  </si>
  <si>
    <t>保时捷718 cayman gt4和718 boxster spyder分别是cayman及boxster系列的最强版本，设计取向是追求极致的赛道性能和驾驶乐趣，现款车型使用的4.0l自然吸气 6速手动动力组合可以说是专为狂热的汽车发烧友而生。不过保时捷发现，真正沉迷于手动换挡所带来的驾驶感的用户只</t>
  </si>
  <si>
    <t>2020/02/12 10:41:00</t>
  </si>
  <si>
    <t>　　保时捷718 cayman gt4和718 boxster spyder分别是cayman及boxster系列的最强版本，设计取向是追求极致的赛道性能和驾驶乐趣，现款车型使用的4.0l自然吸气 6速手动动力组合可以说是专为狂热的汽车发烧友而生。不过保时捷发现，真正沉迷于手动换挡所带来的驾驶感的用</t>
  </si>
  <si>
    <t>开了辆电动车回400km 的老家今年春节，我开着长续航全轮驱动版的特斯拉Model 3回了我的老家揭阳，全程大约是400km，其中包括了超过350km的高速。一开始我对这趟行程是充满担忧的，因为此前我从未开着电动车回过老家，虽然这台特斯拉Model 3 NEDC工况下的续航里程达到了590km，但是</t>
  </si>
  <si>
    <t>2020/02/12 10:40:00</t>
  </si>
  <si>
    <t>新能源汽车的旧电池该去哪新能源汽车缓解了汽车尾气对空气质量的压力。不过，新能源汽车的电池“退役”后如果不能妥善处理，有可能造成新的污染。江苏正探索建立新能源汽车动力蓄电池回收利用体系，通过促进产业合作、政策激励回收利用等方法，促进电池回收利用。我国是全球新能源汽车产销大国。2019年1—11月，我国</t>
  </si>
  <si>
    <t>新能源汽车缓解了汽车尾气对空气质量的压力。不过，新能源汽车的电池“退役”后如果不能妥善处理，有可能造成新的污染。江苏正探索建立新能源汽车动力蓄电池回收利用体系，通过促进产业合作、政策激励回收利用等方法，促进电池回收利用。我国是全球新能源汽车产销大国。2019年1—11月，我国新能源汽车产销分别完成1</t>
  </si>
  <si>
    <t>今年春节，我开着长续航全轮驱动版的特斯拉Model 3回了我的老家揭阳，全程大约是400km，其中包括了超过350km的高速。一开始我对这趟行程是充满担忧的，因为此前我从未开着电动车回过老家，虽然这台特斯拉Model 3 NEDC工况下的续航里程达到了590km，但是按照以往做电耗测试的经验，如果开</t>
  </si>
  <si>
    <t>2020/02/12 10:39:00</t>
  </si>
  <si>
    <t>　　说到运动型中级轿车，很多人的第一反应就是宝马3系，这是不争的事实。与其说它的竞品是奔驰c或者奥迪a4，倒不如说凯迪拉克才是它的劲敌。从cts时期就一直对标着它正面“杠”，ats时期甚至以e46为蓝本去调校。而现在，ct5打着后驱运动豪华的口号再次来袭，3系是否扛得住？这款车到底值不值？一起来看看</t>
  </si>
  <si>
    <t>2020/02/12 10:38:00</t>
  </si>
  <si>
    <t>　　10万级家用mpv市场一直是自主品牌的天下，而欧尚科尚作为长安欧尚品牌在这个领域的旗舰型产品，产品力的表现自然是十分出色，凭借着大气的外观、宽敞的空间以及出色的配置获得了不少消费者的关注。不过在终端优惠和后期用车方面它的表现又会是怎样的呢？今天我们就来一起看一看。　　欧尚科尚定位于一款商旅mpv</t>
  </si>
  <si>
    <t>2020/02/12 10:37:00</t>
  </si>
  <si>
    <t>　　星途是奇瑞集团的高端品牌，目前旗下已经推出了两款车型，分别是星途-tx和星途-lx，其中星途-tx定位为中级suv，而星途-lx则定位为紧凑级suv。作为奇瑞集团的高端品牌，星途将担负起攻坚更高端市场的重任，其最新产品星途-lx会角逐竞争最激烈的紧凑级suv市场，那么星途-lx是否值得消费者选择</t>
  </si>
  <si>
    <t>2020/02/12 10:35:00</t>
  </si>
  <si>
    <t>投诉编号：【446949】  投诉时间： 2020-02-12 10:34  投诉品牌： 北京现代  投诉车系： 领动  投诉车型： 2016款 1.6L 自动 智炫·精英型        投诉内容  北京现代领动方向盘沉重，之前方向右跑偏，调整右边转向拉杆后不跑偏，随后又向左偏，调好后方向明显变重</t>
  </si>
  <si>
    <t>2020/02/12 10:34:00</t>
  </si>
  <si>
    <t>　　近年来，随着国家放开二胎政策，以及人们对美好生活的向往，30万左右的大7座suv成为很多人关注的对象。虽然汽车市场上诞生出了很多新晋的7座suv，但目前依然以汉兰达和锐界为主导，它们在这一领域地位相信大家有目共睹。然而进入2019年以来，长安福特产品线逐步在迭代更新，其中有很多熟悉的老面孔已经陆</t>
  </si>
  <si>
    <t>2020/02/12 10:20:00</t>
  </si>
  <si>
    <t>　　小鹏g3和威马ex5作为造车新势力中的佼佼者，在上市之后便凭借实惠的价格和较为出色的科技配置，博得了不少消费者的芳心。而在传统的造车企业中，比亚迪电动车有口皆碑，宋pro ev则是同级中综合实力最为均衡的产品，同在紧凑级纯电suv市场拼杀，哪款更值得推荐呢？　　三款车型的定位相同，售价区间也有重</t>
  </si>
  <si>
    <t>2020/02/12 10:17:00</t>
  </si>
  <si>
    <t>投诉编号：【446946】  投诉时间： 2020-02-12 10:16  投诉品牌： 一汽-大众  投诉车系： 捷达  投诉车型： 2015款 1.6L 手动 时尚型        投诉内容  车子发动后，点烟器没电，空调暖风鼓风机不转，大灯不亮，夜间行车无灯光。检查了相应位置保险没坏，线路无故</t>
  </si>
  <si>
    <t>2020/02/12 10:16:00</t>
  </si>
  <si>
    <t>自春节后，全国疫情期间的汽车行业也受到不小的影响，都在家“闭关修炼”也意味着各品牌的4s店面无客源。在疫情防控的关键时期，买车看车不仅仅停留在进店看，各汽车品牌的网上商城提供了各式各样的服务，笔者也浏览了所负责的奥迪品牌官网，看看体验如何。    为保障车主疫情期间的权益，奥迪表示，凡奥迪会员账户内</t>
  </si>
  <si>
    <t>2020/02/12 10:14:00</t>
  </si>
  <si>
    <t>　　自春节后，全国疫情期间的汽车行业也受到不小的影响，都在家“闭关修炼”也意味着各品牌的4s店面无客源。在疫情防控的关键时期，买车看车不仅仅停留在进店看，各汽车品牌的网上商城提供了各式各样的服务，笔者也浏览了所负责的奥迪品牌官网，看看体验如何。　　为保障车主疫情期间的权益，奥迪表示，凡奥迪会员账户内</t>
  </si>
  <si>
    <t>近日，海外媒体拍摄到一组大众全新gti tcr原型车的谍照。大众全新gti虽然不是首次曝光，但作为顶级的tcr车型还是第一次以较少的伪装出现在大家面前。    从照片中显示，tcr车型很难从外观上直接区分出与gti之间的差别，只有细看才能发现二者之间的细微差异。首先是车身高度，tcr车型由于使用了更</t>
  </si>
  <si>
    <t>2020/02/12 10:12:00</t>
  </si>
  <si>
    <t>　　近日，海外媒体拍摄到一组大众全新gti tcr原型车的谍照。大众全新gti虽然不是首次曝光，但作为顶级的tcr车型还是第一次以较少的伪装出现在大家面前。　　从照片中显示，tcr车型很难从外观上直接区分出与gti之间的差别，只有细看才能发现二者之间的细微差异。首先是车身高度，tcr车型由于使用了更</t>
  </si>
  <si>
    <t>近日，海外媒体拍摄到一组全新宝马2系旅行车的路试谍照。从谍照来看，全新宝马2系旅行车似乎采用了类似suv的姿态，具有更高的车身以及驾驶坐姿。同时，我们还可以看到新车型也上身了巨大的“双肾”前格栅。显然，这是宝马未来的设计dna。    据悉，与现款车型相比，全新宝马2系旅行车的车身尺寸和轴距都将进一</t>
  </si>
  <si>
    <t>2020/02/12 10:10:00</t>
  </si>
  <si>
    <t>　　近日，海外媒体拍摄到一组全新宝马2系旅行车的路试谍照。从谍照来看，全新宝马2系旅行车似乎采用了类似suv的姿态，具有更高的车身以及驾驶坐姿。同时，我们还可以看到新车型也上身了巨大的“双肾”前格栅。显然，这是宝马未来的设计dna。　　据悉，与现款车型相比，全新宝马2系旅行车的车身尺寸和轴距都将进一</t>
  </si>
  <si>
    <t>说到安全配置，大家都会想到哪些呢？气囊？安全带？安全配置可不仅仅只有这些，还有主动安全配置，比如ABS防抱死系统、ESP车身电子稳定系统，还有自动驻车、并线辅助等等，都会对行车安全产生很大的影响。下面小编就介绍几种实用性高的配置，即便加钱也不能缺少。日间行车灯日间行车灯的主要作用是保证安全的！有数据</t>
  </si>
  <si>
    <t>铱金火花塞</t>
  </si>
  <si>
    <t>2020/02/12 10:09:00</t>
  </si>
  <si>
    <t>没有这几个配置的车都是耍流氓 再便宜也不能买说到安全配置，大家都会想到哪些呢？气囊？安全带？安全配置可不仅仅只有这些，还有主动安全配置，比如ABS防抱死系统、ESP车身电子稳定系统，还有自动驻车、并线辅助等等，都会对行车安全产生很大的影响。下面小编就介绍几种实用性高的配置，即便加钱也不能缺少。日间行</t>
  </si>
  <si>
    <t>　　2020年2月11日，有媒体从宝马官方获悉，为了庆祝x系列车型诞生20周年，宝马发布了一款名为x5 timeless edition的宝马x5特别版。该车型是宝马与意大利著名皮革公司alcantara合作打造，因此特别版的x5仅在意大利市场进行售卖，并限量50台。　　在外观上，x5 timele</t>
  </si>
  <si>
    <t>2020/02/12 10:08:00</t>
  </si>
  <si>
    <t>2020年2月11日，有媒体从宝马官方获悉，为了庆祝x系列车型诞生20周年，宝马发布了一款名为x5 timeless edition的宝马x5特别版。该车型是宝马与意大利著名皮革公司alcantara合作打造，因此特别版的x5仅在意大利市场进行售卖，并限量50台。    在外观上，x5 timele</t>
  </si>
  <si>
    <t>　　近日，有媒体获得了上汽通用五菱旗下的全新微型纯电动车新宝骏e300的内饰图。此前e300仅有外观露出，内饰则一直处于保密状态，直到近日e300的内饰才揭开了真面目。　　我们先简单的来回顾下e300的外观，新宝骏e300的外观使用了家族式的“星际几何”设计语言，极具科技感，宛如来自未来的交通工具。</t>
  </si>
  <si>
    <t>2020/02/12 10:06:00</t>
  </si>
  <si>
    <t>近日，有媒体获得了上汽通用五菱旗下的全新微型纯电动车新宝骏e300的内饰图。此前e300仅有外观露出，内饰则一直处于保密状态，直到近日e300的内饰才揭开了真面目。    我们先简单的来回顾下e300的外观，新宝骏e300的外观使用了家族式的“星际几何”设计语言，极具科技感，宛如来自未来的交通工具。</t>
  </si>
  <si>
    <t>　　有媒体从梅赛德斯-奔驰官方获悉，奔驰eqa将在今年秋天在海外上市，令人期待的是这款车有望在年内引入国内。奔驰eqa离我们越来越近了，根据之前的品牌产品规划，eq系列电动车有望在北京奔驰投产，共有eqa、eqb、eqc三款车型，非常期待实车。　　外观方面，新车设计与新gla不会有太大出入，细节之处</t>
  </si>
  <si>
    <t>2020/02/12 10:05:00</t>
  </si>
  <si>
    <t>有媒体从梅赛德斯-奔驰官方获悉，奔驰eqa将在今年秋天在海外上市，令人期待的是这款车有望在年内引入国内。奔驰eqa离我们越来越近了，根据之前的品牌产品规划，eq系列电动车有望在北京奔驰投产，共有eqa、eqb、eqc三款车型，非常期待实车。    外观方面，新车设计与新gla不会有太大出入，细节之处</t>
  </si>
  <si>
    <t>　　福克斯是福特旗下一款紧凑型轿车，因其不错的运动性备受消费者喜爱。不过随着消费者的需求日益多样化，福特也陆续推出福克斯st line、st、rs以及旅行版等车型来满足市场需求。　　而今天所要介绍的福克斯active同样是一款衍生车，其最大的特点是跨界，升高的车身底盘具备不错的通过性，外观套件的加入</t>
  </si>
  <si>
    <t>2020/02/12 10:04:00</t>
  </si>
  <si>
    <t>　　上汽荣威在2019年推出了rx5 max、rx5 emax、荣威i5以及ei6 plus等多款热门车型。近日，有媒体从上汽荣威官方获悉，2020年，该品牌将推出4款全新车型。其中包括荣威旗下全新纯电动车型ei6和i5系列旗下的全新i5 cross。不仅如此，品牌旗下全新mpv车型――荣威visi</t>
  </si>
  <si>
    <t>2020/02/12 10:02:00</t>
  </si>
  <si>
    <t>朋友们买的第一辆车是什么车开了多少时间你们还记得吗，它又是什么时候申请的报废呢，想当年我国法律规定汽车到达的十五年的使用期的时候才可以进行报废，但是那个时候几乎没有人开到这个时间，所以到了现在规则更改成了六十万公里才能走报废的这个程序，那么现实中真的有人把车开这么久吗？汽车开十年以上是一种什么感觉？</t>
  </si>
  <si>
    <t>“新车6年免检”绝对是方便车主的政策。可自从2014年新政开始至今，好多车主却在这条“福利”上栽了跟头!有些车主误以为：“6年免检”就是新车6年内不用去年检，一不小心“脱检”成了“违法上路”车辆，出了交通事故后保险拒赔，保险拒赔啊!今天，金小妹就是来提醒还在懵圈的车主们：六年免检，你可能踩“坑”啦!</t>
  </si>
  <si>
    <t>汽车开十年以上是一种什么感觉？真的有人把车开这么久吗？朋友们买的第一辆车是什么车开了多少时间你们还记得吗，它又是什么时候申请的报废呢，想当年我国法律规定汽车到达的十五年的使用期的时候才可以进行报废，但是那个时候几乎没有人开到这个时间，所以到了现在规则更改成了六十万公里才能走报废的这个程序，那么现实中</t>
  </si>
  <si>
    <t>新车六年免检政策踩“坑” 分分钟被交警罚款又扣车“新车6年免检”绝对是方便车主的政策。可自从2014年新政开始至今，好多车主却在这条“福利”上栽了跟头!有些车主误以为：“6年免检”就是新车6年内不用去年检，一不小心“脱检”成了“违法上路”车辆，出了交通事故后保险拒赔，保险拒赔啊!今天，金小妹就是来提</t>
  </si>
  <si>
    <t>上汽荣威在2019年推出了rx5 max、rx5 emax、荣威i5以及ei6 plus等多款热门车型。近日，有媒体从上汽荣威官方获悉，2020年，该品牌将推出4款全新车型。其中包括荣威旗下全新纯电动车型ei6和i5系列旗下的全新i5 cross。不仅如此，品牌旗下全新mpv车型——荣威vision</t>
  </si>
  <si>
    <t>2020/02/12 10:01:00</t>
  </si>
  <si>
    <t>别用流血换教训 别拿生命换时间</t>
  </si>
  <si>
    <t>本文首发于什么值得买平台请关注本账号获取更多好文，作者：artpic提到爱车、养车，有的时候朋友会来调侃：你怎么不把车挂墙上。确实，车是用的，你所能想象到的恶劣使用状况，上市前都测试过了，所以根本不用担心车会被用坏，而对三大件的过度的保养也确实多余，除了多花钱也就是图个心理安慰而已。但是车漆却是一次</t>
  </si>
  <si>
    <t>2020/02/12 09:59:00</t>
  </si>
  <si>
    <t>打蜡镀晶加隐形车衣——论我为啥不用把车裱起来挂墙上本文首发于什么值得买平台请关注本账号获取更多好文，作者：artpic提到爱车、养车，有的时候朋友会来调侃：你怎么不把车挂墙上。确实，车是用的，你所能想象到的恶劣使用状况，上市前都测试过了，所以根本不用担心车会被用坏，而对三大件的过度的保养也确实多余，</t>
  </si>
  <si>
    <t>rx5是荣威旗下最畅销车型，一直以来都是与哈弗h6、吉利博越等同台竞技的热销suv。根据此前官方发布的消息，荣威rx5将于今年迎来其换代车型，目前已进行了申报。近日有媒体获取到了一组全新一代荣威rx5的详细动力信息，相比现款在售车型，动力参数进行了小幅调整。    动力部分，全新一代rx5相比现款车</t>
  </si>
  <si>
    <t>2020/02/12 09:56:00</t>
  </si>
  <si>
    <t>　　rx5是荣威旗下最畅销车型，一直以来都是与哈弗h6、吉利博越等同台竞技的热销suv。根据此前官方发布的消息，荣威rx5将于今年迎来其换代车型，目前已进行了申报。近日有媒体获取到了一组全新一代荣威rx5的详细动力信息，相比现款在售车型，动力参数进行了小幅调整。　　动力部分，全新一代rx5相比现款车</t>
  </si>
  <si>
    <t>q7是奥迪旗下的一款中大型suv，与奔驰gle、宝马x5、沃尔沃xc90为同级车型，该款车型于2006年以进口形式引入国内市场销售，凭借着亲民的售价区间，很快便收获了不错的市场反响。近日据海外媒体报道，奥迪针对美国市场推出了q7 45 tfsi premium plus入门版车型，新车海外市场起售价</t>
  </si>
  <si>
    <t>2020/02/12 09:54:00</t>
  </si>
  <si>
    <t>　　q7是奥迪旗下的一款中大型suv，与奔驰gle、宝马x5、沃尔沃xc90为同级车型，该款车型于2006年以进口形式引入国内市场销售，凭借着亲民的售价区间，很快便收获了不错的市场反响。近日据海外媒体报道，奥迪针对美国市场推出了q7 45 tfsi premium plus入门版车型，新车海外市场起</t>
  </si>
  <si>
    <t>奇瑞新能源全新旗舰suv-eq5（内部代号s61）首台量产车日前已正式下线，新车基于奇瑞新能源lfs全铝车身平台打造，将于3月份开启预售，4月正式上市。此外，有媒体了解到，全新一代小蚂蚁以及瑞腾01也将于今年年内上市。    作为奇瑞新能源品牌向上的重磅车型，eq5采用的是区别于现有车型的全新设计语</t>
  </si>
  <si>
    <t>2020/02/12 09:53:00</t>
  </si>
  <si>
    <t>　　奇瑞新能源全新旗舰suv-eq5（内部代号s61）首台量产车日前已正式下线，新车基于奇瑞新能源lfs全铝车身平台打造，将于3月份开启预售，4月正式上市。此外，有媒体了解到，全新一代小蚂蚁以及瑞腾01也将于今年年内上市。　　作为奇瑞新能源品牌向上的重磅车型，eq5采用的是区别于现有车型的全新设计语</t>
  </si>
  <si>
    <t>你问我纳</t>
  </si>
  <si>
    <t>2020/02/12 09:52:00</t>
  </si>
  <si>
    <t>2019年1-12月，乘用车市场信息联席会发布的销量数据显示，全国SUV累计批发销量947.21万辆，同比下降5.6%。哈弗H6毫无疑问地再次夺冠，连续7年蝉联中国年度SUV销冠，尽管同比下降了14.6%，38.64万辆的成绩仍傲视群雄，比第二名多了15万辆；吉利博越销量23.23万辆，同比下降9.</t>
  </si>
  <si>
    <t>2019年销量滑坡的SUV车型2019年1-12月，乘用车市场信息联席会发布的销量数据显示，全国SUV累计批发销量947.21万辆，同比下降5.6%。哈弗H6毫无疑问地再次夺冠，连续7年蝉联中国年度SUV销冠，尽管同比下降了14.6%，38.64万辆的成绩仍傲视群雄，比第二名多了15万辆；吉利博越销</t>
  </si>
  <si>
    <t>2019年对于自主品牌，整体而言算是比较艰难的一年，尤其是三四线自主品牌，很多已经就此掉队，想要重新回归中国主流汽车品牌行列，几乎没有可能了，这就是这个拥有接近超过80个厂商的中国汽车市场残酷的地方所在，想要晋升成为一二线品牌难上加难，但是崩塌却是一夜之间的事儿。中国自主品牌汽车的整体陨落，事实上也</t>
  </si>
  <si>
    <t>2020/02/12 09:51:00</t>
  </si>
  <si>
    <t>自主品牌的无奈：10万元以下已是烂泥一片2019年对于自主品牌，整体而言算是比较艰难的一年，尤其是三四线自主品牌，很多已经就此掉队，想要重新回归中国主流汽车品牌行列，几乎没有可能了，这就是这个拥有接近超过80个厂商的中国汽车市场残酷的地方所在，想要晋升成为一二线品牌难上加难，但是崩塌却是一夜之间的事</t>
  </si>
  <si>
    <t>yaris是丰田旗下的一款小型轿车，该款车型曾以进口形式引入国内市场销售，其全新一代车型也已于去年10月东京车展上正式亮相，而新车也已在部分海外国家上市开售。近日海外媒体曝光了一组丰田全新yaris实车图片，新车将在位于onnaing的法国工厂投产，并将于今年春季在欧洲市场上市开售（以海外春季时间为</t>
  </si>
  <si>
    <t>2020/02/12 09:50:00</t>
  </si>
  <si>
    <t>2019年度即将结束了，虽说今年的车市不如人意，承接去年的下滑态势。但是，今年上市的新车并不少，尤其是中国品牌。今年上市的新车当中，SUV仍然是占较大比例。对于中国品牌而言，轿车基本卖不动，全靠SUV车型吊着。所以，中国品牌今年上市的众多产品同样是往SUV倾斜。当然，每款新车的到来，都会备受厂商的重</t>
  </si>
  <si>
    <t>如今，中型SUV已经不算高高在上的车型了，就拿美系的别克昂科威来说，目前最新款车型的指导价已经下探至18.99万，终端价格上还有着2万以上的优惠，而同属通用集团旗下的雪佛兰探界者就更加实惠了，很多车型的价格都已经在15万以下。而作为德系重要品牌的大众，作为中型SUV的途观L的价格还是要高不少的，不过</t>
  </si>
  <si>
    <t>大众最便宜的中型SUV，起步就有双LED如今，中型SUV已经不算高高在上的车型了，就拿美系的别克昂科威来说，目前最新款车型的指导价已经下探至18.99万，终端价格上还有着2万以上的优惠，而同属通用集团旗下的雪佛兰探界者就更加实惠了，很多车型的价格都已经在15万以下。而作为德系重要品牌的大众，作为中型</t>
  </si>
  <si>
    <t>盘点2019年叫好不叫座的自主SUV2019年度即将结束了，虽说今年的车市不如人意，承接去年的下滑态势。但是，今年上市的新车并不少，尤其是中国品牌。今年上市的新车当中，SUV仍然是占较大比例。对于中国品牌而言，轿车基本卖不动，全靠SUV车型吊着。所以，中国品牌今年上市的众多产品同样是往SUV倾斜。当</t>
  </si>
  <si>
    <t>　　yaris是丰田旗下的一款小型轿车，该款车型曾以进口形式引入国内市场销售，其全新一代车型也已于去年10月东京车展上正式亮相，而新车也已在部分海外国家上市开售。近日海外媒体曝光了一组丰田全新yaris实车图片，新车将在位于onnaing的法国工厂投产，并将于今年春季在欧洲市场上市开售（以海外春季时</t>
  </si>
  <si>
    <t>汽车是一种消耗品，从上牌的第一天便开始贬值，所以部分生意人不太愿意选择全款购车，当然汽车也是我们提高生活品质的重要催化剂。如今汽车的家庭普及率可谓越来越高，人们在买车时该如何选择才能减少今后的损失呢？这个就得涉及到保值率的问题，所谓的汽车保值率是指某款车型在使用一段时期后，将它卖出的价格与先前购买价</t>
  </si>
  <si>
    <t>2020/02/12 09:49:00</t>
  </si>
  <si>
    <t>虽然现在市场平淡，但新车市场依然动作频频，日前，就有三款全新SUV展开了预售，价格跨度从8-25万不等，而且预计都将在年后上市。对于还未买车或者还没来得及买车的消费者来说，或许会有人考虑它们，不过它们到底值不值得等待或者购买呢？丰田威兰达预售：17.00-25.00万推荐指数：★★★★★丰田RAV4</t>
  </si>
  <si>
    <t>3款全新SUV预售价曝光，值得掏出钞票吗虽然现在市场平淡，但新车市场依然动作频频，日前，就有三款全新SUV展开了预售，价格跨度从8-25万不等，而且预计都将在年后上市。对于还未买车或者还没来得及买车的消费者来说，或许会有人考虑它们，不过它们到底值不值得等待或者购买呢？丰田威兰达预售：17.00-25</t>
  </si>
  <si>
    <t>四款高保值率SUV 买它们值了汽车是一种消耗品，从上牌的第一天便开始贬值，所以部分生意人不太愿意选择全款购车，当然汽车也是我们提高生活品质的重要催化剂。如今汽车的家庭普及率可谓越来越高，人们在买车时该如何选择才能减少今后的损失呢？这个就得涉及到保值率的问题，所谓的汽车保值率是指某款车型在使用一段时期</t>
  </si>
  <si>
    <t>2020/02/12 09:48:08</t>
  </si>
  <si>
    <t>投诉编号：【446944】
投诉时间： 2020-02-12 09:42
投诉品牌： 郑州日产
投诉车系： 途达
投诉车型： 2020款 2.5L 自动 四驱 豪华版</t>
  </si>
  <si>
    <t>自新奔腾品牌发布以来，一直以年轻、有活力的形象示人，旗下产品也越来越受当下消费者的青睐。品牌旗下的首款战略suv t77自开售，月均销量就保持在5千台以上，成为家族主力车型。目前在售的国vi版全系搭载1.2t发动机，官方价格区间为9.08万-13.68万元。前不久，奔腾t77的1.5t版本车型进行了</t>
  </si>
  <si>
    <t>2020/02/12 09:48:00</t>
  </si>
  <si>
    <t>最近中国汽车流通协会和精真估联合发布了2019年度中国汽车保值率报告，今天就给大家盘点几款保值率比较高的车型，让大家买车做个参考。小型车保值率排行中可以看出排行第一名的是本田飞度，飞度作为一款本田的入门产品，凭借实惠的价格和巨大的改装潜力成为消费者们追崇的车型。搭载着本田“地球梦”1.5L发动机，能</t>
  </si>
  <si>
    <t>保值率非常高的几款车，大家买车可以借鉴下最近中国汽车流通协会和精真估联合发布了2019年度中国汽车保值率报告，今天就给大家盘点几款保值率比较高的车型，让大家买车做个参考。小型车保值率排行中可以看出排行第一名的是本田飞度，飞度作为一款本田的入门产品，凭借实惠的价格和巨大的改装潜力成为消费者们追崇的车型</t>
  </si>
  <si>
    <t>　　自新奔腾品牌发布以来，一直以年轻、有活力的形象示人，旗下产品也越来越受当下消费者的青睐。品牌旗下的首款战略suv t77自开售，月均销量就保持在5千台以上，成为家族主力车型。目前在售的国vi版全系搭载1.2t发动机，官方价格区间为9.08万-13.68万元。前不久，奔腾t77的1.5t版本车型进</t>
  </si>
  <si>
    <t>2020/02/12 09:47:00</t>
  </si>
  <si>
    <t>不懂车的买丰田，半懂车的买大众相信大家经常有在网络上看到这样一句话：不懂车的买丰田，半懂车的买大众…这话有什么依据呢？说法对吗？那真正懂车的人又买什么品牌呢？今天我们来聊一聊…不懂车的买丰田？大家在买车时，一般情况下都会大范围的从品牌入手，而素来以「开不坏」著称的丰田车，拥有绝对的可靠性和稳定性。曾</t>
  </si>
  <si>
    <t>你不知道的汽车冷知识，但很实用相信大家都汽车天线都很熟悉，但是很多人对它的功能却并不了解，很多人以为汽车天线只是用来传输信号的，这就有点片面了。第一个作用就是大家普遍认识的，接受信号。第二个作用是防止追尾。有些天线上也安装了LED灯，有些甚至利用了太阳能原理，到了晚上就会交替闪烁，能够起到提醒后方车</t>
  </si>
  <si>
    <t>2020/02/12 09:45:00</t>
  </si>
  <si>
    <t>相信大家都汽车天线都很熟悉，但是很多人对它的功能却并不了解，很多人以为汽车天线只是用来传输信号的，这就有点片面了。第一个作用就是大家普遍认识的，接受信号。第二个作用是防止追尾。有些天线上也安装了LED灯，有些甚至利用了太阳能原理，到了晚上就会交替闪烁，能够起到提醒后方车辆的注意，特别在遇到极端天气，</t>
  </si>
  <si>
    <t>又给国人长脸了 个个都是中国骄傲一年一度的广州国际车展现已正式拉开帷幕，本届车展上市/首发的新车足足有上百款之多，真是让人看得眼花缭乱。在这么多的新车当中，下面这几台自主豪华品牌SUV真是给我们长脸了，它们是谁呢？下面马上为你介绍。红旗E115亮点：中国豪华品牌顶级纯电动大型SUV编辑点评：红旗在广</t>
  </si>
  <si>
    <t>2020/02/12 09:42:00</t>
  </si>
  <si>
    <t>根据规划显示，beijing品牌将在2020-2022年期间推出5款新suv，覆盖小型、紧凑级细分领域。而近日网上车市获取到了一组疑似beijing全新suv的路试谍照图，根据车侧车窗面积来推断，该车大概率上是预留了第三排座椅的空间，车身尺寸或将达到中型suv水平，两处明显的线索均指向该车并非此前宣</t>
  </si>
  <si>
    <t>　　根据规划显示，beijing品牌将在2020-2022年期间推出5款新suv，覆盖小型、紧凑级细分领域。而近日网上车市获取到了一组疑似beijing全新suv的路试谍照图，根据车侧车窗面积来推断，该车大概率上是预留了第三排座椅的空间，车身尺寸或将达到中型suv水平，两处明显的线索均指向该车并非此</t>
  </si>
  <si>
    <t>　　今日我们从外媒获取到一组由菲亚特发布到全新一代strada车型预告图，新车将在11月的巴西圣保罗车展上亮相。提到菲亚特strada，上一代车型还是在2013年上市，该小型皮卡专供巴西市场，十分受到当地消费者的欢迎。而本次菲亚特全新strada将基于家族small mp1架构打造，针对外观和动力都</t>
  </si>
  <si>
    <t>2020/02/12 09:41:00</t>
  </si>
  <si>
    <t>今日我们从外媒获取到一组由菲亚特发布到全新一代strada车型预告图，新车将在11月的巴西圣保罗车展上亮相。提到菲亚特strada，上一代车型还是在2013年上市，该小型皮卡专供巴西市场，十分受到当地消费者的欢迎。而本次菲亚特全新strada将基于家族small mp1架构打造，针对外观和动力都进行</t>
  </si>
  <si>
    <t>2020/02/12 09:40:00</t>
  </si>
  <si>
    <t>一半人拆掉行车记录仪，开车清晰无盲区倒车，一直是广大司机头疼的问题，再有经验的司机也有过刮碰经历。难怪很多新手不怕开车，就怕倒车，一倒车就手忙脚乱。虽然有倒车影像，但车后的小孩、石头、大坑等又不能被识别，极易引起事故。基于单个后视摄像头的可视倒车只能看到车身正后方影像，无法同时看清车身四周状况，存在</t>
  </si>
  <si>
    <t>这些车看起来很贵 实则很便宜前几天，一辆克莱斯勒300C从我和我一朋友身边驶过，我那朋友张口说道“哇！劳斯莱斯”。我说那不是劳斯莱斯，只不过是一款长的和劳斯莱斯很像的轿车，朋友则表示那也一定不便宜，看着就很豪气。可他不知克莱斯勒300C的售价才30多万。我相信除了克莱斯勒300C，还会有一些车看着很</t>
  </si>
  <si>
    <t>倒车，一直是广大司机头疼的问题，再有经验的司机也有过刮碰经历。难怪很多新手不怕开车，就怕倒车，一倒车就手忙脚乱。虽然有倒车影像，但车后的小孩、石头、大坑等又不能被识别，极易引起事故。基于单个后视摄像头的可视倒车只能看到车身正后方影像，无法同时看清车身四周状况，存在视角差误，难以满足驾驶员越来越苛刻的</t>
  </si>
  <si>
    <t>虽然目前新型冠状病毒的侵染，使得绝大部分的人都不得不在家待着，只为避免被感染。但是即便如此，我们在家也可以为将来的时间做合理的远行打算，毕竟要知道总有一天我们伟大的祖国肯定能赢得最终胜利。既然说到远行，避免不了跋山涉水。所以有一个靠谱的，具有一定的越野性能的SUV就显得十分的重要。这里可以给大家推荐</t>
  </si>
  <si>
    <t>2020/02/12 09:39:00</t>
  </si>
  <si>
    <t>车载微信来了！我们开车就真不会看手机了？回想起十几年前，在车载蓝牙还没有普及的时代，我们开车的动作是多么简单：拿出钥匙，解锁车门，拉开车门，坐上座位，关上车门，打火着车，挂挡走人。而到了现在，除了上述这一系列动作外，我们还需要找到充电线，插入手机，调好导航，播放音乐，才会挂挡走人。此时，如果你的车还</t>
  </si>
  <si>
    <t>提前知晓能带你远离喧嚣 跋山涉水的车型虽然目前新型冠状病毒的侵染，使得绝大部分的人都不得不在家待着，只为避免被感染。但是即便如此，我们在家也可以为将来的时间做合理的远行打算，毕竟要知道总有一天我们伟大的祖国肯定能赢得最终胜利。既然说到远行，避免不了跋山涉水。所以有一个靠谱的，具有一定的越野性能的SU</t>
  </si>
  <si>
    <t>　　丰田曾专为北美市场打造了一款主打家用的mpv，其尺寸超过别克gl8，内部提供7/8座布局，空间灵活性比已经国产的奥德赛、艾力绅都要好，但目前国内仅在平行市场销售，这款车就是丰田sienna。由于没有官方命名，许多用户、经销商都称其为塞纳，而关于该车即将国产的传闻也不绝于耳。近日，网上车市从国家商</t>
  </si>
  <si>
    <t>投诉编号：【446943】  投诉时间： 2020-02-12 09:39  投诉品牌： 广汽本田  投诉车系： 飞度  投诉车型： 2014款 1.5L CVT LX舒适型        投诉内容  广汽本田飞度启动时发动机有嗒嗒嗒异响，有那么几次启动时发动机发出嗒嗒嗒的声音，需要再次点火才能启动</t>
  </si>
  <si>
    <t>丰田曾专为北美市场打造了一款主打家用的mpv，其尺寸超过别克gl8，内部提供7/8座布局，空间灵活性比已经国产的奥德赛、艾力绅都要好，但目前国内仅在平行市场销售，这款车就是丰田sienna。由于没有官方命名，许多用户、经销商都称其为塞纳，而关于该车即将国产的传闻也不绝于耳。近日，网上车市从国家商标局</t>
  </si>
  <si>
    <t>回想起十几年前，在车载蓝牙还没有普及的时代，我们开车的动作是多么简单：拿出钥匙，解锁车门，拉开车门，坐上座位，关上车门，打火着车，挂挡走人。而到了现在，除了上述这一系列动作外，我们还需要找到充电线，插入手机，调好导航，播放音乐，才会挂挡走人。此时，如果你的车还拥有手机车载互联的话，那么不好意思，您还</t>
  </si>
  <si>
    <t>本田雅阁和丰田凯美瑞哪个档次高？车主：月收入6000养得起吗？说到本田雅阁和凯美瑞一直以来都有着比较高的口碑，也是日系B级车里的代表车型，两款的档次高低基本是同一水平，只是凯美瑞在后期的保值率方面比雅阁更高，所以给人的档次感更强，在养车费用上，其实存在了不小的差异，接下来我们就将雅阁和凯美瑞的养车费</t>
  </si>
  <si>
    <t>2020/02/12 09:38:00</t>
  </si>
  <si>
    <t>购车前记得先算账 年入多少才能负担得起一台奥迪A6L呢如今越来越多的消费者选择购买一台豪华品牌车型，但是目前国内消费者的整体收入水平还没有达到多数人能够轻松负担得起一台豪华车型的水准，更何况，养车本身也是一个不小的数字，所以大多数人在买这类豪华车型之前都要先算一下自己是否能买得起这台车。今天我们就以</t>
  </si>
  <si>
    <t>说到本田雅阁和凯美瑞一直以来都有着比较高的口碑，也是日系B级车里的代表车型，两款的档次高低基本是同一水平，只是凯美瑞在后期的保值率方面比雅阁更高，所以给人的档次感更强，在养车费用上，其实存在了不小的差异，接下来我们就将雅阁和凯美瑞的养车费用进行对比，部分车主表示月收入6000养得起吗？关于雅阁和凯美</t>
  </si>
  <si>
    <t>自从特斯拉将在国内建厂的消息传出以来，广大消费者最期待的事莫过于国产后的新车价格，尤其是入门的Model 3，此前有报道称美国地区的起售价仅需折合人民币23万元出头，国产后按理来说应该相差不大，但现实给了国内消费者当头一棒，在首辆国产Model 3下线之际，特斯拉宣布新车的售价将调整为35.58万元</t>
  </si>
  <si>
    <t>2020/02/12 09:37:00</t>
  </si>
  <si>
    <t>用车小知识，你的车是不是也有这种情况这是车门的玻璃外挡水条，时间久了就储存了大量的灰尘，细沙子，有的会造成玻璃划伤，升降玻璃异响的情况，一定要及时清理吧，几张照片前后对比效果很明显，希望对大家有帮助吧。</t>
  </si>
  <si>
    <t>国产Model 3官降5万 造车新势力们招架的住吗自从特斯拉将在国内建厂的消息传出以来，广大消费者最期待的事莫过于国产后的新车价格，尤其是入门的Model 3，此前有报道称美国地区的起售价仅需折合人民币23万元出头，国产后按理来说应该相差不大，但现实给了国内消费者当头一棒，在首辆国产Model 3下</t>
  </si>
  <si>
    <t>中国式养车“3大怪象”，维修工分析针针见血，穷人的惯性思维对于每个国家来说，汽车文化都出现一定不同，尤其是在维修和保养上，产生了较大的区别。特别是国内的车主，由于汽车价位的高低不同，关于汽车保养都有自己的想法。但有的是无稽之谈，根本没有这个必要。中国式养车“3大怪象”，维修工分析针针见血，穷人的惯性</t>
  </si>
  <si>
    <t>梅赛德斯-奔驰2020年将在国内市场至少推出18款新车，包括全新gla、全新cla、全新cla猎装版、中期改款e级、全新gle coupe、全新gle插电混动以及迈巴赫gls等车型。其中中期改款e级将率先在3月5日开幕的日内瓦车展上首发亮相，国产e级长轴距车型也将在年内正式上市。    中期改款e级</t>
  </si>
  <si>
    <t>对于每个国家来说，汽车文化都出现一定不同，尤其是在维修和保养上，产生了较大的区别。特别是国内的车主，由于汽车价位的高低不同，关于汽车保养都有自己的想法。但有的是无稽之谈，根本没有这个必要。中国式养车“3大怪象”，维修工分析针针见血，穷人的惯性思维第一，频繁更换机油保养对车辆起到积极作用，定期更换机油</t>
  </si>
  <si>
    <t>这是车门的玻璃外挡水条，时间久了就储存了大量的灰尘，细沙子，有的会造成玻璃划伤，升降玻璃异响的情况，一定要及时清理吧，几张照片前后对比效果很明显，希望对大家有帮助吧。</t>
  </si>
  <si>
    <t>　　梅赛德斯-奔驰2020年将在国内市场至少推出18款新车，包括全新gla、全新cla、全新cla猎装版、中期改款e级、全新gle coupe、全新gle插电混动以及迈巴赫gls等车型。其中中期改款e级将率先在3月5日开幕的日内瓦车展上首发亮相，国产e级长轴距车型也将在年内正式上市。　　中期改款e级</t>
  </si>
  <si>
    <t>动图警示|应急车道不是要命车道绝大部分驾驶人都知道随意占用应急车道是违法的，但仍有人明知不可为而为之。实际上，在应急车道行驶或停车的危险，远远大于正常车道行驶，每一次侥幸都在不断的累积成最终的不幸</t>
  </si>
  <si>
    <t>2020/02/12 09:36:00</t>
  </si>
  <si>
    <t>车上 .一键启动.功能很多的汽车配置越来越高，而且变得智能化，为了满足车主的需求，设计了很多实用功能。一键启动功能，基本已经完成普及，无论是高配还是低配，都能看到它的身影。车上“一键启动”功能很多，车主只是用来打火，实在太浪费了！不启动发动机，打开车内供电 为了保护电池，通常车子都会有这个设置，在熄</t>
  </si>
  <si>
    <t>新车没上市就推升级版 丰田2020版全新汉兰达 XSE车型详细介绍汉兰达是丰田旗下的明星车款，在中国市场上销售的十年里经常发生一车难求的状况就可见其火爆程度，即便是临近换代，国内版本的汉兰达优惠程度也几乎是0。2019年年末丰田在北美毫无预兆的发布了全新换代的汉兰达，我相信很多国内的朋友也在等待新车</t>
  </si>
  <si>
    <t>汽车配置越来越高，而且变得智能化，为了满足车主的需求，设计了很多实用功能。一键启动功能，基本已经完成普及，无论是高配还是低配，都能看到它的身影。车上“一键启动”功能很多，车主只是用来打火，实在太浪费了！不启动发动机，打开车内供电 为了保护电池，通常车子都会有这个设置，在熄火10分钟之后，断掉所有的电</t>
  </si>
  <si>
    <t>绝大部分驾驶人都知道随意占用应急车道是违法的，但仍有人明知不可为而为之。实际上，在应急车道行驶或停车的危险，远远大于正常车道行驶，每一次侥幸都在不断的累积成最终的不幸</t>
  </si>
  <si>
    <t>汉兰达是丰田旗下的明星车款，在中国市场上销售的十年里经常发生一车难求的状况就可见其火爆程度，即便是临近换代，国内版本的汉兰达优惠程度也几乎是0。2019年年末丰田在北美毫无预兆的发布了全新换代的汉兰达，我相信很多国内的朋友也在等待新车国产，今天的文章就来讲一讲全新汉兰达XSE。首先要说的是，我们已经</t>
  </si>
  <si>
    <t>没有这几个配置的车都是耍流氓，再便宜也不能买说到安全配置，大家都会想到哪些呢？气囊？安全带？安全配置可不仅仅只有这些，还有主动安全配置，比如ABS防抱死系统、ESP车身电子稳定系统，还有自动驻车、并线辅助等等，都会对行车安全产生很大的影响。下面小编就介绍几种实用性高的配置，即便加钱也不能缺少。日间行</t>
  </si>
  <si>
    <t>2020/02/12 09:35:00</t>
  </si>
  <si>
    <t>奇瑞的车要卖到美国了 但是用的不是奇瑞标最近有消息爆出，奇瑞的高端品牌星途要出口卖到美国了。首款车型是TXL.，但是用的不是奇瑞星途的标而是Vantas品牌的标，最初计划是在美国组装生产，之后会在美国直接生产。预计在美国上市时间是2021末或者2022年出。在北美的销售网络以及经销商体系建设正在进行</t>
  </si>
  <si>
    <t>对于乘用化皮卡的定义，不同需求的用户群体有不同的理解。伴随着国内用户对皮卡车使用范围的扩大，国产皮卡行业发生了翻天覆地的变革。近几年来，为满足用户的多样的需求，层出不穷的新产品搭载了最新技术的动力，配备了先进的科技化配置，家用化特征愈发明显。    2020年2月份，举国上下都面临着新冠肺炎病毒巨大</t>
  </si>
  <si>
    <t>　　对于乘用化皮卡的定义，不同需求的用户群体有不同的理解。伴随着国内用户对皮卡车使用范围的扩大，国产皮卡行业发生了翻天覆地的变革。近几年来，为满足用户的多样的需求，层出不穷的新产品搭载了最新技术的动力，配备了先进的科技化配置，家用化特征愈发明显。　　2020年2月份，举国上下都面临着新冠肺炎病毒巨大</t>
  </si>
  <si>
    <t>最近有消息爆出，奇瑞的高端品牌星途要出口卖到美国了。首款车型是TXL.，但是用的不是奇瑞星途的标而是Vantas品牌的标，最初计划是在美国组装生产，之后会在美国直接生产。预计在美国上市时间是2021末或者2022年出。在北美的销售网络以及经销商体系建设正在进行中。如果真的星途在美国开始销售的话，业内</t>
  </si>
  <si>
    <t>汽车上滴LSD是什么意思？你知道吗？让我们来一起看下吧LSD为限滑差速器的简称，英文名为Limited Slip Differential。限滑差速器，顾名思义就是限制车轮滑动的一种改进型差速器，指两侧驱动轮转速差值被允许在一定范围内，以保证正常的转弯等行驶性能的类差速器。LSD限滑差速器，在“适时</t>
  </si>
  <si>
    <t>2020/02/12 09:34:00</t>
  </si>
  <si>
    <t>LSD为限滑差速器的简称，英文名为Limited Slip Differential。限滑差速器，顾名思义就是限制车轮滑动的一种改进型差速器，指两侧驱动轮转速差值被允许在一定范围内，以保证正常的转弯等行驶性能的类差速器。LSD限滑差速器，在“适时四驱”上使用多一些，适时四驱的动力输出途径是发动机动力</t>
  </si>
  <si>
    <t>就算是全新的蒙迪欧来了 福特也难翻身百年福特，拥有与奔驰同样的历史厚重感，但是如今的命运截然不同，奔驰依然是世界知名的豪华车企，为BBA之首，而福特却在全球市场出现溃败，关厂、裁员的新闻屡见不鲜，连全球第一大汽车消费市场的中国市场也是处境困难步步倒退。根据福特的最新数据显示，2019年福特在中国市场</t>
  </si>
  <si>
    <t>2020/02/12 09:33:00</t>
  </si>
  <si>
    <t>受特殊项目（柴油门、反垄断）支出影响，2019年豪华车巨头戴姆勒、宝马分别于第二季度、第一季度出现近10年来首次单季度亏损，如此也影响到两者全年的业绩表现。    日前戴姆勒发布了2019年财报业绩，集团全年销量略降1万辆至334万辆，不过最重要的业务来源梅赛德斯-奔驰乘用车业务保持增长，创下2,3</t>
  </si>
  <si>
    <t>百年福特，拥有与奔驰同样的历史厚重感，但是如今的命运截然不同，奔驰依然是世界知名的豪华车企，为BBA之首，而福特却在全球市场出现溃败，关厂、裁员的新闻屡见不鲜，连全球第一大汽车消费市场的中国市场也是处境困难步步倒退。根据福特的最新数据显示，2019年福特在中国市场的全年累计销量为183987辆，同比</t>
  </si>
  <si>
    <t>　　受特殊项目（柴油门、反垄断）支出影响，2019年豪华车巨头戴姆勒、宝马分别于第二季度、第一季度出现近10年来首次单季度亏损，如此也影响到两者全年的业绩表现。　　日前戴姆勒发布了2019年财报业绩，集团全年销量略降1万辆至334万辆，不过最重要的业务来源梅赛德斯-奔驰乘用车业务保持增长，创下2,3</t>
  </si>
  <si>
    <t>我来告诉你 我们为什么造不出飞度这样的神车知乎上曾经有这样一个提问：飞度这么小，配置这么简单，为什么我们造不出来这样的神车？发问者看到了最表面的配置以及价格优势，但却没有从设计、生产、研发以及定位上看到产品背后的根本问题。我们需要了解的是，售价以及配置表现永远是浮在最表面，让外行中的外行都能一眼看出</t>
  </si>
  <si>
    <t>2020/02/12 09:32:00</t>
  </si>
  <si>
    <t>知乎上曾经有这样一个提问：飞度这么小，配置这么简单，为什么我们造不出来这样的神车？发问者看到了最表面的配置以及价格优势，但却没有从设计、生产、研发以及定位上看到产品背后的根本问题。我们需要了解的是，售价以及配置表现永远是浮在最表面，让外行中的外行都能一眼看出优劣的表现力。飞度8-11万的售价并不高，</t>
  </si>
  <si>
    <t>好看但不一定好用的大众 大众CC旅行版谍照曝光自2016年12月以来，大众集团就一直在讨论推出新一代CC旅行版的市场前景。而在一个多月以前，大众CC旅行版的生产线谍照在国内得以曝光，也直接印证了新车推出的可能。从严格意义上来讲，基于大众CC这款四门跑车打造而来的旅行版车型，也可以看作是Shootin</t>
  </si>
  <si>
    <t>2020/02/12 09:31:00</t>
  </si>
  <si>
    <t>　　上汽大众的很多产品都能在北美市场找到“孪生兄弟”，一般来说新车型在北美市场上发布之后，过不了多久就从位于上海安亭、仪征、宁波等地的上汽大众工厂里国产下线了，而下一款我们可以期待的“从美国来的正宗德国车”，是前两天在芝加哥车展上发布的新款大众atlas，它的国产版车型大家肯定都很熟悉：上汽大众途昂</t>
  </si>
  <si>
    <t>自2016年12月以来，大众集团就一直在讨论推出新一代CC旅行版的市场前景。而在一个多月以前，大众CC旅行版的生产线谍照在国内得以曝光，也直接印证了新车推出的可能。从严格意义上来讲，基于大众CC这款四门跑车打造而来的旅行版车型，也可以看作是Shooting Brake车型的一类演变——就像跑车从两门</t>
  </si>
  <si>
    <t>　　斯巴鲁力狮2004年便进入国内，以进口的形式销售至今。近日，有媒体获取了一组全新一代力狮国内外观专利图，外观相较现款车型更加精致运动。参考海外版本，新车不仅车身加长，还新增全新2.4t涡轮增压发动机，动力表现更加优秀，但该机型是否能够进入国内并不确定。根据斯巴鲁在华规划，今年不会推出全新产品，预</t>
  </si>
  <si>
    <t>2020/02/12 09:29:00</t>
  </si>
  <si>
    <t>斯巴鲁力狮2004年便进入国内，以进口的形式销售至今。近日，有媒体获取了一组全新一代力狮国内外观专利图，外观相较现款车型更加精致运动。参考海外版本，新车不仅车身加长，还新增全新2.4t涡轮增压发动机，动力表现更加优秀，但该机型是否能够进入国内并不确定。根据斯巴鲁在华规划，今年不会推出全新产品，预计全</t>
  </si>
  <si>
    <t>　　近日，据外媒报道，waymo最近开发出了一个名为“内容搜索（content search）”的ai工具。利用该“内容搜索”工具，自动驾驶汽车可以快速地将摄像头传感器识别出的物体与大数据集进行比对，提高了自动驾驶汽车的实时决策。　　为开展自动驾驶技术的研发，工程师通常会建立庞大的数据集，包含了自动</t>
  </si>
  <si>
    <t>2020/02/12 09:27:00</t>
  </si>
  <si>
    <t>近日，据外媒报道，waymo最近开发出了一个名为“内容搜索（content search）”的ai工具。利用该“内容搜索”工具，自动驾驶汽车可以快速地将摄像头传感器识别出的物体与大数据集进行比对，提高了自动驾驶汽车的实时决策。    为开展自动驾驶技术的研发，工程师通常会建立庞大的数据集，包含了自动</t>
  </si>
  <si>
    <t>北方人开车不知道谁穷 南方人开车不知道谁有钱中国地域辽阔，文化差异较大，其中也包括使用车辆的差异。网上就有这样的一个说法，北方人开车不知道谁穷，南方人开车不知道谁有钱，为啥这么说呢？今天我们就一起探讨一下这个问题。   第1，历史的原因，很多的事情都是历史遗留的问题，在改革开放之初，国内的汽车生产制</t>
  </si>
  <si>
    <t>　　2月11日，戴姆勒集团发布2019年业绩财报。数据显示，2019年全年，戴姆勒集团营业额为1727亿欧元（约合人民币13149亿元），同比增长3%；全年息税前利润为43亿欧元（约合人民币327亿元），同比下滑60.4%。　　2019年，戴姆勒集团净利润为27亿欧元（约合人民币205亿元），同比2</t>
  </si>
  <si>
    <t>2020/02/12 09:26:00</t>
  </si>
  <si>
    <t>2月11日，戴姆勒集团发布2019年业绩财报。数据显示，2019年全年，戴姆勒集团营业额为1727亿欧元（约合人民币13149亿元），同比增长3%；全年息税前利润为43亿欧元（约合人民币327亿元），同比下滑60.4%。    2019年，戴姆勒集团净利润为27亿欧元（约合人民币205亿元），同比2</t>
  </si>
  <si>
    <t>“买车容易养车难”还没买车的看好了"买车容易养车难"，相信不少车主对这句话都有着深刻理解，购买了汽车之后，每年在汽车方面的投入与花销都是一笔不小的数字，除去日常使用产生的油费、路费以及停车费，每相隔半年还需要对爱车进行至少两次保养，相对昂贵的保养价格无形中给车主增加了一定的使用负担。 保养价格之所以</t>
  </si>
  <si>
    <t>　　日前，据外媒报道，保时捷taycan turbo版本车型已经获得美国环境保护署（epa）续航里程等级，但其结果有些不尽如人意。在epa标准下，保时捷taycan turbo的续航里程仅为201英里（约合323公里）。相比之下，特斯拉model 3的续航里程则达到了325英里（约合523公里）。保</t>
  </si>
  <si>
    <t>2020/02/12 09:25:00</t>
  </si>
  <si>
    <t>日前，据外媒报道，保时捷taycan turbo版本车型已经获得美国环境保护署（epa）续航里程等级，但其结果有些不尽如人意。在epa标准下，保时捷taycan turbo的续航里程仅为201英里（约合323公里）。相比之下，特斯拉model 3的续航里程则达到了325英里（约合523公里）。保时捷</t>
  </si>
  <si>
    <t>2020/02/12 09:24:00</t>
  </si>
  <si>
    <t>倒车雷达”与“倒车影像”哪个好？内行人：老司机会选择它倒车是每个司机都需要必备的技能，应该没有多少人敢保证，自己在开车的时候不需要倒车吧？其实很多的司机对于倒车并不是很熟悉，毕竟这对于我们的方向感还要驾驶技术是有一定的挑战性的。很多人在倒车的时候，为了更为安全和便捷，所以就会借助一些外在的工具，在现</t>
  </si>
  <si>
    <t>投诉编号：【446942】  投诉时间： 2020-02-12 09:23  投诉品牌： 广汽本田  投诉车系： 飞度  投诉车型： 2014款 1.5L CVT SE时尚型        投诉内容  其实开了三年多一点就发现冬天早上启动车子的一刹那存在异响，一开始没在意，后来声音逐渐增大，了解下来</t>
  </si>
  <si>
    <t>2020/02/12 09:23:00</t>
  </si>
  <si>
    <t>开车前一定检查下 可能挽救一只或一窝小生命冬天来了，人们纵情于冰雪带来的视觉冲击，穿上厚厚的棉袄，带上暖和的手套，在冰雪天地里狂欢，对人类来讲冬天或许有着丝丝美丽，但对于流浪在冬季的猫咪，却是随时能够夺去生命的残酷季节，低温、食物、安身之所、人类的敌视、其他物种的威胁等，都能随时带走一个小生命，而有</t>
  </si>
  <si>
    <t>2020/02/12 09:22:00</t>
  </si>
  <si>
    <t>　　本田思域的热度不用我再过度赘述了。较高的改装潜力以及全面的舒适性表现，使其成为一位能文能武的多面手。如果预算不足，而且日常代步使用较多，并且需求动力以及实用性，那么本期的主角，本田思域180turbo cvt尚悦版车型，可能正好符合你的胃口。下面我们来看看，最低配的本田思域值不值得推荐。　　总结</t>
  </si>
  <si>
    <t>2020/02/12 09:21:00</t>
  </si>
  <si>
    <t>　　由摩托车而知名的日本品牌雅马哈日前开发测试了一款车用的永磁同步电机，这款电机最大功率为271马力（200千瓦）。据品牌方表示，该款电机除了会出售给定制oem合作伙伴之外，该电机中的技术还将应用到该品牌旗下的产品当中。　　实际上，雅马哈对汽车动力的研究由来已久，参与研发了不少燃油车的发动机，在电动</t>
  </si>
  <si>
    <t>2020/02/12 09:19:00</t>
  </si>
  <si>
    <t>由摩托车而知名的日本品牌雅马哈日前开发测试了一款车用的永磁同步电机，这款电机最大功率为271马力（200千瓦）。据品牌方表示，该款电机除了会出售给定制oem合作伙伴之外，该电机中的技术还将应用到该品牌旗下的产品当中。    实际上，雅马哈对汽车动力的研究由来已久，参与研发了不少燃油车的发动机，在电动</t>
  </si>
  <si>
    <t>　　新冠肺炎疫情袭来，不仅对国内汽车供应链带来影响，全球汽车市场也将引起连锁反应。继现代、起亚、雷诺子公司rsm以及日产汽车因中国零部件供应宣布本国工厂停产后，捷豹路虎也发出“警报”。日前，据外媒报道，捷豹路虎宣称，其中国以外的供应链可能会出现潜在的中断情况。　　财报显示，捷豹路虎2019/20财年</t>
  </si>
  <si>
    <t>2020/02/12 09:18:00</t>
  </si>
  <si>
    <t>看不上宝马X5？别着急，梅赛德斯-迈巴赫GLS要来了在豪华车型中，迈巴赫的地位是有目共睹的。它在发展过程中，有过一段时间停产，但是相比较起来它曾经的辉煌，它的地位还是无法被替代的。如今迈巴赫借助着奔驰的力量，将自己的潜能发挥出来。即使是在火爆的SUV领域，迈巴赫的表现也不弱。迈巴赫的首款SUV将和大</t>
  </si>
  <si>
    <t>显示器漂移</t>
  </si>
  <si>
    <t>在豪华车型中，迈巴赫的地位是有目共睹的。它在发展过程中，有过一段时间停产，但是相比较起来它曾经的辉煌，它的地位还是无法被替代的。如今迈巴赫借助着奔驰的力量，将自己的潜能发挥出来。即使是在火爆的SUV领域，迈巴赫的表现也不弱。迈巴赫的首款SUV将和大家见面，预计到时候会给大家带来更多的惊喜。新车背景：</t>
  </si>
  <si>
    <t>新冠肺炎疫情袭来，不仅对国内汽车供应链带来影响，全球汽车市场也将引起连锁反应。继现代、起亚、雷诺子公司rsm以及日产汽车因中国零部件供应宣布本国工厂停产后，捷豹路虎也发出“警报”。日前，据外媒报道，捷豹路虎宣称，其中国以外的供应链可能会出现潜在的中断情况。    财报显示，捷豹路虎2019/20财年</t>
  </si>
  <si>
    <t>　　日前，有媒体从相关渠道获悉，为了尽早战胜新型冠状病毒肺炎，截止至2020年2月10日16点，哪吒汽车已向全国各地“新型冠状病毒感染的肺炎疫情防控应急指挥部”提供共计111辆的应急用车。哪吒n01　　官方消息称，在已经提供的111辆应急车辆中，宜春市本级20辆、明月山管委会12辆、经开区管委会19</t>
  </si>
  <si>
    <t>2020/02/12 09:17:00</t>
  </si>
  <si>
    <t>全新丰田YARiS日本售价公布 折合8.85万人民币起售今年可以说是日系小型车爆发的年份，在2019年10月的东京车展上，本田全新一代飞度和丰田全新YARiS都正式亮相，两个竞争对手同时换代也意味着在今年国内的小型车市场上将会有一场激烈的较量。广汽本田方面已经表示全新一代飞度车型将会在今年正式引入国</t>
  </si>
  <si>
    <t>今年可以说是日系小型车爆发的年份，在2019年10月的东京车展上，本田全新一代飞度和丰田全新YARiS都正式亮相，两个竞争对手同时换代也意味着在今年国内的小型车市场上将会有一场激烈的较量。广汽本田方面已经表示全新一代飞度车型将会在今年正式引入国内，而在这样的情况下，广汽丰田没有不在今年引入全新YAR</t>
  </si>
  <si>
    <t>日前，有媒体从相关渠道获悉，为了尽早战胜新型冠状病毒肺炎，截止至2020年2月10日16点，哪吒汽车已向全国各地“新型冠状病毒感染的肺炎疫情防控应急指挥部”提供共计111辆的应急用车。哪吒n01    官方消息称，在已经提供的111辆应急车辆中，宜春市本级20辆、明月山管委会12辆、经开区管委会19</t>
  </si>
  <si>
    <t>　　日前，比亚迪汽车公布了其1月销量数据。数据显示，比亚迪1月销售新车2.5万辆，相比2019年同期下滑42.1%。不过，巨幅下滑主要是由于2020年的春节假期位于1月内，导致1月实际销售天数相比去年同期缩水至少四分之一所带来的。对于1月的销量下滑，各家车企均早有预计。　　比亚迪1月新能源汽车销量的</t>
  </si>
  <si>
    <t>2020/02/12 09:16:00</t>
  </si>
  <si>
    <t>十代索纳塔来了，前所未有的科技感，若还定16万恐不愁销熟悉韩系车的朋友应该知道，索纳塔是现代旗下的中型轿车，在索纳塔刚刚问世的时候，销量是非常出色的，可以说是同级别车系中主力军，在销量和口碑上都有不错的表现，目前索纳塔已经经过了多次的换新升级，如今又将迎来新的换新升级，那就是十代索纳塔。新车背景：目</t>
  </si>
  <si>
    <t>熟悉韩系车的朋友应该知道，索纳塔是现代旗下的中型轿车，在索纳塔刚刚问世的时候，销量是非常出色的，可以说是同级别车系中主力军，在销量和口碑上都有不错的表现，目前索纳塔已经经过了多次的换新升级，如今又将迎来新的换新升级，那就是十代索纳塔。新车背景：目前全新第十代索纳塔已经在2020年芝加哥车展中亮相，它</t>
  </si>
  <si>
    <t>日前，比亚迪汽车公布了其1月销量数据。数据显示，比亚迪1月销售新车2.5万辆，相比2019年同期下滑42.1%。不过，巨幅下滑主要是由于2020年的春节假期位于1月内，导致1月实际销售天数相比去年同期缩水至少四分之一所带来的。对于1月的销量下滑，各家车企均早有预计。    比亚迪1月新能源汽车销量的</t>
  </si>
  <si>
    <t>北汽昌河q25蓝牙闪断北汽昌河q25蓝牙闪断</t>
  </si>
  <si>
    <t>张abcd</t>
  </si>
  <si>
    <t>2020/02/12 09:15:00</t>
  </si>
  <si>
    <t xml:space="preserve">投诉编号：【446941】  投诉时间： 2020-02-12 09:14  投诉品牌： 上汽通用五菱  投诉车系： 五菱宏光S3  投诉车型： 2018款 1.5L 手动 舒适型 国V        投诉内容  上汽通用五菱宏光S3的4S店续保押金一直推脱不退，要求厂家尽快解决好车辆的问题。   </t>
  </si>
  <si>
    <t>2020/02/12 09:14:00</t>
  </si>
  <si>
    <t>采用更加动感的设计元素 路虎揽胜运动版测试谍照近日，外媒曝光了一组全新一代路虎揽胜运动版的测试谍照，从谍照中可以看出新车在细节上有了不小的变化，这也代表它将采用路虎全新一代设计语言，让我们期待吧！从外观来看前格栅尺寸变得更大，而左右两侧LED大灯组则更加扁平，虽然还保留着现款车型的大致特点，但这种大</t>
  </si>
  <si>
    <t>30多万买7座奔驰GLB？倒不如考虑这三款！作为奔驰在2019年推出的豪华紧凑型SUV，奔驰GLB自上市以来就获得了较大的关注，硬派越野的外观、豪华的内饰、一体式双屏设计、7座的布局，再加上奔驰的大标，这些亮点让奔驰GLB吸引了不少消费者的目光。但如果你不是对奔驰这个品牌情有独钟，同时对7座SUV又</t>
  </si>
  <si>
    <t>近日，外媒曝光了一组全新一代路虎揽胜运动版的测试谍照，从谍照中可以看出新车在细节上有了不小的变化，这也代表它将采用路虎全新一代设计语言，让我们期待吧！从外观来看前格栅尺寸变得更大，而左右两侧LED大灯组则更加扁平，虽然还保留着现款车型的大致特点，但这种大格栅配窄长灯组的做法有点星脉的那种视觉效果，所</t>
  </si>
  <si>
    <t>2月10日，沃尔沃汽车集团和吉利汽车控股有限公司宣布正在筹划将双方的业务进行整合。此次整合旨在促进双方深化合作，在技术研发、成本控制和财务上更加有效协同。在车市寒冬期的2019年，吉利和沃尔沃都取得了骄人的战果，本次的整合绝对能用“强强联合”来形容。    据透露，本次沃尔沃与吉利的整合将组建一个更</t>
  </si>
  <si>
    <t>　　2月10日，沃尔沃汽车集团和吉利汽车控股有限公司宣布正在筹划将双方的业务进行整合。此次整合旨在促进双方深化合作，在技术研发、成本控制和财务上更加有效协同。在车市寒冬期的2019年，吉利和沃尔沃都取得了骄人的战果，本次的整合绝对能用“强强联合”来形容。　　据透露，本次沃尔沃与吉利的整合将组建一个更</t>
  </si>
  <si>
    <t>作为奔驰在2019年推出的豪华紧凑型SUV，奔驰GLB自上市以来就获得了较大的关注，硬派越野的外观、豪华的内饰、一体式双屏设计、7座的布局，再加上奔驰的大标，这些亮点让奔驰GLB吸引了不少消费者的目光。但如果你不是对奔驰这个品牌情有独钟，同时对7座SUV又有硬性需求的话，30多万的预算大可考虑以下这</t>
  </si>
  <si>
    <t>2020年这堆新车，能让韩系品牌翻身为实力派吗？通过韩系品牌在2020年将要推出的一些车型，可以看出他们对市场充满了信心，在B级车、紧凑级车、中型SUV市场都能够看到“脱胎换骨”的全新一代车型。B级车两兄弟放眼全球品牌，B级车市场都是每一家车企的重中之重，下可覆盖家用产品，上可越级挑战行政级别产品。</t>
  </si>
  <si>
    <t>2020/02/12 09:13:00</t>
  </si>
  <si>
    <t>日前，蔚来汽车发布了其1月的销量表现。数据显示，当月蔚来品牌整体交付量达到1,598辆，同比下滑11.47%。考虑到1月春节假期和疫情的影响，蔚来汽车在1月的销量表现实际颇为不错。    对于1月的销量表现，蔚来汽车表示，在受到春节假期和疫情的影响下，今年1月仅有16个有效交付日，相比去年同期减少6</t>
  </si>
  <si>
    <t>　　日前，蔚来汽车发布了其1月的销量表现。数据显示，当月蔚来品牌整体交付量达到1,598辆，同比下滑11.47%。考虑到1月春节假期和疫情的影响，蔚来汽车在1月的销量表现实际颇为不错。　　对于1月的销量表现，蔚来汽车表示，在受到春节假期和疫情的影响下，今年1月仅有16个有效交付日，相比去年同期减少6</t>
  </si>
  <si>
    <t>通过韩系品牌在2020年将要推出的一些车型，可以看出他们对市场充满了信心，在B级车、紧凑级车、中型SUV市场都能够看到“脱胎换骨”的全新一代车型。B级车两兄弟放眼全球品牌，B级车市场都是每一家车企的重中之重，下可覆盖家用产品，上可越级挑战行政级别产品。想当年，现代索纳塔与起亚K5在国内道路的出镜率可</t>
  </si>
  <si>
    <t>2020年不容错过的纯电动新车因为疫情的关系，也许有很多消费者都暂时放弃了购车计划，但我相信车市会慢慢恢复，今年仍然有多款重磅纯电动新车值得期待。接下来，我们就为大家挑选出几款比较有代表性的纯电动新车，快来看看是否有你中意的车型。 Model Y Model Y定位中型SUV，最快于今年3月开始交付</t>
  </si>
  <si>
    <t>2020/02/12 09:12:00</t>
  </si>
  <si>
    <t>新增1.5T+48V轻混 2021款大众途观谍照曝光作为一款在国内畅销经久不衰的车型，大众途观某种程度算是创造了车圈里的奇迹。不过，新款大众途观L的安全性表现，并不是很好。近日，海外媒体发布了一组2021款全新途观的谍照，尽管美版途观和国内的加长版并不一样的，但至少样子可以做参考。从谍照来看，新车外</t>
  </si>
  <si>
    <t>因为疫情的关系，也许有很多消费者都暂时放弃了购车计划，但我相信车市会慢慢恢复，今年仍然有多款重磅纯电动新车值得期待。接下来，我们就为大家挑选出几款比较有代表性的纯电动新车，快来看看是否有你中意的车型。 Model Y Model Y定位中型SUV，最快于今年3月开始交付。Model Y还是典型的特斯</t>
  </si>
  <si>
    <t>目前国内大家最关心的话题，应该就是新型冠状病毒疫情的问题了。受此疫情影响，全国大部分行业都推迟了复工时间，日前丰田、华晨宝马、东风本田等车企也宣布复工时间推迟到2月17日。其实不止中国市场，全球市场的诸多车企也受到了波及，如日产汽车日前宣布，由于其全球供应链受疫情的影响，暂时停产位于日本国内西南部九</t>
  </si>
  <si>
    <t>　　目前国内大家最关心的话题，应该就是新型冠状病毒疫情的问题了。受此疫情影响，全国大部分行业都推迟了复工时间，日前丰田、华晨宝马、东风本田等车企也宣布复工时间推迟到2月17日。其实不止中国市场，全球市场的诸多车企也受到了波及，如日产汽车日前宣布，由于其全球供应链受疫情的影响，暂时停产位于日本国内西南</t>
  </si>
  <si>
    <t>作为一款在国内畅销经久不衰的车型，大众途观某种程度算是创造了车圈里的奇迹。不过，新款大众途观L的安全性表现，并不是很好。近日，海外媒体发布了一组2021款全新途观的谍照，尽管美版途观和国内的加长版并不一样的，但至少样子可以做参考。从谍照来看，新车外观使用的是国内的运动套件版本，两侧雾灯处的通风口装饰</t>
  </si>
  <si>
    <t>这次不改奥迪了？ 大众T系列ABT改装版奥迪的玩法有很多，除了直接购买S和RS系列之外，更多的年轻消费者更青睐购买ABT套件来突显它的个性，所以ABT与奥迪搭配是最多的，但这次不同，ABT却推出了了大众T系列改装车，让我们来看看吧！外观方面虽然保留了大众经典的家族化设计语言，但前包围却明显有改变，格</t>
  </si>
  <si>
    <t>2020/02/12 09:11:00</t>
  </si>
  <si>
    <t>近日，外媒曝光了一组由菲亚特发布的全新一代Strada车型预告图，全新的菲亚特Strada仍将基于家族Small MP1架构打造，只是针对外观和动力都进行了较大幅度升级。从外观上看，新车车身线条流畅，但比老款车型更加时尚，但货箱的占比却很小，比普通的皮卡要短很多。老款Strada老款Strada动力</t>
  </si>
  <si>
    <t>日前，有媒体获悉，蔚来推出了“医疗系统人员专属购车福利”，满足一定条件的人员在购买蔚来车辆时能享受车价5000元的立减优惠，截止时间为2020年12月31日。    该项福利中指出，全国医疗系统人员、医科院校老师及其直系家属均可享受此优惠，且对蔚来旗下所有在售车型均适用。此外，在抗击疫情方面，蔚来此</t>
  </si>
  <si>
    <t>　　日前，有媒体获悉，蔚来推出了“医疗系统人员专属购车福利”，满足一定条件的人员在购买蔚来车辆时能享受车价5000元的立减优惠，截止时间为2020年12月31日。　　该项福利中指出，全国医疗系统人员、医科院校老师及其直系家属均可享受此优惠，且对蔚来旗下所有在售车型均适用。此外，在抗击疫情方面，蔚来此</t>
  </si>
  <si>
    <t>奥迪的玩法有很多，除了直接购买S和RS系列之外，更多的年轻消费者更青睐购买ABT套件来突显它的个性，所以ABT与奥迪搭配是最多的，但这次不同，ABT却推出了了大众T系列改装车，让我们来看看吧！外观方面虽然保留了大众经典的家族化设计语言，但前包围却明显有改变，格栅下部镶嵌有ABT标志，前包围采用了专属</t>
  </si>
  <si>
    <t>搭1.3T发动机，全新菲亚特发布Strada预告图曝光近日，外媒曝光了一组由菲亚特发布的全新一代Strada车型预告图，全新的菲亚特Strada仍将基于家族Small MP1架构打造，只是针对外观和动力都进行了较大幅度升级。从外观上看，新车车身线条流畅，但比老款车型更加时尚，但货箱的占比却很小，比普</t>
  </si>
  <si>
    <t>投诉编号：【446940】投诉时间：2020-02-1209:10投诉品牌：知豆电动车投诉车系：知豆D2投诉车型：2017款D2S投诉内容车辆在行驶过程中受到轻微的磕碰，车辆就无法行驶，车辆自己停止了以后我想重启，但车辆无法熄火，还有车灯出现了故障，不亮了，我去4S店，一直没有配件。投诉回复车质网已</t>
  </si>
  <si>
    <t>2020/02/12 09:10:00</t>
  </si>
  <si>
    <t>日前我们获悉，根据银保监会办公厅《关于加强银行业保险业金融服务 配合做好新型冠状病毒感染的肺炎疫情防控工作的通知》要求，为做好新冠肺炎疫情防控期间车险服务工作，2月10日，银保监会财险部向各财产保险公司、中国保险行业协会、中国银行保险信息技术有限公司下发《关于做好新冠肺炎疫情防控期间车险服务有关工作</t>
  </si>
  <si>
    <t>投诉编号：【446939】  投诉时间： 2020-02-12 09:10  投诉品牌： 猎豹汽车  投诉车系： 猎豹CS10  投诉车型： 2015款 2.0T  手动 新锐版        投诉内容  刹车软刹不住车，发动机抖动动厉害，有时一挡挂不上，挂三挡抖动厉害，转向偶尔打不动方向盘，车体生</t>
  </si>
  <si>
    <t>　　日前我们获悉，根据银保监会办公厅《关于加强银行业保险业金融服务 配合做好新型冠状病毒感染的肺炎疫情防控工作的通知》要求，为做好新冠肺炎疫情防控期间车险服务工作，2月10日，银保监会财险部向各财产保险公司、中国保险行业协会、中国银行保险信息技术有限公司下发《关于做好新冠肺炎疫情防控期间车险服务有关</t>
  </si>
  <si>
    <t>　　面对新冠肺炎疫情，社会各界纷纷伸出了援助之手，这里不乏汽车企业的身影。继此前向湖北省捐赠500万现金及10万幅口罩后，东风日产于2月7日追加捐赠300万元现金，用于疫情期间的医护人员生活补贴及医疗用品，以及对病逝医护人员，病逝患者家属关怀慰问。　　除此之外，东风日产还于日前推出了保修、保养套餐延</t>
  </si>
  <si>
    <t>2020/02/12 09:05:00</t>
  </si>
  <si>
    <t>面对新冠肺炎疫情，社会各界纷纷伸出了援助之手，这里不乏汽车企业的身影。继此前向湖北省捐赠500万现金及10万幅口罩后，东风日产于2月7日追加捐赠300万元现金，用于疫情期间的医护人员生活补贴及医疗用品，以及对病逝医护人员，病逝患者家属关怀慰问。    除此之外，东风日产还于日前推出了保修、保养套餐延</t>
  </si>
  <si>
    <t>　　由于受到新型冠状病毒肺炎的影响，很多汽车经销商将复工时间向后延长。为了减轻线下销售的压力，同时还能为消费者提供更安全、更快捷的购车体验，广汇汽车将启动线上4s店服务。　　官方表示，疫情期间广汇汽车旗下50余个品牌、近800家4s店将把销售重点放在网络平台，以线上的形式进行营销。目前广汇汽车已经推</t>
  </si>
  <si>
    <t>2020/02/12 09:04:00</t>
  </si>
  <si>
    <t>由于受到新型冠状病毒肺炎的影响，很多汽车经销商将复工时间向后延长。为了减轻线下销售的压力，同时还能为消费者提供更安全、更快捷的购车体验，广汇汽车将启动线上4s店服务。    官方表示，疫情期间广汇汽车旗下50余个品牌、近800家4s店将把销售重点放在网络平台，以线上的形式进行营销。目前广汇汽车已经推</t>
  </si>
  <si>
    <t>　　新年伊始，中国的新型冠状病毒肺炎疫情成为牵动全中国乃至全球各行各业的“大事件”。由于疫情的影响，汽车产业链中的车企、零部件供应商、经销商等都受到波及，在推出相应应对措施的同时，车企以及零部件供应商们也都通过捐款捐物等形式支援抗击疫情的战斗。日前，德国零部件企业大陆集团宣布捐赠500万元人民币，用</t>
  </si>
  <si>
    <t>2020/02/12 09:03:00</t>
  </si>
  <si>
    <t>新年伊始，中国的新型冠状病毒肺炎疫情成为牵动全中国乃至全球各行各业的“大事件”。由于疫情的影响，汽车产业链中的车企、零部件供应商、经销商等都受到波及，在推出相应应对措施的同时，车企以及零部件供应商们也都通过捐款捐物等形式支援抗击疫情的战斗。日前，德国零部件企业大陆集团宣布捐赠500万元人民币，用于支</t>
  </si>
  <si>
    <t>　　宝马汽车日前宣布，华晨宝马530le里程升级版正式上市，该车最大的亮点是搭载了经过升级的第四代edrive系统，电池容量从老款的13kwh升级为17.7kwh，纯电续航里程由67km增加到了95km，售价区间保持不变，依然为49.99-53.69万元。　　顾名思义，530le里程升级版主要是在动</t>
  </si>
  <si>
    <t>2020/02/12 09:02:00</t>
  </si>
  <si>
    <t>宝马汽车日前宣布，华晨宝马530le里程升级版正式上市，该车最大的亮点是搭载了经过升级的第四代edrive系统，电池容量从老款的13kwh升级为17.7kwh，纯电续航里程由67km增加到了95km，售价区间保持不变，依然为49.99-53.69万元。    顾名思义，530le里程升级版主要是在动</t>
  </si>
  <si>
    <t>投诉编号：【446938】  投诉时间： 2020-02-12 09:01  投诉品牌： 长城汽车  投诉车系： 哈弗H9  投诉车型： 2017款 2.0T 四驱 豪华型 7座 汽油        投诉内容  你好我反应的是车子还在质保期，并且还购买了延保。车子发生严重烧机油，发动机损伤厂家拒保。</t>
  </si>
  <si>
    <t>2020/02/12 09:01:00</t>
  </si>
  <si>
    <t>　　日前，有媒体从相关渠道获悉，宝马i8极夜流星限量版（敞篷版车型）正式上市，售价为202.80万元。与普通的敞篷版车型相比，该限量版车型最大的不同在于配备了“极夜流星套装”，但动力部分依旧搭载由1.5t直列三缸汽油发动机和电动机组成的插电式混合动力系统。宝马i8 ultimate sophisto</t>
  </si>
  <si>
    <t>2020/02/12 08:58:00</t>
  </si>
  <si>
    <t xml:space="preserve">日前，有媒体从相关渠道获悉，宝马i8极夜流星限量版（敞篷版车型）正式上市，售价为202.80万元。与普通的敞篷版车型相比，该限量版车型最大的不同在于配备了“极夜流星套装”，但动力部分依旧搭载由1.5t直列三缸汽油发动机和电动机组成的插电式混合动力系统。宝马i8 ultimate sophisto  </t>
  </si>
  <si>
    <t>近日获悉，广汽丰田威兰达将于4月上市发售。作为全新rav4荣放的姐妹车型，威兰达基于tnga架构ga-k平台打造而来，提供2.0l燃油版及2.5l双擎版以供消费者选择，并配备三种四驱系统。此前，官方公布的预售区间为17-25万元，并且公布了四款豪华版车型的具体预售价格。    威兰达基于tnga架构</t>
  </si>
  <si>
    <t>2020/02/12 08:53:00</t>
  </si>
  <si>
    <t>　　近日获悉，广汽丰田威兰达将于4月上市发售。作为全新rav4荣放的姐妹车型，威兰达基于tnga架构ga-k平台打造而来，提供2.0l燃油版及2.5l双擎版以供消费者选择，并配备三种四驱系统。此前，官方公布的预售区间为17-25万元，并且公布了四款豪华版车型的具体预售价格。　　威兰达基于tnga架构</t>
  </si>
  <si>
    <t>　　此前，保时捷曾透露将在2020年日内瓦车展上正式推出全新一代911 Turbo车型。而就在近日，有海外媒体又曝光了一组全新一代911 Targa GTS车型的测试谍照，谍照中的测试车没有任何伪装，看来911家族车型基本都已做好了换代准备。　　外观方面，测试车在前脸部分采用了全新一代911的标准造</t>
  </si>
  <si>
    <t>2020/02/12 08:51:00</t>
  </si>
  <si>
    <t>此前，保时捷曾透露将在2020年日内瓦车展上正式推出全新一代911 Turbo车型。而就在近日，有海外媒体又曝光了一组全新一代911 Targa GTS车型的测试谍照，谍照中的测试车没有任何伪装，看来911家族车型基本都已做好了换代准备。    外观方面，测试车在前脸部分采用了全新一代911的标准造</t>
  </si>
  <si>
    <t>日前新宝骏rs-7的内饰谍照曝光，新车中控台采用连体式双屏，配合黑米双色饰板和平底多功能方向盘以及电子挡把等，看起来时尚感十足。    申报信息    1、车身尺寸    新宝骏rs-7定义为中大型suv车型，车身长宽高尺寸为：4930*1975*1765/1775mm，轴距为2900mm，前轮距:</t>
  </si>
  <si>
    <t>2020/02/12 08:49:00</t>
  </si>
  <si>
    <t>　　日前新宝骏rs-7的内饰谍照曝光，新车中控台采用连体式双屏，配合黑米双色饰板和平底多功能方向盘以及电子挡把等，看起来时尚感十足。　　申报信息　　1、车身尺寸　　新宝骏rs-7定义为中大型suv车型，车身长宽高尺寸为：4930*1975*1765/1775mm，轴距为2900mm，前轮距:1694</t>
  </si>
  <si>
    <t>前日，凯迪拉克正式发布了全新一代凯雷德（escalade 2021款）车型{传送门}。新车的诸多亮眼设计和配备让很多网易赞不绝口，而就在当天，凯迪拉克官网已经上架“长轴版车型配置器”，可以看到长轴版车型（全新一代凯雷德esv）的真身和具体参数；新车的长度达到惊人的5766mm，轴距达到3407mm。</t>
  </si>
  <si>
    <t>2020/02/12 08:48:00</t>
  </si>
  <si>
    <t>　　前日，凯迪拉克正式发布了全新一代凯雷德（escalade 2021款）车型{传送门}。新车的诸多亮眼设计和配备让很多网易赞不绝口，而就在当天，凯迪拉克官网已经上架“长轴版车型配置器”，可以看到长轴版车型（全新一代凯雷德esv）的真身和具体参数；新车的长度达到惊人的5766mm，轴距达到3407m</t>
  </si>
  <si>
    <t>日前，有海外媒体称，大众将推出一款纯电动车型——ID.5，新车定位中型车，或将取代帕萨特车型。此外，在2019洛杉矶车展上，大众亮相的概念车ID.Space Vizzion或预示了ID.5的设计方向。    大众ID.5是基于MEB平台打造的全新车型，根据此前发布的ID.3和ID.4来看，新车将定位</t>
  </si>
  <si>
    <t>2020/02/12 08:46:00</t>
  </si>
  <si>
    <t>汽车保养现在已经非常容易了，只需要在客户休息室休息，静静等待汽车保养就好了，或者自己动手保养只需要简单的换个机油。事实上汽车保养有非常多额外的保养项目，这几个地方车主应当分外的谨慎，不仅关系到驾车的安全，也影响了汽车的故障概率。    机油油位    许多汽车发动机多多少少都有些烧机油，这也必须让车</t>
  </si>
  <si>
    <t>　　汽车保养现在已经非常容易了，只需要在客户休息室休息，静静等待汽车保养就好了，或者自己动手保养只需要简单的换个机油。事实上汽车保养有非常多额外的保养项目，这几个地方车主应当分外的谨慎，不仅关系到驾车的安全，也影响了汽车的故障概率。　　机油油位　　许多汽车发动机多多少少都有些烧机油，这也必须让车主常</t>
  </si>
  <si>
    <t>投诉编号：【446935】投诉时间：2020-02-1208:44投诉品牌：奇瑞汽车投诉车系：瑞虎8投诉车型：2019款1.6TGDI自动豪华型投诉内容LED大灯照射角度小，两边不开阔，盲区大，晚上转弯看不见路，影响行车安全。投诉回复车质网已将您的投诉转给生产企业以及国家市场监督管理总局缺陷产品管理</t>
  </si>
  <si>
    <t>2020/02/12 08:44:00</t>
  </si>
  <si>
    <t>近日，福特官方发布了旗下全新探险者xlt运动版车型的图片，根据图中信息，运动版车型整体风格和xlt版本差别不大，仅在外观内饰配色方面做出了微调。动力方面则和普通版本保持一致，搭载一台2.3t l4发动机或一台3.0t v6发动机。    外观方面，新车对于普通xlt版本车型的前进气格栅和保险杠下护板</t>
  </si>
  <si>
    <t>　　近日，福特官方发布了旗下全新探险者xlt运动版车型的图片，根据图中信息，运动版车型整体风格和xlt版本差别不大，仅在外观内饰配色方面做出了微调。动力方面则和普通版本保持一致，搭载一台2.3t l4发动机或一台3.0t v6发动机。　　外观方面，新车对于普通xlt版本车型的前进气格栅和保险杠下护板</t>
  </si>
  <si>
    <t>近日，雪佛兰科尔维特c8在肯塔基州的鲍灵格林工厂投产，新车预计本月下旬或者三月初交付，基础版起售价59995美元，并且今年在美国的约40000辆配额已全部售罄。该车原定于2019年12月投入量产，由于受美国汽车工人的罢工影响，不得不推迟了量产计划。    由于从c7的前置后驱变为c8的中置后驱布局，</t>
  </si>
  <si>
    <t>2020/02/12 08:41:00</t>
  </si>
  <si>
    <t>　　近日，雪佛兰科尔维特c8在肯塔基州的鲍灵格林工厂投产，新车预计本月下旬或者三月初交付，基础版起售价59995美元，并且今年在美国的约40000辆配额已全部售罄。该车原定于2019年12月投入量产，由于受美国汽车工人的罢工影响，不得不推迟了量产计划。　　由于从c7的前置后驱变为c8的中置后驱布局，</t>
  </si>
  <si>
    <t>近日，道奇官方公布了旗下新款durango srt的车型图，并宣布其将于2020年美国芝加哥车展上正式亮相，而据相关知情人士透露，该车型更为强劲的hellcat改装版本将于两个月后的纽约车展上正式发布。    值得注意的是，道奇在近期发布的一部预告片中出现了hellcat车型徽标的特写镜头，从另一方</t>
  </si>
  <si>
    <t>2020/02/12 08:40:00</t>
  </si>
  <si>
    <t>　　近日，道奇官方公布了旗下新款durango srt的车型图，并宣布其将于2020年美国芝加哥车展上正式亮相，而据相关知情人士透露，该车型更为强劲的hellcat改装版本将于两个月后的纽约车展上正式发布。　　值得注意的是，道奇在近期发布的一部预告片中出现了hellcat车型徽标的特写镜头，从另一方</t>
  </si>
  <si>
    <t>投诉编号：【446934】  投诉时间： 2020-02-12 08:39  投诉品牌： 知豆电动车  投诉车系： 知豆D2  投诉车型： 2015款 D2        投诉内容  2019年11月份车辆充满电最多行驶40公里就无法再行驶，经济南特约维修店检测属于电池包损坏，维修人员说是电池包在保</t>
  </si>
  <si>
    <t>2020/02/12 08:39:00</t>
  </si>
  <si>
    <t>日前，长安uni-t的设计图曝光，由于此前实车官图和申报图已经发布，因此对比来看这他全新紧凑型suv在设计方面还是基本延续设计图的风格，强调特立独行并透着浓浓的轿跑范儿。    外观信息    1.无边界设计前格栅    在家族设计基础上进化出全新的设计语言，通过独特的设计理念，突显了uni-t的未</t>
  </si>
  <si>
    <t>2020/02/12 08:38:00</t>
  </si>
  <si>
    <t>　　日前，长安uni-t的设计图曝光，由于此前实车官图和申报图已经发布，因此对比来看这他全新紧凑型suv在设计方面还是基本延续设计图的风格，强调特立独行并透着浓浓的轿跑范儿。　　外观信息　　1.无边界设计前格栅　　在家族设计基础上进化出全新的设计语言，通过独特的设计理念，突显了uni-t的未来科技感</t>
  </si>
  <si>
    <t>2020年芝加哥车展开幕，丰田全新汉兰达xse车型正式亮相，新车将于今年秋天正式上市。全新汉兰达xse在普通版汉兰达基础上增加了系列运动套件，车内采用3排7座设计，为家庭出游增加了实用性。    外观方面，新车基于全新一代汉兰达打造，在其基础上进行了升级。新车前脸采用了丰田最新的家族式风格，前格栅分</t>
  </si>
  <si>
    <t>2020/02/12 08:37:00</t>
  </si>
  <si>
    <t>　　2020年芝加哥车展开幕，丰田全新汉兰达xse车型正式亮相，新车将于今年秋天正式上市。全新汉兰达xse在普通版汉兰达基础上增加了系列运动套件，车内采用3排7座设计，为家庭出游增加了实用性。　　外观方面，新车基于全新一代汉兰达打造，在其基础上进行了升级。新车前脸采用了丰田最新的家族式风格，前格栅分</t>
  </si>
  <si>
    <t>2020芝加哥车展开幕，新款大众atlas发布，新车与现款车型差别不大，在细节处有所升级，继续搭载2.0t和3.6l发动机。    新车信息：    格栅整体形状改为t字形，led日间行车灯呈现出两个l相叠的造型，下方进气口内部与格栅设计相似，车身侧面配备全新样式的旋风造型轮圈。    内饰部分方向</t>
  </si>
  <si>
    <t>2020/02/12 08:36:00</t>
  </si>
  <si>
    <t>　　2020芝加哥车展开幕，新款大众atlas发布，新车与现款车型差别不大，在细节处有所升级，继续搭载2.0t和3.6l发动机。　　新车信息：　　格栅整体形状改为t字形，led日间行车灯呈现出两个l相叠的造型，下方进气口内部与格栅设计相似，车身侧面配备全新样式的旋风造型轮圈。　　内饰部分方向盘造型细</t>
  </si>
  <si>
    <t>日前有媒体报道，由于LG化学方面电池供货量不足，因此捷豹I-PACE车型将要临时停产，生产线关闭时间从2月17日开始，计划持续一周。虽然捷豹于2018年与三星SDI签订了电池合同，但目前旗下的I-PACE车型仍在使用LG化学供应的电池零部件，因此现阶段的临时停产并不可逆。    2018年初，LG化</t>
  </si>
  <si>
    <t>2020/02/12 08:33:00</t>
  </si>
  <si>
    <t>日前，编辑从相关渠道获得了一组全新一代傲虎的专利图，新车外观相比现款车型更加精致，同时在尺寸方面也进行了全面升级。据悉，新车将在2021年引入国内销售。    外观方面，新车仅对车头和车位部分进行了小幅改进，多边形进气格栅尺寸略有减小，同时内部还搭载了粗壮的横向饰条，使得车头更具力量感。结合此前官图</t>
  </si>
  <si>
    <t>2020/02/12 08:21:00</t>
  </si>
  <si>
    <t>日前，海外媒体曝光了一组丰田品牌旗下卡罗拉性能版车型—— GR Corolla的渲染图，新车外观将换装更为动感的全新运动套件，并搭载1.6T发动机。据悉，该车或将于2023年正式于海外发布。    丰田卡罗拉车型一直以舒适、经济以及耐久性出色而闻名，但在2019年，丰田副首席设计师Toshio Ka</t>
  </si>
  <si>
    <t>2020/02/12 08:15:00</t>
  </si>
  <si>
    <t>　　日前，海外媒体曝光了一组丰田品牌旗下卡罗拉性能版车型―― GR Corolla的渲染图，新车外观将换装更为动感的全新运动套件，并搭载1.6T发动机。据悉，该车或将于2023年正式于海外发布。　　丰田卡罗拉车型一直以舒适、经济以及耐久性出色而闻名，但在2019年，丰田副首席设计师Toshio Ka</t>
  </si>
  <si>
    <t>日前，起亚发布了一组全新索兰托内饰的预告图，新车将于3月日内瓦车展中亮相。根据这些预告图，我们能提前了解全新索兰托内饰的设计情况。    内饰方面，全新索兰托采用最新家族设计，中控台被打造得很有层次感。中控台表面将会使用软质材料，边缘配有缝线，中间的内饰板采用菱形纹路设计，整体质感不俗。全液晶仪表与</t>
  </si>
  <si>
    <t>2020/02/12 08:12:00</t>
  </si>
  <si>
    <t>在跑高速时速78到90时，(只有5挡）不管是空车，还是满载加油时整个车抖动厉害是什么问题？</t>
  </si>
  <si>
    <t>2020/02/12 08:10:56</t>
  </si>
  <si>
    <t>预算不超过20万，值得选购的SUV有哪款？</t>
  </si>
  <si>
    <t>2020/02/12 08:06:32</t>
  </si>
  <si>
    <t>汽车提示温度高，由于疫情在网上买的原厂防冻液，加完后启动车辆仍然显示温度高，并且也就五秒钟汽车就会自动熄火，请问该怎么处理？</t>
  </si>
  <si>
    <t>10款520li的2.5自吸发动机是几缸发动机？</t>
  </si>
  <si>
    <t>10万家用车推荐一款代步耐用的，谢谢！</t>
  </si>
  <si>
    <t>2020/02/12 08:06:31</t>
  </si>
  <si>
    <t>起步或行驶时踩油门加速时动力为什么会延迟3�4秒？延迟的声音好像是挂空挡声音一样。</t>
  </si>
  <si>
    <t>瑞虎8的双离合质量是否有顿挫感？另外质量耐久性如何？照比CVT呢？</t>
  </si>
  <si>
    <t>2020/02/12 08:02:04</t>
  </si>
  <si>
    <t>19年1月提的车，名爵hs1.5T激情版...提车一年多时间，前几天发现车子档把遮盖皮质已经有折断现象，有一处皮质已经不在，留有窟窿眼儿，大部分地方有裂痕痕迹...这种情况有把硬质物品漏到变速箱的可能的安全隐患，非常担心。存在这种现象出厂皮质不好或者使用不当都有可能。那么是否可以更换档把处遮盖皮质？</t>
  </si>
  <si>
    <t>您好，由于资金原因，又想要要点配置，想在在合资三缸车和国产车中选一个，哪个会是比较好的选择？</t>
  </si>
  <si>
    <t>您好，我只要求一个上一班代步的工具，适合年轻人一点的，资金有限购买计划有新科沃兹和长安逸动蓝鲸版，哪个更值得入手，或者我应该选择其他？</t>
  </si>
  <si>
    <t>2020/02/12 08:02:03</t>
  </si>
  <si>
    <t>启动发动机噪音大怠速，R挡有突突突声音。福特福克斯怠速时有突突突的声音，这是咋回事啊？</t>
  </si>
  <si>
    <t>18款博越，加速中和快速行驶一切正常，松开油门至车速降下来后，挡位处有嗒嗒的响声，就像踩刹车时挡位处的那种电磁阀响声，声音大小差不多。但是连贯性的有几下。踩刹车降速到车快停之前也有这种声音。请问专家这是什么原因，谢谢！</t>
  </si>
  <si>
    <t>07款长安马自达3中控锁锁不上。07款09年的长安马自达3，以前从未出现这锁不住的问题，最近出来的，手按下主驾驶门内中控开关连锁后，又自动弹开。然后发现副驾驶门的闭锁开关按钮和主驾驶后边门闭锁开关按钮已锁定。但是副驾驶后边的不锁不住，连锁时，看着这个按钮不会动。啥问题。</t>
  </si>
  <si>
    <t>五菱4S店续保押金不退应该如何维权？怎样解决？</t>
  </si>
  <si>
    <t>2020/02/12 08:02:02</t>
  </si>
  <si>
    <t>日前，有国外媒体获取了一组Nikola新能源皮卡概念车型——Badger的新车效果图。据官方表示，新车将推出两种动力版本，分别为氢燃料电池版和纯电动版，最大续航里程分别为966公里和483公里。该车预计最快将于今年9月份正式亮相。    通过Nikola官网曝光的预告图来看，新车在整体外观上采用了双</t>
  </si>
  <si>
    <t>2020/02/12 08:02:00</t>
  </si>
  <si>
    <t>车辆启动，汽车突突，车身抖动，发动机故障灯闪，火花塞已经更换过，求解</t>
  </si>
  <si>
    <t>2020/02/12 07:53:27</t>
  </si>
  <si>
    <t>2020/02/12 07:10:00</t>
  </si>
  <si>
    <t>　　2019广州车展上，沃尔沃带来了年度最重磅产品――全新S60，新车采用了最新家族设计语言，整体看上去更加年轻、时尚，内饰更加简洁，与此同时，沃尔沃品牌主打的最新安全与健康理念也都体现在这款全新S60身上。集时尚、科技、环保于一身的全新S60迅速成为了消费者关注的对象，如果恰好屏幕前的您对这款车也</t>
  </si>
  <si>
    <t>2020/02/12 02:41:04</t>
  </si>
  <si>
    <t>投诉编号：【446932】
投诉时间： 2020-02-12 02:18
投诉品牌： 东风乘用车
投诉车系： 风神AX7
投诉车型： 2018款 1.6T 自动 豪华型</t>
  </si>
  <si>
    <t>2020/02/12 02:06:25</t>
  </si>
  <si>
    <t>投诉编号：【446931】
投诉时间： 2020-02-12 01:57
投诉品牌： 北京奔驰
投诉车系： 奔驰GLK
投诉车型： 2015款 260 4MATIC 时尚型 极致版 5座</t>
  </si>
  <si>
    <t>投诉编号：【446930】  投诉时间： 2020-02-12 01:24  投诉品牌： 东风悦达起亚  投诉车系： 狮跑  投诉车型： 2013款 2.0L  手动 两驱 GL        投诉内容  东风悦达起亚狮跑前大灯远光变近光无法切换，没出保之前出现过一次，免费换了两个大灯，用了一年多出</t>
  </si>
  <si>
    <t>2020/02/12 01:24:00</t>
  </si>
  <si>
    <t>投诉编号：【446929】  投诉时间： 2020-02-12 00:42  投诉品牌： 上汽集团  投诉车系： 荣威RX5 MAX  投诉车型： 2019款 300TGI 自动 智能座舱豪华版        投诉内容  购车当天被销售欺骗，说是付完款就带我看车，结果等了2个半小时才提回来车，销售解</t>
  </si>
  <si>
    <t>2020/02/12 00:42:00</t>
  </si>
  <si>
    <t>2020/02/11 23:59:59</t>
  </si>
  <si>
    <t>投诉编号：【446928】
投诉时间： 2020-02-11 23:53
投诉品牌： 奇瑞汽车
投诉车系： 瑞虎3x
投诉车型： 2017款 1.5L 自动 时尚版</t>
  </si>
  <si>
    <t>投诉编号：【446926】
投诉时间： 2020-02-11 23:45
投诉品牌： 郑州日产
投诉车系： 途达
投诉车型： 2020款 2.5L 自动 四驱 旗舰版</t>
  </si>
  <si>
    <t>投诉编号：【446927】  投诉时间： 2020-02-11 23:46  投诉品牌： 广汽本田  投诉车系： 飞度  投诉车型： 2014款 1.5L 手动 LX舒适型        投诉内容  广汽本田飞度发动机冷启动有类似打齿轮的异响，出现的这种异响还是比较严重的，要求厂家尽快解决车辆的问题</t>
  </si>
  <si>
    <t>2020/02/11 23:46:00</t>
  </si>
  <si>
    <t>2020/02/11 23:44:18</t>
  </si>
  <si>
    <t>投诉编号：【446924】
投诉时间： 2020-02-11 23:26
投诉品牌： 东风标致
投诉车系： 标致308
投诉车型： 2014款 乐享版 经典 1.6L 自动 优尚型</t>
  </si>
  <si>
    <t>2020/02/11 23:43:22</t>
  </si>
  <si>
    <t>投诉编号：【446923】
投诉时间： 2020-02-11 23:26
投诉品牌： 长安马自达
投诉车系： 马自达3 昂克赛拉
投诉车型： 2019款 云控版 三厢 1.5L 自动 舒适型 国VI</t>
  </si>
  <si>
    <t>2020/02/11 23:18:15</t>
  </si>
  <si>
    <t>投诉编号：【446922】
投诉时间： 2020-02-11 23:14
投诉品牌： 东风悦达起亚
投诉车系： 智跑
投诉车型： 2019款 1.4T DCT 智享豪华舒适款</t>
  </si>
  <si>
    <t>2020/02/11 23:16:03</t>
  </si>
  <si>
    <t>投诉编号：【446921】
投诉时间： 2020-02-11 23:03
投诉品牌： 北京现代
投诉车系： 途胜
投诉车型： 2018款 1.6T 双离合 两驱 15周年特别版</t>
  </si>
  <si>
    <t>2020/02/11 23:08:42</t>
  </si>
  <si>
    <t>投诉编号：【446920】
投诉时间： 2020-02-11 23:02
投诉品牌： 广汽本田
投诉车系： 飞度
投诉车型： 2014款 1.5L CVT LX舒适型</t>
  </si>
  <si>
    <t>2020/02/11 22:49:50</t>
  </si>
  <si>
    <t>投诉编号：【446916】
投诉时间： 2020-02-11 21:05
投诉品牌： 上汽通用雪佛兰
投诉车系： 科沃兹
投诉车型： 2016款 1.5L 自动 欣悦版</t>
  </si>
  <si>
    <t>2020/02/11 22:49:10</t>
  </si>
  <si>
    <t>投诉编号：【446919】
投诉时间： 2020-02-11 22:31
投诉品牌： 北京现代
投诉车系： 领动
投诉车型： 2016款 1.6L 自动 智炫·精英型</t>
  </si>
  <si>
    <t>2020/02/11 22:45:27</t>
  </si>
  <si>
    <t>投诉编号：【446917】
投诉时间： 2020-02-11 21:19
投诉品牌： 长城汽车
投诉车系： 哈弗F7
投诉车型： 2019款 2.0T 两驱 i范 国VI</t>
  </si>
  <si>
    <t>2020/02/11 19:09:04</t>
  </si>
  <si>
    <t>投诉编号：【446912】
投诉时间： 2020-02-11 18:32
投诉品牌： 广汽本田
投诉车系： 飞度
投诉车型： 2014款 1.5L 手动 LX舒适型</t>
  </si>
  <si>
    <t>投诉编号：【446908】  投诉时间： 2020-02-11 17:31  投诉品牌： 奇瑞汽车  投诉车系： 捷途X70  投诉车型： 2018款 1.5T 手动 畅行版        投诉内容  本人于2018年底购买捷途x70于2019年年初发现发动机加油伴有异响一直未当作回事，直到2保时自</t>
  </si>
  <si>
    <t>2020/02/11 17:31:00</t>
  </si>
  <si>
    <t>东南DX3行驶过程中底盘有异常响声车子19年9月因在高速压过异物，后在郴州4S店换过副车架和右下摆臂，两个月之后底盘异响，转弯的时候有上下坡时更严重。</t>
  </si>
  <si>
    <t>2020/02/11 17:24:00</t>
  </si>
  <si>
    <t>丰田卡罗拉变速箱顿挫发动机故障灯亮cvt变速箱没跑3w就坏了这是这款变速箱通病，第一次投诉，厂家只是让4s点了解情况问完就没事，了把电话挂掉根本没给我交代，糊弄人，这厂家黑心。刚跑3万多突然出现顿挫且故障灯亮，去修理厂电脑检测故障码为p2757需要更换变速箱阀体，而且看了很多论坛都是这个毛病，10多</t>
  </si>
  <si>
    <t>车子19年9月因在高速压过异物，后在郴州4S店换过副车架和右下摆臂，两个月之后底盘异响，转弯的时候有上下坡时更严重。</t>
  </si>
  <si>
    <t>cvt变速箱没跑3w就坏了这是这款变速箱通病，第一次投诉，厂家只是让4s点了解情况问完就没事，了把电话挂掉根本没给我交代，糊弄人，这厂家黑心。刚跑3万多突然出现顿挫且故障灯亮，去修理厂电脑检测故障码为p2757需要更换变速箱阀体，而且看了很多论坛都是这个毛病，10多万的车居然这么不堪一击连五菱面包车</t>
  </si>
  <si>
    <t>宝马3系中控黑屏车门异响 机油量过低从7月份购置该车之后，9月开始出现各种异样，顶棚车门异响，车辆各个键不受管控，屏幕黑屏，时隔多日，出现车门前机盖异响，2020年2月10号下午15点41分行驶在高速出现机油含量过低，车辆报警，我及时联系售后人员，他告知我继续行驶没事，我不放心，联系我朋友，朋友告知</t>
  </si>
  <si>
    <t>2020/02/11 17:23:00</t>
  </si>
  <si>
    <t>从7月份购置该车之后，9月开始出现各种异样，顶棚车门异响，车辆各个键不受管控，屏幕黑屏，时隔多日，出现车门前机盖异响，2020年2月10号下午15点41分行驶在高速出现机油含量过低，车辆报警，我及时联系售后人员，他告知我继续行驶没事，我不放心，联系我朋友，朋友告知把车停在安全位置并不要行驶，朋友送到</t>
  </si>
  <si>
    <t>大众宝来发动机机油消耗量太大机油消耗量太大，到3500公里就消耗异常，不在机油尺正常范围之内</t>
  </si>
  <si>
    <t>后庭花</t>
  </si>
  <si>
    <t>2020/02/11 17:22:00</t>
  </si>
  <si>
    <t>发动机怠速嘀嗒嘀嗒嘀嗒响，开起来也响，起初以为是冷启动，到开了几分钟还是嘀嗒嘀嗒响！</t>
  </si>
  <si>
    <t>机油消耗量太大，到3500公里就消耗异常，不在机油尺正常范围之内</t>
  </si>
  <si>
    <t>悦达起亚智跑发动机怠速以及行驶中异响发动机怠速嘀嗒嘀嗒嘀嗒响，开起来也响，起初以为是冷启动，到开了几分钟还是嘀嗒嘀嗒响！</t>
  </si>
  <si>
    <t>上汽大众无视车主生命安全，偷工减料，碰撞测试不合格，气囊不能起不到保护作用，上汽大众一直不做回复。</t>
  </si>
  <si>
    <t>2020/02/11 17:21:00</t>
  </si>
  <si>
    <t>大众帕萨特A柱碰撞测试不合格上汽大众无视车主生命安全，偷工减料，碰撞测试不合格，气囊不能起不到保护作用，上汽大众一直不做回复。</t>
  </si>
  <si>
    <t>16款日产蓝鸟CVT变速箱，行驶2W公里的变速箱出现故障，脱挡、顿挫、打滑、异响、加油无响应，当时在保18年1月到日产售后更换了一个新的变速箱，本以为更换新的变速箱会没事了，2020年1月故障再次出现，更换变速箱后行驶了不到2W公里，去日产售后要求保修，工作人员说过保了，换件只保1年或2W公里，本人</t>
  </si>
  <si>
    <t>2020/02/11 17:20:00</t>
  </si>
  <si>
    <t>后备箱右侧换风口漏水严重，左前减震过差路咣咣响，挂挡不灵活。</t>
  </si>
  <si>
    <t>蓝鸟变速箱脱挡 顿挫 打滑 异响16款日产蓝鸟CVT变速箱，行驶2W公里的变速箱出现故障，脱挡、顿挫、打滑、异响、加油无响应，当时在保18年1月到日产售后更换了一个新的变速箱，本以为更换新的变速箱会没事了，2020年1月故障再次出现，更换变速箱后行驶了不到2W公里，去日产售后要求保修，工作人员说过保</t>
  </si>
  <si>
    <t>艾瑞泽5后备箱漏水减震器异响 挂挡异响后备箱右侧换风口漏水严重，左前减震过差路咣咣响，挂挡不灵活。</t>
  </si>
  <si>
    <t>2020.2.3上午无意中发现右前方向胎无故鼓包，仔细观察鼓包周围并无碰撞痕迹，而且因新型冠状病毒的原因，2020.1.21后并无用车！且至今也没有用车，2020.2.3当天与厂家和4s店沟通无果！本人至今没有暴力用车，车一直在磨合期，温柔驾驶！因此望车质网给予公正的评判！谢谢！按照长安马自达的三包</t>
  </si>
  <si>
    <t>2020/02/11 17:19:00</t>
  </si>
  <si>
    <t>昂克赛拉普利司通轮胎鼓包2020.2.3上午无意中发现右前方向胎无故鼓包，仔细观察鼓包周围并无碰撞痕迹，而且因新型冠状病毒的原因，2020.1.21后并无用车！且至今也没有用车，2020.2.3当天与厂家和4s店沟通无果！本人至今没有暴力用车，车一直在磨合期，温柔驾驶！因此望车质网给予公正的评判！谢</t>
  </si>
  <si>
    <t>投诉编号：【446907】投诉时间：2020-02-1117:18投诉品牌：一汽-大众投诉车系：T-ROC探歌投诉车型：2019款230TSIDSG两驱进取型国VI投诉内容车辆在提车回家的路上就出现了方向盘抖动伴随后排传来令人难受哄鸣声，当车辆转速在1100至1300转这区间内方向盘就会出现明显的振</t>
  </si>
  <si>
    <t>2020/02/11 17:18:00</t>
  </si>
  <si>
    <t>突发发动机故障灯亮、ESP限滑灯亮，发动机转速不稳时高时低剧烈抖动，行驶加速不畅，到4S店岳阳华日日产专营店，只给做简单恢复故障灯，理由是空气流量计有问题，厂家过段时间会发新的电脑升级程序过来，到时候再到店进行升级处理。个人认为如此处理并不能实际解决问题，该问题应是个别零配件质量问题所致，厂家应及时</t>
  </si>
  <si>
    <t>奇骏发动机故障灯亮导致抖动突发发动机故障灯亮、ESP限滑灯亮，发动机转速不稳时高时低剧烈抖动，行驶加速不畅，到4S店岳阳华日日产专营店，只给做简单恢复故障灯，理由是空气流量计有问题，厂家过段时间会发新的电脑升级程序过来，到时候再到店进行升级处理。个人认为如此处理并不能实际解决问题，该问题应是个别零配</t>
  </si>
  <si>
    <t>吉利帝豪（2019款 领军版 1.5L CVT向上亚运版）、长安逸动（2019款 蓝鲸版 280T GDI DCT极速型）、奇瑞艾瑞泽GX（2019款 冠军版 1.5L CVT精英型）和现代领动（2019款 1.5L CVT智炫精英型）相比，主要以故障率来考虑，推荐哪一款？这个价位的合资车，是不是领</t>
  </si>
  <si>
    <t>2020/02/11 17:05:54</t>
  </si>
  <si>
    <t>最近在看车，考虑从领动、轩逸和科鲁泽中选一款，想请问这三款中主要以故障率方面来考虑，能否排一个故障率由低到高的顺序供参考吗？</t>
  </si>
  <si>
    <t>2020/02/11 17:02:45</t>
  </si>
  <si>
    <t>　　“汽车戴口罩”不是新鲜事，但能达到“N99级”的恐怕不多，名爵算一个！源自欧洲、以专业守护健康的名爵品牌，为给车主及其家人提供高标准的安全防护，早在2年多前推出全新名爵6时就已自带高级别防护，随后的名爵6新能源、名爵HS等多款车型更是配备“多重健康防护系统”，即通过高效过滤、抑制病菌、杀灭病菌“</t>
  </si>
  <si>
    <t>2020/02/11 16:56:00</t>
  </si>
  <si>
    <t>　　日月开新元，天地又一春。今年的开工有点特别，受新型冠状病毒肺炎疫情的影响，广汽三菱厂区与以往相比不一样，少了年味，多了口罩，但口罩不是隔阂，而是保护，这些“不一样”都是防控措施，科学防疫是为了保障企业工作正常进行。　　严防疫情护安全，复工开启新模式　　为保障复工工作平顺推进，长沙县疾控中心和经开</t>
  </si>
  <si>
    <t>2020/02/11 16:45:00</t>
  </si>
  <si>
    <t>2020/02/11 16:40:10</t>
  </si>
  <si>
    <t>投诉编号：【446903】
投诉时间： 2020-02-11 16:10
投诉品牌： 长安马自达
投诉车系： 马自达CX-5
投诉车型： 2017款 2.5L 自动 两驱 智尊型 国V</t>
  </si>
  <si>
    <t>投诉编号：【446906】投诉时间：2020-02-1116:36投诉品牌：东风日产投诉车系：奇骏投诉车型：2019款2.0LCVT舒适版5座2WD投诉内容突发发动机故障灯亮、ESP限滑灯亮，发动机转速不稳时高时低剧烈抖动，行驶加速不畅，到4S店岳阳华日日产专营店，只给做简单恢复故障灯，理由是空气流</t>
  </si>
  <si>
    <t>2020/02/11 16:36:00</t>
  </si>
  <si>
    <t>投诉编号：【446905】  投诉时间： 2020-02-11 16:29  投诉品牌： 长安马自达  投诉车系： 马自达3 昂克赛拉  投诉车型： 2020款 2.0L 自动 质雅版        投诉内容  2020.2.3上午无意中发现右前方向胎无故鼓包，仔细观察鼓包周围并无碰撞痕迹，而且因新</t>
  </si>
  <si>
    <t>2020/02/11 16:29:00</t>
  </si>
  <si>
    <t>投诉编号：【446904】  投诉时间： 2020-02-11 16:17  投诉品牌： 东风日产  投诉车系： 蓝鸟  投诉车型： 2016款 1.6L CVT 炫酷版        投诉内容  16款日产蓝鸟CVT变速箱，行驶2W公里的变速箱出现故障，脱挡、顿挫、打滑、异响、加油无响应，当时在保</t>
  </si>
  <si>
    <t>2020/02/11 16:17:00</t>
  </si>
  <si>
    <t>五菱荣光V中控台暖风水箱漏水中控台下面暖水箱漏水，我希望可以把接头和水管一起换掉，可以售后只是给换接头也不保证不漏水。</t>
  </si>
  <si>
    <t>不想起床                高级技工</t>
  </si>
  <si>
    <t>2020/02/11 16:13:00</t>
  </si>
  <si>
    <t>前驱车按理应该是前轮磨损比后轮严重，但是冠道正好相反，前轮正常，凹槽较深，后轮如图已经磨平，这肯定不正常，而且不是我一个车主有这问题，我们宁夏冠道群多位车主都反应有此问题，希望厂家能给予解决方案，不要推脱责任，不然我们冠道群联合多为车主还要去其他相关部门投诉！</t>
  </si>
  <si>
    <t>中控台下面暖水箱漏水，我希望可以把接头和水管一起换掉，可以售后只是给换接头也不保证不漏水。</t>
  </si>
  <si>
    <t>本田冠道后轮胎吃胎偏磨严重前驱车按理应该是前轮磨损比后轮严重，但是冠道正好相反，前轮正常，凹槽较深，后轮如图已经磨平，这肯定不正常，而且不是我一个车主有这问题，我们宁夏冠道群多位车主都反应有此问题，希望厂家能给予解决方案，不要推脱责任，不然我们冠道群联合多为车主还要去其他相关部门投诉！</t>
  </si>
  <si>
    <t>日产阳光变速箱报故障 无法提速变速箱报警故障，空挡转速能到六千-七千转，挂D挡只能慢跑，提不起速度。</t>
  </si>
  <si>
    <t>2020/02/11 16:12:00</t>
  </si>
  <si>
    <t>变速箱报警故障，空挡转速能到六千-七千转，挂D挡只能慢跑，提不起速度。</t>
  </si>
  <si>
    <t>大众帕萨特B柱以及驾驶室车窗异响2019年5月发现驾驶室车窗发出“砂砂”的异响，2019年6月发现左右两个B柱在不平的路况、刹车、以及拐弯等情况出现“嚯嚯”的异响，两次去上汽大众汽车4S店检查均未解决问题，反而比去之前异响还要严重。</t>
  </si>
  <si>
    <t>2020/02/11 16:11:00</t>
  </si>
  <si>
    <t>本田雅阁发动机无法启动搭电无效出现问题后用电瓶搭电，车没有任何反应，打不着火车也动不了。</t>
  </si>
  <si>
    <t>出现问题后用电瓶搭电，车没有任何反应，打不着火车也动不了。</t>
  </si>
  <si>
    <t>2019年5月发现驾驶室车窗发出“砂砂”的异响，2019年6月发现左右两个B柱在不平的路况、刹车、以及拐弯等情况出现“嚯嚯”的异响，两次去上汽大众汽车4S店检查均未解决问题，反而比去之前异响还要严重。</t>
  </si>
  <si>
    <t>昨天2020.2.10日，发现汽车前挡风玻璃，副驾驶一侧下边缘泛白，有一条白线，有无质量问题？请速处理回复电话。</t>
  </si>
  <si>
    <t>2020/02/11 16:10:00</t>
  </si>
  <si>
    <t>本田思域前挡风玻璃边缘泛白昨天2020.2.10日，发现汽车前挡风玻璃，副驾驶一侧下边缘泛白，有一条白线，有无质量问题？请速处理回复电话。</t>
  </si>
  <si>
    <t>我的车是17款路虎发现神行，2019年8月份发现变速箱渗漏油严重，经厂家协商，11月份先后两次在4S店维修，每次维修完都是不到两周时间又渗漏了，而且目前没有解决方案。要求厂家给出明确的彻底解决方案。并延长这个问题的质保期。变速箱不停的在渗漏油，经常跑高速非常危险！</t>
  </si>
  <si>
    <t>2020/02/11 16:09:00</t>
  </si>
  <si>
    <t>奇瑞捷豹路虎发现神行变速箱漏油我的车是17款路虎发现神行，2019年8月份发现变速箱渗漏油严重，经厂家协商，11月份先后两次在4S店维修，每次维修完都是不到两周时间又渗漏了，而且目前没有解决方案。要求厂家给出明确的彻底解决方案。并延长这个问题的质保期。变速箱不停的在渗漏油，经常跑高速非常危险！</t>
  </si>
  <si>
    <t>车辆是16款斯柯达速派1.4T，车辆行驶到6w公里左右就有提示变速箱过热，要立即停车检查，当时到斯柯达售后4S店检查表示没有问题，说这个情况是正常的，让我们继续使用，开到8w公里左右刚过了保修期3天车辆就出现故障，停在半路，只能拖车到4S店，检查线路等等，最后说变速箱机电控制单元故障，需要更换，更换</t>
  </si>
  <si>
    <t>2020/02/11 16:08:00</t>
  </si>
  <si>
    <t>2016年5月12日购车，于2018年就发现引擎盖边缘有不同地方开始生锈，经当地4s店检查后，说正常的就一点点，铁的都会生锈，点一点漆就好，当时也没在意就算了，今年过年在家打理车子发现左右后门边缘也开始生锈，现在才3年多的车，一年多年前就开始生锈我怀疑用了劣质的钢材，生锈的地方厂家能不能好好处理，不</t>
  </si>
  <si>
    <t>斯柯达速派变速箱配件一直缺货车辆是16款斯柯达速派1.4T，车辆行驶到6w公里左右就有提示变速箱过热，要立即停车检查，当时到斯柯达售后4S店检查表示没有问题，说这个情况是正常的，让我们继续使用，开到8w公里左右刚过了保修期3天车辆就出现故障，停在半路，只能拖车到4S店，检查线路等等，最后说变速箱机电</t>
  </si>
  <si>
    <t>本田锋范车门及引擎盖多处生锈2016年5月12日购车，于2018年就发现引擎盖边缘有不同地方开始生锈，经当地4s店检查后，说正常的就一点点，铁的都会生锈，点一点漆就好，当时也没在意就算了，今年过年在家打理车子发现左右后门边缘也开始生锈，现在才3年多的车，一年多年前就开始生锈我怀疑用了劣质的钢材，生锈</t>
  </si>
  <si>
    <t>新买不到一个月，跑了2500公里了，放了两天就打不着火，这真的很闹心啊，我人生中的第一台车就放两天电瓶就没电打不着火了。新车二十多万，这厂家不坑人呢嘛，希望官方大哥明察</t>
  </si>
  <si>
    <t>2020/02/11 16:07:00</t>
  </si>
  <si>
    <t>投诉编号：【446902】  投诉时间： 2020-02-11 16:07  投诉品牌： 广汽本田  投诉车系： 奥德赛  投诉车型： 2017款 2.4L CVT 豪华版        投诉内容  前刮雨器下方盖板变形，存在严重质量问题。      投诉回复  车质网已将您的投诉转给生产企业以及国</t>
  </si>
  <si>
    <t>日产途达停放两天电瓶亏电无法启动新买不到一个月，跑了2500公里了，放了两天就打不着火，这真的很闹心啊，我人生中的第一台车就放两天电瓶就没电打不着火了。新车二十多万，这厂家不坑人呢嘛，希望官方大哥明察</t>
  </si>
  <si>
    <t>投诉编号：【446899】  投诉时间： 2020-02-11 15:41  投诉品牌： 东风雪铁龙  投诉车系： 雪铁龙C4L  投诉车型： 2015款 1.8L 自动 豪华版        投诉内容  2015年7月购进该款C4L，到2018年12月初约41000公里时明显感到方向左跑偏，方向盘</t>
  </si>
  <si>
    <t>2020/02/11 15:41:00</t>
  </si>
  <si>
    <t>2020/02/11 15:33:12</t>
  </si>
  <si>
    <t>投诉编号：【446896】
投诉时间： 2020-02-11 15:23
投诉品牌： 北京现代
投诉车系： 领动
投诉车型： 2019款 1.5L CVT 智炫·精英型</t>
  </si>
  <si>
    <t>投诉编号：【446898】  投诉时间： 2020-02-11 15:33  投诉品牌： 郑州日产  投诉车系： 途达  投诉车型： 2020款 2.5L 自动 四驱 豪华版        投诉内容  提车起共亏电4次。去4S店解决测量充电。检查没结果。无法找到问题！更换电池后依然和之前故障相同。无</t>
  </si>
  <si>
    <t>2020/02/11 15:33:00</t>
  </si>
  <si>
    <t>投诉编号：【446897】  投诉时间： 2020-02-11 15:23  投诉品牌： 广汽本田  投诉车系： 雅阁  投诉车型： 2018款 260TURBO 精英版 国V        投诉内容  车辆买来大概半年时间，发现机盖及漆面有好几处龟裂，年前洗车时又发现机盖上有6、7处蜘蛛纹，平时也</t>
  </si>
  <si>
    <t>2020/02/11 15:23:00</t>
  </si>
  <si>
    <t>2020/02/11 15:22:11</t>
  </si>
  <si>
    <t>投诉编号：【446891】
投诉时间： 2020-02-11 14:45
投诉品牌： 上汽通用别克
投诉车系： 凯越
投诉车型： 2011款 1.6 手动 LE</t>
  </si>
  <si>
    <t>请问新远景更换变速箱油、防冻液、刹车油、方向助力油、火花塞、还有正时皮带、轮胎。4s店分别是什么价格？</t>
  </si>
  <si>
    <t>2020/02/11 15:06:09</t>
  </si>
  <si>
    <t>帅铃T8，ESP故障灯为什么常亮 电脑检测不到。</t>
  </si>
  <si>
    <t>2020/02/11 15:02:57</t>
  </si>
  <si>
    <t>矿物质机油、半合成机油、全合成机油。哪一款机油更好？谢谢。</t>
  </si>
  <si>
    <t>投诉编号：【446893】投诉时间：2020-02-1115:02投诉品牌：郑州日产投诉车系：途达投诉车型：2020款2.5L自动四驱豪华版投诉内容车子停放两天没电了，充电20个小时后又过了三天又没电了无法启动。投诉回复车质网已将您的投诉转给生产企业以及国家市场监督管理总局缺陷产品管理中心，我们将会</t>
  </si>
  <si>
    <t>2020/02/11 15:02:00</t>
  </si>
  <si>
    <t>奇骏行驶二万公里，发动机故障灯亮了什么原因？</t>
  </si>
  <si>
    <t>2020/02/11 14:59:07</t>
  </si>
  <si>
    <t>12年7月的车别克凯越，副驾驶中控板脱胶，板子翘起来了。严重影响行车安全！</t>
  </si>
  <si>
    <t>投诉编号：【446892】  投诉时间： 2020-02-11 14:59  投诉品牌： 上汽集团  投诉车系： 名爵6  投诉车型： 2017款 20T 自动 Trophy尊享互联网版 国V        投诉内容  车辆停车一星期车辆无法启动。仪表盘显示电瓶电量低于12v。车辆打车只有啪啪声音。</t>
  </si>
  <si>
    <t>2020/02/11 14:59:00</t>
  </si>
  <si>
    <t>投诉编号：【446890】  投诉时间： 2020-02-11 14:15  投诉品牌： 众泰汽车  投诉车系： 众泰T600  投诉车型： 2016款 1.5T 手动 尊贵型        投诉内容  投诉众泰厂家，生产垃圾车出来。老是有问题、买众泰汽车，我换的差不多了，发动机换了、水温过高、再也</t>
  </si>
  <si>
    <t>2020/02/11 14:15:00</t>
  </si>
  <si>
    <t>投诉编号：【446888】投诉时间：2020-02-1113:54投诉品牌：郑州日产投诉车系：途达投诉车型：2020款2.5L自动四驱旗舰版投诉内容电瓶漏电，或者日产智联系统漏电，第一次提完车就出差，放家里5天，车子没电，后备箱门能打开，以为是没关好后备箱原因，第二次春节回家，腊月28到正月初二走亲</t>
  </si>
  <si>
    <t>2020/02/11 13:54:00</t>
  </si>
  <si>
    <t>2020/02/11 13:49:14</t>
  </si>
  <si>
    <t>投诉编号：【446886】
投诉时间： 2020-02-11 13:45
投诉品牌： 上汽通用五菱
投诉车系： 宝骏530
投诉车型： 2018款 1.5T DCT 旗舰型 国V</t>
  </si>
  <si>
    <t>2020/02/11 13:48:22</t>
  </si>
  <si>
    <t>投诉编号：【446882】
投诉时间： 2020-02-11 13:28
投诉品牌： 广汽本田
投诉车系： 冠道
投诉车型： 2017款 240TURBO CVT 两驱 尊享版</t>
  </si>
  <si>
    <t>投诉编号：【446884】  投诉时间： 2020-02-11 13:40  投诉品牌： 郑州日产  投诉车系： 途达  投诉车型： 2020款 2.5L 自动 四驱 豪华版        投诉内容  已经第二次了，头一次两天没电，我以为是车门没关。好这一次排除自身原因，肯定车子有问题，买个新车两次</t>
  </si>
  <si>
    <t>2020/02/11 13:40:00</t>
  </si>
  <si>
    <t>投诉编号：【446883】  投诉时间： 2020-02-11 13:35  投诉品牌： 上汽斯柯达  投诉车系： 速派  投诉车型： 2016款 TSI280 DSG 创行版        投诉内容  车辆是16款斯柯达速派1.4T，车辆行驶到6w公里左右就有提示变速箱过热，要立即停车检查，当时到</t>
  </si>
  <si>
    <t>2020/02/11 13:35:00</t>
  </si>
  <si>
    <t>2020/02/11 13:27:48</t>
  </si>
  <si>
    <t>投诉编号：【446881】
投诉时间： 2020-02-11 13:09
投诉品牌： 北京现代
投诉车系： 途胜
投诉车型： 2015款 1.6T 双离合 两驱 智能型</t>
  </si>
  <si>
    <t>天气一天比一天冷 ,今天粉丝私信我问我用什么办法去解决车窗瞬间起雾的办法，在我们告诉行驶的时候最怕前挡瞬间起雾，造成安全隐患，接下来小编将很实用的除雾方法分享给大家！阅读本文约5分钟，如您没有时间仔细阅读，建议收藏或者转发，没事的时候在翻看！汽车玻璃起雾原因如下：汽车内的温度与车外温度相差较大,1.</t>
  </si>
  <si>
    <t>2020/02/11 13:08:00</t>
  </si>
  <si>
    <t>给大家盘点开车的坏习惯现如今汽车已经迈入了寻常百姓家，买车的人年年都在增长，不过对于一般的工薪阶层来说，购买一辆车还算是比较大的一件事情，但是，把车提回家后不能养成一个良好的开车用车习惯，那么，再好的工具也会被用坏，或者是不经用，其实很多的车友说自己会开车，但是在用车过程中，却不知不觉的对车辆造成了</t>
  </si>
  <si>
    <t>容易出毛病？开车坏习惯大家要注意给大家盘点开车的坏习惯现如今汽车已经迈入了寻常百姓家，买车的人年年都在增长，不过对于一般的工薪阶层来说，购买一辆车还算是比较大的一件事情，但是，把车提回家后不能养成一个良好的开车用车习惯，那么，再好的工具也会被用坏，或者是不经用，其实很多的车友说自己会开车，但是在用车</t>
  </si>
  <si>
    <t>汽车除雾小技巧 简单又实用天气一天比一天冷 ,今天粉丝私信我问我用什么办法去解决车窗瞬间起雾的办法，在我们告诉行驶的时候最怕前挡瞬间起雾，造成安全隐患，接下来小编将很实用的除雾方法分享给大家！阅读本文约5分钟，如您没有时间仔细阅读，建议收藏或者转发，没事的时候在翻看！汽车玻璃起雾原因如下：汽车内的温</t>
  </si>
  <si>
    <t>很多网友都会把座驾当成“小老婆”那样爱惜，还没提车就已经囤了一堆汽车装饰以及用品，新车买回来隔三差五就去洗车，恨不得天天去做保养，生怕爱车磕到刮到什么，堪称“溺爱”。你觉得是对车子爱护有加，其实有时候是在不经意地伤害它，就算保养得再好，爱车也没有变得更好，反而得不偿失。高温情况下洗车这种情况比较常见</t>
  </si>
  <si>
    <t>2020/02/11 13:07:00</t>
  </si>
  <si>
    <t>爱车变伤车 这几个养车误区你知道吗很多网友都会把座驾当成“小老婆”那样爱惜，还没提车就已经囤了一堆汽车装饰以及用品，新车买回来隔三差五就去洗车，恨不得天天去做保养，生怕爱车磕到刮到什么，堪称“溺爱”。你觉得是对车子爱护有加，其实有时候是在不经意地伤害它，就算保养得再好，爱车也没有变得更好，反而得不偿</t>
  </si>
  <si>
    <t>车辆行驶过程中如果轮胎出现故障，带来的后果将是灾难性的。只有清楚地了解自己的车轮胎是否变形、性能是否下降，才能及时更换新轮胎，避免故障的发生。老司机们在过往经验中，总结出了轮胎爆胎前的5大征兆，与分享大家，希望能有所帮助。一、胎面花纹的厚度一定要大于1.6毫米，如果你经常驾车行驶在摩擦力低的湿滑路面</t>
  </si>
  <si>
    <t>2020/02/11 13:06:00</t>
  </si>
  <si>
    <t>刹车是驾驶过程中的必要操作，如果还未掌握一定的刹车技巧，停车时由于制动力较大，车很容易发生“点头”和“耸车”等情况，而此时坐在车里面的人也会跟着身体前倾。刹车具有很多情况，下面就教大家一些刹车常用的技巧。停车不要一直踩刹车车辆完全停止前松一次刹车，如果我们踩刹车的目的是停止车辆行驶的话，一直踩着刹车</t>
  </si>
  <si>
    <t>爆胎前有什么征兆？这几点要注意车辆行驶过程中如果轮胎出现故障，带来的后果将是灾难性的。只有清楚地了解自己的车轮胎是否变形、性能是否下降，才能及时更换新轮胎，避免故障的发生。老司机们在过往经验中，总结出了轮胎爆胎前的5大征兆，与分享大家，希望能有所帮助。一、胎面花纹的厚度一定要大于1.6毫米，如果你经</t>
  </si>
  <si>
    <t>刹车技巧很关键 这样刹车最安全刹车是驾驶过程中的必要操作，如果还未掌握一定的刹车技巧，停车时由于制动力较大，车很容易发生“点头”和“耸车”等情况，而此时坐在车里面的人也会跟着身体前倾。刹车具有很多情况，下面就教大家一些刹车常用的技巧。停车不要一直踩刹车车辆完全停止前松一次刹车，如果我们踩刹车的目的是</t>
  </si>
  <si>
    <t>一般认为，汽车蓄电池的使用寿命为3年，但是不少蓄电池都是比较“长寿”，用的时间长了点也不会出现啥问题，但是如果你的汽车遇到以下情况的时候，你的蓄电池离更换就不远了：1、启动困难汽车发动机点火，需要火花塞提供电火花，如果汽车突然出现打火困难的问题，或者根本就打不着，可能是汽车发动机出现了问题，也可能是</t>
  </si>
  <si>
    <t>2020/02/11 13:05:00</t>
  </si>
  <si>
    <t>如何判断你的汽车蓄电池是否需要更换？一般认为，汽车蓄电池的使用寿命为3年，但是不少蓄电池都是比较“长寿”，用的时间长了点也不会出现啥问题，但是如果你的汽车遇到以下情况的时候，你的蓄电池离更换就不远了：1、启动困难汽车发动机点火，需要火花塞提供电火花，如果汽车突然出现打火困难的问题，或者根本就打不着，</t>
  </si>
  <si>
    <t>目前，有着“零排放、支持大载重、长续航、燃料补给快”等美誉的氢燃料电池汽车正越来越受公众的关注。近日，法国零部件供应商佛吉亚获得现代汽车公司的重要订单，将为现代汽车提供燃料电池汽车的储氢系统，包括1万台储氢罐。所有产品均将由位于法国的佛吉亚全球技术中心内进行生产，2021年初开始交付。    佛吉亚</t>
  </si>
  <si>
    <t>2020/02/11 12:56:00</t>
  </si>
  <si>
    <t>　　目前，有着“零排放、支持大载重、长续航、燃料补给快”等美誉的氢燃料电池汽车正越来越受公众的关注。近日，法国零部件供应商佛吉亚获得现代汽车公司的重要订单，将为现代汽车提供燃料电池汽车的储氢系统，包括1万台储氢罐。所有产品均将由位于法国的佛吉亚全球技术中心内进行生产，2021年初开始交付。　　佛吉亚</t>
  </si>
  <si>
    <t>投诉编号：【446880】投诉时间：2020-02-1112:55投诉品牌：广汽本田投诉车系：锋范投诉车型：2015款1.5L手动舒适版投诉内容2016年5月12日购车，于2018年就发现引擎盖边缘有不同地方开始生锈，经当地4s店检查后，说正常的就一点点，铁的都会生锈，点一点漆就好，当时也没在意就算</t>
  </si>
  <si>
    <t>2020/02/11 12:55:00</t>
  </si>
  <si>
    <t>　　2月10日，上汽大众工厂正式复工并启动生产工作，疫情对上汽大众生产的影响总体可控。与此同时，上汽大众研发、质保、采购、安全保障等部门员工已经正式到岗。　　为应对新冠肺炎疫情，上汽大众成立了一支约500人左右的志愿者队伍。根据公司疫情防控工作措施和复工需求，共分6支队伍分布在场景模拟、测量体温、员</t>
  </si>
  <si>
    <t>2月10日，上汽大众工厂正式复工并启动生产工作，疫情对上汽大众生产的影响总体可控。与此同时，上汽大众研发、质保、采购、安全保障等部门员工已经正式到岗。    为应对新冠肺炎疫情，上汽大众成立了一支约500人左右的志愿者队伍。根据公司疫情防控工作措施和复工需求，共分6支队伍分布在场景模拟、测量体温、员</t>
  </si>
  <si>
    <t>刚启动时，踩刹车发动机下面异响，停下等红绿灯，踩刹车停下后有四秒左右，车子后面会嘎达一声响，然后起步后面也会嘎达一声响。</t>
  </si>
  <si>
    <t>2020/02/11 12:54:36</t>
  </si>
  <si>
    <t>据外媒报道，特斯拉CEO埃隆·马斯克（Elon Musk）对汽车消费者提出了警告。他认为消费者在购买车辆的时候应该考虑到这样一点：向电动汽车的过渡有可能“使汽油/柴油车辆的剩余价值在未来几年内大幅降低”。    去年马斯克曾声称，由于特斯拉车辆将具有自动驾驶能力，因此现在购买此车其实属于“资产增值”</t>
  </si>
  <si>
    <t>2020/02/11 12:50:00</t>
  </si>
  <si>
    <t>　　据外媒报道，特斯拉CEO埃隆・马斯克（Elon Musk）对汽车消费者提出了警告。他认为消费者在购买车辆的时候应该考虑到这样一点：向电动汽车的过渡有可能“使汽油/柴油车辆的剩余价值在未来几年内大幅降低”。　　去年马斯克曾声称，由于特斯拉车辆将具有自动驾驶能力，因此现在购买此车其实属于“资产增值”</t>
  </si>
  <si>
    <t>汽车商业险如何购买选择？</t>
  </si>
  <si>
    <t>2020/02/11 12:47:37</t>
  </si>
  <si>
    <t>　　Q7是奥迪旗下的一款中大型SUV，与奔驰GLE、宝马X5、沃尔沃XC90为同级车型，该款车型于2006年以进口形式引入国内市场销售，凭借着亲民的售价区间，很快便收获了不错的市场反响。近日据海外媒体报道，奥迪针对美国市场推出了Q7 45 TFSI Premium Plus入门版车型，新车海外市场起</t>
  </si>
  <si>
    <t>2020/02/11 12:45:00</t>
  </si>
  <si>
    <t>Q7是奥迪旗下的一款中大型SUV，与奔驰GLE、宝马X5、沃尔沃XC90为同级车型，该款车型于2006年以进口形式引入国内市场销售，凭借着亲民的售价区间，很快便收获了不错的市场反响。近日据海外媒体报道，奥迪针对美国市场推出了Q7 45 TFSI Premium Plus入门版车型，新车海外市场起售价</t>
  </si>
  <si>
    <t>　　在巴黎举办的“复古车展”期间，兰博基尼发布了由官方经典车修复中心Polo Storico原厂修复的稀有经典车Miura SVJ（SV Jota的简称）。作为兰博基尼Miura SV的特殊版本，该车当年总共仅生产了5台，时至今日已经相当珍贵。　　此次经原厂修复并展出的Miura SVJ底盘编号为4</t>
  </si>
  <si>
    <t>2020/02/11 12:43:00</t>
  </si>
  <si>
    <t>在巴黎举办的“复古车展”期间，兰博基尼发布了由官方经典车修复中心Polo Storico原厂修复的稀有经典车Miura SVJ（SV Jota的简称）。作为兰博基尼Miura SV的特殊版本，该车当年总共仅生产了5台，时至今日已经相当珍贵。    此次经原厂修复并展出的Miura SVJ底盘编号为4</t>
  </si>
  <si>
    <t>　　我们从相关渠道获悉，全新一代丰田YARiS官图正式发布。新车基于TNGA架构下的GA-B小型车平台打造，采用全新的外观与内饰设计，并提供1.0L自吸、1.5L自吸以及1.5混动三种动力系统。　　新车为YARiS家族的第四代车型，设计语言延续了上一代欧版YARiS小巧、灵动的风格，有着非常活泼的视</t>
  </si>
  <si>
    <t>2020/02/11 12:38:00</t>
  </si>
  <si>
    <t>我们从相关渠道获悉，全新一代丰田YARiS官图正式发布。新车基于TNGA架构下的GA-B小型车平台打造，采用全新的外观与内饰设计，并提供1.0L自吸、1.5L自吸以及1.5混动三种动力系统。    新车为YARiS家族的第四代车型，设计语言延续了上一代欧版YARiS小巧、灵动的风格，有着非常活泼的视</t>
  </si>
  <si>
    <t>在2019年11月，特斯拉宣布计划投资40亿欧元(约合44亿美元)在德国柏林建厂。近日了解到，德国经济和能源部长彼得·阿尔特迈尔表示，特斯拉计划在柏林建造的超级工厂有望获得国家财政补贴。    受欧盟制定的严格碳排放法规，燃油发动机将逐渐淘汰，德国政府拨出资金用于扶持激励当地制造电动汽车电池的企业。</t>
  </si>
  <si>
    <t>2020/02/11 12:37:00</t>
  </si>
  <si>
    <t>　　在2019年11月，特斯拉宣布计划投资40亿欧元(约合44亿美元)在德国柏林建厂。近日了解到，德国经济和能源部长彼得・阿尔特迈尔表示，特斯拉计划在柏林建造的超级工厂有望获得国家财政补贴。　　受欧盟制定的严格碳排放法规，燃油发动机将逐渐淘汰，德国政府拨出资金用于扶持激励当地制造电动汽车电池的企业。</t>
  </si>
  <si>
    <t>我们从上汽名爵官方获悉，名爵1月全球共销售22,460辆新车，同比增长8.33%。据悉，企业将在今年推出新款名爵6和名爵HS在内的3款车型。    企业1月全球销售达22,460辆，实现了8.33%同比增长速率。而销量增长离不开优秀的产品，全新一代名爵ZS、名爵6等车型均取得不错的成绩，上市不久的e</t>
  </si>
  <si>
    <t>2020/02/11 12:35:00</t>
  </si>
  <si>
    <t>　　我们从上汽名爵官方获悉，名爵1月全球共销售22,460辆新车，同比增长8.33%。据悉，企业将在今年推出新款名爵6和名爵HS在内的3款车型。　　企业1月全球销售达22,460辆，实现了8.33%同比增长速率。而销量增长离不开优秀的产品，全新一代名爵ZS、名爵6等车型均取得不错的成绩，上市不久的e</t>
  </si>
  <si>
    <t>成立于2009年的Rivian在2018年11月发布了纯电动皮卡R1T。与特斯拉的Cybertruck相比，R1T抢占了先机。日前，我们从国家知识产权局了解到，瑞维安知识产权控股有限责任公司申请了R1T的设计专利。Rivian在中国申请R1T的设计专利，目前无法证明是否会把此车引入国内，但不排除未来</t>
  </si>
  <si>
    <t>2020/02/11 12:33:00</t>
  </si>
  <si>
    <t>　　成立于2009年的Rivian在2018年11月发布了纯电动皮卡R1T。与特斯拉的Cybertruck相比，R1T抢占了先机。日前，我们从国家知识产权局了解到，瑞维安知识产权控股有限责任公司申请了R1T的设计专利。Rivian在中国申请R1T的设计专利，目前无法证明是否会把此车引入国内，但不排除</t>
  </si>
  <si>
    <t>2020/02/11 12:30:50</t>
  </si>
  <si>
    <t>投诉编号：【446877】
投诉时间： 2020-02-11 12:26
投诉品牌： 奇瑞捷豹路虎
投诉车系： 发现神行
投诉车型： 2017款 2.0T HSE</t>
  </si>
  <si>
    <t>2020/02/11 12:30:28</t>
  </si>
  <si>
    <t>投诉编号：【446873】
投诉时间： 2020-02-11 12:05
投诉品牌： 郑州日产
投诉车系： 途达
投诉车型： 2020款 2.5L 自动 四驱 旗舰版</t>
  </si>
  <si>
    <t>　　日前，HAAH Automotive Holdings（美国汽车销售商汉姆控股公司）宣布正式成立全新品牌――Vantas，该品牌旨在美国生产和销售豪华车。同时该公司现已与奇瑞建立合作关系，其在美国推出的首款新车将是星途TX/TXL的姊妹车型。HAAH董事长兼首席执行官杜克・黑尔（Duke Hal</t>
  </si>
  <si>
    <t>2020/02/11 12:30:00</t>
  </si>
  <si>
    <t>日前，HAAH Automotive Holdings（美国汽车销售商汉姆控股公司）宣布正式成立全新品牌——Vantas，该品牌旨在美国生产和销售豪华车。同时该公司现已与奇瑞建立合作关系，其在美国推出的首款新车将是星途TX/TXL的姊妹车型。HAAH董事长兼首席执行官杜克·黑尔（Duke Hale）</t>
  </si>
  <si>
    <t xml:space="preserve">作为国内合资中型车市场的领军人物，大众帕萨特在2019年1-12月累计销量达到了193,502台，其销量数据也已超越同级对手丰田凯美瑞，并与本田雅阁不相上下。近日据海外媒体报道，大众汽车已确认将于2021年正式投产帕萨特纯电版车型，并将于2022年内率先登陆海外经销商处开售。（配图均为燃油版车型） </t>
  </si>
  <si>
    <t>2020/02/11 12:27:00</t>
  </si>
  <si>
    <t>　　作为国内合资中型车市场的领军人物，大众帕萨特在2019年1-12月累计销量达到了193,502台，其销量数据也已超越同级对手丰田凯美瑞，并与本田雅阁不相上下。近日据海外媒体报道，大众汽车已确认将于2021年正式投产帕萨特纯电版车型，并将于2022年内率先登陆海外经销商处开售。（配图均为燃油版车型</t>
  </si>
  <si>
    <t>2020/02/11 12:26:59</t>
  </si>
  <si>
    <t>投诉编号：【446872】
投诉时间： 2020-02-11 12:00
投诉品牌： 上汽斯柯达
投诉车系： 明锐
投诉车型： 2018款 TSI280 DSG 豪华版</t>
  </si>
  <si>
    <t>　　RX5是荣威旗下最畅销车型，一直以来都是与哈弗H6、吉利博越等同台竞技的热销SUV。根据此前官方发布的消息，荣威RX5将于今年迎来其换代车型，目前已进行了申报。近日我们获取到了一组全新一代荣威RX5的详细动力信息，相比现款在售车型，动力参数进行了小幅调整。　　动力部分，全新一代RX5相比现款车型</t>
  </si>
  <si>
    <t>2020/02/11 12:26:00</t>
  </si>
  <si>
    <t>RX5是荣威旗下最畅销车型，一直以来都是与哈弗H6、吉利博越等同台竞技的热销SUV。根据此前官方发布的消息，荣威RX5将于今年迎来其换代车型，目前已进行了申报。近日我们获取到了一组全新一代荣威RX5的详细动力信息，相比现款在售车型，动力参数进行了小幅调整。    动力部分，全新一代RX5相比现款车型</t>
  </si>
  <si>
    <t>　　前不久，长城汽车旗下哈弗、WEY、欧拉、长城皮卡四大品牌，推出了针对疫情防控的用户“无忧用车五大保障”和“五心关爱行动”。面对疫情，出于对客户安全的考虑，哈弗SUV又推出三大举措，于2月10日开启了“为爱行动 众志长城――足不出户，送‘弗’到家 ”系列活动，在家就能无忧购车、尽兴购车。　　  1</t>
  </si>
  <si>
    <t>2020/02/11 12:24:00</t>
  </si>
  <si>
    <t>投诉编号：【446876】  投诉时间： 2020-02-11 12:24  投诉品牌： 林肯  投诉车系： 大陆  投诉车型： 2017款 2.0T 两驱 尊耀版        投诉内容  10月底经历第一次整车无电，报修打了400电话，来的是第三方维修公司建议换电池我不信任，后来选择一家熟悉的汽</t>
  </si>
  <si>
    <t>前不久，长城汽车旗下哈弗、WEY、欧拉、长城皮卡四大品牌，推出了针对疫情防控的用户“无忧用车五大保障”和“五心关爱行动”。面对疫情，出于对客户安全的考虑，哈弗SUV又推出三大举措，于2月10日开启了“为爱行动 众志长城——足不出户，送‘弗’到家 ”系列活动，在家就能无忧购车、尽兴购车。    1、足</t>
  </si>
  <si>
    <t>投诉编号：【446875】  投诉时间： 2020-02-11 12:22  投诉品牌： 长城汽车  投诉车系： 哈弗M6  投诉车型： 2019款 1.5T 手动 两驱 精英型 国V        投诉内容  中控台内部钢管生锈严重，车身行驶异响，方向向左跑偏。      投诉回复  车质网已将您</t>
  </si>
  <si>
    <t>2020/02/11 12:22:00</t>
  </si>
  <si>
    <t>　　特斯拉为Model S、Model X以及Cybertruck车型配备了自适应空气悬架。简单来说，这款由特斯拉自主研发的空气悬架能够根据GPS系统定位和车辆周边的行驶环境自动进行悬架高低和软硬调节，从而满足其日常路况的通过性，以及驾驶员对于车辆舒适性和操控性的需求。　　日前，有媒体发现特斯拉Mo</t>
  </si>
  <si>
    <t>特斯拉为Model S、Model X以及Cybertruck车型配备了自适应空气悬架。简单来说，这款由特斯拉自主研发的空气悬架能够根据GPS系统定位和车辆周边的行驶环境自动进行悬架高低和软硬调节，从而满足其日常路况的通过性，以及驾驶员对于车辆舒适性和操控性的需求。    日前，有媒体发现特斯拉Mo</t>
  </si>
  <si>
    <t>日前，有海外媒体曝光了一组布加迪新车型的谍照，同时根据海外媒体的预测，新车将基于布加迪Chiron打造，或命名为Chiron R。此外，该车将在3月3日开幕的2020年日内瓦车展上正式发布。『此前布加迪发布的新车型预告图』『此次发布的新车型谍照』    新车预计将定位在Chiron Sport和Ch</t>
  </si>
  <si>
    <t>2020/02/11 12:19:00</t>
  </si>
  <si>
    <t>　　日前，有海外媒体曝光了一组布加迪新车型的谍照，同时根据海外媒体的预测，新车将基于布加迪Chiron打造，或命名为Chiron R。此外，该车将在3月3日开幕的2020年日内瓦车展上正式发布。『此前布加迪发布的新车型预告图』『此次发布的新车型谍照』　　新车预计将定位在Chiron Sport和Ch</t>
  </si>
  <si>
    <t>2019年特斯拉产销量均超过30万辆，创下历史新高。为提高产能，特斯拉在上海建立超级工厂，同时在德国建厂计划也浮出水面。不过，特斯拉并不满足于此。日前，特斯拉CEO埃隆·马斯克表示，为推动电动汽车产能增长，特斯拉计划在每个洲建设一座超级工厂。    作为电动汽车行业明星企业，特斯拉发展如日中天，产能</t>
  </si>
  <si>
    <t>2020/02/11 12:18:00</t>
  </si>
  <si>
    <t>　　2019年特斯拉产销量均超过30万辆，创下历史新高。为提高产能，特斯拉在上海建立超级工厂，同时在德国建厂计划也浮出水面。不过，特斯拉并不满足于此。日前，特斯拉CEO埃隆・马斯克表示，为推动电动汽车产能增长，特斯拉计划在每个洲建设一座超级工厂。　　作为电动汽车行业明星企业，特斯拉发展如日中天，产能</t>
  </si>
  <si>
    <t>近日，菲亚特对外发布了全新一代Strada车型的预告图，新车有望在11月份开幕的巴西圣保罗车展期间正式亮相。『全新一代Strada预告图』『菲亚特Toro』    作为一款身材颇为“迷你”的皮卡，Strada在南美市场有着不错的销量，此次公布的预告图展示了Strada侧面的车身线条，新车整体造型与“</t>
  </si>
  <si>
    <t>2020/02/11 12:17:00</t>
  </si>
  <si>
    <t>　　近日，菲亚特对外发布了全新一代Strada车型的预告图，新车有望在11月份开幕的巴西圣保罗车展期间正式亮相。『全新一代Strada预告图』『菲亚特Toro』　　作为一款身材颇为“迷你”的皮卡，Strada在南美市场有着不错的销量，此次公布的预告图展示了Strada侧面的车身线条，新车整体造型与“</t>
  </si>
  <si>
    <t>日前，有海外媒体报道称，全新保时捷911 Turbo/Turbo S将于2020年3月3日开幕的日内瓦车展正式首发。作为性能更强的911车型，此前在2019洛杉矶车展“跳票”的全新911 Turbo系列也终于将露出真容，新车预计将拥有超过600马力以上的最大功率。而在本届日内瓦车展上，全新保时捷91</t>
  </si>
  <si>
    <t>2020/02/11 12:15:00</t>
  </si>
  <si>
    <t>　　日前，有海外媒体报道称，全新保时捷911 Turbo/Turbo S将于2020年3月3日开幕的日内瓦车展正式首发。作为性能更强的911车型，此前在2019洛杉矶车展“跳票”的全新911 Turbo系列也终于将露出真容，新车预计将拥有超过600马力以上的最大功率。而在本届日内瓦车展上，全新保时捷</t>
  </si>
  <si>
    <t>　　日前，我们从相关渠道获得了一组纳智捷全新SUV车型的测试谍照。根据谍照显示，该车未来将根据配置不同提供两种外观套件，并且在动力方面也将推出常规燃油版和插电式混合动力版，从而进一步提升车辆的燃油经济性。　　外观方面，新车整体被贴附较为严格的伪装贴纸，但通过细节仍可看出端倪。例如，新车采用了纳智捷家</t>
  </si>
  <si>
    <t>2020/02/11 12:07:00</t>
  </si>
  <si>
    <t>日前，我们从相关渠道获得了一组纳智捷全新SUV车型的测试谍照。根据谍照显示，该车未来将根据配置不同提供两种外观套件，并且在动力方面也将推出常规燃油版和插电式混合动力版，从而进一步提升车辆的燃油经济性。    外观方面，新车整体被贴附较为严格的伪装贴纸，但通过细节仍可看出端倪。例如，新车采用了纳智捷家</t>
  </si>
  <si>
    <t>投诉编号：【446871】  投诉时间： 2020-02-11 11:59  投诉品牌： 上汽通用五菱  投诉车系： 宝骏360  投诉车型： 2019款 1.5L 手动 精英型 国VI        投诉内容  买车两个月出现第一次维修碳罐电磁阀，过了一个月又换了一次，今天20年2月11号出现第三</t>
  </si>
  <si>
    <t>2020/02/11 11:59:00</t>
  </si>
  <si>
    <t>2020/02/11 11:58:21</t>
  </si>
  <si>
    <t>投诉编号：【446870】
投诉时间： 2020-02-11 11:50
投诉品牌： 奇瑞汽车
投诉车系： 艾瑞泽5
投诉车型： 2017款 1.5T 手动 时尚版 SPORT</t>
  </si>
  <si>
    <t>投诉编号：【446869】投诉时间：2020-02-1111:41投诉品牌：上汽大众投诉车系：朗逸投诉车型：2019款280TSIDSG舒适版国VI投诉内容该经销商，私加所谓的玻璃无优包，服务费4000元无任何服务说明以及证明文件、发票，导航安装费500元，在安装导航中因操作不当还把主驾驶中控靠门的</t>
  </si>
  <si>
    <t>2020/02/11 11:41:00</t>
  </si>
  <si>
    <t>　　在去年二月，有内部人士表示保时捷将会在2022年或2023年放弃生产内燃机版本的Macan，将仅生产纯电动车型。而近日，有外媒援引保时捷内部人士的话称，内燃机动力版本的Macan至少将会再生产三年，这意味着这个版本至少在2024年前不会停产。　　据外媒报道，保时捷在2021年将会首次亮相Maca</t>
  </si>
  <si>
    <t>2020/02/11 11:30:00</t>
  </si>
  <si>
    <t>在去年二月，有内部人士表示保时捷将会在2022年或2023年放弃生产内燃机版本的Macan，将仅生产纯电动车型。而近日，有外媒援引保时捷内部人士的话称，内燃机动力版本的Macan至少将会再生产三年，这意味着这个版本至少在2024年前不会停产。    据外媒报道，保时捷在2021年将会首次亮相Maca</t>
  </si>
  <si>
    <t>日前，英国跑车品牌BAC（Briggs Automotive Company）发布了旗下车型BAC Mono Final Edition（译为：最终版）的官图。作为BAC旗下唯一的车型，Mono自2011年发布以来一直以独特的单座式设计和高性能著称，而该车型也终于将在2020年迎来终结。BAC Mo</t>
  </si>
  <si>
    <t>2020/02/11 11:28:00</t>
  </si>
  <si>
    <t xml:space="preserve">　　日前，英国跑车品牌BAC（Briggs Automotive Company）发布了旗下车型BAC Mono Final Edition（译为：最终版）的官图。作为BAC旗下唯一的车型，Mono自2011年发布以来一直以独特的单座式设计和高性能著称，而该车型也终于将在2020年迎来终结。BAC </t>
  </si>
  <si>
    <t>投诉编号：【446866】  投诉时间： 2020-02-11 11:27  投诉品牌： 东风本田  投诉车系： 思域  投诉车型： 2016款 220TURBO 自动 尊贵版        投诉内容  昨天2020.2.10日，发现汽车前挡风玻璃，副驾驶一侧下边缘泛白，有一条白线，有无质量问题？请</t>
  </si>
  <si>
    <t>2020/02/11 11:27:00</t>
  </si>
  <si>
    <t>投诉编号：【446864】投诉时间：2020-02-1111:27投诉品牌：东风悦达起亚投诉车系：智跑投诉车型：2019款2.0L自动智享豪华版投诉内容发动机怠速嘀嗒嘀嗒嘀嗒响，开起来也响，起初以为是冷启动，到开了几分钟还是嘀嗒嘀嗒响！投诉回复车质网已将您的投诉转给生产企业以及国家市场监督管理总局缺</t>
  </si>
  <si>
    <t>　　保时捷718 Cayman GT4等高性能车型将搭载PDK变速箱的传闻差不多以及传了5年了，知道这次《EVO》才证实了，新款718 Cayman GT4和718 Boxter Spyder将提供PDK双离合变速箱以提升加速性能，在此之前这两款车型为了凸显其驾驶乐趣只提供了6速手动变速箱，此举将进</t>
  </si>
  <si>
    <t>2020/02/11 11:26:00</t>
  </si>
  <si>
    <t>保时捷718 Cayman GT4等高性能车型将搭载PDK变速箱的传闻差不多以及传了5年了，知道这次《EVO》才证实了，新款718 Cayman GT4和718 Boxter Spyder将提供PDK双离合变速箱以提升加速性能，在此之前这两款车型为了凸显其驾驶乐趣只提供了6速手动变速箱，此举将进一步</t>
  </si>
  <si>
    <t>2020/02/11 11:24:08</t>
  </si>
  <si>
    <t>投诉编号：【446860】
投诉时间： 2020-02-11 11:11
投诉品牌： 北京现代
投诉车系： 现代ix35
投诉车型： 2013款 2.0L 自动 两驱 领先型GLX 国V</t>
  </si>
  <si>
    <t>　　近日据海外媒体报道，日产在澳大利亚推出了两款特别版SUV车型，分别为Pathfinder N-Trek中大型SUV以及逍客N-Sport紧凑级SUV。其中Pathfinder N-Trek车型起售价为31,605美元（约为23万人民币），逍客N-Sport车型起售价为23,615美元（约为17万</t>
  </si>
  <si>
    <t>2020/02/11 11:24:00</t>
  </si>
  <si>
    <t>近日据海外媒体报道，日产在澳大利亚推出了两款特别版SUV车型，分别为Pathfinder N-Trek中大型SUV以及逍客N-Sport紧凑级SUV。其中Pathfinder N-Trek车型起售价为31,605美元（约为23万人民币），逍客N-Sport车型起售价为23,615美元（约为17万人民</t>
  </si>
  <si>
    <t>鉴于疫情防控严峻形势，车管所将暂停业务，如需办理有这三建议新型冠状病毒的爆发，严重影响了我们平常的生活，本来过年应该是热热闹闹的，各家各户的串门，家人一去旅游。结果这疫情的爆发，现在人们可不敢去人群密集的地方，本来过年应该很多人的景点、电影院等啊，都没什么人去了，现在都是提倡老实待在家里，防止病毒传</t>
  </si>
  <si>
    <t>最爱凯越</t>
  </si>
  <si>
    <t>2020/02/11 11:17:00</t>
  </si>
  <si>
    <t>鉴于疫情防控严峻形势，车管所将暂停业务，如需办理有这三建议鉴于疫情防控严峻形势，车管所将暂停业务，如需办理有这三建议新型冠状病毒的爆发，严重影响了我们平常的生活，本来过年应该是热热闹闹的，各家各户的串门，家人一去旅游。结果这疫情的爆发，现在人们可不敢去人群密集的地方，本来过年应该很多人的景点、电影院</t>
  </si>
  <si>
    <t>　　C4 Aircross是雪铁龙旗下的一款紧凑级SUV车型，该款车型曾于2012年-2013年以进口形式引入国内市场进行销售。近日海外媒体曝光了一组雪铁龙全新C4 Aircross路试谍照图，新车对外观进行了全面升级，并有望在今年下半年正式亮相。　　动力方面，新车将基于PSA Groupe的CMP</t>
  </si>
  <si>
    <t>2020/02/11 11:12:00</t>
  </si>
  <si>
    <t>C4 Aircross是雪铁龙旗下的一款紧凑级SUV车型，该款车型曾于2012年-2013年以进口形式引入国内市场进行销售。近日海外媒体曝光了一组雪铁龙全新C4 Aircross路试谍照图，新车对外观进行了全面升级，并有望在今年下半年正式亮相。    动力方面，新车将基于PSA Groupe的CMP</t>
  </si>
  <si>
    <t>近日据海外媒体报道，大众汽车首次亮相了旗下Polo曼联特别版车型，以此版本来纪念与最重要的足球赛事之一的欧洲杯2020年的合作。目前大众Polo United已在西班牙发售，新车共计推出5款车型，海外市场起售价为18,636欧元（约为15万人民币）。    动力方面，新车将搭载1.0T（低/高功率）</t>
  </si>
  <si>
    <t>2020/02/11 11:10:00</t>
  </si>
  <si>
    <t>　　近日据海外媒体报道，大众汽车首次亮相了旗下Polo曼联特别版车型，以此版本来纪念与最重要的足球赛事之一的欧洲杯2020年的合作。目前大众Polo United已在西班牙发售，新车共计推出5款车型，海外市场起售价为18,636欧元（约为15万人民币）。　　动力方面，新车将搭载1.0T（低/高功率）</t>
  </si>
  <si>
    <t>东风启辰在去年底发布了基于VSA架构打造的全新SUV——启辰星，预计今年3月底或4月初正式上市。近日，我们获得了该车的动力信息。新车搭载源自沈阳航天三菱的1.5T发动机并匹配48V轻混系统，自动挡车型每百公里综合油耗仅6.1L，低于荣威RX5 MAX和长安CS75 PLUS等竞品。    启辰星所搭</t>
  </si>
  <si>
    <t>2020/02/11 11:09:00</t>
  </si>
  <si>
    <t>　　东风启辰在去年底发布了基于VSA架构打造的全新SUV――启辰星，预计今年3月底或4月初正式上市。近日，我们获得了该车的动力信息。新车搭载源自沈阳航天三菱的1.5T发动机并匹配48V轻混系统，自动挡车型每百公里综合油耗仅6.1L，低于荣威RX5 MAX和长安CS75 PLUS等竞品。　　启辰星所搭</t>
  </si>
  <si>
    <t>　　凌派是广汽本田在紧凑级轿车领域的重磅产品，通过大气的外观和越级的车身尺寸，广受家用消费者的青睐，不过该车目前仅有1.0T三缸发动机，不少消费者希望有更多的动力选择。近日，我们获取了广汽本田凌派1.5L混动版的详细动力信息，自动挡车型百公里综合油耗仅4L，动力强于卡罗拉/雷凌双擎等竞品。新车或于上</t>
  </si>
  <si>
    <t>2020/02/11 11:07:00</t>
  </si>
  <si>
    <t>凌派是广汽本田在紧凑级轿车领域的重磅产品，通过大气的外观和越级的车身尺寸，广受家用消费者的青睐，不过该车目前仅有1.0T三缸发动机，不少消费者希望有更多的动力选择。近日，我们获取了广汽本田凌派1.5L混动版的详细动力信息，自动挡车型百公里综合油耗仅4L，动力强于卡罗拉/雷凌双擎等竞品。新车或于上半年</t>
  </si>
  <si>
    <t>尽管2019年整体乘用车市场不可避免的再一次出现降幅，但是奥迪今年的销量还是可以被期待的。毕竟，当下的销售模式能够保住市场份额，而对于国产新车，奥迪也从未松懈过。按排序，下一款换代车型无疑是奥迪A3。据悉，首台全新奥迪A3整车已经在一汽-大众青鸟工厂下线，并举行了AU380/1 CN_K项目首台整车</t>
  </si>
  <si>
    <t>落地55万喜提奥迪Q7，才开了2060公里，车主却憋一肚子要说！车型：2019款2.0TFI奥迪Q7，车身价51万。外观部分，大家可以看到这辆车不是矩阵式的大灯，如果加装要1.4万，我觉得配置下灯的照度完全是够用了。家族式设计语言的前脸给我们感觉这一代的Q7很动感很运动，我觉得这款车虽然说动力弱了，</t>
  </si>
  <si>
    <t>看完全新奥迪A3 内心还是有些小激动尽管2019年整体乘用车市场不可避免的再一次出现降幅，但是奥迪今年的销量还是可以被期待的。毕竟，当下的销售模式能够保住市场份额，而对于国产新车，奥迪也从未松懈过。按排序，下一款换代车型无疑是奥迪A3。据悉，首台全新奥迪A3整车已经在一汽-大众青鸟工厂下线，并举行了</t>
  </si>
  <si>
    <t>落地55万喜提奥迪Q7 才开了2060公里落地55万喜提奥迪Q7，才开了2060公里，车主却憋一肚子要说！车型：2019款2.0TFI奥迪Q7，车身价51万。外观部分，大家可以看到这辆车不是矩阵式的大灯，如果加装要1.4万，我觉得配置下灯的照度完全是够用了。家族式设计语言的前脸给我们感觉这一代的Q7</t>
  </si>
  <si>
    <t>　　XC60是沃尔沃旗下的一款中型SUV，该款车型早于2009年以进口形式引入国内市场销售，其亚太版车型于2015年正式登陆国内市场开售。虽然XC60市场销量并没有奔驰GLC、宝马X3、奥迪Q5等车型高涨，但凭借着出色的车辆安全性，还是受到了国内诸多消费们的关注。　　近日据海外媒体报道，沃尔沃XC6</t>
  </si>
  <si>
    <t>2020/02/11 11:06:00</t>
  </si>
  <si>
    <t>XC60是沃尔沃旗下的一款中型SUV，该款车型早于2009年以进口形式引入国内市场销售，其亚太版车型于2015年正式登陆国内市场开售。虽然XC60市场销量并没有奔驰GLC、宝马X3、奥迪Q5等车型高涨，但凭借着出色的车辆安全性，还是受到了国内诸多消费们的关注。    近日据海外媒体报道，沃尔沃XC6</t>
  </si>
  <si>
    <t>今日有外媒体报道，丰田汽车将于2020年内推出一款全新的微型纯电动代步车型。该车为短途出行代步设计，预计只能乘坐两个人。新车电池组具备简单拆卸、可重复利用的特点。此前在2019的东京车展期间，丰田发布了一款名为Ultra-compact BEV的概念车，新车定位2门纯电微型车，主要针对日常通勤、短途</t>
  </si>
  <si>
    <t>2020/02/11 11:05:00</t>
  </si>
  <si>
    <t>2020芝加哥车展正式开幕，此次车展上，丰田汽车带来了塔库玛、坦途及红杉的特别版本——Nightshade限量版。塔库玛Tacoma特别版还采用18英寸Dark Smoke铝合金轮圈、黑色排气管和黑色雾灯边框等。塔库玛Tacoma特别版还采用18英寸Dark Smoke铝合金轮圈、黑色排气管和黑色雾</t>
  </si>
  <si>
    <t>　　在中国suv汽车市场，小型suv虽然占比不算最大，但颇受众多年轻消费群的喜爱，除了合理的价格，他们也很欣赏小型suv个性张扬的设计，当然对实用性、操控性和配置也满怀期待。在这个细分市场，车型众多，竞争激烈，这其中，斯柯达柯米克gt、广汽本田缤智和上汽大众途铠都是小型suv市场中的热点车型，它们是</t>
  </si>
  <si>
    <t>丰田涉足老年代步车 将推出全新微型纯电动汽车今日有外媒体报道，丰田汽车将于2020年内推出一款全新的微型纯电动代步车型。该车为短途出行代步设计，预计只能乘坐两个人。新车电池组具备简单拆卸、可重复利用的特点。此前在2019的东京车展期间，丰田发布了一款名为Ultra-compact BEV的概念车，新</t>
  </si>
  <si>
    <t>丰田发布Nightshade限量版SUV 全球限量发布5000辆2020芝加哥车展正式开幕，此次车展上，丰田汽车带来了塔库玛、坦途及红杉的特别版本——Nightshade限量版。塔库玛Tacoma特别版还采用18英寸Dark Smoke铝合金轮圈、黑色排气管和黑色雾灯边框等。塔库玛Tacoma特别版</t>
  </si>
  <si>
    <t>别克君越在国内有相当长的历史，上汽通用一共生产了三代君越车型。三代车型都可谓是非常成功，尤其是前两代车型，在国内商务和家用市场都有着不错的口碑。目前在售的君越曾经一度销量也不错，路上能见度很高。这一代车型在2019年一季度进行了中期改款，2019款君越对外观进行了较大的修改，并且在动力系统上也有所调</t>
  </si>
  <si>
    <t>2020/02/11 11:04:00</t>
  </si>
  <si>
    <t>车长超5米 全系2.0T+9AT 新款别克君越值得买吗别克君越在国内有相当长的历史，上汽通用一共生产了三代君越车型。三代车型都可谓是非常成功，尤其是前两代车型，在国内商务和家用市场都有着不错的口碑。目前在售的君越曾经一度销量也不错，路上能见度很高。这一代车型在2019年一季度进行了中期改款，2019</t>
  </si>
  <si>
    <t xml:space="preserve">日前，兰博基尼官方正式发布了Huracán EVO RWD的官图。从图片来看，后驱版Huracán EVO在前保造型、车尾扩散器等细节上与四驱版车型有所不同。动力方面，新车搭载一台5.2升V10自然吸气发动机，最大功率610马力，最大扭矩560牛·米，百公里加速时间仅需3.3秒。左：Huracán </t>
  </si>
  <si>
    <t>2020/02/11 11:03:00</t>
  </si>
  <si>
    <t>仅售254万 兰博基尼Huracán EVO RWD来了日前，兰博基尼官方正式发布了Huracán EVO RWD的官图。从图片来看，后驱版Huracán EVO在前保造型、车尾扩散器等细节上与四驱版车型有所不同。动力方面，新车搭载一台5.2升V10自然吸气发动机，最大功率610马力，最大扭矩560</t>
  </si>
  <si>
    <t>2020/02/11 11:02:00</t>
  </si>
  <si>
    <t>很多驾驶员在开车的时候，会发现前挡玻璃脏了之后用雨刮怎么也刮不干净，尤其到了下雨天或是夜晚，更是非常模糊，影响视线，是非常严重的安全隐患。车窗玻璃如果刮不干净，有几种情况。一是雨刮胶条长时间未更换，老化变硬，这样的雨刮对于使用是有影响的，建议及时更换。一般来说，雨刮需要每年更换，保持其良好性能状态。</t>
  </si>
  <si>
    <t>车辆的前挡玻璃雨刮总是刮不干净很多驾驶员在开车的时候，会发现前挡玻璃脏了之后用雨刮怎么也刮不干净，尤其到了下雨天或是夜晚，更是非常模糊，影响视线，是非常严重的安全隐患。车窗玻璃如果刮不干净，有几种情况。一是雨刮胶条长时间未更换，老化变硬，这样的雨刮对于使用是有影响的，建议及时更换。一般来说，雨刮需要</t>
  </si>
  <si>
    <t>轮胎上的各种字符都表示什么意思普通家用车的轮胎在使用四年或者六万公里左右就需要更换了。广大车主朋友在更换轮胎时往往都很纠结，一方面是不知道换什么样的轮胎好，另一方面看不懂轮胎上密密麻麻的数字、字母和符号。今天我们就来说说汽车轮胎上的各种字符都表示什么意思，家用车的轮胎又该怎样选择呢？汽车轮胎上的各种</t>
  </si>
  <si>
    <t>2020/02/11 11:01:00</t>
  </si>
  <si>
    <t>普通家用车的轮胎在使用四年或者六万公里左右就需要更换了。广大车主朋友在更换轮胎时往往都很纠结，一方面是不知道换什么样的轮胎好，另一方面看不懂轮胎上密密麻麻的数字、字母和符号。今天我们就来说说汽车轮胎上的各种字符都表示什么意思，家用车的轮胎又该怎样选择呢？汽车轮胎上的各种字符，总体来说可以分为几个部分</t>
  </si>
  <si>
    <t>刚过年检的车就出现故障刚过年检的车就出现故障，检测站该不该负责？检测站：没那义务！客观来说，汽车年检是一件好事，它可以将车辆潜在的危险提前扼杀，来减少事故率，避免驾乘人员收到危害。但是，实际年检中存在的诸多问题却不得不让人重新审视车检的意义。一辆刚顺利通过车辆年检没几天的车，却因为年检合格部位出现了</t>
  </si>
  <si>
    <t>2020/02/11 11:00:00</t>
  </si>
  <si>
    <t>导读：现实生活中，借车这事常有。借车给别人出了事故，责任怎么划分呢?借车给别人，都要担责吗?侵权责任法第四十九条规定：因租赁、借用等情形机动车所有人与使用人不是同一人时，发生交通事故后属于该机动车一方责任的，由保险公司在机动车强制保险责任限额范围内予以赔偿。不足部分，由机动车使用人承担赔偿责任;机动</t>
  </si>
  <si>
    <t>刚过年检的车就出现故障，检测站该不该负责？检测站：没那义务！客观来说，汽车年检是一件好事，它可以将车辆潜在的危险提前扼杀，来减少事故率，避免驾乘人员收到危害。但是，实际年检中存在的诸多问题却不得不让人重新审视车检的意义。一辆刚顺利通过车辆年检没几天的车，却因为年检合格部位出现了故障而引发事故！在这种</t>
  </si>
  <si>
    <t>借车给他人出事故导读：现实生活中，借车这事常有。借车给别人出了事故，责任怎么划分呢?借车给别人，都要担责吗?侵权责任法第四十九条规定：因租赁、借用等情形机动车所有人与使用人不是同一人时，发生交通事故后属于该机动车一方责任的，由保险公司在机动车强制保险责任限额范围内予以赔偿。不足部分，由机动车使用人承</t>
  </si>
  <si>
    <t>雨刮器吱吱响相信很多人就会发现，如果经过一段时间的使用之后，这个车子的雨刮器就会总是吱吱响，而且还刮不干净，其实对于这样的情况来说，根本就不需要去4s店，老司机就能够教你一招，不需要花钱就能够解决问题。因为雨刮器上面是有一个橡胶条的，这样的橡胶条，经过长时间的摩擦就会出现一些老化，自然就会出现吱吱响</t>
  </si>
  <si>
    <t>2020/02/11 10:59:00</t>
  </si>
  <si>
    <t>日本人开什么车？这可能是很多人比较好奇的问题。都知道日本人造车很厉害，不论是技术、销量还是品质都可以说是顶级水准。诸如丰田、本田卖向全世界，在中国同样备受欢迎，那么日本人到底开的是什么车？正好公司年假，我们去日本大阪旅游呆了一个多星期，今天就和大家聊聊这个话题。钟爱“国产车”，丰田最多什么汽车在日本</t>
  </si>
  <si>
    <t>相信很多人就会发现，如果经过一段时间的使用之后，这个车子的雨刮器就会总是吱吱响，而且还刮不干净，其实对于这样的情况来说，根本就不需要去4s店，老司机就能够教你一招，不需要花钱就能够解决问题。因为雨刮器上面是有一个橡胶条的，这样的橡胶条，经过长时间的摩擦就会出现一些老化，自然就会出现吱吱响的声音。那么</t>
  </si>
  <si>
    <t>全球人都爱日系车 日本人自己开什么车日本人开什么车？这可能是很多人比较好奇的问题。都知道日本人造车很厉害，不论是技术、销量还是品质都可以说是顶级水准。诸如丰田、本田卖向全世界，在中国同样备受欢迎，那么日本人到底开的是什么车？正好公司年假，我们去日本大阪旅游呆了一个多星期，今天就和大家聊聊这个话题。钟</t>
  </si>
  <si>
    <t>为什么不小心闯红灯 却一直没收到违章信息随着时代和生活的进步，开车的人是越来越多了。提到开车这个词汇，就不得不说到汽车和驾照这两样。没驾照不能开车，有驾照没车也开不了，两者缺一不可。有了车，违章有时候是难以避免的。也有一些司机朋友们表示有时候明明是自己闯了红灯，但是却很长时间没有收到违章的提醒信息，</t>
  </si>
  <si>
    <t>2020/02/11 10:58:00</t>
  </si>
  <si>
    <t>　　近日，国外媒体曝光了全新宝马m3车型的谍照。全新宝马m3车型的造型设计更加大胆，动感十足。　　全新宝马m3车型目前正在美国洛杉矶路试，已经曝光的谍照来自路人拍摄，只有后部视角。从已经曝光的测试谍照上我们可以发现代号为g80的全新宝马m3车型使用了宽大的尾部包围，并拥有硕大的尾部扩散器。　　全新宝</t>
  </si>
  <si>
    <t>近日，国外媒体曝光了全新宝马m3车型的谍照。全新宝马m3车型的造型设计更加大胆，动感十足。    全新宝马m3车型目前正在美国洛杉矶路试，已经曝光的谍照来自路人拍摄，只有后部视角。从已经曝光的测试谍照上我们可以发现代号为g80的全新宝马m3车型使用了宽大的尾部包围，并拥有硕大的尾部扩散器。    全</t>
  </si>
  <si>
    <t>时刻注意这两个方面一辆优秀的汽车，一定是需要优秀的轮胎，因为轮胎是汽车最重要的一个组成部分，可以说轮胎的好坏决定了一车人的性命，还有一点，如果在高速路上超速行驶的话，有可能会因为爆胎而发生的车祸，后果不堪设想啊！ 所以我们应该注意这两个方面，才能更好得预防爆胎的情况。千万不要急刹车汽车轮胎的胎压会随</t>
  </si>
  <si>
    <t>随着时代和生活的进步，开车的人是越来越多了。提到开车这个词汇，就不得不说到汽车和驾照这两样。没驾照不能开车，有驾照没车也开不了，两者缺一不可。有了车，违章有时候是难以避免的。也有一些司机朋友们表示有时候明明是自己闯了红灯，但是却很长时间没有收到违章的提醒信息，这到底是为什么呢？比较常见的违章中，闯红</t>
  </si>
  <si>
    <t>开车时一定要预防这两点时刻注意这两个方面一辆优秀的汽车，一定是需要优秀的轮胎，因为轮胎是汽车最重要的一个组成部分，可以说轮胎的好坏决定了一车人的性命，还有一点，如果在高速路上超速行驶的话，有可能会因为爆胎而发生的车祸，后果不堪设想啊！ 所以我们应该注意这两个方面，才能更好得预防爆胎的情况。千万不要急</t>
  </si>
  <si>
    <t>2020/02/11 10:57:00</t>
  </si>
  <si>
    <t>入门版“牛魔王”来了 丰田全新Supra 2.0T限量版车型在2019年北美车展上，代号A90的丰田全新第五代Supra正式进行了首发亮相。作为丰田一款传奇车型，Supra停产了17年，如今再次复活。而它也与宝马Z4共享平台，并基于宝马CLAR平台打造。此前，搭载3.0T发动机的Supra在美国的起</t>
  </si>
  <si>
    <t>全新一代高尔夫和高尔夫GTE（插电混动版）车型已在去年10月首发亮相，而全新一代高尔夫GTI性能版车型和GTD柴油车型将在今年3月举办的2020日内瓦车展上正式亮相。日前，海外汽车大咖在社交平台晒出了全新一代高尔夫GTI的无伪车尾实拍图，和我们在较早前见过的全新一代高尔夫GTI的低伪测试车谍照，其车</t>
  </si>
  <si>
    <t>2020/02/11 10:56:00</t>
  </si>
  <si>
    <t>全新一代高尔夫GTI实拍图曝光 配备碗口大的双出排气管全新一代高尔夫和高尔夫GTE（插电混动版）车型已在去年10月首发亮相，而全新一代高尔夫GTI性能版车型和GTD柴油车型将在今年3月举办的2020日内瓦车展上正式亮相。日前，海外汽车大咖在社交平台晒出了全新一代高尔夫GTI的无伪车尾实拍图，和我们在</t>
  </si>
  <si>
    <t>倒车大有学问涨姿势 倒车当中的一些梗大家平时或许没怎么注意，但是一不小心，就容易犯一些低级错误，从而导致危险的发生。点图了解，出入平安！via 图说交通</t>
  </si>
  <si>
    <t>疫情时期开车需要戴口罩吗疫情仍没有停止，因此我们仍然需要时刻关注自己的卫生安全。从昨天开始，我国各大地区将进入节后的返程高峰期。全家人共同乘坐一辆汽车返回工作城市，这一路上的车内安全问题就牵动着众多车主的心。首先：检查车门边框密封条是否完好先要检查汽车车门的边框附近密封条是否完好无损，有的车主认为汽</t>
  </si>
  <si>
    <t>路遇“大祸”心存敬畏路上遇到大货车，要防它侧翻，防它追尾，还要防它的货物掉落。不管你是什么车，何时都不要和大货抢行，不要将自己置于两辆大货车之间，不与大货车齐头并进。</t>
  </si>
  <si>
    <t>涨姿势 倒车当中的一些梗大家平时或许没怎么注意，但是一不小心，就容易犯一些低级错误，从而导致危险的发生。点图了解，出入平安！via 图说交通</t>
  </si>
  <si>
    <t>路上遇到大货车，要防它侧翻，防它追尾，还要防它的货物掉落。不管你是什么车，何时都不要和大货抢行，不要将自己置于两辆大货车之间，不与大货车齐头并进。</t>
  </si>
  <si>
    <t>疫情仍没有停止，因此我们仍然需要时刻关注自己的卫生安全。从昨天开始，我国各大地区将进入节后的返程高峰期。全家人共同乘坐一辆汽车返回工作城市，这一路上的车内安全问题就牵动着众多车主的心。首先：检查车门边框密封条是否完好先要检查汽车车门的边框附近密封条是否完好无损，有的车主认为汽车密封性好就可以完全抵御</t>
  </si>
  <si>
    <t>驾乘汽车出行别马虎为应对新冠肺炎疫情，多地企业单位通知延迟复工时间至2月10日。今日（10日），复工之际，驾乘私家车或公共汽车出行应注意些什么？在私家车内需不需要戴口罩？如何做到有效防控？这份驾乘汽车疫情防控指南告诉你答案！</t>
  </si>
  <si>
    <t>2020/02/11 10:55:00</t>
  </si>
  <si>
    <t>驾照记满12分 原来可以这样清零驾照的12分可是司机朋友们的“心头肉”，稍有不慎可能一次就没了！酒后驾车、未悬挂、伪造、故意污损、遮挡号牌……随便一条，就要和开车说拜拜~驾照被记12分以后怎么办，这大概是个困扰许多司机朋友的问题。买分卖分？找黄牛？别试图在违法的边缘试探！小编教你两招！药到分除~两种</t>
  </si>
  <si>
    <t>为应对新冠肺炎疫情，多地企业单位通知延迟复工时间至2月10日。今日（10日），复工之际，驾乘私家车或公共汽车出行应注意些什么？在私家车内需不需要戴口罩？如何做到有效防控？这份驾乘汽车疫情防控指南告诉你答案！</t>
  </si>
  <si>
    <t>驾照的12分可是司机朋友们的“心头肉”，稍有不慎可能一次就没了！酒后驾车、未悬挂、伪造、故意污损、遮挡号牌……随便一条，就要和开车说拜拜~驾照被记12分以后怎么办，这大概是个困扰许多司机朋友的问题。买分卖分？找黄牛？别试图在违法的边缘试探！小编教你两招！药到分除~两种方法，满血复活！① 满分学习，一</t>
  </si>
  <si>
    <t>投诉编号：【446856】  投诉时间： 2020-02-11 10:54  投诉品牌： 广汽本田  投诉车系： 雅阁  投诉车型： 2018款 2.0L 锐智版 锐·混动 国VI        投诉内容  出现问题后用电瓶搭电，车没有任何反应，打不着火车也动不了。      投诉回复  车质网已将</t>
  </si>
  <si>
    <t>2020/02/11 10:54:00</t>
  </si>
  <si>
    <t>投诉编号：【446855】投诉时间：2020-02-1110:52投诉品牌：上汽大通投诉车系：上汽MAXUSG20投诉车型：2020款2.0T自动豪华行政版国VI投诉内容发动机与变速箱不匹配，低于85公里匀速行驶时，加油门时抖动严重引起共振，拖挡严重。投诉回复车质网已将您的投诉转给生产企业以及国家市</t>
  </si>
  <si>
    <t>2020/02/11 10:52:00</t>
  </si>
  <si>
    <t>　　近日，有国外媒体曝光了一组2021 款奔驰c级谍照。外观方面，新一代c级车型采用了奔驰家族最新的设计语言，全新的大灯设计和大角度线条让该车更加动感。车身侧面，和现款车型较为接近。车身尾部使用了时下流行的贯穿式尾灯设计。　　动力方面，全新奔驰c级预计将继续搭载1.5t四缸涡轮增压发动机和48v轻混</t>
  </si>
  <si>
    <t>近日，有国外媒体曝光了一组2021 款奔驰c级谍照。外观方面，新一代c级车型采用了奔驰家族最新的设计语言，全新的大灯设计和大角度线条让该车更加动感。车身侧面，和现款车型较为接近。车身尾部使用了时下流行的贯穿式尾灯设计。    动力方面，全新奔驰c级预计将继续搭载1.5t四缸涡轮增压发动机和48v轻混</t>
  </si>
  <si>
    <t>　　据国外媒体报道，大众即将发布小改款arteon车型。据悉，小改款大众arteon车型将在今年登陆美国市场。　　大众公司负责产品市场和策略的高级副总裁海恩?夏福近日在芝加哥车展上表示，大众arteon车型在北美市场的表现并不理想，且大众此前为该车型制定的市场策略有失偏颇。此前大众公司主要围绕着畅销</t>
  </si>
  <si>
    <t>2020/02/11 10:51:00</t>
  </si>
  <si>
    <t>据国外媒体报道，大众即将发布小改款arteon车型。据悉，小改款大众arteon车型将在今年登陆美国市场。    大众公司负责产品市场和策略的高级副总裁海恩?夏福近日在芝加哥车展上表示，大众arteon车型在北美市场的表现并不理想，且大众此前为该车型制定的市场策略有失偏颇。此前大众公司主要围绕着畅销</t>
  </si>
  <si>
    <t>你所不知道的5个乘车危害Commuting is rarely anyone’s favorite time of day, but it can be more than just an inconvenience: All those hours spent in home-work limbo</t>
  </si>
  <si>
    <t>投诉编号：【446854】  投诉时间： 2020-02-11 10:50  投诉品牌： 一汽-大众奥迪  投诉车系： 奥迪Q5  投诉车型： 2016款 40 TFSI 技术型        投诉内容  节温器渗水严重，仪表提示停车检查冷却液，上网一查，大量车主反映该问题，希望厂家重视，召回车辆，</t>
  </si>
  <si>
    <t>2020/02/11 10:50:00</t>
  </si>
  <si>
    <t>据国外媒体报道，下一代大众passat车型可能不会拥有使用传统内燃机的款型，新一代大众passat车型将可能只使用纯电驱动或者使用混合动力系统驱动。    大众公司美国区首席运营官约翰?德?奈思辰在接受媒体采访时表示当前款大众passat有望迎来换代。但是新一代大众passat将可能不在拥有使用传统</t>
  </si>
  <si>
    <t>2020/02/11 10:47:00</t>
  </si>
  <si>
    <t>　　据国外媒体报道，下一代大众passat车型可能不会拥有使用传统内燃机的款型，新一代大众passat车型将可能只使用纯电驱动或者使用混合动力系统驱动。　　大众公司美国区首席运营官约翰?德?奈思辰在接受媒体采访时表示当前款大众passat有望迎来换代。但是新一代大众passat将可能不在拥有使用传统</t>
  </si>
  <si>
    <t>　　据国外媒体报道，大众公司计划在北美市场推出更多的高性能车型来扩大其产品线。大众北美coo约翰.德.尼琛近日表示，除了高尔夫r和gti车型外，大众公司还将推出更多的高性能车型。他表示，大众应该尽可能的吸引不同阶级的精英人群，不同级别的高性能车型对吸引这些精英人群至关重要。在成功吸引不同阶级消费者之</t>
  </si>
  <si>
    <t>2020/02/11 10:46:00</t>
  </si>
  <si>
    <t>据国外媒体报道，大众公司计划在北美市场推出更多的高性能车型来扩大其产品线。大众北美coo约翰.德.尼琛近日表示，除了高尔夫r和gti车型外，大众公司还将推出更多的高性能车型。他表示，大众应该尽可能的吸引不同阶级的精英人群，不同级别的高性能车型对吸引这些精英人群至关重要。在成功吸引不同阶级消费者之后，</t>
  </si>
  <si>
    <t>　　近日，有国外媒体曝光了一组全新奔驰amg gt black series谍照图。　　新车整体造型非常的运动，前脸方面，采用最新样式设计风格，多边形进气格栅搭配直瀑式中网。两侧新样式大灯造型则非常犀利，底部三段式通风口尺寸很大。整个车身侧面充满肌肉感，轮毂为多幅式样式。车尾搭载超大尺寸尾翼，尾灯造</t>
  </si>
  <si>
    <t>2020/02/11 10:44:00</t>
  </si>
  <si>
    <t>　　据国外媒体报道，起亚公司的下一款电动车将于2021年上市，它将定位于现有的e-niro和soul电动车型之上，基于去年发布的imagine概念车进行设计研发。　　起亚公司这款全新零排放车型将拥有新的名称，而非现有车型的变体，这一做法符合起亚公司为其电动汽车设置独立车型的政策。这家韩国汽车制造商最</t>
  </si>
  <si>
    <t>据国外媒体报道，起亚公司的下一款电动车将于2021年上市，它将定位于现有的e-niro和soul电动车型之上，基于去年发布的imagine概念车进行设计研发。    起亚公司这款全新零排放车型将拥有新的名称，而非现有车型的变体，这一做法符合起亚公司为其电动汽车设置独立车型的政策。这家韩国汽车制造商最</t>
  </si>
  <si>
    <t>近日，有国外媒体曝光了一组全新奔驰amg gt black series谍照图。    新车整体造型非常的运动，前脸方面，采用最新样式设计风格，多边形进气格栅搭配直瀑式中网。两侧新样式大灯造型则非常犀利，底部三段式通风口尺寸很大。整个车身侧面充满肌肉感，轮毂为多幅式样式。车尾搭载超大尺寸尾翼，尾灯造</t>
  </si>
  <si>
    <t>　　今天要说的两款都是去年刚上市的新车，其中一直以操控驾驶著称的宝马3系开始走上了舒适豪华的道路。作为二线品牌里的佼佼者，凯迪拉克ct5可以说是含着“豪华”这把金钥匙出生的运动生。这一个本来的运动生走起了豪华，一个本来的豪华生玩起了运动，那今天就拿这两款车做个对比，看看它们的“不务正业”成果到底如何</t>
  </si>
  <si>
    <t>2020/02/11 10:42:00</t>
  </si>
  <si>
    <t>投诉编号：【446852】投诉时间：2020-02-1110:39投诉品牌：上汽大众投诉车系：途岳投诉车型：2019款280TSI两驱豪华版国VI投诉内容汽车发动后，汽车油箱位置发出嗡嗡的声音，特别是油到1/2后特别响，到4S店检查，4S店说汽油泵问题，索赔更换了汽油泵，还是老样子，油到1/2还是嗡</t>
  </si>
  <si>
    <t>2020/02/11 10:39:00</t>
  </si>
  <si>
    <t>据路透社报道，起亚汽车一位高管周一表示，由于汽车零部件短缺，该公司在韩国的三家汽车厂将全部停产。    上述高层表示，光州（gwangju）和索哈里（sohari）工厂的生产于周一和周二暂停。他还补充说，该公司将监控汽车零部件的供应情况，以决定之后是否恢复生产。    他还称，起亚华城（hwaseo</t>
  </si>
  <si>
    <t>2020/02/11 10:37:00</t>
  </si>
  <si>
    <t>据路透社报道，通用汽车周一表示，将从2月15日起在中国恢复工厂生产。该公司发言人称，未来两周，该公司将与当地合作伙伴逐步开始工厂生产。她还表示，该计划将基于供应链和产品库存需求的准备情况而定。    1月底，在中国的汽车制造商因春节假期而临时停产，后因新型冠状病毒推迟了开工。    通用汽车发言人表</t>
  </si>
  <si>
    <t>　　据路透社报道，起亚汽车一位高管周一表示，由于汽车零部件短缺，该公司在韩国的三家汽车厂将全部停产。　　上述高层表示，光州（gwangju）和索哈里（sohari）工厂的生产于周一和周二暂停。他还补充说，该公司将监控汽车零部件的供应情况，以决定之后是否恢复生产。　　他还称，起亚华城（hwaseong</t>
  </si>
  <si>
    <t>　　据路透社报道，通用汽车周一表示，将从2月15日起在中国恢复工厂生产。该公司发言人称，未来两周，该公司将与当地合作伙伴逐步开始工厂生产。她还表示，该计划将基于供应链和产品库存需求的准备情况而定。　　1月底，在中国的汽车制造商因春节假期而临时停产，后因新型冠状病毒推迟了开工。　　通用汽车发言人表示，</t>
  </si>
  <si>
    <t>据底特律汽车新闻网报道，通用汽车将在全球范围内第二次召回约16.2万辆汽车，主要原因是去年召回修复的刹车控制软件依然存在问题。    这次召回的车型主要是全尺寸皮卡，包括2019年版雪佛兰索罗德（silverado）和gmcsierra车型。索罗德是通用汽车在美国最受欢迎的车型。    这场召回风波</t>
  </si>
  <si>
    <t>2020/02/11 10:36:00</t>
  </si>
  <si>
    <t>　　据底特律汽车新闻网报道，通用汽车将在全球范围内第二次召回约16.2万辆汽车，主要原因是去年召回修复的刹车控制软件依然存在问题。　　这次召回的车型主要是全尺寸皮卡，包括2019年版雪佛兰索罗德（silverado）和gmcsierra车型。索罗德是通用汽车在美国最受欢迎的车型。　　这场召回风波始于</t>
  </si>
  <si>
    <t>　　据彭博社报道，沃尔沃汽车正考虑将这家瑞典汽车制造商与吉利在香港上市的汽车子公司合并，创建一家统一的集团，以在技术研发、成本控制和财务上更加有效协同，同时在迅速整合的全球市场中更具规模优势，并拥有更强的专业能力和资源来持续引领行业变革。　　沃尔沃称，将研究与吉利汽车香港上市合并的提议，合并后的公司</t>
  </si>
  <si>
    <t>2020/02/11 10:33:00</t>
  </si>
  <si>
    <t>据彭博社报道，沃尔沃汽车正考虑将这家瑞典汽车制造商与吉利在香港上市的汽车子公司合并，创建一家统一的集团，以在技术研发、成本控制和财务上更加有效协同，同时在迅速整合的全球市场中更具规模优势，并拥有更强的专业能力和资源来持续引领行业变革。    沃尔沃称，将研究与吉利汽车香港上市合并的提议，合并后的公司</t>
  </si>
  <si>
    <t>　　据《日本经济新闻》（nikkei）周一报道，日产汽车位于日本国内西南部九州（kyushu）的制造工厂将暂时停产，原因是新型冠状病毒的爆发开始给其全球供应链带来压力。　　《日本经济新闻》称，日产汽车发现从中国采购零部件越来越困难，而停产可能影响约3000辆汽车的量产。这也是日本第一家因新冠疫情而停</t>
  </si>
  <si>
    <t>2020/02/11 10:32:00</t>
  </si>
  <si>
    <t>据《日本经济新闻》（nikkei）周一报道，日产汽车位于日本国内西南部九州（kyushu）的制造工厂将暂时停产，原因是新型冠状病毒的爆发开始给其全球供应链带来压力。    《日本经济新闻》称，日产汽车发现从中国采购零部件越来越困难，而停产可能影响约3000辆汽车的量产。这也是日本第一家因新冠疫情而停</t>
  </si>
  <si>
    <t>2020/02/11 10:30:00</t>
  </si>
  <si>
    <t>下一代汽车技术中这四项最实用且关系车主的安全汽车技术的发展几乎可以用日新月异来形容，给笔者印象最深刻的是几年前每次在下高速时，在高速路出口处都有人举着“带路”的牌子，那时候大家要去不熟悉的地方基本上都会备一本全国交通地图或者省市交通地图的册子，然而仅仅几年的时间，现在高速路口已经看不到“带路”人了，</t>
  </si>
  <si>
    <t>从车钥匙存放位置 看你是哪个年代的车主随着汽车在平常百姓中的普及，车钥匙成为人们出行必不可少的装备之一，汽车钥匙也经过了几代的发展，与原来的样子发生了翻天覆地的变化。每个年代的人对于车钥匙的保存方法，反映出每个时代的特色。第一代车钥匙，对于80、90后来说，基本上都没接触过，50、60后的老司机都曾</t>
  </si>
  <si>
    <t>2020/02/11 10:29:00</t>
  </si>
  <si>
    <t>　　众所周知，丰田和斯巴鲁自2005年就开始了业务合作，我们比较熟知的丰田86/斯巴鲁brz项目上，两者就采用共同合作开发的模式。我们从丰田官方获悉，丰田与斯巴鲁达成协议，丰田汽车对斯巴鲁的出资比例由16.8%增加至20%。　　据悉，早在2019年9月27日，双方就达成了此协议，协议明确了丰田增加对</t>
  </si>
  <si>
    <t>众所周知，丰田和斯巴鲁自2005年就开始了业务合作，我们比较熟知的丰田86/斯巴鲁brz项目上，两者就采用共同合作开发的模式。我们从丰田官方获悉，丰田与斯巴鲁达成协议，丰田汽车对斯巴鲁的出资比例由16.8%增加至20%。    据悉，早在2019年9月27日，双方就达成了此协议，协议明确了丰田增加对</t>
  </si>
  <si>
    <t>这些汽车不常知的汽车安全装置 快来了解一下现在人们对于汽车的需求是越来越明显，而汽车的安全性也在不断的提高，但这些汽车安全装置你了解么？大致上汽车安全装置分为两大类：主动安全装置和被动安全装置。第一种可以在任何状态下，帮助驾驶员有效控制车辆从而保护自己减小各类汽车事故发生的设施和装备。第二种是指在事</t>
  </si>
  <si>
    <t>多款10万级销量王要回归 这些家用车要重回四缸机四缸的英朗和科鲁泽的确要回来了！近日，从工信部获悉的一组别克英朗与雪佛兰科鲁泽的申报图来看，新款的英朗/科鲁泽新增搭载L2B型1.5L直列四缸发动机车型，这款1.5L发动机的最大功率为113马力，满足国六排放。这也意味着上汽通用将重回四缸时代，未来也许</t>
  </si>
  <si>
    <t>2020/02/11 10:28:00</t>
  </si>
  <si>
    <t>什么是汽车“电子差速锁” 主要有哪些功能近年来汽车技术发展日新月异，特别是汽车的电子装备是越来越先进，所以目前很多汽车都是号称智能化的汽车。作为普通的消费者如果只听这些名字可能是一头雾水，比如现在经常听说的“电子差速器”、“电子差速锁”，如果只从名字上很难知道这些电子设备的用处。诸如像“电子差速器”</t>
  </si>
  <si>
    <t>排量越大越费油吗 我看不一定在以往，车型的前端费用主导了消费者的选择，到了现在，车型后期的使用成本则成为了消费者做最终决定所参考的重要指标。而后期使用成本大致包括：油费、维修费以及保养费等等，其中，占据“大头”的毫无疑问是油费。将油费换到汽车上的表现则是油耗表现，看着行车电脑上的油耗数值每降低0.1</t>
  </si>
  <si>
    <t>2020/02/11 10:27:00</t>
  </si>
  <si>
    <t>这些自带N95的车型了解一下这个春节真的是史无前例最长假期了，平日里窝在家里满脑子的不想上班，到现在响应号召自我隔离已经两周多了，虽然还是不想上班，可是我想出门啊！新型冠状病毒虽然致命率不及03年的SARS，但传染性似乎有过之而无不及，所以小伙伴们一定要保重身体啊。应该要减少出门活动，但伴随着陆陆续</t>
  </si>
  <si>
    <t>2020/02/11 10:26:00</t>
  </si>
  <si>
    <t>近日，我们从外媒获悉，特斯拉公司注册了一项新的专利。消息披露，特斯拉正在开发一种基于方向盘的用户界面。这种方向盘会在底部显示挡位，并且，方向盘的左右两侧还将增设触控屏，以方便车主与车辆进行交互。    如上图所示，目前特斯拉全系车型都在采用的“怀挡”，未来或许会被移除。特斯拉新专利在方向盘靠下的部分</t>
  </si>
  <si>
    <t>汽车是如何成为下一部智能手机的各位小伙伴么，节后返程开车，无聊么？与其说，人无聊，不如说是车无聊。毕竟现在的汽车更像是一个交通工具，长途行驶难免会让人感到乏味。但如果汽车能像智能手机一样，既能路况导航，又能更方便的获取外界信息，甚至还能整点段子解闷，那么与汽车打交道将是一件多么有趣的事！手机是过时的</t>
  </si>
  <si>
    <t>　　近日，我们从外媒获悉，特斯拉公司注册了一项新的专利。消息披露，特斯拉正在开发一种基于方向盘的用户界面。这种方向盘会在底部显示挡位，并且，方向盘的左右两侧还将增设触控屏，以方便车主与车辆进行交互。　　如上图所示，目前特斯拉全系车型都在采用的“怀挡”，未来或许会被移除。特斯拉新专利在方向盘靠下的部分</t>
  </si>
  <si>
    <t>投诉编号：【446849】投诉时间：2020-02-1110:26投诉品牌：一汽-大众投诉车系：宝来投诉车型：2018款1.5L自动时尚型投诉内容机油消耗量太大，到3500公里就消耗异常，不在机油尺正常范围之内。投诉回复车质网已将您的投诉转给生产企业以及国家市场监督管理总局缺陷产品管理中心，我们将会</t>
  </si>
  <si>
    <t>2020年“加价”最高的豪华车排行榜车市寒冬的到来，有很多车型是打骨折都难以换来销量，上到超豪华品牌，下到A级车，都不再有以往的傲慢。但却有几个奇葩，即使在这样的环境中依旧加价，并且加价幅度还不低。 奔驰G63奔驰G自从1979年推出已经40个年头，这40年经历数次换代，但方盒子的设计一直被传承下来</t>
  </si>
  <si>
    <t>2020/02/11 10:25:00</t>
  </si>
  <si>
    <t>新年伊始，新型冠状病毒肺炎疫情席卷全国，给已进入存量竞争中的汽车市场带来了更为严峻的挑战。2020年2月10日网通社获悉，一汽-大众累计捐款4000万元人民币，助力抗击新型冠状病毒肺炎疫情，并且携手大众品牌推出五大举措助力战胜疫情。    五大举措 全力支持广大经销商业务    第一，调整销售目标，</t>
  </si>
  <si>
    <t>　　新年伊始，新型冠状病毒肺炎疫情席卷全国，给已进入存量竞争中的汽车市场带来了更为严峻的挑战。2020年2月10日网通社获悉，一汽-大众累计捐款4000万元人民币，助力抗击新型冠状病毒肺炎疫情，并且携手大众品牌推出五大举措助力战胜疫情。    五大举措 全力支持广大经销商业务　　 第一，调整销售目标</t>
  </si>
  <si>
    <t>汽车养护误区你知道吗汽车保养是非常重要，但是错误的保养将影响汽车的使用寿命，以今天来给大家分享有关汽车保养的一些误解，每个人都记得将来避免这样做。三滤一起更换，许多车主认为，如果长时间使用汽车，汽车的空转速度将变得非常慢。接下来就是立马开到一些4S店里面想要更换三滤，认为这样当汽车行驶时就不会出现怠</t>
  </si>
  <si>
    <t>2020/02/11 10:24:00</t>
  </si>
  <si>
    <t>　　一直以来在国内长轴距车型备受关注，催生了”加长“风潮，而在遍地加长车的如今，原汁原味的车型弥足珍贵。宝马x3便是这样的车型，面对加长的竞品，毅然决然的保留着对运动与操控的执念。不仅如此，宝马x3还拥有众多的亮点等待挖掘，下面让我们一起来看看吧！    原汁原味的运动外观　　x3的外观设计注入了宝</t>
  </si>
  <si>
    <t>2020/02/11 10:23:00</t>
  </si>
  <si>
    <t>　　inspire作为东风本田的旗舰轿车产品，与全新一代雅阁出自同一平台，虽然这个名称我们并不是太熟悉，但实际上这是一款有着悠久历史渊源的车型。自上世纪八十年代末期诞生至今，inspire已经发展了五代车型，目前东风本田引入国产的是其第六代产品。    继承思铂睿意志 外观更运动　　从时间顺序来看，</t>
  </si>
  <si>
    <t>2020/02/11 10:22:00</t>
  </si>
  <si>
    <t>“受疫情影响，没有特殊情况尽量不出门，降低感染风险！”这不单是政府的呼吁，更是对广大医务人员工作的支持，不管怎样，大家也要平衡好心态，面对现实状况，不是吗？算算日子，大部分朋友应该在家呆了半个月有余，有充足的食物和一定范围的活动空间，倒不至于在短期内对人身体健康产生多大的影响，可汽车是不是也能长时间</t>
  </si>
  <si>
    <t>2020/02/11 10:16:00</t>
  </si>
  <si>
    <t>　　“受疫情影响，没有特殊情况尽量不出门，降低感染风险！”这不单是政府的呼吁，更是对广大医务人员工作的支持，不管怎样，大家也要平衡好心态，面对现实状况，不是吗？算算日子，大部分朋友应该在家呆了半个月有余，有充足的食物和一定范围的活动空间，倒不至于在短期内对人身体健康产生多大的影响，可汽车是不是也能长</t>
  </si>
  <si>
    <t>只要是说起日系B级车，丰田凯美瑞，日产天籁以及本田雅阁，可谓是大家耳目能详的代表。毕竟除了入华较早，奠定了良好基础以外，过硬的产品力同样成为了自身能够致胜的关键所在。这点从日系三雄这一称号中，就足以看出三者在国内市场的地位。不过说实话，即便这三者都进行了改款，并且都开始朝着运动路线进军，但回归到本质</t>
  </si>
  <si>
    <t>2020/02/11 10:15:00</t>
  </si>
  <si>
    <t>整车进口仅20万 丰田控股中级轿跑 标配全时四驱 奈何无人问津只要是说起日系B级车，丰田凯美瑞，日产天籁以及本田雅阁，可谓是大家耳目能详的代表。毕竟除了入华较早，奠定了良好基础以外，过硬的产品力同样成为了自身能够致胜的关键所在。这点从日系三雄这一称号中，就足以看出三者在国内市场的地位。不过说实话，即</t>
  </si>
  <si>
    <t>继2018“x之年”、2019“大型豪华车之年”后，宝马今年将迎来“新能源车之年”、“品牌之年”，对应到产品上，其重心将从suv、大型豪华车转移到今年的新能源、m性能车方面。除去2月初上市的x5插电混动，宝马今年还将推出16款新车型，其中不乏中期改款5系、5系长轴距插电混动升级版、ix3、x5m、x</t>
  </si>
  <si>
    <t>2020/02/11 10:14:00</t>
  </si>
  <si>
    <t>　　继2018“x之年”、2019“大型豪华车之年”后，宝马今年将迎来“新能源车之年”、“品牌之年”，对应到产品上，其重心将从suv、大型豪华车转移到今年的新能源、m性能车方面。除去2月初上市的x5插电混动，宝马今年还将推出16款新车型，其中不乏中期改款5系、5系长轴距插电混动升级版、ix3、x5m</t>
  </si>
  <si>
    <t>几天前，全新凯迪拉克凯雷德在洛杉矶正式发布，新车还是“大的出奇”，5382mm车身长度甚至要超过许多d级轿车，同时我还发现不论是元首还是富商、政客们都热衷于凯雷德作为自己的日常座驾，可见“以大为美”的思路不仅在中国适用。除了尺寸傲视群雄外，全新凯雷德究竟还有没有令人眼前一亮的本事呢？    看过全新</t>
  </si>
  <si>
    <t>2020/02/11 10:13:00</t>
  </si>
  <si>
    <t>　　几天前，全新凯迪拉克凯雷德在洛杉矶正式发布，新车还是“大的出奇”，5382mm车身长度甚至要超过许多d级轿车，同时我还发现不论是元首还是富商、政客们都热衷于凯雷德作为自己的日常座驾，可见“以大为美”的思路不仅在中国适用。除了尺寸傲视群雄外，全新凯雷德究竟还有没有令人眼前一亮的本事呢？　　看过全新</t>
  </si>
  <si>
    <t>大家好！检车家小王和大家见面咯~欢迎大家收看本期二手车检测趣事。我是人见人爱、花见花开、事故车见了我都绕开的小王，不仅仅是一名修过车的二手车检测技师，更是一位事故车劝退师。帮助客户解决一切问题就是我的服务宗旨。 奥迪A4L是奥迪集团只在中国大陆市场推出的一款新车，新车与A6和A6L的关系相似，也是国</t>
  </si>
  <si>
    <t>2020/02/11 10:10:00</t>
  </si>
  <si>
    <t>10万买辆奥迪A4L回家过年 为何检测完说这是“假大众”？疑大家好！检车家小王和大家见面咯~欢迎大家收看本期二手车检测趣事。我是人见人爱、花见花开、事故车见了我都绕开的小王，不仅仅是一名修过车的二手车检测技师，更是一位事故车劝退师。帮助客户解决一切问题就是我的服务宗旨。 奥迪A4L是奥迪集团只在中国</t>
  </si>
  <si>
    <t>我们从外观上一眼就能看出全新英菲尼迪qx80相比2018款区别仅仅是一些钣金件，事实上也确实如此，甚至在内饰及发动机上也是如此，2020款的英菲尼迪的进化确实不明显，但是如果你是第一次购买这款车，那么它的新体现在何处呢？    新款英菲尼迪qx80的配置有哪些升级？    首先设计师对内饰进行了更贴</t>
  </si>
  <si>
    <t>　　我们从外观上一眼就能看出全新英菲尼迪qx80相比2018款区别仅仅是一些钣金件，事实上也确实如此，甚至在内饰及发动机上也是如此，2020款的英菲尼迪的进化确实不明显，但是如果你是第一次购买这款车，那么它的新体现在何处呢？　　新款英菲尼迪qx80的配置有哪些升级？　　首先设计师对内饰进行了更贴合目</t>
  </si>
  <si>
    <t>售价约合人民币138.97-196.21万元，2020款奥迪R8上市日前，奥迪汽车官方宣布，2020款奥迪R8在澳洲市场正式上市，新车将推出四款车型可选，售价区间为295,000澳元-416,500澳元（约合人民币138.97万元-196.21万元）。   据悉，2020款奥迪R8继续提供后驱和四驱</t>
  </si>
  <si>
    <t>2020/02/11 10:09:00</t>
  </si>
  <si>
    <t>日前，奥迪汽车官方宣布，2020款奥迪R8在澳洲市场正式上市，新车将推出四款车型可选，售价区间为295,000澳元-416,500澳元（约合人民币138.97万元-196.21万元）。   据悉，2020款奥迪R8继续提供后驱和四驱版车型，并可在Coupe硬顶和Spyder敞篷两种车身形式间进行选择</t>
  </si>
  <si>
    <t>受新冠肺炎疫情影响，特斯拉上海工厂于今日正式复工生产。特斯拉上海工厂制造总监宋钢此前表示，上海工厂零部件本地化率目前是30%左右，计划年底国产model 3将实现全部零部件国产化。在此基础上，售价已下调至补贴后29.905万元的国产model 3价格有望再次下探。对此，全国乘联会秘书长崔东树认为，随</t>
  </si>
  <si>
    <t>　　受新冠肺炎疫情影响，特斯拉上海工厂于今日正式复工生产。特斯拉上海工厂制造总监宋钢此前表示，上海工厂零部件本地化率目前是30%左右，计划年底国产model 3将实现全部零部件国产化。在此基础上，售价已下调至补贴后29.905万元的国产model 3价格有望再次下探。对此，全国乘联会秘书长崔东树认为</t>
  </si>
  <si>
    <t>我们从东风日产官方获悉，东风日产1月销量为92,158辆，其中第七代天籁销量为8,821辆，同比大涨44%；蓝鸟1月销售3,771辆，同比增长7.7%；轩逸系列销量39,926辆，近4万辆的销量已超过去年平均月销量水平，为今年整体销量开了一个好头。在suv阵营中，奇骏和逍客销量均破万，延续热销态势。</t>
  </si>
  <si>
    <t>2020/02/11 10:08:00</t>
  </si>
  <si>
    <t>　　我们从东风日产官方获悉，东风日产1月销量为92,158辆，其中第七代天籁销量为8,821辆，同比大涨44%；蓝鸟1月销售3,771辆，同比增长7.7%；轩逸系列销量39,926辆，近4万辆的销量已超过去年平均月销量水平，为今年整体销量开了一个好头。在suv阵营中，奇骏和逍客销量均破万，延续热销态</t>
  </si>
  <si>
    <t>开不坏的丰田 修不好的大众 为何满大街出租车都用大众？随着经济的发展，汽车越来越成为人们出行必备的工具，虽然现在很多人都购买了私家车，但是出租车作为公共出行工具，在我们生活中仍扮演着非常重要的地位。经常出差或旅游的朋友肯定会发现，不同城市的出租车都有自己的特色，满大街跑的各色出租车总给人一种不知疲惫</t>
  </si>
  <si>
    <t>2020/02/11 10:06:00</t>
  </si>
  <si>
    <t>投诉编号：【446846】投诉时间：2020-02-1110:06投诉品牌：上汽集团投诉车系：名爵6投诉车型：2019款20T自动星辉版投诉内容非常时期，车子停在小区车位一周电池就没电了，连车门都打不开，只能用机械钥匙打开，新车还不到五千公里就出现这问题，打电话给售后说就是这样，为什么别的车一月都没</t>
  </si>
  <si>
    <t>领克将在今年推出06及其插电混动版车型，进一步弥补在小型suv领域的空白。近日我们获取到了领克06、06phev的详细动力配置，新车搭载1.5t发动机及1.5t发动机 电动机组成的插混系统，后者的综合工况下百公里油耗为1.5l。另外，参考家族其它车型的售价推测，06燃油版起售价保持在10-11万元之</t>
  </si>
  <si>
    <t>　　领克将在今年推出06及其插电混动版车型，进一步弥补在小型suv领域的空白。近日我们获取到了领克06、06phev的详细动力配置，新车搭载1.5t发动机及1.5t发动机 电动机组成的插混系统，后者的综合工况下百公里油耗为1.5l。另外，参考家族其它车型的售价推测，06燃油版起售价保持在10-11万</t>
  </si>
  <si>
    <t xml:space="preserve">f5是哈弗f系推出的首款suv，在售车型均搭载1.5t发动机。根据此前消息，这款车将新增1.5t低功率版本。日前，我们获得了哈弗f5 1.5t低功率版的详细动力配置。新车最大功率110kw，预计会进一步拉低入门售价，起售价不到10万元（哈弗f5目前10万元起售）。新车有望在今年上半年正式上市。   </t>
  </si>
  <si>
    <t>2020/02/11 10:05:00</t>
  </si>
  <si>
    <t>　　f5是哈弗f系推出的首款suv，在售车型均搭载1.5t发动机。根据此前消息，这款车将新增1.5t低功率版本。日前，我们获得了哈弗f5 1.5t低功率版的详细动力配置。新车最大功率110kw，预计会进一步拉低入门售价，起售价不到10万元（哈弗f5目前10万元起售）。新车有望在今年上半年正式上市。　</t>
  </si>
  <si>
    <t>前几天，一辆克莱斯勒300C从我和我一朋友身边驶过，我那朋友张口说道“哇！劳斯莱斯”。 我说那不是劳斯莱斯，只不过是一款长的和劳斯莱斯很像的轿车，朋友则表示那也一定不便宜，看着就很豪气。可他不知克莱斯勒300C的售价才30多万。 我相信除了克莱斯勒300C，还会有一些车看着很贵，实则很便宜，下面我来</t>
  </si>
  <si>
    <t>2020/02/11 10:03:00</t>
  </si>
  <si>
    <t xml:space="preserve">xc90是沃尔沃旗下的一款中大型suv，以进口的形式在华销售，提供t5、t6与t8（插电混动）三种动力。我们从沃尔沃官方获悉：xc90 t6与t8动力车型将换搭新发动机，最大功率均得到提升。其中t8动力车型百公里综合油耗进一步下降，综合工况油耗仅为2.2l/100km，相较现款车型下降15.4%。 </t>
  </si>
  <si>
    <t>　　xc90是沃尔沃旗下的一款中大型suv，以进口的形式在华销售，提供t5、t6与t8（插电混动）三种动力。我们从沃尔沃官方获悉：xc90 t6与t8动力车型将换搭新发动机，最大功率均得到提升。其中t8动力车型百公里综合油耗进一步下降，综合工况油耗仅为2.2l/100km，相较现款车型下降15.4%</t>
  </si>
  <si>
    <t>这些车看起来很贵 实则很便宜前几天，一辆克莱斯勒300C从我和我一朋友身边驶过，我那朋友张口说道“哇！劳斯莱斯”。 我说那不是劳斯莱斯，只不过是一款长的和劳斯莱斯很像的轿车，朋友则表示那也一定不便宜，看着就很豪气。可他不知克莱斯勒300C的售价才30多万。 我相信除了克莱斯勒300C，还会有一些车看</t>
  </si>
  <si>
    <t>　　viloran（中文名或为巍昂）是上汽大众将于今年推出的一款大型mpv，目标竞品为别克gl8、本田奥德赛等车型。动力方面viloran搭载2.0t涡轮增压发动机（分高/低功率），对应油耗分别为每百公里油耗为8.1l、7.6l，值得一提的是viloran在车身尺寸超别克gl8（8.5-8.6l）的</t>
  </si>
  <si>
    <t>2020/02/11 10:02:00</t>
  </si>
  <si>
    <t>viloran（中文名或为巍昂）是上汽大众将于今年推出的一款大型mpv，目标竞品为别克gl8、本田奥德赛等车型。动力方面viloran搭载2.0t涡轮增压发动机（分高/低功率），对应油耗分别为每百公里油耗为8.1l、7.6l，值得一提的是viloran在车身尺寸超别克gl8（8.5-8.6l）的情况</t>
  </si>
  <si>
    <t>2020/02/11 10:00:00</t>
  </si>
  <si>
    <t>奥迪全新a6 allroad探索家在去年广州车展上开启预售，新车仅推出55 tfsi 尊享越野型1款车型，预售价为56.5万元。近日我们从奥迪经销商处获得了全新a6allroad探索家的详细配置信息，目前新车已经接受预订，虽然还没有正式上市但是订车可以享受5%-10%左右的现金优惠，大概在2-6万元</t>
  </si>
  <si>
    <t>　　奥迪全新a6 allroad探索家在去年广州车展上开启预售，新车仅推出55 tfsi 尊享越野型1款车型，预售价为56.5万元。近日我们从奥迪经销商处获得了全新a6allroad探索家的详细配置信息，目前新车已经接受预订，虽然还没有正式上市但是订车可以享受5%-10%左右的现金优惠，大概在2-6</t>
  </si>
  <si>
    <t>2019年 最让人意想不到的五款SUV一眨眼，尘埃落定。2019年最后一个月的汽车销量统计，已经出炉；2019年度中国乘用车年销量2069.8万辆，同比下降7.4%，已成定局；2019年，也已定格成为永远的过去式。不过，令人惊讶而欣慰的是，在这个被悲观论调所笼罩的市场里，仍然有自信者竭尽全力，向上拼</t>
  </si>
  <si>
    <t>全球人都爱日系车？日本人自己开什么车？日本人开什么车？这可能是很多人比较好奇的问题。都知道日本人造车很厉害，不论是技术、销量还是品质都可以说是顶级水准。诸如丰田、本田卖向全世界，在中国同样备受欢迎，那么日本人到底开的是什么车？正好公司年假，我们去日本大阪旅游呆了一个多星期，今天就和大家聊聊这个话题。</t>
  </si>
  <si>
    <t>2020/02/11 09:59:00</t>
  </si>
  <si>
    <t>日本人开什么车？这可能是很多人比较好奇的问题。都知道日本人造车很厉害，不论是技术、销量还是品质都可以说是顶级水准。诸如丰田、本田卖向全世界，在中国同样备受欢迎，那么日本人到底开的是什么车？正好公司年假，我们去日本大阪旅游呆了一个多星期，今天就和大家聊聊这个话题。  钟爱“国产车”，丰田最多什么汽车在</t>
  </si>
  <si>
    <t>林肯曾设计制造过一款名为blackwood的豪华皮卡，但这款皮卡最终并未取得成功，但近日有设计师制作了一组rivian r1t和blackwood结合的渲染图，提供了有关林肯皮卡的全新设想。    这组渲染图由rivian车主论坛提供，根据设计者的声明表示，随着林肯和rivian合作开发一款全新电动</t>
  </si>
  <si>
    <t>　　林肯曾设计制造过一款名为blackwood的豪华皮卡，但这款皮卡最终并未取得成功，但近日有设计师制作了一组rivian r1t和blackwood结合的渲染图，提供了有关林肯皮卡的全新设想。　　这组渲染图由rivian车主论坛提供，根据设计者的声明表示，随着林肯和rivian合作开发一款全新电动</t>
  </si>
  <si>
    <t>肩负复兴捷豹跑车的重任，F-TYPE自2012年发布至今，已走过了8年的生命周期。如今，中期改款车型在2020芝加哥车展首发亮相，尽管不是换代，但是它却给我们带来了诸多惊喜。 “TYPE”的意义在常人来看，字母type的中文含义代表了类型、种类，它仅是一种对品类划分的英文叫法，但对于捷豹而言，TYP</t>
  </si>
  <si>
    <t>2020/02/11 09:58:00</t>
  </si>
  <si>
    <t>2020款奥迪RS7：战斗水泥灰，估计只能在游戏里开了2020款奥迪RS7：战斗水泥灰，估计只能在游戏里开了2020款奥迪RS7：战斗水泥灰，估计只能在游戏里开了2020款奥迪RS7：战斗水泥灰，估计只能在游戏里开了2020款奥迪RS7：战斗水泥灰，估计只能在游戏里开了2020款奥迪RS7：战斗水泥</t>
  </si>
  <si>
    <t>2020款奥迪RS7：战斗水泥灰 估计只能在游戏里开了2020款奥迪RS7：战斗水泥灰，估计只能在游戏里开了2020款奥迪RS7：战斗水泥灰，估计只能在游戏里开了2020款奥迪RS7：战斗水泥灰，估计只能在游戏里开了2020款奥迪RS7：战斗水泥灰，估计只能在游戏里开了2020款奥迪RS7：战斗水泥</t>
  </si>
  <si>
    <t>比保时捷718有格调比宝马M3好撩妹 新款捷豹F-TYPE实肩负复兴捷豹跑车的重任，F-TYPE自2012年发布至今，已走过了8年的生命周期。如今，中期改款车型在2020芝加哥车展首发亮相，尽管不是换代，但是它却给我们带来了诸多惊喜。 “TYPE”的意义在常人来看，字母type的中文含义代表了类型、</t>
  </si>
  <si>
    <t>目前雷克萨斯已在华布局了ux、nx、rx、lx四款suv车型，覆盖紧凑级、中型、中大型以及大型suv市场，其中紧凑级suv——ux于去年正式引入国内市场进行销售，而纯电版车型也将于今年登陆国内市场开售。近日海外媒体曝光了一组雷克萨斯ux 250h executive plus特别版车型信息，新车已在</t>
  </si>
  <si>
    <t>　　目前雷克萨斯已在华布局了ux、nx、rx、lx四款suv车型，覆盖紧凑级、中型、中大型以及大型suv市场，其中紧凑级suv――ux于去年正式引入国内市场进行销售，而纯电版车型也将于今年登陆国内市场开售。近日海外媒体曝光了一组雷克萨斯ux 250h executive plus特别版车型信息，新车</t>
  </si>
  <si>
    <t>宝来现已跌到7.88万了，价格堪称“亲民”，还买大众桑塔纳？选家用车，国内消费者大多还是偏向于选择紧凑型车，也造就了朗逸、轩逸、卡罗拉三大“家轿王牌”车型，不过，2019年有一款车奋起之追，销量大涨，成为了这三款车之外的另一炙手可热的选择，那就是一汽大众宝来。宝来作为朗逸的兄弟车型，第国产宝来于20</t>
  </si>
  <si>
    <t>2020/02/11 09:57:00</t>
  </si>
  <si>
    <t xml:space="preserve">畅巡是雪佛兰在中国市场的首款纯电动车型，于2019年底的广州车展正式发布。目前新车已经到店，动力方面采用高性能三元锂电池组和新型永磁同步电机，在nedc综合工况下续航里程可达410km，百公里电耗低至13.1kwh。新车最晚将于3月份正式上市，未来将与日产轩逸·纯电、朗逸纯电等车型展开竞争。    </t>
  </si>
  <si>
    <t>宝来现已跌到7.88万了 价格堪称“亲民” 还买大众桑塔纳？宝来现已跌到7.88万了，价格堪称“亲民”，还买大众桑塔纳？选家用车，国内消费者大多还是偏向于选择紧凑型车，也造就了朗逸、轩逸、卡罗拉三大“家轿王牌”车型，不过，2019年有一款车奋起之追，销量大涨，成为了这三款车之外的另一炙手可热的选择，</t>
  </si>
  <si>
    <t>　　畅巡是雪佛兰在中国市场的首款纯电动车型，于2019年底的广州车展正式发布。目前新车已经到店，动力方面采用高性能三元锂电池组和新型永磁同步电机，在nedc综合工况下续航里程可达410km，百公里电耗低至13.1kwh。新车最晚将于3月份正式上市，未来将与日产轩逸・纯电、朗逸纯电等车型展开竞争。　　</t>
  </si>
  <si>
    <t>一手防疫情一手抓生产 国内20多家主流车企半数陆续复工汽车工业是大规模的生产项目，动辄涉及数以万计的工人还有百十家供应链企业，疫情当前，何时复工、如何保证员工健康安全地投入生产，绝对是摆在各家车企面前的一道难题。 近日，懂车帝通过与20多家车企沟通后获悉，目前已有近半数的工厂于2月10日开始部分复工</t>
  </si>
  <si>
    <t>2020/02/11 09:56:00</t>
  </si>
  <si>
    <t>投诉编号：【446845】  投诉时间： 2020-02-11 09:56  投诉品牌： 长城汽车  投诉车系： 哈弗H9  投诉车型： 2017款 2.0T 四驱 尊享型 5座 汽油        投诉内容  我购买的是2017款哈佛H9汽油尊享5座，官方网报配置参数与实际配置不符，我购买的5座尊</t>
  </si>
  <si>
    <t>　　人人都向往拥有一台跑车，无论是顶级超跑或是入门级跑车，都是能够赚足回头率的，但是要说到内涵，或许只有英国品牌能让你拥有更吸引眼球的魅力。　　 捷豹说：性能跑车不需要有手动挡这个配置来加分　　捷豹表示，2019年f-type车型上搭载手动挡的车型销量仅占总销量的10%，这就决定了在2021款f-t</t>
  </si>
  <si>
    <t>人人都向往拥有一台跑车，无论是顶级超跑或是入门级跑车，都是能够赚足回头率的，但是要说到内涵，或许只有英国品牌能让你拥有更吸引眼球的魅力。    捷豹说：性能跑车不需要有手动挡这个配置来加分    捷豹表示，2019年f-type车型上搭载手动挡的车型销量仅占总销量的10%，这就决定了在2021款f-</t>
  </si>
  <si>
    <t>我们从日产中国获悉，旗下豪华品牌英菲尼迪今年1月销量表现较好，同比逆势增长4.3%。目前英菲尼迪在售的国产车型有豪华中型轿车q50l和豪华中型suv全新qx50，两款车型也占到品牌在华销量的近90%，虽然单车销量基数仍不大，但市场表现正逐渐回暖，对于英菲尼迪来讲是一个良好的信号。此外，目前全国各地、</t>
  </si>
  <si>
    <t>2020/02/11 09:54:00</t>
  </si>
  <si>
    <t>　　我们从日产中国获悉，旗下豪华品牌英菲尼迪今年1月销量表现较好，同比逆势增长4.3%。目前英菲尼迪在售的国产车型有豪华中型轿车q50l和豪华中型suv全新qx50，两款车型也占到品牌在华销量的近90%，虽然单车销量基数仍不大，但市场表现正逐渐回暖，对于英菲尼迪来讲是一个良好的信号。此外，目前全国各</t>
  </si>
  <si>
    <t>皮卡作为一款工具车因为非常实用，所以在国内外都非常受欢迎。不过在很多人的印象中，皮卡一直都是美系和日系的天下，福特、通用、丰田、日产等品牌的车型被众人所熟知，似乎世界上并不存在德系皮卡，但实际上大众和奔驰也都推出过皮卡。大众旗下就有一款皮卡车叫amarok，不过该车并未进入国内，在两年前的纽约车展上</t>
  </si>
  <si>
    <t>2020/02/11 09:52:00</t>
  </si>
  <si>
    <t>　　皮卡作为一款工具车因为非常实用，所以在国内外都非常受欢迎。不过在很多人的印象中，皮卡一直都是美系和日系的天下，福特、通用、丰田、日产等品牌的车型被众人所熟知，似乎世界上并不存在德系皮卡，但实际上大众和奔驰也都推出过皮卡。大众旗下就有一款皮卡车叫amarok，不过该车并未进入国内，在两年前的纽约车</t>
  </si>
  <si>
    <t>根据规划，奇瑞高端品牌星途将在2019年-2022年期间推出8款全新产品，目前已经推出了tx、txl以及lx，均为suv车型。近日我们获取到了一组疑似星途首款轿车ts（a 级轿车）的谍照，新车前脸被厚实的车衣覆盖，但从两侧灯组造型中还是能隐约看出星途家族的设计语言。内饰部分，从中控屏幕整体轮廓来看，</t>
  </si>
  <si>
    <t>2020/02/11 09:49:00</t>
  </si>
  <si>
    <t>　　根据规划，奇瑞高端品牌星途将在2019年-2022年期间推出8款全新产品，目前已经推出了tx、txl以及lx，均为suv车型。近日我们获取到了一组疑似星途首款轿车ts（a 级轿车）的谍照，新车前脸被厚实的车衣覆盖，但从两侧灯组造型中还是能隐约看出星途家族的设计语言。内饰部分，从中控屏幕整体轮廓来</t>
  </si>
  <si>
    <t>按照往年惯例，受春节假期影响，各大汽车品牌的当月市场销量总会有些不如人意。不过也有个别品牌会表现得很强势，出现较大增长。我们从捷途官方获悉：1月份，捷途的整体销量表现良好，全月累计销量11,870台（批售量），同比增长18%。2020年捷途的目标是冲击20万辆销量，可以说开了一个好头。与此同时，捷途</t>
  </si>
  <si>
    <t>2020/02/11 09:48:00</t>
  </si>
  <si>
    <t>　　按照往年惯例，受春节假期影响，各大汽车品牌的当月市场销量总会有些不如人意。不过也有个别品牌会表现得很强势，出现较大增长。我们从捷途官方获悉：1月份，捷途的整体销量表现良好，全月累计销量11,870台（批售量），同比增长18%。2020年捷途的目标是冲击20万辆销量，可以说开了一个好头。与此同时，</t>
  </si>
  <si>
    <t>北汽蓝谷日前发布2020年1月份产销数据公告，公告显示企业1月份产量为1,602辆，同比增长1028.17%。由于2019年国内新车销量整体下滑，北汽新能源通过及时调整经销商策略，降低库存，因此北汽新能源2020年首月产量大幅增长。需要指出的是，截至到目前，北汽新能源仍是全球新能源车销量第二，中国第</t>
  </si>
  <si>
    <t>2020/02/11 09:47:00</t>
  </si>
  <si>
    <t>　　北汽蓝谷日前发布2020年1月份产销数据公告，公告显示企业1月份产量为1,602辆，同比增长1028.17%。由于2019年国内新车销量整体下滑，北汽新能源通过及时调整经销商策略，降低库存，因此北汽新能源2020年首月产量大幅增长。需要指出的是，截至到目前，北汽新能源仍是全球新能源车销量第二，中</t>
  </si>
  <si>
    <t>　　优6 suv是纳智捷旗下的紧凑型suv，搭载1.6t/1.8t发动机，官方售价区间为12.98万-16.98万元。我们了解到：纳智捷优6 suv将换搭一台动力更强的1.8t发动机，其最大功率达到150kw，超过了同排量的吉利博越pro。　　这款由东名调校的1.8t四缸涡轮增压发动机，目前已搭载到</t>
  </si>
  <si>
    <t>2020/02/11 09:45:00</t>
  </si>
  <si>
    <t>优6 suv是纳智捷旗下的紧凑型suv，搭载1.6t/1.8t发动机，官方售价区间为12.98万-16.98万元。我们了解到：纳智捷优6 suv将换搭一台动力更强的1.8t发动机，其最大功率达到150kw，超过了同排量的吉利博越pro。    这款由东名调校的1.8t四缸涡轮增压发动机，目前已搭载到</t>
  </si>
  <si>
    <t>　　提及大众高尔夫想必大家都不陌生，该款车型为大众旗下的一款紧凑级轿车，同时也是诸多年轻消费者的入门级首选车型。近日海外媒体曝光了一组大众全新高尔夫gti tcr版车型谍照图，新车对外观以及动力上进行了部分升级优化，并有望在今年年内正式亮相。　　动力方面，新车将搭载一台2.0t涡轮增压发动机 48伏</t>
  </si>
  <si>
    <t>2020/02/11 09:44:00</t>
  </si>
  <si>
    <t>提及大众高尔夫想必大家都不陌生，该款车型为大众旗下的一款紧凑级轿车，同时也是诸多年轻消费者的入门级首选车型。近日海外媒体曝光了一组大众全新高尔夫gti tcr版车型谍照图，新车对外观以及动力上进行了部分升级优化，并有望在今年年内正式亮相。    动力方面，新车将搭载一台2.0t涡轮增压发动机 48伏</t>
  </si>
  <si>
    <t>　　韩国现代汽车在2003年便着手进入豪华车阵营，五年后的北美车展上，现代推出了其进军豪华市场的第一款车型genesis，但限于母品牌溢价能力的束缚，这款车型的销量其实并未真正获得北美市场的认可。直到2015年11月，genesis（捷恩斯）以独立品牌的身份推出了g90，这时来自韩国的豪华品牌开始走</t>
  </si>
  <si>
    <t>2020/02/11 09:43:00</t>
  </si>
  <si>
    <t>韩国现代汽车在2003年便着手进入豪华车阵营，五年后的北美车展上，现代推出了其进军豪华市场的第一款车型genesis，但限于母品牌溢价能力的束缚，这款车型的销量其实并未真正获得北美市场的认可。直到2015年11月，genesis（捷恩斯）以独立品牌的身份推出了g90，这时来自韩国的豪华品牌开始走向了</t>
  </si>
  <si>
    <t>　　伦敦电动汽车公司levc（该公司于2013年被吉利收购）表示，将在今年4月发布一款增程式混合动力车型，纯电续航里程可达130km，新车预计在第四季度上市。　　据悉，这款新车将定位在小型厢货，和伦敦电动汽车公司（levc）旗下的levc tx(参数|询价)出租车共享增程式混合动力技术（levc t</t>
  </si>
  <si>
    <t>2020/02/11 09:41:00</t>
  </si>
  <si>
    <t>伦敦电动汽车公司levc（该公司于2013年被吉利收购）表示，将在今年4月发布一款增程式混合动力车型，纯电续航里程可达130km，新车预计在第四季度上市。    据悉，这款新车将定位在小型厢货，和伦敦电动汽车公司（levc）旗下的levc tx(参数|询价)出租车共享增程式混合动力技术（levc t</t>
  </si>
  <si>
    <t>　　在2020年新德里汽车博览会期间，名爵hector plus正式首发，新车是名爵hector的6座/7座版本车型，且二者均为宝骏530的姊妹车型。同时官方表示，其将于今年下半年正式投放印度市场。动力方面，名爵hector plus将搭载1.5t汽油发动机、1.5t汽油发动机 48v轻混系统及2.</t>
  </si>
  <si>
    <t>2020/02/11 09:40:00</t>
  </si>
  <si>
    <t>在2020年新德里汽车博览会期间，名爵hector plus正式首发，新车是名爵hector的6座/7座版本车型，且二者均为宝骏530的姊妹车型。同时官方表示，其将于今年下半年正式投放印度市场。动力方面，名爵hector plus将搭载1.5t汽油发动机、1.5t汽油发动机 48v轻混系统及2.0t</t>
  </si>
  <si>
    <t>在2020年费城车展上，来自美国的超跑品牌ssc正式发布了旗下最新的量产版车型——ssc tuatara。ssc tuatara的历史可以追溯到2011年，也就是tuatara概念版车型发布的时间，在经历了近10年的磨合后，其量产版车型也终于来到了世人面前。ssc tuatara量产版搭载5.9t双</t>
  </si>
  <si>
    <t>2020/02/11 09:38:00</t>
  </si>
  <si>
    <t>一定有你喜欢的，12款促销SUV大盘点在上一期对不同级别、国别轿车产品的盘点中，我们通过一个新颖的角度观察到了轿车市场的现状；在紧凑型轿车市场里，德系紧凑型轿车与日系紧凑型轿车是市场的热门选择，美系紧凑型轿车紧随其后；中国品牌紧凑型轿车产品与德系品牌的产品矩阵相比，更像是在单兵作战；由此可见一个品牌</t>
  </si>
  <si>
    <t>　　在2020年费城车展上，来自美国的超跑品牌ssc正式发布了旗下最新的量产版车型――ssc tuatara。ssc tuatara的历史可以追溯到2011年，也就是tuatara概念版车型发布的时间，在经历了近10年的磨合后，其量产版车型也终于来到了世人面前。ssc tuatara量产版搭载5.9</t>
  </si>
  <si>
    <t>早前，gmc将要发布hummer ev纯电动皮卡的消息刷爆了朋友圈，而通用汽车在最近的投资者会议上，谈及了这款旗下首款纯电动皮卡，曝光了一些该车的细节。该车在上市时或将提供单电机、双电机和三电机版本，其中三电机版本将拥有1000马力的最大功率，以及11500磅/尺(约合15591牛·米)扭矩，0-9</t>
  </si>
  <si>
    <t>2020/02/11 09:37:00</t>
  </si>
  <si>
    <t>全系2.0T+8AT，起步不到19万在过去的几年，福特一直是以冲击百万位销量目标的，但是多年未果，也不知道是什么原因，福特也多年未更新自己的产品线，导致部分产品在市场上竞争力严重不足，如今随着市场下滑，福特已经离百万越来越远。在这样的背景下上市的锐际自然是寄托着福特的全部希望，全系标配2.0T+8A</t>
  </si>
  <si>
    <t>　　早前，gmc将要发布hummer ev纯电动皮卡的消息刷爆了朋友圈，而通用汽车在最近的投资者会议上，谈及了这款旗下首款纯电动皮卡，曝光了一些该车的细节。该车在上市时或将提供单电机、双电机和三电机版本，其中三电机版本将拥有1000马力的最大功率，以及11500磅/尺(约合15591牛・米)扭矩，0</t>
  </si>
  <si>
    <t>在过去的几年，福特一直是以冲击百万位销量目标的，但是多年未果，也不知道是什么原因，福特也多年未更新自己的产品线，导致部分产品在市场上竞争力严重不足，如今随着市场下滑，福特已经离百万越来越远。在这样的背景下上市的锐际自然是寄托着福特的全部希望，全系标配2.0T+8AT，还有四驱系统，而起步售价不到19</t>
  </si>
  <si>
    <t>2020上半年，值得入手的4款SUV原本是新春佳节，大家其乐融融的时刻，却被一场突发性公共卫生事件破坏，导致许多家庭无法相聚一团，企业无法正常开工，人们也无法正常外出游玩等等.总之，各行各业、各类人群都受到一定影响，最直接的就是过年买车无法正常进行，原本每逢春节，许多家庭都会考虑买车撑场面，但如今连</t>
  </si>
  <si>
    <t>2020/02/11 09:36:00</t>
  </si>
  <si>
    <t>原本是新春佳节，大家其乐融融的时刻，却被一场突发性公共卫生事件破坏，导致许多家庭无法相聚一团，企业无法正常开工，人们也无法正常外出游玩等等.总之，各行各业、各类人群都受到一定影响，最直接的就是过年买车无法正常进行，原本每逢春节，许多家庭都会考虑买车撑场面，但如今连门都出不了，也就无法去4S店买车。那</t>
  </si>
  <si>
    <t>日前有外媒报道称，宝马集团宣布在德国丁戈尔芬电动驱动器生产中心扩大产能，以应对全球整车工厂产量提升导致对电驱动系统动力总成及动力电池总成的需求量增大，这一计划的实施要比宝马的预期早了很多。    自2013年宝马i3投放市场以来，德国丁戈尔芬电动驱动器生产中心就一直负责电动驱系统动力总成与动力电池总</t>
  </si>
  <si>
    <t>2020/02/11 09:35:00</t>
  </si>
  <si>
    <t>　　日前有外媒报道称，宝马集团宣布在德国丁戈尔芬电动驱动器生产中心扩大产能，以应对全球整车工厂产量提升导致对电驱动系统动力总成及动力电池总成的需求量增大，这一计划的实施要比宝马的预期早了很多。　　自2013年宝马i3投放市场以来，德国丁戈尔芬电动驱动器生产中心就一直负责电动驱系统动力总成与动力电池总</t>
  </si>
  <si>
    <t>这10台硬派SUV就能随便买男人永远都是孩子，小时候喜欢玩具车，长大后开始对速度感兴趣，绕着小区疯狂骑着从父母手中借来的自行车。而当有了驾照后，对于速度的追求更加迫切，车对于他们来说，反而更像玩具。可当这个“男孩”上了岁数，体力略有不支时，便会把玩具由原来的竞速取向变为相对佛系的越野取向。可面对着上</t>
  </si>
  <si>
    <t>2020/02/11 09:34:00</t>
  </si>
  <si>
    <t>激光雷达是自动驾驶的核心部件，常见的安装方式是将激光雷达装在汽车顶上，这也使汽车流线型的外观美感大打折扣。现如今，有的公司独具匠心，尝试将激光雷达和车灯进行结合，把雷达嵌入车灯之中。    日本株式会社小糸制作所（koito manufacturing）可以说是世界上规模最大的汽车照明公司之一，在车</t>
  </si>
  <si>
    <t>　　激光雷达是自动驾驶的核心部件，常见的安装方式是将激光雷达装在汽车顶上，这也使汽车流线型的外观美感大打折扣。现如今，有的公司独具匠心，尝试将激光雷达和车灯进行结合，把雷达嵌入车灯之中。　　日本株式会社小糸制作所（koito manufacturing）可以说是世界上规模最大的汽车照明公司之一，在车</t>
  </si>
  <si>
    <t>男人永远都是孩子，小时候喜欢玩具车，长大后开始对速度感兴趣，绕着小区疯狂骑着从父母手中借来的自行车。而当有了驾照后，对于速度的追求更加迫切，车对于他们来说，反而更像玩具。可当这个“男孩”上了岁数，体力略有不支时，便会把玩具由原来的竞速取向变为相对佛系的越野取向。可面对着上有老、下有小的生活状态，这些</t>
  </si>
  <si>
    <t>2020/02/11 09:33:00</t>
  </si>
  <si>
    <t>电子手刹和机械手刹谁更安全？以前汽车的电子化程度不高，所以刹车基本上都是机械式的，随着后来行车电脑的加入，汽车的电子化程度慢慢也变得越来越高了。所以这些年的车子基本上电子手刹越来越多，也有不少朋友一直在质疑电子手刹到底有没有机械手刹那么安全，喵哥给大家分析一下。机械手刹跟脚之间是一根拉线拉着的，拉起</t>
  </si>
  <si>
    <t>近日据外媒报道，丰田汽车旗下微型代步车ayg换代工作将在2021年底或2022年完成，全新一代aygo将推出油电混合系统或插电式混合动力系统车型，同时燃油版车型也会予以保留。『现款丰田aygo』    上述消息由丰田欧洲副总裁matt harrison在接受媒体采访时透露，matt harrison</t>
  </si>
  <si>
    <t>　　近日据外媒报道，丰田汽车旗下微型代步车ayg换代工作将在2021年底或2022年完成，全新一代aygo将推出油电混合系统或插电式混合动力系统车型，同时燃油版车型也会予以保留。『现款丰田aygo』　　上述消息由丰田欧洲副总裁matt harrison在接受媒体采访时透露，matt harrison</t>
  </si>
  <si>
    <t>以前汽车的电子化程度不高，所以刹车基本上都是机械式的，随着后来行车电脑的加入，汽车的电子化程度慢慢也变得越来越高了。所以这些年的车子基本上电子手刹越来越多，也有不少朋友一直在质疑电子手刹到底有没有机械手刹那么安全，喵哥给大家分析一下。机械手刹跟脚之间是一根拉线拉着的，拉起手刹的同时脚也踩下去了，然后</t>
  </si>
  <si>
    <t>6-7万块究竟能买到一款怎样的轿车？在消费升级的大环境下，很多人认为入门级家轿已经是一个食之无味、弃之可惜的鸡肋市场。 然而比亚迪却不这么看，比亚迪认为，8万元以内的入门级家轿，在中国是有广泛需求的，这个市场不能丢。去年比亚迪总销量为451,246辆，其中新能源车售了219,353辆，占比48.6%</t>
  </si>
  <si>
    <t>2020/02/11 09:32:00</t>
  </si>
  <si>
    <t>预算20万左右的SUV家用车，这三款很不错，它们分别是奇骏、途胜和马自达CX-5日产 - 奇骏厂商指导价：18.88 - 27.33万ProPILOT超智驾技术【外观设计】 2020款日产奇骏出自升级版的雷诺日产三菱联盟的CMF平台，采用最新的V-motion设计，车身线条流畅简练，大尺寸V字形轮毂</t>
  </si>
  <si>
    <t>在消费升级的大环境下，很多人认为入门级家轿已经是一个食之无味、弃之可惜的鸡肋市场。 然而比亚迪却不这么看，比亚迪认为，8万元以内的入门级家轿，在中国是有广泛需求的，这个市场不能丢。去年比亚迪总销量为451,246辆，其中新能源车售了219,353辆，占比48.6%；燃油车售了231,893辆，占比达</t>
  </si>
  <si>
    <t>20万左右的SUV家用车，这三款都很不错预算20万左右的SUV家用车，这三款很不错，它们分别是奇骏、途胜和马自达CX-5日产 - 奇骏厂商指导价：18.88 - 27.33万ProPILOT超智驾技术【外观设计】 2020款日产奇骏出自升级版的雷诺日产三菱联盟的CMF平台，采用最新的V-motion</t>
  </si>
  <si>
    <t>2020/02/11 09:31:54</t>
  </si>
  <si>
    <t>投诉编号：【446842】
投诉时间： 2020-02-11 09:16
投诉品牌： 东风雪铁龙
投诉车系： 世嘉
投诉车型： 2011款 1.6 手动 炫雅型 两厢</t>
  </si>
  <si>
    <t>随着诸如哈弗H6、长安CS75 PLUS等国产SUV的不断崛起和销量巩固，目前家用SUV细分市场中，国产车已经占据了绝大部分的市场销量。这样一来，国产车具有的高性价比优势，势必会影响到部分合资品牌SUV的地位和销量。特别是目前在国内汽车市场中品牌力逐渐下降的美系、韩系和法系品牌，艰难处境就可想而知。</t>
  </si>
  <si>
    <t>2020/02/11 09:31:00</t>
  </si>
  <si>
    <t>近日，角师傅阅读《日本经济新闻》，其报道称，受中国冠状病毒影响，日产汽车位于日本西南部九州工厂将暂时停产，原因为无法从中国采购足够的零部件，生产愈发困难。根据日产官方表示，此次停产将影响至少3000辆汽车。九州工厂将于2月14日暂停两条生产线。根据2018年财年显示，该工厂产量为43.4万辆，其中一</t>
  </si>
  <si>
    <t>便宜的合资车，满油跑725km随着诸如哈弗H6、长安CS75 PLUS等国产SUV的不断崛起和销量巩固，目前家用SUV细分市场中，国产车已经占据了绝大部分的市场销量。这样一来，国产车具有的高性价比优势，势必会影响到部分合资品牌SUV的地位和销量。特别是目前在国内汽车市场中品牌力逐渐下降的美系、韩系和</t>
  </si>
  <si>
    <t>继现代起亚/雷诺后，又一家车企宣布停产近日，角师傅阅读《日本经济新闻》，其报道称，受中国冠状病毒影响，日产汽车位于日本西南部九州工厂将暂时停产，原因为无法从中国采购足够的零部件，生产愈发困难。根据日产官方表示，此次停产将影响至少3000辆汽车。九州工厂将于2月14日暂停两条生产线。根据2018年财年</t>
  </si>
  <si>
    <t>我们从相关渠道获悉，小鹏汽车p7或将提供续航里程700km 的车型。目前国内在售纯电动车中，nedc续航最长的车型为2019款特斯拉model s长续航版车型，其续航里程为660km，所以小鹏汽车p7有望成为国内续航里程最长的纯电动车。    根据此前消息，小鹏汽车的纯电动中型轿车p7预计将于202</t>
  </si>
  <si>
    <t>　　我们从相关渠道获悉，小鹏汽车p7或将提供续航里程700km 的车型。目前国内在售纯电动车中，nedc续航最长的车型为2019款特斯拉model s长续航版车型，其续航里程为660km，所以小鹏汽车p7有望成为国内续航里程最长的纯电动车。　　根据此前消息，小鹏汽车的纯电动中型轿车p7预计将于202</t>
  </si>
  <si>
    <t>日前据外媒报道，宝马将为其纯电动车型推出全新的低风阻轮圈，以实现更好的空气动力学性能以及增加车辆的行驶里程，搭载车型将包括ix3、inext(参数|询价)以及i4，首次亮相也将与2020年上市的宝马ix3一同发布。    『宝马新低风阻空气动力学轮圈』    消息表示，参考目前市场中已经搭载了低风阻</t>
  </si>
  <si>
    <t>2020/02/11 09:30:00</t>
  </si>
  <si>
    <t>　　日前据外媒报道，宝马将为其纯电动车型推出全新的低风阻轮圈，以实现更好的空气动力学性能以及增加车辆的行驶里程，搭载车型将包括ix3、inext(参数|询价)以及i4，首次亮相也将与2020年上市的宝马ix3一同发布。　　『宝马新低风阻空气动力学轮圈』　　消息表示，参考目前市场中已经搭载了低风阻轮圈</t>
  </si>
  <si>
    <t>数字化座舱已经不再只是科幻电影中的桥段，它正在逐渐走进我们的日常生活。日前，lg电子宣布，将为2021款凯迪拉克凯雷德escalade车型提供基于oled打造的数字化座舱。    据悉，lg电子供应的这个数字化座舱拥有一块38英寸的oled曲面屏面板，由两个车载信息娱乐屏幕和一个仪表盘屏幕组成，像素</t>
  </si>
  <si>
    <t>2020/02/11 09:28:00</t>
  </si>
  <si>
    <t>　　数字化座舱已经不再只是科幻电影中的桥段，它正在逐渐走进我们的日常生活。日前，lg电子宣布，将为2021款凯迪拉克凯雷德escalade车型提供基于oled打造的数字化座舱。　　据悉，lg电子供应的这个数字化座舱拥有一块38英寸的oled曲面屏面板，由两个车载信息娱乐屏幕和一个仪表盘屏幕组成，像素</t>
  </si>
  <si>
    <t>日前，外媒专访了福特电动汽车产品负责人帕尔默（darren palmer），其透露了目前福特在mustang mach-e以及其它纯电动产品上的规划。其中帕尔默分析了目前mach-e的订单趋势，以及福特未来将创建纯电动产品链，不断扩充细分市场，其中纯电动suv是正在研究的下一个领域，并且暗示首款su</t>
  </si>
  <si>
    <t>2020/02/11 09:26:00</t>
  </si>
  <si>
    <t>　　日前，外媒专访了福特电动汽车产品负责人帕尔默（darren palmer），其透露了目前福特在mustang mach-e以及其它纯电动产品上的规划。其中帕尔默分析了目前mach-e的订单趋势，以及福特未来将创建纯电动产品链，不断扩充细分市场，其中纯电动suv是正在研究的下一个领域，并且暗示首款</t>
  </si>
  <si>
    <t>　　赛麟迈客(参数|询价)最初于2019年7月举办的赛麟之夜发布会上发布。随后在2019年10月，我们又从国家工信部获取到了迈客量产版的申报信息，获取到了新车的部分参数。不过，新车的内饰设计始终是未知。近日，我们从相关渠道获取到了赛麟迈客的内饰谍照，　　先来回顾一下赛麟迈客的外观。迈客的前脸采用了美</t>
  </si>
  <si>
    <t>2020/02/11 09:25:00</t>
  </si>
  <si>
    <t>赛麟迈客(参数|询价)最初于2019年7月举办的赛麟之夜发布会上发布。随后在2019年10月，我们又从国家工信部获取到了迈客量产版的申报信息，获取到了新车的部分参数。不过，新车的内饰设计始终是未知。近日，我们从相关渠道获取到了赛麟迈客的内饰谍照，    先来回顾一下赛麟迈客的外观。迈客的前脸采用了美</t>
  </si>
  <si>
    <t>就在昨天，2020年的芝加哥车展正式开幕了，这也算是今年全球第一个规模比较大的车展。而此次主要是中期改款车型居多，那么除了前面说的全新汉兰达XSE运动版之外，还有哪些新车型会进入国内的呢？接下来就去看看。大众新款途昂既然前面说了汉兰达，那就不得不提一下新款的大众途昂（Atlas）了，新车外观变化最为</t>
  </si>
  <si>
    <t>2020/02/11 09:23:00</t>
  </si>
  <si>
    <t>除了汉兰达运动版还有啥？2020芝加哥车展将入华新车盘点就在昨天，2020年的芝加哥车展正式开幕了，这也算是今年全球第一个规模比较大的车展。而此次主要是中期改款车型居多，那么除了前面说的全新汉兰达XSE运动版之外，还有哪些新车型会进入国内的呢？接下来就去看看。大众新款途昂既然前面说了汉兰达，那就不得</t>
  </si>
  <si>
    <t>为了向全国奋战在一线的抗疫医护人员表示慰问，蔚来推出了专门针对医疗系统人员的专属购车福利，符合条件的人员在购买蔚来汽车的时候，将能够获得5000元价格立减优惠，活动即日开始，将持续到12月31日。    官方表示，这项优惠活动包含全国医疗系统人员、医科院校老师以及其直系亲属，所有蔚来在售车型均享受这</t>
  </si>
  <si>
    <t>　　为了向全国奋战在一线的抗疫医护人员表示慰问，蔚来推出了专门针对医疗系统人员的专属购车福利，符合条件的人员在购买蔚来汽车的时候，将能够获得5000元价格立减优惠，活动即日开始，将持续到12月31日。　　官方表示，这项优惠活动包含全国医疗系统人员、医科院校老师以及其直系亲属，所有蔚来在售车型均享受这</t>
  </si>
  <si>
    <t>2019年末，一汽丰田全新一代RAV4荣放在西双版纳正式上市。一共推出了8款车型，提供2.0L/2.5L双擎两种动力总成可供选择，官方指导价为17.48-25.88万元。历经四次演化的RAV4再一次以全新的姿态走进人们的视野，在高手如云的紧凑型SUV市场打一场翻身仗。成功开拓的历史把时间推回到25年</t>
  </si>
  <si>
    <t>2020/02/11 09:22:00</t>
  </si>
  <si>
    <t>燃油双擎两开花，这一次，你看好RAV4荣放吗？2019年末，一汽丰田全新一代RAV4荣放在西双版纳正式上市。一共推出了8款车型，提供2.0L/2.5L双擎两种动力总成可供选择，官方指导价为17.48-25.88万元。历经四次演化的RAV4再一次以全新的姿态走进人们的视野，在高手如云的紧凑型SUV市场</t>
  </si>
  <si>
    <t>如今的国内市场，车型多的琳琅满目，车型设计上也开始向时尚动感靠近，越来越年轻化了。起亚KX CROSS和威驰FS都是汽车热销榜上的佼佼者，今天我们来对比一下这两款车各有什么优缺点！外观：指标名称起亚KX CROSS威驰FS长[mm]42404140宽[mm]17501700高[mm]15051495</t>
  </si>
  <si>
    <t>2020/02/11 09:21:00</t>
  </si>
  <si>
    <t>作为七座SUV的开拓者，丰田汉兰达销量一直名列前茅，其售价也十分坚挺，即使到现在也是原价甚至部分地区加价销售。汉兰达一切以实用至上的设计原则，在空间和使用成本上有很大优势。但高昂的售价，较低的配置以及朴素的内外饰又一直是被人吐槽的缺点。在近日的美国芝加哥车展上，汉兰达北美推出新款XSE车型，进行了大</t>
  </si>
  <si>
    <t>新款汉兰达北美亮相，更像雷克萨斯，七座标杆再续加价神话作为七座SUV的开拓者，丰田汉兰达销量一直名列前茅，其售价也十分坚挺，即使到现在也是原价甚至部分地区加价销售。汉兰达一切以实用至上的设计原则，在空间和使用成本上有很大优势。但高昂的售价，较低的配置以及朴素的内外饰又一直是被人吐槽的缺点。在近日的美</t>
  </si>
  <si>
    <t>几款主流10万级小型车油耗与舒适性大比拼！如今的国内市场，车型多的琳琅满目，车型设计上也开始向时尚动感靠近，越来越年轻化了。起亚KX CROSS和威驰FS都是汽车热销榜上的佼佼者，今天我们来对比一下这两款车各有什么优缺点！外观：指标名称起亚KX CROSS威驰FS长[mm]42404140宽[mm]</t>
  </si>
  <si>
    <t>疫情防控，迫在眉睫。日前我们从哪吒汽车官方了解到，截至2020年2月10日16点，哪吒汽车已向各地“新型冠状病毒感染的肺炎疫情防控应急指挥部”提供应急用车共计111辆。    根据哪吒汽车官方消息称，截至2020年2月10日16点，哪吒汽车共向各地“新型冠状病毒感染的肺炎疫情防控应急指挥部”提供应急</t>
  </si>
  <si>
    <t>　　疫情防控，迫在眉睫。日前我们从哪吒汽车官方了解到，截至2020年2月10日16点，哪吒汽车已向各地“新型冠状病毒感染的肺炎疫情防控应急指挥部”提供应急用车共计111辆。　　根据哪吒汽车官方消息称，截至2020年2月10日16点，哪吒汽车共向各地“新型冠状病毒感染的肺炎疫情防控应急指挥部”提供应急</t>
  </si>
  <si>
    <t>随着国民收入的增加，越来越多的年轻人选择购车代步上班。这不仅说明大家生活水平的提高，同时汽车的诞生给人们的生活带来不少便利。然而今天我们就来说说年轻人适合开的两款车型，看看这些车凭什么能吸引他们！外观：指标名称速派帕萨特长[mm]48694933宽[mm]18651836高[mm]14891469轴</t>
  </si>
  <si>
    <t>2020/02/11 09:20:00</t>
  </si>
  <si>
    <t>18万的价格，28万的面子！速派还是帕萨特,哪款能入手？车主们这么说随着国民收入的增加，越来越多的年轻人选择购车代步上班。这不仅说明大家生活水平的提高，同时汽车的诞生给人们的生活带来不少便利。然而今天我们就来说说年轻人适合开的两款车型，看看这些车凭什么能吸引他们！外观：指标名称速派帕萨特长[mm]4</t>
  </si>
  <si>
    <t>前不久，宾利发布了慕尚6.75 Edition特别版的官图。如果你是一位英国车迷，看到6.75这个数字就会明白，这台特别版车型的发布是为了纪念一台已经连续生产超过60年的V8发动机——宾利L系列（L-Series）发动机。作为世界上连续生产时间最长的V8发动机，今年也是它连续生产的60周年。这台被视</t>
  </si>
  <si>
    <t>2020/02/11 09:19:00</t>
  </si>
  <si>
    <t>2019年中国汽车市场因为新型肺炎疫情的缘故起步不顺，但不缺少大新闻。吉利汽车与沃尔沃在2月10日分别发布了公告与消息，称管理层正与对方探讨两家公司的业务合并进行重组的可能性，拟将合并后的业务于通过香港上市公司对接国际资本市场，未来在瑞典斯德哥尔摩上市。自吉利2010年收购沃尔沃算起，今年正好来到第</t>
  </si>
  <si>
    <t>生产了60年的V8发动机，再见宾利6¾L前不久，宾利发布了慕尚6.75 Edition特别版的官图。如果你是一位英国车迷，看到6.75这个数字就会明白，这台特别版车型的发布是为了纪念一台已经连续生产超过60年的V8发动机——宾利L系列（L-Series）发动机。作为世界上连续生产时间最长的V8发动机</t>
  </si>
  <si>
    <t>疫情时期开车需要戴口罩吗？这几点建议，你很有必要知道疫情仍没有停止，因此我们仍然需要时刻关注自己的卫生安全。从昨天开始，我国各大地区将进入节后的返程高峰期。全家人共同乘坐一辆汽车返回工作城市，这一路上的车内安全问题就牵动着众多车主的心。首先：检查车门边框密封条是否完好先要检查汽车车门的边框附近密封条</t>
  </si>
  <si>
    <t>2月10日晚，比亚迪官方公布最新销量成绩，数据显示，比亚迪1月销量共计25173辆，较去年同期的43920辆同比下降42.68%。    具体来看，比亚迪1月份在燃油车领域表现较好，销量18040辆，较去年的15252辆同比增长18.28%；其中，轿车和suv销量分别为4484辆和12254辆，分别</t>
  </si>
  <si>
    <t>2月10日，沃尔沃汽车集团（以下简称“沃尔沃汽车”）和吉利汽车控股有限公司（以下简称“吉利汽车”）宣布正在筹划将双方的业务进行整合，从而组建一个更加强大的全球企业集团。此次强强联手旨在促进双方深化合作，在技术研发、成本控制和财务上更加有效协同。    在双方来看，通过业务重组，双方将更具规模优势，并</t>
  </si>
  <si>
    <t>吉利、沃尔沃谋求合并：十年之前，十年之后2019年中国汽车市场因为新型肺炎疫情的缘故起步不顺，但不缺少大新闻。吉利汽车与沃尔沃在2月10日分别发布了公告与消息，称管理层正与对方探讨两家公司的业务合并进行重组的可能性，拟将合并后的业务于通过香港上市公司对接国际资本市场，未来在瑞典斯德哥尔摩上市。自吉利</t>
  </si>
  <si>
    <t>　　2月10日晚，比亚迪官方公布最新销量成绩，数据显示，比亚迪1月销量共计25173辆，较去年同期的43920辆同比下降42.68%。　　具体来看，比亚迪1月份在燃油车领域表现较好，销量18040辆，较去年的15252辆同比增长18.28%；其中，轿车和suv销量分别为4484辆和12254辆，分别</t>
  </si>
  <si>
    <t>　　2月10日，沃尔沃汽车集团（以下简称“沃尔沃汽车”）和吉利汽车控股有限公司（以下简称“吉利汽车”）宣布正在筹划将双方的业务进行整合，从而组建一个更加强大的全球企业集团。此次强强联手旨在促进双方深化合作，在技术研发、成本控制和财务上更加有效协同。　　在双方来看，通过业务重组，双方将更具规模优势，并</t>
  </si>
  <si>
    <t>上周，特斯拉在股市打破了此前平均交易量1800万股的平静，最高光时刻日成交量达到6000万股，市值超过大众，直逼丰田。.过去一年特斯拉股价上涨了188%，从去年频传破产到市值全球第二，中国制造是支撑马斯克和特斯拉神话的关键。事实从特斯拉落户上海以来，上海市和特斯拉一直争议不断，尤其是媒体。特斯拉落沪</t>
  </si>
  <si>
    <t>2020/02/11 09:18:00</t>
  </si>
  <si>
    <t>别喷特斯拉中国造：电动汽车可能是一场手机式逆袭上周，特斯拉在股市打破了此前平均交易量1800万股的平静，最高光时刻日成交量达到6000万股，市值超过大众，直逼丰田。.过去一年特斯拉股价上涨了188%，从去年频传破产到市值全球第二，中国制造是支撑马斯克和特斯拉神话的关键。事实从特斯拉落户上海以来，上海</t>
  </si>
  <si>
    <t>前言：了解汽车知识，让每一位车主维修保养不花冤枉钱。车辆信息：2012年的1.8T四驱大众途观，行驶约18万公里。车龄故障：电瓶亏电，车辆停放一夜，第二天早晨无法启动。搭电后白天行驶一天都启动正常。这辆途观在6月份时，因电瓶亏电无法启动更换过一次电瓶，结果这次才使用了半年时间。车主怀疑是胖哥给他换的</t>
  </si>
  <si>
    <t>途观早晨三次无法启动，维修店二话不说换电瓶的，多学习能省钱前言：了解汽车知识，让每一位车主维修保养不花冤枉钱。车辆信息：2012年的1.8T四驱大众途观，行驶约18万公里。车龄故障：电瓶亏电，车辆停放一夜，第二天早晨无法启动。搭电后白天行驶一天都启动正常。这辆途观在6月份时，因电瓶亏电无法启动更换过</t>
  </si>
  <si>
    <t>受疫情影响，全国各地延长了春节时间，疫情没立即好转导致各地复工再次延缓，很多非基本民生门店持续关门，而很多4S店都还没开业的情况下，有车没法卖，想买车的市民没法买车，可能将导致2月车市会更惨淡？经销商延期复工门店销售影响大据统计，北京市、上海市、广东省、重庆市、浙江省、福建省、江苏省、安徽省、云南省</t>
  </si>
  <si>
    <t>2020/02/11 09:17:00</t>
  </si>
  <si>
    <t>研究显示：鸟粪中腐蚀车漆的成分不是酸，最伤车漆的居然是鸽子粪鸟粪能对车漆能造成严重的腐蚀，这一定律在车主心目中已经是心照不宣。但鸟粪中具体是什么成分能对车漆造成如此严重的腐蚀？社会公认的答案是“酸”……因为鸟没有小JJ，所以鸟排尿的方式都是通过肛门——其尿道和肛门相通，所以鸟的尿液其实是混合着便便被</t>
  </si>
  <si>
    <t>1月车市开局不利2月会更惨淡吗？受疫情影响，全国各地延长了春节时间，疫情没立即好转导致各地复工再次延缓，很多非基本民生门店持续关门，而很多4S店都还没开业的情况下，有车没法卖，想买车的市民没法买车，可能将导致2月车市会更惨淡？经销商延期复工门店销售影响大据统计，北京市、上海市、广东省、重庆市、浙江省</t>
  </si>
  <si>
    <t>鸟粪能对车漆能造成严重的腐蚀，这一定律在车主心目中已经是心照不宣。但鸟粪中具体是什么成分能对车漆造成如此严重的腐蚀？社会公认的答案是“酸”……因为鸟没有小JJ，所以鸟排尿的方式都是通过肛门——其尿道和肛门相通，所以鸟的尿液其实是混合着便便被排出来的。现在你明白为啥所有的鸟都“拉稀”了吧？所以，有很多</t>
  </si>
  <si>
    <t>2月10日，蔚来汽车公布最新销量成绩。数据显示，2020年1月，蔚来品牌整体交付量1598辆，同比下滑11.47%。其中蔚来es6交付1493辆，蔚来es8交付105辆。自2018年6月开始交付以来，全品牌累计交付33511辆。    蔚来方面表示，受春节假期及疫情影响，今年1月仅16个有效交付日，</t>
  </si>
  <si>
    <t>　　2月10日，蔚来汽车公布最新销量成绩。数据显示，2020年1月，蔚来品牌整体交付量1598辆，同比下滑11.47%。其中蔚来es6交付1493辆，蔚来es8交付105辆。自2018年6月开始交付以来，全品牌累计交付33511辆。　　蔚来方面表示，受春节假期及疫情影响，今年1月仅16个有效交付日，</t>
  </si>
  <si>
    <t>现款Insignia中期改款车型近日，欧宝汽车品牌发言人透露，刚刚在2019年底推出的中期改款Insignia将在生命期结束后（预计2022年），彻底停止轿车类别的产品延续，下一代车型极有可能转变产品形式，或变为Crossover风格的车型。在当下的汽车市场里，Crossover以及SUV车型越来越</t>
  </si>
  <si>
    <t>2020/02/11 09:16:00</t>
  </si>
  <si>
    <t>为什么现在汽车寿命越来越短？看看工程师是怎样从机械方面分析的曲轴是汽车发动机的关键部件之一，其性能好坏直接影响汽车的寿命。曲轴工作时承受着大负荷和不断变化的弯矩及扭矩作用，常见的失效形式为弯曲疲劳断裂及轴颈磨损，因此要求曲轴材质具有较高的刚性和疲劳强度以及良好的耐磨性能。曲轴的工作原理：　　曲轴是发</t>
  </si>
  <si>
    <t>曲轴是汽车发动机的关键部件之一，其性能好坏直接影响汽车的寿命。曲轴工作时承受着大负荷和不断变化的弯矩及扭矩作用，常见的失效形式为弯曲疲劳断裂及轴颈磨损，因此要求曲轴材质具有较高的刚性和疲劳强度以及良好的耐磨性能。曲轴的工作原理：　　曲轴是发动机中最典型、最重要的零件之一，其功用是将活塞连杆传递来的气</t>
  </si>
  <si>
    <t>欧宝大变革，下一代Insignia或为Crossover现款Insignia中期改款车型近日，欧宝汽车品牌发言人透露，刚刚在2019年底推出的中期改款Insignia将在生命期结束后（预计2022年），彻底停止轿车类别的产品延续，下一代车型极有可能转变产品形式，或变为Crossover风格的车型。在</t>
  </si>
  <si>
    <t>2020/02/11 09:15:00</t>
  </si>
  <si>
    <t>　　宝马5系一直是豪华中大型车市场上的一位强力选手，其出色的机械素质和年轻的设计受到了越来越多消费者的喜爱。在f18时代，宝马5系有着比较大的优惠幅度，入门车型520li更是性价比突出，对销量有着极大贡献。今天，我们也找到了现款宝马5系的入门级车型――525li，来看看它的产品力究竟如何。　　总结　</t>
  </si>
  <si>
    <t>投诉编号：【446841】投诉时间：2020-02-1109:14投诉品牌：凯翼汽车投诉车系：凯翼C3投诉车型：2015款1.5L手动黄钻型投诉内容冬季打火时出现发动机抖动，三缸失火的问题，有一个发动机汽缸不工作。投诉回复车质网已将您的投诉转给生产企业以及国家市场监督管理总局缺陷产品管理中心，我们将</t>
  </si>
  <si>
    <t>2020/02/11 09:14:00</t>
  </si>
  <si>
    <t>为啥说北方人开车不知道谁穷，南方人开车不知道谁有钱？中国地域辽阔，文化差异较大，其中也包括使用车辆的差异。网上就有这样的一个说法，北方人开车不知道谁穷，南方人开车不知道谁有钱，为啥这么说呢？今天我们就一起探讨一下这个问题。第1，历史的原因，很多的事情都是历史遗留的问题，在改革开放之初，国内的汽车生产</t>
  </si>
  <si>
    <t>2020/02/11 09:13:00</t>
  </si>
  <si>
    <t>“买车容易养车难”还没买车的看好了 凯美瑞10万公里免费保养"买车容易养车难"，相信不少车主对这句话都有着深刻理解，购买了汽车之后，每年在汽车方面的投入与花销都是一笔不小的数字，除去日常使用产生的油费、路费以及停车费，每相隔半年还需要对爱车进行至少两次保养，相对昂贵的保养价格无形中给车主增加了一定的</t>
  </si>
  <si>
    <t>投诉编号：【446840】投诉时间：2020-02-1109:13投诉品牌：上汽大众投诉车系：帕萨特投诉车型：2017款330TSI尊荣版投诉内容2019年5月发现驾驶室车窗发出“砂砂”的异响，2019年6月发现左右两个B柱在不平的路况、刹车、以及拐弯等情况出现“嚯嚯”的异响，两次去上汽大众汽车4S</t>
  </si>
  <si>
    <t>作为wey品牌旗下推出的第二款车型，vv5(参数|询价)的市场表现经历了一个较大的波折曲线。2017年8月，wey vv5正式上市，凭借其品牌、产品力方面的优势，获得一份不错的成绩单。不过随着时间的推移，一些不足也随之暴露，销量表现并不尽如人意。那么，在销量数字表象的背后，究竟有何原因？车主对wey</t>
  </si>
  <si>
    <t>"买车容易养车难"，相信不少车主对这句话都有着深刻理解，购买了汽车之后，每年在汽车方面的投入与花销都是一笔不小的数字，除去日常使用产生的油费、路费以及停车费，每相隔半年还需要对爱车进行至少两次保养，相对昂贵的保养价格无形中给车主增加了一定的使用负担。保养价格之所以昂贵，一方面是由于车辆配件价格相对较</t>
  </si>
  <si>
    <t>中国地域辽阔，文化差异较大，其中也包括使用车辆的差异。网上就有这样的一个说法，北方人开车不知道谁穷，南方人开车不知道谁有钱，为啥这么说呢？今天我们就一起探讨一下这个问题。第1，历史的原因，很多的事情都是历史遗留的问题，在改革开放之初，国内的汽车生产制造那是十分落后的，只能靠国外进口车辆，后来大众汽车</t>
  </si>
  <si>
    <t>　　作为wey品牌旗下推出的第二款车型，vv5(参数|询价)的市场表现经历了一个较大的波折曲线。2017年8月，wey vv5正式上市，凭借其品牌、产品力方面的优势，获得一份不错的成绩单。不过随着时间的推移，一些不足也随之暴露，销量表现并不尽如人意。那么，在销量数字表象的背后，究竟有何原因？车主对w</t>
  </si>
  <si>
    <t>“倒车雷达”与“倒车影像”哪个好？内行人：老司机会选择它倒车是每个司机都需要必备的技能，应该没有多少人敢保证，自己在开车的时候不需要倒车吧？其实很多的司机对于倒车并不是很熟悉，毕竟这对于我们的方向感还要驾驶技术是有一定的挑战性的。很多人在倒车的时候，为了更为安全和便捷，所以就会借助一些外在的工具，在</t>
  </si>
  <si>
    <t>2020/02/11 09:12:00</t>
  </si>
  <si>
    <t>倒车是每个司机都需要必备的技能，应该没有多少人敢保证，自己在开车的时候不需要倒车吧？其实很多的司机对于倒车并不是很熟悉，毕竟这对于我们的方向感还要驾驶技术是有一定的挑战性的。很多人在倒车的时候，为了更为安全和便捷，所以就会借助一些外在的工具，在现在的市场上，除了自动停车技术之外，就是倒车影像和倒车雷</t>
  </si>
  <si>
    <t>司机先生求求您，开车前一定检查下，可能挽救一只或一窝小生命冬天来了，人们纵情于冰雪带来的视觉冲击，穿上厚厚的棉袄，带上暖和的手套，在冰雪天地里狂欢，对人类来讲冬天或许有着丝丝美丽，但对于流浪在冬季的猫咪，却是随时能够夺去生命的残酷季节，低温、食物、安身之所、人类的敌视、其他物种的威胁等，都能随时带走</t>
  </si>
  <si>
    <t>2020/02/11 09:11:00</t>
  </si>
  <si>
    <t>冬天来了，人们纵情于冰雪带来的视觉冲击，穿上厚厚的棉袄，带上暖和的手套，在冰雪天地里狂欢，对人类来讲冬天或许有着丝丝美丽，但对于流浪在冬季的猫咪，却是随时能够夺去生命的残酷季节，低温、食物、安身之所、人类的敌视、其他物种的威胁等，都能随时带走一个小生命，而有时，猫咪自认为寻找到了一处安身之所，却不知</t>
  </si>
  <si>
    <t>近日，雪铁龙官方发布了其首款纯电动车预告图。作为psa集团下的一个品牌，雪铁龙是该集团最后一个推出电动车的。按规划，这款车将于当地的2月27日亮相。    预告图仅显示了车头的少部分细节，新车无疑问采用了封闭式进气格栅，而上下边缘和logo的位置还加入了可发光的led光源，看起来颇具未来感。两侧大灯</t>
  </si>
  <si>
    <t>2020/02/11 09:10:00</t>
  </si>
  <si>
    <t>　　近日，雪铁龙官方发布了其首款纯电动车预告图。作为psa集团下的一个品牌，雪铁龙是该集团最后一个推出电动车的。按规划，这款车将于当地的2月27日亮相。　　预告图仅显示了车头的少部分细节，新车无疑问采用了封闭式进气格栅，而上下边缘和logo的位置还加入了可发光的led光源，看起来颇具未来感。两侧大灯</t>
  </si>
  <si>
    <t>日前，宝马官方发布了一款x5的特别版车型——x5 timeless edition（永恒版）。该车由宝马和意大利皮革公司alcantara共同打造而来，是为了纪念宝马x系列车型诞生20周年。据悉，宝马x5 timeless edition仅在意大利市场进行销售，并限量50台。    宝马x5 tim</t>
  </si>
  <si>
    <t>2020/02/11 09:09:00</t>
  </si>
  <si>
    <t>　　日前，宝马官方发布了一款x5的特别版车型――x5 timeless edition（永恒版）。该车由宝马和意大利皮革公司alcantara共同打造而来，是为了纪念宝马x系列车型诞生20周年。据悉，宝马x5 timeless edition仅在意大利市场进行销售，并限量50台。　　宝马x5 tim</t>
  </si>
  <si>
    <t>面对着新冠肺炎疫情，吉利汽车宣布将研发达到n95口罩级标准的车载净化系统（iaps智能空气净化系统），并力争在20天内完成研发达到量产标准，并于30天内实现量产，而首批产品将装配在吉利汽车捐赠疫区的150辆嘉际车型上。    这套iaps智能空气净化系统（intelligent air purifi</t>
  </si>
  <si>
    <t>2020/02/11 09:07:00</t>
  </si>
  <si>
    <t>　　面对着新冠肺炎疫情，吉利汽车宣布将研发达到n95口罩级标准的车载净化系统（iaps智能空气净化系统），并力争在20天内完成研发达到量产标准，并于30天内实现量产，而首批产品将装配在吉利汽车捐赠疫区的150辆嘉际车型上。　　这套iaps智能空气净化系统（intelligent air purifi</t>
  </si>
  <si>
    <t>面对新型冠状病毒感染的肺炎疫情，各行各业都加入到了战“疫”中，汽车企业也位列其中。为减轻经销商压力，领克汽车启动了多项经销商关怀政策，其中包括了不对2月份销售计划进行考核、提供融资支援等。    为了帮助经销商渡过难关，领克汽车决定不对二月份销售计划、结算节奏、运营检核等项目进行考核。为了减轻经销商</t>
  </si>
  <si>
    <t>2020/02/11 09:06:00</t>
  </si>
  <si>
    <t>　　面对新型冠状病毒感染的肺炎疫情，各行各业都加入到了战“疫”中，汽车企业也位列其中。为减轻经销商压力，领克汽车启动了多项经销商关怀政策，其中包括了不对2月份销售计划进行考核、提供融资支援等。　　为了帮助经销商渡过难关，领克汽车决定不对二月份销售计划、结算节奏、运营检核等项目进行考核。为了减轻经销商</t>
  </si>
  <si>
    <t>面对新型冠状病毒感染的肺炎疫情，长安凯程在疫情防控期间推出24小时免费救援、首保延长、线上看车、上门试驾以及送车到家等多项服务。    长安凯程全系车型在疫情期间首次保养时间在原3个月的基础上，延长3个月至6个月，同时增加1000公里，延长后的首保政策为购车后行驶180天或6000公里（以先到者为准</t>
  </si>
  <si>
    <t>2020/02/11 09:04:00</t>
  </si>
  <si>
    <t>　　面对新型冠状病毒感染的肺炎疫情，长安凯程在疫情防控期间推出24小时免费救援、首保延长、线上看车、上门试驾以及送车到家等多项服务。　　长安凯程全系车型在疫情期间首次保养时间在原3个月的基础上，延长3个月至6个月，同时增加1000公里，延长后的首保政策为购车后行驶180天或6000公里（以先到者为准</t>
  </si>
  <si>
    <t>在新型冠状病毒肺炎的影响下，各行各业都受到了很大冲击。为了帮助经销商伙伴渡过难关，上汽maxus在市场销售、售后服务及整车物流三方面推出了经销商支持措施。    市场销售支持    在2月份，为了减轻经销商的资金压力，上汽maxus对共同承担责任的经销商，将其部分车辆的免息期延长至90天，同时给予这</t>
  </si>
  <si>
    <t>2020/02/11 09:03:00</t>
  </si>
  <si>
    <t>　　在新型冠状病毒肺炎的影响下，各行各业都受到了很大冲击。为了帮助经销商伙伴渡过难关，上汽maxus在市场销售、售后服务及整车物流三方面推出了经销商支持措施。　　市场销售支持　　在2月份，为了减轻经销商的资金压力，上汽maxus对共同承担责任的经销商，将其部分车辆的免息期延长至90天，同时给予这些经</t>
  </si>
  <si>
    <t>在这个全民抗击疫情的特别时期，各大车企也纷纷采取应对措施维护疫情期间车主的权益。长安福特日前宣布，为给消费者提供安全便捷的购车、拥车体验，特推出“不出户，轻松购”全方案服务——用五大暖心行动。     暖心行动一：无接触线上看车、订车    考虑目前疫情期间消费者外出方便，长安福特推出线上看车服务，</t>
  </si>
  <si>
    <t>2020/02/11 09:00:00</t>
  </si>
  <si>
    <t>　　在这个全民抗击疫情的特别时期，各大车企也纷纷采取应对措施维护疫情期间车主的权益。长安福特日前宣布，为给消费者提供安全便捷的购车、拥车体验，特推出“不出户，轻松购”全方案服务――用五大暖心行动。　　 暖心行动一：无接触线上看车、订车　　考虑目前疫情期间消费者外出方便，长安福特推出线上看车服务，在线</t>
  </si>
  <si>
    <t>作为意大利跑车的代表车型，兰博基尼Aventador一直以来都被人称为“大牛”。不过，随着时间的推移，这款经典超跑的造型也不免显得有些过时，到了该换代的时间节点。近日，有海外媒体发布了全新一代兰博基尼Aventador车型的渲染图，新车采用相比现款更为激进的设计风格，视觉冲击力极强。目前尚无确切消息</t>
  </si>
  <si>
    <t>2020/02/11 08:59:00</t>
  </si>
  <si>
    <t>　　作为意大利跑车的代表车型，兰博基尼Aventador一直以来都被人称为“大牛”。不过，随着时间的推移，这款经典超跑的造型也不免显得有些过时，到了该换代的时间节点。近日，有海外媒体发布了全新一代兰博基尼Aventador车型的渲染图，新车采用相比现款更为激进的设计风格，视觉冲击力极强。目前尚无确切</t>
  </si>
  <si>
    <t>　　面对着新冠肺炎疫情下医疗防护物资严重短缺的局面，广汽集团正研究打造用于加工生产口罩的设备和生产线的方案，以及积极探讨生产口罩，为防控疫情出力。目前，集团正在全力以赴调动资源紧急论证和研究，争取早日落实。此项工作将交由广汽集团零部件事业本部负责推进，不会影响整车制造的主业。　　2月6日，广汽集团党</t>
  </si>
  <si>
    <t>2020/02/11 08:58:00</t>
  </si>
  <si>
    <t>面对着新冠肺炎疫情下医疗防护物资严重短缺的局面，广汽集团正研究打造用于加工生产口罩的设备和生产线的方案，以及积极探讨生产口罩，为防控疫情出力。目前，集团正在全力以赴调动资源紧急论证和研究，争取早日落实。此项工作将交由广汽集团零部件事业本部负责推进，不会影响整车制造的主业。    2月6日，广汽集团党</t>
  </si>
  <si>
    <t>投诉编号：【446839】投诉时间：2020-02-1108:57投诉品牌：东风乘用车投诉车系：风神A30投诉车型：2014款1.5L手动智驱实尚型投诉内容已更一次方向总成，又出现打方向卡顿无助力，厂家设计缺陷，请尽快召回更换。投诉回复车质网已将您的投诉转给生产企业以及国家市场监督管理总局缺陷产品管</t>
  </si>
  <si>
    <t>2020/02/11 08:57:00</t>
  </si>
  <si>
    <t>近期，一场由新型冠状病毒引发的肺炎疫情席卷整个中国，牵动着每个人的心。在此期间，秉持着“林肯之道”客户服务理念，林肯为全车系车主和潜在客户带来“林肯之道”五大关爱行动，让每一位客户都能享受周到的关怀与服务。    延长服务 责任之道    林肯重视每一位客户在疫情期间的车辆保障，将为车主们提供一如既</t>
  </si>
  <si>
    <t>　　近期，一场由新型冠状病毒引发的肺炎疫情席卷整个中国，牵动着每个人的心。在此期间，秉持着“林肯之道”客户服务理念，林肯为全车系车主和潜在客户带来“林肯之道”五大关爱行动，让每一位客户都能享受周到的关怀与服务。　　延长服务 责任之道　　林肯重视每一位客户在疫情期间的车辆保障，将为车主们提供一如既往的</t>
  </si>
  <si>
    <t>投诉编号：【446838】投诉时间：2020-02-1108:55投诉品牌：上汽集团投诉车系：名爵6投诉车型：2017款20T自动Trophy尊享互联网版国V投诉内容目前顿挫严重、高速定速巡航行驶过程中出现油门突然升高掉挡的情况，并且加油门也不升挡，有严重的安全隐患，后悬挂及车轮出现嘎吱嘎吱的响声！</t>
  </si>
  <si>
    <t>2020/02/11 08:55:00</t>
  </si>
  <si>
    <t>　　面对新冠肺炎疫情，社会各界纷纷伸出了援助之手，这里不乏汽车企业的身影。继1月29日，江淮汽车通过武汉市红十字会捐赠1000万元现金，驰援武汉市防控新冠肺炎疫情后。2月9日，江淮汽车向安徽省疫情防控应急指挥部再捐现金500万元，助力打赢疫情防控阻击战。至此，江淮汽车已累计捐赠现金1500万元，用于</t>
  </si>
  <si>
    <t>面对新冠肺炎疫情，社会各界纷纷伸出了援助之手，这里不乏汽车企业的身影。继1月29日，江淮汽车通过武汉市红十字会捐赠1000万元现金，驰援武汉市防控新冠肺炎疫情后。2月9日，江淮汽车向安徽省疫情防控应急指挥部再捐现金500万元，助力打赢疫情防控阻击战。至此，江淮汽车已累计捐赠现金1500万元，用于新冠</t>
  </si>
  <si>
    <t>虽然如今汽车市场SUV车型瓜分了不少轿车的市场份额，但是对于大多数消费者来说，紧凑级轿车依旧是家中第一台车的不二选择，无论是从价格上、还是实用性上，都更加适合家用，也能够完成更多人拥有自己爱车的心愿。今天咖哥就给大家推荐一款比较有代表性的合资品牌紧凑型家用轿车：广汽本田锋范，其售价区间为7.98-1</t>
  </si>
  <si>
    <t>qq22uudd</t>
  </si>
  <si>
    <t>2020/02/11 08:42:00</t>
  </si>
  <si>
    <t>1.5L动力 广汽本田锋范值不值得买？虽然如今汽车市场SUV车型瓜分了不少轿车的市场份额，但是对于大多数消费者来说，紧凑级轿车依旧是家中第一台车的不二选择，无论是从价格上、还是实用性上，都更加适合家用，也能够完成更多人拥有自己爱车的心愿。今天咖哥就给大家推荐一款比较有代表性的合资品牌紧凑型家用轿车：</t>
  </si>
  <si>
    <t>当前汽车市场里，中型SUV凭借着相对更大的车身尺寸、充沛的动力等因素成为了SUV车型中的主力军，而7座SUV在最近的两年变得越来越炙手可热，既能满足多口之家的最佳选择，价格又没有增加很多！今天咖哥就给大家介绍一款合资中型SUV：Jeep大指挥官，其售价区间为27.98-40.98万元，作为广汽菲克J</t>
  </si>
  <si>
    <t>2020/02/11 08:41:00</t>
  </si>
  <si>
    <t>四驱SUV Jeep大指挥官值不值？当前汽车市场里，中型SUV凭借着相对更大的车身尺寸、充沛的动力等因素成为了SUV车型中的主力军，而7座SUV在最近的两年变得越来越炙手可热，既能满足多口之家的最佳选择，价格又没有增加很多！今天咖哥就给大家介绍一款合资中型SUV：Jeep大指挥官，其售价区间为27.</t>
  </si>
  <si>
    <t>随着国内汽车消费的不断升级，消费者对汽车的舒适度和品质要求也变得越来越高，从五座SUV到大量七座SUV的出现，让家用车的装载能力和实用性得到了进一步提升，不过这似乎并不能满足乘客对舒适度的要求。而近几年二胎政策的放开，MPV车型也开始了从商务接待到居家旅行的角色转变，最近有朋友问咖哥能不能给推荐一款</t>
  </si>
  <si>
    <t>2020/02/11 08:40:00</t>
  </si>
  <si>
    <t>小型MPV 别克GL6值不值得买？随着国内汽车消费的不断升级，消费者对汽车的舒适度和品质要求也变得越来越高，从五座SUV到大量七座SUV的出现，让家用车的装载能力和实用性得到了进一步提升，不过这似乎并不能满足乘客对舒适度的要求。而近几年二胎政策的放开，MPV车型也开始了从商务接待到居家旅行的角色转变</t>
  </si>
  <si>
    <t>随着新能源环保理念的逐渐普及，有越来越多的消费者都在考虑买一辆新能源汽车，而大多数抵触新能源汽车的人都是因为它充电不方便、续航时间短等因素所困扰，那么如果这两个问题都被解决了，且车辆还具有一定的豪华感，它会不会是好选择？今天咖哥就给大家介绍一款续航里程超过500km的纯电SUV车型：比亚迪唐EV，这</t>
  </si>
  <si>
    <t>2020/02/11 08:39:00</t>
  </si>
  <si>
    <t>日前，有国内媒体曝光了一组新款大众蔚揽GTE路试谍照。新车外观整体造型与现款保持一致，不过细节上的变化较多，看上去更加时尚、精致。    外观方面，新车更换了全新样式的前后包围。前大灯加入了矩阵式LED光源，同时，LED日间行车灯也有小幅度改变。此外，前格栅下方的镀铬装饰条进行了加粗，两侧雾灯区域造</t>
  </si>
  <si>
    <t>4.4秒破百 比亚迪唐EV值不值得入手？随着新能源环保理念的逐渐普及，有越来越多的消费者都在考虑买一辆新能源汽车，而大多数抵触新能源汽车的人都是因为它充电不方便、续航时间短等因素所困扰，那么如果这两个问题都被解决了，且车辆还具有一定的豪华感，它会不会是好选择？今天咖哥就给大家介绍一款续航里程超过50</t>
  </si>
  <si>
    <t>日前，有海外媒体报道，2020款现代索纳塔混动版车型在车顶处将搭载一块太阳能电池板，为车辆提供额外电力，增加其续航表现。根据官方公布的资料显示，该块太阳能电池板所采集到的能量，可供车辆“免费”行驶700英里/年（约合1200公里/年）。    据悉，新车搭载的这块太阳能电池板能够为动力系统电池以及1</t>
  </si>
  <si>
    <t>2020/02/11 08:30:00</t>
  </si>
  <si>
    <t>　　日前，有海外媒体报道，2020款现代索纳塔混动版车型在车顶处将搭载一块太阳能电池板，为车辆提供额外电力，增加其续航表现。根据官方公布的资料显示，该块太阳能电池板所采集到的能量，可供车辆“免费”行驶700英里/年（约合1200公里/年）。　　据悉，新车搭载的这块太阳能电池板能够为动力系统电池以及1</t>
  </si>
  <si>
    <t>日前，编辑从长安汽车官方获悉，长安逸动PLUS暂定3月17日上市，作为PLUS系列首款轿车，新车在定位紧凑级轿车的同时，还采用了全新的家族式设计语言，彰显品牌统一性。    外观方面，新车采用了全新家族式设计风格，大尺寸镀铬横条进气格栅时尚大气，营造出极强的视觉冲击。另外，新车前大灯造型较为细长，搭</t>
  </si>
  <si>
    <t>2020/02/11 08:29:00</t>
  </si>
  <si>
    <t>2019款宝来传奇自动和新轩逸经典自动家用代步怎么选，长期使用，哪个日后省心。</t>
  </si>
  <si>
    <t>2020/02/11 08:28:57</t>
  </si>
  <si>
    <t>　　日前，据海外媒体报道称，大众取消了原本在4月纽约车展上发布ID.4的计划，或将推迟至6月底特律车展中发布。　　ID.4是大众品牌即将投放市场的首款ID系列车型，定位纯电动SUV，量产版车型将会在美国Chattanooga工厂投产。未来还将生产纯电轿跑SUV，或定名ID.5。　　据悉，ID.4今年</t>
  </si>
  <si>
    <t>2020/02/11 08:26:00</t>
  </si>
  <si>
    <t>日前，据海外媒体报道称，大众取消了原本在4月纽约车展上发布ID.4的计划，或将推迟至6月底特律车展中发布。    ID.4是大众品牌即将投放市场的首款ID系列车型，定位纯电动SUV，量产版车型将会在美国Chattanooga工厂投产。未来还将生产纯电轿跑SUV，或定名ID.5。    据悉，ID.4</t>
  </si>
  <si>
    <t>日前，海外媒体曝光了一组全新雪铁龙C4 Cactus的雪地测试谍照图片。新车的外观设计有着较大幅度的改动，但整体造型依然保持了CORSS跨界风格。据悉，该车或将于今年巴黎车展亮相。    虽然此次曝光的测试车裹着较为厚重的伪装，但依然可以从外观轮廓或细节处看出些端倪。测试车采用了SUV与两厢掀背车相</t>
  </si>
  <si>
    <t>2020/02/11 08:17:00</t>
  </si>
  <si>
    <t>　　日前，海外媒体曝光了一组全新雪铁龙C4 Cactus的雪地测试谍照图片。新车的外观设计有着较大幅度的改动，但整体造型依然保持了Crossover跨界风格。据悉，该车或将于今年巴黎车展亮相。　　虽然此次曝光的测试车裹着较为厚重的伪装，但依然可以从外观轮廓或细节处看出些端倪。测试车采用了SUV与两厢</t>
  </si>
  <si>
    <t>　　日前，记者通过网络渠道获取了一组上汽通用五菱全新微型纯电动车新宝骏E300的内饰图，这是新宝骏品牌推出的首款新能源车型。新车或将搭载一台39马力的驱动电机，配备HUAWEI HiCar智慧互联解决方案，目前上市时间暂未公布。　　通过曝光的内饰图片来看，新车在整体设计手法上较为简洁，仪表屏幕采用悬</t>
  </si>
  <si>
    <t>2020/02/11 07:55:00</t>
  </si>
  <si>
    <t>日前，记者通过网络渠道获取了一组上汽通用五菱全新微型纯电动车新宝骏E300的内饰图，这是新宝骏品牌推出的首款新能源车型。新车或将搭载一台39马力的驱动电机，配备HUAWEI HiCar智慧互联解决方案，目前上市时间暂未公布。    通过曝光的内饰图片来看，新车在整体设计手法上较为简洁，仪表屏幕采用悬</t>
  </si>
  <si>
    <t>我的19款轩逸自动挡，我仔细驾驶观察了这段时间，发现油门踏板随着路况而震动，麻脚那种，尤其是路有开裂或者有小石子，从轮胎传到脚上，开一会儿脚就麻了。新车没开多少公里。</t>
  </si>
  <si>
    <t>2020/02/11 07:51:48</t>
  </si>
  <si>
    <t>别克君越变速箱故障灯亮是怎么回事？</t>
  </si>
  <si>
    <t>2020/02/11 07:51:47</t>
  </si>
  <si>
    <t>新车买回来系统故障灯一直都有，去4S店消除了过两天又出现了怎么回事。</t>
  </si>
  <si>
    <t>2020/02/11 07:51:23</t>
  </si>
  <si>
    <t>投诉编号：【446835】
投诉时间： 2020-02-11 07:45
投诉品牌： 比亚迪
投诉车系： 唐
投诉车型： 2018款 2.0T 自动智联 尊悦型 7座 国V</t>
  </si>
  <si>
    <t>请问；更换变速箱齿轮油需要几升？放油口和加油口在什么位置？</t>
  </si>
  <si>
    <t>2020/02/11 07:48:34</t>
  </si>
  <si>
    <t>比较关注名爵6手动运动版，但网上口碑感觉一般。想问一下这车怎么样？同等价位有什么好的推荐吗？</t>
  </si>
  <si>
    <t>4AT故障率那么高，又是设计缺陷。为什么厂家不召回处理，这可是安全隐患啊，合资车有安全隐患都召回这就是区别。</t>
  </si>
  <si>
    <t>2020/02/11 07:45:07</t>
  </si>
  <si>
    <t>一键启动失效了怎么处理。</t>
  </si>
  <si>
    <t>发动机冷启动时有异响。</t>
  </si>
  <si>
    <t>2020/02/11 07:41:05</t>
  </si>
  <si>
    <t>2014年，路虎品牌在长城脚下发布了路虎发现运动版(Discovery Sport)车型，新车在国内的正式名称为“发现神行”。虽然最早被视为神行者2的继任者，但根据官方产品划分，其还是被归入到了发现系列。随着时间的推移，发现神行迎来了自己的中期改款，2019广州车展上，路虎将该款新车带到国内进行了首</t>
  </si>
  <si>
    <t>2020/02/11 07:10:00</t>
  </si>
  <si>
    <t>2020年是特别的一年，受春节假期和疫情双重影响，近期上市的新车并不多，因此将2020年第4-6周上市的新车合并汇总给大家，希望对您近期选购车辆有所帮助。    1、2020款江铃驭胜S350    售价区间：15.98-20.18万元    上市时间：2020年01月21日    日前，车质网从江</t>
  </si>
  <si>
    <t>　　长安CS55是长安汽车在紧凑型SUV细分市场布局的第二款车型，它的推出不仅填补了CS35和CS75之间的空白，同时还降低了我们选购紧凑型SUV的门槛。但随着近年来各个车企纷纷加大对紧凑型SUV细分市场的挖掘力度，也给CS55带来了一定的冲击，但由于CS55 PLUS推出较为及时，所以在2019年</t>
  </si>
  <si>
    <t>　　2014年，路虎品牌在长城脚下发布了路虎发现运动版(Discovery Sport)车型，新车在国内的正式名称为“发现神行”。虽然最早被视为神行者2的继任者，但根据官方产品划分，其还是被归入到了发现系列。随着时间的推移，发现神行迎来了自己的中期改款，2019广州车展上，路虎将该款新车带到国内进行</t>
  </si>
  <si>
    <t>　　2020年是特别的一年，受春节假期和疫情双重影响，近期上市的新车并不多，因此将2020年第4-6周上市的新车合并汇总给大家，希望对您近期选购车辆有所帮助。　　1、2020款江铃驭胜S350　　售价区间：15.98-20.18万元　　上市时间：2020年01月21日　　日前，车质网从江铃汽车获悉，</t>
  </si>
  <si>
    <t>2020/02/10 23:59:59</t>
  </si>
  <si>
    <t>投诉编号：【446832】
投诉时间： 2020-02-10 23:56
投诉品牌： 比亚迪
投诉车系： 秦Pro
投诉车型： 2018款 1.5TI 自动 智联锋享型 Pro</t>
  </si>
  <si>
    <t>2020/02/10 23:53:55</t>
  </si>
  <si>
    <t>投诉编号：【446831】
投诉时间： 2020-02-10 23:40
投诉品牌： 上汽大众
投诉车系： 帕萨特
投诉车型： 2019款 330TSI 精英版 国VI</t>
  </si>
  <si>
    <t>2020/02/10 23:40:30</t>
  </si>
  <si>
    <t>投诉编号：【446829】
投诉时间： 2020-02-10 23:19
投诉品牌： 华晨宝马
投诉车系： 宝马3系
投诉车型： 2020款 325Li M运动套装</t>
  </si>
  <si>
    <t>2020/02/10 23:20:58</t>
  </si>
  <si>
    <t>投诉编号：【446828】
投诉时间： 2020-02-10 23:11
投诉品牌： 上汽大众
投诉车系： 帕萨特
投诉车型： 2019款 280TSI 商务版 国VI</t>
  </si>
  <si>
    <t>2020/02/10 23:09:21</t>
  </si>
  <si>
    <t>投诉编号：【446827】
投诉时间： 2020-02-10 22:50
投诉品牌： 上汽大众
投诉车系： 途昂
投诉车型： 2020款 380TSI 四驱 豪华版 国V</t>
  </si>
  <si>
    <t>2020/02/10 22:43:46</t>
  </si>
  <si>
    <t>投诉编号：【446822】
投诉时间： 2020-02-10 20:09
投诉品牌： 广汽菲克菲亚特
投诉车系： 菲翔
投诉车型： 2015款 1.4T 自动 悦享版</t>
  </si>
  <si>
    <t>投诉编号：【446824】  投诉时间： 2020-02-10 21:05  投诉品牌： 郑州日产  投诉车系： 途达  投诉车型： 2020款 2.5L 自动 四驱 旗舰版        投诉内容  一个多月时间3次没电，最长时间7天左右没电，最短时间没超过48小时。车上就装了一个行车记录仪，每次</t>
  </si>
  <si>
    <t>2020/02/10 21:05:00</t>
  </si>
  <si>
    <t>投诉编号：【446823】  投诉时间： 2020-02-10 20:11  投诉品牌： 东风悦达起亚  投诉车系： 奕跑  投诉车型： 2019款 1.4L 自动 趣享版 国VI        投诉内容  购车一个多月就出现停车时自动熄火的问题，停车熄火出现了至少三次自动熄火情况了，重启后就出故障</t>
  </si>
  <si>
    <t>2020/02/10 20:11:00</t>
  </si>
  <si>
    <t>2020/02/10 19:43:25</t>
  </si>
  <si>
    <t>投诉编号：【446819】
投诉时间： 2020-02-10 19:35
投诉品牌： 东风日产
投诉车系： 阳光
投诉车型： 2011款 1.5L CVT XE 舒适版</t>
  </si>
  <si>
    <t>投诉编号：【446820】  投诉时间： 2020-02-10 19:41  投诉品牌： 长安汽车  投诉车系： 锐程CC  投诉车型： 2020款 1.5T 自动 潮锐型        投诉内容  新车2月9号启动，发动机故障灯亮，有抖动。但是手机in call系统检测正常！2月11号凌晨5点左右</t>
  </si>
  <si>
    <t>2020/02/10 19:41:00</t>
  </si>
  <si>
    <t>投诉编号：【446817】  投诉时间： 2020-02-10 19:26  投诉品牌： 东风本田  投诉车系： 思域  投诉车型： 2016款 220TURBO 自动 豪华版        投诉内容  平时都在市区开，洗车发现轮胎大量起皮脱落担心安全问题。      投诉回复  车质网已将您的投诉</t>
  </si>
  <si>
    <t>2020/02/10 19:26:00</t>
  </si>
  <si>
    <t>投诉编号：【446816】  投诉时间： 2020-02-10 19:21  投诉品牌： 华晨宝马  投诉车系： 宝马1系  投诉车型： 2018款 118i 设计套装型        投诉内容  跑了4万多公里，4条轮胎胎纹深处全都裂掉。一般不出远门，跑平原地区柏油马路。检查轮胎时无意中发现，也许</t>
  </si>
  <si>
    <t>2020/02/10 19:21:00</t>
  </si>
  <si>
    <t>2020/02/10 19:14:00</t>
  </si>
  <si>
    <t>投诉编号：【446814】
投诉时间： 2020-02-10 18:33
投诉品牌： 广汽本田
投诉车系： 冠道
投诉车型： 2017款 240TURBO CVT 两驱 尊享版</t>
  </si>
  <si>
    <t>2020/02/10 19:08:44</t>
  </si>
  <si>
    <t>投诉编号：【446815】
投诉时间： 2020-02-10 18:36
投诉品牌： 上汽通用五菱
投诉车系： 五菱荣光V
投诉车型： 2016款 1.2L 实用型</t>
  </si>
  <si>
    <t>2020/02/10 18:59:03</t>
  </si>
  <si>
    <t>投诉编号：【446807】
投诉时间： 2020-02-10 17:36
投诉品牌： 上汽斯柯达
投诉车系： 明锐
投诉车型： 2017款 TSI280 DSG智行版</t>
  </si>
  <si>
    <t>2020/02/10 18:49:18</t>
  </si>
  <si>
    <t>投诉编号：【446811】
投诉时间： 2020-02-10 18:21
投诉品牌： 海马汽车
投诉车系： 海马S5青春版
投诉车型： 2017款 1.6L 手动 豪华型</t>
  </si>
  <si>
    <t>奔驰C级旅行自动启停时好时坏 多次维修无果本人18年4月在青岛购得C旅一台，半月左右发现启停功能失效（时好时坏无规律）。夜间行车仪表盘有时突然变暗（大明大暗）且调节旋钮无用。4S多次维修无果。这种先天性故障显然是问题车，有欺诈消费者之嫌！</t>
  </si>
  <si>
    <t>xianyunyehe</t>
  </si>
  <si>
    <t>2020/02/10 17:37:00</t>
  </si>
  <si>
    <t>奔驰C级（进口）</t>
  </si>
  <si>
    <t>本人18年4月在青岛购得C旅一台，半月左右发现启停功能失效（时好时坏无规律）。夜间行车仪表盘有时突然变暗（大明大暗）且调节旋钮无用。4S多次维修无果。这种先天性故障显然是问题车，有欺诈消费者之嫌！</t>
  </si>
  <si>
    <t>凯美瑞</t>
  </si>
  <si>
    <t>别说什么大丰田，大本田质量一流传3代。大众车德国品质帕萨特高级。我们不能盲目崇拜。我也不是在这里黑凯美瑞。车内手套箱，顶棚，b柱，扶手箱异响，泥浆能解决的我自己都解决了，机油增多真没办法。 我1月17号4s店保养换的机油当时回到家车库冷车测量在液位中线，1月23日冷车在车库液位在中线 到1月29日冷</t>
  </si>
  <si>
    <t>ms06f</t>
  </si>
  <si>
    <t>2020/02/10 17:31:00</t>
  </si>
  <si>
    <t>2018款凯美瑞混动机油增多没办法解决别说什么大丰田，大本田质量一流传3代。大众车德国品质帕萨特高级。我们不能盲目崇拜。我也不是在这里黑凯美瑞。车内手套箱，顶棚，b柱，扶手箱异响，泥浆能解决的我自己都解决了，机油增多真没办法。 我1月17号4s店保养换的机油当时回到家车库冷车测量在液位中线，1月23</t>
  </si>
  <si>
    <t>投诉编号：【446806】  投诉时间： 2020-02-10 17:22  投诉品牌： 奇瑞汽车  投诉车系： 瑞虎8  投诉车型： 2019款 1.5TCI 自动 精英型        投诉内容  奇瑞瑞虎8防冻液渗漏多次维修未解决，买车第二天就漏，前几天又漏，修好了，现在还漏，车没出过任何事故</t>
  </si>
  <si>
    <t>2020/02/10 17:22:00</t>
  </si>
  <si>
    <t>无意逛论坛，发现有1月15日提2020款宝马530le的车主电池续航里程为95km，我的车是2019年12月底去4s店洽谈，1月6日提车的，续航里程仅为67km，同款车型相隔不到10天，电池续航里程相差近30km。网上查不到任何95km续航的相关信息，在我了解这款车的时候，4s店也没人跟我提及，然后</t>
  </si>
  <si>
    <t>2020/02/10 17:20:00</t>
  </si>
  <si>
    <t>宝马5系新能源电池续航里程减少无意逛论坛，发现有1月15日提2020款宝马530le的车主电池续航里程为95km，我的车是2019年12月底去4s店洽谈，1月6日提车的，续航里程仅为67km，同款车型相隔不到10天，电池续航里程相差近30km。网上查不到任何95km续航的相关信息，在我了解这款车的时</t>
  </si>
  <si>
    <t>宝骏560右后减震器漏油右后减震器漏油，要求免费更换减震器或者定价赔偿。</t>
  </si>
  <si>
    <t>拉拉吧                 高级技工</t>
  </si>
  <si>
    <t>2020/02/10 17:19:00</t>
  </si>
  <si>
    <t>右后减震器漏油，要求免费更换减震器或者定价赔偿。</t>
  </si>
  <si>
    <t>暖风电机不工作，影响正常使用，希望厂家处理。</t>
  </si>
  <si>
    <t>2020/02/10 17:18:00</t>
  </si>
  <si>
    <t>比速T5暖风电机不工作暖风电机不工作，影响正常使用，希望厂家处理。</t>
  </si>
  <si>
    <t>进口宝马X3天窗排水管漏水2019年7月份首次发现后备箱进水，到4S店检查说找不到问题。以后下雨天也会发现后备箱有些湿，今天（2020年2月9日）打开后备箱发现漏水比较严重，后备厢大面积已湿透、蓄电池箱积水严重。开车到4S店进一步检查，说排水管烂了，但4S店拒绝保修，说我自己改了电尾门（电尾门在购车</t>
  </si>
  <si>
    <t>2020/02/10 17:17:00</t>
  </si>
  <si>
    <t>2019年7月份首次发现后备箱进水，到4S店检查说找不到问题。以后下雨天也会发现后备箱有些湿，今天（2020年2月9日）打开后备箱发现漏水比较严重，后备厢大面积已湿透、蓄电池箱积水严重。开车到4S店进一步检查，说排水管烂了，但4S店拒绝保修，说我自己改了电尾门（电尾门在购车后5天即改，一年半都没有漏</t>
  </si>
  <si>
    <t>变速箱换挡1挡至2挡抖动，换过两次离合器，现在又出现了抖动的问题，强烈要求厂方给予解决！详细情况如下：2012年4月购入车辆，同年下半年车辆出现1挡至2挡抖动现象，4S店给予更换了离合器；更换后时间不久，又出现1挡至2挡抖动现象，于大致2014年在4S店再次更换离合器；2018年左右又出现1挡至2挡</t>
  </si>
  <si>
    <t>大众帕萨特变速箱双离合器抖动变速箱换挡1挡至2挡抖动，换过两次离合器，现在又出现了抖动的问题，强烈要求厂方给予解决！详细情况如下：2012年4月购入车辆，同年下半年车辆出现1挡至2挡抖动现象，4S店给予更换了离合器；更换后时间不久，又出现1挡至2挡抖动现象，于大致2014年在4S店再次更换离合器；2</t>
  </si>
  <si>
    <t>现代悦动发动机无法启动要求解决500公里第一次出现，觉得是自己可能打火方式不对，没去；780公里再次出现去店里给做了检测说没问题，开就行；今天第三次出现去店里直接说登记厂家在统计，有消息打电话。这不是坑人吗，遮遮掩掩的一直拖着。看来国人不买你的账是对的，可惜我没有留意大家的评论留言。</t>
  </si>
  <si>
    <t>2020/02/10 17:16:00</t>
  </si>
  <si>
    <t>500公里第一次出现，觉得是自己可能打火方式不对，没去；780公里再次出现去店里给做了检测说没问题，开就行；今天第三次出现去店里直接说登记厂家在统计，有消息打电话。这不是坑人吗，遮遮掩掩的一直拖着。看来国人不买你的账是对的，可惜我没有留意大家的评论留言。</t>
  </si>
  <si>
    <t>丰田凯美瑞发动机机油增多严重1月3号保养，只要求加4升机油，不超过机油尺上限，技师也确认过。跑了40天的样子，冷车抽出机油尺观看，发现机油增多，反复观看4次。</t>
  </si>
  <si>
    <t>2020/02/10 17:15:00</t>
  </si>
  <si>
    <t>1月3号保养，只要求加4升机油，不超过机油尺上限，技师也确认过。跑了40天的样子，冷车抽出机油尺观看，发现机油增多，反复观看4次。</t>
  </si>
  <si>
    <t>防冻液壶渗漏，发动机右侧有防冻液渗漏，冬天天冷的时候渗漏。</t>
  </si>
  <si>
    <t>大众奥迪A4L发动机防冻液壶渗漏防冻液防冻液壶渗漏，发动机右侧有防冻液渗漏，冬天天冷的时候渗漏。</t>
  </si>
  <si>
    <t>如何节约车辆保养费车辆保养是用车过程中不可缺少的一部分，如何能在保养中节省支出也是广大车主关心的问题，今天小途就来教大如何正确的节约保养费！1、能做的事尽量自己做有些简单的车辆保养项目，如换机油、换滤芯等都是十分简单的，一般情况下，找一本保养手册做参考，很容易完成；实在换不下去，也可以请教一下同行老</t>
  </si>
  <si>
    <t>2020/02/10 17:14:00</t>
  </si>
  <si>
    <t>车辆保养是用车过程中不可缺少的一部分，如何能在保养中节省支出也是广大车主关心的问题，今天小途就来教大如何正确的节约保养费！1、能做的事尽量自己做有些简单的车辆保养项目，如换机油、换滤芯等都是十分简单的，一般情况下，找一本保养手册做参考，很容易完成；实在换不下去，也可以请教一下同行老驾驶员。2、尽量在</t>
  </si>
  <si>
    <t>冷车的时候变速箱反应很迟钝，起步迟缓抖动明显，热车时起步或停车时抖动非常明显。</t>
  </si>
  <si>
    <t>本田飞度冷车变速箱反应迟钝 起步抖动冷车的时候变速箱反应很迟钝，起步迟缓抖动明显，热车时起步或停车时抖动非常明显。</t>
  </si>
  <si>
    <t>标致3008驻车制动报警多次出现驻车制动告警，现在第4次了，出保前坏了2次，出保后2个月坏了1次，均是车速传感器故障，现在出保4个多月又出现同样问题，如果还是车速传感器故障，那就是东风标致车速传感器存在批次问题。</t>
  </si>
  <si>
    <t>2020/02/10 17:13:00</t>
  </si>
  <si>
    <t>驻车制动告警，现在第4次了，出保前坏了2次，出保后2个月坏了1次，均是车速传感器故障，现在出保4个多月又出现同样问题，如果还是车速传感器故障，那就是东风标致车速传感器存在批次问题。</t>
  </si>
  <si>
    <t>2020/02/10 16:44:29</t>
  </si>
  <si>
    <t>投诉编号：【446803】
投诉时间： 2020-02-10 16:40
投诉品牌： 长城汽车
投诉车系： 哈弗F7
投诉车型： 2019款 1.5T 两驱 i潮</t>
  </si>
  <si>
    <t>2020/02/10 16:30:02</t>
  </si>
  <si>
    <t>投诉编号：【446802】
投诉时间： 2020-02-10 16:25
投诉品牌： 上汽通用别克
投诉车系： 君越
投诉车型： 2019款 28T 尊贵型</t>
  </si>
  <si>
    <t>日产天籁开到80码提不上去，0-80码正常，到80码以上发动机咔咔响，这是什么原因导致的？</t>
  </si>
  <si>
    <t>2020/02/10 16:08:50</t>
  </si>
  <si>
    <t>投诉编号：【446801】  投诉时间： 2020-02-10 15:51  投诉品牌： 东风雪铁龙  投诉车系： 雪铁龙C4L  投诉车型： 2014款 1.6THP 自动 智驱版 劲智型        投诉内容  先后多次出现冷却系统故障：1、液位传感器无故损坏，之前已经维修更换。2、出水室漏冷</t>
  </si>
  <si>
    <t>2020/02/10 15:51:00</t>
  </si>
  <si>
    <t>投诉编号：【446800】  投诉时间： 2020-02-10 15:50  投诉品牌： 东风标致  投诉车系： 标致3008  投诉车型： 2016款 1.6THP 自动 至尚版        投诉内容  驻车制动告警，现在第4次了，出保前坏了2次，出保后2个月坏了1次，均是车速传感器故障，现在出</t>
  </si>
  <si>
    <t>2020/02/10 15:50:00</t>
  </si>
  <si>
    <t>博越Pro 1.5T款的变速箱是哪家的，质量稳定性如何？</t>
  </si>
  <si>
    <t>2020/02/10 15:40:08</t>
  </si>
  <si>
    <t>投诉编号：【446798】  投诉时间： 2020-02-10 15:38  投诉品牌： 广汽本田  投诉车系： 飞度  投诉车型： 2007款 飞度型动派 1.5 CVT 舒适版        投诉内容  冷车的时候变速箱反应很迟钝，起步迟缓抖动明显，热车时起步或停车时抖动非常明显。      投</t>
  </si>
  <si>
    <t>2020/02/10 15:38:00</t>
  </si>
  <si>
    <t>投诉编号：【446794】投诉时间：2020-02-1015:21投诉品牌：一汽-大众奥迪投诉车系：奥迪A4L投诉车型：2015款2.0TCVT标准型投诉内容防冻液壶渗漏，发动机右侧有防冻液渗漏，冬天天冷的时候渗漏。投诉回复车质网已将您的投诉转给生产企业以及国家市场监督管理总局缺陷产品管理中心，我们</t>
  </si>
  <si>
    <t>2020/02/10 15:21:00</t>
  </si>
  <si>
    <t>投诉编号：【446792】投诉时间：2020-02-1015:20投诉品牌：东风日产投诉车系：奇骏投诉车型：2019款2.0LCVT智联舒适版5座2WD投诉内容车辆时速20-30，转速1000转左右收油加油顿挫，加速时共振方向盘震手，加速发动机仓有哒哒的声音，主副驾驶门内饰板和中控台和上斜坡顶棚有异</t>
  </si>
  <si>
    <t>2020/02/10 15:20:00</t>
  </si>
  <si>
    <t>投诉编号：【446793】投诉时间：2020-02-1015:20投诉品牌：东风风行投诉车系：景逸X5投诉车型：2015款1.6L手动尊享型5座投诉内容东风风行景逸X5两万多公里后轮胎就磨平了。我的车很少开，买了五年开了不到3万公里，前轮磨损正常，后轮胎磨平了。希望厂家可以安排工作人员尽快解决。投诉</t>
  </si>
  <si>
    <t>投诉编号：【446791】  投诉时间： 2020-02-10 15:19  投诉品牌： 吉利汽车  投诉车系： 远景X6  投诉车型： 2016款 1.3T CVT 豪华型        投诉内容  本人车辆2016年10月份出厂，正常行驶和保养，于2019年底启动车辆时，多次显示变速箱故障灯灯，</t>
  </si>
  <si>
    <t>2020/02/10 15:19:00</t>
  </si>
  <si>
    <t>投诉编号：【446790】  投诉时间： 2020-02-10 15:16  投诉品牌： 一汽马自达  投诉车系： 阿特兹  投诉车型： 2018款 2.5L 蓝天尊崇版 国V        投诉内容  1.车辆过减速带，方向盘内部有金属材质物体碰撞的异响。2.车辆转向，无论静止转向或行走转向，任意</t>
  </si>
  <si>
    <t>2020/02/10 15:16:00</t>
  </si>
  <si>
    <t>新车开的也比较爱惜，今天发现车子外胎裂开，什么情况？</t>
  </si>
  <si>
    <t>2020/02/10 15:02:11</t>
  </si>
  <si>
    <t>04款自动挡马自达6热车后挂d挡一起步就熄火，不挂挡就不会，冷车时没问题的，这是什么问题？</t>
  </si>
  <si>
    <t>2020/02/10 14:58:22</t>
  </si>
  <si>
    <t>刚买的吉利帝豪车，最高车速怎么就显示到120km/h。</t>
  </si>
  <si>
    <t>带自动启停的车辆，电池质保期有行业标准吗？</t>
  </si>
  <si>
    <t>2020/02/10 14:45:18</t>
  </si>
  <si>
    <t>投诉编号：【446787】  投诉时间： 2020-02-10 14:42  投诉品牌： 一汽丰田  投诉车系： 卡罗拉  投诉车型： 2014款 1.6L CVT GL        投诉内容  cvt变速箱没跑3w就坏了这是这款变速箱通病，第一次投诉，厂家只是让4s点了解情况问完就没事，了把电话</t>
  </si>
  <si>
    <t>2020/02/10 14:42:00</t>
  </si>
  <si>
    <t>投诉编号：【446783】  投诉时间： 2020-02-10 14:01  投诉品牌： 广汽本田  投诉车系： 雅阁  投诉车型： 2014款 2.4L EX 豪华版        投诉内容  之前六万公里保养的时候发现右前轮上方有油渍，当时以为是脏东西，让师傅看了看没发现有漏油的地方，发动机也没</t>
  </si>
  <si>
    <t>2020/02/10 14:01:00</t>
  </si>
  <si>
    <t>投诉编号：【446782】  投诉时间： 2020-02-10 13:54  投诉品牌： 东风裕隆  投诉车系： 优6 SUV  投诉车型： 2017款 1.8T 科技超值型        投诉内容  纳智捷优6SUV中控台和减震器异响，走颠簸路中控台会发出异响，减震异响处理效果不满意，拿泡沫垫着。</t>
  </si>
  <si>
    <t>2020/02/10 13:54:00</t>
  </si>
  <si>
    <t>投诉编号：【446780】投诉时间：2020-02-1013:49投诉品牌：奇瑞汽车投诉车系：捷途X90投诉车型：2019款1.5T手动智享型7座国V投诉内容离合器在正常行驶中换挡烧坏，刚买来的新车总里程400多公里这换挡途中离合器片烧了。现在买不到离合器现在都还停在修理厂都不晓得买捷途90有什么用</t>
  </si>
  <si>
    <t>2020/02/10 13:49:00</t>
  </si>
  <si>
    <t>投诉编号：【446779】  投诉时间： 2020-02-10 13:47  投诉品牌： 长城汽车  投诉车系： 哈弗H9  投诉车型： 2017款 2.0T 四驱 尊享型 5座 汽油        投诉内容  比日常噪音大了很多，以前两千转以下几乎没多大声音，现在1500转噪音就很明显，2000转</t>
  </si>
  <si>
    <t>2020/02/10 13:47:00</t>
  </si>
  <si>
    <t>日前，有海外媒体发布了一组三菱全新Mirage车型官图，新车已于海外市场正式发布，预计将于今年年内上市开售。据了解，新车英国起售价为10550英镑（约合人民币9.52万元）。    外观方面，新车针对外观方面进行了部分升级，并采用了最新的家族式设计语言。前脸采用了上下分体式格栅设计，上方加以红色镀铬</t>
  </si>
  <si>
    <t>2020/02/10 13:44:00</t>
  </si>
  <si>
    <t>　　日前，有海外媒体发布了一组三菱全新Mirage车型官图，新车已于海外市场正式发布，预计将于今年年内上市开售。据了解，新车英国起售价为10550英镑（约合人民币9.52万元）。　　外观方面，新车针对外观方面进行了部分升级，并采用了最新的家族式设计语言。前脸采用了上下分体式格栅设计，上方加以红色镀铬</t>
  </si>
  <si>
    <t>投诉编号：【446775】投诉时间：2020-02-1013:28投诉品牌：奇瑞汽车投诉车系：艾瑞泽5投诉车型：2016款1.5LCVT领潮版投诉内容车辆四门生锈，希望厂家能有人给我回复，目前为止没有人联系我。车辆生锈难道是我自己的原因吗？18年去4S店处理过一次，现在车门已经锈穿，希望厂家尽快给我</t>
  </si>
  <si>
    <t>2020/02/10 13:28:00</t>
  </si>
  <si>
    <t>投诉编号：【446774】投诉时间：2020-02-1013:27投诉品牌：华晨宝马投诉车系：宝马3系投诉车型：2020款325Li首发版投诉内容1、第一次出现故障：2019年11月24日晚上20点30分我到地下停车的启动车辆无法启动（此前一直正常使用，并且每天都会行驶，当时已经行驶总里程309公里</t>
  </si>
  <si>
    <t>2020/02/10 13:27:00</t>
  </si>
  <si>
    <t>近日，有媒体从相关渠道获悉，宝马ix3将于今年下半年正式上市，新车是宝马旗下首款纯电动SUV车型，将出口欧洲以及美国地区。    外观方面，新车采用全新宝马X3的造型设计，前脸采用了双肾式前格栅设计，搭配全新的大灯组，看上去更加运动。此外，新车还在细节处增加了专属标识，提升其辨识度。    车身侧面</t>
  </si>
  <si>
    <t>2020/02/10 13:14:00</t>
  </si>
  <si>
    <t>　　近日，有媒体从相关渠道获悉，宝马ix3将于今年下半年正式上市，新车是宝马旗下首款纯电动SUV车型，将出口欧洲以及美国地区。　　外观方面，新车采用全新宝马X3的造型设计，前脸采用了双肾式前格栅设计，搭配全新的大灯组，看上去更加运动。此外，新车还在细节处增加了专属标识，提升其辨识度。　　车身侧面，新</t>
  </si>
  <si>
    <t>王厅</t>
  </si>
  <si>
    <t>投诉编号：【446770】  投诉时间： 2020-02-10 13:11  投诉品牌： 吉利汽车  投诉车系： 帝豪新能源  投诉车型： 2016款 EV 精英型 三厢        投诉内容  刚过质保期，发现制暖没有了，在冬天真是难受，并且这款车型，大规模的车主发现，刚过质保期，空调制暖不能用</t>
  </si>
  <si>
    <t>2020/02/10 13:11:00</t>
  </si>
  <si>
    <t>投诉编号：【446771】投诉时间：2020-02-1013:11投诉品牌：广汽本田投诉车系：雅阁投诉车型：2016款2.0LCVT舒适版投诉内容我是2017年11月份购车，现在车辆的里程大概是2.6万公里，之前车辆的左后尾灯就发生过进水现象，当时在4S店进行了索赔更换。上周发现车辆的右后尾灯也出现</t>
  </si>
  <si>
    <t>投诉编号：【446769】投诉时间：2020-02-1012:54投诉品牌：北京现代投诉车系：悦动投诉车型：2018款1.6L自动悦目版GL国VI投诉内容500公里第一次出现，觉得是自己可能打火方式不对，没去；780公里再次出现去店里给做了检测说没问题，开就行；今天第三次出现去店里直接说登记厂家在统</t>
  </si>
  <si>
    <t>2020/02/10 12:54:00</t>
  </si>
  <si>
    <t>投诉编号：【446768】投诉时间：2020-02-1012:51投诉品牌：领克汽车投诉车系：领克01投诉车型：2017款2.0T自动两驱型Pro投诉内容领克01自动启停电瓶亏电导致启停失灵无法使用，严重影响正常驾驶，希望尽快得到处理。投诉回复车质网已将您的投诉转给生产企业以及国家市场监督管理总局缺</t>
  </si>
  <si>
    <t>2020/02/10 12:51:00</t>
  </si>
  <si>
    <t>2020/02/10 12:49:20</t>
  </si>
  <si>
    <t>投诉编号：【446765】
投诉时间： 2020-02-10 12:41
投诉品牌： 上汽斯柯达
投诉车系： 明锐
投诉车型： 2015款 1.6L 手动 逸杰版</t>
  </si>
  <si>
    <t>2020/02/10 12:49:12</t>
  </si>
  <si>
    <t>投诉编号：【446766】
投诉时间： 2020-02-10 12:45
投诉品牌： 一汽-大众
投诉车系： 迈腾
投诉车型： 2017款 330TSI DSG 领先型</t>
  </si>
  <si>
    <t>2018款长安逸动DT，仪表盘显示轮胎异常，是后面两个车轮，轮胎补完气后跑了13公里依然还有轮胎异常提示。</t>
  </si>
  <si>
    <t>2020/02/10 12:43:49</t>
  </si>
  <si>
    <t>逸动2代耗电厉害怎么解决啊，有没有一样的，放了一个星期电量不足。</t>
  </si>
  <si>
    <t>2020/02/10 12:43:48</t>
  </si>
  <si>
    <t>08款君越提示“牵引系统故障”及"TC"故障灯亮，发动机故障也亮灯，有时候重新启动又不显示故障了，请问广大车友这是什么原因？自从换了机油和左前轴承以后开始的。</t>
  </si>
  <si>
    <t>2020/02/10 12:39:49</t>
  </si>
  <si>
    <t>投诉编号：【446761】
投诉时间： 2020-02-10 12:06
投诉品牌： 长安汽车
投诉车系： 长安CS35
投诉车型： 2017款 1.6L 手动 豪华型</t>
  </si>
  <si>
    <t>君越精英和亚洲龙精英用车成本比较哪个省？</t>
  </si>
  <si>
    <t>2020/02/10 12:39:47</t>
  </si>
  <si>
    <t>投诉编号：【446762】
投诉时间： 2020-02-10 12:09
投诉品牌： 众泰汽车
投诉车系： 众泰E200
投诉车型： 2016款 纯电动 三门两座科技版</t>
  </si>
  <si>
    <t>车辆防盗系统锁止怎么打开车门与启动？</t>
  </si>
  <si>
    <t>2020/02/10 12:39:46</t>
  </si>
  <si>
    <t>投诉编号：【446764】投诉时间：2020-02-1012:36投诉品牌：猎豹汽车投诉车系：猎豹CS9投诉车型：2017款1.5L手动舒适型投诉内容2018年12月份高温报警洗了小水箱，2019年6月份高温报警换了小水箱，2019年11月份换了水温传感器，2020年2月份又高温报警。投诉回复车质网</t>
  </si>
  <si>
    <t>2020/02/10 12:36:00</t>
  </si>
  <si>
    <t>投诉编号：【446763】  投诉时间： 2020-02-10 12:33  投诉品牌： 广汽三菱  投诉车系： 奕歌  投诉车型： 2019款 1.5T CVT 两驱 信念版 国V        投诉内容  之前看到有人投诉电瓶亏电无法启动，结果果然遇到了，停车在家四天，今天早上出来打不开车门。机</t>
  </si>
  <si>
    <t>2020/02/10 12:33:00</t>
  </si>
  <si>
    <t>投诉编号：【446760】投诉时间：2020-02-1012:03投诉品牌：吉利汽车投诉车系：帝豪投诉车型：2019款领军版1.5LCVT向上互联型国VI投诉内容刚提车就发现严重生锈，今天发现轮胎裂开，希望厂家处理问题。投诉回复车质网已将您的投诉转给生产企业以及国家市场监督管理总局缺陷产品管理中心，</t>
  </si>
  <si>
    <t>2020/02/10 12:03:00</t>
  </si>
  <si>
    <t>日前，在2020年芝加哥车展上，JEEP官方正式发布了搭载了越野套件版的牧马人特别版车型。新车基于普通版车型打造，命名为牧马人JPP 20。新车搭载了官方Mopar改装厂的特殊套件，使其增添了更多硬派越野元素。    外观方面，Jeep牧马人JPP 20提供了蓝/白两种颜色喷漆可选，新车在普通版车型</t>
  </si>
  <si>
    <t>2020/02/10 12:01:00</t>
  </si>
  <si>
    <t>　　日前，在2020年芝加哥车展上，JEEP官方正式发布了搭载了越野套件版的牧马人特别版车型。新车基于普通版车型打造，命名为牧马人JPP 20。新车搭载了官方Mopar改装厂的特殊套件，使其增添了更多硬派越野元素。　　外观方面，Jeep牧马人JPP 20提供了蓝/白两种颜色喷漆可选，新车在普通版车型</t>
  </si>
  <si>
    <t>王雨</t>
  </si>
  <si>
    <t>投诉编号：【446757】  投诉时间： 2020-02-10 11:56  投诉品牌： 郑州日产  投诉车系： 途达  投诉车型： 2020款 2.5L 自动 四驱 旗舰版        投诉内容  我的车，在家里院子，放了3天，第四天启动，就无法启动了。然后搭了一个线，才启动。目前是每隔2天就必</t>
  </si>
  <si>
    <t>2020/02/10 11:56:00</t>
  </si>
  <si>
    <t>投诉编号：【446758】  投诉时间： 2020-02-10 11:56  投诉品牌： 广汽丰田  投诉车系： 雷凌  投诉车型： 2019款 185T CVT 豪华版 国VI        投诉内容  本人于2020年1月19日于购车，且在4S店购买了精品服务（贴膜，行车记录仪），本来要求年前安</t>
  </si>
  <si>
    <t>投诉编号：【446756】  投诉时间： 2020-02-10 11:41  投诉品牌： 比亚迪  投诉车系： 速锐  投诉车型： 2012款 1.5 手动 豪华型        投诉内容  我于2012年10月购买了速锐1.5L手动豪华型、于2020年2月7日突然出现冷冻液外漏，经汽修厂检查发现，</t>
  </si>
  <si>
    <t>2020/02/10 11:41:00</t>
  </si>
  <si>
    <t>投诉编号：【446754】  投诉时间： 2020-02-10 11:35  投诉品牌： 吉利汽车  投诉车系： 帝豪新能源  投诉车型： 2016款 EV 精英型 三厢        投诉内容  本人是帝豪EV253款车主，买车已3年多，一直是帝豪新能源的支持者。车刚刚过了质保，在春节期间，空调突</t>
  </si>
  <si>
    <t>2020/02/10 11:35:00</t>
  </si>
  <si>
    <t>2020/02/10 11:33:54</t>
  </si>
  <si>
    <t>投诉编号：【446751】
投诉时间： 2020-02-10 11:22
投诉品牌： 东风悦达起亚
投诉车系： KX CROSS
投诉车型： 2018款 1.6L 自动 灵动天窗版</t>
  </si>
  <si>
    <t>2020/02/10 11:32:08</t>
  </si>
  <si>
    <t>投诉编号：【446753】
投诉时间： 2020-02-10 11:25
投诉品牌： 郑州日产
投诉车系： 途达
投诉车型： 2018款 2.5L 自动 四驱 豪华版</t>
  </si>
  <si>
    <t>投诉编号：【446749】  投诉时间： 2020-02-10 11:16  投诉品牌： 一汽奔腾  投诉车系： 奔腾T77  投诉车型： 2019款 230 TID 自动 尊享型 国VI        投诉内容  新车就出现这个问题，严重影响安全问题，而且销售不专业，有欺诈消费，买的时候说的是交定</t>
  </si>
  <si>
    <t>2020/02/10 11:16:00</t>
  </si>
  <si>
    <t>补过的轮胎还能不能上高速跑120补过的轮胎可以上高速补过的轮胎其实是可以正常使用，而且可以上高速的。但补胎的方法、位置都是有讲究的，如果不符合要求的话，影响到高速行驶的安全性的。不同厂家的规定略有不同不同的轮胎厂家，关于补胎之后的速度规定也不一样。马牌Ultra Contact 说明书上写的：轮胎按</t>
  </si>
  <si>
    <t>2020/02/10 11:06:00</t>
  </si>
  <si>
    <t>补过的轮胎可以上高速补过的轮胎其实是可以正常使用，而且可以上高速的。但补胎的方法、位置都是有讲究的，如果不符合要求的话，影响到高速行驶的安全性的。不同厂家的规定略有不同不同的轮胎厂家，关于补胎之后的速度规定也不一样。马牌Ultra Contact 说明书上写的：轮胎按照维修标准严格修复后，要降低限速</t>
  </si>
  <si>
    <t>记一辆事故车的修复记录一、我开始接触这个车，机舱内已经拆除完毕，移交钣金师傅了。二、买了一个庞然大物，左前的大梁、悬架塔顶及主驾A柱。三、切割焊接完毕，骨架都接好了，喷上漆。四、从钣金交到我们机电手里，安装发动机变速器、元宝梁，半天搞定。五、接着又半天将底盘件，下支臂、拉杆球头、悬架、轮胎等安装完毕</t>
  </si>
  <si>
    <t>2020/02/10 11:05:00</t>
  </si>
  <si>
    <t>一、我开始接触这个车，机舱内已经拆除完毕，移交钣金师傅了。二、买了一个庞然大物，左前的大梁、悬架塔顶及主驾A柱。三、切割焊接完毕，骨架都接好了，喷上漆。四、从钣金交到我们机电手里，安装发动机变速器、元宝梁，半天搞定。五、接着又半天将底盘件，下支臂、拉杆球头、悬架、轮胎等安装完毕。六、重新交到钣金手机</t>
  </si>
  <si>
    <t>修理工粗心大意 差点出人命今天出去救援一辆事故车别克昂科拉！接车以后车主反应刹车反应慢 距离变长 才造成了这次事故。通过问询得知，此车事故前两天刚在车主小区门口的维修店 修配过刹车总泵，维修过以后才出现的刹车反应慢 距离长的情况。根据电脑检测故障码和车主的描述在试车过程中刹车确实有不灵敏和距离长的现</t>
  </si>
  <si>
    <t>2020/02/10 11:04:00</t>
  </si>
  <si>
    <t>瞌睡一秒 后悔一生俗话说，春困秋乏夏打盹，睡不醒的冬三月，连续长时间驾车或是睡眠不足时，容易让司机产生疲劳状态。司机在疲劳时驾车，会导致反应迟钝、动作迟缓，不能及时发现和应对路上的突发状况，严重时还会出现短暂睡眠危及行车安全。长时间开车一旦产生困倦，一定不要强行硬撑，要立刻寻找最近的安全地带停车休息</t>
  </si>
  <si>
    <t>今天出去救援一辆事故车别克昂科拉！接车以后车主反应刹车反应慢 距离变长 才造成了这次事故。通过问询得知，此车事故前两天刚在车主小区门口的维修店 修配过刹车总泵，维修过以后才出现的刹车反应慢 距离长的情况。根据电脑检测故障码和车主的描述在试车过程中刹车确实有不灵敏和距离长的现象。经路试和车主反应的情况</t>
  </si>
  <si>
    <t>俗话说，春困秋乏夏打盹，睡不醒的冬三月，连续长时间驾车或是睡眠不足时，容易让司机产生疲劳状态。司机在疲劳时驾车，会导致反应迟钝、动作迟缓，不能及时发现和应对路上的突发状况，严重时还会出现短暂睡眠危及行车安全。长时间开车一旦产生困倦，一定不要强行硬撑，要立刻寻找最近的安全地带停车休息，待困意消失之后再</t>
  </si>
  <si>
    <t>有需要的老司机看过来我们很多人在考驾驶证的时候大多数考的是C1驾驶证，该驾驶证可以驾驶小型、微型载客汽车以及轻型、微型载货汽车。如果你个人业务有需求，需要增驾B2（大型货车）驾照，只要到相应的驾校报名，并准备好相关的资料以及钱就行了。不过，根据《机动车驾驶证申领和使用规定》相关规定，要增驾也是需要以</t>
  </si>
  <si>
    <t>2020/02/10 11:03:00</t>
  </si>
  <si>
    <t>三张比较简单的色盲检测图如果我们要开车上路，必须先去考驾照，而考驾照的第一个流程就是先进行体检。在体检当中会有色盲测试，平时人们对于自己的视觉感应并不是特别关心，但是等到一检查才发现，原来自己有色盲或者色弱。虽然平时不太影响我们的日常生活，但是到开车的时候影响就比较大了。因为现在路上汽车那么多，如果</t>
  </si>
  <si>
    <t>如果我们要开车上路，必须先去考驾照，而考驾照的第一个流程就是先进行体检。在体检当中会有色盲测试，平时人们对于自己的视觉感应并不是特别关心，但是等到一检查才发现，原来自己有色盲或者色弱。虽然平时不太影响我们的日常生活，但是到开车的时候影响就比较大了。因为现在路上汽车那么多，如果大家连红绿灯都分不清，看</t>
  </si>
  <si>
    <t>我们很多人在考驾驶证的时候大多数考的是C1驾驶证，该驾驶证可以驾驶小型、微型载客汽车以及轻型、微型载货汽车。如果你个人业务有需求，需要增驾B2（大型货车）驾照，只要到相应的驾校报名，并准备好相关的资料以及钱就行了。不过，根据《机动车驾驶证申领和使用规定》相关规定，要增驾也是需要以下几个硬性条件的。1</t>
  </si>
  <si>
    <t>停车时车轮被“恶意”锁住？现如今有车一族的数量太多，停车位又跟不上需求，要是在小区买一个停车位，都可以直接买一辆新车。因为只要是在有公共停车位的地方，基本上就是靠抢位子停车，这样就会催生出一些不文明的停车行为，有些霸道的车主还会直接把一些汽车给锁了。在有些农村地区，在街道上不规范停车，又没有留下联系</t>
  </si>
  <si>
    <t>2020/02/10 11:02:00</t>
  </si>
  <si>
    <t>非常时期特殊对待面对疫情汽车年检怎么办汽车年检超过时限如何呢？ 那就是抓紧时间去检测站年检然后换上新的年检合格标志，若当场检验合格，则检测站可先为车主发放机动车检验合格标志。 然而现在全国各地正处在特别时刻，受这次武汉地区爆发的新型肺炎作用，在全球区域内都发动了一整套的防控办法。交警提醒：这样做不扣</t>
  </si>
  <si>
    <t>现如今有车一族的数量太多，停车位又跟不上需求，要是在小区买一个停车位，都可以直接买一辆新车。因为只要是在有公共停车位的地方，基本上就是靠抢位子停车，这样就会催生出一些不文明的停车行为，有些霸道的车主还会直接把一些汽车给锁了。在有些农村地区，在街道上不规范停车，又没有留下联系方式的，也有可能被锁。要是</t>
  </si>
  <si>
    <t>面对疫情汽车年检怎么办汽车年检超过时限如何呢？ 那就是抓紧时间去检测站年检然后换上新的年检合格标志，若当场检验合格，则检测站可先为车主发放机动车检验合格标志。 然而现在全国各地正处在特别时刻，受这次武汉地区爆发的新型肺炎作用，在全球区域内都发动了一整套的防控办法。交警提醒：这样做不扣分如今街上大大小</t>
  </si>
  <si>
    <t>投诉编号：【446748】  投诉时间： 2020-02-10 11:01  投诉品牌： 吉利汽车  投诉车系： 博越  投诉车型： 2016款 1.8TD 自动 两驱 智尊型        投诉内容  行驶中仪表盘报各种故障码，厂家也来人看过，厂家找到过很多故障码记录。现在4S店也解决不了，从20</t>
  </si>
  <si>
    <t>2020/02/10 11:01:00</t>
  </si>
  <si>
    <t>日系车不再把行车落锁当标配？众所周知，随着汽车产业越来越发达。日系车与德系车发展的速度，早已远超我们国家汽车发展速度。在国际上盛有名声。但车主们往往发现，德系车及其它一系列车型在配有行车落锁时，日系车却默默取消了这一装置。日系车不配行车落锁是为了偷工减料吗？据了解，行车自动落锁是为了避免车内人员无意</t>
  </si>
  <si>
    <t>2020/02/10 11:00:00</t>
  </si>
  <si>
    <t>众所周知，随着汽车产业越来越发达。日系车与德系车发展的速度，早已远超我们国家汽车发展速度。在国际上盛有名声。但车主们往往发现，德系车及其它一系列车型在配有行车落锁时，日系车却默默取消了这一装置。日系车不配行车落锁是为了偷工减料吗？据了解，行车自动落锁是为了避免车内人员无意开启门把，确保车辆与人身的安</t>
  </si>
  <si>
    <t>或两年推量产版 塔塔发Sierra EV概念车日前，塔塔汽车在2020年印度新德里车展上发布了全新电动概念车Sierra EV，新车定位为一款中大型SUV，整体风格硬朗结实，后车门采用滑动设计，车内座椅支持一定角度的旋转。目前该车的量产版已经被塔塔汽车提升了日程，有望在两年内率先在印度亮相。Sier</t>
  </si>
  <si>
    <t>2020/02/10 10:59:00</t>
  </si>
  <si>
    <t>日前，塔塔汽车在2020年印度新德里车展上发布了全新电动概念车Sierra EV，新车定位为一款中大型SUV，整体风格硬朗结实，后车门采用滑动设计，车内座椅支持一定角度的旋转。目前该车的量产版已经被塔塔汽车提升了日程，有望在两年内率先在印度亮相。Sierra EV概念车在外观设计上可量产程度比较高，</t>
  </si>
  <si>
    <t>投诉编号：【446747】投诉时间：2020-02-1010:56投诉品牌：郑州日产投诉车系：途达投诉车型：2018款2.5L自动四驱旗舰版投诉内容上周一到周三上午9点，停车47小时左右没电无法启动。5号晚上充电6小时后，6号周四上午没动，日产智联app显示最终位置是5号晚断电23点多的时候，手动开</t>
  </si>
  <si>
    <t>2020/02/10 10:56:00</t>
  </si>
  <si>
    <t>1成首付 车子在还款期间出了事故谁负责？对于“1成首付”买车，编辑在之前的多篇文章中提到过，“1成首付”本质是汽车融资租赁，国内多为以租代购模式。上一篇写以租代购的文章，编辑拿国外经典Lease车模式与国内新兴起的以租代购模式对比，总体来看，国内以租代购模式沿袭国外Lease车模式，但在业务灵活度和</t>
  </si>
  <si>
    <t>nihao9920_</t>
  </si>
  <si>
    <t>2020/02/10 10:53:00</t>
  </si>
  <si>
    <t>剐蹭劳斯莱斯保险该怎么办如今大街上的豪车虽然没有到多如牛毛的程度，但也算不上稀少。法拉利、劳斯莱斯、宾利、玛莎拉蒂、保时捷…每一款车都价格不菲。尤其对于普通车主来说，路上很怕碰到这些豪车，一旦撞上了，如果是对方的全责倒还好说，但如果是自己的责任，可能会面临高额赔偿。对豪车车主来说，如果肇事车主赔不起</t>
  </si>
  <si>
    <t>车企应如何“掘金”后市场 利润丰厚  说起汽车行业的利润率，那还真不如路边手机贴膜的，因为多数车企只能从100块钱里赚3块钱左右，即便是利润率较高的国外品牌如奥迪，也只能赚不到8块钱。众多汽车品牌惨烈厮杀的事实证明，我国汽车行业传统的利润链模式已开始向第三环节推移，利润丰厚而开发不足的汽车售后市场已</t>
  </si>
  <si>
    <t xml:space="preserve">如今大街上的豪车虽然没有到多如牛毛的程度，但也算不上稀少。法拉利、劳斯莱斯、宾利、玛莎拉蒂、保时捷…每一款车都价格不菲。尤其对于普通车主来说，路上很怕碰到这些豪车，一旦撞上了，如果是对方的全责倒还好说，但如果是自己的责任，可能会面临高额赔偿。对豪车车主来说，如果肇事车主赔不起，也会很闹心。     </t>
  </si>
  <si>
    <t>说起汽车行业的利润率，那还真不如路边手机贴膜的，因为多数车企只能从100块钱里赚3块钱左右，即便是利润率较高的国外品牌如奥迪，也只能赚不到8块钱。众多汽车品牌惨烈厮杀的事实证明，我国汽车行业传统的利润链模式已开始向第三环节推移，利润丰厚而开发不足的汽车售后市场已经成为车企们新的争夺焦点。如今国内车企</t>
  </si>
  <si>
    <t>对于“1成首付”买车，编辑在之前的多篇文章中提到过，“1成首付”本质是汽车融资租赁，国内多为以租代购模式。上一篇写以租代购的文章，编辑拿国外经典Lease车模式与国内新兴起的以租代购模式对比，总体来看，国内以租代购模式沿袭国外Lease车模式，但在业务灵活度和消费者需求等方面又有所不同。编辑将深入汽</t>
  </si>
  <si>
    <t>驴死车毁谁来赔 会车斗大灯撞死毛驴晚上开车的时候，最怕对面来车开远光灯。大部分司机会选择忍气吞声，但也有些司机会以眼还眼。前不久，内蒙古就发生了一起深夜会车斗大灯导致的事故，只不过这起事故撞上的不是人也不是车，而是一头驴。       事情的经过是这样的，某天深夜，内蒙古敖汉车主A开着轿车在乡间公路</t>
  </si>
  <si>
    <t>hi9920_</t>
  </si>
  <si>
    <t>2020/02/10 10:52:00</t>
  </si>
  <si>
    <t>买豪华车税费要三四万 钱到底差在哪儿了？买车不能光看裸车价，最终提车价格与裸车价可能相去甚远，有的豪华车买下来，提车花费可能比裸车价要高出三四万，这也让朋友感到困惑。钱到底差在哪儿了?作为金融编辑，今天就来帮大家算算账。       不妨以奥迪A4L为例子，编辑拿到一份广州地区的真实购车案例，由网友</t>
  </si>
  <si>
    <t>晚上开车的时候，最怕对面来车开远光灯。大部分司机会选择忍气吞声，但也有些司机会以眼还眼。前不久，内蒙古就发生了一起深夜会车斗大灯导致的事故，只不过这起事故撞上的不是人也不是车，而是一头驴。       事情的经过是这样的，某天深夜，内蒙古敖汉车主A开着轿车在乡间公路上行驶，这时对面车主B开车驶来。车</t>
  </si>
  <si>
    <t>买车不能光看裸车价，最终提车价格与裸车价可能相去甚远，有的豪华车买下来，提车花费可能比裸车价要高出三四万，这也让朋友感到困惑。钱到底差在哪儿了?作为金融编辑，今天就来帮大家算算账。       不妨以奥迪A4L为例子，编辑拿到一份广州地区的真实购车案例，由网友贡献，我们可以据以参考。这位网友购买的是</t>
  </si>
  <si>
    <t>2020/02/10 10:51:52</t>
  </si>
  <si>
    <t>投诉编号：【446745】
投诉时间： 2020-02-10 10:50
投诉品牌： 上汽通用别克
投诉车系： 凯越
投诉车型： 2008款 1.6 自动 LE</t>
  </si>
  <si>
    <t>贷款买车 你得知道这些毁征信行为       近日，全国首例个人破产案件在温州办结。说到个人破产制度，在国外，个人申请破产早已不是什么稀奇事，个人破产如果只是财务状况出现问题或许还有东山再起的机会，但个人破产常常伴随的是个人信用破产。       一旦发生信用破产，失去社会对个人的基本信任，恐怕就很</t>
  </si>
  <si>
    <t>2020/02/10 10:51:00</t>
  </si>
  <si>
    <t>贷款买车 你得知道这些毁征信行为！2019年11月29日 11:02 来源： 汽车之家 编辑：龚佳豪 打印 手机阅读       近日，全国首例个人破产案件在温州办结。说到个人破产制度，在国外，个人申请破产早已不是什么稀奇事，个人破产如果只是财务状况出现问题或许还有东山再起的机会，但个人破产常常伴随</t>
  </si>
  <si>
    <t>为何冬天纯电动车续航差？三大主要因素导致步入冬天，北方很多地方已经进入零下，当然也就又会谈到一个老话题，就是纯电动车续航变差。相信这几天大家也都看到了关于Aion S的热点新闻，很多的车主反映车辆续航标定为500km，但是冬天只能跑到200km，续航里程折损一半以上，这对与消费者而言并不能接受。所以</t>
  </si>
  <si>
    <t>hello_</t>
  </si>
  <si>
    <t>2020/02/10 10:50:00</t>
  </si>
  <si>
    <t>区别在哪里 国外Lease车VS国内1成首付  “1成首付买车”、“3000元提新车”，国内低首付买车业务开展得如火如荼，但很多人对于低首付买车了解不够深入，甚至存在一些误解。其实国内“1成首付”业务沿袭于国外早已发展成熟的Lease车业务，也就是汽车融资租赁，是金融购车方式的一种。国内“1成首付”</t>
  </si>
  <si>
    <t>48V微混系统是混动吗？优势和意义何在？在各路动力系统层出不穷的时候，同时也存在一种常见但是不太被人熟知的动力系统，那就是48V微混系统。我们目前听到频率最高的来自奥迪，其次是奔驰，目前市面主打的就是3.0T+48V微混系统。       严格意义上来讲，微混系统并不算是新能源范围内的车型，它只是汽</t>
  </si>
  <si>
    <t>“1成首付买车”、“3000元提新车”，国内低首付买车业务开展得如火如荼，但很多人对于低首付买车了解不够深入，甚至存在一些误解。其实国内“1成首付”业务沿袭于国外早已发展成熟的Lease车业务，也就是汽车融资租赁，是金融购车方式的一种。国内“1成首付”业务起步较晚，业务形态上与国外Lease车也有一</t>
  </si>
  <si>
    <t>步入冬天，北方很多地方已经进入零下，当然也就又会谈到一个老话题，就是纯电动车续航变差。相信这几天大家也都看到了关于Aion S的热点新闻，很多的车主反映车辆续航标定为500km，但是冬天只能跑到200km，续航里程折损一半以上，这对与消费者而言并不能接受。所以就有网友留言问到，为何纯电动车冬天续航就</t>
  </si>
  <si>
    <t>在各路动力系统层出不穷的时候，同时也存在一种常见但是不太被人熟知的动力系统，那就是48V微混系统。我们目前听到频率最高的来自奥迪，其次是奔驰，目前市面主打的就是3.0T+48V微混系统。       严格意义上来讲，微混系统并不算是新能源范围内的车型，它只是汽车电气化时代的一个产物，在车辆上电子元件</t>
  </si>
  <si>
    <t>据外媒报道，宝马CEO齐普策（Oliver Zipse）对外表示不会针对电动车开发专有平台，目前宝马现有平台既可支持电动汽车，也可支持传统燃油汽车，凭借这些平台，宝马能够与电动车企相抗衡。另外，宝马高管乌多·亨勒（Udo Haenle）此前也曾表示，由于未来汽车市场的不确定性因素太大，开发纯电动平台</t>
  </si>
  <si>
    <t>2020/02/10 10:49:00</t>
  </si>
  <si>
    <t>拒绝跟风 宝马不会开发电动车专有平台据外媒报道，宝马CEO齐普策（Oliver Zipse）对外表示不会针对电动车开发专有平台，目前宝马现有平台既可支持电动汽车，也可支持传统燃油汽车，凭借这些平台，宝马能够与电动车企相抗衡。另外，宝马高管乌多·亨勒（Udo Haenle）此前也曾表示，由于未来汽车市</t>
  </si>
  <si>
    <t>长途开车犯困怎么办？这是一本过年必备的提神宝典各位看官过年好啊，想必在过年期间不少车友都会跟家人朋友自驾游一番，趁着难得相聚的好时光到处去走走。而开长途中难免会遇到犯困的时候，如果直接睡着那么后果是不堪设想的——大家如果还记曾经年打破“开车睡觉”时长世界纪录的司机，就明白有多危险！       尽管</t>
  </si>
  <si>
    <t>YY9920_</t>
  </si>
  <si>
    <t>各位看官过年好啊，想必在过年期间不少车友都会跟家人朋友自驾游一番，趁着难得相聚的好时光到处去走走。而开长途中难免会遇到犯困的时候，如果直接睡着那么后果是不堪设想的——大家如果还记曾经年打破“开车睡觉”时长世界纪录的司机，就明白有多危险！       尽管开长途打瞌睡是人之常情，但侥幸心理不能有——那</t>
  </si>
  <si>
    <t>返工关键期来了 乘公共交通工具这些必须注意经过了两次的延期复工政策，马上就到了2月10日的返工日期，所以我们已经开始了防疫期间的最大返程高峰期，也即将迎来上班的首次高潮，两大人流密集节点，更是对防疫的一次非常大的考验。       而这其中，像哈尔滨等城市甚至出台了交通管制措施，对于没有私家车或者被</t>
  </si>
  <si>
    <t>2020/02/10 10:48:00</t>
  </si>
  <si>
    <t>异地出事故保险员来不了？其实处理起来也并不困难春节厂家，不少车友都会选择自驾出行。这时候路上的路上的车流量就会很大，车多事故发生率也会大大提高，如果我们在外地发生了事故那该怎么办呢？       都知道春节放假正是人员缺少的时候，很多理赔员和交警都不能及时赶到，有的因为交通拥堵甚至还过不来，以本人之</t>
  </si>
  <si>
    <t>经过了两次的延期复工政策，马上就到了2月10日的返工日期，所以我们已经开始了防疫期间的最大返程高峰期，也即将迎来上班的首次高潮，两大人流密集节点，更是对防疫的一次非常大的考验。       而这其中，像哈尔滨等城市甚至出台了交通管制措施，对于没有私家车或者被限号的朋友来说，公共交通工具是使用频率最高</t>
  </si>
  <si>
    <t>春节厂家，不少车友都会选择自驾出行。这时候路上的路上的车流量就会很大，车多事故发生率也会大大提高，如果我们在外地发生了事故那该怎么办呢？       都知道春节放假正是人员缺少的时候，很多理赔员和交警都不能及时赶到，有的因为交通拥堵甚至还过不来，以本人之前的经验和朋友的分享为例，我们先来看看特殊处理</t>
  </si>
  <si>
    <t>抗击疫情企业在行动 【这些车企也要上马口罩生产线了】广汽集团、比亚迪昨天相继宣布，为了破解抗击疫情中医疗防护物资紧缺问题，正在调配资源，着手防护物资生产设备的设计和制造，满足当前对防护物资的迫切需求。其中，比亚迪预计在2月17日前后量产出货口罩和消毒液；广汽集团已经研究上马口罩生产线以及开发相关设备</t>
  </si>
  <si>
    <t>2020/02/10 10:47:00</t>
  </si>
  <si>
    <t>防疫形势依然严峻。日前，北京市交通委发布通告：经市政府同意，自2020年2月10日起，本市继续延迟恢复机动车工作日高峰时段区域限行交通管理措施。限行措施恢复时间另行通告。尽量少出门，少乘坐公共交通工具，少出入人员聚集的密闭公共空间，这是防疫专家给出的个人防疫建议。但随着春节假期结束，眼下人员返程流和</t>
  </si>
  <si>
    <t>用“开局不利”形容这次的农历新年再恰当不过，恰逢春运大年关遇到上了新型冠状病毒疫情，一下子全国人民都草木皆兵。而这段时间与用车相关的信息也频频出炉——这里有官宣也有谣言，这篇文章就整理自各个官方渠道，以便各位车主了解一波：       假期延长，免费高速也一并延长！       “不得早于2月9日复</t>
  </si>
  <si>
    <t>zy99201012_</t>
  </si>
  <si>
    <t>高速堵车无聊至极？广场舞/打火锅这些骚操作了解一下2020年01月30日 07:00 来源： 车主之家 编辑：容世同 打印 手机阅读       全球范围内最大规模的迁徙要开启了，如果你正好也计划开车或坐大巴回家，正好没人性的老板执意把你留到农历年的最后，那估计这些严重堵车时的骚操作就用得上了——在</t>
  </si>
  <si>
    <t>光明时评：延期恢复机动车限行，不为防疫“添堵”防疫形势依然严峻。日前，北京市交通委发布通告：经市政府同意，自2020年2月10日起，本市继续延迟恢复机动车工作日高峰时段区域限行交通管理措施。限行措施恢复时间另行通告。尽量少出门，少乘坐公共交通工具，少出入人员聚集的密闭公共空间，这是防疫专家给出的个人</t>
  </si>
  <si>
    <t>高速堵车无聊至极？广场舞/打火锅这些骚操作了解一下       全球范围内最大规模的迁徙要开启了，如果你正好也计划开车或坐大巴回家，正好没人性的老板执意把你留到农历年的最后，那估计这些严重堵车时的骚操作就用得上了——在这每年都避不开的拥堵中。       一、不如跳舞       跳舞，已经是老生常</t>
  </si>
  <si>
    <t>防疫还能让驾照加分？这些临时调整或跟你密切相关用“开局不利”形容这次的农历新年再恰当不过，恰逢春运大年关遇到上了新型冠状病毒疫情，一下子全国人民都草木皆兵。而这段时间与用车相关的信息也频频出炉——这里有官宣也有谣言，这篇文章就整理自各个官方渠道，以便各位车主了解一波：       假期延长，免费高速</t>
  </si>
  <si>
    <t>这些车企也要上马口罩生产线了抗击疫情企业在行动 【这些车企也要上马口罩生产线了】广汽集团、比亚迪昨天相继宣布，为了破解抗击疫情中医疗防护物资紧缺问题，正在调配资源，着手防护物资生产设备的设计和制造，满足当前对防护物资的迫切需求。其中，比亚迪预计在2月17日前后量产出货口罩和消毒液；广汽集团已经研究上</t>
  </si>
  <si>
    <t>今天（2月10日），全国多省市区迎来复工潮，多家车企都表示将按照要求如期开工，并在全力做好疫情防控的同时，线上线下齐发力，为经销商减负解压。谈及疫情对汽车消费的影响，长城汽车认为将是“正负交织”。北汽也表示，疫情属于短期“外生冲击”，不会改变行业长期发展趋势，今年车市降幅将小于去年。自疫情发生以来，</t>
  </si>
  <si>
    <t>2020/02/10 10:46:00</t>
  </si>
  <si>
    <t>毫无疑问，“防疫工作”已经是目前绝大多数国人的头等大事。尽管目前全网推崇的防疫打法是“没事千万别出门“，但若有要事必须外出，那么私家车还是要比公交/的士等更为安全——今天本人就汇总来自不同交警官宣内容，以及医学官方资料，再结合自己的实操感受，给各位说说车内消毒。       第一步，先从消毒液稀释做</t>
  </si>
  <si>
    <t>汽车业复工战“疫”：乘用车企减负经销商今天（2月10日），全国多省市区迎来复工潮，多家车企都表示将按照要求如期开工，并在全力做好疫情防控的同时，线上线下齐发力，为经销商减负解压。谈及疫情对汽车消费的影响，长城汽车认为将是“正负交织”。北汽也表示，疫情属于短期“外生冲击”，不会改变行业长期发展趋势，今</t>
  </si>
  <si>
    <t>全车防疫消毒实操演示 仅十分钟便可让你安心出行  毫无疑问，“防疫工作”已经是目前绝大多数国人的头等大事。尽管目前全网推崇的防疫打法是“没事千万别出门“，但若有要事必须外出，那么私家车还是要比公交/的士等更为安全——今天本人就汇总来自不同交警官宣内容，以及医学官方资料，再结合自己的实操感受，给各位说</t>
  </si>
  <si>
    <t>会车先行和会车让行 这组标志通常是出现在一些会车的路口等，这组标志样子区别还是比较大的，第一外轮廓不一样，第二标志上的箭头都是不同的颜色。而圆形轮廓的这个道路标志所指的是在会车的时候，对向车道的车先行，而你需要让行，而方形轮廓的标志则是相反，在会车的时候，你可以先行，对方会让行。单行道和只准直行 这</t>
  </si>
  <si>
    <t>2020/02/10 10:45:00</t>
  </si>
  <si>
    <t>最容易搞混的四组道路标志，开车别中招会车先行和会车让行 这组标志通常是出现在一些会车的路口等，这组标志样子区别还是比较大的，第一外轮廓不一样，第二标志上的箭头都是不同的颜色。而圆形轮廓的这个道路标志所指的是在会车的时候，对向车道的车先行，而你需要让行，而方形轮廓的标志则是相反，在会车的时候，你可以先</t>
  </si>
  <si>
    <t>投诉编号：【446744】  投诉时间： 2020-02-10 10:43  投诉品牌： 郑州日产  投诉车系： 途达  投诉车型： 2020款 2.5L 自动 四驱 旗舰版        投诉内容  本人1月22号刚提的车，车是1.14号生产的，素车无任何加装。开回家两百多公里，之前看论坛有人反馈</t>
  </si>
  <si>
    <t>2020/02/10 10:43:00</t>
  </si>
  <si>
    <t>氢燃料技术加持，四川现代能否复制乘用车的成功？终于,现代汽车对第一个海外商用车制造合资企业四川现代的独资控股尘埃落定。近日，新京报记者从天眼查获悉，四川现代已经完成了股份变更。变更后，韩国现代汽车成为唯一大股东，持股比例为100%。至此，四川现代变更为外国法人独资，同时也成为国内首家外商独资的商用车</t>
  </si>
  <si>
    <t>特斯拉新专利曝光：取消换挡杆 重新定义方向盘据外媒消息，一直不走寻常路的特斯拉近期想要重新定义方向盘。根据外媒曝光的特斯拉一项新专利申请显示，这家汽车制造商正在开发一种新的基于方向盘的用户界面，该界面具有一系列新功能，包括替换齿轮轴、一系列触摸屏、触觉反馈等。此外，专利图或显示了特斯拉未来车型的内饰</t>
  </si>
  <si>
    <t>2020/02/10 10:39:00</t>
  </si>
  <si>
    <t>现在国人选车已经从皮实、耐用、省油，转向个性化，而敞篷跑车无疑是其中最具个性、最拉风的存在。但是敞篷跑车普遍价格较高，动辄大几十、上百万的价格也是让我等平头百姓望尘莫及，只有看着吞口水的份儿。不过敞篷车全都是那么贵的吗？当然不是，这些亲民价格（最高30来万）的平民敞篷车，也能圆普通人一个敞篷梦。国人</t>
  </si>
  <si>
    <t>2020/02/10 10:35:00</t>
  </si>
  <si>
    <t>最低10几万的敞篷车 论回头率还是得看它们现在国人选车已经从皮实、耐用、省油，转向个性化，而敞篷跑车无疑是其中最具个性、最拉风的存在。但是敞篷跑车普遍价格较高，动辄大几十、上百万的价格也是让我等平头百姓望尘莫及，只有看着吞口水的份儿。不过敞篷车全都是那么贵的吗？当然不是，这些亲民价格（最高30来万）</t>
  </si>
  <si>
    <t>对汽车爱好者来说，很多汽车品牌都有着传奇历史，而像那些超跑品牌更是如此，例如兰博基尼，当初就是一家农用机械生产商，而拖拉机就是它的主要产品。不过今天还有一个品牌，当年在造拖拉机领域也是一把好手，它就是保时捷。看到这台成色很新的拖拉机了吗？它就是来自大名鼎鼎的保时捷，而这台车的年龄也早已超过半个世纪。</t>
  </si>
  <si>
    <t>2020/02/10 10:34:00</t>
  </si>
  <si>
    <t>兰博基尼靠拖拉机起家？保时捷：其实我也是对汽车爱好者来说，很多汽车品牌都有着传奇历史，而像那些超跑品牌更是如此，例如兰博基尼，当初就是一家农用机械生产商，而拖拉机就是它的主要产品。不过今天还有一个品牌，当年在造拖拉机领域也是一把好手，它就是保时捷。看到这台成色很新的拖拉机了吗？它就是来自大名鼎鼎的保</t>
  </si>
  <si>
    <t>丰田发布最新应急安全系统 防止错踩油门日前，海外汽车资讯网站AutoMotor报道称，日本知名汽车制造商丰田汽车宣布，该公司研发一款最新应急安全系统，能够有效避免驾驶员因为紧张、焦虑等不良情绪的影响下，在遭遇突发事件时误将油门踏板当成刹车踏板踩下后酿成的无可挽回的交通事故。据悉，该系统采用大数据技术</t>
  </si>
  <si>
    <t>冬季新能源车长时间停放 有哪些注意事项现在有很多消费者朋友选择了新能源汽车，新能源汽车的使用普及面越来越广。那么，如果我们在冬季长时间停放新能源汽车，有哪些事项是需要注意的。  首先，我们需要注意的是停放位置。如果我们需要长时间停车的话，最好将车辆停放在室内。因为雨雪天气会对车辆表面有一定的影响，会</t>
  </si>
  <si>
    <t>2020/02/10 10:33:00</t>
  </si>
  <si>
    <t>在疫情肆虐的时期里，汽车媒体工作者大多都被安排在家远程办公，暂时告别了每天上下班的烦恼。但是作为一个汽车狂热粉丝的我在这段时间里没有办法体验各种试驾车，这种滋味还真不大适应。闲来无事我便躺在床上回想了在2019年试驾过的每一台车的点点滴滴。仔细一盘算，去年我在牛车网一共试驾了37款车，虽然无法完全涵</t>
  </si>
  <si>
    <t>2019年我国累计进口汽车超108万辆，同比下降2%新京报讯（记者 秦胜南）新京报记者2月9日从中国汽车流通协会获悉，受汽车市场下行及宏观经济影响，2019年12月，我国海关进口汽车10.2万辆，大幅增长24%。2019年1-12月，进口汽车市场累计进口108.6万辆，同比下降2%。2019年我国累</t>
  </si>
  <si>
    <t>私家车日常如何消毒近些天来，肺炎疫情想必大家是有目共睹，因此日常保护工作尤为重要，今天，就向大家展示如何每天对私家车进行消毒。  自己开车出行时最好也戴口罩，毕竟，停车时仍然必须下车，所以口罩还是需要戴上，大多数私家车使用者仍然需要频繁地清洁和消毒汽车，因为汽车中的细菌更多。  私家车的车内污染源来</t>
  </si>
  <si>
    <t>2019年我试驾过印象最深刻的5台车在疫情肆虐的时期里，汽车媒体工作者大多都被安排在家远程办公，暂时告别了每天上下班的烦恼。但是作为一个汽车狂热粉丝的我在这段时间里没有办法体验各种试驾车，这种滋味还真不大适应。闲来无事我便躺在床上回想了在2019年试驾过的每一台车的点点滴滴。仔细一盘算，去年我在牛车</t>
  </si>
  <si>
    <t>现在有很多消费者朋友选择了新能源汽车，新能源汽车的使用普及面越来越广。那么，如果我们在冬季长时间停放新能源汽车，有哪些事项是需要注意的。  首先，我们需要注意的是停放位置。如果我们需要长时间停车的话，最好将车辆停放在室内。因为雨雪天气会对车辆表面有一定的影响，会加速车漆的老化。如果说没有条件停放在室</t>
  </si>
  <si>
    <t>近些天来，肺炎疫情想必大家是有目共睹，因此日常保护工作尤为重要，今天，就向大家展示如何每天对私家车进行消毒。  自己开车出行时最好也戴口罩，毕竟，停车时仍然必须下车，所以口罩还是需要戴上，大多数私家车使用者仍然需要频繁地清洁和消毒汽车，因为汽车中的细菌更多。  私家车的车内污染源来自汽车内饰材料释放</t>
  </si>
  <si>
    <t>汽车发动机做为汽车上最重要、最精密、最复杂的总成件，出故障的概率也是很高的，故障发生的部位也是多种多样的。在我们的日常修理工作中，发动机最常发生的故障有异常抖动、积碳、漏油、漏水、高温、烧机油、机油增多、异响、发动机失火、无法启动等。1、异常抖动任何发动机在工作时都会有抖动，这是由发动机结构特点决定</t>
  </si>
  <si>
    <t>2020/02/10 10:32:00</t>
  </si>
  <si>
    <t>没经历过就不知道爆胎多危险 遇到这些“轮胎杀手”躲着点汽车身上除了安全带、气囊等配置，还有哪个跟我们的行车安全息息相关？答案就是轮胎。因为轮胎时汽车唯一接触地面的部件，它的状态不好的话，会直接威胁到我们的行车安全。刚巧大师的车这两天去更换了轮胎。因为轮胎内侧偏磨，在开车的时候能明显感觉到行驶稳定性不</t>
  </si>
  <si>
    <t>门把手首次发现肺炎病毒 汽车这些地方也要注意日前，广州市疾病预防控制中心发布一则新型冠状病毒报告，在确诊患者家中门把手提取到新型冠状病毒的核酸，这意味着这次肺炎病毒首次在外环境中发现！广州市疾控专家提醒，日常家居环境中，有许多可能造成病毒间接传播的途径，容易被人忽略。据广州市疾病预防控制中心副主任张</t>
  </si>
  <si>
    <t>汽车发动机的常见故障有哪些？又该如何处置呢？汽车发动机做为汽车上最重要、最精密、最复杂的总成件，出故障的概率也是很高的，故障发生的部位也是多种多样的。在我们的日常修理工作中，发动机最常发生的故障有异常抖动、积碳、漏油、漏水、高温、烧机油、机油增多、异响、发动机失火、无法启动等。1、异常抖动任何发动机</t>
  </si>
  <si>
    <t>日前，广州市疾病预防控制中心发布一则新型冠状病毒报告，在确诊患者家中门把手提取到新型冠状病毒的核酸，这意味着这次肺炎病毒首次在外环境中发现！广州市疾控专家提醒，日常家居环境中，有许多可能造成病毒间接传播的途径，容易被人忽略。据广州市疾病预防控制中心副主任张周斌介绍，新型冠状病毒的传播途径可分为直接接</t>
  </si>
  <si>
    <t>汽车身上除了安全带、气囊等配置，还有哪个跟我们的行车安全息息相关？答案就是轮胎。因为轮胎时汽车唯一接触地面的部件，它的状态不好的话，会直接威胁到我们的行车安全。刚巧大师的车这两天去更换了轮胎。因为轮胎内侧偏磨，在开车的时候能明显感觉到行驶稳定性不如之前，而且缓刹车的时候踏板还会出现抖动。所以“关爱”</t>
  </si>
  <si>
    <t>一起玩车 JDM模范情侣的正确打开方式对于每一个喜欢改装车的男生来说，或许没有什么能比找到志同道合的玩车女友更令人感到幸福的事情了。这对来自南美智利的情侣是不折不扣的改装车重度发烧友，而且他们还都是JDM的资深玩家，这种感觉是你从见到他们车辆的第一眼开始的。由于男主Daniel经常参加漂移赛事，所以</t>
  </si>
  <si>
    <t>2020/02/10 10:31:00</t>
  </si>
  <si>
    <t>“有些人他还活着，但已经死了”这句话用在这三个汽车品牌上也非常贴切，虽然名字还在，但早已不是自己了。他们有着辉煌的过去，而如今~~沧海桑田，除了名字没变，已经活的毫无过去的痕迹。NO.1-斯柯达124年历史的斯柯达，1895年创立于捷克，和布拉格共同组成了捷克的两张名片，妥妥的捷克国民品牌啊！199</t>
  </si>
  <si>
    <t>对于每一个喜欢改装车的男生来说，或许没有什么能比找到志同道合的玩车女友更令人感到幸福的事情了。这对来自南美智利的情侣是不折不扣的改装车重度发烧友，而且他们还都是JDM的资深玩家，这种感觉是你从见到他们车辆的第一眼开始的。由于男主Daniel经常参加漂移赛事，所以这台S15 Spec-R除了炫酷的外观</t>
  </si>
  <si>
    <t>三个名字还在 但早已不是自己的汽车品牌“有些人他还活着，但已经死了”这句话用在这三个汽车品牌上也非常贴切，虽然名字还在，但早已不是自己了。他们有着辉煌的过去，而如今~~沧海桑田，除了名字没变，已经活的毫无过去的痕迹。NO.1-斯柯达124年历史的斯柯达，1895年创立于捷克，和布拉格共同组成了捷克的</t>
  </si>
  <si>
    <t>除了承载车身和车内乘员的重量，车辆的行驶转向都以轮胎为承载体。作为汽车上唯一和地面接触的部件，轮胎与我们的行车安全和车辆的性能息息相关。在生活中我们常常发现，普通的家用车一般都是用17寸左右的轮毂配高扁平比的轮胎。而性能车或者跑车会采用更大轮毂和低扁平比轮胎，为什么会采用这样的设计？在说这个话题之前</t>
  </si>
  <si>
    <t>轮胎越“扁”越好 那为啥买菜车不用除了承载车身和车内乘员的重量，车辆的行驶转向都以轮胎为承载体。作为汽车上唯一和地面接触的部件，轮胎与我们的行车安全和车辆的性能息息相关。在生活中我们常常发现，普通的家用车一般都是用17寸左右的轮毂配高扁平比的轮胎。而性能车或者跑车会采用更大轮毂和低扁平比轮胎，为什么</t>
  </si>
  <si>
    <t>特殊时期，开车要这样防护才好在大家陆续开工的近期，不免要去各种公共场所，那么有车一族大多会觉得车内空间就是避风港，好像坐到自己的车里就像坐到了“堡垒”里，其实这样的想法也是“不安全”的，在疫情面前车内防疫更不能松懈。特殊时期，开车要这样防护才好车是第二个家，家里如果乱糟糟的，相信也不会太干净。首先将</t>
  </si>
  <si>
    <t>低配和高配的差距 真不止是一张真皮沙发在买车这件事情上，当你们都确定了一款车后，决定选择中高配车型的时候，家里人总会蹦出一句"白花那钱干嘛啊，高配车不就是坐的舒服一点，买了你指不定第二天就后悔"。说实话，买车就是量力而行，但高配车和低配车的差距，真不止是一张真皮沙发，可能真的比你想象的大。客观来说，</t>
  </si>
  <si>
    <t>2020/02/10 10:29:00</t>
  </si>
  <si>
    <t>金钱无法衡量的信仰 堪称藏品级R34战神日产GT-R在我们国内的车迷眼里，提到最经典的GT-R无疑就是日产Skyline GT-R （BNR34）。虽然它从出道到退役只有短短的四年时间，但它所留下的辉煌历史影响力却能堪比今天大红大紫的R35。今天给大家带来的是一台藏品级别的Mine‘s R34。车主</t>
  </si>
  <si>
    <t>在我们国内的车迷眼里，提到最经典的GT-R无疑就是日产Skyline GT-R （BNR34）。虽然它从出道到退役只有短短的四年时间，但它所留下的辉煌历史影响力却能堪比今天大红大紫的R35。今天给大家带来的是一台藏品级别的Mine‘s R34。车主Enson是澳洲VSPEC PERFORMANCE（</t>
  </si>
  <si>
    <t>各个级别汽车中的标杆车型 吐血推荐有这么一句话是，喝最烈的酒，开最好的车，不少小伙伴会以为一定要开上劳斯莱斯、宾利等超豪华的车才算是开最好的车。其实不然，开最好的车可以理解为开每个级别中的标杆车型，而标杆车型怎么得来的呢？今天推荐的几款车型从6万到30万都有，喜欢轿车的小伙伴赶紧一起来看看吧！上汽集</t>
  </si>
  <si>
    <t>有这么一句话是，喝最烈的酒，开最好的车，不少小伙伴会以为一定要开上劳斯莱斯、宾利等超豪华的车才算是开最好的车。其实不然，开最好的车可以理解为开每个级别中的标杆车型，而标杆车型怎么得来的呢？今天推荐的几款车型从6万到30万都有，喜欢轿车的小伙伴赶紧一起来看看吧！上汽集团－荣威i5市场指导价：6.89-</t>
  </si>
  <si>
    <t>在买车这件事情上，当你们都确定了一款车后，决定选择中高配车型的时候，家里人总会蹦出一句"白花那钱干嘛啊，高配车不就是坐的舒服一点，买了你指不定第二天就后悔"。说实话，买车就是量力而行，但高配车和低配车的差距，真不止是一张真皮沙发，可能真的比你想象的大。客观来说，低配车拥有汽车的入门价格，确实比高配车</t>
  </si>
  <si>
    <t>除了给收音机传递信号 不起眼的天线还有这些功能说到收音机我们肯定都不陌生我们在学生时代没少用它听世界杯和郭德纲离开学校后虽然手机、电视不再被限制但总觉着缺少点味道时至今日大家开车时仍喜欢听收音机也许是对青春的怀念吧有同感的朋友欢迎留言举手那么问题来了世界上第一台车载收音机是哪个品牌搞出来的？在192</t>
  </si>
  <si>
    <t>2020/02/10 10:28:00</t>
  </si>
  <si>
    <t>看似不合理其实最合理 盘点汽车上的反人机工程做法近些年，汽车领域出现了一个很时髦的词汇——「人机工程」。所谓人机工程，指的是20世纪70年代初迅速发展起来的一门新兴学科，它的主要研究课题是从人的生理和心理出发，研究人—机—环境相互关系和相互作用的规律。可能这样的描述太过学术，我们消费者评价人机工程不</t>
  </si>
  <si>
    <t>近些年，汽车领域出现了一个很时髦的词汇——「人机工程」。所谓人机工程，指的是20世纪70年代初迅速发展起来的一门新兴学科，它的主要研究课题是从人的生理和心理出发，研究人—机—环境相互关系和相互作用的规律。可能这样的描述太过学术，我们消费者评价人机工程不会这么玄学。在我们看来，创造一个舒适的、操纵轻便</t>
  </si>
  <si>
    <t>说到收音机我们肯定都不陌生我们在学生时代没少用它听世界杯和郭德纲离开学校后虽然手机、电视不再被限制但总觉着缺少点味道时至今日大家开车时仍喜欢听收音机也许是对青春的怀念吧有同感的朋友欢迎留言举手那么问题来了世界上第一台车载收音机是哪个品牌搞出来的？在1924年雪佛兰品牌首次将收音机装到了车上随即引发了</t>
  </si>
  <si>
    <t>轮圈和汽车的关系，就好比皮鞋相对于西装，没有一双好鞋的点缀，永远也体现不出西装有多昂贵。而宝马的设计师就总能设计并挑选出最符合车身气质的那款轮圈进行搭配。既不显得过于张扬、也不过分保守，因此也深受车迷的认可。今天我们就来细数一波有史以来宝马的十大最美轮圈！E39 M5被很多Bimmer认为是有史以来</t>
  </si>
  <si>
    <t>2020/02/10 10:27:00</t>
  </si>
  <si>
    <t>你不知道的5个汽车安全冷知识汽车虽然天天陪伴在我们身边，但是它的内部安全结构，你能知道多少？很多有意思的设计，如果不告诉你，可能你真的永远都无法知道。本文就进行一次冷知识安全盘点，当然，我们是把车拆开来告诉你的。1、我们常说的止震贴，大部分材料来源于沥青，非常不环保。经常在各种汽车技术类栏目里看到对</t>
  </si>
  <si>
    <t>汽车虽然天天陪伴在我们身边，但是它的内部安全结构，你能知道多少？很多有意思的设计，如果不告诉你，可能你真的永远都无法知道。本文就进行一次冷知识安全盘点，当然，我们是把车拆开来告诉你的。1、我们常说的止震贴，大部分材料来源于沥青，非常不环保。经常在各种汽车技术类栏目里看到对止震贴的介绍，这种物质出现在</t>
  </si>
  <si>
    <t>宝马最美的10款轮圈 你见过几个？轮圈和汽车的关系，就好比皮鞋相对于西装，没有一双好鞋的点缀，永远也体现不出西装有多昂贵。而宝马的设计师就总能设计并挑选出最符合车身气质的那款轮圈进行搭配。既不显得过于张扬、也不过分保守，因此也深受车迷的认可。今天我们就来细数一波有史以来宝马的十大最美轮圈！E39 M</t>
  </si>
  <si>
    <t>赛场上开着赛车风驰电掣相信是许多人心中的梦想，加速、劈弯、冲刺，我们很难成为一名真正的赛车手，所以许多小伙伴通过选择一辆性能出众的座驾来完成自己对速度与激情的想象。性能强悍的车型一般价格不低，如果预算不多的情况，想拥有一款性能出众，且兼具实用的车型的话，就要看这一期的车型介绍。它们可以说是许多小伙伴</t>
  </si>
  <si>
    <t>2020/02/10 10:26:00</t>
  </si>
  <si>
    <t>最快4.8秒破百 这几台车都是性能爱好者的最爱赛场上开着赛车风驰电掣相信是许多人心中的梦想，加速、劈弯、冲刺，我们很难成为一名真正的赛车手，所以许多小伙伴通过选择一辆性能出众的座驾来完成自己对速度与激情的想象。性能强悍的车型一般价格不低，如果预算不多的情况，想拥有一款性能出众，且兼具实用的车型的话，</t>
  </si>
  <si>
    <t>对于电动汽车来看，离不开充电桩，充电桩作为车辆能量的补充来源装置，关乎车辆使用和用车体验，当私人充电桩作为充电装置，当有故障的时候导致其内部线路故障，引起起火的时候怎么办？私人充电桩起火的时候，首先要做的时候就是第一时间灭火，尤其充电桩的特征，遇到起火的现象首先在确保安全的情况下，第一时间要切断连接</t>
  </si>
  <si>
    <t>2020/02/10 10:25:00</t>
  </si>
  <si>
    <t>私人充电桩着火怎么办对于电动汽车来看，离不开充电桩，充电桩作为车辆能量的补充来源装置，关乎车辆使用和用车体验，当私人充电桩作为充电装置，当有故障的时候导致其内部线路故障，引起起火的时候怎么办？私人充电桩起火的时候，首先要做的时候就是第一时间灭火，尤其充电桩的特征，遇到起火的现象首先在确保安全的情况下</t>
  </si>
  <si>
    <t>电车长期不用 建议拔掉负极车辆长期不用也就是在停驶状态当中，电池会慢慢亏电，4-6个月电量就会消耗完。为了保持电池的活性，很多人会把电池的负极给拔掉，电车长期不用，有车友建议拔掉负极，为什么？拔掉负极主要是为了防止电瓶出现自放电的情况，不管是传统的燃油车也好，还是对于电动汽车而言也是一样，电动汽车上</t>
  </si>
  <si>
    <t>"买车的人越来越多，开自己爱车时都会做各种损伤车辆小毛病，咱们就总结几点，看你占了几样？第一方向盘打死在我们驾校学车的时候，很多人习惯性打死方向盘，经常这样会对车助力泵造成损伤，会让助力泵长期处于紧绷状态，即使在极端的情况下，也不要打死方向盘持续超过十秒。第二长时间踩半离合不少司机开车时习惯将左脚一</t>
  </si>
  <si>
    <t>2020/02/10 10:13:00</t>
  </si>
  <si>
    <t>伴随着时代的进步，汽车已悄然走入寻常百姓家。汽车不仅进入我们的生活，也的确方便了大家的出行。很多车主朋友非常注意爱车保养，但却缺乏相关的了解和知识。正确使用和保养车辆不仅可以减少汽车的损耗，还能更好的保障自身安全。今天咱们就来说说日常生活中最常见的那些用车误区。一、洗车像洗澡——危害空调遇上天气气温</t>
  </si>
  <si>
    <t>用车的这几个大误区 一定要注意伴随着时代的进步，汽车已悄然走入寻常百姓家。汽车不仅进入我们的生活，也的确方便了大家的出行。很多车主朋友非常注意爱车保养，但却缺乏相关的了解和知识。正确使用和保养车辆不仅可以减少汽车的损耗，还能更好的保障自身安全。今天咱们就来说说日常生活中最常见的那些用车误区。一、洗车</t>
  </si>
  <si>
    <t>9种最伤车的习惯 你占了几样？"买车的人越来越多，开自己爱车时都会做各种损伤车辆小毛病，咱们就总结几点，看你占了几样？第一方向盘打死在我们驾校学车的时候，很多人习惯性打死方向盘，经常这样会对车助力泵造成损伤，会让助力泵长期处于紧绷状态，即使在极端的情况下，也不要打死方向盘持续超过十秒。第二长时间踩半</t>
  </si>
  <si>
    <t>说到开车，肯定所有的车主朋友们都有不同的感觉。汽车行驶在路上，各种各样的路况都会发生，各种未知的因素在等待着我们。开车并不是握住方向盘系好安全带就万事大吉的事情，有很多事情需要我们多加注意。不仅是在行驶中的路况需要我们注意，在车子启动之前，我们更是要注意车况，只有把车子检查好，开车的风险才会降到更低</t>
  </si>
  <si>
    <t>2020/02/10 10:12:00</t>
  </si>
  <si>
    <t>坐车的朋友会发现：有些司机不管起步还是制动，让人感觉很舒服！还有些司机，开车的时候一大脚油一大脚刹车，让车上的乘客十分不舒服，左摇右晃，甚至使人晕车~~为什么会有此区别呢？原因就在“刹车”上面！那么开车的时候到底该如何踩刹车，才能保证车子开得又稳又省油呢？一起来看看吧。1.一般情况下该怎样刹车？　一</t>
  </si>
  <si>
    <t>这7种踩刹车的方式 开车的你在用吗？坐车的朋友会发现：有些司机不管起步还是制动，让人感觉很舒服！还有些司机，开车的时候一大脚油一大脚刹车，让车上的乘客十分不舒服，左摇右晃，甚至使人晕车~~为什么会有此区别呢？原因就在“刹车”上面！那么开车的时候到底该如何踩刹车，才能保证车子开得又稳又省油呢？一起来看</t>
  </si>
  <si>
    <t>开车出门前 最好先检查这5个地方说到开车，肯定所有的车主朋友们都有不同的感觉。汽车行驶在路上，各种各样的路况都会发生，各种未知的因素在等待着我们。开车并不是握住方向盘系好安全带就万事大吉的事情，有很多事情需要我们多加注意。不仅是在行驶中的路况需要我们注意，在车子启动之前，我们更是要注意车况，只有把车</t>
  </si>
  <si>
    <t>很多车主开车时都有一些小毛病，比如经常摆弄车上的按钮、不停地换电台、左顾右盼等，这些不良习惯看起来不起眼，其实稍不注意就可能酿成大祸。习惯一：匆忙上车开车即走错误表现：很多车主用车时，经常是非常匆忙地把车门打开，发动车辆就走，其实这样做已经埋下了隐患。正确行为：每次开门上车后，充分的安全检查是非常必</t>
  </si>
  <si>
    <t>2020/02/10 10:11:00</t>
  </si>
  <si>
    <t>开车时注意纠正不良习惯 规避危险很多车主开车时都有一些小毛病，比如经常摆弄车上的按钮、不停地换电台、左顾右盼等，这些不良习惯看起来不起眼，其实稍不注意就可能酿成大祸。习惯一：匆忙上车开车即走错误表现：很多车主用车时，经常是非常匆忙地把车门打开，发动车辆就走，其实这样做已经埋下了隐患。正确行为：每次开</t>
  </si>
  <si>
    <t>不管是新手司机还是老司机，在用车习惯方面多多少少都会有一些习惯性错误。新手司机因为驾驶经验少，对汽车使用手册也没有认真的阅读过，出现驾驶陋习的概率非常之高。而一些所谓的“老司机”因为对汽车使用的理解还停留在多年以前，一些已经被淘汰的实用技巧、被证明为错误的驾驶习惯在他们身上依然没有被改正，而这些日积</t>
  </si>
  <si>
    <t>2020/02/10 10:10:00</t>
  </si>
  <si>
    <t>这10大用车陋习 看看你中了几枪不管是新手司机还是老司机，在用车习惯方面多多少少都会有一些习惯性错误。新手司机因为驾驶经验少，对汽车使用手册也没有认真的阅读过，出现驾驶陋习的概率非常之高。而一些所谓的“老司机”因为对汽车使用的理解还停留在多年以前，一些已经被淘汰的实用技巧、被证明为错误的驾驶习惯在他</t>
  </si>
  <si>
    <t xml:space="preserve">　　在lawrence stroll以1.82亿英镑收购阿斯顿・马丁拉共达（aston martin lagonda，以下简称阿斯顿・马丁）16.7%的股份之后，阿斯顿・马丁向伦敦证券交易所提供了一份文件，文件中揭示了该品牌在2020年年内的新车计划。在2020年，阿斯顿・马丁将开始制造并交付v8 </t>
  </si>
  <si>
    <t>郝天正</t>
  </si>
  <si>
    <t>2020/02/10 10:08:00</t>
  </si>
  <si>
    <t>在lawrence stroll以1.82亿英镑收购阿斯顿·马丁拉共达（aston martin lagonda，以下简称阿斯顿·马丁）16.7%的股份之后，阿斯顿·马丁向伦敦证券交易所提供了一份文件，文件中揭示了该品牌在2020年年内的新车计划。在2020年，阿斯顿·马丁将开始制造并交付v8 va</t>
  </si>
  <si>
    <t>戴姆勒传扩削支力度裁减1.5万雇员德国《商报》(Handelsblatt)引述消息人士称，制造豪华名车平治(奔驰)品牌而闻名的戴姆勒(Daimler)计划裁减1.5万雇员，以削减成本。该公司去年11月披露，有意于2022年底前裁减至少1万雇员，以削减14亿欧罗成本。不过，根据《商报》报道，戴姆勒可能</t>
  </si>
  <si>
    <t>2020/02/10 10:07:00</t>
  </si>
  <si>
    <t>德国《商报》(Handelsblatt)引述消息人士称，制造豪华名车平治(奔驰)品牌而闻名的戴姆勒(Daimler)计划裁减1.5万雇员，以削减成本。该公司去年11月披露，有意于2022年底前裁减至少1万雇员，以削减14亿欧罗成本。不过，根据《商报》报道，戴姆勒可能大幅增加被裁员工数量。消息人士表示</t>
  </si>
  <si>
    <t>降价是不可能的 饿死也不会降价马自达坚持自己的“高端合资路线”初显成效，2019年双马销量双双下滑，跌幅达16.37%。想要更高品牌定调必须要舍弃市场份额，低端品牌向豪华品牌迈进的过程中，市场份额在不断减少，同时售价以及利润率也在提升，马自达做无降价之争的产品表现力，终端市场执行力方面深度贯穿高层意</t>
  </si>
  <si>
    <t>2020/02/10 10:06:00</t>
  </si>
  <si>
    <t>　　日前，我们从相关渠道获知，凯迪拉克ct4将在今年第一季度正式上市。未来，ct4将与宝马3系/奔驰c级的标轴版车型展开竞争。据悉，ct4将全系搭载型号为lsy的2.0t发动机，并且每款车型都将提供全轮驱动版本，此外还将提供11种车身颜色及8种内饰配色供消费者选择。　　外观方面，全新凯迪拉克ct4依</t>
  </si>
  <si>
    <t>日前，我们从相关渠道获知，凯迪拉克ct4将在今年第一季度正式上市。未来，ct4将与宝马3系/奔驰c级的标轴版车型展开竞争。据悉，ct4将全系搭载型号为lsy的2.0t发动机，并且每款车型都将提供全轮驱动版本，此外还将提供11种车身颜色及8种内饰配色供消费者选择。    外观方面，全新凯迪拉克ct4依</t>
  </si>
  <si>
    <t>马自达第三财季利润暴跌76%受销量下滑与汇率变动的双重打击，日本汽车制造商马自达正承受着财务层面的巨大压力。日前，马自达对外公布了其第三财季（2019年10月1日至2019年12月31日）的业绩报告。数据显示，其当季批发销量为29.3万辆，同比下跌了8%，零售销量为37.6万辆，与去年同期基本持平；</t>
  </si>
  <si>
    <t>2020/02/10 10:05:00</t>
  </si>
  <si>
    <t>巴博斯版本的奔驰GT四门轿跑，各位看官喜欢吗？巴博斯版本的奔驰GT四门轿跑，各位看官喜欢吗？巴博斯版本的奔驰GT四门轿跑，各位看官喜欢吗？巴博斯版本的奔驰GT四门轿跑，各位看官喜欢吗？巴博斯版本的奔驰GT四门轿跑，各位看官喜欢吗？巴博斯版本的奔驰GT四门轿跑，各位看官喜欢吗？巴博斯版本的奔驰GT四门</t>
  </si>
  <si>
    <t>受销量下滑与汇率变动的双重打击，日本汽车制造商马自达正承受着财务层面的巨大压力。日前，马自达对外公布了其第三财季（2019年10月1日至2019年12月31日）的业绩报告。数据显示，其当季批发销量为29.3万辆，同比下跌了8%，零售销量为37.6万辆，与去年同期基本持平；营业收入为8497亿日元（约</t>
  </si>
  <si>
    <t>　　近日，根据上汽斯柯达官方信息：2020款昕锐及昕动部分配置和细节官图正式公布。两款新车均配备8英寸液晶显示屏、斑马智行互联系统（可支持ota）；同时，昕动还提供外观套件供消费者选择。　　新款昕锐/昕动配置信息　　科技配置很丰富　　斯柯达新款昕锐/昕动均配备：双炮筒式仪表盘、8英寸液晶显示屏、斑马</t>
  </si>
  <si>
    <t>近日，根据上汽斯柯达官方信息：2020款昕锐及昕动部分配置和细节官图正式公布。两款新车均配备8英寸液晶显示屏、斑马智行互联系统（可支持ota）；同时，昕动还提供外观套件供消费者选择。    新款昕锐/昕动配置信息    科技配置很丰富    斯柯达新款昕锐/昕动均配备：双炮筒式仪表盘、8英寸液晶显示</t>
  </si>
  <si>
    <t>巴博斯版本的奔驰GT四门轿跑巴博斯版本的奔驰GT四门轿跑，各位看官喜欢吗？巴博斯版本的奔驰GT四门轿跑，各位看官喜欢吗？巴博斯版本的奔驰GT四门轿跑，各位看官喜欢吗？巴博斯版本的奔驰GT四门轿跑，各位看官喜欢吗？巴博斯版本的奔驰GT四门轿跑，各位看官喜欢吗？巴博斯版本的奔驰GT四门轿跑，各位看官喜欢</t>
  </si>
  <si>
    <t>日前，来自德国的改装厂商Keyvany推出了一款改装后的兰博基尼Urus，车身大量采用了碳纤维组件，使得这款车型比原厂车的重量下降了41公斤，前轮胎规格为295，后轮胎规格为355，并采用24吋轮毂，车身采用鲜艳的黄色涂装和碳纤维空气动力学套件，内饰也采用了鲜艳的黄色并辅以大量的真皮。在性能上，Ke</t>
  </si>
  <si>
    <t>2020/02/10 10:04:00</t>
  </si>
  <si>
    <t>大黄蜂来袭 Keyvany改装兰博基尼Urus日前，来自德国的改装厂商Keyvany推出了一款改装后的兰博基尼Urus，车身大量采用了碳纤维组件，使得这款车型比原厂车的重量下降了41公斤，前轮胎规格为295，后轮胎规格为355，并采用24吋轮毂，车身采用鲜艳的黄色涂装和碳纤维空气动力学套件，内饰也采</t>
  </si>
  <si>
    <t>去长安福特的4S店看车，偶遇全新的F150猛禽。猛禽和旁边的锐界一比可真的霸气太多了，仅仅气势已是完全压制。当然了，猛禽除了不提供7座，比锐界ST更强的地方还有很多。猛禽长宽高为5910x2192x1992mm，轴距达到惊人的3708mm。相比之下，锐界ST的“三围”是4878x1925x1770m</t>
  </si>
  <si>
    <t>2020/02/10 10:03:00</t>
  </si>
  <si>
    <t>福特F150猛禽太大太霸气了去长安福特的4S店看车，偶遇全新的F150猛禽。猛禽和旁边的锐界一比可真的霸气太多了，仅仅气势已是完全压制。当然了，猛禽除了不提供7座，比锐界ST更强的地方还有很多。猛禽长宽高为5910x2192x1992mm，轴距达到惊人的3708mm。相比之下，锐界ST的“三围”是4</t>
  </si>
  <si>
    <t>JPP 20的基础是牧马人Unlimited Sport S，涂成海洋蓝色或白色，并由您选择的三种可用发动机提供动力，包括涡轮增压四缸，V-6或EcoDiesel。标配了一些关键选项，包括技术，安全性，牵引和重型电气套件，以及自动变速器。在增加任何Mopar档或其他工厂选装件之前，入门2.0升涡轮增</t>
  </si>
  <si>
    <t>2020/02/10 10:02:00</t>
  </si>
  <si>
    <t>一般来说，进口豪车对于我们普通消费者来说都是比较奢侈的存在，毕竟"进口"就代表了品质和格调，贵一点也在情理之中，所以我们买车一般都不会选择进口豪车。当然也不是买不起，而是没有必要。不过要是有一款进口豪车的价格是我们可以承担的，那么相信不少人还是非常愿意购买的，特别是这款进口豪车甚至还不到二十万，我们</t>
  </si>
  <si>
    <t>进口豪车不到二十万 抄底林肯MKZ手慢库存没了一般来说，进口豪车对于我们普通消费者来说都是比较奢侈的存在，毕竟"进口"就代表了品质和格调，贵一点也在情理之中，所以我们买车一般都不会选择进口豪车。当然也不是买不起，而是没有必要。不过要是有一款进口豪车的价格是我们可以承担的，那么相信不少人还是非常愿意购</t>
  </si>
  <si>
    <t>Jeep牧马人官方改装作品限量发售JPP 20的基础是牧马人Unlimited Sport S，涂成海洋蓝色或白色，并由您选择的三种可用发动机提供动力，包括涡轮增压四缸，V-6或EcoDiesel。标配了一些关键选项，包括技术，安全性，牵引和重型电气套件，以及自动变速器。在增加任何Mopar档或其他</t>
  </si>
  <si>
    <t>2018年1月，拜腾展示了自己的首款概念车，2019年法兰克福车展，基于此概念车打造的M-Byte正式亮相。至此，这台酝酿许久的纯电动车终于揭开了量产定型的外观内饰设计。过去对这台车有各种猜测，如今拜腾一一给出了答案，可能有些人认为那块贯穿中控台的大屏不会出现在量产车上，但现在看它得到了保留。那么还</t>
  </si>
  <si>
    <t>2020/02/10 10:01:00</t>
  </si>
  <si>
    <t>48英寸大屏确认量产 概念车90%设计被保留2018年1月，拜腾展示了自己的首款概念车，2019年法兰克福车展，基于此概念车打造的M-Byte正式亮相。至此，这台酝酿许久的纯电动车终于揭开了量产定型的外观内饰设计。过去对这台车有各种猜测，如今拜腾一一给出了答案，可能有些人认为那块贯穿中控台的大屏不会</t>
  </si>
  <si>
    <t>日产汽车在俄罗斯的1月份销量比去年同期下降1%俄罗斯汽车统计网2020年2月9日报道，据欧洲商业协议的统计数据，日产汽车在俄罗斯1月份共销售4938台汽车，比去年同期销量减少1%。这样，日产占据俄罗斯所有汽车品牌销量的第八名，其在俄罗斯的市场份额为4.8%。其中在日产所有车型中，X－Trail成为最</t>
  </si>
  <si>
    <t>2020/02/10 10:00:00</t>
  </si>
  <si>
    <t>俄罗斯汽车统计网2020年2月9日报道，据欧洲商业协议的统计数据，日产汽车在俄罗斯1月份共销售4938台汽车，比去年同期销量减少1%。这样，日产占据俄罗斯所有汽车品牌销量的第八名，其在俄罗斯的市场份额为4.8%。其中在日产所有车型中，X－Trail成为最畅销的车型，共销售2073台，增长31%。第二</t>
  </si>
  <si>
    <t>[懂车帝原创 产品] 近日，凯迪拉克全尺寸SUV新一代Escalade（凯雷德）在美国洛杉矶正式发布。新车外观内饰采用全新设计，在海外配备6.2升V8和3.0升六缸涡轮增压柴油发动机。新车将于今年夏季在美国率先上市，后续有望引入中国市场。作为参考，国内在售的凯雷德售价为148.8万元，搭载6.2升V</t>
  </si>
  <si>
    <t>2020/02/10 09:59:00</t>
  </si>
  <si>
    <t>新能源汽车普及率越来越高，特别是纯电动车型，有着更高的能效，但不少消费者对其的续航问题一直有很大的疑问，随着技术的发展，目前大部分车型都能达到450km以上的续航，这对于大部分家用，代步需求的消费者来说，已经能满足需求。作为全球最大的汽车制造厂之一的丰田，早段时间推出了第二代Mirai量产版的官图，</t>
  </si>
  <si>
    <t>氢燃料电池是新能源领域的方向新能源汽车普及率越来越高，特别是纯电动车型，有着更高的能效，但不少消费者对其的续航问题一直有很大的疑问，随着技术的发展，目前大部分车型都能达到450km以上的续航，这对于大部分家用，代步需求的消费者来说，已经能满足需求。作为全球最大的汽车制造厂之一的丰田，早段时间推出了第</t>
  </si>
  <si>
    <t>凯迪拉克全新凯雷德正式发布[懂车帝原创 产品] 近日，凯迪拉克全尺寸SUV新一代Escalade（凯雷德）在美国洛杉矶正式发布。新车外观内饰采用全新设计，在海外配备6.2升V8和3.0升六缸涡轮增压柴油发动机。新车将于今年夏季在美国率先上市，后续有望引入中国市场。作为参考，国内在售的凯雷德售价为14</t>
  </si>
  <si>
    <t>美国媒体《消费者杂志》最近公布了2020汽车可靠性排行，其中的最可靠汽车品牌部分我们也看一下。排在第一位置的常年不是丰田就是雷萨了，这次果然是雷萨问鼎，可靠性得分81分。第二名也是日系，技术宅马自达，可靠性得分77分，品牌最可靠车型是马自达MX-5 Miata。第三名就是丰田了，美国银大爱的品牌，可</t>
  </si>
  <si>
    <t>2020/02/10 09:58:00</t>
  </si>
  <si>
    <t>美媒评选2020年最可靠十大汽车品牌美国媒体《消费者杂志》最近公布了2020汽车可靠性排行，其中的最可靠汽车品牌部分我们也看一下。排在第一位置的常年不是丰田就是雷萨了，这次果然是雷萨问鼎，可靠性得分81分。第二名也是日系，技术宅马自达，可靠性得分77分，品牌最可靠车型是马自达MX-5 Miata。第</t>
  </si>
  <si>
    <t>不同于现代的其他车型，菲斯塔是一辆融合了诸多流行元素并契合本土化需求的“中国特供”车型，而给予它的不仅仅承担起销量的重任，整个现代汽车能否实现品牌复兴全依仗在本土化战略之上。溜背式轿跑设计，1.6T爆发204马力，6.7秒破百赶超思域等标签全部附着在这辆“明星产品”之上。而刚上市3个月就突破万台销量</t>
  </si>
  <si>
    <t>2020/02/10 09:57:00</t>
  </si>
  <si>
    <t>6.7秒破百比肩思域 菲斯塔再次破万后为什么又不香了呢不同于现代的其他车型，菲斯塔是一辆融合了诸多流行元素并契合本土化需求的“中国特供”车型，而给予它的不仅仅承担起销量的重任，整个现代汽车能否实现品牌复兴全依仗在本土化战略之上。溜背式轿跑设计，1.6T爆发204马力，6.7秒破百赶超思域等标签全部附</t>
  </si>
  <si>
    <t>在国内新诞生的新势力汽车品牌中，小鹏汽车在新能源领域是进步最快的其中之一，截至目前，小鹏已经完成8轮融资，融资总额达到168亿元。另外，小鹏在2019年的销量也已经于日前公布，旗下小鹏G3在2019年累计销量达到16608辆，上险量为14191辆，这个成绩位列新势力造车第二位。今儿咱们就来聊一聊小鹏</t>
  </si>
  <si>
    <t>2020/02/10 09:56:00</t>
  </si>
  <si>
    <t>“国产帕拉梅拉”售价24万 续航650公里可有人买单在国内新诞生的新势力汽车品牌中，小鹏汽车在新能源领域是进步最快的其中之一，截至目前，小鹏已经完成8轮融资，融资总额达到168亿元。另外，小鹏在2019年的销量也已经于日前公布，旗下小鹏G3在2019年累计销量达到16608辆，上险量为14191辆，</t>
  </si>
  <si>
    <t>53万？这不是国产车吗，我还以为这车卖二三十万呢。当我把这辆几乎满配的蔚来ES6开回老家的时候，这是我很多亲戚的第一反应。尽管这不是我的车子，但很明显，如果把此刻的我换作一个蔚来车主的话，一定会因为被人低估而产生些许的失落。于是就有了今天我想要跟大家讨论的第一个问题。买辆电动车回家是否足够有面儿？奥</t>
  </si>
  <si>
    <t>2020/02/10 09:55:00</t>
  </si>
  <si>
    <t>开蔚来ES6回家过年 我发现了这些问题53万？这不是国产车吗，我还以为这车卖二三十万呢。当我把这辆几乎满配的蔚来ES6开回老家的时候，这是我很多亲戚的第一反应。尽管这不是我的车子，但很明显，如果把此刻的我换作一个蔚来车主的话，一定会因为被人低估而产生些许的失落。于是就有了今天我想要跟大家讨论的第一个</t>
  </si>
  <si>
    <t>日前，奥迪汽车官方宣布，2020款奥迪R8在澳洲市场正式上市，新车将推出四款车型可选，售价区间为295,000澳元-416,500澳元（约合人民币138.97万元-196.21万元）。据悉，2020款奥迪R8继续提供后驱和四驱版车型，并可在Coupe硬顶和Spyder敞篷两种车身形式间进行选择。新车</t>
  </si>
  <si>
    <t>2020/02/10 09:54:00</t>
  </si>
  <si>
    <t>Bronco是福特旗下的一款中型SUV车型，其车型定位也于诸多硬派SUV——Jeep牧马人、路虎卫士、丰田陆巡等车型较为相似。近日海外媒体曝光了一组福特全新Bronco双门版车型谍照图，新车预计将于今年年内首发亮相，并计划在明年4月上市开售。    动力方面，新车将搭载2.3T以及2.7T两款涡轮增</t>
  </si>
  <si>
    <t>　　Bronco是福特旗下的一款中型SUV车型，其车型定位也于诸多硬派SUV――Jeep牧马人、路虎卫士、丰田陆巡等车型较为相似。近日海外媒体曝光了一组福特全新Bronco双门版车型谍照图，新车预计将于今年年内首发亮相，并计划在明年4月上市开售。　　动力方面，新车将搭载2.3T以及2.7T两款涡轮增</t>
  </si>
  <si>
    <t>售价约合人民币138.97-196.21万元 2020款奥迪R8上市日前，奥迪汽车官方宣布，2020款奥迪R8在澳洲市场正式上市，新车将推出四款车型可选，售价区间为295,000澳元-416,500澳元（约合人民币138.97万元-196.21万元）。据悉，2020款奥迪R8继续提供后驱和四驱版车型</t>
  </si>
  <si>
    <t>自从大众Arteon（国内的一汽-大众CC）上市以来，其销量可以用黯淡来形容。近日，大众汽车产品营销和战略高级副总裁海因·谢弗（Hein Schafer）在芝加哥车展的一次媒体会议上表示，Arteon在美国市场的月销量仅仅超过400台。海因·谢弗承认，目前的营销策略对Arteon来说并不利。“如果您</t>
  </si>
  <si>
    <t>2020/02/10 09:53:00</t>
  </si>
  <si>
    <t>年底将迎小改款 旅行版或已不远 曝大众Arteon最新消息自从大众Arteon（国内的一汽-大众CC）上市以来，其销量可以用黯淡来形容。近日，大众汽车产品营销和战略高级副总裁海因·谢弗（Hein Schafer）在芝加哥车展的一次媒体会议上表示，Arteon在美国市场的月销量仅仅超过400台。海因·</t>
  </si>
  <si>
    <t>马路上见到的十代三厢思域十车九改，许多车迷那无处安放的躁动之心在这台车上找到了归宿，但这代TYPE-R并没有三厢版推出，终归差点意思。东风本田在沉寂了两年之后，终于要将“更TYPE-R”的两厢版实现国产，你的改装费准备好了吗？在汽车赛事运动最疯狂的上世纪中后期，日本的赛车也十分令人神往，千匹神机数不</t>
  </si>
  <si>
    <t>2020/02/10 09:52:00</t>
  </si>
  <si>
    <t>日前，我们从外媒获得了一组福特Bronco（野马）的效果图。从图片来看，新车保留了源自上世纪60年代第一代福特Bronco的经典圆形大灯，并将提供蓝、绿、橙、灰四种车身颜色。图片来源：motor1.com图片来源：motor1.com作为福特在近些年重启的一款硬派SUV，最新一代福特Bronco将拥</t>
  </si>
  <si>
    <t>终于等到你 两厢思域就要来了马路上见到的十代三厢思域十车九改，许多车迷那无处安放的躁动之心在这台车上找到了归宿，但这代TYPE-R并没有三厢版推出，终归差点意思。东风本田在沉寂了两年之后，终于要将“更TYPE-R”的两厢版实现国产，你的改装费准备好了吗？在汽车赛事运动最疯狂的上世纪中后期，日本的赛车</t>
  </si>
  <si>
    <t>福特Bronco效果图曝光日前，我们从外媒获得了一组福特Bronco（野马）的效果图。从图片来看，新车保留了源自上世纪60年代第一代福特Bronco的经典圆形大灯，并将提供蓝、绿、橙、灰四种车身颜色。图片来源：motor1.com图片来源：motor1.com作为福特在近些年重启的一款硬派SUV，最</t>
  </si>
  <si>
    <t>日产汽车中国区宣布由于受到中国传统春节假期提前和新型冠状病毒影响，其包含乘用车和轻型商用车在内的1月销量为118,143台，同比下降11.8%。    东风日产、东风启辰、东风汽车股份有限公司和郑州日产的销量在经历连续四个月反弹后，均出现下滑。    东风汽车有限旗下乘用车事业板块（包括东风日产和东</t>
  </si>
  <si>
    <t>2020/02/10 09:51:00</t>
  </si>
  <si>
    <t>　　日产汽车中国区宣布由于受到中国传统春节假期提前和新型冠状病毒影响，其包含乘用车和轻型商用车在内的1月销量为118,143台，同比下降11.8%。　　东风日产、东风启辰、东风汽车股份有限公司和郑州日产的销量在经历连续四个月反弹后，均出现下滑。　　东风汽车有限旗下乘用车事业板块（包括东风日产和东风启</t>
  </si>
  <si>
    <t>赵石林</t>
  </si>
  <si>
    <t>　　在这次疫情的影响下，很多城市公共交通不便，城际、县级班车停运，滴滴等网约车服务受限。你是否因为上述问题而烦恼，是否也开始考虑拥有一辆属于自己的车呢？那么对于个人甚至是全家的第一辆车要怎么选呢？首先是实用性好，空间要大，驾乘舒适，能满足全家老少的需求。然后动力不能差，要有一定驾驶乐趣。最后是可靠性</t>
  </si>
  <si>
    <t xml:space="preserve">很多车主都会遇到一个问题，那就是同一品牌同一款车，为什么自己开车比别人油耗高出一大截呢？    其实，这个问题的主要原因是与平时的驾驶习惯有关，铁一般的事实证明，一个人开车长期保持不好的驾驶习惯势必要比良好的驾驶习惯要费油很多    那快来和小编一起看看，下面这几个不良的驾驶习惯，你占几个呢？   </t>
  </si>
  <si>
    <t>2020/02/10 09:49:00</t>
  </si>
  <si>
    <t>　　很多车主都会遇到一个问题，那就是同一品牌同一款车，为什么自己开车比别人油耗高出一大截呢？　　其实，这个问题的主要原因是与平时的驾驶习惯有关，铁一般的事实证明，一个人开车长期保持不好的驾驶习惯势必要比良好的驾驶习惯要费油很多　　那快来和小编一起看看，下面这几个不良的驾驶习惯，你占几个呢？　　No.</t>
  </si>
  <si>
    <t>　　当飞行家价格公布之后，一度有很多人开始说，它60多万的价格，比bba标杆产品起价就低了10万多元，谁还会买奔驰gle和宝马x5。　　事实证明，过了这么长时间，gle和x5该卖的好还是卖的好，把这三款车放在一起，让我来推荐的话，我还是会推荐奔驰gle。原因有仨，首先是设计水准高，豪华感更强，内饰质</t>
  </si>
  <si>
    <t>汽车看似是一个封闭很好的“密室”，但实际上，它也是用零件拼起来的，做工再好也会有缝隙。    于是有朋友问了，既然不是滴水不漏，那下大雨的时候，为啥只要关上车门车窗就一滴水也漏不进来了？其实并不是水进不来，而是排水孔的功劳！    今天，小编就来给大家聊聊汽车的主要的排水孔都在哪里，还有最重要的就是</t>
  </si>
  <si>
    <t>2020/02/10 09:48:00</t>
  </si>
  <si>
    <t>　　汽车看似是一个封闭很好的“密室”，但实际上，它也是用零件拼起来的，做工再好也会有缝隙。　　于是有朋友问了，既然不是滴水不漏，那下大雨的时候，为啥只要关上车门车窗就一滴水也漏不进来了？其实并不是水进不来，而是排水孔的功劳！　　今天，小编就来给大家聊聊汽车的主要的排水孔都在哪里，还有最重要的就是，该</t>
  </si>
  <si>
    <t>据宝钢股份官方发布的信息称，宝钢股份就近期公司基本情况及是否受到疫情影响等问题召开了电话会议。宝钢股份董秘王娟在会议中表示，“之前预计汽车产业全年平稳或小幅增长，现在看很难实现正增长，可能是个位数的负增长。”    对于今年汽车市场的发展形势，王娟认为，春节长假期间多数汽车生产厂家正常停产，但若未来</t>
  </si>
  <si>
    <t>2020/02/10 09:46:00</t>
  </si>
  <si>
    <t>　　据宝钢股份官方发布的信息称，宝钢股份就近期公司基本情况及是否受到疫情影响等问题召开了电话会议。宝钢股份董秘王娟在会议中表示，“之前预计汽车产业全年平稳或小幅增长，现在看很难实现正增长，可能是个位数的负增长。”　　对于今年汽车市场的发展形势，王娟认为，春节长假期间多数汽车生产厂家正常停产，但若未来</t>
  </si>
  <si>
    <t>刘宏龙</t>
  </si>
  <si>
    <t>　　“走自己的路让别人无路可走”这句话，我觉得是对奥迪a4l近况最真实的写照！之所以这么说是因为在app中，只要你将查询维度筛选为“豪华品牌”&amp;“中型轿车”，就能看到奥迪a4l在“销量榜”、“指数榜”和“降价榜”三个重要榜单中都牢牢占据了第一的位置。　　这三个榜单背后反映的是，奥迪a4l的产品力、在</t>
  </si>
  <si>
    <t xml:space="preserve">　　索纳塔是现代旗下的一款中型轿车，作为曾经国内中型车市场中的姣姣者，其销量与大众帕萨特/迈腾、本田雅阁、丰田凯美瑞等车型不相上下。近日海外媒体曝光了一组现代全新十代索纳塔油电混动版车型图片，新车已在芝加哥车展上正式亮相，并有望在今年年内上市开售。　　动力方面，新车将搭载一台2.0l自然吸气发动机 </t>
  </si>
  <si>
    <t>2020/02/10 09:45:00</t>
  </si>
  <si>
    <t xml:space="preserve">索纳塔是现代旗下的一款中型轿车，作为曾经国内中型车市场中的姣姣者，其销量与大众帕萨特/迈腾、本田雅阁、丰田凯美瑞等车型不相上下。近日海外媒体曝光了一组现代全新十代索纳塔油电混动版车型图片，新车已在芝加哥车展上正式亮相，并有望在今年年内上市开售。    动力方面，新车将搭载一台2.0l自然吸气发动机 </t>
  </si>
  <si>
    <t>从2019年12月8日，官方通报首例不明原因肺炎患者发病到今日，已经过去了整整两个月的时间。这场突如其来的疫情引发全国关注的同时，也在深刻的影响着汽车产业。    眼下，已经临近大多数企业复工的日子，就疫情当下的2020年车市对全国工商联汽车经销商商会会长李金勇进行了访谈，围绕疫情对汽车市场及产业链</t>
  </si>
  <si>
    <t>2020/02/10 09:44:00</t>
  </si>
  <si>
    <t>　　从2019年12月8日，官方通报首例不明原因肺炎患者发病到今日，已经过去了整整两个月的时间。这场突如其来的疫情引发全国关注的同时，也在深刻的影响着汽车产业。　　眼下，已经临近大多数企业复工的日子，就疫情当下的2020年车市对全国工商联汽车经销商商会会长李金勇进行了访谈，围绕疫情对汽车市场及产业链</t>
  </si>
  <si>
    <t>如何看待奔驰a 35 l amg这车    35系列的推出，使得amg的产品家族再一次丰富，相应的，35系列也理所应当的成为入门级的amg车型，获得日常用车和运动操控之间的平衡，便成为这款a 35 l amg传递给用户的最大产品特征。    之前在知乎上有一条评论，细品之后还是决定发上来让大家再次消</t>
  </si>
  <si>
    <t>　　如何看待奔驰a 35 l amg这车　　35系列的推出，使得amg的产品家族再一次丰富，相应的，35系列也理所应当的成为入门级的amg车型，获得日常用车和运动操控之间的平衡，便成为这款a 35 l amg传递给用户的最大产品特征。　　之前在知乎上有一条评论，细品之后还是决定发上来让大家再次消化一</t>
  </si>
  <si>
    <t>　　提及本田思域type r想必大家对这款车型也并不陌生，该款车型为本田旗下的一款高性能紧凑级轿车，并与大众高尔夫r定位相似。近日海外媒体曝光了一组本田新款思域type r车型官图，新车对车身多项方面进行了升级优化，并计划在今年冬季率先登陆海外市场开售。　　动力方面，新车将继续搭载一台2.0t涡轮增</t>
  </si>
  <si>
    <t>提及本田思域type r想必大家对这款车型也并不陌生，该款车型为本田旗下的一款高性能紧凑级轿车，并与大众高尔夫r定位相似。近日海外媒体曝光了一组本田新款思域type r车型官图，新车对车身多项方面进行了升级优化，并计划在今年冬季率先登陆海外市场开售。    动力方面，新车将继续搭载一台2.0t涡轮增</t>
  </si>
  <si>
    <t>　　一汽奥迪的规划显示，2020年将推出23款新车型，包括中期改款a4l、全新一代a3、中期改款q7、q3 sportback、旅行车以及以rs q8为代表的奥迪s/rs运动车系列，其中全新一代a3、中期改款a4l两款走量轿车以及q3 sportback最值得关注。价格方面，最便宜的全新换代的a3起</t>
  </si>
  <si>
    <t>2020/02/10 09:43:00</t>
  </si>
  <si>
    <t>一汽奥迪的规划显示，2020年将推出23款新车型，包括中期改款a4l、全新一代a3、中期改款q7、q3 sportback、旅行车以及以rs q8为代表的奥迪s/rs运动车系列，其中全新一代a3、中期改款a4l两款走量轿车以及q3 sportback最值得关注。价格方面，最便宜的全新换代的a3起售价</t>
  </si>
  <si>
    <t>　　看到标题有人会问，一个即将退市的车型还有人关注么？其实不然，笔者2月6日做了一场关于mkc车型的专场直播，没想到在互动留言中会有这么多关心mkc车型的网友。为此今天特意用图文内容的方式详解在直播中网友最关心的几个问题。　　话不多说，先抛出问题！　　价格优惠如何？哪款性价比高？推荐哪个配置？　　内</t>
  </si>
  <si>
    <t>2020/02/10 09:42:00</t>
  </si>
  <si>
    <t>图片来源：戴姆勒官网　　德国媒体援引戴姆勒公司消息人士报道，该公司正在加大其成本削减措施的力度，计划最多裁员1.5万人。　　去年11月，戴姆勒公司宣布，将在2022年之前至少裁员1万人，将人力成本降低大约14亿欧元（约15亿美元）。德国媒体最新的报道称，该公司实际裁员人数和成本削减数额将大大超过此前</t>
  </si>
  <si>
    <t>2020/02/10 09:39:00</t>
  </si>
  <si>
    <t>图片来源：戴姆勒官网    德国媒体援引戴姆勒公司消息人士报道，该公司正在加大其成本削减措施的力度，计划最多裁员1.5万人。    去年11月，戴姆勒公司宣布，将在2022年之前至少裁员1万人，将人力成本降低大约14亿欧元（约15亿美元）。德国媒体最新的报道称，该公司实际裁员人数和成本削减数额将大大</t>
  </si>
  <si>
    <t>奥迪预计将会在2020年的日内瓦车展上首发全新大改款第4代奥迪a3，新车在车身尺寸和轴距上做出一定提升，在引入国内之后或将搭载1.4t涡轮增压发动机。    这次公布的轻度伪装车型是作为海外媒体试驾专用，海外媒体在报导中提到所测试的这辆车是新一代奥迪s3 sportback，动力依然源自2.0t发动</t>
  </si>
  <si>
    <t>　　奥迪预计将会在2020年的日内瓦车展上首发全新大改款第4代奥迪a3，新车在车身尺寸和轴距上做出一定提升，在引入国内之后或将搭载1.4t涡轮增压发动机。　　这次公布的轻度伪装车型是作为海外媒体试驾专用，海外媒体在报导中提到所测试的这辆车是新一代奥迪s3 sportback，动力依然源自2.0t发动</t>
  </si>
  <si>
    <t>　　根据百度疫情实时大数据报告显示，截至2月9日15：00，我国新型冠状病毒肺炎确诊病例已经高达37251例，疑似病例已经达到28942例。这场由武汉爆发出来的严重疫情，正处于非常关键的防控时期。　　在病毒来势汹汹的特殊时期，许多车主仍然不可避免地会使用汽车出行，然而待在车里就一定安全吗？外出能不能</t>
  </si>
  <si>
    <t>2020/02/10 09:38:00</t>
  </si>
  <si>
    <t>　　根据沃尔沃汽车发布的最新财报，2019年，沃尔沃汽车的营收同比上涨8.5%至2,741.17亿瑞典克朗；年度营业利润为143亿瑞典克朗，同比微增0.8%；现金流为116亿瑞典克朗，较2018年翻倍。　　相比来看，下半年的业绩表现要优于上半年，利润和利润率都实现了同比增长，尤其是第四季度。去年最后</t>
  </si>
  <si>
    <t>根据沃尔沃汽车发布的最新财报，2019年，沃尔沃汽车的营收同比上涨8.5%至2,741.17亿瑞典克朗；年度营业利润为143亿瑞典克朗，同比微增0.8%；现金流为116亿瑞典克朗，较2018年翻倍。    相比来看，下半年的业绩表现要优于上半年，利润和利润率都实现了同比增长，尤其是第四季度。去年最后</t>
  </si>
  <si>
    <t>根据百度疫情实时大数据报告显示，截至2月9日15：00，我国新型冠状病毒肺炎确诊病例已经高达37251例，疑似病例已经达到28942例。这场由武汉爆发出来的严重疫情，正处于非常关键的防控时期。    在病毒来势汹汹的特殊时期，许多车主仍然不可避免地会使用汽车出行，然而待在车里就一定安全吗？外出能不能</t>
  </si>
  <si>
    <t>图片来源：丰田官网    据外媒报道，丰田汽车2月6日表示，该公司将在2021年之前将其墨西哥新工厂的产量提升到每年10万辆。该公司计划将其Tocoma中型皮卡的生产工作从美国转移到墨西哥，而墨西哥新厂产能的提升完成该计划重要的一步。    丰田表示，该工厂位于瓜纳华托州中部。在达到其最大产能之后，</t>
  </si>
  <si>
    <t>2020/02/10 09:37:00</t>
  </si>
  <si>
    <t xml:space="preserve">近日，有国外媒体曝光了一组大众高尔夫gti tcr谍照。新一代高尔夫gti的外观设计将延续普通版高尔夫的造型。    但是在细节方面，高尔夫gti和普通版本还是有一些差别的，比如前进气格栅的gti徽标、提供18、19英寸合金轮毂以及镀铬样式的前保险杠。车尾部分为双边单出的排气布局，运动感更强烈。  </t>
  </si>
  <si>
    <t>图片来源：丰田官网　　据外媒报道，丰田汽车2月6日表示，该公司将在2021年之前将其墨西哥新工厂的产量提升到每年10万辆。该公司计划将其Tocoma中型皮卡的生产工作从美国转移到墨西哥，而墨西哥新厂产能的提升完成该计划重要的一步。　　丰田表示，该工厂位于瓜纳华托州中部。在达到其最大产能之后，与一座靠</t>
  </si>
  <si>
    <t>　　近日，有国外媒体曝光了一组大众高尔夫gti tcr谍照。新一代高尔夫gti的外观设计将延续普通版高尔夫的造型。　　但是在细节方面，高尔夫gti和普通版本还是有一些差别的，比如前进气格栅的gti徽标、提供18、19英寸合金轮毂以及镀铬样式的前保险杠。车尾部分为双边单出的排气布局，运动感更强烈。　　</t>
  </si>
  <si>
    <t>近日，有国外媒体曝光了一组新款奔驰s级渲染图。其最大的变化是在前格栅位置，比现款车型角度更加直立、突出。根据奔驰最新的设计语言，s级的大灯也变得更加犀利了。另外前保险杠也有不少亮点，尤其是蜂窝状的设计很是前卫。    虽然没有尾部和车内的渲染图，但是我们大致了解到，新款奔驰s级将采用仪表盘和中控娱乐</t>
  </si>
  <si>
    <t>2020/02/10 09:36:00</t>
  </si>
  <si>
    <t>　　近日，有国外媒体曝光了一组新款奔驰s级渲染图。其最大的变化是在前格栅位置，比现款车型角度更加直立、突出。根据奔驰最新的设计语言，s级的大灯也变得更加犀利了。另外前保险杠也有不少亮点，尤其是蜂窝状的设计很是前卫。　　虽然没有尾部和车内的渲染图，但是我们大致了解到，新款奔驰s级将采用仪表盘和中控娱乐</t>
  </si>
  <si>
    <t>近日，有国外媒体曝光了一组新款路虎揽胜运动版的谍照。日前曾经有消息称，路虎揽胜运动版将在今年春天进行小改款，增加电动引擎，这应该是路虎最后一次在揽胜运动上做文章。    从谍照中可以看出新车在外观方面基本延续了现款揽胜运动的大体造型，这也是这个系列车型多年传承的特色亮点。前脸部分，新车上格栅的尺寸似</t>
  </si>
  <si>
    <t>2020/02/10 09:35:00</t>
  </si>
  <si>
    <t>　　近日，有国外媒体曝光了一组新款路虎揽胜运动版的谍照。日前曾经有消息称，路虎揽胜运动版将在今年春天进行小改款，增加电动引擎，这应该是路虎最后一次在揽胜运动上做文章。　　从谍照中可以看出新车在外观方面基本延续了现款揽胜运动的大体造型，这也是这个系列车型多年传承的特色亮点。前脸部分，新车上格栅的尺寸似</t>
  </si>
  <si>
    <t>投诉编号：【446739】  投诉时间： 2020-02-10 09:34  投诉品牌： 长城汽车  投诉车系： 哈弗H6 Coupe  投诉车型： 2016款 1.5T 手动 两驱精英型        投诉内容  刹车泵漏油车目前还在4S店，他们说目前还不能换，说还没有完全复工现在换不了。哈弗H6</t>
  </si>
  <si>
    <t>2020/02/10 09:34:00</t>
  </si>
  <si>
    <t>　　诸位看官，疫情仍在继续，请务必做好防护隔离，能在家就别出去，这不仅是对自己负责，更是为整个社会做贡献。说回正题，MPV目前仍是一种相对小众的车型分类，但是随着国内市场的不断成熟，越来越多的用户（尤其是家庭用户）正在不断地接受这种功能属性非常强的车型。尤其是对于上有老，下有小的中、青年消费者来说，</t>
  </si>
  <si>
    <t>2020/02/10 09:33:00</t>
  </si>
  <si>
    <t>日产汽车中国区宣布由于受到中国传统春节假期 提前和新型冠状病毒影响，其包含乘用车和轻型商用车在内的 1 月销量为 118,143 台，同 比下降 11.8%。    东风日产、东风启辰、东风汽车股份有限公司和郑州日产的销量在经历连续四个月反弹 后，均出现下滑。东风英菲尼迪的销量较去年同期相比有所增长</t>
  </si>
  <si>
    <t>诸位看官，疫情仍在继续，请务必做好防护隔离，能在家就别出去，这不仅是对自己负责，更是为整个社会做贡献。说回正题，MPV目前仍是一种相对小众的车型分类，但是随着国内市场的不断成熟，越来越多的用户（尤其是家庭用户）正在不断地接受这种功能属性非常强的车型。尤其是对于上有老，下有小的中、青年消费者来说，MP</t>
  </si>
  <si>
    <t>　　汽车电动化已是大势所趋，在这方面，国家政策大力扶植的我国走在了世界前列，各类大小电动车已经屡见不鲜。而对于“bba”这些“传统豪强”们来说，转向就没有那么容易了，因此我们会发现它们的反应似乎比我们想象的慢了一些。随着时间来到了2020年，离bba当初各自宣布得纯电战略布局越来越近了，各家都要推出</t>
  </si>
  <si>
    <t>彭佳禾</t>
  </si>
  <si>
    <t>汽车电动化已是大势所趋，在这方面，国家政策大力扶植的我国走在了世界前列，各类大小电动车已经屡见不鲜。而对于“bba”这些“传统豪强”们来说，转向就没有那么容易了，因此我们会发现它们的反应似乎比我们想象的慢了一些。随着时间来到了2020年，离bba当初各自宣布得纯电战略布局越来越近了，各家都要推出多款</t>
  </si>
  <si>
    <t>　　日产汽车中国区宣布由于受到中国传统春节假期 提前和新型冠状病毒影响，其包含乘用车和轻型商用车在内的 1 月销量为 118,143 台，同 比下降 11.8%。　　东风日产、东风启辰、东风汽车股份有限公司和郑州日产的销量在经历连续四个月反弹 后，均出现下滑。东风英菲尼迪的销量较去年同期相比有所增长</t>
  </si>
  <si>
    <t>图片来源：菲亚特官网　　据外媒报道，2月6日，新型冠状病毒逐渐威胁全球汽车行业。FCA警告称，如果中国零部件供应商无法恢复生产，该公司一家欧洲工厂可能会在2-4周内关闭。　　FCA首席执行官Mike Manley在2月6日表示，如果零部件无法在未来2-4周内到达，该公司有可能会被迫关闭一家欧洲装配工</t>
  </si>
  <si>
    <t>2020/02/10 09:32:00</t>
  </si>
  <si>
    <t>图片来源：菲亚特官网    据外媒报道，2月6日，新型冠状病毒逐渐威胁全球汽车行业。FCA警告称，如果中国零部件供应商无法恢复生产，该公司一家欧洲工厂可能会在2-4周内关闭。    FCA首席执行官Mike Manley在2月6日表示，如果零部件无法在未来2-4周内到达，该公司有可能会被迫关闭一家欧</t>
  </si>
  <si>
    <t>图片来源：宝马官网　　据外媒报道，宝马将在其位于德国南部Dingolfing的工厂提升电动汽车传动系统部件的产能。　　这是宝马在欧洲规模最大的工厂，该工厂每年生产大约30万辆轿车，其中也包括插电式混合动力车型。该工厂拥有大约1.8万名员工。　　宝马集团发动机和E-Drives生产负责人Michael</t>
  </si>
  <si>
    <t>2020/02/10 09:31:00</t>
  </si>
  <si>
    <t>图片来源：宝马官网    据外媒报道，宝马将在其位于德国南部Dingolfing的工厂提升电动汽车传动系统部件的产能。    这是宝马在欧洲规模最大的工厂，该工厂每年生产大约30万辆轿车，其中也包括插电式混合动力车型。该工厂拥有大约1.8万名员工。    宝马集团发动机和E-Drives生产负责人M</t>
  </si>
  <si>
    <t>　　据外媒报道，根据最新数据显示，林肯品牌在美国的残值率已经超过了德系三大豪华汽车品牌宝马、奔驰及奥迪。这意味着林肯品牌通过持之以恒的产品战略以及在销售和市场方面的精细化运营，已经取得了具有里程碑意义的重要成功。　　Cox Automotive数据显示，今年1月，林肯品牌残值率与宝马、奔驰及奥迪相比</t>
  </si>
  <si>
    <t>2020/02/10 09:30:00</t>
  </si>
  <si>
    <t>据外媒报道，根据最新数据显示，林肯品牌在美国的残值率已经超过了德系三大豪华汽车品牌宝马、奔驰及奥迪。这意味着林肯品牌通过持之以恒的产品战略以及在销售和市场方面的精细化运营，已经取得了具有里程碑意义的重要成功。    Cox Automotive数据显示，今年1月，林肯品牌残值率与宝马、奔驰及奥迪相比</t>
  </si>
  <si>
    <t>　　“2月10日开始，我们将为2月17日及以后恢复正常运营做准备。”丰田汽车目前在中国有12个整车及零部件工厂，原本计划停产到2月9日。　　截至目前，新型肺炎疫情带来的零部件短缺，已经为数家车企带来挑战。2月6日，菲亚特克莱斯勒汽车公司（FCA）表示，如果中国零部件供应商不能尽快恢复生产，欧洲一工厂</t>
  </si>
  <si>
    <t>2020/02/10 09:29:00</t>
  </si>
  <si>
    <t>“2月10日开始，我们将为2月17日及以后恢复正常运营做准备。”丰田汽车目前在中国有12个整车及零部件工厂，原本计划停产到2月9日。    截至目前，新型肺炎疫情带来的零部件短缺，已经为数家车企带来挑战。2月6日，菲亚特克莱斯勒汽车公司（FCA）表示，如果中国零部件供应商不能尽快恢复生产，欧洲一工厂</t>
  </si>
  <si>
    <t>　　2020年可以说是小钢炮车迷最期待的一年，因为在今年中将有两款很具有代表性，同时又颇受众多车迷期待的产品将要上市，它们分别就是第八代高尔夫和思域两厢。但现在刚刚来到2月份，两款车的上市日期看起来还有些遥远，那些持币代购的钢炮迷们的等待是否值得呢？除了这两款车，还有什么好的车型推荐吗？本篇文章我们</t>
  </si>
  <si>
    <t>2020年可以说是小钢炮车迷最期待的一年，因为在今年中将有两款很具有代表性，同时又颇受众多车迷期待的产品将要上市，它们分别就是第八代高尔夫和思域两厢。但现在刚刚来到2月份，两款车的上市日期看起来还有些遥远，那些持币代购的钢炮迷们的等待是否值得呢？除了这两款车，还有什么好的车型推荐吗？本篇文章我们就来</t>
  </si>
  <si>
    <t>　　据外媒报道，特斯拉想要重新设计方向盘。据一份新专利申请所说，特斯拉正在研发一款基于方向盘的用户界面，而且该界面具备一系列新功能，包括取代换挡杆、各种触摸屏、触觉反馈功能等。特斯拉汽车的换挡需要用上安装在方向盘上的换挡杆，除卡车之外，该功能在乘用车上并不常见。现在看来，特斯拉可能会全部取消换挡杆。</t>
  </si>
  <si>
    <t>2020/02/10 09:28:00</t>
  </si>
  <si>
    <t xml:space="preserve">据外媒报道，特斯拉想要重新设计方向盘。据一份新专利申请所说，特斯拉正在研发一款基于方向盘的用户界面，而且该界面具备一系列新功能，包括取代换挡杆、各种触摸屏、触觉反馈功能等。特斯拉汽车的换挡需要用上安装在方向盘上的换挡杆，除卡车之外，该功能在乘用车上并不常见。现在看来，特斯拉可能会全部取消换挡杆。  </t>
  </si>
  <si>
    <t>图片来源：德克萨斯大学奥斯汀分校　　据外媒报道，目前大多数电动汽车都使用锂离子电池提供动力，但是锂电池的续航时间仍然很有限。未来，高镍层氧化物阴极材料将能够增长电动汽车的续航里程，实现更便宜、性能更高的锂离子电池。　　目前，大多数商用锂离子电池的电极之一都含有大量的钴。不过，钴很昂贵，储量也不是特别</t>
  </si>
  <si>
    <t>2020/02/10 09:27:00</t>
  </si>
  <si>
    <t>图片来源：德克萨斯大学奥斯汀分校    据外媒报道，目前大多数电动汽车都使用锂离子电池提供动力，但是锂电池的续航时间仍然很有限。未来，高镍层氧化物阴极材料将能够增长电动汽车的续航里程，实现更便宜、性能更高的锂离子电池。    目前，大多数商用锂离子电池的电极之一都含有大量的钴。不过，钴很昂贵，储量也</t>
  </si>
  <si>
    <t>雷诺一名发言人表示，“由于地理位置接近，釜山工厂最容易受到中国供应链中断的影响。”据了解，该工厂生产日产SUV车型Rogue，雷诺和日产正就供应中断密切合作。由于新型肺炎疫情的影响，雷诺于2月3日表示，根据中国政府的指导意见，其武汉工厂的停产时间将延长至2月13日。    受此次新型肺炎疫情的影响，</t>
  </si>
  <si>
    <t>2020/02/10 09:25:00</t>
  </si>
  <si>
    <t>　　雷诺一名发言人表示，“由于地理位置接近，釜山工厂最容易受到中国供应链中断的影响。”据了解，该工厂生产日产SUV车型Rogue，雷诺和日产正就供应中断密切合作。由于新型肺炎疫情的影响，雷诺于2月3日表示，根据中国政府的指导意见，其武汉工厂的停产时间将延长至2月13日。　　受此次新型肺炎疫情的影响，</t>
  </si>
  <si>
    <t>据路透社报道，上海市人民政府新闻发言人徐威周六表示，位于上海自贸试验区临港新片区的特斯拉上海工厂，定于2月10号复工生产。    徐威称，“针对特斯拉等重点企业的生产特点和复工中遇到的实际困难，临港新片区管委会将全力协调，帮助企业尽快投入正常生产。”    上海市政府还表示，将要求银行以优惠利率向小</t>
  </si>
  <si>
    <t>　　随着全民健康意识的觉醒，空气质量的好坏，正成为人们购车时的重要标准之一，在高端车领域更是如此。而提起空气质量，广汽传祺是一个不得不提的品牌，低VOC无异味的乘坐体验可以说是有口皆碑。作为广汽传祺的旗舰SUV车型， 2020款传祺GS8在车内空气质量方面，表现更是出色。除在采用环保材料内饰从源头杜</t>
  </si>
  <si>
    <t>2020/02/10 09:23:00</t>
  </si>
  <si>
    <t>　　面对特殊时期的车内消毒工作，我们可千万不能马虎，这不是简单喷一些84消毒水就可以的。今天小编跟大家说说我们车内消毒的药剂应该如何选择~　　随着新型冠状病毒感染的肺炎确诊病例越来越多，消毒成了人们关注的话题。冠状病毒属于有包膜的亲脂类病毒。就目前的认知来说，它也是最容易杀灭的微生物。　　对于新型冠</t>
  </si>
  <si>
    <t>随着全民健康意识的觉醒，空气质量的好坏，正成为人们购车时的重要标准之一，在高端车领域更是如此。而提起空气质量，广汽传祺是一个不得不提的品牌，低VOC无异味的乘坐体验可以说是有口皆碑。作为广汽传祺的旗舰SUV车型， 2020款传祺GS8在车内空气质量方面，表现更是出色。除在采用环保材料内饰从源头杜绝V</t>
  </si>
  <si>
    <t>面对特殊时期的车内消毒工作，我们可千万不能马虎，这不是简单喷一些84消毒水就可以的。今天小编跟大家说说我们车内消毒的药剂应该如何选择~    随着新型冠状病毒感染的肺炎确诊病例越来越多，消毒成了人们关注的话题。冠状病毒属于有包膜的亲脂类病毒。就目前的认知来说，它也是最容易杀灭的微生物。    对于新</t>
  </si>
  <si>
    <t>　　随着汽车消费群体越发年轻化，不少80、90后消费者在买车的时候不像老一辈人那样，把实用性放在首位，追求个性和颜值才是年轻人的购车态度，这也让许多厂家转变了造车思路。要说轿跑SUV的盛行还要追溯到宝马X6的诞生，如此成功的案例让不少自主品牌看到了商机，就比如今天的两位主角哈弗F7x和吉利星越。这两</t>
  </si>
  <si>
    <t>2020/02/10 09:22:00</t>
  </si>
  <si>
    <t>　　面对疫情的发生，很多车企日前都推出了对于经销商的“关怀”政策，以缓解经销商所面临的经营压力。奇瑞控股捷途的整体策略是松绑各方面政策的管理要求，以指导帮扶商家为核心。对此，捷途推出了五大政策支持，包括目标减免、财务减负、销售赋能、经营补贴、线上支持。　　 一、目标减免：　　2月湖北省经销商免除考核</t>
  </si>
  <si>
    <t>　　中国汽车市场整体销量已经连续两年下滑，在刚刚过去的2019年豪华品牌整体销量成为唯一保持正增长的细分市场。大家收入的不断提高，自然有了换辆豪华品牌车型的想法，今天就给大家盘点一下2020年将上市的6款重磅豪华品牌轿车，有大家熟知的bba（宝马、奔驰、奥迪）还有近几年蹿红的凯迪拉克，当然中国豪华品</t>
  </si>
  <si>
    <t>面对疫情的发生，很多车企日前都推出了对于经销商的“关怀”政策，以缓解经销商所面临的经营压力。奇瑞控股捷途的整体策略是松绑各方面政策的管理要求，以指导帮扶商家为核心。对此，捷途推出了五大政策支持，包括目标减免、财务减负、销售赋能、经营补贴、线上支持。    一、目标减免：    2月湖北省经销商免除考</t>
  </si>
  <si>
    <t>中国汽车市场整体销量已经连续两年下滑，在刚刚过去的2019年豪华品牌整体销量成为唯一保持正增长的细分市场。大家收入的不断提高，自然有了换辆豪华品牌车型的想法，今天就给大家盘点一下2020年将上市的6款重磅豪华品牌轿车，有大家熟知的bba（宝马、奔驰、奥迪）还有近几年蹿红的凯迪拉克，当然中国豪华品牌红</t>
  </si>
  <si>
    <t>　　广汽蔚来首款车型HYCAN 007在2019年12月底发布，新车交付将会在今年4月开始。对于很多打算购买电动车的消费者来说，集合了广汽新能源和蔚来技术的HYCAN 007会是不错的选择之一。由于受到新型冠状病毒肺炎疫情的影响，这段时间我们也不好出门去展厅看车，那么就由我先为大家梳理一下HYCAN</t>
  </si>
  <si>
    <t>2020/02/10 09:20:00</t>
  </si>
  <si>
    <t>2020年1月份，受春节和疫情的双重影响，汽车企业想要赢得开门红是很艰难的一件事情。日前，我们获得了江铃汽车的产销快报。其中，江铃皮卡单月销量为2909辆，同比下滑4.87%。    目前，疫情的扩散对我国各行各业都带来了较大的影响，而江铃汽车也正积极投入到防疫的工作中。江铃汽车全力战“疫”，对于在</t>
  </si>
  <si>
    <t>　　2020年1月份，受春节和疫情的双重影响，汽车企业想要赢得开门红是很艰难的一件事情。日前，我们获得了江铃汽车的产销快报。其中，江铃皮卡单月销量为2909辆，同比下滑4.87%。　　目前，疫情的扩散对我国各行各业都带来了较大的影响，而江铃汽车也正积极投入到防疫的工作中。江铃汽车全力战“疫”，对于在</t>
  </si>
  <si>
    <t>　　吉姆・法利（jim farley）将担任首席运营官，负责福特汽车全球市场和汽车业务运营，福特智能移动出行以及自动驾驶业务。他将向公司总裁兼首席执行官韩恺特（jim hackett）汇报。　　唐浩泰（hau thai-tang）将在产品、服务和客户体验等领域承担更重要的领导职责，他在继续领导产品研</t>
  </si>
  <si>
    <t>吉姆·法利（jim farley）将担任首席运营官，负责福特汽车全球市场和汽车业务运营，福特智能移动出行以及自动驾驶业务。他将向公司总裁兼首席执行官韩恺特（jim hackett）汇报。    唐浩泰（hau thai-tang）将在产品、服务和客户体验等领域承担更重要的领导职责，他在继续领导产品研</t>
  </si>
  <si>
    <t>相信在芝加哥车展亮相的2020款日产frontier再次让美国消费者们失望了，不过今天我要给大家带来一个好消息，目前我们从网络上获取到了2021款日产frontier的渲染图，渲染图中新车采用了全新外观，日产frontier摆脱老旧形象终于指日可待了。    新车此次发布的渲染图为一排半版本，并采用</t>
  </si>
  <si>
    <t>2020/02/10 09:19:00</t>
  </si>
  <si>
    <t>　　相信在芝加哥车展亮相的2020款日产frontier再次让美国消费者们失望了，不过今天我要给大家带来一个好消息，目前我们从网络上获取到了2021款日产frontier的渲染图，渲染图中新车采用了全新外观，日产frontier摆脱老旧形象终于指日可待了。　　新车此次发布的渲染图为一排半版本，并采用</t>
  </si>
  <si>
    <t>　　随着国内新能源市场的快速发展，北京现代在2019年便推出领动phev和昂希诺ev两款新能源车型。有媒体从北京现代官方获悉，另一款重磅车型菲斯塔纯电动将于2月18日正式上市，综合续航里程490km，相比大众朗逸纯电、日产轩逸・纯电等竞品更具优势。目前自主品牌也上升至中高端纯电动市场，去抢占合资领域</t>
  </si>
  <si>
    <t>随着国内新能源市场的快速发展，北京现代在2019年便推出领动phev和昂希诺ev两款新能源车型。有媒体从北京现代官方获悉，另一款重磅车型菲斯塔纯电动将于2月18日正式上市，综合续航里程490km，相比大众朗逸纯电、日产轩逸·纯电等竞品更具优势。目前自主品牌也上升至中高端纯电动市场，去抢占合资领域的份</t>
  </si>
  <si>
    <t>针对新型冠状病毒肺炎疫情的发展，此前江淮汽车通过武汉市红十字会捐赠1000万元现金。近日，有媒体从江淮汽车官方了解到，2月9月，江淮汽车向安徽省疫情防控应急指挥部再捐现金500万元，助力打赢疫情防控阻击战，累计捐赠现金1500万元，并向奋战在阻击疫情一线的医护人员致以崇高的敬意。    除捐赠现金之</t>
  </si>
  <si>
    <t>2020/02/10 09:18:00</t>
  </si>
  <si>
    <t>福特Bronco（野马）的复活牵动着无数车迷的神经，可以肯定的是，天下车友“盼硬派SUV久矣”。不过在Bronco正式问世之前，让我们先来看看福特的“南美牧马人”。近日，福特发布了一组Troller TX4的官图，新车定位于一台硬派越野车，且仅供应南美市场。据悉，Troller TX4是Trolle</t>
  </si>
  <si>
    <t>不到30万 引进国内必火？福特南美专属“牧马人”了解一下福特Bronco（野马）的复活牵动着无数车迷的神经，可以肯定的是，天下车友“盼硬派SUV久矣”。不过在Bronco正式问世之前，让我们先来看看福特的“南美牧马人”。近日，福特发布了一组Troller TX4的官图，新车定位于一台硬派越野车，且仅</t>
  </si>
  <si>
    <t>自2014年本田缤智引入国内市场销售（海外称vezel），并成为广汽本田旗下的首款suv车型，也是继夜歌、飞度之后，广汽本田倒入的第三款全球战略车型。缤智定位为小型suv，直接锁定竞争对手大众途铠、丰田c-hr、斯柯达柯米克等同级别车型。近日海外媒体曝光了本田全新一代缤智车型信息，预计新车起售价为2</t>
  </si>
  <si>
    <t>　　自2014年本田缤智引入国内市场销售（海外称vezel），并成为广汽本田旗下的首款suv车型，也是继夜歌、飞度之后，广汽本田倒入的第三款全球战略车型。缤智定位为小型suv，直接锁定竞争对手大众途铠、丰田c-hr、斯柯达柯米克等同级别车型。近日海外媒体曝光了本田全新一代缤智车型信息，预计新车起售价</t>
  </si>
  <si>
    <t>高运生</t>
  </si>
  <si>
    <t>2020/02/10 09:17:00</t>
  </si>
  <si>
    <t>小伙伴们大家好，我是小辛。最近虽然疫情不断地牵动着我们的心，但生活总还是要继续的。身边也有不少朋友打算年后买车。这个时候我了解到有一种可以买车省不少钱的方法，那就是公户抵税。可能有很多朋友一听觉得跟自己关系不大，但实际上这种方法即便你名下没公司，也可以通过其他方法受用的。接下来我就来跟大家好好聊聊，</t>
  </si>
  <si>
    <t>目前，众泰汽车旗下共有5款suv车型在售，分别是t300小强版、t300、t500、全新t600和t700。我们从众泰汽车官方获悉：公司将于2020年推出至少2款全新产品，其中中型suv众泰b21的整体尺寸比当前热销的a 级suv长安cs75 plus更大。     众泰b21     主要竞品：比</t>
  </si>
  <si>
    <t>　　目前，众泰汽车旗下共有5款suv车型在售，分别是t300小强版、t300、t500、全新t600和t700。我们从众泰汽车官方获悉：公司将于2020年推出至少2款全新产品，其中中型suv众泰b21的整体尺寸比当前热销的a 级suv长安cs75 plus更大。　　 众泰b21　　 主要竞品：比亚迪</t>
  </si>
  <si>
    <t>4S店买车怎样拿到最低价？不用托人找关系小伙伴们大家好，我是小辛。最近虽然疫情不断地牵动着我们的心，但生活总还是要继续的。身边也有不少朋友打算年后买车。这个时候我了解到有一种可以买车省不少钱的方法，那就是公户抵税。可能有很多朋友一听觉得跟自己关系不大，但实际上这种方法即便你名下没公司，也可以通过其他</t>
  </si>
  <si>
    <t>福特F150猛禽太大太霸气了 7座SUV锐界一比就是个弟弟去长安福特的4S店看车，偶遇全新的F150猛禽。猛禽和旁边的锐界一比可真的霸气太多了，仅仅气势已是完全压制。当然了，猛禽除了不提供7座，比锐界ST更强的地方还有很多。猛禽长宽高为5910x2192x1992mm，轴距达到惊人的3708mm。相</t>
  </si>
  <si>
    <t>2020/02/10 09:16:00</t>
  </si>
  <si>
    <t>2019年国内车市整体还是呈下滑趋势的，除了德系车、日系车、法系车和自主车企的一线品牌外，包括美系车、韩系车在内的大部分车企销量下滑的都比较严重。根据乘联会公布的2019年国内车企的销量情况，跌幅超过50%的车企就有20多家，其中大多是自主汽车品牌。合资汽车品牌中，只有长安福特、神龙汽车、雷诺和长安</t>
  </si>
  <si>
    <t>2020/02/10 09:15:00</t>
  </si>
  <si>
    <t>我们从湖南省环境生态厅获悉，目前已受理天际汽车长沙分公司年产6万辆新能源乘用车项目环境影响报告。该项目计划在2021年建成投产，拟生产车型为me7兄弟suv车型（内部代号为ic321），新车定位a 级suv。从车身尺寸数据以及产品定位来看，这款全新suv上市后将竞争比亚迪宋pro ev等同级别车型。</t>
  </si>
  <si>
    <t>　　我们从湖南省环境生态厅获悉，目前已受理天际汽车长沙分公司年产6万辆新能源乘用车项目环境影响报告。该项目计划在2021年建成投产，拟生产车型为me7兄弟suv车型（内部代号为ic321），新车定位a 级suv。从车身尺寸数据以及产品定位来看，这款全新suv上市后将竞争比亚迪宋pro ev等同级别车</t>
  </si>
  <si>
    <t>销量暴跌亏损严重 这些汽车品牌 优惠再多也不要买（上）2019年国内车市整体还是呈下滑趋势的，除了德系车、日系车、法系车和自主车企的一线品牌外，包括美系车、韩系车在内的大部分车企销量下滑的都比较严重。根据乘联会公布的2019年国内车企的销量情况，跌幅超过50%的车企就有20多家，其中大多是自主汽车品</t>
  </si>
  <si>
    <t>比保时捷718有格调 新款捷豹F-TYPE解析肩负复兴捷豹跑车的重任，F-TYPE自2012年发布至今，已走过了8年的生命周期。如今，中期改款车型在2020芝加哥车展首发亮相，尽管不是换代，但是它却给我们带来了诸多惊喜。“TYPE”的意义在常人来看，字母type的中文含义代表了类型、种类，它仅是一种</t>
  </si>
  <si>
    <t>2020/02/10 09:14:00</t>
  </si>
  <si>
    <t>bronco是福特旗下的一款中型suv车型，其全新一代车型谍照以及渲染图已于此前陆续曝光。近日海外媒体再次曝光了一组福特全新bronco五门版车型渲染图，新车预计将与双门版车型同于今年晚些时候上市开售。    动力力方面，新车将与两门版车型共同搭载了2.3t、2.7t涡轮增压发动机，最大功率分别为2</t>
  </si>
  <si>
    <t>2020/02/10 09:13:00</t>
  </si>
  <si>
    <t>目前，全国范围内的疫情仍相当严峻。而处于疫情重灾区的湖北武汉，为东风汽车集团总部所在。在此特殊时期，我们关注武汉疫情防控的同时，也在持续关注各大汽车集团旗下产业和产能布局，此次盖世汽车编辑部经过多方数据搜寻，对东风汽车集团旗下车企布局及产能规划进行梳理，以供行业参考！欢迎持续关注！    关于东风汽</t>
  </si>
  <si>
    <t>　　目前，全国范围内的疫情仍相当严峻。而处于疫情重灾区的湖北武汉，为东风汽车集团总部所在。在此特殊时期，我们关注武汉疫情防控的同时，也在持续关注各大汽车集团旗下产业和产能布局，此次盖世汽车编辑部经过多方数据搜寻，对东风汽车集团旗下车企布局及产能规划进行梳理，以供行业参考！欢迎持续关注！　　 关于东风</t>
  </si>
  <si>
    <t>“在杭州这座悠然自得的城市，生活节奏没有那么紧凑，一切的环境对于爱车的人来说也相对友好。偶尔约三五个车友，一起在工作之余逛一圈西湖，相约在钱塘江边坐着一边吹吹风一边吹吹牛，在装了新零件后相约到天荒坪拍照…生活美滋滋。”“故事还要从买一台奥迪开始折腾小配件开始说起，我是16年9月份买的乞丐版三厢A3，</t>
  </si>
  <si>
    <t>近日，全球战略咨询公司alixpartners发布了一份关于自动驾驶汽车的消费者调研报告。调研结果显示，大部分消费者都愿意放弃拥有私人汽车，而对robotaxi（自动驾驶出租车）有着很高的接受度。百度自动驾驶出租车    据alixpartners预计，2019-2023年，全球汽车产业将投入750</t>
  </si>
  <si>
    <t>一辆乞丐奥迪A3的改装进化之路“在杭州这座悠然自得的城市，生活节奏没有那么紧凑，一切的环境对于爱车的人来说也相对友好。偶尔约三五个车友，一起在工作之余逛一圈西湖，相约在钱塘江边坐着一边吹吹风一边吹吹牛，在装了新零件后相约到天荒坪拍照…生活美滋滋。”“故事还要从买一台奥迪开始折腾小配件开始说起，我是1</t>
  </si>
  <si>
    <t>2019全球卖最好的10款车 国内都有卖 你买对了吗？2020年鼠年驾到，万事开头难，2020年的开局确实太难，本可以开着新车、豪车拜年串门的日子，却成了大家集体“做月子”的日子。望着窗外的天空，想要猛吸一口新鲜的空气，闭上双眼是该对过去的2019年做一个复盘，也是为2020年重新出发理清思路与规划</t>
  </si>
  <si>
    <t>　　bronco是福特旗下的一款中型suv车型，其全新一代车型谍照以及渲染图已于此前陆续曝光。近日海外媒体再次曝光了一组福特全新bronco五门版车型渲染图，新车预计将与双门版车型同于今年晚些时候上市开售。　　动力力方面，新车将与两门版车型共同搭载了2.3t、2.7t涡轮增压发动机，最大功率分别为2</t>
  </si>
  <si>
    <t>2019年1-12月，全新日产天籁累计销售97872辆，相比2018年同比下滑13.15%。平心而论，在大环境遇冷和产品刚更新换代的情况下，取得近10万辆的年销量实属不易。不过，比销量寒心的恐怕还是全新日产天籁推2.0T车型并不被大部分消费者认可，至少从数据来看2.0L天籁可远远比2.0T天籁更受欢</t>
  </si>
  <si>
    <t>2020/02/10 09:12:00</t>
  </si>
  <si>
    <t>奔驰g级（简称大g）在众多越野车迷心中都有着举足轻重的地位，但让人瞠目结舌的售价、加价、后期保养等经济支出，可以说将不少消费者拒之千里之外。不过随着北京越野bj80的推出，许多车迷也看到了触摸到“大g”的捷径。造型高度还原，方盒子的霸气也被展现的淋漓尽致，重要的是其拥有十分合理的价格。今年是北京越野</t>
  </si>
  <si>
    <t>穷人买不起富人看不上 全新日产天籁推2.0T就是个错误的决定2019年1-12月，全新日产天籁累计销售97872辆，相比2018年同比下滑13.15%。平心而论，在大环境遇冷和产品刚更新换代的情况下，取得近10万辆的年销量实属不易。不过，比销量寒心的恐怕还是全新日产天籁推2.0T车型并不被大部分消费</t>
  </si>
  <si>
    <t>　　奔驰g级（简称大g）在众多越野车迷心中都有着举足轻重的地位，但让人瞠目结舌的售价、加价、后期保养等经济支出，可以说将不少消费者拒之千里之外。不过随着北京越野bj80的推出，许多车迷也看到了触摸到“大g”的捷径。造型高度还原，方盒子的霸气也被展现的淋漓尽致，重要的是其拥有十分合理的价格。今年是北京</t>
  </si>
  <si>
    <t>据外媒报道，一项由日本国立材料科学研究所（NIMS）研究人员进行的新研究显示，在固态电解质中，用喷雾沉积法制备商业硅纳米颗粒，然后仅用此种硅纳米颗粒制成的硅阳极展示出优异的电极性能，而此前只在用蒸发法制备薄膜电极才展示了如此优异的性能。此种方法是一种极具成本效益的大气技术，该研究结果表明，大规模且以</t>
  </si>
  <si>
    <t>2020/02/10 09:11:00</t>
  </si>
  <si>
    <t>在去年4月份英国举行的车展上，丰田发布了一款全新proace city商用客货两用车型，并预计在今年年初率先在欧洲市场上市，该车型丰富了丰田在mpv和轿车之间的空缺。近日丰田在西班牙市场上市了全新proace city车型，新车海外售价区间为13,922—35,050欧元（约10.7—26.9万人民</t>
  </si>
  <si>
    <t>法拉利FXX K有多高傲？生产32台车，每台250万欧元（约合人民币1951.28万元，今年已经涨到3000万），买了它的车主还不能开回家，就算你拿回家了，没有法拉利的团队给你做调校，依旧开不了，你只能乖乖交由法拉利托管和保养。而且还有许多不成文的规定，比如价格已经不是最重要的环节，而是你必须是法拉</t>
  </si>
  <si>
    <t>“国产帕拉梅拉”售价24万 续航650公里可有人买单？在国内新诞生的新势力汽车品牌中，小鹏汽车在新能源领域是进步最快的其中之一，截至目前，小鹏已经完成8轮融资，融资总额达到168亿元。另外，小鹏在2019年的销量也已经于日前公布，旗下小鹏G3在2019年累计销量达到16608辆，上险量为14191辆</t>
  </si>
  <si>
    <t>法拉利最傲娇的超跑，应该就是它了法拉利FXX K有多高傲？生产32台车，每台250万欧元（约合人民币1951.28万元，今年已经涨到3000万），买了它的车主还不能开回家，就算你拿回家了，没有法拉利的团队给你做调校，依旧开不了，你只能乖乖交由法拉利托管和保养。而且还有许多不成文的规定，比如价格已经不</t>
  </si>
  <si>
    <t>　　据外媒报道，一项由日本国立材料科学研究所（NIMS）研究人员进行的新研究显示，在固态电解质中，用喷雾沉积法制备商业硅纳米颗粒，然后仅用此种硅纳米颗粒制成的硅阳极展示出优异的电极性能，而此前只在用蒸发法制备薄膜电极才展示了如此优异的性能。此种方法是一种极具成本效益的大气技术，该研究结果表明，大规模</t>
  </si>
  <si>
    <t>　　在去年4月份英国举行的车展上，丰田发布了一款全新proace city商用客货两用车型，并预计在今年年初率先在欧洲市场上市，该车型丰富了丰田在mpv和轿车之间的空缺。近日丰田在西班牙市场上市了全新proace city车型，新车海外售价区间为13,922―35,050欧元（约10.7―26.9万</t>
  </si>
  <si>
    <t>　　近日海外媒体提前透露了雷萨克斯日内瓦车展阵容信息，该品牌将在3月3日开幕的日内瓦车展上亮相旗下三款车型，分别为雷克萨斯ux 300e紧凑级纯电suv、lc 500敞篷跑车和lf-30纯电动概念车，其中ux 300e将于今年下半年登陆欧洲市场销售，而lc 500敞篷跑车也已在海外部分国家上市开售。</t>
  </si>
  <si>
    <t>2020/02/10 09:10:00</t>
  </si>
  <si>
    <t xml:space="preserve">近日海外媒体提前透露了雷萨克斯日内瓦车展阵容信息，该品牌将在3月3日开幕的日内瓦车展上亮相旗下三款车型，分别为雷克萨斯ux 300e紧凑级纯电suv、lc 500敞篷跑车和lf-30纯电动概念车，其中ux 300e将于今年下半年登陆欧洲市场销售，而lc 500敞篷跑车也已在海外部分国家上市开售。  </t>
  </si>
  <si>
    <t>10种开车当天吃了不能开车的药 车主要谨记前段时间，杭州拱墅区轻纺桥附近发生一起车子冲入运河的离奇车祸。驾驶员说，开车前吃了3颗思诺思(安眠药)。“‘酒驾’的危害逐渐深入人心了，其实‘药驾’同样猛于虎。”杭州市红十字会医院张相彩药师说，思诺思属于第三代镇静催眠药物，具有口服吸收良好，半小时达血液浓度</t>
  </si>
  <si>
    <t>前段时间，杭州拱墅区轻纺桥附近发生一起车子冲入运河的离奇车祸。驾驶员说，开车前吃了3颗思诺思(安眠药)。“‘酒驾’的危害逐渐深入人心了，其实‘药驾’同样猛于虎。”杭州市红十字会医院张相彩药师说，思诺思属于第三代镇静催眠药物，具有口服吸收良好，半小时达血液浓度高峰，药物代谢排泄快的特点，这种药的半衰期</t>
  </si>
  <si>
    <t>在2019年汽车市场下滑的大势下，各大厂家在suv市场的竞争依旧火热，完善自身产品线的同时，进一步扩大市场份额。有媒体梳理出了6款即将在今年内进入市场的重磅合资suv，包括捷达vs7、长安马自达cx-30、广汽丰田威兰达、长安福特国产探险者、雪佛兰开拓者以及一汽大众smv。各新车在各自细分市场领域中</t>
  </si>
  <si>
    <t>　　在2019年汽车市场下滑的大势下，各大厂家在suv市场的竞争依旧火热，完善自身产品线的同时，进一步扩大市场份额。有媒体梳理出了6款即将在今年内进入市场的重磅合资suv，包括捷达vs7、长安马自达cx-30、广汽丰田威兰达、长安福特国产探险者、雪佛兰开拓者以及一汽大众smv。各新车在各自细分市场领</t>
  </si>
  <si>
    <t>　　目前疫情防控仍处于关键时期，为满足车主疫情期间的需求，奥迪针对买车、用车及维修保养的车主推出了一系列关爱措施。　　为保障车主疫情期间的服务权益，奥迪表示，凡奥迪会员账户内2020年1月1日-3月31日期间到期的代金券，有效期均延长至2020年6月30日；用户已购买且未到期的奥迪官方产品套餐合同期</t>
  </si>
  <si>
    <t>2020/02/10 09:09:00</t>
  </si>
  <si>
    <t>永不磨灭的情怀，这就是JDM现如今改装车爱好者越来越多，不管是德系日系还是美系甚至是国产车的改装越来越多。身边很多喜欢车的朋友，看到一台日系改装车，总会说：哇！这JDM的味道真对！对此，大家首先要知道什么是JDM。JDM即日本国内市场（Japanese domestic market）为日本国内市场</t>
  </si>
  <si>
    <t>开启路况查询 深度体验新功能微信升级5.1 版本后，小编发现微信公众平台增加了一个非常实用的新功能——微信路况。只需添加公众帐号“微信路况”即可。如果您每天都和我一样深受拥堵困扰，那就随我一同体验一下微信5.1的这个新功能吧!       功能一：语音查路况       打开微信路况，在输入模式下，</t>
  </si>
  <si>
    <t>坡中刹车失灵太可怕 学会自救很重要有车一族的朋友们都知道不论什么时候，在上下坡时遇到刹车失灵，这可能是很普通的事情，但是对于一些新手或者是首次遇到此种事情的驾驶员来说，肯定就会不知所措。       坡中刹车失灵太可怕学会自救很重要       为了新手车友们出行遇到上下坡刹车失灵的状况能够让新手车</t>
  </si>
  <si>
    <t>现如今改装车爱好者越来越多，不管是德系日系还是美系甚至是国产车的改装越来越多。身边很多喜欢车的朋友，看到一台日系改装车，总会说：哇！这JDM的味道真对！对此，大家首先要知道什么是JDM。JDM即日本国内市场（Japanese domestic market）为日本国内市场生产的车辆及其零配件，也有一</t>
  </si>
  <si>
    <t>无论你是一个汽车圈内人士还是一个对汽车知识一无所知的小白，你一定都知道一个广为流传的说法，那就是“日系车更保值”。事实上，这并不是大家对于日系车的误解，而是确实有这样的情况。那么为什么日系车这么保值呢？我们今天就来聊聊这个问题。当我们买二手车的时候我们都会看什么很多人在思考问题的时候很习惯站在自己的</t>
  </si>
  <si>
    <t>说到买SUV，很多人会想买四驱，其实北方的用户一般遇到雨雪天气多一些，买四驱车比较实用，南方用户大多数情况买两驱就够了。其实对于四驱而言，有偏公路行驶的四驱，也有偏越野的四驱系统，不能同一而论，今天就给大家盘点一下比较知名的几套四驱系统，你最喜欢哪款呢？宝马xDrive四驱系统随着时间的推移，宝马的</t>
  </si>
  <si>
    <t>停车闭窗开暖气不宜超一小时 一氧化碳作怪冬天，人们在停车等人或休息时，打开暖气取暖是再正常不过的事情了。然而近日，央视《是真的吗》节目却曝出停车闭窗开暖气可能会导致一氧化碳中毒的报道，令许多习惯在车上取暖的市民吓了一跳。那么，停车闭窗开暖气条件下，人是否真如央视所说的那样危险?又需要多久时间才能达到</t>
  </si>
  <si>
    <t>喜欢开四驱车？盘点一下知名的几个系统说到买SUV，很多人会想买四驱，其实北方的用户一般遇到雨雪天气多一些，买四驱车比较实用，南方用户大多数情况买两驱就够了。其实对于四驱而言，有偏公路行驶的四驱，也有偏越野的四驱系统，不能同一而论，今天就给大家盘点一下比较知名的几套四驱系统，你最喜欢哪款呢？宝马xDr</t>
  </si>
  <si>
    <t>为什么日系车这么保值呢？无论你是一个汽车圈内人士还是一个对汽车知识一无所知的小白，你一定都知道一个广为流传的说法，那就是“日系车更保值”。事实上，这并不是大家对于日系车的误解，而是确实有这样的情况。那么为什么日系车这么保值呢？我们今天就来聊聊这个问题。当我们买二手车的时候我们都会看什么很多人在思考问</t>
  </si>
  <si>
    <t>冬天，人们在停车等人或休息时，打开暖气取暖是再正常不过的事情了。然而近日，央视《是真的吗》节目却曝出停车闭窗开暖气可能会导致一氧化碳中毒的报道，令许多习惯在车上取暖的市民吓了一跳。那么，停车闭窗开暖气条件下，人是否真如央视所说的那样危险?又需要多久时间才能达到这个健康限值呢?扬子晚报记者进行了多方探</t>
  </si>
  <si>
    <t>微信升级5.1 版本后，小编发现微信公众平台增加了一个非常实用的新功能——微信路况。只需添加公众帐号“微信路况”即可。如果您每天都和我一样深受拥堵困扰，那就随我一同体验一下微信5.1的这个新功能吧!       功能一：语音查路况       打开微信路况，在输入模式下，点击语音按钮，直接语音录入想</t>
  </si>
  <si>
    <t>有车一族的朋友们都知道不论什么时候，在上下坡时遇到刹车失灵，这可能是很普通的事情，但是对于一些新手或者是首次遇到此种事情的驾驶员来说，肯定就会不知所措。       坡中刹车失灵太可怕学会自救很重要       为了新手车友们出行遇到上下坡刹车失灵的状况能够让新手车友们自己顺利解决，众悦学车网小编特</t>
  </si>
  <si>
    <t>目前疫情防控仍处于关键时期，为满足车主疫情期间的需求，奥迪针对买车、用车及维修保养的车主推出了一系列关爱措施。    为保障车主疫情期间的服务权益，奥迪表示，凡奥迪会员账户内2020年1月1日-3月31日期间到期的代金券，有效期均延长至2020年6月30日；用户已购买且未到期的奥迪官方产品套餐合同期</t>
  </si>
  <si>
    <t>　　“只要还有一滴油，省吃俭用不下楼……”在新型冠状病毒肺炎疫情蔓延全国、不出门即是与病毒“战斗”的当下，多家汽车将现阶段营销工作从线下向线上转移。近日，海马汽车也推出了“四线上、三上门”服务，旨在让用户可以足不出户购新车。　　其中“四线上”包括：线上购车，用户可以登录海马汽车官网、海马商城等，全方</t>
  </si>
  <si>
    <t>2020/02/10 09:08:00</t>
  </si>
  <si>
    <t>同样3缸机，为什么只有本田是香的？如果有一款轿车，能把大众朗逸从销量冠军的位置上拉下来，那么除了日产轩逸之外，一定还有别克英朗。只是在2018年，上汽通用的领导突然心血来潮，用“矫枉过正”的全系3缸机策略葬送了英朗的大好前程。受此影响，数据显示上汽通用汽车有限公司2019年（别克、雪佛兰、凯迪拉克）</t>
  </si>
  <si>
    <t>安全最重要 谈谈10个关乎安全驾驶的注意事项一辆金杯车在正常行驶，突然一个小孩从路边停放的车前面冲出来玩了一个鬼探头，金杯车司机没有注意到小孩的出现最后把小孩碾压在车轮下，造成悲剧。在这个事故中肇事车司机在行车中没有及时关注路两旁的情况，明知路两边有车停放导致视线不好并没有提高警惕。       作</t>
  </si>
  <si>
    <t>奔驰女遭抢劫事件启示 9条女性驾车安全军规小编总结了9条女性用户独自驾车出行时的注意事项，分享给广大女性车友，一定要多加防范，出入平安。       1、出行前检查随车证件。       外出远行之前，要对车辆仔细检查，确保车辆状态良好，记得带齐行驶证和驾驶证。备用钥匙要贴身携带，时刻不离身;关键证</t>
  </si>
  <si>
    <t>驾驶技巧有口诀 驾考拿证是小事汽车驾驶技术的的提高要靠自己多开多练，逐步积累经验。相信大家看了很多关于汽车驾驶技巧的文章或者视频来加深对汽车驾驶技巧的印象，对于一些新学员在刚学车时分不清动作要领和先后顺序，一上车不是忘了这动作就是忘了那动作。下面是众悦学车网小编给您总结一套汽车驾驶技巧的口诀，特别献</t>
  </si>
  <si>
    <t>近日，全国多地降雪实实在在的影响到了人们的生活，尤其是人多车多的北京。好在特殊时期大家都做到了尽量不外出，这才使得路况维持在较好水平。可如果是平时呢？除了换上雪地轮胎，什么驱动形式的车更适合在雪地驾驶呢？    老司机们的回答一定是：四轮驱动车型。    顾名思义，四轮驱动车型是指汽车前后轮都有动力</t>
  </si>
  <si>
    <t>一辆金杯车在正常行驶，突然一个小孩从路边停放的车前面冲出来玩了一个鬼探头，金杯车司机没有注意到小孩的出现最后把小孩碾压在车轮下，造成悲剧。在这个事故中肇事车司机在行车中没有及时关注路两旁的情况，明知路两边有车停放导致视线不好并没有提高警惕。       作为司机，平常我们开车的时候也特别注意一些行车</t>
  </si>
  <si>
    <t>汽车驾驶技术的的提高要靠自己多开多练，逐步积累经验。相信大家看了很多关于汽车驾驶技巧的文章或者视频来加深对汽车驾驶技巧的印象，对于一些新学员在刚学车时分不清动作要领和先后顺序，一上车不是忘了这动作就是忘了那动作。下面是众悦学车网小编给您总结一套汽车驾驶技巧的口诀，特别献给正要考驾照的准学员们，帮你轻</t>
  </si>
  <si>
    <t>小编总结了9条女性用户独自驾车出行时的注意事项，分享给广大女性车友，一定要多加防范，出入平安。       1、出行前检查随车证件。       外出远行之前，要对车辆仔细检查，确保车辆状态良好，记得带齐行驶证和驾驶证。备用钥匙要贴身携带，时刻不离身;关键证件，比如身份证等要有复印件，假如需要异地报</t>
  </si>
  <si>
    <t>“只要还有一滴油，省吃俭用不下楼……”在新型冠状病毒肺炎疫情蔓延全国、不出门即是与病毒“战斗”的当下，多家汽车将现阶段营销工作从线下向线上转移。近日，海马汽车也推出了“四线上、三上门”服务，旨在让用户可以足不出户购新车。    其中“四线上”包括：线上购车，用户可以登录海马汽车官网、海马商城等，全方</t>
  </si>
  <si>
    <t>如果有一款轿车，能把大众朗逸从销量冠军的位置上拉下来，那么除了日产轩逸之外，一定还有别克英朗。只是在2018年，上汽通用的领导突然心血来潮，用“矫枉过正”的全系3缸机策略葬送了英朗的大好前程。受此影响，数据显示上汽通用汽车有限公司2019年（别克、雪佛兰、凯迪拉克）销量为160万辆，同比下降18.8</t>
  </si>
  <si>
    <t>　　近日，全国多地降雪实实在在的影响到了人们的生活，尤其是人多车多的北京。好在特殊时期大家都做到了尽量不外出，这才使得路况维持在较好水平。可如果是平时呢？除了换上雪地轮胎，什么驱动形式的车更适合在雪地驾驶呢？　　老司机们的回答一定是：四轮驱动车型。　　顾名思义，四轮驱动车型是指汽车前后轮都有动力。可</t>
  </si>
  <si>
    <t>新手停车陋习不可取 分享三个注意事项对于不少刚刚拿牌上路的新手来说，往往将注意力放在驾驶技巧和爱车的维护保养上面，对于如何停车往往不太注意。殊不知，“机器没有用坏的，都是放坏的”，汽车也一样，如果不摒弃一些停车陋习，就可能加速车辆的静态磨损。本期就介绍一些停车的小技巧。       选位置：尽量避免</t>
  </si>
  <si>
    <t>2020/02/10 09:07:00</t>
  </si>
  <si>
    <t>这些不能有 冬季开车9大坏习惯汇总无论是新手还是老手，在开车的时候都会有一些坏习惯，这些习惯在驾驶过程中自己都注意不到，但是，时间长了对汽车会有一定程度的损害。尤其是在冬季，坏习惯还会对行车安全带来隐患。下面，让我们来看看车主们常见的冬季开车坏习惯。       　　一、强行开启雨刮       要</t>
  </si>
  <si>
    <t xml:space="preserve">多地大雪 交警提醒7招应对大雪天行车春节将至，多地大雪，路面变得更加湿滑，全省多地也普降雨雪，如果夜间持续降温，今天一早部分路段还会出现结冰情况。雨雪天高速路上也常伴大雾，能见度不好的情况下开车上路，大家除了不开快车、多留神之外，交警们教了7招“秘诀”保证行车安全。        出行之关键词   </t>
  </si>
  <si>
    <t>特殊时期还是有许多车主迫不得已要驾车出行或者载人出行。而事后的消毒工作则变为必不可少的一项，今天小编就给大家说说车内消毒要注意的几点~     一、物体表面消毒    1、对车内地面、车身内壁、司机方向盘、车门拉手、座位等部位要保持清洁。用含有效溴消毒液擦抹上述表面，每天一次。    2、座椅套应勤</t>
  </si>
  <si>
    <t>春节将至，多地大雪，路面变得更加湿滑，全省多地也普降雨雪，如果夜间持续降温，今天一早部分路段还会出现结冰情况。雨雪天高速路上也常伴大雾，能见度不好的情况下开车上路，大家除了不开快车、多留神之外，交警们教了7招“秘诀”保证行车安全。        出行之关键词       A.慢交通       一夜</t>
  </si>
  <si>
    <t>无论是新手还是老手，在开车的时候都会有一些坏习惯，这些习惯在驾驶过程中自己都注意不到，但是，时间长了对汽车会有一定程度的损害。尤其是在冬季，坏习惯还会对行车安全带来隐患。下面，让我们来看看车主们常见的冬季开车坏习惯。       　　一、强行开启雨刮       要说冬季早晨开车第一步做什么，相信很</t>
  </si>
  <si>
    <t>对于不少刚刚拿牌上路的新手来说，往往将注意力放在驾驶技巧和爱车的维护保养上面，对于如何停车往往不太注意。殊不知，“机器没有用坏的，都是放坏的”，汽车也一样，如果不摒弃一些停车陋习，就可能加速车辆的静态磨损。本期就介绍一些停车的小技巧。       选位置：尽量避免在坡道停车       停车，最好停</t>
  </si>
  <si>
    <t>作为上汽集团的全资子公司，上汽大通在2019年累计实现销售120,017辆，逆势增长42.8%，继续保持多年来的高速增长势头。有媒体从上汽大通官方获悉：公司将于今年年内推出至少12款新车型，以完成“保16万冲18万辆”的年度销量目标。    上述12款新车包括：上汽大通d90 pro、ev90、eu</t>
  </si>
  <si>
    <t>没想到春节前我测试的最后一款车型会成为支援武汉防控的“抗疫斗士”，吉利将50台嘉际捐赠给武汉市新冠肺炎防控指挥部作为前方使用车辆的举动确实值得我们先为它点个赞。    去年九月，吉利官方追加了一款搭载“1.8t 6at”动力组合的新车型，传统且成熟的动力配备再加上11.98万元的售价，颇具吸引力，这</t>
  </si>
  <si>
    <t>白车烂大街，原因到底是什么？据权威机构研究数据显示，在汽车的车身颜色占有排行中，TOP3的颜色分别是白、黑和银灰三大色系，其中白色系车接近10万辆，远超其他颜色。至此我们也就思考，为什么白色车子这么受消费者所喜爱呢？有人可能会说白色百搭，但事实真就这么简单？我们不妨来深入探讨下。第1， 白色车显大稍</t>
  </si>
  <si>
    <t>2020/02/10 09:06:00</t>
  </si>
  <si>
    <t>明锐是斯柯达旗下最畅销的一款车型，并在去年年内累计销量突破6.6万台，该车定位为经凑性轿车，与日产轩逸、丰田卡罗拉、大众朗逸等车同级别。近日海外媒体曝光了一组斯柯达全新明锐rs iv渲染图，新车将在下个月的日内瓦车展上首次亮相，并计划今年年内率先在欧洲市场上市。与普通明锐车型相比，新车动力表现大幅提</t>
  </si>
  <si>
    <t>　　明锐是斯柯达旗下最畅销的一款车型，并在去年年内累计销量突破6.6万台，该车定位为经凑性轿车，与日产轩逸、丰田卡罗拉、大众朗逸等车同级别。近日海外媒体曝光了一组斯柯达全新明锐rs iv渲染图，新车将在下个月的日内瓦车展上首次亮相，并计划今年年内率先在欧洲市场上市。与普通明锐车型相比，新车动力表现大</t>
  </si>
  <si>
    <t>身处存量竞争时代，产品力将成为上汽大通的先发优势之一。有媒体从上汽大通官方获悉：公司将打造全新架构mifa（maxus intelligent flexible architecture），产品覆盖中型mpv、大型mpv、中型suv、中大型suv以及承载式皮卡等，其中mifa-mpv（预计和别克gl</t>
  </si>
  <si>
    <t>据权威机构研究数据显示，在汽车的车身颜色占有排行中，TOP3的颜色分别是白、黑和银灰三大色系，其中白色系车接近10万辆，远超其他颜色。至此我们也就思考，为什么白色车子这么受消费者所喜爱呢？有人可能会说白色百搭，但事实真就这么简单？我们不妨来深入探讨下。第1， 白色车显大稍微有点生活常识的人就肯定知道</t>
  </si>
  <si>
    <t>21万你选谁？推荐4款中型车对于注重家用表现以及追求比紧凑型车更高品质的消费者来说，选购一款品牌口碑及产品力兼备的中型车是非常合适的。在国内的汽车市场上，除了我们熟悉的德系、美系等品牌阵营以外，日系车也是大多数预算20万左右的消费者们购车时绕不开的一个选择。恰好在中型车这一级别里，就有这么4款日系车</t>
  </si>
  <si>
    <t>2020/02/10 09:05:00</t>
  </si>
  <si>
    <t>a3是奥迪旗下的一款紧凑级轿车，该款车型于2014年正式在华国产开售，同时也是诸多年轻消费者的入门首选豪华品牌车型，其市场销量也要优于同级奔驰a级、宝马1系等车型。近日海外媒体曝光了一组奥迪全新a3sportback谍照官图，新车将于下月日内瓦车展上正式亮相，并于未来几个月内在德国因戈尔施塔特的汽车</t>
  </si>
  <si>
    <t>对于注重家用表现以及追求比紧凑型车更高品质的消费者来说，选购一款品牌口碑及产品力兼备的中型车是非常合适的。在国内的汽车市场上，除了我们熟悉的德系、美系等品牌阵营以外，日系车也是大多数预算20万左右的消费者们购车时绕不开的一个选择。恰好在中型车这一级别里，就有这么4款日系车有着很强的产品力，同时它们的</t>
  </si>
  <si>
    <t>买什么车安全？这三台车就不错近一段时间，小伙伴们一定被新型冠状病毒肺炎折腾的不轻。小编建议各位同学尽量减少出门次数，同时勤洗手并注意戴好口罩，做好相应的预防措施。今天给大家讲讲中保研碰撞测试前三甲车型，除了安全以外，它们还有哪些优缺点呢？丰田奕泽优点：在外观设计上，奕泽给人以动感时尚的视觉感官，对于</t>
  </si>
  <si>
    <t>2020/02/10 09:04:00</t>
  </si>
  <si>
    <t>投诉编号：【446738】  投诉时间： 2020-02-10 09:04  投诉品牌： 长安汽车  投诉车系： 睿骋CC  投诉车型： 2019款 1.5T 自动 豪雅型光芒版 国VI        投诉内容  长安睿骋CC行驶颠簸路面时右前门窗异响， 这个问题现在已经严重的影响了驾驶感受， 异响</t>
  </si>
  <si>
    <t>受春节休假影响，不少车企今年1月的销量表现预计都不如去年同期。近日，马自达中国率先公布了1月的销售情况，其中一汽马自达表现突出，销量同比逆势增长7.45%，cx-4与阿特兹都维持了正常的销售水准。此外，为了帮助经销商在疫情防控形势下安全有序地开展工作，一汽马自达弱化近期对于经销商业绩考核指标，缓解经</t>
  </si>
  <si>
    <t>丰田凯美瑞车型与本田雅阁、日产天籁并称“日系三雄”，凯美瑞车型定位为中型轿车，去年在国内市场累计销量突破18万台，并领先同级别的日产天籁、大众迈腾等车型。近日海外媒体曝光了丰田新款凯美瑞s板车型部分信息，新车海外起售价2,104,000卢布（约23.3万人民币）。此外新车配备了标准的全led外部照明</t>
  </si>
  <si>
    <t>　　受春节休假影响，不少车企今年1月的销量表现预计都不如去年同期。近日，马自达中国率先公布了1月的销售情况，其中一汽马自达表现突出，销量同比逆势增长7.45%，cx-4与阿特兹都维持了正常的销售水准。此外，为了帮助经销商在疫情防控形势下安全有序地开展工作，一汽马自达弱化近期对于经销商业绩考核指标，缓</t>
  </si>
  <si>
    <t>　　丰田凯美瑞车型与本田雅阁、日产天籁并称“日系三雄”，凯美瑞车型定位为中型轿车，去年在国内市场累计销量突破18万台，并领先同级别的日产天籁、大众迈腾等车型。近日海外媒体曝光了丰田新款凯美瑞s板车型部分信息，新车海外起售价2,104,000卢布（约23.3万人民币）。此外新车配备了标准的全led外部</t>
  </si>
  <si>
    <t>近一段时间，小伙伴们一定被新型冠状病毒肺炎折腾的不轻。小编建议各位同学尽量减少出门次数，同时勤洗手并注意戴好口罩，做好相应的预防措施。今天给大家讲讲中保研碰撞测试前三甲车型，除了安全以外，它们还有哪些优缺点呢？丰田奕泽优点：在外观设计上，奕泽给人以动感时尚的视觉感官，对于年轻用户更具吸引力。在动力方</t>
  </si>
  <si>
    <t>最近多省市地区的大范围降雪为城市增添了一抹白色的靓丽，但是雪化过后，我们的爱车都留下了很多的尘迹。当我们去到洗车店，不少店面都推荐我们做精洗服务。那么精洗到底是什么呢？和普洗有什么区别呢？需要我们经常做吗？    对于这种洗车的方式除了普通洗车这些之外，还会把大家看不到的一些地方，也都会整个清洗一遍</t>
  </si>
  <si>
    <t>2020/02/10 09:03:00</t>
  </si>
  <si>
    <t>提及路虎汽车品牌想必大家并不陌生，该品牌主要致力于suv车型的生产工作，而旗下揽胜、发现、卫士等车型也是备受消费们的青睐。近日海外媒体曝光了一组路虎全新轿车渲染图，新车整体采用了轿跑风格设计，其造型也与劳斯莱斯古思特较为相似。    动力方面，新车或将搭载路虎旗下2.0t、3.0t涡轮增压发动机，最</t>
  </si>
  <si>
    <t>2020/02/10 09:02:00</t>
  </si>
  <si>
    <t>　　提及路虎汽车品牌想必大家并不陌生，该品牌主要致力于suv车型的生产工作，而旗下揽胜、发现、卫士等车型也是备受消费们的青睐。近日海外媒体曝光了一组路虎全新轿车渲染图，新车整体采用了轿跑风格设计，其造型也与劳斯莱斯古思特较为相似。　　动力方面，新车或将搭载路虎旗下2.0t、3.0t涡轮增压发动机，最</t>
  </si>
  <si>
    <t>2月9日上汽大通营销商务年会召开，上汽大通公布了其2019年销量，共售出120017辆，同比增42.8％。其中国内98382辆，同比增长45.27％，国外21635辆，同比增长32.77％。在会上上汽大通还发布了未来新车规划，最值得皮卡车迷关注的是三点，一个是上汽大通将在2020年末推出全新中高端皮</t>
  </si>
  <si>
    <t>前两天，上汽荣威针对车主用户，联合全体经销商推出“在线vr智能展厅看车服务、预约上门试乘试驾服务、在线车辆服务、宅捷修服务、一站式线上金融服务”五大在线暖心服务。2月7日，上汽荣威再次针对经销商伙伴提出六大举措，包括双重减压、双重支持、双重关怀，与经销商伙伴共克时艰。    双重减压    1、减少</t>
  </si>
  <si>
    <t>2020/02/10 09:01:00</t>
  </si>
  <si>
    <t>日前，在上汽maxus 2020年线上商务营销年会上，上汽maxus公布了其2019年销量（同比增长42.8%）、2020年产品规划（覆盖皮卡、新能源、轻客以及mpv等细分市场）、全新架构mifa（2022年一季度推出首款产品）以及皮卡专网建设等方面的最新消息，详情见下文。    2019年完成销量</t>
  </si>
  <si>
    <t>降价太快，买了这几款新车的车主都后悔了经常有读者在后台提问：什么时候买车最便宜？这是一个老生常谈的问题，其实任何时节都有用户在买车，有需求有目标自然是水到渠成，提车回家。这其中，有些朋友买车啥都不等，就等新款或者新产品，所谓“买新不买旧，早买早享受”并不是没有道理的。然而，最近有一批车主可能有些伤心</t>
  </si>
  <si>
    <t>2020/02/10 09:00:00</t>
  </si>
  <si>
    <t>各个级别汽车中的标杆车型，吐血推荐有这么一句话是，喝最烈的酒，开最好的车，不少小伙伴会以为一定要开上劳斯莱斯、宾利等超豪华的车才算是开最好的车。其实不然，开最好的车可以理解为开每个级别中的标杆车型，而标杆车型怎么得来的呢？今天推荐的几款车型从6万到30万都有，喜欢轿车的小伙伴赶紧一起来看看吧！上汽集</t>
  </si>
  <si>
    <t>　　七八万元左右的购车预算对于很多消费者而言显得有些拮据，但这依然阻挡不了他们对于车的喜爱，也相信他们当中大部分人将会在一番精挑细选过后，购置一款性价比较高的车型，来满足自己和家人的日常代步出行需求。那么，接下来我们就来一同研究下，有哪些车型值得一看呢？　　推荐车型：大众polo plus　　现阶段</t>
  </si>
  <si>
    <t>经常有读者在后台提问：什么时候买车最便宜？这是一个老生常谈的问题，其实任何时节都有用户在买车，有需求有目标自然是水到渠成，提车回家。这其中，有些朋友买车啥都不等，就等新款或者新产品，所谓“买新不买旧，早买早享受”并不是没有道理的。然而，最近有一批车主可能有些伤心。去年买的新车，至今不过短短时日便亏了</t>
  </si>
  <si>
    <t>2020/02/10 08:59:00</t>
  </si>
  <si>
    <t>目前斯巴鲁已在华布局了森林人、brz、xv、力狮、傲虎五款车型，而旗下紧凑级轿车翼豹曾于2005-2014年间以进口形式引入国内销售。近日海外媒体曝光了一组斯巴鲁翼豹混动版车型最新消息，新车将于明年5月正式开售。    动力方面，新车将搭载一台2.0l自然吸气发动机 电动机所组成的混合动力系统，其中</t>
  </si>
  <si>
    <t>　　目前斯巴鲁已在华布局了森林人、brz、xv、力狮、傲虎五款车型，而旗下紧凑级轿车翼豹曾于2005-2014年间以进口形式引入国内销售。近日海外媒体曝光了一组斯巴鲁翼豹混动版车型最新消息，新车将于明年5月正式开售。　　动力方面，新车将搭载一台2.0l自然吸气发动机 电动机所组成的混合动力系统，其中</t>
  </si>
  <si>
    <t>日前，沃尔沃汽车公布了2019年的财务业绩报告。数据显示，2019年沃尔沃的营业收入为2741亿瑞典克朗（约合人民币1987亿元），同比增长8.5%；全年营业利润143亿瑞典克朗（约合人民币104亿元），较2018年的142亿瑞典克朗（约合人民币103亿元）微增0.8%。    2019年，沃尔沃的</t>
  </si>
  <si>
    <t>转速1800左右发动机舱共振，油门踏板上震动明显，时间久了脚都是麻的，4S店的修车师傅还跟我说这是正常的，说是升挡不积极，首保之前是没有的，现在9000公里了加速上110还抖动。</t>
  </si>
  <si>
    <t>2020/02/10 08:58:00</t>
  </si>
  <si>
    <t>一汽大众捷达VA3天窗无法打开希望处理，严重影响正常使用。</t>
  </si>
  <si>
    <t>北京BJ40 发动机舱抖动很严重转速1800左右发动机舱共振，油门踏板上震动明显，时间久了脚都是麻的，4S店的修车师傅还跟我说这是正常的，说是升挡不积极，首保之前是没有的，现在9000公里了加速上110还抖动。</t>
  </si>
  <si>
    <t>我们为什么越来越不喜欢德系车了我们为什么越来越不喜欢德系车了原创 汽车天涯 2020-02-06 16:34:07德系？不行，太老气了。”当天涯君给身边一位95后的朋友推荐一辆速腾的时候，他断然拒绝了，而且一脸嫌弃，似乎是在说我审美太差了。似乎是一夜之间，越来越多的90后、95后开始拒绝德系，数据也</t>
  </si>
  <si>
    <t>一汽大众捷达VA3天窗无法打开一汽大众捷达VA3天窗无法打开希望处理，严重影响正常使用。开关问题吗</t>
  </si>
  <si>
    <t>尽管车市下行态势依旧在持续，但上汽名爵在全新一代zs、新款名爵6等多款新产品的助力下，销量一直呈现稳步增长状态。2019年，mg名爵品牌累计销量达29.8万，逆势增长11%。日前上汽名爵公布了最新销量数据，mg名爵品牌1月全球热销22,460辆，同比增长8.33%，延续了去年良好的市场表现，为今年开</t>
  </si>
  <si>
    <t>　　尽管车市下行态势依旧在持续，但上汽名爵在全新一代zs、新款名爵6等多款新产品的助力下，销量一直呈现稳步增长状态。2019年，mg名爵品牌累计销量达29.8万，逆势增长11%。日前上汽名爵公布了最新销量数据，mg名爵品牌1月全球热销22,460辆，同比增长8.33%，延续了去年良好的市场表现，为今</t>
  </si>
  <si>
    <t>日前，有外媒曝光了新款宝马5系和宝马M5的路试谍照。据悉，宝马5系全系车型将于2020年上市。新车针对外观细节进行了调整，内饰基本保持不变。新款M5海外谍照新款国产5系长轴版谍照    根据现有谍照来看，宝马5系家族车型的前脸和车尾均发生了变化，采用全新样式的灯组，LED日间行车灯带增加了分支，整体</t>
  </si>
  <si>
    <t>2019年4月10日购买的艾瑞泽5ex手动青春版，目前行驶2万7千多公里，全程在4S店保养，车子在行驶18000公里后出现左右两侧B柱位置异响，具体表现为80码以上有呼呼的风声，速度越快声音越大，去经销商合肥汽车4S店多次沟通未果，后向奇瑞厂家致电，在厂家的干预下，合肥4S店初步予以重视，开始安排工</t>
  </si>
  <si>
    <t>2020/02/10 08:57:00</t>
  </si>
  <si>
    <t>四个车门嗯的螺丝全部都有拧动过还有就是右左侧车门有掉漆，引擎盖子上面有一个针眼大的掉漆。</t>
  </si>
  <si>
    <t>一汽丰田威驰经销商疑似出售问题车四个车门嗯的螺丝全部都有拧动过还有就是右左侧车门有掉漆，引擎盖子上面有一个针眼大的掉漆。直接做鉴定吧</t>
  </si>
  <si>
    <t>奇瑞艾瑞泽EX车内异响严重2019年4月10日购买的艾瑞泽5ex手动青春版，目前行驶2万7千多公里，全程在4S店保养，车子在行驶18000公里后出现左右两侧B柱位置异响，具体表现为80码以上有呼呼的风声，速度越快声音越大，去经销商合肥汽车4S店多次沟通未果，后向奇瑞厂家致电，在厂家的干预下，合肥4S</t>
  </si>
  <si>
    <t>华晨中华V6发动机严重烧机油要求尽快处理，已经影响正常使用了。</t>
  </si>
  <si>
    <t>2020/02/10 08:55:00</t>
  </si>
  <si>
    <t>中保研碰撞测试A柱断裂，驾驶员一侧安全气囊偏离，严重影响安全，要求尽快处理。</t>
  </si>
  <si>
    <t>上汽大众帕萨特车身设计缺陷中保研碰撞测试A柱断裂，驾驶员一侧安全气囊偏离，严重影响安全，要求尽快处理。偷工减料啊这是</t>
  </si>
  <si>
    <t>随着2020年这个“特殊”春节假期的结束，各大车企厂商的产品投放也将正式拉开帷幕。有媒体为各位网友梳理了10款将于年内上市的重磅豪华suv车型，包括中期改款q7、宝马全新x5/x6 m、奔驰全新gle以及林肯国产冒险家等车型，覆盖了紧凑型到大型级别。其中中期改款q7将在本月底正式上市，先期推出3.0</t>
  </si>
  <si>
    <t>　　随着2020年这个“特殊”春节假期的结束，各大车企厂商的产品投放也将正式拉开帷幕。有媒体为各位网友梳理了10款将于年内上市的重磅豪华suv车型，包括中期改款q7、宝马全新x5/x6 m、奔驰全新gle以及林肯国产冒险家等车型，覆盖了紧凑型到大型级别。其中中期改款q7将在本月底正式上市，先期推出3</t>
  </si>
  <si>
    <t>华晨中华V6发动机严重烧机油华晨中华V6发动机严重烧机油要求尽快处理，已经影响正常使用了。不会是轴瓦有问题了吧</t>
  </si>
  <si>
    <t>探险者是福特旗下的一款中大型suv，该款车型于2011年以进口形式引入国内市场开售，并在细分市场中赢得了不错的销量市场，同时也受到了国内诸多美系车迷们的热捧。近日海外媒体曝光了福特探险者xlt sport套件版车型最新消息，新车将于今年夏季于海外市场正式开售。    动力方面，新车或将继续搭载2.3</t>
  </si>
  <si>
    <t>2020/02/10 08:54:20</t>
  </si>
  <si>
    <t>投诉编号：【446737】
投诉时间： 2020-02-10 08:54
投诉品牌： 江铃汽车
投诉车系： 域虎5
投诉车型： 2018款 2.4T 手动 四驱 经典版 豪华型 柴油 JX4D24A5L</t>
  </si>
  <si>
    <t>东风日产轩逸自动启停系统失灵希望处理，无法正常使用。严重影响安全行驶啊，如何才能解决？</t>
  </si>
  <si>
    <t>2020/02/10 08:54:00</t>
  </si>
  <si>
    <t>东风日产轩逸自动启停系统失灵东风日产轩逸自动启停系统失灵希望处理，无法正常使用。严重影响安全行驶啊，如何才能解决？</t>
  </si>
  <si>
    <t>半轴防尘套左右两边都漏油，车子刚好3年了，其实早一段时间就漏了，只不过没有注意，现在超过质保期了！</t>
  </si>
  <si>
    <t>2020/02/10 08:53:00</t>
  </si>
  <si>
    <t>广汽丰田凯美瑞两侧半轴防尘套漏油半轴防尘套左右两边都漏油，车子刚好3年了，其实早一段时间就漏了，只不过没有注意，现在超过质保期了！</t>
  </si>
  <si>
    <t>正常行驶中，突然加油没有动力，差点造成交通事故，且存在加油门转速高，速度不动，无法行驶。</t>
  </si>
  <si>
    <t>2020/02/10 08:52:00</t>
  </si>
  <si>
    <t>吉利远景行驶过程中无法加速正常行驶中，突然加油没有动力，差点造成交通事故，且存在加油门转速高，速度不动，无法行驶。</t>
  </si>
  <si>
    <t>新车跑了100多公里，停了3天全车没电了，打电话给经销商说是电瓶取下充电，充满了过后装好电瓶3天后又是全车没电了，于是打电话给经销商说是冬天天冷间隔一两天就的启动，我觉得这是很不负责任的说法，希望有关部门重视这个事情，这种车严重亏电的情况已经有很多车主出现了，给用户的出行带来很大的麻烦，希望汽车质量</t>
  </si>
  <si>
    <t>2020/02/10 08:51:00</t>
  </si>
  <si>
    <t>　　大家都知道，我们的中国品牌排头兵吉利集团在全球“买买买”的过程中，最新的合作是戴姆勒集团旗下的都市个性品牌-smart。双方已经成立合资公司，在全球范围内联合运营和推动smart品牌转型，将smart打造成为高端电动智能汽车品牌。纯电动？smart？这台smart eq就成为双方合作后的极有可能</t>
  </si>
  <si>
    <t>郑州日产途达两次亏电无法正常启动新车跑了100多公里，停了3天全车没电了，打电话给经销商说是电瓶取下充电，充满了过后装好电瓶3天后又是全车没电了，于是打电话给经销商说是冬天天冷间隔一两天就的启动，我觉得这是很不负责任的说法，希望有关部门重视这个事情，这种车严重亏电的情况已经有很多车主出现了，给用户的</t>
  </si>
  <si>
    <t>近日，雪佛兰官方发布了索罗德realtree edition的官图，该特别版车型曾经在2016款车型上推出过。该款特别版车型将会在近日发布，年中将会在海外市场上市。    索罗德realtree edition在车身上采用了realtree伪装迷彩涂装，除了索罗德和z71的标识之外，还增加了real</t>
  </si>
  <si>
    <t>2020/02/10 08:50:00</t>
  </si>
  <si>
    <t>一汽奔腾B30方向盘卡顿，悬挂异响。12000公里换过一次转向管柱。</t>
  </si>
  <si>
    <t>绅宝X55转向卡滞 沉重 发动机噪音大，直线行驶方向盘卡，沉重，感觉方向盘像吸着，发动机声音大，D挡低速车顿挫严重，车载手机APP不能使用，现在一个方向盘卡的问题十个车主九个半都有问题，北汽就是不管不问，一直拖着，是不是车卖的少不值得你们国企关注！上面问题过年前投诉的，因为这次肺炎4s店至今没有联系</t>
  </si>
  <si>
    <t>日前，大众正式发布了新款atlas（即途昂的北美版车型，为便于理解一下统称为途昂）的官图。新车在外观上变得根伟年轻，城市化气息要更为浓郁了许多。当然，内饰上也有所变化。    外观方面，新款途昂的整体轮廓和现款保持了一致。不过，进气格栅的造型有所变化，更为明显的是大灯组内部结构以及样式的转变，变细了</t>
  </si>
  <si>
    <t>　　日前，大众正式发布了新款atlas（即途昂的北美版车型，为便于理解一下统称为途昂）的官图。新车在外观上变得根伟年轻，城市化气息要更为浓郁了许多。当然，内饰上也有所变化。　　外观方面，新款途昂的整体轮廓和现款保持了一致。不过，进气格栅的造型有所变化，更为明显的是大灯组内部结构以及样式的转变，变细了</t>
  </si>
  <si>
    <t>一汽奔腾B30方向盘卡顿 悬挂异响一汽奔腾B30方向盘卡顿，悬挂异响。12000公里换过一次转向管柱。</t>
  </si>
  <si>
    <t>绅宝X55转向卡滞沉重发动机噪音大绅宝X55转向卡滞 沉重 发动机噪音大，直线行驶方向盘卡，沉重，感觉方向盘像吸着，发动机声音大，D挡低速车顿挫严重，车载手机APP不能使用，现在一个方向盘卡的问题十个车主九个半都有问题，北汽就是不管不问，一直拖着，是不是车卖的少不值得你们国企关注！上面问题过年前投诉</t>
  </si>
  <si>
    <t>　　近日，雪佛兰官方发布了索罗德realtree edition的官图，该特别版车型曾经在2016款车型上推出过。该款特别版车型将会在近日发布，年中将会在海外市场上市。　　索罗德realtree edition在车身上采用了realtree伪装迷彩涂装，除了索罗德和z71的标识之外，还增加了real</t>
  </si>
  <si>
    <t>日前，有媒体获悉，凯迪拉克全尺寸suv凯雷德已经完成换代，并将于今年第三季度在北美率先上市，随后还将在全球其他市场和地区陆续推出。新车具备崭新的外观设计与豪华的科技配置，动力上也将全系标配全新6.2l v8发动机。伴随它的问世，由凯迪拉克xt4、xt5、xt6与凯雷德共同构筑的凯迪拉克suv产品矩阵</t>
  </si>
  <si>
    <t>2020/02/10 08:48:00</t>
  </si>
  <si>
    <t>　　日前，有媒体获悉，凯迪拉克全尺寸suv凯雷德已经完成换代，并将于今年第三季度在北美率先上市，随后还将在全球其他市场和地区陆续推出。新车具备崭新的外观设计与豪华的科技配置，动力上也将全系标配全新6.2l v8发动机。伴随它的问世，由凯迪拉克xt4、xt5、xt6与凯雷德共同构筑的凯迪拉克suv产品</t>
  </si>
  <si>
    <t>近日，有海外媒体曝光了讴歌mdx pmc（performance manufacturing center，意为“讴歌性能制造中心”）车型售价，新车海外市场售价为63,745美元（约为45万人民币），限量发售的330台其中300台销往美国市场，30台销往加拿大市场。    该车最早亮相于去年11月的</t>
  </si>
  <si>
    <t>　　近日，有海外媒体曝光了讴歌mdx pmc（performance manufacturing center，意为“讴歌性能制造中心”）车型售价，新车海外市场售价为63,745美元（约为45万人民币），限量发售的330台其中300台销往美国市场，30台销往加拿大市场。　　该车最早亮相于去年11月的</t>
  </si>
  <si>
    <t>发动机漏机油，去4s店维修后开出一百多公里在高速路上行驶发动机开始冒黑烟，找拖车运回4s店，并向上汽总部反映，该车保修期五年，但总部未解决，其间已向总部打电话三次。</t>
  </si>
  <si>
    <t>2020/02/10 08:47:00</t>
  </si>
  <si>
    <t>车辆需要更换线束，厂家一直都不给发货，客服也不回复厂家也不给明确时间什么时候能发货厂家也不回给回复都已经2个月了也没有人给个明确的时间什么时候给发货。</t>
  </si>
  <si>
    <t>上汽名爵锐腾发动机漏机油冒黑烟发动机漏机油，去4s店维修后开出一百多公里在高速路上行驶发动机开始冒黑烟，找拖车运回4s店，并向上汽总部反映，该车保修期五年，但总部未解决，其间已向总部打电话三次。</t>
  </si>
  <si>
    <t xml:space="preserve">日前，有媒体从相关渠道获悉，奔驰全新一代cla或将于今年3月份上市。新一代奔驰cla的外观及内饰均采用了全新的设计语言，既保持了运动感，也提升了科技感，新车将搭载1.3t和2.0t发动机，传动系统匹配7速双离合变速箱。    看了以下要点，本文算读完一半    外观及内饰均采用了最新的设计语言；  </t>
  </si>
  <si>
    <t>一汽大众宝来更换线束一直没配件车辆需要更换线束，厂家一直都不给发货，客服也不回复厂家也不给明确时间什么时候能发货厂家也不回给回复都已经2个月了也没有人给个明确的时间什么时候给发货。</t>
  </si>
  <si>
    <t>　　日前，有媒体从相关渠道获悉，奔驰全新一代cla或将于今年3月份上市。新一代奔驰cla的外观及内饰均采用了全新的设计语言，既保持了运动感，也提升了科技感，新车将搭载1.3t和2.0t发动机，传动系统匹配7速双离合变速箱。　　看了以下要点，本文算读完一半　　外观及内饰均采用了最新的设计语言；　　长宽</t>
  </si>
  <si>
    <t>近日，通用汽车旗下gmc品牌发布的消息称，gmc将于2020年5月20日发布一款名为hummer ev的纯电动皮卡，这将是gmc品牌首款纯电动产品，也是通用集团第一辆纯电动皮卡。看来，这次悍马真的要回归了。    根据gmc本次发布的新车预告图来看，hummer ev的前脸设计非常宽大，扁长型的中网</t>
  </si>
  <si>
    <t>2020/02/10 08:46:00</t>
  </si>
  <si>
    <t>　　近日，通用汽车旗下gmc品牌发布的消息称，gmc将于2020年5月20日发布一款名为hummer ev的纯电动皮卡，这将是gmc品牌首款纯电动产品，也是通用集团第一辆纯电动皮卡。看来，这次悍马真的要回归了。　　根据gmc本次发布的新车预告图来看，hummer ev的前脸设计非常宽大，扁长型的中网</t>
  </si>
  <si>
    <t>日前，有媒体从相关渠道获悉，小鹏p7预计在今年4月份正式上市，交付时间为5-6月份。此前，小鹏p7已经推出了3款车型，分别为入门级的后驱长续航版，nedc标准下续航里程为550km ；后驱超长续航版，nedc标准下续航里程为650km ，以及四驱高性能版，nedc标准下续航里程为550km ，这3款</t>
  </si>
  <si>
    <t>2020/02/10 08:45:00</t>
  </si>
  <si>
    <t>听说过aurus motors吗？这是一家俄罗斯豪华汽车制造商，最初该品牌的车型仅供政府官员使用。俄罗斯总统普京的座驾正是aurus senat品牌旗下的一款豪华轿车，其造型与劳斯莱斯古斯特有些相似。然而，普京很快就会得到另一款aurus旗下的新座驾，这就是“komendant”，一款全尺寸豪华su</t>
  </si>
  <si>
    <t>　　听说过aurus motors吗？这是一家俄罗斯豪华汽车制造商，最初该品牌的车型仅供政府官员使用。俄罗斯总统普京的座驾正是aurus senat品牌旗下的一款豪华轿车，其造型与劳斯莱斯古斯特有些相似。然而，普京很快就会得到另一款aurus旗下的新座驾，这就是“komendant”，一款全尺寸豪华</t>
  </si>
  <si>
    <t>　　日前，有媒体从相关渠道获悉，小鹏p7预计在今年4月份正式上市，交付时间为5-6月份。此前，小鹏p7已经推出了3款车型，分别为入门级的后驱长续航版，nedc标准下续航里程为550km ；后驱超长续航版，nedc标准下续航里程为650km ，以及四驱高性能版，nedc标准下续航里程为550km ，这</t>
  </si>
  <si>
    <t>日前，有媒体从相关渠道获悉，长安逸动plus将于今年3月17日上市发售。作为逸动家族中的第三代车型，逸动plus采用了新家族式设计语言，造型更为时尚动感，并提供两种外观风格以供消费者选择。    看了以下要点，本文算读完一半    逸动家族中的第三代车型；    采用新家族式设计语言，提供两种外观风</t>
  </si>
  <si>
    <t>2020/02/10 08:44:00</t>
  </si>
  <si>
    <t>　　日前，有媒体从相关渠道获悉，长安逸动plus将于今年3月17日上市发售。作为逸动家族中的第三代车型，逸动plus采用了新家族式设计语言，造型更为时尚动感，并提供两种外观风格以供消费者选择。　　看了以下要点，本文算读完一半　　逸动家族中的第三代车型；　　采用新家族式设计语言，提供两种外观风格以供消</t>
  </si>
  <si>
    <t>前不久，大众在俄罗斯市场发布了新款大众POLO三厢版车型的设计图，近日，就有海外媒体根据该设计图绘制出了新车的渲染图。新车采用了大众最新的家族设计语言，前脸与国产探影和新款速腾颇为相似。据悉，新车将率先登陆俄罗斯市场，未来也有望引入国内。    外观方面，新车进气格栅采用大众最新的多边形样式，格栅两</t>
  </si>
  <si>
    <t>2020/02/10 08:43:00</t>
  </si>
  <si>
    <t>　　前不久，大众在俄罗斯市场发布了新款大众POLO三厢版车型的设计图，近日，就有海外媒体根据该设计图绘制出了新车的渲染图。新车采用了大众最新的家族设计语言，前脸与国产探影和新款速腾颇为相似。据悉，新车将率先登陆俄罗斯市场，未来也有望引入国内。　　外观方面，新车进气格栅采用大众最新的多边形样式，格栅两</t>
  </si>
  <si>
    <t>根据福特在欧洲的零部件供应信息显示，全新一代蒙迪欧将会在2021年发布并上市销售，目前这款车的代号为“2022 mondeo cd542”。    此前，全新一代蒙迪欧的测试谍照已经曝出，曝光车型为一台早期的底盘测试车，该车外观类似于福特斯active，可以看出，新一代蒙迪欧将会推出跨界版车型。测试</t>
  </si>
  <si>
    <t>　　根据福特在欧洲的零部件供应信息显示，全新一代蒙迪欧将会在2021年发布并上市销售，目前这款车的代号为“2022 mondeo cd542”。　　此前，全新一代蒙迪欧的测试谍照已经曝出，曝光车型为一台早期的底盘测试车，该车外观类似于福特斯active，可以看出，新一代蒙迪欧将会推出跨界版车型。测试</t>
  </si>
  <si>
    <t>如果满大街的迈腾、帕萨特已经让你的审美早已疲劳，而在混动的道路上越走越远的雅阁、凯美瑞又很难满足你对速度的渴望，那么在20万的售价区间，别克君威GS、日产天籁以及斯柯达速派也许就是你最好的选择了。它们不仅都拥有动力强劲的2.0T涡轮增压发动机，同时还拥有一个比较出众的颜值，是绝对的全能选手。别克 -</t>
  </si>
  <si>
    <t>2020/02/10 08:41:00</t>
  </si>
  <si>
    <t>三款20万级中型车该选谁？如果满大街的迈腾、帕萨特已经让你的审美早已疲劳，而在混动的道路上越走越远的雅阁、凯美瑞又很难满足你对速度的渴望，那么在20万的售价区间，别克君威GS、日产天籁以及斯柯达速派也许就是你最好的选择了。它们不仅都拥有动力强劲的2.0T涡轮增压发动机，同时还拥有一个比较出众的颜值，</t>
  </si>
  <si>
    <t>日前，据零跑汽车官方消息，零跑T03将于今年上半年上市。新车是零跑品牌的第二款车型，定位为微型电动车，整体外观非常呆萌、小巧。新车在续航方面提供两种版本，分别达到了300km和400km。    外观方面，零跑T03整体看上去非常呆萌，两侧大灯造型十分圆润，前格栅采用了电动车常规的封闭式设计，相信新</t>
  </si>
  <si>
    <t>　　近日，海外媒体曝光了一组全新梅赛德斯-奔驰sl级的谍照。新车将采用amg gt相同平台，采用织物软顶敞篷结构，预计2021年上市。　　从外观来看，新车延续了现款车型的设计思路，但相比现款发动机舱盖更长且向下倾斜，中网格栅更加立体，大灯内部细节也与奔驰最新的家族式设计。另外，新车圆润的尾部，与am</t>
  </si>
  <si>
    <t>2020/02/10 08:40:00</t>
  </si>
  <si>
    <t>近日，海外媒体曝光了一组全新梅赛德斯-奔驰sl级的谍照。新车将采用amg gt相同平台，采用织物软顶敞篷结构，预计2021年上市。    从外观来看，新车延续了现款车型的设计思路，但相比现款发动机舱盖更长且向下倾斜，中网格栅更加立体，大灯内部细节也与奔驰最新的家族式设计。另外，新车圆润的尾部，与am</t>
  </si>
  <si>
    <t>互联网汽车 荣威RX5值不值得买？对于年轻人来说，都想拥有一辆属于自己的个性化SUV，可以自己享受驾驶的真正乐趣，而这几年随着国产品牌SUV车型的进步非常迅猛，大家的选择也越来越多，今天咖哥就给大家推荐一款来自上上汽乘用车在2016年首次推出的一款当时号称"首款互联网SUV"的荣威RX5，看看到现在</t>
  </si>
  <si>
    <t>2020/02/10 08:39:00</t>
  </si>
  <si>
    <t>纯电动SUV 奇瑞瑞虎e值不值得买？要问现在新能源汽车市场上最火的是什么车型？从销量上看，那当属小型纯电动SUV了，它们普遍续航里程、空间、配置也都比较均衡，最关键是价格还比较便宜，补贴后十多万就能买一台，对于大多数限牌限购城市而言，买一台作为日常短途通勤是个好选择。今天咖哥就给大家介绍一款在去年8</t>
  </si>
  <si>
    <t>　　日前我们从海外媒体处获悉，玛莎拉蒂计划在4月开幕的北京车展上亮相ghibli插电混动版车型，这款车将成为该品牌首款新能源车型，从此将正式开启玛莎拉蒂的新能源战略。　　2020年是玛莎拉蒂全面实施电气化战略的开始，ghibli混动版将率先亮相。我们推测其外形将基本延续燃油版车型的设计，只是细节方面</t>
  </si>
  <si>
    <t>日前我们从海外媒体处获悉，玛莎拉蒂计划在4月开幕的北京车展上亮相ghibli插电混动版车型，这款车将成为该品牌首款新能源车型，从此将正式开启玛莎拉蒂的新能源战略。    2020年是玛莎拉蒂全面实施电气化战略的开始，ghibli混动版将率先亮相。我们推测其外形将基本延续燃油版车型的设计，只是细节方面</t>
  </si>
  <si>
    <t>对于年轻人来说，都想拥有一辆属于自己的个性化SUV，可以自己享受驾驶的真正乐趣，而这几年随着国产品牌SUV车型的进步非常迅猛，大家的选择也越来越多，今天咖哥就给大家推荐一款来自上上汽乘用车在2016年首次推出的一款当时号称"首款互联网SUV"的荣威RX5，看看到现在还值不值得买？外观及内饰亮点荣威R</t>
  </si>
  <si>
    <t>要问现在新能源汽车市场上最火的是什么车型？从销量上看，那当属小型纯电动SUV了，它们普遍续航里程、空间、配置也都比较均衡，最关键是价格还比较便宜，补贴后十多万就能买一台，对于大多数限牌限购城市而言，买一台作为日常短途通勤是个好选择。今天咖哥就给大家介绍一款在去年8月份上市纯电动SUV，奇瑞新能能源旗</t>
  </si>
  <si>
    <t>2019款东风标致5008值不值得买说到法系车，大家难免会对它产生一点可惜的情绪，尤其是标致，虽然这几年标致在国内市场推出了不少车型，但是很遗憾，几乎没有一款车型在国内畅销，逐渐被边缘化。但踏实的讲，标致车型当中也不乏一些咖哥觉得不错的车。今天咖哥就给大家介绍一款可圈可点的车型，那就是东风标致500</t>
  </si>
  <si>
    <t>2020/02/10 08:38:00</t>
  </si>
  <si>
    <t>　　日前，网络曝光了长安uni-t轿跑suv的内饰谍照。从照片来看，长安uni-t内饰整体布局与长安cs75plus很相似，采用双联屏设。该车将于今年3月在瑞士日内瓦车展上发布，售价或在10万元左右。　　长安uni-t是全新的uni产品系列中的首款车型，其首字母代表universe，也就是全新的宇宙</t>
  </si>
  <si>
    <t>日前，网络曝光了长安uni-t轿跑suv的内饰谍照。从照片来看，长安uni-t内饰整体布局与长安cs75plus很相似，采用双联屏设。该车将于今年3月在瑞士日内瓦车展上发布，售价或在10万元左右。    长安uni-t是全新的uni产品系列中的首款车型，其首字母代表universe，也就是全新的宇宙</t>
  </si>
  <si>
    <t>说到法系车，大家难免会对它产生一点可惜的情绪，尤其是标致，虽然这几年标致在国内市场推出了不少车型，但是很遗憾，几乎没有一款车型在国内畅销，逐渐被边缘化。但踏实的讲，标致车型当中也不乏一些咖哥觉得不错的车。今天咖哥就给大家介绍一款可圈可点的车型，那就是东风标致5008，高辨识度的外观和科技感十足的内饰</t>
  </si>
  <si>
    <t>　　日前获悉，奇瑞全新一代瑞虎7/瑞虎7 pro将于2月18日正式上市，新车此前已经发布预售价，8款车型的区间为8.69万-14.59万。　　新车信息：　　1.新车采用日曜星河全新家族前脸造型、天穹悬浮式车顶设计，并全系标配多腔阵列反射式led大灯和高能流水式动态led转向灯，新车融入19�超大铝合</t>
  </si>
  <si>
    <t>2020/02/10 08:36:00</t>
  </si>
  <si>
    <t>日前获悉，奇瑞全新一代瑞虎7/瑞虎7 pro将于2月18日正式上市，新车此前已经发布预售价，8款车型的区间为8.69万-14.59万。    新车信息：    1.新车采用日曜星河全新家族前脸造型、天穹悬浮式车顶设计，并全系标配多腔阵列反射式led大灯和高能流水式动态led转向灯，新车融入19吋超大</t>
  </si>
  <si>
    <t>　　明年发布的宝马inext将成为搭载宝马最新技术的旗舰车型。inext将搭配自动驾驶等许多新的技术和功能，同时，这些技术也将应用于宝马的其他车型。但宝马表示，短期内该功能不会被配置到inext这类价格区间的车型中。　　但是，近期有消息称，宝马inext车型也将应用该项智能玻璃控制技术了，这与宝马此</t>
  </si>
  <si>
    <t>念青鸟</t>
  </si>
  <si>
    <t>2020/02/10 08:34:00</t>
  </si>
  <si>
    <t>明年发布的宝马inext将成为搭载宝马最新技术的旗舰车型。inext将搭配自动驾驶等许多新的技术和功能，同时，这些技术也将应用于宝马的其他车型。但宝马表示，短期内该功能不会被配置到inext这类价格区间的车型中。    但是，近期有消息称，宝马inext车型也将应用该项智能玻璃控制技术了，这与宝马此</t>
  </si>
  <si>
    <t>目前，有海外媒体曝光称，斯巴鲁翼豹将推出一款混动版车型，新车在整体设计上与2020款车型保持一致，仅在尾部标识上可能存在一定差别，预计新车最快将于5月份上市。    外观方面，新车沿用了现款车型的设计风格，前脸采用分体式进气格栅。不过，新车在轮毂样式上与老款车型极为相似，整体造型看起来非常经典。尾部</t>
  </si>
  <si>
    <t>2020/02/10 08:26:00</t>
  </si>
  <si>
    <t>日前，编辑获得了捷豹新款I-PACE车型信息，新车将提供S、SE以及HSE三种版本供消费者选择，海外起售价为8.04万欧元（约合61.6万人民币），相比此前版本售价有所降低。    外观方面，捷豹I-PACE采用了家族式前脸设计，大嘴式蜂窝格栅搭配雾灯处夸张的“獠牙”设计，彰显侵略感。新车侧面造型较</t>
  </si>
  <si>
    <t>2020/02/10 08:16:00</t>
  </si>
  <si>
    <t>　　日前，编辑获得了捷豹新款I-PACE车型信息，新车将提供S、SE以及HSE三种版本供消费者选择，海外起售价为8.04万欧元（约合61.6万人民币），相比此前版本售价有所降低。　　外观方面，捷豹I-PACE采用了家族式前脸设计，大嘴式蜂窝格栅搭配雾灯处夸张的“獠牙”设计，彰显侵略感。新车侧面造型较</t>
  </si>
  <si>
    <t>风行T5L新车排放系统故障东风风行T5L新车排放系统故障，买回来三天就出现GPF过载，要求厂家解决好车辆的问题。</t>
  </si>
  <si>
    <t>2020/02/10 08:15:00</t>
  </si>
  <si>
    <t>劲炫ASX发动机响个不停车辆起步时候，转速在在1100转到1400转这个区间，速度30码到45码区间，发动机舱有共振，感觉是速度与转速不匹配，像是发动机动力缺失一样，驾驶舱使人耳鸣难受，一直延续，很烦恼。论坛发现有很多一样的情况，有的地方给更换发电机，说是此型号的发电机与引擎不匹配。</t>
  </si>
  <si>
    <t>东风日产奇骏行驶过程中发电机皮带轮掉落，半路行驶过程中发电机轮掉落，车辆行驶在半路，发动机熄火，要求厂家解决好车辆的问题。</t>
  </si>
  <si>
    <t>东风风行T5L新车排放系统故障，买回来三天就出现GPF过载，要求厂家解决好车辆的问题。</t>
  </si>
  <si>
    <t>车辆起步时候，转速在在1100转到1400转这个区间，速度30码到45码区间，发动机舱有共振，感觉是速度与转速不匹配，像是发动机动力缺失一样，驾驶舱使人耳鸣难受，一直延续，很烦恼。论坛发现有很多一样的情况，有的地方给更换发电机，说是此型号的发电机与引擎不匹配。</t>
  </si>
  <si>
    <t>奇骏行驶中发电机皮带轮掉落东风日产奇骏行驶过程中发电机皮带轮掉落，半路行驶过程中发电机轮掉落，车辆行驶在半路，发动机熄火，要求厂家解决好车辆的问题。</t>
  </si>
  <si>
    <t>名爵HS中间间隔六天电瓶亏电我的车是第一次发现亏电是在2020年1月6号，当时发现亏电的时候车门解不开锁了已经，当时中间间隔约19天。第二次发现亏电是在2020年的2月9号中午，然后我上一次用车是在2月2号，然后停车的时间是2月2号的下午15点以后。中间间隔六天。</t>
  </si>
  <si>
    <t>2020/02/10 08:13:00</t>
  </si>
  <si>
    <t>本田雅阁发动机噪音大质量差因空调不制冷，在2019年09月03日投诉后4S店让把车开到4S检查，确认需要清洗油路及积碳，交车后空调可以制冷，但是噪音比之前偏大。在2020年1月6日由4S店吴主管体验后说是正常现象，但是确实是噪音大了许多（正常胎速及80码以上加油时），感觉很烦，就保养了一下就变成这样</t>
  </si>
  <si>
    <t>因空调不制冷，在2019年09月03日投诉后4S店让把车开到4S检查，确认需要清洗油路及积碳，交车后空调可以制冷，但是噪音比之前偏大。在2020年1月6日由4S店吴主管体验后说是正常现象，但是确实是噪音大了许多（正常胎速及80码以上加油时），感觉很烦，就保养了一下就变成这样，影响对本田的质量及口啤）</t>
  </si>
  <si>
    <t>我的车是第一次发现亏电是在2020年1月6号，当时发现亏电的时候车门解不开锁了已经，当时中间间隔约19天。第二次发现亏电是在2020年的2月9号中午，然后我上一次用车是在2月2号，然后停车的时间是2月2号的下午15点以后。中间间隔六天。</t>
  </si>
  <si>
    <t>奥迪A3发动机烧机油强烈要求退车一汽大众奥迪A3发动机烧机油故障灯报警，新车3500公里发动机严重烧机油，车辆已经报警机油位已经在下限。车辆发动机有严重的质量问题，强烈要求退车。</t>
  </si>
  <si>
    <t>2020/02/10 08:12:00</t>
  </si>
  <si>
    <t>一汽大众奥迪A3发动机烧机油故障灯报警，新车3500公里发动机严重烧机油，车辆已经报警机油位已经在下限。车辆发动机有严重的质量问题，强烈要求退车。</t>
  </si>
  <si>
    <t>日前，有海外媒体报道，特斯拉已正式宣布开始生产旗下全新SUV车型Model Y，按计划将于3月份正式开始交付。根据美国环境保护署（EPA）官方公布的信息，Model Y性能版的续航里程将增至315英里（约507公里）。    Model Y定位中型SUV，有5座和7座车型可选，据悉，7座布局的选装价</t>
  </si>
  <si>
    <t>2020/02/10 08:11:00</t>
  </si>
  <si>
    <t>凯翼C3变速箱换不了挡啦车辆在行驶过程中出现脱挡，造成安全隐患，经其他4s店确认是挡位执行器坏掉！（年前年27厂家给电话我就是说到4s店处理看检测报告出来后怎么处理，但是从来不提造成这样的问题如果更换配件由谁承担，后来负责韶关区域的4s店给我电话说跟厂家商量后说按三包处理，）试问：凯翼厂家：如果在高</t>
  </si>
  <si>
    <t>速派发动机故障灯亮烧机油严重浙江省宁波市4s店售后服务太差劲了。质保3年内做了无数次机油标定测试，却没有一张检测报告单，均以口头形式被告之正常。车主每3000公里左右机油灯会亮，却拖在质保最后一天大修，然而大修之后漏油，缺缸，抖动严重，过高低路车内异响严重，天窗漏水，车窗异响，均被说成通病。可气的最</t>
  </si>
  <si>
    <t>车辆在行驶过程中出现脱挡，造成安全隐患，经其他4s店确认是挡位执行器坏掉！（年前年27厂家给电话我就是说到4s店处理看检测报告出来后怎么处理，但是从来不提造成这样的问题如果更换配件由谁承担，后来负责韶关区域的4s店给我电话说跟厂家商量后说按三包处理，）试问：凯翼厂家：如果在高速开100km时速后面有</t>
  </si>
  <si>
    <t>　　日前，有海外媒体报道，特斯拉已正式宣布开始生产旗下全新SUV车型Model Y，按计划将于3月份正式开始交付。根据美国环境保护署（EPA）官方公布的信息，Model Y性能版的续航里程将增至315英里（约507公里）。　　Model Y定位中型SUV，有5座和7座车型可选，据悉，7座布局的选装价</t>
  </si>
  <si>
    <t>五菱荣光V变速箱挂挡困难五菱荣光V变速箱挂挡困难，车窗无法上升，经常是第一次起步时1、2挡难挂入，几公里后缓解，副驾驶窗玻璃无法升起。要求厂家解决好车辆的问题。</t>
  </si>
  <si>
    <t>2020/02/10 08:10:00</t>
  </si>
  <si>
    <t>廊坊霸州                中级技工</t>
  </si>
  <si>
    <t>2020/02/10 08:09:00</t>
  </si>
  <si>
    <t>2020/02/10 08:08:00</t>
  </si>
  <si>
    <t>CR-V发动机机油乳化质量不行呀东风本田CR-V发动机机油乳化，5000公里的时候就有点机油乳化，擦了一下，感觉没事，现在5800公里的时候洗车的时候一看，又乳化了，要求厂家解决好车辆的问题。</t>
  </si>
  <si>
    <t>天窗极少开启，长年正常城市环境行驶，一直在当地4S店维护保养，4S店检查为天窗遮阳卷帘自然脱胶下垂，无其他不正常使用情况，卷帘已无法使用。而且天窗排水管还脱落漏水，导致车内底部积水严重，可能造成线路短路引起事故，已自费先处理。质疑：厂家的卷帘粘胶质量是否合格？设计使用寿命是多长？为何排水管会脱落？厂</t>
  </si>
  <si>
    <t>科比秀</t>
  </si>
  <si>
    <t>2020/02/10 08:07:00</t>
  </si>
  <si>
    <t>一汽大众宝来下雨天驾驶室以及副驾驶室就漏水严重，天窗漏下的水！要求厂家解决好车辆的问题。</t>
  </si>
  <si>
    <t>宝来天窗排水管漏水质量真差劲一汽大众宝来下雨天驾驶室以及副驾驶室就漏水严重，天窗漏下的水！要求厂家解决好车辆的问题。</t>
  </si>
  <si>
    <t>大众途观天窗卷帘脱胶和漏水天窗极少开启，长年正常城市环境行驶，一直在当地4S店维护保养，4S店检查为天窗遮阳卷帘自然脱胶下垂，无其他不正常使用情况，卷帘已无法使用。而且天窗排水管还脱落漏水，导致车内底部积水严重，可能造成线路短路引起事故，已自费先处理。质疑：厂家的卷帘粘胶质量是否合格？设计使用寿命是</t>
  </si>
  <si>
    <t>上汽名爵HS，半个月前出现过停放5天亏电无法启动，搭电后解决。春节回家跑长途600公里，停在家中几天又亏电，无法启动。</t>
  </si>
  <si>
    <t>2020/02/10 08:06:00</t>
  </si>
  <si>
    <t>广汽丰田凯美瑞后备箱液压杆异响，去4s店说是正常情况！但是我的之前不响。另外早上第一次挂挡有闯动，熄火偶尔有闯动，店家说是正常。不过之前没有定没有响过是刚刚发生的，如果情况正常那之前就应该有声。</t>
  </si>
  <si>
    <t>2019年10月4s店做完4万公里保养，2020年1月车辆开始出现各种问题。450000公里后变速箱出现故障，车辆停放一天后，启动困难，前轮吃胎严重，车辆转向柱生锈，车架生锈。</t>
  </si>
  <si>
    <t>大众速腾变速箱有异响，一挡升二挡变速箱咔咔响，降挡声音更大，如果4店三次，告诉我说正常，我试过别人的同款车，还有试驾车，根本没有异响，现在的声音比以前还大，再一千多公里的时候就出现问题了，</t>
  </si>
  <si>
    <t>三菱劲炫ASX启动困难轮胎吃胎偏磨2019年10月4s店做完4万公里保养，2020年1月车辆开始出现各种问题。450000公里后变速箱出现故障，车辆停放一天后，启动困难，前轮吃胎严重，车辆转向柱生锈，车架生锈。</t>
  </si>
  <si>
    <t>丰田凯美瑞后备箱液压杆异响变速箱抖动广汽丰田凯美瑞后备箱液压杆异响，去4s店说是正常情况！但是我的之前不响。另外早上第一次挂挡有闯动，熄火偶尔有闯动，店家说是正常。不过之前没有定没有响过是刚刚发生的，如果情况正常那之前就应该有声。</t>
  </si>
  <si>
    <t>速腾换挡时变速箱异响声不断大众速腾变速箱有异响，一挡升二挡变速箱咔咔响，降挡声音更大，如果4店三次，告诉我说正常，我试过别人的同款车，还有试驾车，根本没有异响，现在的声音比以前还大，再一千多公里的时候就出现问题了，</t>
  </si>
  <si>
    <t>名爵HS蓄电池没电 发动机也启动不了子上汽名爵HS，半个月前出现过停放5天亏电无法启动，搭电后解决。春节回家跑长途600公里，停在家中几天又亏电，无法启动。</t>
  </si>
  <si>
    <t>车辆行驶路面稍有颠簸，仪表盘附近的塑料包围会发出严重异响，车辆异响严重，有车门也有异响，无法修复，此次配视频证明。</t>
  </si>
  <si>
    <t>2020/02/10 08:05:00</t>
  </si>
  <si>
    <t>一个新车不到半年就出现色差，找售后就说是正常现象，我就没见过一个新车会出现这么大的色差，不知道还以为我的是事故车。</t>
  </si>
  <si>
    <t>日产天籁前后叶子板有色差越来越严重一个新车不到半年就出现色差，找售后就说是正常现象，我就没见过一个新车会出现这么大的色差，不知道还以为我的是事故车。</t>
  </si>
  <si>
    <t>宝马3系中控台异响无法修复了车辆行驶路面稍有颠簸，仪表盘附近的塑料包围会发出严重异响，车辆异响严重，有车门也有异响，无法修复，此次配视频证明。</t>
  </si>
  <si>
    <t>于2020年1月24日检查车辆时发现车顶漆面掉漆、车尾漆面龟裂。到当地售后，检查告知是树上油脂导致的，一年半车出现这样的问题有点这样的理由有点牵强吧！为什么别人的车停在树下就没问题，我的就出现问题。</t>
  </si>
  <si>
    <t>2020/02/10 08:04:00</t>
  </si>
  <si>
    <t>2016年2月底更一次方向总成，5年5万公里更换2个方向总成，又出现打方向卡顿无助力，有时无法回正，目前已在娄底店检测方向机有问题，厂家设计缺陷，请尽快召回更换。</t>
  </si>
  <si>
    <t>这个是啥质量 远景X6漆面掉漆龟裂于2020年1月24日检查车辆时发现车顶漆面掉漆、车尾漆面龟裂。到当地售后，检查告知是树上油脂导致的，一年半车出现这样的问题有点这样的理由有点牵强吧！为什么别人的车停在树下就没问题，我的就出现问题。</t>
  </si>
  <si>
    <t>风神A30转向卡滞方向盘沉重质量差2016年2月底更一次方向总成，5年5万公里更换2个方向总成，又出现打方向卡顿无助力，有时无法回正，目前已在娄底店检测方向机有问题，厂家设计缺陷，请尽快召回更换。</t>
  </si>
  <si>
    <t>变速箱之前顿挫，已经处理过一次了，4s店说是变速箱系统的问题升级一下就好了，开了没多长时间有顿挫挫与异响了，这次空调有声音，上面有视频，空调风速开小的时候会有真大的噪音，噪音是在副驾驶的储物格里面发出来的，外观漆面起泡，别给我说是太阳晒的缘故，轻轻用手一碰起泡的位置漆面就会脱落会漏出里面的底漆，你们</t>
  </si>
  <si>
    <t>2020/02/10 08:03:00</t>
  </si>
  <si>
    <t>名爵6车漆脱落变速箱顿挫变速箱之前顿挫，已经处理过一次了，4s店说是变速箱系统的问题升级一下就好了，开了没多长时间有顿挫挫与异响了，这次空调有声音，上面有视频，空调风速开小的时候会有真大的噪音，噪音是在副驾驶的储物格里面发出来的，外观漆面起泡，别给我说是太阳晒的缘故，轻轻用手一碰起泡的位置漆面就会脱</t>
  </si>
  <si>
    <t>长安马自达昂克赛拉挡把脱皮仪表盘掉漆，车辆胎燥太大导致隔音效果太差。</t>
  </si>
  <si>
    <t>2020/02/10 08:02:00</t>
  </si>
  <si>
    <t>长安马自达昂克赛拉挡把脱皮仪表盘掉漆长安马自达昂克赛拉挡把脱皮仪表盘掉漆，车辆胎燥太大导致隔音效果太差。</t>
  </si>
  <si>
    <t>刚开始轻微渗漏，每次保养以为是正常损耗添加，18年开始一年要添加两三次，现在一两个月就要加一次，强烈投诉给予更换。</t>
  </si>
  <si>
    <t>2020/02/10 08:01:00</t>
  </si>
  <si>
    <t>大众奥迪A4L防冻液渗漏刚开始轻微渗漏，每次保养以为是正常损耗添加，18年开始一年要添加两三次，现在一两个月就要加一次，强烈投诉给予更换。</t>
  </si>
  <si>
    <t>2020/02/10 08:00:00</t>
  </si>
  <si>
    <t>无任何动力是变速箱的问题吗？我们在2018年8月7日购买此车，2019年3月10日车辆出现挂挡不走问题，4s店售后经理拖车拖走，说变速箱坏了，在保修期内，换一个，当时我们觉得车坏了在保修期，也没在意，但是之前车辆就有挂挡不走的问题，但是从新启动一次就可以使用了，所以我们没有想过跟厂家跟销售追究，因为</t>
  </si>
  <si>
    <t>丑小鸭                 维修技师</t>
  </si>
  <si>
    <t>我们在2018年8月7日购买此车，2019年3月10日车辆出现挂挡不走问题，4s店售后经理拖车拖走，说变速箱坏了，在保修期内，换一个，当时我们觉得车坏了在保修期，也没在意，但是之前车辆就有挂挡不走的问题，但是从新启动一次就可以使用了，所以我们没有想过跟厂家跟销售追究，因为才半年时间，修好后我们开回家</t>
  </si>
  <si>
    <t>丑小鸭</t>
  </si>
  <si>
    <t>长安逸动XT发动机内密封垫严重渗油，存在质量问题，希望厂家处理。</t>
  </si>
  <si>
    <t>烧机油的问题如何处理？你好我反应的是车子还在质保期，并且还购买了延保。车子发生严重烧机油，发动机损伤厂家拒保。购买车型为：17款哈弗H9豪华7坐版本。车子在新车1保的时候快到2保的公里数时候我跑高速超车无力，加不上油的感觉。在深圳市4s店保养期间反应，并且经4s店工作人员确实为少机油。机油卡尺为最下</t>
  </si>
  <si>
    <t>长安逸动XT发动机渗油严重长安逸动XT发动机内密封垫严重渗油，存在质量问题，希望厂家处理。</t>
  </si>
  <si>
    <t>变速箱作为汽车三大件之一，刚刚购买四年的朗逸1.4t就出现严重的变速箱问题，实在让人无法接受。行驶中挡位灯闪烁失去动力，差点造成交通事故，4s店根据故障码检测需要更换变速箱机电单元，费用昂贵。才四年的车变速箱就坏了，设计缺陷毋庸置疑，大众却要消费者买单。</t>
  </si>
  <si>
    <t>2020/02/10 07:59:00</t>
  </si>
  <si>
    <t>慢充满显示312公里，第二天开启直接掉电，显示262公里，而且再次充电只到263公里就自动停止充电了。</t>
  </si>
  <si>
    <t>续航里程降低怎么去解决？慢充满显示312公里，第二天开启直接掉电，显示262公里，而且再次充电只到263公里就自动停止充电了。</t>
  </si>
  <si>
    <t>大众朗逸变速箱挡位灯闪烁失去动力变速箱作为汽车三大件之一，刚刚购买四年的朗逸1.4t就出现严重的变速箱问题，实在让人无法接受。行驶中挡位灯闪烁失去动力，差点造成交通事故，4s店根据故障码检测需要更换变速箱机电单元，费用昂贵。才四年的车变速箱就坏了，设计缺陷毋庸置疑，大众却要消费者买单。</t>
  </si>
  <si>
    <t>车才用了一年无意间发现排气管严重生锈，由于我在的地方没有江淮4s店我通过微信加了，4s店的工作人员把照片发给了他，说写报告给厂家反馈看怎么处理，第二天厂家的结果出来了说是涉水部件生锈属于正常的，我很不愿意我的车从来没有走过水路怎么能这么短时间锈的那么严重，我想不通对比了好几辆同款车型都没有生锈只有我</t>
  </si>
  <si>
    <t>2020/02/10 07:58:00</t>
  </si>
  <si>
    <t>新车行驶2000公里，变速箱报故障。当时车子在掉头的过程中突然停了下来，加速踏板没有反应，踩下制动踏板之后再踩加速踏板车子向前走了一点，接着就开不了了，幸亏当时车子不是高速行驶，不然后果不堪设想。现要求退车退款给予赔偿道歉。</t>
  </si>
  <si>
    <t>北京BJ40发动机爆震，热车情况下和上坡急加速有哒哒哒声，希望厂家处理问题。</t>
  </si>
  <si>
    <t>北京BJ40发动机爆震该不会是通病吧！北京BJ40发动机爆震，热车情况下和上坡急加速有哒哒哒声，希望厂家处理问题。</t>
  </si>
  <si>
    <t>变速箱的问题太多了新车行驶2000公里，变速箱报故障。当时车子在掉头的过程中突然停了下来，加速踏板没有反应，踩下制动踏板之后再踩加速踏板车子向前走了一点，接着就开不了了，幸亏当时车子不是高速行驶，不然后果不堪设想。现要求退车退款给予赔偿道歉。</t>
  </si>
  <si>
    <t>江淮的垃圾车生锈问题能不能解决？车才用了一年无意间发现排气管严重生锈，由于我在的地方没有江淮4s店我通过微信加了，4s店的工作人员把照片发给了他，说写报告给厂家反馈看怎么处理，第二天厂家的结果出来了说是涉水部件生锈属于正常的，我很不愿意我的车从来没有走过水路怎么能这么短时间锈的那么严重，我想不通对比</t>
  </si>
  <si>
    <t>后轮有滋滋的声音，这个问题不是普遍存在的，偶发性的故障，经过检查是刹车片已经磨平，怀疑是分泵抱死导致的，还有就是打开油箱盖有明显的气压，4S店告知是正常，本人也开过很多车，从来都没有遇见过，希望没有尽快处理。</t>
  </si>
  <si>
    <t>2020/02/10 07:57:00</t>
  </si>
  <si>
    <t>进口奔驰B级发动机无法启动，通过检测也没发现故障问题，希望厂家协助处理问题。</t>
  </si>
  <si>
    <t>刹车片磨损，是分泵的问题吗后轮有滋滋的声音，这个问题不是普遍存在的，偶发性的故障，经过检查是刹车片已经磨平，怀疑是分泵抱死导致的，还有就是打开油箱盖有明显的气压，4S店告知是正常，本人也开过很多车，从来都没有遇见过，希望没有尽快处理。</t>
  </si>
  <si>
    <t>奔驰B级发动机无法启动进口奔驰B级发动机无法启动，通过检测也没发现故障问题，希望厂家协助处理问题。</t>
  </si>
  <si>
    <t>上汽大众途观L主驾驶座椅皮革破裂露白，希望厂家可以安排工作人员尽快解决。</t>
  </si>
  <si>
    <t>2020/02/10 07:56:00</t>
  </si>
  <si>
    <t>抬刹车起步的时候有声音，去4S店给我检查说东西坏了，需要更换，然后免费给我换了一个，到今天为止这个情况还是存在，没有弄好，今天开车有发现翼子板边缘内侧生锈了。</t>
  </si>
  <si>
    <t>2020年1月11日升降后门窗户时两边都有咯噔咯噔的异响，去4s店售后人员说估计是摇窗机有问题，得拆开检修更换摇窗机，4s店工作人员说介于是新车，最好减少拆修次数，目前他们也没有这款车型的摇窗机，得发货，车买下也就20天，开了只有460公里左右，车就出现这样的问题，我接受不了拆修，给售后总部4008</t>
  </si>
  <si>
    <t>主驾驶座椅皮革破裂露白可以更换吗？上汽大众途观L主驾驶座椅皮革破裂露白，希望厂家可以安排工作人员尽快解决。</t>
  </si>
  <si>
    <t>帝豪翼子板边缘内侧生锈严重抬刹车起步的时候有声音，去4S店给我检查说东西坏了，需要更换，然后免费给我换了一个，到今天为止这个情况还是存在，没有弄好，今天开车有发现翼子板边缘内侧生锈了。</t>
  </si>
  <si>
    <t>升级时异响怎么处理？2020年1月11日升降后门窗户时两边都有咯噔咯噔的异响，去4s店售后人员说估计是摇窗机有问题，得拆开检修更换摇窗机，4s店工作人员说介于是新车，最好减少拆修次数，目前他们也没有这款车型的摇窗机，得发货，车买下也就20天，开了只有460公里左右，车就出现这样的问题，我接受不了拆修</t>
  </si>
  <si>
    <t>广汽本田飞度冷启动异响，VTC动作器异响，发动机设计缺陷，天冷首次启动车辆发动机会有打齿的声音。</t>
  </si>
  <si>
    <t>2020/02/10 07:55:00</t>
  </si>
  <si>
    <t>本人2016年3月购买一汽大众迈腾轿车一辆，购车半年后车内出现了严重异味，是那种废机油夹杂着灰尘的味道，本人自以为用车不当，后经过清洗发动机舱、清洗空调系统，车内放置香水、炭包等方法均没有效果，也一直找不到异味原因，后期异味越发严重，尤其是开外循环情况下，驾乘者会出现头晕恶心等症状。2019年5月份</t>
  </si>
  <si>
    <t>车还在保质期，东风标致4S店没给解决。这图片是在车放外面下了几个小时小雨的图，在2019年7月26号在4S店维修过，还是同样问题没弄好，后备箱下大雨可以喂鱼了。</t>
  </si>
  <si>
    <t>提车至今=ESP故障码时常总会亮起，当地维修站用电脑检测不到，严重影响我的用车安全，投诉多次厂家不理不问，这是良心车企该有的表现吗，很不厚道的江淮皮卡厂家。</t>
  </si>
  <si>
    <t>迈腾的异味问题太严重了本人2016年3月购买一汽大众迈腾轿车一辆，购车半年后车内出现了严重异味，是那种废机油夹杂着灰尘的味道，本人自以为用车不当，后经过清洗发动机舱、清洗空调系统，车内放置香水、炭包等方法均没有效果，也一直找不到异味原因，后期异味越发严重，尤其是开外循环情况下，驾乘者会出现头晕恶心等</t>
  </si>
  <si>
    <t>ESP一直亮可以解决吗？提车至今=ESP故障码时常总会亮起，当地维修站用电脑检测不到，严重影响我的用车安全，投诉多次厂家不理不问，这是良心车企该有的表现吗，很不厚道的江淮皮卡厂家。</t>
  </si>
  <si>
    <t>如图所示 东风标致308后备箱积水车还在保质期，东风标致4S店没给解决。这图片是在车放外面下了几个小时小雨的图，在2019年7月26号在4S店维修过，还是同样问题没弄好，后备箱下大雨可以喂鱼了。</t>
  </si>
  <si>
    <t>　　日前，海外媒体曝光了一组沃尔沃新款V90 Cross Country的道路测试谍照，新车在外观设计上进行了小幅调整。据悉，该车或将于今年年内正式亮相。　　根据此次曝光的谍照可以看出，新款V90 Cross Country的变化主要体现在细节部分。新车前脸的变化不大，点阵式前进气格栅与前大灯组造型</t>
  </si>
  <si>
    <t>本田飞度冷启动时发动机有异响现象广汽本田飞度冷启动异响，VTC动作器异响，发动机设计缺陷，天冷首次启动车辆发动机会有打齿的声音。</t>
  </si>
  <si>
    <t>日前，海外媒体曝光了一组沃尔沃新款V90 Cross Country的道路测试谍照，新车在外观设计上进行了小幅调整。据悉，该车或将于今年年内正式亮相。    根据此次曝光的谍照可以看出，新款V90 Cross Country的变化主要体现在细节部分。新车前脸的变化不大，点阵式前进气格栅与前大灯组造型</t>
  </si>
  <si>
    <t>您好，缸内直喷的车积碳跟喷油嘴积碳需要定时清洗吗？该怎么清洗呢？谢谢老师。</t>
  </si>
  <si>
    <t>2020/02/10 07:28:00</t>
  </si>
  <si>
    <t>这车停车跑电120亳安正常吗？三天不开就完蛋。</t>
  </si>
  <si>
    <t>2020/02/10 07:24:19</t>
  </si>
  <si>
    <t>起步挂D挡变速箱顿挫且异响怎么解决？</t>
  </si>
  <si>
    <t>16款英朗是否支持倒车影像和CarPlay 已有好多车友通过外面的汽修等渠道通过刷机实现了倒车影像和CarPlay 两个功能厂商是否隐藏了这两个功能？</t>
  </si>
  <si>
    <t>2020/02/10 07:20:51</t>
  </si>
  <si>
    <t>2020/02/10 07:13:59</t>
  </si>
  <si>
    <t>投诉编号：【446736】
投诉时间： 2020-02-10 07:11
投诉品牌： 一汽-大众
投诉车系： 宝来
投诉车型： 2019款 宝来·传奇 1.5L 手动 时尚型 国V</t>
  </si>
  <si>
    <t>哈弗F5新车不到1月，电瓶亏电，救援了三次，到4S店维修检查了三次，检查不出问题，叫我开回家去，然后继续亏电，最后一次，考虑是电瓶的问题，直接换了个旧电瓶，然后就没事了（说过年了，先换个旧的用着，过年后再解决问题），然后到处问了问，很多车主都遇见了同样的问题，车型不限哈弗F5，哈弗很多车型都用这种情</t>
  </si>
  <si>
    <t>2020/02/10 07:11:32</t>
  </si>
  <si>
    <t>在国内市场，“BBA”组合强势占据了豪华中型车的半壁江山，德系“三兄弟”也几乎是携手达成了垄断的局面。不过广阔的市场对于一些二线品牌来说仍有机会，相比于扎实严谨的德国人，英伦风格的洒脱与个性同样吸引着大批消费者，捷豹XEL就诠释了英国人对于豪华中型车的另一种理解。新款捷豹XEL为中期改款车型，最大亮</t>
  </si>
  <si>
    <t>2020/02/10 07:10:00</t>
  </si>
  <si>
    <t>　　在国内市场，“BBA”组合强势占据了豪华中型车的半壁江山，德系“三兄弟”也几乎是携手达成了垄断的局面。不过广阔的市场对于一些二线品牌来说仍有机会，相比于扎实严谨的德国人，英伦风格的洒脱与个性同样吸引着大批消费者，捷豹XEL就诠释了英国人对于豪华中型车的另一种理解。新款捷豹XEL为中期改款车型，最</t>
  </si>
  <si>
    <t>　　说起宝马品牌的SUV我们已经再熟悉不过了，每一款车型都有自己独特的定位，且双位数车型更加个性时尚。如今宝马X2的推出不仅弥补了宝马在紧凑级轿跑SUV领域的空白，同时也与宝马X1形成优势互补，为年轻消费者提供更加全面的购车选择。在此前的试驾中，华晨宝马X2已经展现出了不俗的实力，那么在我们关心的日</t>
  </si>
  <si>
    <t>如何驾车才能防止底盘被刮蹭的可能？不管你家爱车是轿车还是SUV，驾车出行都难免会遇到不好的路况，尤其是轿车底盘矮很容易造成爱车底盘被刮。很多车主底盘被刮后还在那里傻傻的很心疼，都还不知道是怎么回事会蹭底。车底盘被刮擦一定要引起重视，轻则损伤底盘部件变形，重则导致漏油大修。今天针对不同的路况，小编给大</t>
  </si>
  <si>
    <t>2020/02/10 07:02:00</t>
  </si>
  <si>
    <t>不管你家爱车是轿车还是SUV，驾车出行都难免会遇到不好的路况，尤其是轿车底盘矮很容易造成爱车底盘被刮。很多车主底盘被刮后还在那里傻傻的很心疼，都还不知道是怎么回事会蹭底。车底盘被刮擦一定要引起重视，轻则损伤底盘部件变形，重则导致漏油大修。今天针对不同的路况，小编给大家总结几种避免爱车刮底的方法。希望</t>
  </si>
  <si>
    <t>2020/02/10 02:10:48</t>
  </si>
  <si>
    <t>投诉编号：【446734】
投诉时间： 2020-02-10 01:32
投诉品牌： 上汽集团
投诉车系： 锐腾
投诉车型： 2015款 1.5TGI TST 豪华版</t>
  </si>
  <si>
    <t>投诉编号：【446733】  投诉时间： 2020-02-10 00:31  投诉品牌： 吉利汽车  投诉车系： 帝豪GL  投诉车型： 2018款 1.4T 自动 精英智联型        投诉内容  吉利帝豪低速或停车踩刹车会有咔咔声响。起步加油转速猛上，发动机声音大却提不起速度，要求厂家解决好</t>
  </si>
  <si>
    <t>2020/02/10 00:31:00</t>
  </si>
  <si>
    <t>2020/02/09 23:59:59</t>
  </si>
  <si>
    <t>投诉编号：【446729】
投诉时间： 2020-02-09 23:50
投诉品牌： 长城汽车
投诉车系： 哈弗F7
投诉车型： 2019款 1.5T 两驱 i潮</t>
  </si>
  <si>
    <t>投诉编号：【446728】  投诉时间： 2020-02-09 23:34  投诉品牌： 华晨宝马  投诉车系： 宝马3系  投诉车型： 2020款 325Li M运动套装        投诉内容  车辆行驶路面稍有颠簸，仪表盘附近的塑料包围会发出严重异响，车辆异响严重，有车门也有异响，无法修复，此</t>
  </si>
  <si>
    <t>2020/02/09 23:34:00</t>
  </si>
  <si>
    <t>投诉编号：【446727】  投诉时间： 2020-02-09 22:54  投诉品牌： 江淮汽车  投诉车系： 帅铃T8  投诉车型： 2018款 2.0T 两驱 尊贵型 大双HFC4DB2-1D1        投诉内容  提车至今=ESP故障码时常总会亮起，当地维修站用电脑检测不到，严重影响我</t>
  </si>
  <si>
    <t>2020/02/09 22:54:00</t>
  </si>
  <si>
    <t>2020/02/09 22:29:53</t>
  </si>
  <si>
    <t>投诉编号：【446725】
投诉时间： 2020-02-09 22:26
投诉品牌： 北京现代
投诉车系： 途胜
投诉车型： 2015款 1.6T 双离合 两驱 智能型</t>
  </si>
  <si>
    <t>2020/02/09 22:29:28</t>
  </si>
  <si>
    <t>投诉编号：【446724】
投诉时间： 2020-02-09 22:23
投诉品牌： 一汽-大众
投诉车系： 迈腾
投诉车型： 2015款 1.8TSI 豪华型</t>
  </si>
  <si>
    <t>2020/02/09 22:29:25</t>
  </si>
  <si>
    <t>投诉编号：【446723】
投诉时间： 2020-02-09 22:00
投诉品牌： 一汽丰田
投诉车系： RAV4荣放
投诉车型： 2020款 2.0L CVT 两驱 风尚版</t>
  </si>
  <si>
    <t>2020/02/09 22:09:56</t>
  </si>
  <si>
    <t>投诉编号：【446722】
投诉时间： 2020-02-09 21:49
投诉品牌： 奇瑞捷豹路虎
投诉车系： 捷豹XEL
投诉车型： 2018款 2.0T 200PS 尊享版</t>
  </si>
  <si>
    <t>2020/02/09 21:40:46</t>
  </si>
  <si>
    <t>投诉编号：【446721】
投诉时间： 2020-02-09 21:31
投诉品牌： 华晨宝马
投诉车系： 宝马X1
投诉车型： 2018款 xDrive20Li 尊享型</t>
  </si>
  <si>
    <t xml:space="preserve">投诉编号：【446720】  投诉时间： 2020-02-09 21:26  投诉品牌： 华晨宝马  投诉车系： 宝马3系  投诉车型： 2019款 320Li 时尚型        投诉内容  下雨天，后座脚垫有积水，驾驶室一侧。目前还不清楚是什么原因，估计要放在4S店检查。      投诉回复 </t>
  </si>
  <si>
    <t>2020/02/09 21:26:00</t>
  </si>
  <si>
    <t>投诉编号：【446719】  投诉时间： 2020-02-09 21:07  投诉品牌： 奇瑞汽车  投诉车系： 瑞虎5  投诉车型： 2014款 2.0L CVT 家悦版        投诉内容  自购买此车日起车内一直有严重的弄味，一直都未能消除。开始以为是新车本来的味道，用后会逐渐消除，但购车</t>
  </si>
  <si>
    <t>2020/02/09 21:07:00</t>
  </si>
  <si>
    <t>投诉编号：【446718】  投诉时间： 2020-02-09 21:03  投诉品牌： 一汽-大众  投诉车系： 探岳  投诉车型： 2019款 330TSI 两驱 豪华型Plus 国VI        投诉内容  变速箱换挡异响，尤其是降挡的时候，4降3，3降2，2降1，每降一挡都会有咔嚓一声，</t>
  </si>
  <si>
    <t>2020/02/09 21:03:00</t>
  </si>
  <si>
    <t>投诉编号：【446717】  投诉时间： 2020-02-09 21:02  投诉品牌： 一汽-大众  投诉车系： 速腾  投诉车型： 2018款 280TSI DSG熠动版        投诉内容  轮胎为18年的韩泰轮胎，开6000公里时就有了细小裂纹，保养两次，4S店检验轮胎正常，现在1960</t>
  </si>
  <si>
    <t>2020/02/09 21:02:00</t>
  </si>
  <si>
    <t>哈弗F5新车不到1月，电瓶亏电，修三次修不好，又不愿意给我换新的</t>
  </si>
  <si>
    <t>一4二4</t>
  </si>
  <si>
    <t>2020/02/09 20:58:00</t>
  </si>
  <si>
    <t>哈弗F5新车电瓶亏电哈弗F5新车不到1月，电瓶亏电，修三次修不好，又不愿意给我换新的</t>
  </si>
  <si>
    <t>投诉编号：【446716】  投诉时间： 2020-02-09 20:53  投诉品牌： 长城汽车  投诉车系： 哈弗F5  投诉车型： 2019款 1.5T i潮 国潮版  国V        投诉内容  哈弗F5新车不到1月电瓶亏电，不能发动，4S店免费救援三次，第一次检查说没问题，叫回家，回家</t>
  </si>
  <si>
    <t>2020/02/09 20:53:00</t>
  </si>
  <si>
    <t>投诉编号：【446715】  投诉时间： 2020-02-09 20:31  投诉品牌： 长安汽车  投诉车系： 长安CS55  投诉车型： 2018款 1.5T 自动 炫色型 国V        投诉内容  长安CS55频繁出现故障高速经常加速无力，转速两千转左右轻踩油门失灵，深踩直接掉挡，多次去</t>
  </si>
  <si>
    <t>2020/02/09 20:31:00</t>
  </si>
  <si>
    <t>2020/02/09 20:07:41</t>
  </si>
  <si>
    <t>投诉编号：【446708】
投诉时间： 2020-02-09 19:17
投诉品牌： 上汽大众
投诉车系： 帕萨特
投诉车型： 2011款 新PASSAT 1.8TSI DSG 至尊版</t>
  </si>
  <si>
    <t>投诉编号：【446710】  投诉时间： 2020-02-09 19:51  投诉品牌： 宝马（进口）  投诉车系： 宝马X3  投诉车型： 2016款 sDrive20i        投诉内容  2019年7月份首次发现后备箱进水，到4S店检查说找不到问题。以后下雨天也会发现后备箱有些湿，今天（</t>
  </si>
  <si>
    <t>2020/02/09 19:51:00</t>
  </si>
  <si>
    <t>投诉编号：【446709】  投诉时间： 2020-02-09 19:48  投诉品牌： 奇瑞汽车  投诉车系： 艾瑞泽7e  投诉车型： 2016款 1.6L e 致尚版        投诉内容  车下坡时自动熄火提示高压故障，停在大友红绿灯路南。      投诉回复  车质网已将您的投诉转给生产</t>
  </si>
  <si>
    <t>2020/02/09 19:48:00</t>
  </si>
  <si>
    <t>投诉编号：【446707】  投诉时间： 2020-02-09 18:58  投诉品牌： 北京汽车  投诉车系： 绅宝X55  投诉车型： 2016款 1.5T CVT 精英版        投诉内容  绅宝X55转向卡滞 沉重 发动机噪音大，直线行驶方向盘卡，沉重，感觉方向盘像吸着，发动机声音大，</t>
  </si>
  <si>
    <t>2020/02/09 18:58:00</t>
  </si>
  <si>
    <t>投诉编号：【446705】  投诉时间： 2020-02-09 18:08  投诉品牌： 一汽奔腾  投诉车系： 奔腾B30  投诉车型： 2016款 1.6L 手动 尊享型        投诉内容  一汽奔腾B30方向盘卡顿，悬挂异响。12000公里换过一次转向管柱。      投诉回复  车质网</t>
  </si>
  <si>
    <t>2020/02/09 18:08:00</t>
  </si>
  <si>
    <t>投诉编号：【446702】  投诉时间： 2020-02-09 17:59  投诉品牌： 郑州日产  投诉车系： 途达  投诉车型： 2020款 2.5L 自动 四驱 旗舰版        投诉内容  新车跑了100多公里，停了3天全车没电了，打电话给经销商说是电瓶取下充电，充满了过后装好电瓶3天后</t>
  </si>
  <si>
    <t>2020/02/09 17:59:00</t>
  </si>
  <si>
    <t>投诉编号：【446701】投诉时间：2020-02-0917:24投诉品牌：一汽-大众投诉车系：速腾投诉车型：2019款280TSIDSG舒适型国VI投诉内容大众速腾变速箱有异响，一挡升二挡变速箱咔咔响，降挡声音更大，如果4店三次，告诉我说正常，我试过别人的同款车，还有试驾车，根本没有异响，现在的声</t>
  </si>
  <si>
    <t>2020/02/09 17:24:00</t>
  </si>
  <si>
    <t>投诉编号：【446700】投诉时间：2020-02-0917:17投诉品牌：三一牌投诉车系：重型半挂牵引车投诉车型：重型半挂牵引车投诉内容三一牌拉手，安装错误，导致拉手断了，导致我摔断左手。现在要求尽快解决。投诉回复车质网已将您的投诉转给生产企业以及国家市场监督管理总局缺陷产品管理中心，我们将会对此</t>
  </si>
  <si>
    <t>2020/02/09 17:17:00</t>
  </si>
  <si>
    <t>投诉编号：【446696】  投诉时间： 2020-02-09 16:19  投诉品牌： 上汽集团  投诉车系： 名爵HS  投诉车型： 2018款 20T 自动 两驱 荷尔蒙激情版 国V        投诉内容  上汽名爵HS，半个月前出现过停放5天亏电无法启动，搭电后解决。春节回家跑长途600公</t>
  </si>
  <si>
    <t>2020/02/09 16:19:00</t>
  </si>
  <si>
    <t>汽车内饰保养需要做好哪几方面如果能一直拥有个良好的驾驶环境很重要，那么日常中，汽车内饰保养需要做好哪几方面呢？1、蒸汽杀菌专业的蒸汽杀菌除了对车内空气进行全面的高温杀菌外，还针对车内的空调出风口、座椅、地绒等几个容易积存灰尘和细菌的部位进行重点杀菌处理，确保完全杀灭那些肉眼看不见的螨虫、霉菌和微生物</t>
  </si>
  <si>
    <t>2020/02/09 15:54:00</t>
  </si>
  <si>
    <t>如果能一直拥有个良好的驾驶环境很重要，那么日常中，汽车内饰保养需要做好哪几方面呢？1、蒸汽杀菌专业的蒸汽杀菌除了对车内空气进行全面的高温杀菌外，还针对车内的空调出风口、座椅、地绒等几个容易积存灰尘和细菌的部位进行重点杀菌处理，确保完全杀灭那些肉眼看不见的螨虫、霉菌和微生物，保护家人和自己的健康。同时</t>
  </si>
  <si>
    <t xml:space="preserve">投诉编号：【446694】  投诉时间： 2020-02-09 15:33  投诉品牌： 一汽-大众  投诉车系： 宝来  投诉车型： 2017款 230TSI DSG 舒适型        投诉内容  一汽大众宝来下雨天驾驶室以及副驾驶室就漏水严重，天窗漏下的水！要求厂家解决好车辆的问题。    </t>
  </si>
  <si>
    <t>2020/02/09 15:33:00</t>
  </si>
  <si>
    <t>投诉编号：【446693】投诉时间：2020-02-0915:19投诉品牌：东风本田投诉车系：本田CR-V投诉车型：2019款240TURBOCVT两驱风尚版国VI投诉内容东风本田CR-V发动机机油乳化，5000公里的时候就有点机油乳化，擦了一下，感觉没事，现在5800公里的时候洗车的时候一看，又乳</t>
  </si>
  <si>
    <t>2020/02/09 15:19:00</t>
  </si>
  <si>
    <t>投诉编号：【446691】投诉时间：2020-02-0915:13投诉品牌：上汽集团投诉车系：名爵HS投诉车型：2018款30T自动四驱Trophy荷尔蒙超燃版国V投诉内容20天之前发生过一次，联系4s店检查说没问题，我也没多想，以为是偶发，可最近就惨了经常这样了，因为新冠病毒疫情进出公司，小区，路</t>
  </si>
  <si>
    <t>2020/02/09 15:13:00</t>
  </si>
  <si>
    <t>您好，我发现T77这辆车铭牌最大允许总质量1860KG，但是车重1485KG，这样最大载重是不是就只剩下375公斤了，基本坐五个大男人就超载，这辆车超载会有什么影响吗？</t>
  </si>
  <si>
    <t>2020/02/09 14:50:29</t>
  </si>
  <si>
    <t>投诉编号：【446688】  投诉时间： 2020-02-09 14:33  投诉品牌： 上汽通用五菱  投诉车系： 五菱荣光V  投诉车型： 2016款 1.5L 标准型        投诉内容  五菱荣光V变速箱挂挡困难，车窗无法上升，经常是第一次起步时1、2挡难挂入，几公里后缓解，副驾驶窗玻璃</t>
  </si>
  <si>
    <t>2020/02/09 14:33:00</t>
  </si>
  <si>
    <t>投诉编号：【446687】  投诉时间： 2020-02-09 14:30  投诉品牌： 上汽斯柯达  投诉车系： 速派  投诉车型： 2013款 1.4T DSG 绅仕版        投诉内容  浙江省宁波市4s店售后服务太差劲了。质保3年内做了无数次机油标定测试，却没有一张检测报告单，均以口头</t>
  </si>
  <si>
    <t>2020/02/09 14:30:00</t>
  </si>
  <si>
    <t>投诉编号：【446685】  投诉时间： 2020-02-09 14:10  投诉品牌： 凯翼汽车  投诉车系： 凯翼C3  投诉车型： 2015款 1.5L AMT 金钻版        投诉内容  车辆在行驶过程中出现脱挡，造成安全隐患，经其他4s店确认是挡位执行器坏掉！（年前年27厂家给电话我</t>
  </si>
  <si>
    <t>2020/02/09 14:10:00</t>
  </si>
  <si>
    <t>投诉编号：【446683】  投诉时间： 2020-02-09 14:01  投诉品牌： 一汽-大众奥迪  投诉车系： 奥迪A3  投诉车型： 2019款 Limousine 35 TFSI 进取型 国V        投诉内容  一汽大众奥迪A3发动机烧机油故障灯报警，新车3500公里发动机严重烧</t>
  </si>
  <si>
    <t>2020/02/09 14:01:00</t>
  </si>
  <si>
    <t>投诉编号：【446682】  投诉时间： 2020-02-09 14:00  投诉品牌： 一汽-大众  投诉车系： 宝来  投诉车型： 2020款 1.5L 自动 舒适型        投诉内容  一汽大众宝来新车验车，发现维修痕迹！4S店不承认且态度恶劣！要求退还诚意金（4S店说年前退，现在都没有</t>
  </si>
  <si>
    <t>2020/02/09 14:00:00</t>
  </si>
  <si>
    <t>投诉编号：【446681】  投诉时间： 2020-02-09 13:59  投诉品牌： 广汽本田  投诉车系： 雅阁  投诉车型： 2015款 2.0L LX 舒适版        投诉内容  因空调不制冷，在2019年09月03日投诉后4S店让把车开到4S检查，确认需要清洗油路及积碳，交车后空调</t>
  </si>
  <si>
    <t>2020/02/09 13:59:00</t>
  </si>
  <si>
    <t>投诉编号：【446680】  投诉时间： 2020-02-09 13:58  投诉品牌： 江淮汽车  投诉车系： 瑞风S3  投诉车型： 2014款 1.5L 手动 豪华型        投诉内容  这个车真的不是一般的臭，从买来第一天开始，就没有散去，现在家人晕车，朋友晕车，请问，谁还敢坐这个车？</t>
  </si>
  <si>
    <t>2020/02/09 13:58:00</t>
  </si>
  <si>
    <t>要是车身漏电怎么解决？</t>
  </si>
  <si>
    <t>2020/02/09 13:21:49</t>
  </si>
  <si>
    <t>为什么每次启动车，车载导航会重启，这是什么原因导致的？</t>
  </si>
  <si>
    <t>16款奇瑞艾瑞泽5电瓶经常亏电怎么解决？</t>
  </si>
  <si>
    <t>2020/02/09 12:59:01</t>
  </si>
  <si>
    <t>2020/02/09 12:55:51</t>
  </si>
  <si>
    <t>投诉编号：【446675】
投诉时间： 2020-02-09 12:22
投诉品牌： 上汽集团
投诉车系： 荣威RX5
投诉车型： 2018款 20T 手动 两驱 互联网智惠版</t>
  </si>
  <si>
    <t>2020/02/09 12:48:36</t>
  </si>
  <si>
    <t>投诉编号：【446676】
投诉时间： 2020-02-09 12:31
投诉品牌： 比亚迪
投诉车系： 秦新能源
投诉车型： 2018款 1.5T 智联精英型</t>
  </si>
  <si>
    <t>日产劲客2020款还有机油乳化的现象吗？</t>
  </si>
  <si>
    <t>2020/02/09 12:35:53</t>
  </si>
  <si>
    <t>投诉编号：【446673】  投诉时间： 2020-02-09 12:09  投诉品牌： 广汽三菱  投诉车系： 劲炫ASX  投诉车型： 2018款 2.0L CVT 两驱 尊享版        投诉内容  车辆起步时候，转速在在1100转到1400转这个区间，速度30码到45码区间，发动机舱有共</t>
  </si>
  <si>
    <t>2020/02/09 12:09:00</t>
  </si>
  <si>
    <t>一汽大众车胎鼓包，还没去换胎，4S店就肯定的说是受外力影响，我的轮胎保质期6个月-10000公里！都没有达到标准，就这样堂而皇之的决定，真的不用去检测了吗？请问各位有权威的第三方检测是哪个公司？我在浙江温州！</t>
  </si>
  <si>
    <t>2020/02/09 11:37:59</t>
  </si>
  <si>
    <t>投诉编号：【446668】  投诉时间： 2020-02-09 11:17  投诉品牌： 东风风行  投诉车系： 风行T5L  投诉车型： 2020款 1.5T 自动 豪华型 7座 国VI        投诉内容  东风风行T5L新车排放系统故障，买回来三天就出现GPF过载，要求厂家解决好车辆的问题</t>
  </si>
  <si>
    <t>2020/02/09 11:17:00</t>
  </si>
  <si>
    <t>投诉编号：【446667】  投诉时间： 2020-02-09 11:10  投诉品牌： 广汽本田  投诉车系： 锋范  投诉车型： 2017款 1.5L 手动 舒适版        投诉内容  启动机故障，在青岛广汽本田更换过一次，之后大概3个月后出现异响，每次冷启动或者停两个小时以上再次启动就会</t>
  </si>
  <si>
    <t>2020/02/09 11:10:00</t>
  </si>
  <si>
    <t>Cadenza是起亚旗下的一款中型轿车，国内市场称之为凯尊，该款曾于2011年-2013年以进口形式引入国内市场销售。目前起亚新款Cadenza已在芝加哥车展上正式亮相，新车对内饰方面进行了部分升级优化，并有望在今年年内率先登陆海外市场销售。    动力方面，新车将搭载一台3.3L V6自然吸气发动</t>
  </si>
  <si>
    <t>2020/02/09 10:38:00</t>
  </si>
  <si>
    <t>　　Cadenza是起亚旗下的一款中型轿车，国内市场称之为凯尊，该款曾于2011年-2013年以进口形式引入国内市场销售。目前起亚新款Cadenza已在芝加哥车展上正式亮相，新车对内饰方面进行了部分升级优化，并有望在今年年内率先登陆海外市场销售。　　动力方面，新车将搭载一台3.3L V6自然吸气发动</t>
  </si>
  <si>
    <t>随着国内新能源市场的快速发展，北京现代在2019年便推出领动PHEV和昂希诺EV两款新能源车型。网上车市从北京现代官方获悉，另一款重磅车型菲斯塔纯电动将于2月18日正式上市，综合续航里程490km，相比大众朗逸纯电、日产轩逸·纯电等竞品更具优势。目前自主品牌也上升至中高端纯电动市场，去抢占合资领域的</t>
  </si>
  <si>
    <t>2020/02/09 10:36:00</t>
  </si>
  <si>
    <t>　　随着国内新能源市场的快速发展，北京现代在2019年便推出领动PHEV和昂希诺EV两款新能源车型。网上车市从北京现代官方获悉，另一款重磅车型菲斯塔纯电动将于2月18日正式上市，综合续航里程490km，相比大众朗逸纯电、日产轩逸・纯电等竞品更具优势。目前自主品牌也上升至中高端纯电动市场，去抢占合资领</t>
  </si>
  <si>
    <t>　　2019年是北京越野变化最快的一年，在新品牌战略的指引，及新产品持续助力下，北京越野牢牢抓住了属于自己的细分市场，强势逆袭。2020年是北京越野的产品大年，品牌将对各细分市场做出梳理与调整，补齐目前略显空白的细分领域。具体产品方面，北京越野今年将陆续推出包括BJ30、新款F40、BJ40系列以及</t>
  </si>
  <si>
    <t>2020/02/09 10:33:00</t>
  </si>
  <si>
    <t>2019年是北京越野变化最快的一年，在新品牌战略的指引，及新产品持续助力下，北京越野牢牢抓住了属于自己的细分市场，强势逆袭。2020年是北京越野的产品大年，品牌将对各细分市场做出梳理与调整，补齐目前略显空白的细分领域。具体产品方面，北京越野今年将陆续推出包括BJ30、新款F40、BJ40系列以及新款</t>
  </si>
  <si>
    <t xml:space="preserve">目前全新一代瑞虎7正处在预售阶段，奇瑞2020年的产品攻势也随之拉开了帷幕。后续产品方面，奇瑞还将在今年陆续推出艾瑞泽5运动版、瑞虎5x年型车、瑞虎8大改款（代号T1D）、瑞虎3x年款型。其中，最快与大家见面的全新一代瑞虎7将在2月18日上市，但受目前疫情影响，最终上市时间点可能会有所变动。    </t>
  </si>
  <si>
    <t>2020/02/09 10:31:00</t>
  </si>
  <si>
    <t>　　目前全新一代瑞虎7正处在预售阶段，奇瑞2020年的产品攻势也随之拉开了帷幕。后续产品方面，奇瑞还将在今年陆续推出艾瑞泽5运动版、瑞虎5x年型车、瑞虎8大改款（代号T1D）、瑞虎3x年款型。其中，最快与大家见面的全新一代瑞虎7将在2月18日上市，但受目前疫情影响，最终上市时间点可能会有所变动。　　</t>
  </si>
  <si>
    <t>相信这段时间大家一定都被宝马全新一代4系的“大鼻孔”刷屏了。在浏览完各家媒体的正文后，我也特意关注了一下下方的评论区，可以说是褒贬不一，有吐槽的也有力挺的。当然，人无完人，车肯定也没有十全十美的，作为一个中立的消费者来说，我倒是觉得这样的设计没有毛病，毕竟小众车就得有个小众车的样子嘛。    熟悉宝</t>
  </si>
  <si>
    <t>2020/02/09 10:29:00</t>
  </si>
  <si>
    <t>　　相信这段时间大家一定都被宝马全新一代4系的“大鼻孔”刷屏了。在浏览完各家媒体的正文后，我也特意关注了一下下方的评论区，可以说是褒贬不一，有吐槽的也有力挺的。当然，人无完人，车肯定也没有十全十美的，作为一个中立的消费者来说，我倒是觉得这样的设计没有毛病，毕竟小众车就得有个小众车的样子嘛。　　熟悉宝</t>
  </si>
  <si>
    <t>　　2020芝加哥车展正式开幕了，作为全美持续时间最长，最大的车展之一，皮卡必然也是少不了的关键车型，今天就来一起看看芝加哥车展有什么皮卡车型。　　JEEP Jeep可以说是此次车展上动作比较大的皮卡品牌了，先是隆重了发布了角斗士的定制版车型Mojave，接着又发布了高地版High Altitude</t>
  </si>
  <si>
    <t>2020/02/09 10:27:00</t>
  </si>
  <si>
    <t>2020芝加哥车展正式开幕了，作为全美持续时间最长，最大的车展之一，皮卡必然也是少不了的关键车型，今天就来一起看看芝加哥车展有什么皮卡车型。    JEEP Jeep可以说是此次车展上动作比较大的皮卡品牌了，先是隆重了发布了角斗士的定制版车型Mojave，接着又发布了高地版High Altitude</t>
  </si>
  <si>
    <t>目前雪佛兰已在华布局了三款SUV车型，分别为探界者、创界以及创酷，覆盖中型、紧凑级以及小型SUV车型，而全新中大型SUV开拓者也将于今年上市开售。近日海外媒体曝光了一组雪佛兰全新探界者实车图，新车已在2020年芝加哥车展上正式亮相，并将于今年秋季率先在海外市场上市开售。    动力方面，新车将搭载1</t>
  </si>
  <si>
    <t>2020/02/09 10:24:00</t>
  </si>
  <si>
    <t>　　目前雪佛兰已在华布局了三款SUV车型，分别为探界者、创界以及创酷，覆盖中型、紧凑级以及小型SUV车型，而全新中大型SUV开拓者也将于今年上市开售。近日海外媒体曝光了一组雪佛兰全新探界者实车图，新车已在2020年芝加哥车展上正式亮相，并将于今年秋季率先在海外市场上市开售。　　动力方面，新车将搭载1</t>
  </si>
  <si>
    <t>提及大众Atlas想必大家都有些陌生，该款车型为大众旗下的一款中大型SUV，同为国内市场中的途昂车型。近日海外媒体曝光了一组大众Atlas实车图片，新车已在2020年芝加哥车展前夕正式发布，并有望在今年某个时间点上市开售。    动力方面，新车将搭载2.0T涡轮增压发动机以及3.6L V6自然吸气发</t>
  </si>
  <si>
    <t>2020/02/09 10:21:00</t>
  </si>
  <si>
    <t>　　提及大众Atlas想必大家都有些陌生，该款车型为大众旗下的一款中大型SUV，同为国内市场中的途昂车型。近日海外媒体曝光了一组大众Atlas实车图片，新车已在2020年芝加哥车展前夕正式发布，并有望在今年某个时间点上市开售。　　动力方面，新车将搭载2.0T涡轮增压发动机以及3.6L V6自然吸气发</t>
  </si>
  <si>
    <t>国产车"转折点" 又火了！ 详解新宝骏RM-5</t>
  </si>
  <si>
    <t>　　各位老铁，先给大家拜个晚年！提到宝骏这个汽车品牌，大家对它一定再熟悉不过了，“神车专业户”嘛！每一款宝骏的车，自打上市那天起，总会爆发出“洪荒之力”，用不了多久，销量就能吊炸天。就好像现在在潮流圈呼风唤雨的Knaye West，虽说这位大神的颜值和身材都比不了“万人迷”贝克汉姆。可是他一出手就是</t>
  </si>
  <si>
    <t>2020/02/09 10:15:00</t>
  </si>
  <si>
    <t>　　SUV市场一直是所有汽车企业的主要“战场”，其中小型SUV更为“吃香”，其小巧但实用的尺寸让它们在城市中使用更加方便灵活，同时也具备了良好的视野和一定的通过性。如今，小型SUV越来越受到当下年轻消费者的关注，尤其是一些自主品牌旗下的热门车型，逐渐成熟的品牌形象和相应的技术实力，让很多消费者也开始</t>
  </si>
  <si>
    <t>2020/02/09 10:11:00</t>
  </si>
  <si>
    <t>如何看待奔驰A 35 L AMG这车    35系列的推出，使得AMG的产品家族再一次丰富，相应的，35系列也理所应当的成为入门级的AMG车型，获得日常用车和运动操控之间的平衡，便成为这款A 35 L AMG传递给用户的最大产品特征。    之前在知乎上有一条评论，细品之后还是决定发上来让大家再次消</t>
  </si>
  <si>
    <t>2020/02/09 10:07:00</t>
  </si>
  <si>
    <t>　　如何看待奔驰A 35 L AMG这车　　35系列的推出，使得AMG的产品家族再一次丰富，相应的，35系列也理所应当的成为入门级的AMG车型，获得日常用车和运动操控之间的平衡，便成为这款A 35 L AMG传递给用户的最大产品特征。　　之前在知乎上有一条评论，细品之后还是决定发上来让大家再次消化一</t>
  </si>
  <si>
    <t>投诉编号：【446666】  投诉时间： 2020-02-09 10:05  投诉品牌： 北汽银翔  投诉车系： 幻速H3  投诉车型： 2015款 1.5L 豪华型        投诉内容  车辆登记证的轮毂是195/60R15，原车配备轮毂尺寸为195/60R16。2018年，年审员没有看，所以</t>
  </si>
  <si>
    <t>2020/02/09 10:05:00</t>
  </si>
  <si>
    <t>投诉编号：【446665】  投诉时间： 2020-02-09 10:04  投诉品牌： 上汽大众  投诉车系： 凌渡  投诉车型： 2019款 280TSI DSG 舒适版 国V        投诉内容  上汽大众凌渡4S店隐瞒销售库存车，2019年11月买到2019年4月生产的车，库存长达7个月</t>
  </si>
  <si>
    <t>2020/02/09 10:04:00</t>
  </si>
  <si>
    <t>受到有利汇率和销量高于预期的提振，丰田汽车将2020财年（2019年4月至2020年3月）营业利润预期上调了4.2%。但丰田同时补充称，由于新型冠状病毒感染肺炎疫情对公司产生的影响难以估量，因此目前并未将疫情影响业绩的情况考虑在内。    为防止病毒进一步传播，目前各大车企位于中国境内的工厂大多处于</t>
  </si>
  <si>
    <t>2020/02/09 10:03:00</t>
  </si>
  <si>
    <t>　　受到有利汇率和销量高于预期的提振，丰田汽车将2020财年（2019年4月至2020年3月）营业利润预期上调了4.2%。但丰田同时补充称，由于新型冠状病毒感染肺炎疫情对公司产生的影响难以估量，因此目前并未将疫情影响业绩的情况考虑在内。　　为防止病毒进一步传播，目前各大车企位于中国境内的工厂大多处于</t>
  </si>
  <si>
    <t>2020芝加哥车展已经拉开帷幕，丰田正式发布坦途Trail Edition特别版车型。新车主要在外观配色以及内饰配置上凸显不同。    外观方面，新车基于坦途的SR5车型打造，主打户外风格。在SR5基础上，新车型提供军绿/水泥灰/午夜黑/超级白四种车漆，搭配黑色车身标识。另外坦途Trail Edit</t>
  </si>
  <si>
    <t>2020/02/09 10:01:00</t>
  </si>
  <si>
    <t>　　2020芝加哥车展已经拉开帷幕，丰田正式发布坦途Trail Edition特别版车型。新车主要在外观配色以及内饰配置上凸显不同。　　外观方面，新车基于坦途的SR5车型打造，主打户外风格。在SR5基础上，新车型提供军绿/水泥灰/午夜黑/超级白四种车漆，搭配黑色车身标识。另外坦途Trail Edit</t>
  </si>
  <si>
    <t>2020芝加哥车展已经拉开帷幕。本届车展上，捷尼赛思GV80正式亮相。此前，在第54届“超级碗”（NFL职业橄榄球大联盟的年度冠军赛）直播中，捷尼赛思向观众展示了全新GV80，此次则是在车展上正式与大家见面。新车定位为中大型SUV，可提供2排/3排座椅布局供消费者选择。按照规划，GV80将于今年夏天</t>
  </si>
  <si>
    <t>2020/02/09 09:59:00</t>
  </si>
  <si>
    <t>　　2020芝加哥车展已经拉开帷幕。本届车展上，捷尼赛思GV80正式亮相。此前，在第54届“超级碗”（NFL职业橄榄球大联盟的年度冠军赛）直播中，捷尼赛思向观众展示了全新GV80，此次则是在车展上正式与大家见面。新车定位为中大型SUV，可提供2排/3排座椅布局供消费者选择。按照规划，GV80将于今年</t>
  </si>
  <si>
    <t>据外媒报道，德国和法国制定了一份关于超级电池工厂的蓝图，旨在与特斯拉的中国电池供应商对标产能。两国计划在欧洲共同推动一项总投资达50亿欧元（约合人民币383亿元）的电池项目，总产能约为48GWh。    德国经济与能源部发布了声明，展现欧盟各国计划与亚洲竞争对手一较高下的决心。他们认为亚洲的电池厂商</t>
  </si>
  <si>
    <t>2020/02/09 09:54:00</t>
  </si>
  <si>
    <t>　　据外媒报道，德国和法国制定了一份关于超级电池工厂的蓝图，旨在与特斯拉的中国电池供应商对标产能。两国计划在欧洲共同推动一项总投资达50亿欧元（约合人民币383亿元）的电池项目，总产能约为48GWh。　　德国经济与能源部发布了声明，展现欧盟各国计划与亚洲竞争对手一较高下的决心。他们认为亚洲的电池厂商</t>
  </si>
  <si>
    <t>据外媒报道，韩国政府于2月7日表示，希望中国地方政府给予大量支持，为韩国汽车零部件在华工厂恢复生产提供帮助。就在两天前，现代汽车表示，因零部件供应中断，其在韩国的七家工厂面临停工。现代汽车成为了首家中国境外的采取停产措施的车企。    韩国政府表示，现代摩比斯、锦湖轮胎等韩系供应商在中国的生产都已关</t>
  </si>
  <si>
    <t>2020/02/09 09:32:00</t>
  </si>
  <si>
    <t>　　据外媒报道，韩国政府于2月7日表示，希望中国地方政府给予大量支持，为韩国汽车零部件在华工厂恢复生产提供帮助。就在两天前，现代汽车表示，因零部件供应中断，其在韩国的七家工厂面临停工。现代汽车成为了首家中国境外的采取停产措施的车企。　　韩国政府表示，现代摩比斯、锦湖轮胎等韩系供应商在中国的生产都已关</t>
  </si>
  <si>
    <t>2020/02/09 09:28:53</t>
  </si>
  <si>
    <t>投诉编号：【446664】
投诉时间： 2020-02-09 08:43
投诉品牌： 上汽通用雪佛兰
投诉车系： 迈锐宝XL
投诉车型： 2018款 530T 自动 锐驰版</t>
  </si>
  <si>
    <t>　　日前我们从相关渠道获悉，小鹏汽车纯电动中型轿车P7预计将于2020年4月份上市，将于2020年5-6月份交付。目前该车共有3款预售车型，预售价为24.00-37.00万元，官方称截至2019年12月31日，该车累计订单量已达15000+。　　小鹏汽车P7定位为中型纯电动轿车，新车与该品牌首款产品</t>
  </si>
  <si>
    <t>2020/02/09 09:28:00</t>
  </si>
  <si>
    <t>日前我们从相关渠道获悉，小鹏汽车纯电动中型轿车P7预计将于2020年4月份上市，将于2020年5-6月份交付。目前该车共有3款预售车型，预售价为24.00-37.00万元，官方称截至2019年12月31日，该车累计订单量已达15000+。    小鹏汽车P7定位为中型纯电动轿车，新车与该品牌首款产品</t>
  </si>
  <si>
    <t>据外媒报道，上周，特斯拉宣布开始生产Model Y车型，并将于3月开始交付。另外，特斯拉还表示提高了Model Y的能效，使其拥有更长的续航里程。近日美国环境保护署（EPA）发布官方评级称，已确认特斯拉Model Y单次充电的续航里程为315英里（约合507公里）。    EPA方面表示，Model</t>
  </si>
  <si>
    <t>2020/02/09 09:26:00</t>
  </si>
  <si>
    <t>　　据外媒报道，上周，特斯拉宣布开始生产Model Y车型，并将于3月开始交付。另外，特斯拉还表示提高了Model Y的能效，使其拥有更长的续航里程。近日美国环境保护署（EPA）发布官方评级称，已确认特斯拉Model Y单次充电的续航里程为315英里（约合507公里）。　　EPA方面表示，Model</t>
  </si>
  <si>
    <t>　　2月8日，比亚迪官方正式宣布，为更好地应对疫情控制关键期，公司将调配资源，着手防护物资生产设备的设计和制造，援产口罩和消毒液，以满足当前对防护物资的需求。　　据比亚迪介绍，口罩和消毒液预计将在2月17日前后量产出货（口罩产能本月底可达500万只/天，消毒液产能5万瓶/天），直至疫情缓解和消除。其</t>
  </si>
  <si>
    <t>2020/02/09 09:23:00</t>
  </si>
  <si>
    <t>2月8日，比亚迪官方正式宣布，为更好地应对疫情控制关键期，公司将调配资源，着手防护物资生产设备的设计和制造，援产口罩和消毒液，以满足当前对防护物资的需求。    据比亚迪介绍，口罩和消毒液预计将在2月17日前后量产出货（口罩产能本月底可达500万只/天，消毒液产能5万瓶/天），直至疫情缓解和消除。其</t>
  </si>
  <si>
    <t>日前，理想汽车产品经理发布视频称，理想ONE的下一个OTA版本将推送车载微信功能，在视频中该产品经理也展示了车载微信的部分操作，通过语音控制和方向盘多功能按键即可对车载微信进行相应控制。    在2019年12月31日，理想汽车CEO李想称，理想ONE首月产量为1500辆，交付量也已达1000辆；在</t>
  </si>
  <si>
    <t>2020/02/09 09:21:00</t>
  </si>
  <si>
    <t>　　日前，理想汽车产品经理发布视频称，理想ONE的下一个OTA版本将推送车载微信功能，在视频中该产品经理也展示了车载微信的部分操作，通过语音控制和方向盘多功能按键即可对车载微信进行相应控制。　　在2019年12月31日，理想汽车CEO李想称，理想ONE首月产量为1500辆，交付量也已达1000辆；在</t>
  </si>
  <si>
    <t>在北京市新型冠状病毒感染的肺炎疫情防控工作新闻发布会上，北京市交通委相关负责人表示：从2020年2月10日起，北京市将继续按照节假日模式进行道路交通管理，延迟恢复机动车工作日高峰时段区域限行交通管制措施，即尾号限行措施，恢复日期待定。    此前，北京市公安交管部门已经对全市车管业务进行调整，改进服</t>
  </si>
  <si>
    <t>2020/02/09 09:18:00</t>
  </si>
  <si>
    <t>　　在北京市新型冠状病毒感染的肺炎疫情防控工作新闻发布会上，北京市交通委相关负责人表示：从2020年2月10日起，北京市将继续按照节假日模式进行道路交通管理，延迟恢复机动车工作日高峰时段区域限行交通管制措施，即尾号限行措施，恢复日期待定。　　此前，北京市公安交管部门已经对全市车管业务进行调整，改进服</t>
  </si>
  <si>
    <t>　　近年来，随着我国不少车企推出一批又一批的高品质SUV，如今的消费者手握10万元预算买家用中型SUV,可选择的余地还是比较广的，但同时兼具高性价比、安全可靠的，笔者今天主要给大家推荐这两款――奇瑞捷途X70和东风风光580Pro，看看在同样的预算下比拼静态表现，谁更技高一筹。（下文的车型名称将简写</t>
  </si>
  <si>
    <t>苏炜祺</t>
  </si>
  <si>
    <t>2020/02/09 09:13:00</t>
  </si>
  <si>
    <t>2020东京改装展的报道继续为大家奉上，这一期为大家分享的丰田RAV4改装案例出自日本改装商SIXTH SENSE之手，经过他们改装后的丰田RAV4看着比原厂动感，但也可能不太符合大家的审美观……</t>
  </si>
  <si>
    <t>2020/02/09 09:08:00</t>
  </si>
  <si>
    <t>　　2020东京改装展的报道继续为大家奉上，这一期为大家分享的丰田RAV4改装案例出自日本改装商SIXTH SENSE之手，经过他们改装后的丰田RAV4看着比原厂动感，但也可能不太符合大家的审美观……　　本期内容分享到此结束，但2020东京改装展的报道还没完，往后一段时间我将会为大家分享其它车型的改</t>
  </si>
  <si>
    <t>何家荣</t>
  </si>
  <si>
    <t>　　去年11月，2020款捷豹XEL正式上市，作为一次中期改款，新车在外观造型以及内饰布局方面进行了略微改动，运动及豪华感都在一定程度上有所提升。与此同时，新车的配置与价格也都进行了调整，并且满足了国六排放标准。本文将为大家介绍2020款捷豹XEL的入门级车型――2.0T 200PS R-DYNAM</t>
  </si>
  <si>
    <t>2020/02/09 09:02:00</t>
  </si>
  <si>
    <t>朗逸，蔚领，雷凌，轩逸，骐达，明锐，这几款车自动挡如何选？</t>
  </si>
  <si>
    <t>2020/02/09 09:00:23</t>
  </si>
  <si>
    <t>　　福特人事大变动。福特汽车2月8日宣布，吉姆・法利（Jim Farley）被任命为福特汽车公司首席运营官，在此职位上，法利将带领福特继续执行“共创明天”（Creating Tomorrow Together）的战略计划，并向福特汽车公司总裁兼首席执行官韩恺特（Jim Hackett）汇报。任命将于</t>
  </si>
  <si>
    <t>2020/02/09 09:00:00</t>
  </si>
  <si>
    <t>福特人事大变动。福特汽车2月8日宣布，吉姆·法利（Jim Farley）被任命为福特汽车公司首席运营官，在此职位上，法利将带领福特继续执行“共创明天”（Creating Tomorrow Together）的战略计划，并向福特汽车公司总裁兼首席执行官韩恺特（Jim Hackett）汇报。任命将于3月</t>
  </si>
  <si>
    <t>近日据外媒报道，丰田汽车将于2020年内推出一款用于代步的全新微型纯电动车型，该车型极大可能是一款单座或双座车型，其电池组具备简单拆卸、可重复利用的特点。    据外媒介绍，这款尚未公布名称的车型所搭载的标准化电池组相比其他纯电动车更容易拆卸，在其储备电量衰减20%-30%后，即可被更换，被替换的旧</t>
  </si>
  <si>
    <t>2020/02/09 08:58:00</t>
  </si>
  <si>
    <t>　　近日据外媒报道，丰田汽车将于2020年内推出一款用于代步的全新微型纯电动车型，该车型极大可能是一款单座或双座车型，其电池组具备简单拆卸、可重复利用的特点。　　据外媒介绍，这款尚未公布名称的车型所搭载的标准化电池组相比其他纯电动车更容易拆卸，在其储备电量衰减20%-30%后，即可被更换，被替换的旧</t>
  </si>
  <si>
    <t>16款远景变速箱设计缺陷，现在4S店不管，让我自费两万块钱换变速箱，怎么办？才3年1个月的车，42000公里！</t>
  </si>
  <si>
    <t>2020/02/09 08:56:05</t>
  </si>
  <si>
    <t>近日，日媒从日本丰田经销商处获悉，丰田Tj Cruiser概念车的量产版将会在5月份正式发布。这款新车基于TNGA架构打造，集合了SUV和MPV的车型特点。    Tj Cruiser概念车是在2017年的东京车展期间首发的，这款车定位一款跨界SUV，但是采用了MPV常见的侧滑门设计，有很高的的实用</t>
  </si>
  <si>
    <t>2020/02/09 08:55:00</t>
  </si>
  <si>
    <t>　　近日，日媒从日本丰田经销商处获悉，丰田Tj Cruiser概念车的量产版将会在5月份正式发布。这款新车基于TNGA架构打造，集合了SUV和MPV的车型特点。　　Tj Cruiser概念车是在2017年的东京车展期间首发的，这款车定位一款跨界SUV，但是采用了MPV常见的侧滑门设计，有很高的的实用</t>
  </si>
  <si>
    <t>11款发现4中控屏能调成中文吗？后视镜下翻怎么设置，我的后视镜不下翻了？</t>
  </si>
  <si>
    <t>2020/02/09 08:51:33</t>
  </si>
  <si>
    <t>　　买车时该看什么？有一项配置不得不看！（尤其是几万元级别的车型）大家可以关注一下有没有这项配置――ESC，它是常常会被大家忽视的三个字母，即汽车电子稳定系统。它被认为是二十世纪末期是最伟大的汽车发明之一。然而！至今国内仍没有明确的法规要求新车必须配备ESC。从无到有，再到领克01搭载的最新一代博世</t>
  </si>
  <si>
    <t>2020/02/09 08:50:00</t>
  </si>
  <si>
    <t>买车时该看什么？有一项配置不得不看！（尤其是几万元级别的车型）大家可以关注一下有没有这项配置——ESC，它是常常会被大家忽视的三个字母，即汽车电子稳定系统。它被认为是二十世纪末期是最伟大的汽车发明之一。然而！至今国内仍没有明确的法规要求新车必须配备ESC。从无到有，再到领克01搭载的最新一代博世ES</t>
  </si>
  <si>
    <t>车子冷启动怠速行走出现明显抖动，特别是有打方向的情况下更厉害！行走一段就平稳了，热车一切正常！或者冷车，给油也是正常不会抖动！</t>
  </si>
  <si>
    <t>2020/02/09 08:47:06</t>
  </si>
  <si>
    <t>你好，丰田致炫X与奔腾T33两个车价格差不多，哪款车更靠谱一些？</t>
  </si>
  <si>
    <t>近日，讴歌发布了一款名为Beat That的手游，游戏主线围绕讴歌的经典广告《Less Talk，More Drive》（少说话，多开车）。    当你进入游戏时，熟悉的8位机配乐以及像素化的红色Acura NSX(参数|询价)会让你有种重回80年代末的感觉。讴歌推出这款手游的目的在于庆祝其品牌成立</t>
  </si>
  <si>
    <t>2020/02/09 08:46:00</t>
  </si>
  <si>
    <t>　　近日，讴歌发布了一款名为Beat That的手游，游戏主线围绕讴歌的经典广告《Less Talk，More Drive》（少说话，多开车）。　　当你进入游戏时，熟悉的8位机配乐以及像素化的红色Acura NSX(参数|询价)会让你有种重回80年代末的感觉。讴歌推出这款手游的目的在于庆祝其品牌成立</t>
  </si>
  <si>
    <t>李浩鹏</t>
  </si>
  <si>
    <t>　　上世纪80年代，兰博基尼曾推出一系列打破常规的创新车型，比如首款量产越野车LM002，再比如本文的主角，高性能MPV――Genesis概念车。　　1988年的都灵车展上，兰博基尼发布了名为Genesis的MPV概念车。这款车由意大利设计公司Bertone的造型团队花费3万小时精心打造，诠释了兰博</t>
  </si>
  <si>
    <t>2020/02/09 08:39:00</t>
  </si>
  <si>
    <t>上世纪80年代，兰博基尼曾推出一系列打破常规的创新车型，比如首款量产越野车LM002，再比如本文的主角，高性能MPV——Genesis概念车。    1988年的都灵车展上，兰博基尼发布了名为Genesis的MPV概念车。这款车由意大利设计公司Bertone的造型团队花费3万小时精心打造，诠释了兰博</t>
  </si>
  <si>
    <t>你好！请问该如何清理积碳或者多久清理一次？</t>
  </si>
  <si>
    <t>2020/02/09 08:28:17</t>
  </si>
  <si>
    <t>最近启动车的瞬间有吱吱的响2声，这是哪里的问题？望师傅解答。</t>
  </si>
  <si>
    <t>2020/02/09 08:23:58</t>
  </si>
  <si>
    <t>汽车最近停了5天，开车的时候显示EPS故障，并且启动不了，踩汽车一键启动的时候，一键启动的灯不亮，电器能正常开启，关掉再启动踩刹车一键启动灯会亮，但是还是启动不了车。请问这是什么原因？</t>
  </si>
  <si>
    <t>2020/02/09 08:20:48</t>
  </si>
  <si>
    <t>2020/02/09 08:19:37</t>
  </si>
  <si>
    <t>投诉编号：【446663】
投诉时间： 2020-02-09 08:09
投诉品牌： 上汽大众
投诉车系： 朗逸
投诉车型： 2013款 1.4TSI DSG舒适版</t>
  </si>
  <si>
    <t>2020/02/09 08:19:31</t>
  </si>
  <si>
    <t>投诉编号：【446662】
投诉时间： 2020-02-09 07:34
投诉品牌： 上汽通用五菱
投诉车系： 宝骏730
投诉车型： 2016款 1.5L 手动 舒适版 7座 国V</t>
  </si>
  <si>
    <t>今天发现车子无法启动，按遥控钥匙没有反应，多几次才有反应，很慢的反应，只是有锁门和开锁门的声音，车子不会叫，（平时按遥控钥匙不都叫的吗）然后驾驶室的阅读灯和后排的照明灯都按不亮，然后我按双闪按了一次就关不了了，而且双闪灯明显没有平时那么闪，只是一点一点的闪，最后都不亮了，因为关不了，所以一直闪着，现</t>
  </si>
  <si>
    <t>2020/02/09 08:17:07</t>
  </si>
  <si>
    <t>2017未奇骏行驶27000公里阀体故障怎么办？</t>
  </si>
  <si>
    <t>2020/02/09 08:13:31</t>
  </si>
  <si>
    <t>2020/02/09 07:10:00</t>
  </si>
  <si>
    <t>2020/02/09 06:28:47</t>
  </si>
  <si>
    <t>投诉编号：【446661】
投诉时间： 2020-02-09 06:25
投诉品牌： 江铃福特
投诉车系： 领界
投诉车型： 2019款 EcoBoost 145 CVT 铂领型 国VI</t>
  </si>
  <si>
    <t>2020/02/09 03:42:13</t>
  </si>
  <si>
    <t>投诉编号：【446660】
投诉时间： 2020-02-09 03:02
投诉品牌： 上汽通用五菱
投诉车系： 宝骏730
投诉车型： 2014款 1.5L 手动 标准型 7座</t>
  </si>
  <si>
    <t>2020/02/08 23:59:59</t>
  </si>
  <si>
    <t>投诉编号：【446657】
投诉时间： 2020-02-08 23:24
投诉品牌： 东风乘用车
投诉车系： 风神AX7
投诉车型： 2016款 2.0L 自动 智逸型</t>
  </si>
  <si>
    <t>投诉编号：【446658】  投诉时间： 2020-02-08 23:49  投诉品牌： 奔驰（进口）  投诉车系： 奔驰GLS  投诉车型： 2018款 400 4MATIC 豪华型        投诉内容  进口奔驰GLS辅助蓄电池屡次发生故障，亏电，故障灯亮，19年4月23日购买新车，首次出现</t>
  </si>
  <si>
    <t>2020/02/08 23:49:00</t>
  </si>
  <si>
    <t>投诉编号：【446655】  投诉时间： 2020-02-08 21:59  投诉品牌： 江淮汽车  投诉车系： 同悦  投诉车型： 2010款 1.3L 手动 舒适型        投诉内容  我的车是江淮同悦，车门坎生锈从里往外烂，叶子板，轮眉鼓泡生锈，底盘生锈开裂影响行车安全。      投诉</t>
  </si>
  <si>
    <t>2020/02/08 21:59:00</t>
  </si>
  <si>
    <t>2020/02/08 21:03:34</t>
  </si>
  <si>
    <t>投诉编号：【446654】
投诉时间： 2020-02-08 21:03
投诉品牌： 东风日产
投诉车系： 轩逸
投诉车型： 2019款 1.6XE+ CVT 智联领先版 经典</t>
  </si>
  <si>
    <t>2020/02/08 21:03:30</t>
  </si>
  <si>
    <t>投诉编号：【446653】
投诉时间： 2020-02-08 20:56
投诉品牌： 上汽集团
投诉车系： 荣威360
投诉车型： 2018款 1.5L 手动 尊享版 PLUS</t>
  </si>
  <si>
    <t>投诉编号：【446650】  投诉时间： 2020-02-08 19:39  投诉品牌： 奇瑞汽车  投诉车系： 奇瑞E5  投诉车型： 2012款 1.5L 手动 运动版        投诉内容  奇瑞E5车身生锈严重存在质量问题，2013年1月底购车，目前行驶了7万公里多点。现在车身漆面未破损，</t>
  </si>
  <si>
    <t>2020/02/08 19:39:00</t>
  </si>
  <si>
    <t>投诉编号：【446643】  投诉时间： 2020-02-08 18:01  投诉品牌： 江铃汽车  投诉车系： 域虎5  投诉车型： 2018款 2.4T 手动 两驱 经典版 超豪华型 柴油 JX4D24A5L        投诉内容  江铃域虎5四个车门靠近玻璃胶条处生锈，变速箱进二挡困难异响大</t>
  </si>
  <si>
    <t>2020/02/08 18:01:00</t>
  </si>
  <si>
    <t>各位凯美瑞车主 我想问一下你们的刹车软不各位凯美瑞车主，我想问一下你们的刹车软不，我的刹车太软了，去4S店监测，4S店回复是凯美瑞的刹车都这样</t>
  </si>
  <si>
    <t>q210001533</t>
  </si>
  <si>
    <t>2020/02/08 17:45:00</t>
  </si>
  <si>
    <t>各位凯美瑞车主，我想问一下你们的刹车软不，我的刹车太软了，去4S店监测，4S店回复是凯美瑞的刹车都这样</t>
  </si>
  <si>
    <t>投诉编号：【446641】  投诉时间： 2020-02-08 17:08  投诉品牌： 东风标致  投诉车系： 标致308  投诉车型： 2016款 230THP 自动 豪华版        投诉内容  车还在保质期，东风标致4S店没给解决。这图片是在车放外面下了几个小时小雨的图，在2019年7月</t>
  </si>
  <si>
    <t>2020/02/08 17:08:00</t>
  </si>
  <si>
    <t>本田雅阁发动机舱有漏油现象，应该怎么办？</t>
  </si>
  <si>
    <t>2020/02/08 17:05:14</t>
  </si>
  <si>
    <t>投诉编号：【446638】投诉时间：2020-02-0816:48投诉品牌：奇瑞新能源投诉车系：瑞虎3xe投诉车型：2018款480畅行版投诉内容奇瑞瑞虎3xe车辆充电时漏电存在安全隐患，并且影响正常使用，希望厂家重视处理。投诉回复车质网已将您的投诉转给生产企业以及国家市场监督管理总局缺陷产品管理中</t>
  </si>
  <si>
    <t>2020/02/08 16:48:00</t>
  </si>
  <si>
    <t>投诉编号：【446637】投诉时间：2020-02-0816:48投诉品牌：吉利汽车投诉车系：帝豪投诉车型：2018款1.5LCVT向上互联版投诉内容抬刹车起步的时候有声音，去4S店给我检查说东西坏了，需要更换，然后免费给我换了一个，到今天为止这个情况还是存在，没有弄好，今天开车有发现翼子板边缘内侧</t>
  </si>
  <si>
    <t xml:space="preserve">投诉编号：【446636】  投诉时间： 2020-02-08 16:30  投诉品牌： 奔驰（进口）  投诉车系： 奔驰B级  投诉车型： 2020款 B 200 动感型        投诉内容  进口奔驰B级发动机无法启动，通过检测也没发现故障问题，希望厂家协助处理问题。      投诉回复  </t>
  </si>
  <si>
    <t>2020/02/08 16:30:00</t>
  </si>
  <si>
    <t>2020/02/08 16:12:43</t>
  </si>
  <si>
    <t>投诉编号：【446633】
投诉时间： 2020-02-08 15:50
投诉品牌： 吉利汽车
投诉车系： 帝豪
投诉车型： 2015款 1.3T 手动 向上版 三厢</t>
  </si>
  <si>
    <t>投诉编号：【446634】投诉时间：2020-02-0815:54投诉品牌：吉利汽车投诉车系：帝豪投诉车型：2019款领军版1.5L手动豪华型国VI投诉内容吉利帝豪车门生锈，主驾驶室车门下边油漆偏少，防锈不够，现在生锈了，迟早会锈穿，希望厂家处理问题。投诉回复车质网已将您的投诉转给生产企业以及国家市</t>
  </si>
  <si>
    <t>2020/02/08 15:54:00</t>
  </si>
  <si>
    <t>2020/02/08 15:46:54</t>
  </si>
  <si>
    <t>投诉编号：【446627】
投诉时间： 2020-02-08 14:50
投诉品牌： 长城汽车
投诉车系： 哈弗F7
投诉车型： 2019款 2.0T 两驱 i范</t>
  </si>
  <si>
    <t>2020/02/08 15:46:33</t>
  </si>
  <si>
    <t>投诉编号：【446628】
投诉时间： 2020-02-08 15:17
投诉品牌： 江铃福特
投诉车系： 领界
投诉车型： 2019款 EcoBoost 145 CVT 铂领型 国VI</t>
  </si>
  <si>
    <t>投诉编号：【446632】  投诉时间： 2020-02-08 15:45  投诉品牌： 北京越野  投诉车系： 北京BJ40  投诉车型： 2018款 PLUS 2.3T 自动 四驱 尊享版 国V        投诉内容  北京BJ40发动机爆震，热车情况下和上坡急加速有哒哒哒声，希望厂家处理问题</t>
  </si>
  <si>
    <t>2020/02/08 15:45:00</t>
  </si>
  <si>
    <t>投诉编号：【446631】投诉时间：2020-02-0815:43投诉品牌：上汽大众投诉车系：朗逸投诉车型：2015款230TSIDSG舒适版投诉内容变速箱作为汽车三大件之一，刚刚购买四年的朗逸1.4t就出现严重的变速箱问题，实在让人无法接受。行驶中挡位灯闪烁失去动力，差点造成交通事故，4s店根据故</t>
  </si>
  <si>
    <t>2020/02/08 15:43:00</t>
  </si>
  <si>
    <t>2020/02/08 15:40:33</t>
  </si>
  <si>
    <t>投诉编号：【446630】
投诉时间： 2020-02-08 15:37
投诉品牌： 长安汽车
投诉车系： 逸动XT
投诉车型： 2015款 1.6L 手动 俊酷型 国IV XT</t>
  </si>
  <si>
    <t>投诉编号：【446629】  投诉时间： 2020-02-08 15:23  投诉品牌： 领克汽车  投诉车系： 领克03  投诉车型： 2019款 1.5TD DCT 劲版 国VI        投诉内容  刚提的车不到10天出现esp故障，在4s店放了半个月左右没有解决，说是电瓶问题换个电瓶还没</t>
  </si>
  <si>
    <t>2020/02/08 15:23:00</t>
  </si>
  <si>
    <t>投诉编号：【446626】  投诉时间： 2020-02-08 14:48  投诉品牌： 一汽-大众奥迪  投诉车系： 奥迪A4L  投诉车型： 2015款 2.0T CVT 标准型        投诉内容  刚开始轻微渗漏，每次保养以为是正常损耗添加，18年开始一年要添加两三次，现在一两个月就要加</t>
  </si>
  <si>
    <t>2020/02/08 14:48:00</t>
  </si>
  <si>
    <t>2020/02/08 14:33:13</t>
  </si>
  <si>
    <t>投诉编号：【446625】
投诉时间： 2020-02-08 14:29
投诉品牌： 广汽本田
投诉车系： 飞度
投诉车型： 2014款 1.5L CVT LX舒适型</t>
  </si>
  <si>
    <t>投诉编号：【446624】投诉时间：2020-02-0814:28投诉品牌：长安马自达投诉车系：马自达3昂克赛拉投诉车型：2017款1.5L手动豪华型三厢国V投诉内容长安马自达昂克赛拉挡把脱皮仪表盘掉漆，车辆胎燥太大导致隔音效果太差。投诉回复车质网已将您的投诉转给生产企业以及国家市场监督管理总局缺陷</t>
  </si>
  <si>
    <t>2020/02/08 14:28:00</t>
  </si>
  <si>
    <t>仪表盘显示指示灯地方掉漆，还有挡把皮掉皮严重。</t>
  </si>
  <si>
    <t>2020/02/08 14:19:46</t>
  </si>
  <si>
    <t>汽车首保2保在4S店做保养的，3保4保没在4S店做保养，5保在4S店做，后期也全打算在4S店做保养，这算不算脱保，能不能享受质保。</t>
  </si>
  <si>
    <t>2020/02/08 14:16:37</t>
  </si>
  <si>
    <t>皓影与新荣放哪个好，皓影有机油增多现象吗？</t>
  </si>
  <si>
    <t>2020/02/08 14:13:52</t>
  </si>
  <si>
    <t>投诉编号：【446621】  投诉时间： 2020-02-08 13:12  投诉品牌： 上汽集团  投诉车系： 名爵6  投诉车型： 2017款 20T 手动 豪华智联版 国V        投诉内容  变速箱之前顿挫，已经处理过一次了，4s店说是变速箱系统的问题升级一下就好了，开了没多长时间有顿</t>
  </si>
  <si>
    <t>2020/02/08 13:12:00</t>
  </si>
  <si>
    <t>投诉编号：【446620】  投诉时间： 2020-02-08 12:59  投诉品牌： 吉利汽车  投诉车系： 远景X6  投诉车型： 2016款 1.8L 手动 尊贵型        投诉内容  于2020年1月24日检查车辆时发现车顶漆面掉漆、车尾漆面龟裂。到当地售后，检查告知是树上油脂导致的</t>
  </si>
  <si>
    <t>2020/02/08 12:59:00</t>
  </si>
  <si>
    <t>我的1.8t博越最近挂完R挡倒完车后挂D挡，踩油门不走。像憋住了一样，延迟2秒左右，然后突然往前窜，这是个什么情况？</t>
  </si>
  <si>
    <t>2020/02/08 12:55:50</t>
  </si>
  <si>
    <t>2020/02/08 12:53:07</t>
  </si>
  <si>
    <t>投诉编号：【446618】
投诉时间： 2020-02-08 12:48
投诉品牌： 长城汽车
投诉车系： 哈弗F7
投诉车型： 2019款 2.0T 四驱 i悦 国VI</t>
  </si>
  <si>
    <t>投诉编号：【446616】  投诉时间： 2020-02-08 12:38  投诉品牌： 东风日产  投诉车系： 天籁  投诉车型： 2019款 2.0L XL 舒适版        投诉内容  一个新车不到半年就出现色差，找售后就说是正常现象，我就没见过一个新车会出现这么大的色差，不知道还以为我的</t>
  </si>
  <si>
    <t>2020/02/08 12:38:00</t>
  </si>
  <si>
    <t>2020/02/08 11:54:51</t>
  </si>
  <si>
    <t>投诉编号：【446615】
投诉时间： 2020-02-08 11:54
投诉品牌： 吉利汽车
投诉车系： 帝豪
投诉车型： 2014款 1.5L 手动 时尚型 三厢</t>
  </si>
  <si>
    <t>投诉编号：【446614】  投诉时间： 2020-02-08 11:53  投诉品牌： 广汽三菱  投诉车系： 劲炫ASX  投诉车型： 2016款 2.0L CVT 两驱领航版        投诉内容  2019年10月4s店做完4万公里保养，2020年1月车辆开始出现各种问题。450000公里</t>
  </si>
  <si>
    <t>2020/02/08 11:53:00</t>
  </si>
  <si>
    <t>投诉编号：【446613】  投诉时间： 2020-02-08 11:47  投诉品牌： 广汽丰田  投诉车系： 凯美瑞  投诉车型： 2019款 2.5HG 豪华版 国VI        投诉内容  广汽丰田凯美瑞后备箱液压杆异响，去4s店说是正常情况！但是我的之前不响。另外早上第一次挂挡有闯动，</t>
  </si>
  <si>
    <t>2020/02/08 11:47:00</t>
  </si>
  <si>
    <t>投诉编号：【446612】投诉时间：2020-02-0811:12投诉品牌：吉利汽车投诉车系：帝豪投诉车型：2017款1.5L手动向上版三厢百万款投诉内容车机经常死机，播放音乐时有时会出现一段滋滋的声响，然后整个车机就没有了声音，恢复出厂设置后，无法安装第三方app导航停止升级，无扩展应用，无法更新</t>
  </si>
  <si>
    <t>2020/02/08 11:12:00</t>
  </si>
  <si>
    <t>长安逸动主动刹车靠谱吗？能识别人和静止车辆吗？和荣威i5相比这个功能哪个好点！还有就是逸动为什么连后排座椅钢板都省了？其它国产车会有，谢谢。</t>
  </si>
  <si>
    <t>2020/02/08 10:58:19</t>
  </si>
  <si>
    <t>逸动1.6L是否为蓝鲸系列的发动机？</t>
  </si>
  <si>
    <t>2020/02/08 10:49:51</t>
  </si>
  <si>
    <t>2020/02/08 10:44:25</t>
  </si>
  <si>
    <t>投诉编号：【446611】
投诉时间： 2020-02-08 10:39
投诉品牌： 上汽大众
投诉车系： 途观
投诉车型： 2012款 1.8TSI 自动 四驱 菁英版</t>
  </si>
  <si>
    <t>2020芝加哥车展已经拉开帷幕。本届车展上，丰田旗下大型SUV——红杉推出了Nightshade Edition（英文直译：夜影版）车型，其基于现款丰田红杉（Sequoia）打造，并针对多处外观细节进行了升级，使得新车的外观更具运动感。红杉Nightshade Edition实车    外观方面，作</t>
  </si>
  <si>
    <t>2020/02/08 10:06:00</t>
  </si>
  <si>
    <t>　　2020芝加哥车展已经拉开帷幕。本届车展上，丰田旗下大型SUV――红杉推出了Nightshade Edition（英文直译：夜影版）车型，其基于现款丰田红杉（Sequoia）打造，并针对多处外观细节进行了升级，使得新车的外观更具运动感。红杉Nightshade Edition实车　　外观方面，作</t>
  </si>
  <si>
    <t>　　2020芝加哥车展已经拉开帷幕。本届车展上，雪佛兰带来了新款探界者RS版本车型，新车的外观有所升级。　　作为中期改款车型，新款探界者RS采用了全新设计的前脸，个性的镀铬装饰贯穿左右，并与两侧灯组相融合，配合RS专属徽章，让其整体更加运动。　　同时，随之而改变的灯组造型更加犀利。新车的前包围也进行</t>
  </si>
  <si>
    <t>2020/02/08 10:04:00</t>
  </si>
  <si>
    <t>2020芝加哥车展已经拉开帷幕。本届车展上，雪佛兰带来了新款探界者RS版本车型，新车的外观有所升级。    作为中期改款车型，新款探界者RS采用了全新设计的前脸，个性的镀铬装饰贯穿左右，并与两侧灯组相融合，配合RS专属徽章，让其整体更加运动。    同时，随之而改变的灯组造型更加犀利。新车的前包围也</t>
  </si>
  <si>
    <t>我的是捷途X90手动高配的，遥控钥匙确是3键的，后备箱都是电动的了，为什么遥控钥匙不能开后背箱呢？而且还有一个就是主驾驶位置也没有开后背箱的按键！厂家能不能把我的遥控钥匙换成四键的呢。</t>
  </si>
  <si>
    <t>2020/02/08 10:02:28</t>
  </si>
  <si>
    <t>据外媒报道，宝马CEO齐普策（Oliver Zipse）对外表示不会针对电动车开发专有平台，目前宝马现有平台既可支持电动汽车，也可支持传统燃油汽车，凭借这些平台，宝马能够与电动车企相抗衡。    另外，宝马高管乌多·亨勒（Udo Haenle）此前也曾表示，由于未来汽车市场的不确定性因素太大，开发纯</t>
  </si>
  <si>
    <t>2020/02/08 10:02:00</t>
  </si>
  <si>
    <t>　　据外媒报道，宝马CEO齐普策（Oliver Zipse）对外表示不会针对电动车开发专有平台，目前宝马现有平台既可支持电动汽车，也可支持传统燃油汽车，凭借这些平台，宝马能够与电动车企相抗衡。　　另外，宝马高管乌多・亨勒（Udo Haenle）此前也曾表示，由于未来汽车市场的不确定性因素太大，开发纯</t>
  </si>
  <si>
    <t>王林-行业频道</t>
  </si>
  <si>
    <t>　　2020芝加哥车展已经拉开帷幕。本届车展上，福特带来了新款福特GT液态碳纤维版车型，新车采用视觉效果较为震撼的轻质化碳纤维车身。作为小改款车型，新车最大的变化在于不仅拥有一个近乎完整的碳纤维车体，并且在外观上也能一目了然。此外，新车在动力上进一步得到提升，同时改善了引擎的冷却效果。　　据悉，新款</t>
  </si>
  <si>
    <t>2020/02/08 10:00:00</t>
  </si>
  <si>
    <t>2020芝加哥车展已经拉开帷幕。本届车展上，福特带来了新款福特GT液态碳纤维版车型，新车采用视觉效果较为震撼的轻质化碳纤维车身。作为小改款车型，新车最大的变化在于不仅拥有一个近乎完整的碳纤维车体，并且在外观上也能一目了然。此外，新车在动力上进一步得到提升，同时改善了引擎的冷却效果。    据悉，新款</t>
  </si>
  <si>
    <t>　　凯尊是起亚旗下的一款中型轿车，它在韩国本土的名字是K7，从这里你也能看出来它的定位高于我们国内常见的K5。这一代凯尊于四年前推出，而在2020年芝加哥车展上，凯尊推出了中期改款车型，外观内饰都有着不小的变化。　　新款凯尊的前脸更加夸张霸气，多边形“虎啸”式中网尺寸更大了，前包围也进行了更新，贯穿</t>
  </si>
  <si>
    <t>2020/02/08 09:57:00</t>
  </si>
  <si>
    <t>凯尊是起亚旗下的一款中型轿车，它在韩国本土的名字是K7，从这里你也能看出来它的定位高于我们国内常见的K5。这一代凯尊于四年前推出，而在2020年芝加哥车展上，凯尊推出了中期改款车型，外观内饰都有着不小的变化。    新款凯尊的前脸更加夸张霸气，多边形“虎啸”式中网尺寸更大了，前包围也进行了更新，贯穿</t>
  </si>
  <si>
    <t>目前，因防控新型冠状病毒肺炎疫情需要，已有多家车企、汽车零部件供应商宣布延期复工。固特异轮胎也在近日宣布暂时关闭中国总部以及位于中国的工厂。对此，固特异表示将根据政府的通知安排，再决定何时复工。固特异大连工厂    据汽车之家了解，固特异的中国总部位于上海，研发中心位于大连，制造工厂在大连普兰店。其</t>
  </si>
  <si>
    <t>2020/02/08 09:55:00</t>
  </si>
  <si>
    <t>　　目前，因防控新型冠状病毒肺炎疫情需要，已有多家车企、汽车零部件供应商宣布延期复工。固特异轮胎也在近日宣布暂时关闭中国总部以及位于中国的工厂。对此，固特异表示将根据政府的通知安排，再决定何时复工。固特异大连工厂　　据汽车之家了解，固特异的中国总部位于上海，研发中心位于大连，制造工厂在大连普兰店。其</t>
  </si>
  <si>
    <t>近日，由于新型冠状病毒疫情影响，多家车企经销商门店延迟开工，纷纷推出线上看车活动。2月6日，宝沃汽车发布消息称，将正式上线宝沃云服务，并将提供“零接触”试驾服务，届时用户可以足不出户线上看车。    疫情当前，宝沃汽车推出云服务四项政策，以缓解经销商压力，具体措施包括：    1.无接触试驾：用户可</t>
  </si>
  <si>
    <t>2020/02/08 09:54:00</t>
  </si>
  <si>
    <t>　　近日，由于新型冠状病毒疫情影响，多家车企经销商门店延迟开工，纷纷推出线上看车活动。2月6日，宝沃汽车发布消息称，将正式上线宝沃云服务，并将提供“零接触”试驾服务，届时用户可以足不出户线上看车。　　疫情当前，宝沃汽车推出云服务四项政策，以缓解经销商压力，具体措施包括：　　1.无接触试驾：用户可通过</t>
  </si>
  <si>
    <t>投诉编号：【446608】  投诉时间： 2020-02-08 09:53  投诉品牌： 奇瑞汽车  投诉车系： 捷途X90  投诉车型： 2019款 1.5T 手动 智享型 7座 国VI        投诉内容  我想麻烦厂家给我换一把四键的遥控钥匙，能遥控开后背箱的，或主驾驶位置能安一个开后背箱</t>
  </si>
  <si>
    <t>2020/02/08 09:53:00</t>
  </si>
  <si>
    <t xml:space="preserve">面对疫情，东风日产宣布再次出台新政策，包含有增加捐赠、延长保修/保养等政策。    1、东风日产宣布追加捐赠现金300万元，用于医护人员生活补贴及医疗用品（口罩、防护服等），以及对病逝医护人员，病逝患者家属关怀慰问；    2、为所有东风日产车主提供24小时救援服务以及8项免费安全检测服务；    </t>
  </si>
  <si>
    <t>2020/02/08 09:51:00</t>
  </si>
  <si>
    <t>　　面对疫情，东风日产宣布再次出台新政策，包含有增加捐赠、延长保修/保养等政策。　　1、东风日产宣布追加捐赠现金300万元，用于医护人员生活补贴及医疗用品（口罩、防护服等），以及对病逝医护人员，病逝患者家属关怀慰问；　　2、为所有东风日产车主提供24小时救援服务以及8项免费安全检测服务；　　3、为湖</t>
  </si>
  <si>
    <t>　　日本当地时间2月6日，斯巴鲁本社发布消息称，斯巴鲁主要股东和第一大外部股东丰田汽车达成协议，丰田汽车对斯巴鲁的出资比例由16.8%增加至20%。　　自此，斯巴鲁成为丰田汽车的权益法适用公司，斯巴鲁公司的盈亏也将反映在丰田汽车此后披露的财报中。据悉，丰田增加对斯巴鲁的投资、并获得更高比例决议权，是</t>
  </si>
  <si>
    <t>2020/02/08 09:49:00</t>
  </si>
  <si>
    <t>日本当地时间2月6日，斯巴鲁本社发布消息称，斯巴鲁主要股东和第一大外部股东丰田汽车达成协议，丰田汽车对斯巴鲁的出资比例由16.8%增加至20%。    自此，斯巴鲁成为丰田汽车的权益法适用公司，斯巴鲁公司的盈亏也将反映在丰田汽车此后披露的财报中。据悉，丰田增加对斯巴鲁的投资、并获得更高比例决议权，是</t>
  </si>
  <si>
    <t>东风标致宣布，自2020年2月8日起至2020年4月30日将启动“蓝色关爱”活动，除了此前向疫区一线输送爱心物资以外，还针对看车、购车以及维修保养的客户提出了多项服务。    疫情期间，东风标致针对保养合同2-4月到期的用户，将延长6个月有效期；首保将延长到9个月7500km。车主只需将驾驶证、身份</t>
  </si>
  <si>
    <t>2020/02/08 09:48:00</t>
  </si>
  <si>
    <t>　　东风标致宣布，自2020年2月8日起至2020年4月30日将启动“蓝色关爱”活动，除了此前向疫区一线输送爱心物资以外，还针对看车、购车以及维修保养的客户提出了多项服务。　　疫情期间，东风标致针对保养合同2-4月到期的用户，将延长6个月有效期；首保将延长到9个月7500km。车主只需将驾驶证、身份</t>
  </si>
  <si>
    <t>疫情防控，迫在眉睫。当前，我们正处于疫情防控关键期，面对新型冠状病毒感染肺炎疫情，全国都在积极统筹调配必要资源，保障湖北省和武汉市防控急需的医护力量和防护服、口罩等物资，保障人民基本生活必需品。习近平总书记强调：“疫情就是命令，防控就是责任。”面对急难险重任务，汽车行业积极发扬担当精神，为疫情防控贡</t>
  </si>
  <si>
    <t>2020/02/08 09:46:00</t>
  </si>
  <si>
    <t>　　疫情防控，迫在眉睫。当前，我们正处于疫情防控关键期，面对新型冠状病毒感染肺炎疫情，全国都在积极统筹调配必要资源，保障湖北省和武汉市防控急需的医护力量和防护服、口罩等物资，保障人民基本生活必需品。习近平总书记强调：“疫情就是命令，防控就是责任。”面对急难险重任务，汽车行业积极发扬担当精神，为疫情防</t>
  </si>
  <si>
    <t>　　近日，由于新型冠状病毒肺炎疫情传播，各行各业均受到一定程度的影响。为助力疫情防控，东风雪铁龙启动应急预案，并于1月24日成立疫情防控指挥部。同时，根据疫情的变化将对上半年营销工作进行调整，确保整体运营稳定，在保障员工健康的同时，为经销商减压。　　在全民抗击疫情的势头下，东风雪铁龙落实各项防护政策</t>
  </si>
  <si>
    <t>2020/02/08 09:45:00</t>
  </si>
  <si>
    <t>近日，由于新型冠状病毒肺炎疫情传播，各行各业均受到一定程度的影响。为助力疫情防控，东风雪铁龙启动应急预案，并于1月24日成立疫情防控指挥部。同时，根据疫情的变化将对上半年营销工作进行调整，确保整体运营稳定，在保障员工健康的同时，为经销商减压。    在全民抗击疫情的势头下，东风雪铁龙落实各项防护政策</t>
  </si>
  <si>
    <t>日前，小鹏汽车官方发布了“复工免费加电”车主专享权益，即自2020年2月9日0时至2020年3月8日24时的一个月时间内，小鹏汽车G3(参数|询价)车主可在小鹏汽车超级充电站免费充电，免费充电额度为2000度电。    根据目前的疫情情况来看，全国大部分公司将于2月10日迎来节后的第一个工作日。小鹏</t>
  </si>
  <si>
    <t>2020/02/08 09:43:00</t>
  </si>
  <si>
    <t>　　日前，小鹏汽车官方发布了“复工免费加电”车主专享权益，即自2020年2月9日0时至2020年3月8日24时的一个月时间内，小鹏汽车G3(参数|询价)车主可在小鹏汽车超级充电站免费充电，免费充电额度为2000度电。　　根据目前的疫情情况来看，全国大部分公司将于2月10日迎来节后的第一个工作日。小鹏</t>
  </si>
  <si>
    <t>投诉编号：【446607】  投诉时间： 2020-02-08 09:42  投诉品牌： 东风日产  投诉车系： 奇骏  投诉车型： 2017款 2.0L CVT 舒适版 5座 2WD        投诉内容  主副驾驶座椅下金属件，方向盘轴，油门刹车支架金属件完全没有做过防锈处理，目前生锈了，去4</t>
  </si>
  <si>
    <t>2020/02/08 09:42:00</t>
  </si>
  <si>
    <t>　　稍早前，我的同事曹昊�为大家带来了奔驰GLE的低配车解读。同为豪华品牌中大型SUV市场中不可忽视的车型之一，宝马X5低配车型表现如何同样也是许多网友所关注的。今天编辑便将为大家解析宝马X5最低配的2020款 xDrive30i车型，希望对您的购车能够有所帮助。　　目前在售的宝马X5为今年年初刚上</t>
  </si>
  <si>
    <t>2020/02/08 09:39:00</t>
  </si>
  <si>
    <t>近日，受新型冠状病毒肺炎疫情影响，各品牌经销商线下门店均延迟开业。为减轻经销商压力，星途汽车推出7项措施支援各地一线经销商。    面对疫情，星途汽车向经销商发布“1个保障，2项减负，4项支援”政策，具体帮助措施包括：    1.合理规划目标：因地制宜规划目标，保障经销商利益。 2.金融减负：对于金</t>
  </si>
  <si>
    <t>2020/02/08 09:38:00</t>
  </si>
  <si>
    <t>　　近日，受新型冠状病毒肺炎疫情影响，各品牌经销商线下门店均延迟开业。为减轻经销商压力，星途汽车推出7项措施支援各地一线经销商。　　面对疫情，星途汽车向经销商发布“1个保障，2项减负，4项支援”政策，具体帮助措施包括：　　1.合理规划目标：因地制宜规划目标，保障经销商利益。 2.金融减负：对于金融到</t>
  </si>
  <si>
    <t>目前抗击疫情仍处在关键时期，为了减轻经销商现阶段经营压力，上汽名爵对疫情影响作出经营策略调整，表示将在销售、售后、物流等各版块协同作战，和经销商共同携手、共克时艰。具体包括6个方面：    一、两大指标免考核：即2月批售指标、试乘试驾管理奖免考核，帮助经销商“过关顺利”。    二、两类奖金直接发：</t>
  </si>
  <si>
    <t>2020/02/08 09:35:00</t>
  </si>
  <si>
    <t>　　目前抗击疫情仍处在关键时期，为了减轻经销商现阶段经营压力，上汽名爵对疫情影响作出经营策略调整，表示将在销售、售后、物流等各版块协同作战，和经销商共同携手、共克时艰。具体包括6个方面：　　一、两大指标免考核：即2月批售指标、试乘试驾管理奖免考核，帮助经销商“过关顺利”。　　二、两类奖金直接发：2月</t>
  </si>
  <si>
    <t>不得不说，全新铃木Jimny确实是现今改装圈的当红炸子鸡，自问世至今以它为范本的改装案例真的是不胜枚举，玩法也是层出不穷。既然自家的产品如此受欢迎，那么铃木自然不会错过这样的宣传机会，针对2020东京改装展他们专门打造了一台全新Jimny的改装展示车——Jimny Sierra Marine Sty</t>
  </si>
  <si>
    <t>2020/02/08 09:33:00</t>
  </si>
  <si>
    <t>　　不得不说，全新铃木Jimny确实是现今改装圈的当红炸子鸡，自问世至今以它为范本的改装案例真的是不胜枚举，玩法也是层出不穷。既然自家的产品如此受欢迎，那么铃木自然不会错过这样的宣传机会，针对2020东京改装展他们专门打造了一台全新Jimny的改装展示车――Jimny Sierra Marine S</t>
  </si>
  <si>
    <t>北京时间2月7日凌晨，美国网约车服务平台Uber发布2019年第四季度财报。Uber四季度营收为40.69亿美元，相比去年同期的29.74亿美元增长37%；净亏损为10.96亿美元，较去年同期亏损8.87亿美元相比扩大24%。    截止至2019年12月31日，Uber全年总订单量为69.04亿次</t>
  </si>
  <si>
    <t>2020/02/08 09:31:00</t>
  </si>
  <si>
    <t>　　北京时间2月7日凌晨，美国网约车服务平台Uber发布2019年第四季度财报。Uber四季度营收为40.69亿美元，相比去年同期的29.74亿美元增长37%；净亏损为10.96亿美元，较去年同期亏损8.87亿美元相比扩大24%。　　截止至2019年12月31日，Uber全年总订单量为69.04亿次</t>
  </si>
  <si>
    <t>由新型冠状病毒感染的肺炎疫情尚在紧急防治中，疫情期间，为保障消费者的看车、买车、售后需求，长安汽车官方推出了六大“安”心计划。    此次长安汽车推出的六大“安”心计划包含安心看车、安心展厅、安心试驾、安心购车、安心用车以及安心服务六大方面。具体来看：    ● 安心看车：    线上看车，线上智能</t>
  </si>
  <si>
    <t>2020/02/08 09:29:00</t>
  </si>
  <si>
    <t>　　由新型冠状病毒感染的肺炎疫情尚在紧急防治中，疫情期间，为保障消费者的看车、买车、售后需求，长安汽车官方推出了六大“安”心计划。　　此次长安汽车推出的六大“安”心计划包含安心看车、安心展厅、安心试驾、安心购车、安心用车以及安心服务六大方面。具体来看：　　● 安心看车：　　线上看车，线上智能展厅，不</t>
  </si>
  <si>
    <t>　　2月6日晚间，菲亚特克莱斯勒集团（FCA）发布了2019年第四季度及全年财报。财报数据显示，2019全年，FCA营收达1190亿美元（约合人民币8307亿元），同比下降2%；净利润下滑19%至30亿美元（约合人民币209亿元）。　　FCA经调整后的营业利润下降1%至73亿美元，略低于全年74亿美</t>
  </si>
  <si>
    <t>2020/02/08 09:27:00</t>
  </si>
  <si>
    <t>2月6日晚间，菲亚特克莱斯勒集团（FCA）发布了2019年第四季度及全年财报。财报数据显示，2019全年，FCA营收达1190亿美元（约合人民币8307亿元），同比下降2%；净利润下滑19%至30亿美元（约合人民币209亿元）。    FCA经调整后的营业利润下降1%至73亿美元，略低于全年74亿美</t>
  </si>
  <si>
    <t>2月7日，日产中国公布其2020年1月份销量数据。数据显示，今年1月份，由于受到传统春节假期及新型冠状病毒疫情影响，日产在华销量为11.8万辆（包含乘用车、轻型商用车及整车进口），同比下降11.8%。    据悉，除东风英菲尼迪实现4.3%的同比增长之外，东风日产、东风启辰、东风汽车股份有限公司和郑</t>
  </si>
  <si>
    <t>2020/02/08 09:25:00</t>
  </si>
  <si>
    <t>　　2月7日，日产中国公布其2020年1月份销量数据。数据显示，今年1月份，由于受到传统春节假期及新型冠状病毒疫情影响，日产在华销量为11.8万辆（包含乘用车、轻型商用车及整车进口），同比下降11.8%。　　据悉，除东风英菲尼迪实现4.3%的同比增长之外，东风日产、东风启辰、东风汽车股份有限公司和郑</t>
  </si>
  <si>
    <t>日前，我们从一汽-大众捷达官方获悉，捷达品牌旗下中型SUV——捷达VS7将于2020年2月26日正式上市。此前，捷达已经公布了VS7的预售价格，新车将推出4款车型，预售价区间为11.18-14.28万。    外观方面最为回顾，捷达VS7的外观与VS5相近，采用了捷达最新的设计语言，六边形的格栅造型</t>
  </si>
  <si>
    <t>2020/02/08 09:23:00</t>
  </si>
  <si>
    <t>　　日前，我们从一汽-大众捷达官方获悉，捷达品牌旗下中型SUV――捷达VS7将于2020年2月26日正式上市。此前，捷达已经公布了VS7的预售价格，新车将推出4款车型，预售价区间为11.18-14.28万。　　外观方面最为回顾，捷达VS7的外观与VS5相近，采用了捷达最新的设计语言，六边形的格栅造型</t>
  </si>
  <si>
    <t>　　自动驾驶汽车行业的市场规模究竟能有多大？8万亿美元（约合人民币56万亿元）。这是通用汽车自动驾驶汽车子公司Cruise给出的答案。根据Cruise公司首席执行官Dan Ammann的划分，这8万亿美元的估值涵盖了自动驾驶打车服务、自动驾驶货运服务以及数据分析和车内体验等细分市场。　　Ammann</t>
  </si>
  <si>
    <t>2020/02/08 09:21:00</t>
  </si>
  <si>
    <t>自动驾驶汽车行业的市场规模究竟能有多大？8万亿美元（约合人民币56万亿元）。这是通用汽车自动驾驶汽车子公司Cruise给出的答案。根据Cruise公司首席执行官Dan Ammann的划分，这8万亿美元的估值涵盖了自动驾驶打车服务、自动驾驶货运服务以及数据分析和车内体验等细分市场。    Ammann</t>
  </si>
  <si>
    <t>日前，我们从官方获悉，北京现代2020款瑞纳正式上市。新车依旧推出7款车型，指导价格区间同样保持不变为4.99-7.39万元。详情见下表：    『图为2017款车型』    由于是年款车型，新款瑞纳在外观以及内饰上并没有太大变化，主要为配置上的调整。回顾外观，瑞纳依然采用现代家族的流体雕塑2.0设</t>
  </si>
  <si>
    <t>2020/02/08 09:19:00</t>
  </si>
  <si>
    <t>　　日前，我们从官方获悉，北京现代2020款瑞纳正式上市。新车依旧推出7款车型，指导价格区间同样保持不变为4.99-7.39万元。详情见下表：　　『图为2017款车型』　　由于是年款车型，新款瑞纳在外观以及内饰上并没有太大变化，主要为配置上的调整。回顾外观，瑞纳依然采用现代家族的流体雕塑2.0设计语</t>
  </si>
  <si>
    <t>　　在全国在积极应对疫情的当下，百姓都在减少出行，避免人员接触。不少行业、企业为了迎合市场现状，也为了尽力保障客户的购物需求，都推出了相应的政策。长安欧尚也在这样的大环境下推出了线上订车、专人送车到家的便利服务。　　长安欧尚在推出线上购车的同时，还发布了一系列的优惠政策，如凡是在2020年2月1日-</t>
  </si>
  <si>
    <t>2020/02/08 09:17:00</t>
  </si>
  <si>
    <t>在全国在积极应对疫情的当下，百姓都在减少出行，避免人员接触。不少行业、企业为了迎合市场现状，也为了尽力保障客户的购物需求，都推出了相应的政策。长安欧尚也在这样的大环境下推出了线上订车、专人送车到家的便利服务。    长安欧尚在推出线上购车的同时，还发布了一系列的优惠政策，如凡是在2020年2月1日-</t>
  </si>
  <si>
    <t>日前，美国初创电动车企Lucid公布了一组旗下首款车型——Lucid Air量产版的预告图。据了解，新车驱动系统的工作电压将达到900V，电压高于保时捷Taycan所使用的800V系统。该车或将于今年4月纽约车展上正式亮相，并且在第四季度实现投产。Lucid Air量产版预告图Lucid Air原型</t>
  </si>
  <si>
    <t>2020/02/08 09:15:00</t>
  </si>
  <si>
    <t>　　日前，美国初创电动车企Lucid公布了一组旗下首款车型――Lucid Air量产版的预告图。据了解，新车驱动系统的工作电压将达到900V，电压高于保时捷Taycan所使用的800V系统。该车或将于今年4月纽约车展上正式亮相，并且在第四季度实现投产。Lucid Air量产版预告图Lucid Air</t>
  </si>
  <si>
    <t>　　近日，丰田汽车发布了其2020财年前三财季（2019年4月1日至2019年12月31日）财报。数据显示，在报告期内，丰田汽车的营业收入为22.83万亿日元（约合1.45万亿人民币），同比微增1.6%；营业利润为2.06万亿日元（约合1308亿人民币），同比增长6.2%。　　除了营业收入及营业利润</t>
  </si>
  <si>
    <t>2020/02/08 09:13:00</t>
  </si>
  <si>
    <t>近日，丰田汽车发布了其2020财年前三财季（2019年4月1日至2019年12月31日）财报。数据显示，在报告期内，丰田汽车的营业收入为22.83万亿日元（约合1.45万亿人民币），同比微增1.6%；营业利润为2.06万亿日元（约合1308亿人民币），同比增长6.2%。    除了营业收入及营业利润</t>
  </si>
  <si>
    <t>投诉编号：【446605】  投诉时间： 2020-02-08 09:07  投诉品牌： 东风日产  投诉车系： 轩逸  投诉车型： 2019款 1.6XL CVT 豪华版 经典        投诉内容  东风日产轩逸方向盘和油门踏板有震动，车在50码左右行驶，方向盘，油门踏板有明显震动，长时间行驶</t>
  </si>
  <si>
    <t>2020/02/08 09:07:00</t>
  </si>
  <si>
    <t>　　2020芝加哥车展已经拉开帷幕。本届车展上，梅赛德斯-奔驰官方带来了旗下全新房车Metris weekender，新车基于现款威霆打造而来。　　新车基于现款威霆打造而来，前脸保持了后者的精致设计，包括大灯组、镀铬前格栅、立体感十足的前包围等。新车最大的特点其实全部位于后车厢部分。　　驾驶舱依然保</t>
  </si>
  <si>
    <t>2020/02/08 08:56:00</t>
  </si>
  <si>
    <t>2020芝加哥车展已经拉开帷幕。本届车展上，梅赛德斯-奔驰官方带来了旗下全新房车Metris weekender，新车基于现款威霆打造而来。    新车基于现款威霆打造而来，前脸保持了后者的精致设计，包括大灯组、镀铬前格栅、立体感十足的前包围等。新车最大的特点其实全部位于后车厢部分。    驾驶舱依</t>
  </si>
  <si>
    <t>　　疫情当前，多家车企推出了关于用户服务和经销商经营的支持政策。为解决疫情期间出行不便及防控需求增加的问题，一汽奔腾推出了经销商“一减负二支持三保障六项政策”和用户“两净两时挚心关怀四项服务”的举措。奔腾T99　　在用户的服务方面，一汽奔腾表示，4S店将按照政府疫情防控的统一要求，根据不同情况选择合</t>
  </si>
  <si>
    <t>疫情当前，多家车企推出了关于用户服务和经销商经营的支持政策。为解决疫情期间出行不便及防控需求增加的问题，一汽奔腾推出了经销商“一减负二支持三保障六项政策”和用户“两净两时挚心关怀四项服务”的举措。奔腾T99    在用户的服务方面，一汽奔腾表示，4S店将按照政府疫情防控的统一要求，根据不同情况选择合</t>
  </si>
  <si>
    <t>日前，外媒曝光了一组特斯拉的专利图，专利图或显示了特斯拉未来车型的内饰设计，包括取消怀挡换挡方式，在方向盘上增加触摸屏幕等。    从曝光的专利图上可以看到，原来的怀挡已经被取消，方向盘下方则增加了一排挡位显示，不过具体是采用物理按键换挡，还是触摸式按键的换挡方式，目前还未可知。    当前特斯拉旗</t>
  </si>
  <si>
    <t>2020/02/08 08:54:00</t>
  </si>
  <si>
    <t>　　日前，外媒曝光了一组特斯拉的专利图，专利图或显示了特斯拉未来车型的内饰设计，包括取消怀挡换挡方式，在方向盘上增加触摸屏幕等。　　从曝光的专利图上可以看到，原来的怀挡已经被取消，方向盘下方则增加了一排挡位显示，不过具体是采用物理按键换挡，还是触摸式按键的换挡方式，目前还未可知。　　当前特斯拉旗下车</t>
  </si>
  <si>
    <t>投诉编号：【446601】投诉时间：2020-02-0808:27投诉品牌：上汽大众投诉车系：帕萨特投诉车型：2019款330TSI豪华版国VI投诉内容上汽大众帕萨特怠速时抖动！车辆安全性差，百分之25碰撞差，纸糊的帕萨特。其主要的就是车辆D挡R挡怠速抖动，刹车异响！如此严重的问题，希望厂家给我们车</t>
  </si>
  <si>
    <t>2020/02/08 08:27:00</t>
  </si>
  <si>
    <t>日常行驶，不到2000转油门踏板就震动频率快，驾驶时间稍长，脚就不舒服。</t>
  </si>
  <si>
    <t>2020/02/08 07:24:52</t>
  </si>
  <si>
    <t>这么说吧你要当个家用SUV没问题，空间大配置高舒服，但是一直开着别卖  没有保值率后期维修费用很高，也不是说JEEP就一定爱坏，只不过是相对于其他品牌对比来说故障率偏高同级别对比油耗偏高，你要是拿他当个越野车来买，那就真心算了吧，前后独立悬挂，你敢玩它，它就敢给你车身变形，适时多摩擦片四驱系统，走个</t>
  </si>
  <si>
    <t>2020/02/08 07:19:48</t>
  </si>
  <si>
    <t>2019年1月提车几天马达就坏了，去4S店换了，第一次保养发现渗油，4S店工作人员说正常，现在�来越严重。开空调或是开长途都有臭味，质保还有一年。这种情况该怎么处理？</t>
  </si>
  <si>
    <t>2020/02/08 07:15:04</t>
  </si>
  <si>
    <t>高速上，汽车右侧外面有吹哨的声音</t>
  </si>
  <si>
    <t>2020/02/08 07:10:18</t>
  </si>
  <si>
    <t>2020/02/08 07:10:06</t>
  </si>
  <si>
    <t>投诉编号：【446600】
投诉时间： 2020-02-08 06:56
投诉品牌： 长城汽车
投诉车系： 炫丽
投诉车型： 2011款 1.5L AMT CROSS</t>
  </si>
  <si>
    <t>说起雪佛兰Blazer，我想老一辈的汽车爱好者肯定有所耳闻，在本世纪初由金杯通用进行了国产并命名为开拓者，但随着2005年左右停产后它也渐渐地淡出了我们的视野。就在2019年末，上汽通用雪佛兰重新发布了该车，并宣布将在2020年3月正式上市。相比此前的老款车型来说，新车不仅变得更加霸气，同时动感流畅</t>
  </si>
  <si>
    <t>2020/02/08 07:10:00</t>
  </si>
  <si>
    <t>　　说起雪佛兰Blazer，我想老一辈的汽车爱好者肯定有所耳闻，在本世纪初由金杯通用进行了国产并命名为开拓者，但随着2005年左右停产后它也渐渐地淡出了我们的视野。就在2019年末，上汽通用雪佛兰重新发布了该车，并宣布将在2020年3月正式上市。相比此前的老款车型来说，新车不仅变得更加霸气，同时动感</t>
  </si>
  <si>
    <t>车跑100时为什么中控台有敲击声。</t>
  </si>
  <si>
    <t>2020/02/08 07:05:35</t>
  </si>
  <si>
    <t>奇瑞5X的发动机和变速箱均为国产，质量是否稳定？</t>
  </si>
  <si>
    <t>投诉编号：【446594】  投诉时间： 2020-02-07 22:50  投诉品牌： 奇瑞汽车  投诉车系： 艾瑞泽5  投诉车型： 2016款 1.5L 手动 领潮版        投诉内容  奇瑞艾瑞泽5变速箱打齿方向盘抖动，一挡升二挡打齿厉害，80公里以上踩刹车方向盘抖动严重，两前轮内侧吃</t>
  </si>
  <si>
    <t>2020/02/07 22:50:00</t>
  </si>
  <si>
    <t>18款大迈X7至尊版，购新车两年不到，跑了1万多公里，现在显示P/和变速箱故障，有时会滑档，加速空转无力，特别是红绿灯和高速上太危险了，重启又好了，行驶一段又弹出显示故障灯，在路上行驶心里真是那个慌啊，怕随时会滑档停在路上，因冠状病毒原因，没法到4S检修，各位同车友们出现过这种状况吗</t>
  </si>
  <si>
    <t>xzlswj</t>
  </si>
  <si>
    <t>2020/02/07 22:47:00</t>
  </si>
  <si>
    <t>大迈X7变速箱故障 偶尔滑档18款大迈X7至尊版，购新车两年不到，跑了1万多公里，现在显示P/和变速箱故障，有时会滑档，加速空转无力，特别是红绿灯和高速上太危险了，重启又好了，行驶一段又弹出显示故障灯，在路上行驶心里真是那个慌啊，怕随时会滑档停在路上，因冠状病毒原因，没法到4S检修，各位同车友们出现</t>
  </si>
  <si>
    <t>2020/02/07 22:42:48</t>
  </si>
  <si>
    <t>投诉编号：【446592】
投诉时间： 2020-02-07 22:41
投诉品牌： 一汽吉林
投诉车系： 森雅R7
投诉车型： 2017款 1.6L 手动 智能型</t>
  </si>
  <si>
    <t>投诉编号：【446593】  投诉时间： 2020-02-07 22:42  投诉品牌： 上汽集团  投诉车系： 名爵6  投诉车型： 2017款 20T 自动 Trophy超级运动互联网版 国V        投诉内容  最近发现车子，D挡低速行驶，匀速前进，油门保持不动，发动机转数持续升高到3.</t>
  </si>
  <si>
    <t>2020/02/07 22:42:00</t>
  </si>
  <si>
    <t>投诉编号：【446590】  投诉时间： 2020-02-07 21:57  投诉品牌： 一汽-大众  投诉车系： 速腾  投诉车型： 2018款 1.6L 自动 舒适型        投诉内容  座椅为有过剐蹭，突然发现脱落地区出现类似气泡现象，仔细一看发现皮与里面布已经分离，过了一天就脱落了下来</t>
  </si>
  <si>
    <t>2020/02/07 21:57:00</t>
  </si>
  <si>
    <t>2020/02/07 21:42:23</t>
  </si>
  <si>
    <t>投诉编号：【446586】
投诉时间： 2020-02-07 21:02
投诉品牌： 上汽大众
投诉车系： 桑塔纳
投诉车型： 2018款 1.5L 手动 风尚版 浩纳</t>
  </si>
  <si>
    <t>2020/02/07 21:41:54</t>
  </si>
  <si>
    <t>投诉编号：【446589】
投诉时间： 2020-02-07 21:30
投诉品牌： 众泰汽车
投诉车系： 众泰T600
投诉车型： 2016款 2.0T 手动 精英型 家用版</t>
  </si>
  <si>
    <t>投诉编号：【446588】  投诉时间： 2020-02-07 21:03  投诉品牌： 长城汽车  投诉车系： 哈弗H9  投诉车型： 2017款 2.0T 四驱 豪华型 7座 柴油        投诉内容  发动机机盖漏机油，去4S店修过一回了，还是漏。长城汽车在做工质量方面还得加强，我上次换机</t>
  </si>
  <si>
    <t>2020/02/07 21:03:00</t>
  </si>
  <si>
    <t>2020/02/07 20:40:00</t>
  </si>
  <si>
    <t>投诉编号：【446583】
投诉时间： 2020-02-07 19:30
投诉品牌： 上汽大众
投诉车系： 朗逸
投诉车型： 2015款 1.6L 自动 风尚版</t>
  </si>
  <si>
    <t>投诉编号：【446581】  投诉时间： 2020-02-07 18:31  投诉品牌： 一汽-大众  投诉车系： T-ROC探歌  投诉车型： 2019款 280TSI DSG 两驱 豪华型 国V        投诉内容  于2019.7.21订车，在八十十几号交的车，短短数月，于近日发现了鼓包，</t>
  </si>
  <si>
    <t>2020/02/07 18:31:00</t>
  </si>
  <si>
    <t>2020/02/07 18:04:29</t>
  </si>
  <si>
    <t>投诉编号：【446578】
投诉时间： 2020-02-07 17:33
投诉品牌： 上汽大众
投诉车系： 帕萨特
投诉车型： 2016款 330TSI DSG 尊荣版</t>
  </si>
  <si>
    <t>投诉编号：【446577】  投诉时间： 2020-02-07 17:27  投诉品牌： 广汽本田  投诉车系： 缤智  投诉车型： 2015款 1.5L CVT 两驱舒适型        投诉内容  广汽本田缤智发动机机油增多且有汽油味，冷车发动机噪音，抖动，发动机机油增多到最大刻度以上一厘米左右</t>
  </si>
  <si>
    <t>2020/02/07 17:27:00</t>
  </si>
  <si>
    <t>2020/02/07 17:24:44</t>
  </si>
  <si>
    <t>投诉编号：【446575】
投诉时间： 2020-02-07 17:20
投诉品牌： 北汽新能源
投诉车系： 北汽新能源EX
投诉车型： 2018款 EX360 新尚版</t>
  </si>
  <si>
    <t>行驶中突然熄火，仪表盘灯全灭，指针不回零！其他灯光正常！能打火但打不着！这是什么原因导致的？</t>
  </si>
  <si>
    <t>2020/02/07 17:12:58</t>
  </si>
  <si>
    <t>投诉编号：【446574】  投诉时间： 2020-02-07 17:05  投诉品牌： 广汽本田  投诉车系： 雅阁  投诉车型： 2018款 2.0L 锐智版 锐·混动 国VI        投诉内容  在跑高速的过程中或者说是时速高于80公里每小时的时候，转向系统会卡顿，没有办法轻微力度调整方</t>
  </si>
  <si>
    <t>2020/02/07 17:05:00</t>
  </si>
  <si>
    <t>投诉编号：【446573】  投诉时间： 2020-02-07 16:48  投诉品牌： 吉利汽车  投诉车系： 经典帝豪  投诉车型： 2013款 1.8L 手动 精英型 三厢        投诉内容  我的车是吉利经典帝豪，车辆的车身爆漆，中控台有异响，行驶时向左跑偏。要求厂家尽快解决好车辆的问</t>
  </si>
  <si>
    <t>2020/02/07 16:48:00</t>
  </si>
  <si>
    <t>广大车友，我想问问有没有人遇到过，新买3个月的车天窗玻璃无缘无故碎了，现在厂家态度不明确，保险也不管，我想问一下广大车友我现在该怎么办？</t>
  </si>
  <si>
    <t>2020/02/07 16:40:41</t>
  </si>
  <si>
    <t>投诉编号：【446572】投诉时间：2020-02-0716:27投诉品牌：一汽-大众奥迪投诉车系：奥迪Q3投诉车型：2019款35TFSI进取动感型投诉内容一：本人于2019年12月提车，在深圳购买新款奥迪Q3，提车当天发现变速箱顿挫问题，2/3挡升降挡顿挫严重，返回4S店检查，说是奥迪的通病，让</t>
  </si>
  <si>
    <t>2020/02/07 16:27:00</t>
  </si>
  <si>
    <t>投诉编号：【446565】投诉时间：2020-02-0715:55投诉品牌：华晨宝马投诉车系：宝马X1投诉车型：2014款sDrive18i领先型5座投诉内容我在2015年5月购买了宝马X1Serive18i领先型，到事件发生时车辆行驶里程是27000km(一辆行驶不到3万公里的车)2020年1月1</t>
  </si>
  <si>
    <t>2020/02/07 15:55:00</t>
  </si>
  <si>
    <t>哈弗F7车联网系统故障，应该怎么解决？</t>
  </si>
  <si>
    <t>2020/02/07 15:48:08</t>
  </si>
  <si>
    <t>最近想入手2020款阿特兹2.5蓝天运动版车型，不知道转向机问题是否彻底解决，麻烦知道滴车友解答一下谢谢！</t>
  </si>
  <si>
    <t>2020/02/07 15:43:54</t>
  </si>
  <si>
    <t>M挡是不是手动模式？</t>
  </si>
  <si>
    <t>2020/02/07 15:39:59</t>
  </si>
  <si>
    <t>一汽大众速腾暖风不热从买车开始暖风就不热，2018年冬天去4s店进行过维修，不过效果不明显，2019年12月26号去一汽大众进行中维修，维修师傅将配件拆下后发现在去年维修时当时的4s店将翻板电机损坏了，导致现在翻板电机贴合不牢固，暖风不热，2018年在维修时维修师傅当时并没有告知我这一情况，现在4s</t>
  </si>
  <si>
    <t>起风了16</t>
  </si>
  <si>
    <t>2020/02/07 15:21:00</t>
  </si>
  <si>
    <t>从买车开始暖风就不热，2018年冬天去4s店进行过维修，不过效果不明显，2019年12月26号去一汽大众进行中维修，维修师傅将配件拆下后发现在去年维修时当时的4s店将翻板电机损坏了，导致现在翻板电机贴合不牢固，暖风不热，2018年在维修时维修师傅当时并没有告知我这一情况，现在4s店拒绝索赔，要车主自</t>
  </si>
  <si>
    <t>北京奔驰GLC刹车异响特别影响使用2018年5月份购车，目前车辆里程是三万二千多公里，只要使用刹车就会发出刺耳尖锐的异响，严重影响车辆的使用，请厂家解决该问题。</t>
  </si>
  <si>
    <t>天凉凉15</t>
  </si>
  <si>
    <t>2020/02/07 15:19:00</t>
  </si>
  <si>
    <t>2018年5月份购车，目前车辆里程是三万二千多公里，只要使用刹车就会发出刺耳尖锐的异响，严重影响车辆的使用，请厂家解决该问题。</t>
  </si>
  <si>
    <t>一汽奔腾T77发动机抖动引起车身共振发动机抖动D挡怠速发动机方向盘抖动，整个车厢都有轻微抖动，要求厂家解决。4s店给换了曲轴位置传感器 还是一样没任何意义,还抖动严重整个车厢都有抖动，现在又有了发动机怠速哒哒哒的异响。</t>
  </si>
  <si>
    <t>天气好</t>
  </si>
  <si>
    <t>2020/02/07 15:17:00</t>
  </si>
  <si>
    <t>发动机抖动D挡怠速发动机方向盘抖动，整个车厢都有轻微抖动，要求厂家解决。4s店给换了曲轴位置传感器 还是一样没任何意义,还抖动严重整个车厢都有抖动，现在又有了发动机怠速哒哒哒的异响。</t>
  </si>
  <si>
    <t>上汽大众途观变速箱漏油在4S店做常规保养，当师傅把车架空起来准备放机油时发现底面保护板有很深油浸痕迹，把底部取下来后，发现变速箱外表面有油滴还未掉下，于是告诉我变速箱漏油，由于还在质保期内，4S店答应会与厂家反应，按程序提出索赔。本人一直都非常看好大众质量，现在看来非常让人失望，因为该车在质保期内已</t>
  </si>
  <si>
    <t>阳光耀眼20</t>
  </si>
  <si>
    <t>2020/02/07 15:15:00</t>
  </si>
  <si>
    <t>在4S店做常规保养，当师傅把车架空起来准备放机油时发现底面保护板有很深油浸痕迹，把底部取下来后，发现变速箱外表面有油滴还未掉下，于是告诉我变速箱漏油，由于还在质保期内，4S店答应会与厂家反应，按程序提出索赔。本人一直都非常看好大众质量，现在看来非常让人失望，因为该车在质保期内已先后更换了两个车轮传感</t>
  </si>
  <si>
    <t>广汽本田凌派四个车门不同程度生锈购买后的第三年发现主驾驶车门生锈，忘了这是属于质量问题，当时自己补得漆，现在发现四个车门都有这个问题。</t>
  </si>
  <si>
    <t>狂浪涛涛</t>
  </si>
  <si>
    <t>2020/02/07 15:13:00</t>
  </si>
  <si>
    <t>购买后的第三年发现主驾驶车门生锈，忘了这是属于质量问题，当时自己补得漆，现在发现四个车门都有这个问题。</t>
  </si>
  <si>
    <t>东风风光580仪表故障灯亮车辆的仪表经常提示“发动机防盗认证失败”ABS故障灯亮和PS故障灯亮，到云南昭通的4S店检查，告知没有在4S店里保养不予维修。后自费在维修厂检查，确认为车辆的一个二极管损坏。</t>
  </si>
  <si>
    <t>风起云又涌</t>
  </si>
  <si>
    <t>2020/02/07 15:11:00</t>
  </si>
  <si>
    <t>车辆的仪表经常提示“发动机防盗认证失败”ABS故障灯亮和PS故障灯亮，到云南昭通的4S店检查，告知没有在4S店里保养不予维修。后自费在维修厂检查，确认为车辆的一个二极管损坏。</t>
  </si>
  <si>
    <t>长安福特福睿斯左后门铰链处门板生锈落地两年半，目前里程2万7千多公里，左后门铰链处门板生锈，这是严重的质量问题，请厂家解决。</t>
  </si>
  <si>
    <t>急速飞驰</t>
  </si>
  <si>
    <t>2020/02/07 15:08:00</t>
  </si>
  <si>
    <t>落地两年半，目前里程2万7千多公里，左后门铰链处门板生锈，这是严重的质量问题，请厂家解决。</t>
  </si>
  <si>
    <t>奇瑞瑞虎5x发动机故障灯亮新车3天就出故障灯，3个月了我跑了修理厂不下10次，判断排气故障，油箱也拔了，管子也拆了检测，没查出个问题，最后估计油箱盖子问题，用了快两个月时间从厂家发了个盖子换上还是故障灯亮，我当时建议把管子电磁阀油盖子一起换了，没几个钱，厂家不愿意啊，一拖几个月过去了，上百亿的企业，</t>
  </si>
  <si>
    <t>巅峰时刻013</t>
  </si>
  <si>
    <t>2020/02/07 15:06:00</t>
  </si>
  <si>
    <t>新车3天就出故障灯，3个月了我跑了修理厂不下10次，判断排气故障，油箱也拔了，管子也拆了检测，没查出个问题，最后估计油箱盖子问题，用了快两个月时间从厂家发了个盖子换上还是故障灯亮，我当时建议把管子电磁阀油盖子一起换了，没几个钱，厂家不愿意啊，一拖几个月过去了，上百亿的企业，产品质量和名誉不重要吗？为</t>
  </si>
  <si>
    <t>两个前轮邓禄普轮胎起皮，才行驶了不到1万9千公里，轮胎检测说是受外力撕扯或者不良路面行驶导致轮胎抓烧伤。</t>
  </si>
  <si>
    <t>突突加速12</t>
  </si>
  <si>
    <t>2020/02/07 15:03:00</t>
  </si>
  <si>
    <t>广汽丰田汉兰达邓禄普前轮轮胎起皮两个前轮邓禄普轮胎起皮，才行驶了不到1万9千公里，轮胎检测说是受外力撕扯或者不良路面行驶导致轮胎抓烧伤。</t>
  </si>
  <si>
    <t>此车天窗在一定公里数后开始异响，这种异响噪音听起来特别不舒服，严重影响驾驶安全，长期松动异响也大大衰减了天窗的使用寿命！第二点：此车具备了一键遥控控制四个车窗和天窗开关的功能，但目前的情况是，天窗可以遥控打开却无法遥控控制关闭，这是不符合使用常理的，也属于设计缺陷。第三点：我的车提车后的一定时间内确</t>
  </si>
  <si>
    <t>天凉凉11</t>
  </si>
  <si>
    <t>2020/02/07 14:58:00</t>
  </si>
  <si>
    <t>广汽传祺GS8天窗不能遥控关闭变速箱顿挫此车天窗在一定公里数后开始异响，这种异响噪音听起来特别不舒服，严重影响驾驶安全，长期松动异响也大大衰减了天窗的使用寿命！第二点：此车具备了一键遥控控制四个车窗和天窗开关的功能，但目前的情况是，天窗可以遥控打开却无法遥控控制关闭，这是不符合使用常理的，也属于设计</t>
  </si>
  <si>
    <t>投诉编号：【446561】投诉时间：2020-02-0714:55投诉品牌：北京汽车投诉车系：绅宝D50投诉车型：2014款1.5L手动标准版投诉内容北汽绅宝D50在下雨时从空调滤芯处漏水导致气囊模块损坏，仪表提示气囊灯亮。投诉回复车质网已将您的投诉转给生产企业以及国家市场监督管理总局缺陷产品管理中</t>
  </si>
  <si>
    <t>2020/02/07 14:55:00</t>
  </si>
  <si>
    <t>投诉编号：【446560】投诉时间：2020-02-0714:52投诉品牌：广汽丰田投诉车系：凯美瑞投诉车型：2019款2.0G豪华版国VI投诉内容广汽丰田凯美瑞仪表盘上发动机故障灯亮，去一次4S店，找不出原因，电脑消除了，现在又出现。投诉回复车质网已将您的投诉转给生产企业以及国家市场监督管理总局缺</t>
  </si>
  <si>
    <t>2020/02/07 14:52:00</t>
  </si>
  <si>
    <t>投诉编号：【446559】投诉时间：2020-02-0714:40投诉品牌：东风乘用车投诉车系：风神AX7投诉车型：2015款2.0L自动智逸型5座投诉内容我的车是15年买的东风风神ax72.0L自动智逸型，2019年6月份，汽车控制显示不能关闭，仪表盘常亮，导致汽车电量很快耗尽不能启动，因恩施原买</t>
  </si>
  <si>
    <t>2020/02/07 14:40:00</t>
  </si>
  <si>
    <t>投诉编号：【446558】投诉时间：2020-02-0714:39投诉品牌：北京现代投诉车系：领动投诉车型：2016款1.4T双离合炫动・精英型投诉内容北京现代领动发动机抖动变速箱顿挫，发动机抖动异常，还有就是变速箱低速顿挫异响严重。投诉回复车质网已将您的投诉转给生产企业以及国家市场监督管理总局缺陷</t>
  </si>
  <si>
    <t>2020/02/07 14:39:00</t>
  </si>
  <si>
    <t>投诉编号：【446557】  投诉时间： 2020-02-07 14:38  投诉品牌： 吉利汽车  投诉车系： 帝豪GL  投诉车型： 2017款 1.8L 手动 精英型        投诉内容  1.引擎盖设计不合理，排水口怼着密封条，导致雨水无法正常排出引擎盖生锈。2.车机音量过大，影响车辆起</t>
  </si>
  <si>
    <t>2020/02/07 14:38:00</t>
  </si>
  <si>
    <t>2020/02/07 14:37:55</t>
  </si>
  <si>
    <t>投诉编号：【446554】
投诉时间： 2020-02-07 13:56
投诉品牌： 广汽丰田
投诉车系： 凯美瑞
投诉车型： 2008款 240V 2.4 自动 至尊版</t>
  </si>
  <si>
    <t>别克英朗前悬架控制臂衬套召回时间是18年10月，可是本人到今天为止一直未接到任何通知。</t>
  </si>
  <si>
    <t>2020/02/07 14:24:39</t>
  </si>
  <si>
    <t>我的车是干式双离合变速箱，今天在进大门口挂了N挡测体温，没有挂入D挡，行驶了一段距离，不清楚踩没踩加速踏板，发现是挂的N挡就切换到了D挡，请问这样对双离合干式变速箱有什么损坏吗？</t>
  </si>
  <si>
    <t>2020/02/07 14:13:48</t>
  </si>
  <si>
    <t>投诉编号：【446556】投诉时间：2020-02-0714:13投诉品牌：上汽通用五菱投诉车系：五菱宏光S3投诉车型：2018款1.5L手动豪华型国V投诉内容早上启动车，发动机舱内严重异响，踩离合器，异响减轻，起步，听见后桥嘎巴一声响，跑高速六挡脱挡，要求厂家尽快解决好车辆的问题。投诉回复车质网已</t>
  </si>
  <si>
    <t>2020/02/07 14:13:00</t>
  </si>
  <si>
    <t>19款奔驰C260L运动款发动机异响，已经行驶将近5000公里，本来没当回事，因为c级的发动机噪音都偏大，但是2月7号上班路上突然发动机亮黄灯，但是车子可以继续行驶我就去了4S店，因为疫情原因，检修的只有几个值班的，说故障灯做下系统升级就好了，但是发动机确实有异响，和故障灯无关，就是我感受每次30-</t>
  </si>
  <si>
    <t>2020/02/07 14:06:17</t>
  </si>
  <si>
    <t>投诉编号：【446555】  投诉时间： 2020-02-07 14:04  投诉品牌： 吉利汽车  投诉车系： 星越  投诉车型： 2019款 350T 耀星者        投诉内容  吉利星越排气管设计缺陷，行驶时甩进泥沙，车辆排气口在和轮胎之间有空隙，当车辆行使过程中会导致大量泥沙甩进排气口</t>
  </si>
  <si>
    <t>2020/02/07 14:04:00</t>
  </si>
  <si>
    <t>投诉编号：【446551】投诉时间：2020-02-0713:47投诉品牌：吉利汽车投诉车系：帝豪投诉车型：2016款1.5LCVT向上版三厢投诉内容同一款车型存在远特与博泰两种车机，一种可以下载软件，一种完全不行，存在较大功能差异，但是在销售中未说明情况，导致购买到功能较差的车机的车辆。投诉回复车</t>
  </si>
  <si>
    <t>2020/02/07 13:47:00</t>
  </si>
  <si>
    <t>2020/02/07 13:38:34</t>
  </si>
  <si>
    <t>投诉编号：【446550】
投诉时间： 2020-02-07 13:12
投诉品牌： 东风本田
投诉车系： 本田CR-V
投诉车型： 2019款 耀目版plus 240TURBO CVT 四驱 豪华版</t>
  </si>
  <si>
    <t>2020/02/07 13:14:00</t>
  </si>
  <si>
    <t>盘点2019年5款热门轿车 有你喜欢的吗2019年的汽车市场依然是在火热的竞争，每家车企都在用尽全力，去吸引更多消费者。今天，我们就给大家盘点5款2019年的热门车型。宝马3系2019年全新改款的宝马三系已经是热门车里绕不过的话题。从刚上市就吸引一众目光。更豪华的车内氛围，更舒适的驾驶体验，不变的依</t>
  </si>
  <si>
    <t>在紧凑型轿车市场中，国内销售份额很大一部分被合资轿车占据，例如轩逸、朗逸、卡罗拉等常年占据销量榜前三，成为国产紧凑型轿车难于翻越的三座大山。不可否认，既然无法翻越，不如在自己的领域精耕细作，打开自己的销量，积累自己的口碑。例如今天介绍这3款国产轿车，10万就能买到中高配车型，空间实用，配置高，实质上</t>
  </si>
  <si>
    <t>2020/02/07 13:13:00</t>
  </si>
  <si>
    <t>很多比较单纯的人会觉得，买一辆便宜的车，改装时的花费会低一些。虽然这样说，看起来没什么问题，有些车也确实足够便宜，改件也非常便宜。但是呢，如果想要不妥协，把车改得足够精品的话，便宜的车用在改装上的费用一点也不会比贵的车节省。就像今天我们和大家分享的飞度GK5，乞丐版手动挡的车型真的不贵，大部分人只要</t>
  </si>
  <si>
    <t>改装件比车贵 玩飞度GK5的土豪真不少很多比较单纯的人会觉得，买一辆便宜的车，改装时的花费会低一些。虽然这样说，看起来没什么问题，有些车也确实足够便宜，改件也非常便宜。但是呢，如果想要不妥协，把车改得足够精品的话，便宜的车用在改装上的费用一点也不会比贵的车节省。就像今天我们和大家分享的飞度GK5，乞</t>
  </si>
  <si>
    <t>10万买空间实用配置高 这3款不输同级合资车在紧凑型轿车市场中，国内销售份额很大一部分被合资轿车占据，例如轩逸、朗逸、卡罗拉等常年占据销量榜前三，成为国产紧凑型轿车难于翻越的三座大山。不可否认，既然无法翻越，不如在自己的领域精耕细作，打开自己的销量，积累自己的口碑。例如今天介绍这3款国产轿车，10万</t>
  </si>
  <si>
    <t>现代与古典的完美结合。修长的车头、优雅的线条、四个车头灯毫无意外的被两则的翼子板挤到了进气格栅的两旁，这种复古的造型，可能会令你想起极具古典老爷车特色的Morgan，不过今日的主角却是来自日本，讲到这里，可能你已经猜到，没错，这就是全新的光冈Matsuoka Himiko。问世自2008年的光冈汽车</t>
  </si>
  <si>
    <t>2020/02/07 13:12:00</t>
  </si>
  <si>
    <t>现代与古典完美结合：光冈Matsuoka Himiko现代与古典的完美结合。修长的车头、优雅的线条、四个车头灯毫无意外的被两则的翼子板挤到了进气格栅的两旁，这种复古的造型，可能会令你想起极具古典老爷车特色的Morgan，不过今日的主角却是来自日本，讲到这里，可能你已经猜到，没错，这就是全新的光冈Ma</t>
  </si>
  <si>
    <t>本田思域，目前作为紧凑型运动标杆车型，所以和运动性能沾边的都想和本田思域一较高下，比如领克03，比如菲斯塔等等。所以作为一个三年的本田十代思域车主，我还是感觉十分的骄傲的，毕竟本田思域在国内，目前看来还是可以算得上一辆神车的。今天我也有幸和大家一起聊聊十代思域的父辈祖先们，是不是也像目前这一代思域一</t>
  </si>
  <si>
    <t>2020/02/07 13:11:00</t>
  </si>
  <si>
    <t>思域的进化史 积累起来的人气与信仰本田思域，目前作为紧凑型运动标杆车型，所以和运动性能沾边的都想和本田思域一较高下，比如领克03，比如菲斯塔等等。所以作为一个三年的本田十代思域车主，我还是感觉十分的骄傲的，毕竟本田思域在国内，目前看来还是可以算得上一辆神车的。今天我也有幸和大家一起聊聊十代思域的父辈</t>
  </si>
  <si>
    <t>汽车音响是车内娱乐功能的组成部分之一，行驶中听听不同种类的音乐可以提升驾驶时的心情。不同品牌的汽车采用了不同的音响，根据音响的音质和解析度，不同品牌对于音乐的种类各有专攻，那么今天就看看那些知名音响品牌都有什么优势和配备的车型。BOSE于诞生于1964年，总部位于美国麻省，该品牌历史悠久使用广泛，被</t>
  </si>
  <si>
    <t>2020/02/07 13:10:00</t>
  </si>
  <si>
    <t>如果想要检验一个国家汽车文化的高度，首先就要看这个国家对改装文化的态度。毕竟，但凡一件事物可以被称之为文化，那么它就一定是由人们长期创造形成的产物，并且又是一种历史现象，是社会历史的积淀物。更加确切地说，文化又是凝结在物质之中又游离于物质之外的，能够被传承的与交流的一种意识形态。当然如果你看不懂上述</t>
  </si>
  <si>
    <t>顶级汽车音响你有吗？装的时候小心音响雷区汽车音响是车内娱乐功能的组成部分之一，行驶中听听不同种类的音乐可以提升驾驶时的心情。不同品牌的汽车采用了不同的音响，根据音响的音质和解析度，不同品牌对于音乐的种类各有专攻，那么今天就看看那些知名音响品牌都有什么优势和配备的车型。BOSE于诞生于1964年，总部</t>
  </si>
  <si>
    <t>喜欢开四驱车？ 盘点一下知名的几个系统说到买SUV，很多人会想买四驱，其实北方的用户一般遇到雨雪天气多一些，买四驱车比较实用，南方用户大多数情况买两驱就够了。其实对于四驱而言，有偏公路行驶的四驱，也有偏越野的四驱系统，不能同一而论，今天就给大家盘点一下比较知名的几套四驱系统，你最喜欢哪款呢？宝马xD</t>
  </si>
  <si>
    <t>改装爱好者的曙光来了 这些政策你到看了吗如果想要检验一个国家汽车文化的高度，首先就要看这个国家对改装文化的态度。毕竟，但凡一件事物可以被称之为文化，那么它就一定是由人们长期创造形成的产物，并且又是一种历史现象，是社会历史的积淀物。更加确切地说，文化又是凝结在物质之中又游离于物质之外的，能够被传承的与</t>
  </si>
  <si>
    <t>性能全面强化 新款思域Type R芝加哥车展亮相    张嘉文加关注向Ta提问    日前，有媒体从相关渠道获悉，新款本田思域Type R在2020芝加哥车展正式亮相，虽然新车的整体外观变化不大，但进一步优化了空气动力学套件、发动机冷却系统、悬架以及刹车制动系统，动力上将继续搭载高功率的2.0T四缸</t>
  </si>
  <si>
    <t>2020/02/07 12:53:00</t>
  </si>
  <si>
    <t>　　性能全面强化 新款思域Type R芝加哥车展亮相　　张嘉文加关注向Ta提问　　日前，有媒体从相关渠道获悉，新款本田思域Type R在2020芝加哥车展正式亮相，虽然新车的整体外观变化不大，但进一步优化了空气动力学套件、发动机冷却系统、悬架以及刹车制动系统，动力上将继续搭载高功率的2.0T四缸涡轮</t>
  </si>
  <si>
    <t>　　铃木维特拉Brezza于2016年首次亮相，专供印度市场，诞生于印度的Maruti Suzuki（铃木印度子公司）工厂。日前，有媒体从海外媒体获悉，维特拉Brezza将推出汽油版车型，变速箱也由现款的5MT升级为4AT，现款车型的售价为763,000卢比，全新车型的价格目前尚未公布。　　根据20</t>
  </si>
  <si>
    <t>2020/02/07 12:52:00</t>
  </si>
  <si>
    <t>铃木维特拉Brezza于2016年首次亮相，专供印度市场，诞生于印度的Maruti Suzuki（铃木印度子公司）工厂。日前，有媒体从海外媒体获悉，维特拉Brezza将推出汽油版车型，变速箱也由现款的5MT升级为4AT，现款车型的售价为763,000卢比，全新车型的价格目前尚未公布。    根据20</t>
  </si>
  <si>
    <t>　　在2020芝加哥车展上，Jeep正式发布了牧马人High Altitude版车型，High Altitude版本也是Jeep牧马人车系中拥有最顶级豪华度和性能的版本。牧马人High Altitude版实车图　　外观方面，牧马人High Altitude版的整体造型与普通版车型保持一致，但新车针对</t>
  </si>
  <si>
    <t>2020/02/07 12:49:00</t>
  </si>
  <si>
    <t>在2020芝加哥车展上，Jeep正式发布了牧马人High Altitude版车型，High Altitude版本也是Jeep牧马人车系中拥有最顶级豪华度和性能的版本。牧马人High Altitude版实车图    外观方面，牧马人High Altitude版的整体造型与普通版车型保持一致，但新车针对</t>
  </si>
  <si>
    <t>10落地SUV，CS35 PLUS，荣威RX3，名爵ZS，瑞虎5x，吉利缤越，这几款车应该怎么选？</t>
  </si>
  <si>
    <t>2020/02/07 12:48:01</t>
  </si>
  <si>
    <t>就是结婚前买车，以后自己用，我准备买卡罗拉双擎版可以吗？</t>
  </si>
  <si>
    <t>　　日前，大众在2020芝加哥车展中发布新款大众Atlas（国内为途昂）。新车与现款车型差别不大，依旧保持肌肉风格，但在细节处还是凸显了不同。　　从外观来看，新车依旧采用充满肌肉感的设计风格。其中新车采用全新的格栅设计，整体形状由现款的矩形改为家族式的T字形。　　两侧前大灯内部造型同样发生变化，LE</t>
  </si>
  <si>
    <t>2020/02/07 12:46:00</t>
  </si>
  <si>
    <t>日前，大众在2020芝加哥车展中发布新款大众Atlas（国内为途昂）。新车与现款车型差别不大，依旧保持肌肉风格，但在细节处还是凸显了不同。    从外观来看，新车依旧采用充满肌肉感的设计风格。其中新车采用全新的格栅设计，整体形状由现款的矩形改为家族式的T字形。    两侧前大灯内部造型同样发生变化，</t>
  </si>
  <si>
    <t>本届芝加哥车展上，克莱斯勒发布了大捷龙（Pacifica）的中期改款车型。新车的外观设计和内部配置均有革新，燃油车型增加了四驱版本可选，Pinnacle豪华版车型也为首次推出。据悉，新车将于今年三季度在美国市场接受预订，四季度开始交付美国客户。    新款大捷龙共有四个配置，分别为Touring/T</t>
  </si>
  <si>
    <t>2020/02/07 12:44:00</t>
  </si>
  <si>
    <t>　　本届芝加哥车展上，克莱斯勒发布了大捷龙（Pacifica）的中期改款车型。新车的外观设计和内部配置均有革新，燃油车型增加了四驱版本可选，Pinnacle豪华版车型也为首次推出。据悉，新车将于今年三季度在美国市场接受预订，四季度开始交付美国客户。　　新款大捷龙共有四个配置，分别为Touring/T</t>
  </si>
  <si>
    <t>在2020布鲁塞尔车展上，雪铁龙正式发布了C5 AIRCROSS插电混动版，新车搭载一套1.6T发动机和电机组成的插电式混动系统，最大综合功率可达225马力。此前我们也报道过天逸C5 AIRCROSS插电混动版的新车申报图，在海外发布后，天逸C5 AIRCROSS插电混动版也有望于2020年内国产上</t>
  </si>
  <si>
    <t>2020/02/07 12:43:00</t>
  </si>
  <si>
    <t>　　在2020布鲁塞尔车展上，雪铁龙正式发布了C5 AIRCROSS插电混动版，新车搭载一套1.6T发动机和电机组成的插电式混动系统，最大综合功率可达225马力。此前我们也报道过天逸C5 AIRCROSS插电混动版的新车申报图，在海外发布后，天逸C5 AIRCROSS插电混动版也有望于2020年内国</t>
  </si>
  <si>
    <t>在2020芝加哥车展上，丰田4Runner Trail Edition正式发布。新车是基于4Runner的SR5车型所打造的，整体风格更加偏向户外。此外，新车还将提供军绿/水泥灰/午夜黑/超级白四种车漆，并搭配黑色车身标识。4Runner Trail Edition官图    外观方面，4Runne</t>
  </si>
  <si>
    <t>2020/02/07 12:41:00</t>
  </si>
  <si>
    <t>　　在2020芝加哥车展上，丰田4Runner Trail Edition正式发布。新车是基于4Runner的SR5车型所打造的，整体风格更加偏向户外。此外，新车还将提供军绿/水泥灰/午夜黑/超级白四种车漆，并搭配黑色车身标识。4Runner Trail Edition官图　　外观方面，4Runne</t>
  </si>
  <si>
    <t>　　在2020芝加哥车展上，Jeep正式发布了Gladiator High Altitude（可直译为高海拔）特别版，新车在普通版车型的基础上增加了更多的豪华舒适性配置。　　在外形方面，Gladiator High Altitude在前保险杠、车轮上方的挡泥板、后视镜、门把手以及后备厢门把手等部件换</t>
  </si>
  <si>
    <t>2020/02/07 12:39:00</t>
  </si>
  <si>
    <t>在2020芝加哥车展上，Jeep正式发布了Gladiator High Altitude（可直译为高海拔）特别版，新车在普通版车型的基础上增加了更多的豪华舒适性配置。    在外形方面，Gladiator High Altitude在前保险杠、车轮上方的挡泥板、后视镜、门把手以及后备厢门把手等部件换</t>
  </si>
  <si>
    <t>　　奔驰在2019年推出了GLB，它在整个豪华品牌里都是独一无二的存在，为什么呢？因为它虽然是紧凑型SUV，但车内被塞进了7个座位，在同级车型中没有竞争对手，再加上个性的外观以及奔驰的品牌光辉，它的关注度一直不低。在GLB的车型序列中，有一款先行特别版，它到底有啥特别住处？一起来看看吧。　　GLB全</t>
  </si>
  <si>
    <t>2020/02/07 12:33:00</t>
  </si>
  <si>
    <t>2020/02/07 12:29:46</t>
  </si>
  <si>
    <t>投诉编号：【446545】
投诉时间： 2020-02-07 11:58
投诉品牌： 东南汽车
投诉车系： 东南DX3
投诉车型： 2018款 1.5L 手动 尊贵型</t>
  </si>
  <si>
    <t>投诉编号：【446547】投诉时间：2020-02-0712:25投诉品牌：广汽本田投诉车系：雅阁投诉车型：2018款260TURBO豪华版国VI投诉内容高速上突然降速，油门踩到底无反映，转速表无反映，车头抖动厉害。投诉回复车质网已将您的投诉转给生产企业以及国家市场监督管理总局缺陷产品管理中心，我们</t>
  </si>
  <si>
    <t>2020/02/07 12:25:00</t>
  </si>
  <si>
    <t>　　上汽斯柯达品牌2019年全年销售27.8万辆，其中，柯珞克在2019年卖出了3.8万辆新车，同比增长22.4%。可以说这款紧凑SUV在“车市寒冬”中交出了一份不错的成绩单。柯珞克在2018年3月上市，是结合中国消费者喜好所打造的第二款全球车型，让我们一起看看它到底有哪些实力。　　细节设计十分考究</t>
  </si>
  <si>
    <t>2020/02/07 12:19:00</t>
  </si>
  <si>
    <t>　　前一阵中保研对大众全新帕萨特车型做了碰撞测试，在25%正面高速碰撞中车内乘员的安全指数为P(最差的评级），这个结果让我们大跌眼镜，想不到在我们大多数人眼里以质量著称的德系车居然被撞的如此之惨。中国保险汽车安全指数管理中心按照《C-IASI管理办法》规定对哈弗F5 2019款 国潮版 1.5T i</t>
  </si>
  <si>
    <t>2020/02/07 12:15:00</t>
  </si>
  <si>
    <t>投诉编号：【446546】  投诉时间： 2020-02-07 12:05  投诉品牌： 吉利汽车  投诉车系： 帝豪  投诉车型： 2016款 1.5L 手动 向上版 三厢        投诉内容  吉利帝豪车机后台关闭服务器了，无法更新天气预报新闻。现在只能是单机听音乐收音机。希望厂家解决。维护</t>
  </si>
  <si>
    <t>2020/02/07 12:05:00</t>
  </si>
  <si>
    <t>纯电动汽车到底蕴含了多大的降本空间纯电动汽车到底蕴含了多大的降本空间？其实要回答这个问题，首先需要了解一下纯电动汽车的降本空间究竟在哪？首先，动力电池。根据目前的纯电动汽车成本分析来看，所搭载的动力电池占比约在30%~40%左右。但是这个占比传统燃油车发动机相比有着一定的差距，所以纯电动汽车要想下降</t>
  </si>
  <si>
    <t>2020/02/07 11:58:00</t>
  </si>
  <si>
    <t>特殊期间自驾返程注意事项突发的疫情让各位的放假时间都有所延长，但转眼间上班时间也快到了。对于返程，相信有很多朋友都会选择自驾返程，毕竟就目前的情况来看，自驾返程可以尽最大可能避免人员聚集，这样自然减小了被感染的几率。汽车内部环境虽然相对独立，但汽车内部空气与外界空气并非完全隔离，所以各位即便选择自驾</t>
  </si>
  <si>
    <t>突发的疫情让各位的放假时间都有所延长，但转眼间上班时间也快到了。对于返程，相信有很多朋友都会选择自驾返程，毕竟就目前的情况来看，自驾返程可以尽最大可能避免人员聚集，这样自然减小了被感染的几率。汽车内部环境虽然相对独立，但汽车内部空气与外界空气并非完全隔离，所以各位即便选择自驾，仍有很多需要注意的地方</t>
  </si>
  <si>
    <t>纯电动汽车到底蕴含了多大的降本空间？其实要回答这个问题，首先需要了解一下纯电动汽车的降本空间究竟在哪？首先，动力电池。根据目前的纯电动汽车成本分析来看，所搭载的动力电池占比约在30%~40%左右。但是这个占比传统燃油车发动机相比有着一定的差距，所以纯电动汽车要想下降生成本，首先应当从动力电池着手。其</t>
  </si>
  <si>
    <t>高速上电动车趴窝了怎么办随着近些年汽车电动化进程的不断加快，纯电动汽车的保有量也在稳步增加，而驾驶纯电动汽车上高速的朋友同样越来越多。那么如果高速上纯电动汽车趴窝了应当怎么办呢？有哪些方法可以急救呢？首先，在高速上驾驶纯电动汽车如果出现趴窝，应当做的是将车辆打开双闪，尽量停靠在应急车道之上，然后在车</t>
  </si>
  <si>
    <t>2020/02/07 11:57:00</t>
  </si>
  <si>
    <t>直流充电桩和交流充电桩的区别是什么从结构上来看，纯电动汽车搭载的为电池组，然后匹配电动机驱动车辆，所以对于纯电动汽车来说充电至关重要。目前纯电动汽车充电主要依赖的充电桩分为两种，一种是直流充电桩，另外一种则是交流充电桩。直流充电桩和交流充电桩的区别究竟是什么呢？首先，用电不同。从两种充电桩的名字不难</t>
  </si>
  <si>
    <t>随着近些年汽车电动化进程的不断加快，纯电动汽车的保有量也在稳步增加，而驾驶纯电动汽车上高速的朋友同样越来越多。那么如果高速上纯电动汽车趴窝了应当怎么办呢？有哪些方法可以急救呢？首先，在高速上驾驶纯电动汽车如果出现趴窝，应当做的是将车辆打开双闪，尽量停靠在应急车道之上，然后在车辆后150米处放置三角警</t>
  </si>
  <si>
    <t>从结构上来看，纯电动汽车搭载的为电池组，然后匹配电动机驱动车辆，所以对于纯电动汽车来说充电至关重要。目前纯电动汽车充电主要依赖的充电桩分为两种，一种是直流充电桩，另外一种则是交流充电桩。直流充电桩和交流充电桩的区别究竟是什么呢？首先，用电不同。从两种充电桩的名字不难看出，直流充电桩采用的是直流电，而</t>
  </si>
  <si>
    <t>今天要说的是一个汽车零部件，它为人类的行车提供了巨大的方便，它就是汽车的后视镜，距今的发展已经有100多年历史。不过它的出现并不是跟汽车一起诞生的，而是跟一位传奇的女车手有关，而随着科技的不断发展，后视镜也终有被取代的一天。日本在2018年就已经通过了取消汽车后视镜法规，而奥迪也推出过e-tron量</t>
  </si>
  <si>
    <t>2020/02/07 11:56:00</t>
  </si>
  <si>
    <t>汽车高科技VS传统后视镜 后视镜真要消失了吗今天要说的是一个汽车零部件，它为人类的行车提供了巨大的方便，它就是汽车的后视镜，距今的发展已经有100多年历史。不过它的出现并不是跟汽车一起诞生的，而是跟一位传奇的女车手有关，而随着科技的不断发展，后视镜也终有被取代的一天。日本在2018年就已经通过了取消</t>
  </si>
  <si>
    <t>卤素灯被称为“蜡烛灯” 为啥不换成氙气或LED大灯作为代步工具，汽车确实让人们的出行变得更加人性化，尤其是对居住在交通不怎么便利的郊区的而言，有车的话确实要方便很多。当然，现在汽车体量在不断加大，随之而来的问题是交通路况越来越复杂，像乱停乱放、超速行驶、闯红灯、逆行等都非常常见。对此，交管部门也是严</t>
  </si>
  <si>
    <t>2020/02/07 11:55:00</t>
  </si>
  <si>
    <t>作为代步工具，汽车确实让人们的出行变得更加人性化，尤其是对居住在交通不怎么便利的郊区的而言，有车的话确实要方便很多。当然，现在汽车体量在不断加大，随之而来的问题是交通路况越来越复杂，像乱停乱放、超速行驶、闯红灯、逆行等都非常常见。对此，交管部门也是严加管控，不断推出新的政策，并且在处罚方面也是更加严</t>
  </si>
  <si>
    <t>汽车刹车异响什么原因 该如何处理刹车是保证汽车行驶安全的重要系统。正常情况下，刹车时是不会有明显的声音，所以在遇到刹车有异常声音时，要注意并检查故障。绝大多数的刹车异常声音来自刹车片，占80%以上，刹车片异常声音一般是刹车片磨损出来的刮盘发出来的，此时只需要更换刹车片即可;还有就是刹车片表面老化或者</t>
  </si>
  <si>
    <t>2020/02/07 11:54:00</t>
  </si>
  <si>
    <t>刹车是保证汽车行驶安全的重要系统。正常情况下，刹车时是不会有明显的声音，所以在遇到刹车有异常声音时，要注意并检查故障。绝大多数的刹车异常声音来自刹车片，占80%以上，刹车片异常声音一般是刹车片磨损出来的刮盘发出来的，此时只需要更换刹车片即可;还有就是刹车片表面老化或者是尖锐的边缘造成的，在这种情况下</t>
  </si>
  <si>
    <t>纯电动汽车的机舱内有着大量的带高压电设备，在做清洁工作的时候严禁用水直接清洗；同样也不要使用任何清洗剂直接往机舱内的设备上喷洒，一旦引起短路等现象，后果将会是非常危险的。  那么，我们应该怎么清洗纯电动汽车的发动机舱呢？首先，我们在为电动汽车的发动机舱做清洁工作之前，我们应该准备一些适合的清洗工具。</t>
  </si>
  <si>
    <t>2019年，新能源汽车补贴退坡让不少车企都面临不小的生存问题。在2020年，新能源汽车补贴退坡幅度不会很大，将会维持2019年的补贴退坡政策，这对于不少车企来说是一个好消息。那么，除了补贴退坡，2020年我国新能源汽车还会有哪些政策？  第一个，持续加大对于充电桩和充电站等基础设施建设的扶持力度。2</t>
  </si>
  <si>
    <t>纯电动车的发动机舱能用水洗吗纯电动汽车的机舱内有着大量的带高压电设备，在做清洁工作的时候严禁用水直接清洗；同样也不要使用任何清洗剂直接往机舱内的设备上喷洒，一旦引起短路等现象，后果将会是非常危险的。  那么，我们应该怎么清洗纯电动汽车的发动机舱呢？首先，我们在为电动汽车的发动机舱做清洁工作之前，我们</t>
  </si>
  <si>
    <t>2020年我国新能源汽车还会有哪些政策2019年，新能源汽车补贴退坡让不少车企都面临不小的生存问题。在2020年，新能源汽车补贴退坡幅度不会很大，将会维持2019年的补贴退坡政策，这对于不少车企来说是一个好消息。那么，除了补贴退坡，2020年我国新能源汽车还会有哪些政策？  第一个，持续加大对于充电</t>
  </si>
  <si>
    <t>新的冠状肺炎疫情的情况仍然很严峻，但是也无法避免有急事出门的情况，因此需要让我们看一下在疫情期间开车有哪些注意的方面。开车前勤洗手：在目前的严峻形势下，有必要经常洗手，由于必须要处理各种各样的事情，我们不可避免地不会碰到某些物体，而这些物体的来源仍然不清楚，大量细菌和病毒虽然在手上并不会感染，但是如</t>
  </si>
  <si>
    <t>2020/02/07 11:53:00</t>
  </si>
  <si>
    <t>新冠状性肺炎疫情期间 开私家车注意事项新的冠状肺炎疫情的情况仍然很严峻，但是也无法避免有急事出门的情况，因此需要让我们看一下在疫情期间开车有哪些注意的方面。开车前勤洗手：在目前的严峻形势下，有必要经常洗手，由于必须要处理各种各样的事情，我们不可避免地不会碰到某些物体，而这些物体的来源仍然不清楚，大量</t>
  </si>
  <si>
    <t>投诉编号：【446544】投诉时间：2020-02-0711:41投诉品牌：广汽丰田投诉车系：凯美瑞投诉车型：2015款2.0G自动领先版投诉内容1购车时间3年多，平常使用车辆也比较爱惜，在3万多公里时候发现左边漏油已经处理，约在19年8月份去洛阳保养更换变速箱油发现右边也来漏油，这是15款凯美瑞通</t>
  </si>
  <si>
    <t>2020/02/07 11:41:00</t>
  </si>
  <si>
    <t>　　2019年6月份，宾利汽车旗下的超豪华四门轿车飞驰Flying Spur正式推出全新一代车型。新车不但首次引入了可升降式双飞翼“B”字徽标，还首次配备了全轮转向系统。日前，有媒体从宾利汽车官方获悉，全新一代飞驰开始向第一批客户交付，海外市场起售价为16.83万英镑。　　全新一代飞驰基于全新平台打</t>
  </si>
  <si>
    <t>2020/02/07 11:37:00</t>
  </si>
  <si>
    <t>2019年6月份，宾利汽车旗下的超豪华四门轿车飞驰Flying Spur正式推出全新一代车型。新车不但首次引入了可升降式双飞翼“B”字徽标，还首次配备了全轮转向系统。日前，有媒体从宾利汽车官方获悉，全新一代飞驰开始向第一批客户交付，海外市场起售价为16.83万英镑。    全新一代飞驰基于全新平台打</t>
  </si>
  <si>
    <t>福特GT车型是福特汽车的骄傲同时它也是赛车界的一代图腾。在上世纪60年代福特GT40车型诞生，硬生生的把法拉利逼出了勒芒赛事（原型车组）并转投一级方程式，且为世人所铭记。现款的福特GT完美的传承了GT40的车身设计，且将车辆空气动力方面提升至一个新的高度。近日2020款福特GT亮相了。    今日有</t>
  </si>
  <si>
    <t>2020/02/07 11:35:00</t>
  </si>
  <si>
    <t>　　福特GT车型是福特汽车的骄傲同时它也是赛车界的一代图腾。在上世纪60年代福特GT40车型诞生，硬生生的把法拉利逼出了勒芒赛事（原型车组）并转投一级方程式，且为世人所铭记。现款的福特GT完美的传承了GT40的车身设计，且将车辆空气动力方面提升至一个新的高度。近日2020款福特GT亮相了。　　今日有</t>
  </si>
  <si>
    <t>“地板式”油门和“悬挂式”油门有什么区别熟悉汽车的朋友都知道，根据不同汽车厂商的不同设计要求，油门踏板分为“地板式”和“悬挂式”，两种形式的踏板在功能上没有区别，但究竟孰优孰劣呢？地板式油门也叫“风琴式”油门，油门踏板受力臂从地板伸出，与地板形成一个角度。这样设计，人的脚部能百分百与踏板贴合，受力更</t>
  </si>
  <si>
    <t>2020/02/07 11:34:00</t>
  </si>
  <si>
    <t>熟悉汽车的朋友都知道，根据不同汽车厂商的不同设计要求，油门踏板分为“地板式”和“悬挂式”，两种形式的踏板在功能上没有区别，但究竟孰优孰劣呢？地板式油门也叫“风琴式”油门，油门踏板受力臂从地板伸出，与地板形成一个角度。这样设计，人的脚部能百分百与踏板贴合，受力更均衡。在剧烈驾驶、持续保持深踩油门时，控</t>
  </si>
  <si>
    <t xml:space="preserve">投诉编号：【446542】  投诉时间： 2020-02-07 11:33  投诉品牌： 一汽马自达  投诉车系： 睿翼  投诉车型： 2012款 2.0L 自动 精英版        投诉内容  一汽马自达睿翼副驾驶仪表台，从挡风玻璃处一直开裂到工具箱，存在严重质量问题，希望厂家处理问题。    </t>
  </si>
  <si>
    <t>2020/02/07 11:33:00</t>
  </si>
  <si>
    <t>　　近日，有媒体从宝马官方了解到，该品牌旗舰SUV――宝马X7推出2020款车型，售价区间为100万元-162.8万元人民币，整体价格区间相比2019款车型并没有变化。新款车型最大的改变在于增加xDrive40i 尊享型豪华套装和xDrive40i 行政型豪华套装。　　据了解，此次新款X7针对配置也</t>
  </si>
  <si>
    <t>近日，有媒体从宝马官方了解到，该品牌旗舰SUV——宝马X7推出2020款车型，售价区间为100万元-162.8万元人民币，整体价格区间相比2019款车型并没有变化。新款车型最大的改变在于增加xDrive40i 尊享型豪华套装和xDrive40i 行政型豪华套装。    据了解，此次新款X7针对配置也</t>
  </si>
  <si>
    <t>后视镜和倒车影像 倒车时到底看哪个很多人在考驾照的时候，倒车倒的都很熟练，但是一上路就不行了。一方面，这是因为道路上的状况多变，时常有行人经过，另一方面，上路之后，遇见的停车位千奇百怪，什么样子的都有，实在是让人感到有些无可奈何。不过还好，现在的汽车技术发达了，我们在倒车的时候不仅可以看汽车的后视镜</t>
  </si>
  <si>
    <t>2020/02/07 11:32:00</t>
  </si>
  <si>
    <t>不要把驾驶证和行驶证放在车上开车上路必须要配备的两个证件，就是行驶证和驾驶证。而行驶证是车辆的身份证，驾驶证就是我们的准驾执照，这两者相互搭配才能证明我们上路是没有问题的，所以也就有很多车主，将行驶证和驾驶证放在车上。但是交警却要告诉大家，千万不要把这两者放在车上，因为这一切都是偷车贼惹的祸！将行驶</t>
  </si>
  <si>
    <t>开车上路必须要配备的两个证件，就是行驶证和驾驶证。而行驶证是车辆的身份证，驾驶证就是我们的准驾执照，这两者相互搭配才能证明我们上路是没有问题的，所以也就有很多车主，将行驶证和驾驶证放在车上。但是交警却要告诉大家，千万不要把这两者放在车上，因为这一切都是偷车贼惹的祸！将行驶证和驾驶证放在汽车上，是一种</t>
  </si>
  <si>
    <t>很多人在考驾照的时候，倒车倒的都很熟练，但是一上路就不行了。一方面，这是因为道路上的状况多变，时常有行人经过，另一方面，上路之后，遇见的停车位千奇百怪，什么样子的都有，实在是让人感到有些无可奈何。不过还好，现在的汽车技术发达了，我们在倒车的时候不仅可以看汽车的后视镜，还可以看倒车的影像。那么倒车的时</t>
  </si>
  <si>
    <t>高速公路上为什么连个路灯都没有道路照明对于夜晚行车非常重要，那么为什么城市道路有照明，而高速公路却没有路灯呢？高速公路上车速那么快，没有照明岂不是一件很恐怖的事？接下来就跟大家聊聊，为什么高速公路上没有路灯。成本原因我国高速公路总里程已经超过10万公里，如果按照城市道路每50米安装一个路灯的话，从安</t>
  </si>
  <si>
    <t>2020/02/07 11:31:00</t>
  </si>
  <si>
    <t>小心被这种道路线坑了现在路上的车是越来越多，堵车都已经成为了常态，而为了对路面车辆实行更有效的管控，各种交规和标识也开始增多，甚至是一些比较少见的标识也开始变多，目的就是为了能够更好更精准地控制车流。可是，随着道路标识越来越多，蒙圈的人也随之增多，在面对一些比较少见的标识时，更是不知道怎么办，要是错</t>
  </si>
  <si>
    <t xml:space="preserve">奥迪e-tron Sportback是一款纯电动轿跑SUV，已在2019洛杉矶车展亮相。日前，有媒体了解到，奥迪e-tron Sportback有望10月在华正式上市。新车将推出55 quattro与50 quattro两个版本，配备三元锂电池组，WLTP工况续航里程分别为446公里和347公里。 </t>
  </si>
  <si>
    <t>道路照明对于夜晚行车非常重要，那么为什么城市道路有照明，而高速公路却没有路灯呢？高速公路上车速那么快，没有照明岂不是一件很恐怖的事？接下来就跟大家聊聊，为什么高速公路上没有路灯。成本原因我国高速公路总里程已经超过10万公里，如果按照城市道路每50米安装一个路灯的话，从安装成本到使用和维护成本将是一个</t>
  </si>
  <si>
    <t>现在路上的车是越来越多，堵车都已经成为了常态，而为了对路面车辆实行更有效的管控，各种交规和标识也开始增多，甚至是一些比较少见的标识也开始变多，目的就是为了能够更好更精准地控制车流。可是，随着道路标识越来越多，蒙圈的人也随之增多，在面对一些比较少见的标识时，更是不知道怎么办，要是错走一步，就会迎来扣分</t>
  </si>
  <si>
    <t>　　奥迪e-tron Sportback是一款纯电动轿跑SUV，已在2019洛杉矶车展亮相。日前，有媒体了解到，奥迪e-tron Sportback有望10月在华正式上市。新车将推出55 quattro与50 quattro两个版本，配备三元锂电池组，WLTP工况续航里程分别为446公里和347公里</t>
  </si>
  <si>
    <t>轮胎缝里的小石子 到底能不能抠很多时候看见自己爱车胎纹中的小石子心里很别扭，但手上又没有合适的工具来清理，久而久之会对轮胎和安全造成影响吗?一般情况下，石子会卡在轮胎的花纹纹路和沟槽里，尤其是花纹缝隙比较大的轮胎。胎缝相对而言也会比较粗一些，很容易卡小石子。开车的时候就能明显听到额外的噪音，给人感觉</t>
  </si>
  <si>
    <t>2020/02/07 11:30:00</t>
  </si>
  <si>
    <t>很多时候看见自己爱车胎纹中的小石子心里很别扭，但手上又没有合适的工具来清理，久而久之会对轮胎和安全造成影响吗?一般情况下，石子会卡在轮胎的花纹纹路和沟槽里，尤其是花纹缝隙比较大的轮胎。胎缝相对而言也会比较粗一些，很容易卡小石子。开车的时候就能明显听到额外的噪音，给人感觉很难受有专家表示：“汽车最大胎</t>
  </si>
  <si>
    <t>2020/02/07 11:29:00</t>
  </si>
  <si>
    <t>中国式养车“3大怪象”对于每个国家来说，汽车文化都出现一定不同，尤其是在维修和保养上，产生了较大的区别。特别是国内的车主，由于汽车价位的高低不同，关于汽车保养都有自己的想法。但有的是无稽之谈，根本没有这个必要。中国式养车“3大怪象”，维修工分析针针见血，穷人的惯性思维第一，频繁更换机油保养对车辆起到</t>
  </si>
  <si>
    <t>　　据外媒报道，从2021款凯迪拉克CT5和CT4以及全新款2021凯迪拉克Escalade车型开始，增强版超级巡航（Super Cruise）驾驶辅助功能将陆续在凯迪拉克车型上推出。增强型超级巡航系统中得到改善的一项功能是自动变道功能，可以在驾驶员提出要求，并且满足特定要求之后，让脱手驾驶系统在与</t>
  </si>
  <si>
    <t>据外媒报道，从2021款凯迪拉克CT5和CT4以及全新款2021凯迪拉克Escalade车型开始，增强版超级巡航（Super Cruise）驾驶辅助功能将陆续在凯迪拉克车型上推出。增强型超级巡航系统中得到改善的一项功能是自动变道功能，可以在驾驶员提出要求，并且满足特定要求之后，让脱手驾驶系统在与超级</t>
  </si>
  <si>
    <t>以下3个摄像头你能认全吗小编的同事每天都会和自己抱怨，现在交通规定越来越严格了，有时候开车在路上，就算自己没有做什么违法的事情，遇到交警也会莫名的紧张。因为同事在之前因为自己的失误被扣了6分，所以他对扣分真的是心有余悸，因此每次开车在路上都会格外的注意。虽然说现在的交通规定很严格，车主们也表示不满，</t>
  </si>
  <si>
    <t>2020/02/07 11:28:00</t>
  </si>
  <si>
    <t>小编的同事每天都会和自己抱怨，现在交通规定越来越严格了，有时候开车在路上，就算自己没有做什么违法的事情，遇到交警也会莫名的紧张。因为同事在之前因为自己的失误被扣了6分，所以他对扣分真的是心有余悸，因此每次开车在路上都会格外的注意。虽然说现在的交通规定很严格，车主们也表示不满，但这才能规范车主们的驾驶</t>
  </si>
  <si>
    <t>交通动图：这真是，撞了就跑这真是，撞了就跑！超车估错了距离！我擦,赔我车门！时刻保持警惕，可能会有行人或电动车突然窜出！虽说远离大货车就是远离风险，可我后面也没长眼啊！！！！！！（也许到最后也不知道被啥撞了）</t>
  </si>
  <si>
    <t>2020/02/07 11:27:00</t>
  </si>
  <si>
    <t>日前，我们获得一组长安汽车全新跨界SUV车型——UNI-T设计图。新车此前已经发布了官图，但从设计图上我们可以看到更多的细节，以及设计团队想为大家展示的设计语言。此外，长安UNI-T预计于3月份开幕的日内瓦车展正式亮相，届时我们会为各位网友带来第一时间的报道。    长安UNI-T定位于跨界SUV，</t>
  </si>
  <si>
    <t>　　日前，我们获得一组长安汽车全新跨界SUV车型――UNI-T设计图。新车此前已经发布了官图，但从设计图上我们可以看到更多的细节，以及设计团队想为大家展示的设计语言。此外，长安UNI-T预计于3月份开幕的日内瓦车展正式亮相，届时我们会为各位网友带来第一时间的报道。　　长安UNI-T定位于跨界SUV，</t>
  </si>
  <si>
    <t>这真是，撞了就跑！超车估错了距离！我擦,赔我车门！时刻保持警惕，可能会有行人或电动车突然窜出！虽说远离大货车就是远离风险，可我后面也没长眼啊！！！！！！（也许到最后也不知道被啥撞了）</t>
  </si>
  <si>
    <t>2020/02/07 11:23:21</t>
  </si>
  <si>
    <t>投诉编号：【446540】
投诉时间： 2020-02-07 11:13
投诉品牌： 上汽通用别克
投诉车系： 凯越
投诉车型： 2018款 15N 手动 精英型</t>
  </si>
  <si>
    <t>　　在刚刚公布不久的国内12月汽车销量排行榜中，朗逸再度夺冠，紧随其后的依旧是轩逸、速腾、卡罗拉这些“常青树”。难道15万元预算就只能“落入俗套”吗？别急，今天就为大家介绍四款你选车时绝对会错过的好车。　　此次推荐的这四款“最熟悉的陌生人”分别是上汽斯柯达明锐旅行车（后简称明锐旅行）、上汽大众途安L</t>
  </si>
  <si>
    <t>尉迟晋臣</t>
  </si>
  <si>
    <t>2020/02/07 11:22:00</t>
  </si>
  <si>
    <t>　　大家好，又来到了解读低配车栏目。前不久，奥迪A4L曝出了谍照，并且有消息称会在2020年上半年完成上市。此时A4L处在新老交替的时期，现款车型在终端售价上有着不错的竞争力。今天，我们就来看看A4L的最低配车型，是否值得入手。　　35TFSI进取型是由过去的30TFSI进取型更名而来，国六车型采用</t>
  </si>
  <si>
    <t>郭启鹏</t>
  </si>
  <si>
    <t>2020/02/07 11:20:00</t>
  </si>
  <si>
    <t>　　2019年是让中国车市感到“难受”的一年，尤其是新能源汽车行业，迎来了补贴退场、外资入场等种种打击，市场表现也确实受到了不小的影响。从另一个角度来看，行业竞争虽然激烈，但也逐渐良性化，车企们也不敢再“挤牙膏”，很多新登场的纯电动车型凭借不俗的实力取得了不错的口碑。　　如今进入21世纪第二个十年，</t>
  </si>
  <si>
    <t>2020/02/07 11:17:00</t>
  </si>
  <si>
    <t>2019年是让中国车市感到“难受”的一年，尤其是新能源汽车行业，迎来了补贴退场、外资入场等种种打击，市场表现也确实受到了不小的影响。从另一个角度来看，行业竞争虽然激烈，但也逐渐良性化，车企们也不敢再“挤牙膏”，很多新登场的纯电动车型凭借不俗的实力取得了不错的口碑。    如今进入21世纪第二个十年，</t>
  </si>
  <si>
    <t>投诉编号：【446541】  投诉时间： 2020-02-07 11:15  投诉品牌： 奇瑞汽车  投诉车系： 艾瑞泽5  投诉车型： 2017款 1.5L 手动 领潮版        投诉内容  1、一个维修单1月5号修一次，14号修一次，维修单更换后门总成至今未处理，车门已锈穿。2、后轮刹车系</t>
  </si>
  <si>
    <t>2020/02/07 11:15:00</t>
  </si>
  <si>
    <t>　　在上海超级工厂顺利投产之后，特斯拉的风头一时无两，股价一路飙升，在2月4日一度达到961美元的高点，虽然后来又下跌了不少，但市值达到了1300多亿美元。在同一段时间里，蔚来的股价也涨了不少，从差点跌破1美元到现在涨到了4美元以上，目前的市值是46亿美元。这两家企业的市值差距巨大，蔚来不及特斯拉的</t>
  </si>
  <si>
    <t>张璇</t>
  </si>
  <si>
    <t>2020/02/07 11:14:00</t>
  </si>
  <si>
    <t>　　基于UKL打造的X1用销量吊打了那些争议之后，也让BMW这个德系豪华品牌飞入了更多“寻常百姓家”。就此，BMW也在大众心中奠定了“基数负责赚钱养家，偶数负责美貌如花”的形象。然而偶数真的就只会美貌如花吗？当然没那么简单，这一切就让BMW X2 xDrive来告诉你们。　　或许仍然会有人通过数字识</t>
  </si>
  <si>
    <t>单晶</t>
  </si>
  <si>
    <t>2020/02/07 11:10:00</t>
  </si>
  <si>
    <t>基于UKL打造的X1用销量吊打了那些争议之后，也让BMW这个德系豪华品牌飞入了更多“寻常百姓家”。就此，BMW也在大众心中奠定了“基数负责赚钱养家，偶数负责美貌如花”的形象。然而偶数真的就只会美貌如花吗？当然没那么简单，这一切就让BMW X2 xDrive来告诉你们。    或许仍然会有人通过数字识</t>
  </si>
  <si>
    <t>2020芝加哥车展，韩国现代旗下的捷尼赛思（Genesis）品牌首款SUV车型GV80正式首发亮相，作为该高端品牌扩张海外市场的关键车型。    捷尼赛思是现代汽车在2015年推出的高端品牌，旗下有中型豪华轿车G70、中大型豪华轿车G80与大型豪华轿车G90三款轿车，都以丰富的配置以及出色的豪华感著</t>
  </si>
  <si>
    <t>2020/02/07 11:07:00</t>
  </si>
  <si>
    <t>　　2020芝加哥车展，韩国现代旗下的捷尼赛思（Genesis）品牌首款SUV车型GV80正式首发亮相，作为该高端品牌扩张海外市场的关键车型。　　捷尼赛思是现代汽车在2015年推出的高端品牌，旗下有中型豪华轿车G70、中大型豪华轿车G80与大型豪华轿车G90三款轿车，都以丰富的配置以及出色的豪华感著</t>
  </si>
  <si>
    <t>　　2020芝加哥车展，捷豹新款F-TYPE正式发布。新款捷豹F-TYPE重新设计前脸，整体更加凶悍。新车也将继续提供双门轿跑和双门软顶敞篷两种车身形式。北美地区售价区间为6.16-10.59万美元（约合人民币42.93-73.81万元）。　　2020芝加哥车展，捷豹新款F-TYPE正式发布。新款捷</t>
  </si>
  <si>
    <t>2020/02/07 11:05:00</t>
  </si>
  <si>
    <t>2020芝加哥车展，捷豹新款F-TYPE正式发布。新款捷豹F-TYPE重新设计前脸，整体更加凶悍。新车也将继续提供双门轿跑和双门软顶敞篷两种车身形式。北美地区售价区间为6.16-10.59万美元（约合人民币42.93-73.81万元）。    2020芝加哥车展，捷豹新款F-TYPE正式发布。新款捷</t>
  </si>
  <si>
    <t>近日，全球第二大汽车零部件供应商日本电装集团公布了其2019财年第三季度的财报（2019年10月-12月）。在报告期内，电装的合并营收总计38,950亿日元（合355亿美元），较上年同期减少2.1%；综合营业利润为1,627亿日元（合15亿美元），同比下跌33.2%。归属于母公司所有者的合并利润为1</t>
  </si>
  <si>
    <t>2020/02/07 11:02:00</t>
  </si>
  <si>
    <t>　　近日，全球第二大汽车零部件供应商日本电装集团公布了其2019财年第三季度的财报（2019年10月-12月）。在报告期内，电装的合并营收总计38,950亿日元（合355亿美元），较上年同期减少2.1%；综合营业利润为1,627亿日元（合15亿美元），同比下跌33.2%。归属于母公司所有者的合并利润</t>
  </si>
  <si>
    <t>由于汽车安全系统变得越来越复杂，很多小偷转而瞄准合金车轮等汽车零部件。其中一种防止车轮被盗的方法是在每个车轮上用一个锁紧螺母，而锁紧螺母需要特殊的适配器或螺栓才可松开。不过，即便如此，该方法也并非无懈可击。因此，福特汽车公司的工程师们采用了3D打印技术，研发了独特的车轮锁紧螺母。    声音模式定义</t>
  </si>
  <si>
    <t>2020/02/07 11:01:00</t>
  </si>
  <si>
    <t>　　由于汽车安全系统变得越来越复杂，很多小偷转而瞄准合金车轮等汽车零部件。其中一种防止车轮被盗的方法是在每个车轮上用一个锁紧螺母，而锁紧螺母需要特殊的适配器或螺栓才可松开。不过，即便如此，该方法也并非无懈可击。因此，福特汽车公司的工程师们采用了3D打印技术，研发了独特的车轮锁紧螺母。　　声音模式定义</t>
  </si>
  <si>
    <t>你知道吗，每天开车上班时是车主面临最严重空气污染的时候，虽然汽车制造商生产了智能汽车，可以自动让车内空气保持清洁，而且汽车仪表盘上的通风设置也是保护乘客健康的最佳方式，但是如何让风扇风速、通风模式和车内空气再循环系统进行最佳组合，以保护乘客的呼吸健康呢？特别是在当今新型肺炎肆虐中国的时期。图片来源：</t>
  </si>
  <si>
    <t>2020/02/07 10:59:00</t>
  </si>
  <si>
    <t>　　你知道吗，每天开车上班时是车主面临最严重空气污染的时候，虽然汽车制造商生产了智能汽车，可以自动让车内空气保持清洁，而且汽车仪表盘上的通风设置也是保护乘客健康的最佳方式，但是如何让风扇风速、通风模式和车内空气再循环系统进行最佳组合，以保护乘客的呼吸健康呢？特别是在当今新型肺炎肆虐中国的时期。图片来</t>
  </si>
  <si>
    <t>投诉编号：【446538】  投诉时间： 2020-02-07 10:59  投诉品牌： 东南汽车  投诉车系： 东南DX3  投诉车型： 2016款 1.5L 手动 豪华型        投诉内容  车子19年9月因在高速压过异物，后在郴州4S店换过副车架和右下摆臂，两个月之后底盘异响，转弯的时候</t>
  </si>
  <si>
    <t>　　继2018年突破200万辆之后，全球电动车销量在2019年再次突破200万辆。根据EV Sales公布的全球电动车销量数据，2019年12月，全球电动车注册量在279,000辆左右，同比下滑4%。该网站指出，这一结果要比想象中的好，并且纯电动汽车（BEV）板块实现了去年8月以来的首次正增长，12</t>
  </si>
  <si>
    <t>2020/02/07 10:58:00</t>
  </si>
  <si>
    <t>继2018年突破200万辆之后，全球电动车销量在2019年再次突破200万辆。根据EV Sales公布的全球电动车销量数据，2019年12月，全球电动车注册量在279,000辆左右，同比下滑4%。该网站指出，这一结果要比想象中的好，并且纯电动汽车（BEV）板块实现了去年8月以来的首次正增长，12月注</t>
  </si>
  <si>
    <t>随着丰田汽车公布了2019年全球销量，其与大众集团的年度销量之争也有了最终的结果。    根据丰田汽车公布的销量数据，去年12月份，丰田汽车（包含丰田品牌、雷克萨斯、大发和日野品牌）在全球共售出906,728辆新车，同比微增1.1%；就2019年整年来看，丰田汽车的全球销量为10,742,122辆，</t>
  </si>
  <si>
    <t>2020/02/07 10:57:00</t>
  </si>
  <si>
    <t>　　随着丰田汽车公布了2019年全球销量，其与大众集团的年度销量之争也有了最终的结果。　　根据丰田汽车公布的销量数据，去年12月份，丰田汽车（包含丰田品牌、雷克萨斯、大发和日野品牌）在全球共售出906,728辆新车，同比微增1.1%；就2019年整年来看，丰田汽车的全球销量为10,742,122辆，</t>
  </si>
  <si>
    <t xml:space="preserve">图片来源：Mini官网    据外媒报道，英国能源监管部门在一项旨在帮助电网脱碳的新计划中呼吁，对该国的能源网络进行大规模改革，以实现政府所提出的在2050年前实现零排放的目标。    2月3日，英国天然气电力市场办公室（Ofgem）提出了脱碳行动计划（Decarbonisation Action </t>
  </si>
  <si>
    <t>2020/02/07 10:55:00</t>
  </si>
  <si>
    <t>图片来源：Mini官网　　据外媒报道，英国能源监管部门在一项旨在帮助电网脱碳的新计划中呼吁，对该国的能源网络进行大规模改革，以实现政府所提出的在2050年前实现零排放的目标。　　2月3日，英国天然气电力市场办公室（Ofgem）提出了脱碳行动计划（Decarbonisation Action Plan</t>
  </si>
  <si>
    <t>图片来源：特斯拉官网　　据外媒报道，挪威道路联合会2月3日发布的数据显示，今年1月份电动汽车占挪威新车总销量的44.3%，同比有所上升。此前，行业预测2020年将在50%-60%之间，目前看还有一定的差距。　　2019年1月，电动汽车占挪威新车总销量的37.8%，在之后的几个月中，电动汽车2019年</t>
  </si>
  <si>
    <t>2020/02/07 10:54:00</t>
  </si>
  <si>
    <t>图片来源：特斯拉官网    据外媒报道，挪威道路联合会2月3日发布的数据显示，今年1月份电动汽车占挪威新车总销量的44.3%，同比有所上升。此前，行业预测2020年将在50%-60%之间，目前看还有一定的差距。    2019年1月，电动汽车占挪威新车总销量的37.8%，在之后的几个月中，电动汽车2</t>
  </si>
  <si>
    <t>图片来源：特斯拉官网　　据外媒报道，2月3日特斯拉的股价大涨20%，创下了2013年以来最大的单日涨幅。之所以股价大涨，是该公司与松下的合资电池业务实现了季度盈利，以及一份投资人报告预测特斯拉股价到2024年时将上涨10倍以上。　　1月29日特斯拉CEO埃隆・马斯克（Elon Musk）发布了最新的</t>
  </si>
  <si>
    <t>2020/02/07 10:52:00</t>
  </si>
  <si>
    <t>图片来源：特斯拉官网    据外媒报道，2月3日特斯拉的股价大涨20%，创下了2013年以来最大的单日涨幅。之所以股价大涨，是该公司与松下的合资电池业务实现了季度盈利，以及一份投资人报告预测特斯拉股价到2024年时将上涨10倍以上。    1月29日特斯拉CEO埃隆·马斯克（Elon Musk）发布</t>
  </si>
  <si>
    <t>随着大众汽车集团今年相继推出了全新大众高尔夫8、西雅特Leon以及即将推出的奥迪A3，雷诺希望确保其梅甘娜系列在欧洲的紧凑型车型中保持新鲜感和竞争力。雷诺不会浪费任何时间，近日，有外媒曝光雷诺官方发布了中期改款梅甘娜的官图，包括梅甘娜基本款一直到RS Trophy的所有车型。    在经历了25周年</t>
  </si>
  <si>
    <t>2020/02/07 10:51:00</t>
  </si>
  <si>
    <t>　　随着大众汽车集团今年相继推出了全新大众高尔夫8、西雅特Leon以及即将推出的奥迪A3，雷诺希望确保其梅甘娜系列在欧洲的紧凑型车型中保持新鲜感和竞争力。雷诺不会浪费任何时间，近日，有外媒曝光雷诺官方发布了中期改款梅甘娜的官图，包括梅甘娜基本款一直到RS Trophy的所有车型。　　在经历了25周年</t>
  </si>
  <si>
    <t>雪�</t>
  </si>
  <si>
    <t>　　随着国内生活水平的不断提高，C级轿车的消费者群体不断壮大，而梅赛德斯-奔驰无疑是这一领域的优选。近日，海外车媒Autoevolution曝光了一组2021款梅赛德斯-奔驰C级车型的路试谍照，预计该车型有望在今年11月份举办的洛杉矶国际车展上进行正式亮相。　　尽管此次发布的谍照中新车采用了较为严密</t>
  </si>
  <si>
    <t>2020/02/07 10:49:00</t>
  </si>
  <si>
    <t>随着国内生活水平的不断提高，C级轿车的消费者群体不断壮大，而梅赛德斯-奔驰无疑是这一领域的优选。近日，海外车媒Autoevolution曝光了一组2021款梅赛德斯-奔驰C级车型的路试谍照，预计该车型有望在今年11月份举办的洛杉矶国际车展上进行正式亮相。    尽管此次发布的谍照中新车采用了较为严密</t>
  </si>
  <si>
    <t>作为硬派皮卡车型的一员，现代Santa Cruz受到相应领域车迷们的广泛喜爱。近日，海外车媒Autoevolution曝光了一组关于全新现代Santa Cruz车型进行冬季路面测试的谍照，预计该车型最早将于年底前进行正式发布，并于2021年实现量产。    谍照中的新车采用了一定的伪装涂层处理，但我</t>
  </si>
  <si>
    <t>2020/02/07 10:47:00</t>
  </si>
  <si>
    <t>　　作为硬派皮卡车型的一员，现代Santa Cruz受到相应领域车迷们的广泛喜爱。近日，海外车媒Autoevolution曝光了一组关于全新现代Santa Cruz车型进行冬季路面测试的谍照，预计该车型最早将于年底前进行正式发布，并于2021年实现量产。　　谍照中的新车采用了一定的伪装涂层处理，但我</t>
  </si>
  <si>
    <t>　　随着发布日期的不断临近，关于新款劳斯莱斯古斯特的谍照也越来越多。近日，海外车媒Motor1.com曝光了一组该款车型的测试谍照，揭示了关于该车型的诸多设计信息，预计新车将会在今年年底或者明年进行正式发布。　　谍照中的新车采用了一定的伪装涂层处理，但我们仍然能够观察出新车的许多设计细节。新款劳斯莱</t>
  </si>
  <si>
    <t>2020/02/07 10:45:00</t>
  </si>
  <si>
    <t>随着发布日期的不断临近，关于新款劳斯莱斯古斯特的谍照也越来越多。近日，海外车媒Motor1.com曝光了一组该款车型的测试谍照，揭示了关于该车型的诸多设计信息，预计新车将会在今年年底或者明年进行正式发布。    谍照中的新车采用了一定的伪装涂层处理，但我们仍然能够观察出新车的许多设计细节。新款劳斯莱</t>
  </si>
  <si>
    <t>　　在今年一月举办的中国电动汽车百人会论坛上，零跑汽车的第二款车型T03进行了首秀，定位小型精品纯电动车，造型设计灵动。来自官方的新闻消息：目前这款新车正在黑河进行冬季高寒测试，会搭载自主研发的电驱总成，并采用宁德时代的高性能电池PACK，配备L2级智能驾驶辅助系统，综合工况续航里程为400公里，将</t>
  </si>
  <si>
    <t>2020/02/07 10:42:00</t>
  </si>
  <si>
    <t>在今年一月举办的中国电动汽车百人会论坛上，零跑汽车的第二款车型T03进行了首秀，定位小型精品纯电动车，造型设计灵动。来自官方的新闻消息：目前这款新车正在黑河进行冬季高寒测试，会搭载自主研发的电驱总成，并采用宁德时代的高性能电池PACK，配备L2级智能驾驶辅助系统，综合工况续航里程为400公里，将于第</t>
  </si>
  <si>
    <t>　　日前，海外媒体曝光了一组起亚全新索兰托的无伪装谍照。据悉新车将于2020日内瓦车展正式首发，并有望在年内正式引入销售。　　从此曝光的谍照上看，新车是是在进行广告拍摄，我们可以看到新车采用了全新样式的虎啸式前中网，两侧LED大灯灯组与中网相连，一道镀铬饰条将大灯和中网进行了包裹。黑色防擦条包裹了全</t>
  </si>
  <si>
    <t>2020/02/07 10:41:00</t>
  </si>
  <si>
    <t>日前，海外媒体曝光了一组起亚全新索兰托的无伪装谍照。据悉新车将于2020日内瓦车展正式首发，并有望在年内正式引入销售。    从此曝光的谍照上看，新车是是在进行广告拍摄，我们可以看到新车采用了全新样式的虎啸式前中网，两侧LED大灯灯组与中网相连，一道镀铬饰条将大灯和中网进行了包裹。黑色防擦条包裹了全</t>
  </si>
  <si>
    <t>路虎一向以强大的越野性能和舒适、豪华的驾乘感受而著称。而近日，海外媒体曝光一组路虎揽胜轿车假想图，据悉将会采用全新电气化平台，该车续航将达到482km。    从此次发布的假想图上看，新车的外观大量的延续了现款路虎的设计元素，看起来依旧霸气十足。前脸采用了家族式的网状前进气格栅，并带有路虎品牌的lo</t>
  </si>
  <si>
    <t>2020/02/07 10:39:00</t>
  </si>
  <si>
    <t>　　路虎一向以强大的越野性能和舒适、豪华的驾乘感受而著称。而近日，海外媒体曝光一组路虎揽胜轿车假想图，据悉将会采用全新电气化平台，该车续航将达到482km。　　从此次发布的假想图上看，新车的外观大量的延续了现款路虎的设计元素，看起来依旧霸气十足。前脸采用了家族式的网状前进气格栅，并带有路虎品牌的lo</t>
  </si>
  <si>
    <t>近日据海外媒体报道，起亚将针对印度市场推出一款全新小型SUV车型，该款车型内部代号为Qyi，并将命名为Sonet。据悉，新车将于今年新德里车展上正式亮相，并于今年年底登陆印度经销商处开售，未来也将于本田缤智、丰田C-HR、大众T-Cross等车型展开竞争。    外观方面，新车前脸采用了分体式格栅设</t>
  </si>
  <si>
    <t>2020/02/07 10:38:00</t>
  </si>
  <si>
    <t>　　近日据海外媒体报道，起亚将针对印度市场推出一款全新小型SUV车型，该款车型内部代号为Qyi，并将命名为Sonet。据悉，新车将于今年新德里车展上正式亮相，并于今年年底登陆印度经销商处开售，未来也将于本田缤智、丰田C-HR、大众T-Cross等车型展开竞争。　　外观方面，新车前脸采用了分体式格栅设</t>
  </si>
  <si>
    <t>i20是现代旗下的一款小型轿车，可以看做是两厢版的雅绅特车型，但目前该车型主要面向欧洲市场。近日海外媒体曝光了一组现代全新i20车型渲染图，新车将在下个月举行的日内瓦车展上首次亮相，并有望今年年底或明年年初正式上市。后续将继续与大众Polo、本田飞度、丰田雅力士等车展开竞争。    动力方面，新车将</t>
  </si>
  <si>
    <t>2020/02/07 10:36:00</t>
  </si>
  <si>
    <t>　　i20是现代旗下的一款小型轿车，可以看做是两厢版的雅绅特车型，但目前该车型主要面向欧洲市场。近日海外媒体曝光了一组现代全新i20车型渲染图，新车将在下个月举行的日内瓦车展上首次亮相，并有望今年年底或明年年初正式上市。后续将继续与大众Polo、本田飞度、丰田雅力士等车展开竞争。　　动力方面，新车将</t>
  </si>
  <si>
    <t>据外媒报道，英国曼彻斯特大学（University of Manchester）的一个研究团队研发了一种掺杂石墨烯的阴极，以实现高度稳定的锂硫电池。研究人员在论文中表示，采用该阴极材料制成的锂硫电池蓄电量提升了100%，而且在0.5 C、1 C、2 C和3 C的充电功率下充电时，可以经受住500次的</t>
  </si>
  <si>
    <t>2020/02/07 10:34:00</t>
  </si>
  <si>
    <t>　　据外媒报道，英国曼彻斯特大学（University of Manchester）的一个研究团队研发了一种掺杂石墨烯的阴极，以实现高度稳定的锂硫电池。研究人员在论文中表示，采用该阴极材料制成的锂硫电池蓄电量提升了100%，而且在0.5 C、1 C、2 C和3 C的充电功率下充电时，可以经受住500</t>
  </si>
  <si>
    <t>据外媒报道，移动出行技术公司大陆（Continental）在密歇根州奥本山推出了智能城市出行与交通枢纽（Smart City Mobility and Transportation Hub），该枢纽有两条智能十字路口，配备了大陆公司的短程与远程传感器，以及一个探测司机走错道的系统。大陆公司表示，该项</t>
  </si>
  <si>
    <t>2020/02/07 10:32:00</t>
  </si>
  <si>
    <t>　　据外媒报道，移动出行技术公司大陆（Continental）在密歇根州奥本山推出了智能城市出行与交通枢纽（Smart City Mobility and Transportation Hub），该枢纽有两条智能十字路口，配备了大陆公司的短程与远程传感器，以及一个探测司机走错道的系统。大陆公司表示，</t>
  </si>
  <si>
    <t>从目前已公开车企数据来看，鉴于连续两年车市下滑境况，多数车企在设定2020销量目标时较为谨慎，力求维稳。不过也有少部分鉴于2019年销量情况以及自身发展规划对2020年市场预估比较乐观，如一汽红旗计划2020年销量翻番，而奇瑞则定下了两位数的增长目标。（注：以上图表数据根据公开资料整理）    一汽</t>
  </si>
  <si>
    <t>2020/02/07 10:30:00</t>
  </si>
  <si>
    <t>　　从目前已公开车企数据来看，鉴于连续两年车市下滑境况，多数车企在设定2020销量目标时较为谨慎，力求维稳。不过也有少部分鉴于2019年销量情况以及自身发展规划对2020年市场预估比较乐观，如一汽红旗计划2020年销量翻番，而奇瑞则定下了两位数的增长目标。（注：以上图表数据根据公开资料整理）　　一汽</t>
  </si>
  <si>
    <t>在刚刚过去的1月，沃尔沃汽车旗下SUV车型维持着强劲的增长，销量达31,057辆，占月度总销量的68%左右。沃尔沃Recharge系列（包括纯电动和插电式混合动力车）的月度销量同比大涨63.3%，占总销量的13.5%左右，而去年同期的份额仅为7.5%。对于2020年，沃尔沃汽车希望插电式混合动力车型</t>
  </si>
  <si>
    <t>2020/02/07 10:29:00</t>
  </si>
  <si>
    <t>　　在刚刚过去的1月，沃尔沃汽车旗下SUV车型维持着强劲的增长，销量达31,057辆，占月度总销量的68%左右。沃尔沃Recharge系列（包括纯电动和插电式混合动力车）的月度销量同比大涨63.3%，占总销量的13.5%左右，而去年同期的份额仅为7.5%。对于2020年，沃尔沃汽车希望插电式混合动力</t>
  </si>
  <si>
    <t>图片来源：特斯拉官网    据外媒报道，英国将从2035年起禁止销售新的汽油、柴油和混合动力汽车，比原计划提前了5年，以此来减少空气污染。英国的这项决定或预示着该国一个多世纪以来对内燃机的依赖即将结束。    英国政府表示，该国将在2035年之前停止汽油、柴油和混合动力轿车以及货车的新车销售，如果能</t>
  </si>
  <si>
    <t>2020/02/07 10:28:00</t>
  </si>
  <si>
    <t>图片来源：特斯拉官网　　据外媒报道，英国将从2035年起禁止销售新的汽油、柴油和混合动力汽车，比原计划提前了5年，以此来减少空气污染。英国的这项决定或预示着该国一个多世纪以来对内燃机的依赖即将结束。　　英国政府表示，该国将在2035年之前停止汽油、柴油和混合动力轿车以及货车的新车销售，如果能够实现更</t>
  </si>
  <si>
    <t>图片来源：雪佛兰官网　　据外媒报道，知情人士透露，通用汽车或将放弃在中国积极推广三缸发动机的计划，当前部分别克和雪佛兰车型都仅提供这一种发动机选项，而事实证明这个计划并未受到消费者的欢迎，并且成为了销量下降的原因之一。　　与传统的四缸发动机相比，三缸发动机有着更清洁、更省油的优点，许多汽车制造商都致</t>
  </si>
  <si>
    <t>2020/02/07 10:26:00</t>
  </si>
  <si>
    <t>图片来源：雪佛兰官网    据外媒报道，知情人士透露，通用汽车或将放弃在中国积极推广三缸发动机的计划，当前部分别克和雪佛兰车型都仅提供这一种发动机选项，而事实证明这个计划并未受到消费者的欢迎，并且成为了销量下降的原因之一。    与传统的四缸发动机相比，三缸发动机有着更清洁、更省油的优点，许多汽车制</t>
  </si>
  <si>
    <t>　　据外媒报道，总部位于意大利罗马的初创公司2Hire宣布，在A轮融资中筹集了619万美元（约合4332.75万元人民币）。本轮融资由风投公司P101 SGR、Linkem（意大利领先的宽带无线网联公司）以及现有投资者Invitalia Ventures和LVenture Group领投。2Hire</t>
  </si>
  <si>
    <t>2020/02/07 10:25:00</t>
  </si>
  <si>
    <t>据外媒报道，总部位于意大利罗马的初创公司2Hire宣布，在A轮融资中筹集了619万美元（约合4332.75万元人民币）。本轮融资由风投公司P101 SGR、Linkem（意大利领先的宽带无线网联公司）以及现有投资者Invitalia Ventures和LVenture Group领投。2Hire能够</t>
  </si>
  <si>
    <t>　　2019年全年，福特营收为1559亿美元，同比减少3%；净利润为4700万美元，远低于2018年的37亿美元，降幅达到了98.7%。其中，雇员退休计划的投入造成了22美元的支出。与美国汽车工人联合会达成新的劳工协议，造成6亿美元的补贴费用。也正是由于这份协议，福特北美汽车业务利润率下降至2.8%</t>
  </si>
  <si>
    <t>2020/02/07 10:24:00</t>
  </si>
  <si>
    <t xml:space="preserve">2019年全年，福特营收为1559亿美元，同比减少3%；净利润为4700万美元，远低于2018年的37亿美元，降幅达到了98.7%。其中，雇员退休计划的投入造成了22美元的支出。与美国汽车工人联合会达成新的劳工协议，造成6亿美元的补贴费用。也正是由于这份协议，福特北美汽车业务利润率下降至2.8%。 </t>
  </si>
  <si>
    <t>　　据外媒报道，一直有传言表示苹果将推出一款汽车，早在2018年，苹果分析师Min Chi-Kuo列出了一些据说苹果正在研发的新产品，其中就包括了一款AR头显和一辆汽车。Kuo将苹果汽车与第一代iPhone相比，表示苹果汽车可以帮助让苹果公司的市值达到2万亿美元。　　据传苹果公司的汽车项目“泰坦”（</t>
  </si>
  <si>
    <t>2020/02/07 10:22:00</t>
  </si>
  <si>
    <t>据外媒报道，一直有传言表示苹果将推出一款汽车，早在2018年，苹果分析师Min Chi-Kuo列出了一些据说苹果正在研发的新产品，其中就包括了一款AR头显和一辆汽车。Kuo将苹果汽车与第一代iPhone相比，表示苹果汽车可以帮助让苹果公司的市值达到2万亿美元。    据传苹果公司的汽车项目“泰坦”（</t>
  </si>
  <si>
    <t>图片来源：日产官网    据外媒报道，日产在英国完成了一次总长度为230英里（约370公里）的自动驾驶测试，这是该国境内所完成的长度最长、复杂程度最高的测试。当前多家汽车制造商都在竞相研发自动驾驶技术，这项技术将会给出行方式带来革命性的变化。    根据英国的预测，到2035年，自动驾驶行业的全球规</t>
  </si>
  <si>
    <t>2020/02/07 10:21:00</t>
  </si>
  <si>
    <t>图片来源：日产官网　　据外媒报道，日产在英国完成了一次总长度为230英里（约370公里）的自动驾驶测试，这是该国境内所完成的长度最长、复杂程度最高的测试。当前多家汽车制造商都在竞相研发自动驾驶技术，这项技术将会给出行方式带来革命性的变化。　　根据英国的预测，到2035年，自动驾驶行业的全球规模有望达</t>
  </si>
  <si>
    <t xml:space="preserve">图片来源：凯迪拉克官网    据外媒报道，通用汽车总裁Mark Reuss在2月5日表示，到2023年时，通用将在22款车型上使用其Super Cruise驾驶辅助系统。当前这项技术仅在凯迪拉克CT6车型上使用。    从2021年开始，这项技术将被运用在凯迪拉克之外的其他品牌中。今年，Super </t>
  </si>
  <si>
    <t>2020/02/07 10:19:00</t>
  </si>
  <si>
    <t>图片来源：凯迪拉克官网　　据外媒报道，通用汽车总裁Mark Reuss在2月5日表示，到2023年时，通用将在22款车型上使用其Super Cruise驾驶辅助系统。当前这项技术仅在凯迪拉克CT6车型上使用。　　从2021年开始，这项技术将被运用在凯迪拉克之外的其他品牌中。今年，Super Crui</t>
  </si>
  <si>
    <t>图片来源：特斯拉官网    据外媒报道，今年1月德国汽车总体销量下降7.3%，特斯拉、雷克萨斯、DS和捷豹成为当月销量涨幅最高的品牌。德国交通部（KBA）在2月5日发布的数据显示，上个月德国汽车总注册量为246,300辆，同比有所下降。    得益于Model 3车型需求上涨，特斯拉当月的注册量同比</t>
  </si>
  <si>
    <t>2020/02/07 10:18:00</t>
  </si>
  <si>
    <t>图片来源：特斯拉官网　　据外媒报道，今年1月德国汽车总体销量下降7.3%，特斯拉、雷克萨斯、DS和捷豹成为当月销量涨幅最高的品牌。德国交通部（KBA）在2月5日发布的数据显示，上个月德国汽车总注册量为246,300辆，同比有所下降。　　得益于Model 3车型需求上涨，特斯拉当月的注册量同比上涨16</t>
  </si>
  <si>
    <t>图片来源：优步ATG    据外媒报道，优步先进技术团队（ATG）已经获得许可证，可让该公司的自动驾驶汽车重返加州公共道路进行测试。这一消息距该公司在亚利桑那州发生一起致行人死亡的车祸已经两年，事故发生之后，优步曾缩减了自动驾驶汽车测试计划。    目前，优步还没有计划，将自动驾驶汽车立即投入到旧金</t>
  </si>
  <si>
    <t>2020/02/07 10:17:00</t>
  </si>
  <si>
    <t>图片来源：优步ATG　　据外媒报道，优步先进技术团队（ATG）已经获得许可证，可让该公司的自动驾驶汽车重返加州公共道路进行测试。这一消息距该公司在亚利桑那州发生一起致行人死亡的车祸已经两年，事故发生之后，优步曾缩减了自动驾驶汽车测试计划。　　目前，优步还没有计划，将自动驾驶汽车立即投入到旧金山公共道</t>
  </si>
  <si>
    <t>2019年，虽然面临罢工风波和工厂停产等挑战，通用汽车依然实现了67亿美元的净利润；在计入罢工造成的36亿美元损失之后，调整后息税前利润为84亿美元；年度净收入为1,372亿美元；摊薄后每股收益为4.57美元；汽车业务经营活动的现金流量净额为74亿美元。    具体来看，在美国，通用汽车的大部分利润</t>
  </si>
  <si>
    <t>2020/02/07 10:16:00</t>
  </si>
  <si>
    <t>　　2019年，虽然面临罢工风波和工厂停产等挑战，通用汽车依然实现了67亿美元的净利润；在计入罢工造成的36亿美元损失之后，调整后息税前利润为84亿美元；年度净收入为1,372亿美元；摊薄后每股收益为4.57美元；汽车业务经营活动的现金流量净额为74亿美元。　　具体来看，在美国，通用汽车的大部分利润</t>
  </si>
  <si>
    <t>据外媒报道，当拿着闪光灯手电筒寻找丢失的钥匙，当蝙蝠在夜间飞行时探测障碍物，或当汽车雷达在定位路上的其他汽车，其实都是同一个物理原理在发挥作用。无论是光，声音还是电磁波，都是将探测光束发送至前方，然后反射回来的光、声音、电磁波会将相关信息传送回探测器。图片来源：韩国基础科学研究所    这也解释了为</t>
  </si>
  <si>
    <t>2020/02/07 10:14:00</t>
  </si>
  <si>
    <t>　　据外媒报道，当拿着闪光灯手电筒寻找丢失的钥匙，当蝙蝠在夜间飞行时探测障碍物，或当汽车雷达在定位路上的其他汽车，其实都是同一个物理原理在发挥作用。无论是光，声音还是电磁波，都是将探测光束发送至前方，然后反射回来的光、声音、电磁波会将相关信息传送回探测器。图片来源：韩国基础科学研究所　　这也解释了为</t>
  </si>
  <si>
    <t>科技公司大陆集团表示，该公司计划今年开始在得克萨斯州的新布朗费尔斯建设一座工厂，将会为高级驾驶辅助系统(ADAS)生产产品。图片来源：大陆集团官网    据外媒报道，科技公司大陆集团表示，该公司计划今年开始在得克萨斯州的新布朗费尔斯建设一座工厂，将会为高级驾驶辅助系统(ADAS)生产产品。    2</t>
  </si>
  <si>
    <t>2020/02/07 10:12:00</t>
  </si>
  <si>
    <t>　　科技公司大陆集团表示，该公司计划今年开始在得克萨斯州的新布朗费尔斯建设一座工厂，将会为高级驾驶辅助系统(ADAS)生产产品。图片来源：大陆集团官网　　据外媒报道，科技公司大陆集团表示，该公司计划今年开始在得克萨斯州的新布朗费尔斯建设一座工厂，将会为高级驾驶辅助系统(ADAS)生产产品。　　2月6</t>
  </si>
  <si>
    <t>2月6日，丰田发布了其2020财年（截至2020年3月31日）前九个月（2019年4月1日至2019年12月31日）的财报。财报数据显示，丰田汽车公司在报告期内的销售额为22.83万亿日元，同比微增1.6%；营业利润从1.94万亿上涨至2.06万亿日元；税前收入大涨45.8%至2.5175万亿日元；</t>
  </si>
  <si>
    <t>2020/02/07 10:11:00</t>
  </si>
  <si>
    <t>　　2月6日，丰田发布了其2020财年（截至2020年3月31日）前九个月（2019年4月1日至2019年12月31日）的财报。财报数据显示，丰田汽车公司在报告期内的销售额为22.83万亿日元，同比微增1.6%；营业利润从1.94万亿上涨至2.06万亿日元；税前收入大涨45.8%至2.5175万亿日</t>
  </si>
  <si>
    <t>近日，有消息称三菱新款的帕杰罗·劲畅有望引入国内市场。新车外观更为硬朗，同时配置方面也进行了升级，内饰也进一步取消了部分实体按键。    外观方面，新款帕杰罗·劲畅前脸的整体视觉效果看上去与三菱奕歌、改款delica及xpander等近期新车的设计风格保持相近。其中，新车将换装分体式前大灯组，前包围</t>
  </si>
  <si>
    <t>2020/02/07 10:08:00</t>
  </si>
  <si>
    <t>　　近日，有消息称三菱新款的帕杰罗・劲畅有望引入国内市场。新车外观更为硬朗，同时配置方面也进行了升级，内饰也进一步取消了部分实体按键。　　外观方面，新款帕杰罗・劲畅前脸的整体视觉效果看上去与三菱奕歌、改款delica及xpander等近期新车的设计风格保持相近。其中，新车将换装分体式前大灯组，前包围</t>
  </si>
  <si>
    <t>近日，奥迪在香港推出rs q3 sportback起售价84.5万港币(约合76万元人民币)，据了解新车有望于年内登陆大陆市场。    首先在外观方面，新车采用了与q3一致的大尺寸六边形进气格栅，但却没有采用q3平行的镀铬横格栅，而是运用了更加运动的蜂窝状格栅，并且做了黑化处理，左侧还带着rs q3</t>
  </si>
  <si>
    <t>2020/02/07 10:07:00</t>
  </si>
  <si>
    <t>　　近日，奥迪在香港推出rs q3 sportback起售价84.5万港币(约合76万元人民币)，据了解新车有望于年内登陆大陆市场。　　首先在外观方面，新车采用了与q3一致的大尺寸六边形进气格栅，但却没有采用q3平行的镀铬横格栅，而是运用了更加运动的蜂窝状格栅，并且做了黑化处理，左侧还带着rs q3</t>
  </si>
  <si>
    <t>雪佛兰科尔维特c8的纽北圈速得到曝光，为7分29.9秒，虽然比起传言中的7分28.3秒有点差距，但仍然属于不错的表现。跑出这个成绩的车型为科尔维特c8的stingray版本，也就是最入门版本，并搭载了stingray版本专属的z51性能套件。    据通用汽车发言人介绍，科尔维特的纽北成绩早在去年夏</t>
  </si>
  <si>
    <t>2020/02/07 10:05:00</t>
  </si>
  <si>
    <t>　　雪佛兰科尔维特c8的纽北圈速得到曝光，为7分29.9秒，虽然比起传言中的7分28.3秒有点差距，但仍然属于不错的表现。跑出这个成绩的车型为科尔维特c8的stingray版本，也就是最入门版本，并搭载了stingray版本专属的z51性能套件。　　据通用汽车发言人介绍，科尔维特的纽北成绩早在去年夏</t>
  </si>
  <si>
    <t>李升鸿</t>
  </si>
  <si>
    <t>日前，宝马官方发布了宝马ix3的轮毂预告图。图中这款新轮圈非同寻常，是厂家专门为提高空气动力效率和减轻重量而开发，宝马将其命名为新型“空气动力轮圈”。    该轮圈的造型设计围绕“空气动力学”展开，效果前卫，条幅呈v型，配色上使用双色搭配。宝马官方表示，该轮圈比宝马的其它的空气动力轮圈轻15％的重量</t>
  </si>
  <si>
    <t>2020/02/07 10:03:00</t>
  </si>
  <si>
    <t>　　日前，宝马官方发布了宝马ix3的轮毂预告图。图中这款新轮圈非同寻常，是厂家专门为提高空气动力效率和减轻重量而开发，宝马将其命名为新型“空气动力轮圈”。　　该轮圈的造型设计围绕“空气动力学”展开，效果前卫，条幅呈v型，配色上使用双色搭配。宝马官方表示，该轮圈比宝马的其它的空气动力轮圈轻15％的重量</t>
  </si>
  <si>
    <t>2020年2月5日，两年一度的印度国际车展在印度首都新德里诺伊达展览中心开幕，海马汽车携旗下最新mpv、suv及新能源车型首秀印度国际车展，包括海马7x右舵版、海马8s、海马e1电动汽车等。    全新产品海马7x定位为家用mpv，采用独特、前瞻的设计语言。值得一提的是，现场展示的海马7x右舵版是海</t>
  </si>
  <si>
    <t>2020/02/07 10:02:00</t>
  </si>
  <si>
    <t>　　2020年2月5日，两年一度的印度国际车展在印度首都新德里诺伊达展览中心开幕，海马汽车携旗下最新mpv、suv及新能源车型首秀印度国际车展，包括海马7x右舵版、海马8s、海马e1电动汽车等。　　全新产品海马7x定位为家用mpv，采用独特、前瞻的设计语言。值得一提的是，现场展示的海马7x右舵版是海</t>
  </si>
  <si>
    <t>日前，丰田官方发布了全新一代汉兰达xse车型的官图。新车在普通版的造型基础上换装了一套专属运动套件，营造出强烈的运动气质。据了解，新一代汉兰达xse即将在2020芝加哥车展上发布，今年秋季将正式上市。    打量汉兰达xse全车，最具视觉吸引力的部分无疑是前包围。该车前包围完全被横向条幅设计的进气格</t>
  </si>
  <si>
    <t>2020/02/07 10:01:00</t>
  </si>
  <si>
    <t>　　日前，丰田官方发布了全新一代汉兰达xse车型的官图。新车在普通版的造型基础上换装了一套专属运动套件，营造出强烈的运动气质。据了解，新一代汉兰达xse即将在2020芝加哥车展上发布，今年秋季将正式上市。　　打量汉兰达xse全车，最具视觉吸引力的部分无疑是前包围。该车前包围完全被横向条幅设计的进气格</t>
  </si>
  <si>
    <t>从买车后两千多公里就发现前挡雨刮刮不干净，去4s首保时反馈该问题，给予清洗稍微好点，但依然未彻底解决问题，现驾驶约7000公里，雨刮器刮不干净越来越严重，下雨时模糊得不敢开车，跟4S店沟通要求，要自费更换雨刮器尝试是否能解决问题，质保期内出现问题，为什么要自费出来，请广丰出来管管！</t>
  </si>
  <si>
    <t>晚与</t>
  </si>
  <si>
    <t>2020/02/07 09:58:00</t>
  </si>
  <si>
    <t>丰田凯美瑞雨刮器故障大家遇到过吗？从买车后两千多公里就发现前挡雨刮刮不干净，去4s首保时反馈该问题，给予清洗稍微好点，但依然未彻底解决问题，现驾驶约7000公里，雨刮器刮不干净越来越严重，下雨时模糊得不敢开车，跟4S店沟通要求，要自费更换雨刮器尝试是否能解决问题，质保期内出现问题，为什么要自费出来，</t>
  </si>
  <si>
    <t>投诉编号：【446536】  投诉时间： 2020-02-07 09:57  投诉品牌： 上汽大众  投诉车系： Polo  投诉车型： 2019款 Plus 1.5L 自动 全景乐享版        投诉内容  2019/11/22提车后平均一个月出现一次亏电现象，去上虞4s店检查过4次未解决，给</t>
  </si>
  <si>
    <t>2020/02/07 09:57:00</t>
  </si>
  <si>
    <t>车辆安卓手机现只能使用mirrorlink，而mirrorlink已是淘汰的协议，从而造成安卓手机无法联网，同时也不支持百度Carlife，从而对我们造成严重的不便，同时存在一定安全隐患。主机固件一直处于不更新状态，新出厂的车辆主机已完美支持IOS13以及Carlife等，对于旧车辆厂家不闻不问，现</t>
  </si>
  <si>
    <t>标致4008车机为什么不能升级啊!车辆安卓手机现只能使用mirrorlink，而mirrorlink已是淘汰的协议，从而造成安卓手机无法联网，同时也不支持百度Carlife，从而对我们造成严重的不便，同时存在一定安全隐患。主机固件一直处于不更新状态，新出厂的车辆主机已完美支持IOS13以及Carli</t>
  </si>
  <si>
    <t>　　身边总有人问我，买某一款车到底值不值。这个问题看似简单，但实际还是挺难回答的。为什么这么说？人无完人，车亦是如此。绝大多数情况下，每一款车都有着自己的优势与短板，所以判断值与不值，我认为前提一定是你的诉求是什么，这也是我们今天的主题。　　我们今天要聊的主角是奇瑞捷豹路虎全新发现运动版（以下简称发</t>
  </si>
  <si>
    <t>2020/02/07 09:56:00</t>
  </si>
  <si>
    <t>车子低速加油门时，变速箱就会咔咔响，南京4S都说不是质量问题，新买的车就变速箱异响，谁能接受？不给处理，马上就去4S店拉横幅。</t>
  </si>
  <si>
    <t>2020/02/07 09:55:00</t>
  </si>
  <si>
    <t>丰田雷凌低速时变速箱异响严重车子低速加油门时，变速箱就会咔咔响，南京4S都说不是质量问题，新买的车就变速箱异响，谁能接受？不给处理，马上就去4S店拉横幅。</t>
  </si>
  <si>
    <t>车辆通过减速带或者坑洼路段时，左后减震的位置有明显咯吱咯吱的声音，通过后声音消失。</t>
  </si>
  <si>
    <t>2020/02/07 09:54:00</t>
  </si>
  <si>
    <t>雪铁龙C4世嘉行驶中减震器异响车辆通过减速带或者坑洼路段时，左后减震的位置有明显咯吱咯吱的声音，通过后声音消失。</t>
  </si>
  <si>
    <t>　　放眼国内自主紧凑级SUV领域，广汽传祺GS4可以算是精品车型中的代表了。自从第一代传祺GS4上市，便凭借较为全面的产品表现和出色的细节品控，让该车系获得了广泛认可。而现如今，广汽传祺推出了第二代GS4，新车除了延续老款车型的优势外，还进一步强调了ADiGO智能物联网功能，以更好地迎合主流消费者需</t>
  </si>
  <si>
    <t>前几天去4S店保养，把后续发现车的问题请4S店一并处理一下，前雾灯松动方向盘异响，刹车异响，内饰车门异响，前保险杠下沉松动，右后车窗外玻璃饰条松动，车在行驶中叽里呱啦各种异响严重，自己购置了前保险杠托架请4S店帮忙安装4S店说要另加收托架安装费250元。其他的问题没有办法处理属于正常或通病，从去年十</t>
  </si>
  <si>
    <t>史迪奇</t>
  </si>
  <si>
    <t>2020/02/07 09:53:00</t>
  </si>
  <si>
    <t>车内主驾驶位，在发动机800-1300转之间，有严重的低频共振，导致人体耳朵极其不适，长时间驾驶会有耳鸣，头晕头疼等症状。</t>
  </si>
  <si>
    <t>昌平城区新城富人区</t>
  </si>
  <si>
    <t>我的车在12月25日早上点火后没有到档，熄火后再次点火出现变速箱故障变速箱功能限制，到4S店检查说是阀体问题不在质保范围内，要求自费费用下来一万六千多，这个是非人为损坏的原因怎么就不在质保范围内。这个不是个别现象，是质量问题要求解决。</t>
  </si>
  <si>
    <t>奇骏车内异响 车身上各种异响前几天去4S店保养，把后续发现车的问题请4S店一并处理一下，前雾灯松动方向盘异响，刹车异响，内饰车门异响，前保险杠下沉松动，右后车窗外玻璃饰条松动，车在行驶中叽里呱啦各种异响严重，自己购置了前保险杠托架请4S店帮忙安装4S店说要另加收托架安装费250元。其他的问题没有办法</t>
  </si>
  <si>
    <t>车内低频共振长时间驾驶身体不适车内主驾驶位，在发动机800-1300转之间，有严重的低频共振，导致人体耳朵极其不适，长时间驾驶会有耳鸣，头晕头疼等症状。</t>
  </si>
  <si>
    <t>福特蒙迪欧致胜变速箱功能限制 会是通病吧！我的车在12月25日早上点火后没有到档，熄火后再次点火出现变速箱故障变速箱功能限制，到4S店检查说是阀体问题不在质保范围内，要求自费费用下来一万六千多，这个是非人为损坏的原因怎么就不在质保范围内。这个不是个别现象，是质量问题要求解决。</t>
  </si>
  <si>
    <t>日前，雪佛兰正式发布了新款探界者以及探界者rs版本车型的官图，新车的外观有所升级，并计划在2020芝加哥车展上迎来首发。未来，上汽通用雪佛兰也将在年内针对国产版进行中期改款。    中期改款的探界者采用了全新设计的前脸，个性的镀铬装饰贯穿左右，并与两侧灯组相融合，与现款风格完全不同。同时，随之而改变</t>
  </si>
  <si>
    <t>2020/02/07 09:52:00</t>
  </si>
  <si>
    <t>一汽大众高尔夫在行驶中低速顿挫感特别严重，特别是开空调的时候，非常严重，希望车质网能帮助我联系一汽大众解决问题，谢谢。</t>
  </si>
  <si>
    <t>宇宙洪荒</t>
  </si>
  <si>
    <t>高尔夫的变速箱在行驶过程中是一顿一顿的一汽大众高尔夫在行驶中低速顿挫感特别严重，特别是开空调的时候，非常严重，希望车质网能帮助我联系一汽大众解决问题，谢谢。</t>
  </si>
  <si>
    <t>　　日前，雪佛兰正式发布了新款探界者以及探界者rs版本车型的官图，新车的外观有所升级，并计划在2020芝加哥车展上迎来首发。未来，上汽通用雪佛兰也将在年内针对国产版进行中期改款。　　中期改款的探界者采用了全新设计的前脸，个性的镀铬装饰贯穿左右，并与两侧灯组相融合，与现款风格完全不同。同时，随之而改变</t>
  </si>
  <si>
    <t>如果遇到塞车路段频繁踩离合器久了就会发卡，机舱离合器还会有叮咚的声音，而且离合器很重，去过4S店说是压盘的问题，更换了压盘和离合器片。但是没有几天又是同样的问题发生，希望厂家能给我一个回复。</t>
  </si>
  <si>
    <t>2020/02/07 09:51:00</t>
  </si>
  <si>
    <t>中保研碰撞测试帕萨特A柱断裂，在车内乘员安全指数方面只获得一般（M）评价，其中正面25%偏置碰撞测评结果为较差（P），侧面碰撞测评结果为良好（A），车顶强度、座椅/头枕测评结果均为优秀（G）。其中正面25%偏置碰撞的成绩最差，出现A柱上部完全断裂，并带动车顶形变等情况，再次刷新了中保研所有参与碰撞测</t>
  </si>
  <si>
    <t>胡虏未灭</t>
  </si>
  <si>
    <t>荣威i5踩离合沉重如果遇到塞车路段频繁踩离合器久了就会发卡，机舱离合器还会有叮咚的声音，而且离合器很重，去过4S店说是压盘的问题，更换了压盘和离合器片。但是没有几天又是同样的问题发生，希望厂家能给我一个回复。</t>
  </si>
  <si>
    <t>帕萨特碰撞测试中A柱不堪一击中保研碰撞测试帕萨特A柱断裂，在车内乘员安全指数方面只获得一般（M）评价，其中正面25%偏置碰撞测评结果为较差（P），侧面碰撞测评结果为良好（A），车顶强度、座椅/头枕测评结果均为优秀（G）。其中正面25%偏置碰撞的成绩最差，出现A柱上部完全断裂，并带动车顶形变等情况，再</t>
  </si>
  <si>
    <t>　　相信这个春节大家都在家里憋坏了，现在正值疫情防控的关键时期，希望您和家人继续坚持，不出门或少出门，出门一定戴口罩，还得记着勤洗手，别怕麻烦，胜利就在不远处等着咱们呢。进入主题吧，今天为您解读一台最低配的全新奔驰b级，指导价23.98万的进口车，配置表现怎么样？值得买吗？　　全文总结：　　23.9</t>
  </si>
  <si>
    <t>本人在2017年3月15投诉到4s店，投诉内容是变速箱异响，我跟4s店售后维修经理说了异响问题，查验了变速箱异响问题，二话没说，说可以更换变速箱总成，也就更换全新变速箱。后来在2017年3月27号换了变速箱总成，换好变速箱总成之后试车，变速箱异响问题还是确确实实的存在，异响还是存在，我在和售后维修经</t>
  </si>
  <si>
    <t>克里斯渡</t>
  </si>
  <si>
    <t>2020/02/07 09:50:00</t>
  </si>
  <si>
    <t>2016年1月中旬购车，目前里程是4.8万公里。在4s店中更换正时皮带后出现严重烧机油，百公里能达到半升机油，与4s店协商以过保为理由告知只能自费，不能接受处理结果烧机油为通病且车辆只开了不到5万公里。</t>
  </si>
  <si>
    <t>前大灯起雾严重，天气好也不能开灯，一开灯大灯里全是雾，情况很严重，影响行车安全，要求厂家尽快解决好车辆的问题。</t>
  </si>
  <si>
    <t>瓦桥关</t>
  </si>
  <si>
    <t>明锐两前大灯起雾 车灯密封性真差前大灯起雾严重，天气好也不能开灯，一开灯大灯里全是雾，情况很严重，影响行车安全，要求厂家尽快解决好车辆的问题。</t>
  </si>
  <si>
    <t>标致408发动机烧机油 质量缺陷啊！2016年1月中旬购车，目前里程是4.8万公里。在4s店中更换正时皮带后出现严重烧机油，百公里能达到半升机油，与4s店协商以过保为理由告知只能自费，不能接受处理结果烧机油为通病且车辆只开了不到5万公里。</t>
  </si>
  <si>
    <t>更换的速锐新变速箱还是有异响本人在2017年3月15投诉到4s店，投诉内容是变速箱异响，我跟4s店售后维修经理说了异响问题，查验了变速箱异响问题，二话没说，说可以更换变速箱总成，也就更换全新变速箱。后来在2017年3月27号换了变速箱总成，换好变速箱总成之后试车，变速箱异响问题还是确确实实的存在，异</t>
  </si>
  <si>
    <t>未来的汽车将不再是一个冷冰冰的交通工具，它甚至还能跟道路基础设施，以及其他车辆进行“对话”。现在很多车企都在努力研发能够让汽车实现“对话”的技术，比如奥迪。2018年3月，奥迪交通信号灯系统（tli）就进驻了美国华盛顿，当地6000个交叉路口都能够和奥迪汽车进行通信，从而为驾驶者提供精确的红绿灯倒计</t>
  </si>
  <si>
    <t>2020/02/07 09:49:00</t>
  </si>
  <si>
    <t>东风日产奇骏漆面龟裂，未发生碰撞，之前向车质网反应车漆问题，4S店回复很强硬，依然告知是鸟屎腐蚀，让我找个鸟屎做实验试试，这就是4s店的解决方式！我要投诉并尽快给我解决问题！但至今多天未能解决，请求车质网帮助！</t>
  </si>
  <si>
    <t>馋嘴小猫</t>
  </si>
  <si>
    <t>日产奇骏漆面龟裂漆面质量真不咋地呀东风日产奇骏漆面龟裂，未发生碰撞，之前向车质网反应车漆问题，4S店回复很强硬，依然告知是鸟屎腐蚀，让我找个鸟屎做实验试试，这就是4s店的解决方式！我要投诉并尽快给我解决问题！但至今多天未能解决，请求车质网帮助！</t>
  </si>
  <si>
    <t>看图，江淮瑞风S3排气管生锈车才用了一年无意间发现排气管严重生锈，由于我在的地方没有江淮4s店我通过微信加了，4s店的工作人员把照片发给了他，说写报告给厂家反馈看怎么处理，第二天厂家的结果出来了说是涉水部件生锈属于正常的，我很不愿意我的车从来没有走过水路怎么能这么短时间锈的那么严重，我想不通对比了好</t>
  </si>
  <si>
    <t>　　未来的汽车将不再是一个冷冰冰的交通工具，它甚至还能跟道路基础设施，以及其他车辆进行“对话”。现在很多车企都在努力研发能够让汽车实现“对话”的技术，比如奥迪。2018年3月，奥迪交通信号灯系统（tli）就进驻了美国华盛顿，当地6000个交叉路口都能够和奥迪汽车进行通信，从而为驾驶者提供精确的红绿灯</t>
  </si>
  <si>
    <t>将车辆变成物联网储能设备，即可将电力直接送入建筑物的电网中。在能量转换的选择上，相较于化石燃料，太阳能显然更加清洁无污染。日前，奥迪就与清洁能源平台arcadia公司扩大了合作范围，后者将为奥迪e-tron美国车主提供为期10年的免费太阳能充电服务。    据悉，这项优惠政策仅适用于自2月4日起在美</t>
  </si>
  <si>
    <t>2020/02/07 09:48:00</t>
  </si>
  <si>
    <t>北京现代途胜机油增多，后召回升级，问题没有解决，升级后动力下降油耗高，发动机抖动。</t>
  </si>
  <si>
    <t>始一终九</t>
  </si>
  <si>
    <t>途胜机油增多了 动力也下降了 质量差呀北京现代途胜机油增多，后召回升级，问题没有解决，升级后动力下降油耗高，发动机抖动。</t>
  </si>
  <si>
    <t>大众途岳车窗吱吱响2020年1月11日升降后门窗户时两边都有咯噔咯噔的异响，去4s店售后人员说估计是摇窗机有问题，得拆开检修更换摇窗机，4s店工作人员说介于是新车，最好减少拆修次数，目前他们也没有这款车型的摇窗机，得发货，车买下也就20天，开了只有460公里左右，车就出现这样的问题，我接受不了拆修，</t>
  </si>
  <si>
    <t>　　将车辆变成物联网储能设备，即可将电力直接送入建筑物的电网中。在能量转换的选择上，相较于化石燃料，太阳能显然更加清洁无污染。日前，奥迪就与清洁能源平台arcadia公司扩大了合作范围，后者将为奥迪e-tron美国车主提供为期10年的免费太阳能充电服务。　　据悉，这项优惠政策仅适用于自2月4日起在美</t>
  </si>
  <si>
    <t>日前，丰田官方发布tacoma、坦途以及红杉三款车型的nightshade edition特别版车型。新车在外观以及内饰方面均使用暗黑色设计，并将在当地时间2月6日开幕的2020芝加哥车展中亮相。tacoma特别版    从外观来看，三款车型都采用全黑车身颜色，带来浓厚的酷黑效果。三款车均使用深色格</t>
  </si>
  <si>
    <t>2020/02/07 09:47:00</t>
  </si>
  <si>
    <t>车的侧面有好多地方起泡，然后你用手一碰就掉漆，希望厂家处理问题。</t>
  </si>
  <si>
    <t>如图所示，起亚K3漆面起泡掉漆车的侧面有好多地方起泡，然后你用手一碰就掉漆，希望厂家处理问题。</t>
  </si>
  <si>
    <t>　　日前，丰田官方发布tacoma、坦途以及红杉三款车型的nightshade edition特别版车型。新车在外观以及内饰方面均使用暗黑色设计，并将在当地时间2月6日开幕的2020芝加哥车展中亮相。tacoma特别版　　从外观来看，三款车型都采用全黑车身颜色，带来浓厚的酷黑效果。三款车均使用深色格</t>
  </si>
  <si>
    <t>广汽三菱欧蓝德启动后发动机故障灯亮，4S店处理结果是，天气冷或者油品问题，开了这么多年车，头一次听说天冷还能导致发动机故障灯亮。</t>
  </si>
  <si>
    <t>帕纳梅拉</t>
  </si>
  <si>
    <t>2020/02/07 09:46:00</t>
  </si>
  <si>
    <t>10月初去湖南省郴州市检测主驾左侧大灯一盏灯泡故障，车灯不亮。4s拍照报备并申请厂家索赔，事后厂家要求再次拍照车内多张照片。可是已经过了快4个多月。多次咨询4S店一直未得到答复。车质网投诉也为得到厂家一个电话和答复。恳请车质网给予帮助。</t>
  </si>
  <si>
    <t>淤口关</t>
  </si>
  <si>
    <t>欧蓝德仪表上总是显示发动机故障灯广汽三菱欧蓝德启动后发动机故障灯亮，4S店处理结果是，天气冷或者油品问题，开了这么多年车，头一次听说天冷还能导致发动机故障灯亮。</t>
  </si>
  <si>
    <t>众泰T600大灯不亮了厂家没有配件呀10月初去湖南省郴州市检测主驾左侧大灯一盏灯泡故障，车灯不亮。4s拍照报备并申请厂家索赔，事后厂家要求再次拍照车内多张照片。可是已经过了快4个多月。多次咨询4S店一直未得到答复。车质网投诉也为得到厂家一个电话和答复。恳请车质网给予帮助。</t>
  </si>
  <si>
    <t>“印度是全球最具潜力，最具前景的汽车市场之一，也是海马汽车未来重要的战略市场。”2月5日，印度国际车展开幕，海马汽车携旗下海马7x、海马8s，以及海马e1纯电动车等车型亮相车展。期间，海马汽车宣告开启印度等新兴市场的战略布局。首次在印度亮相的海马e1纯电动车    根据海马汽车副董事长卢国纲介绍，目</t>
  </si>
  <si>
    <t>2020/02/07 09:45:00</t>
  </si>
  <si>
    <t>2019.7月份左右中控显示屏白屏无显示，我的车还在保修期内，去找经销商检查什么原因造成的。给出答复显示屏已坏。我要求更换保修，他说厂家已停产，无法保修。后我又去赣州4S店，也说厂家停产没配件，等待答复至今无回复。(4s店已登记2019.10.07)</t>
  </si>
  <si>
    <t>上汽大众帕萨特碰撞测试中A柱出现断裂，安全气囊有偏差，严重影响车辆的行车安全，要求厂家解决好车辆的问题。</t>
  </si>
  <si>
    <t>宏图伟业</t>
  </si>
  <si>
    <t>　　“印度是全球最具潜力，最具前景的汽车市场之一，也是海马汽车未来重要的战略市场。”2月5日，印度国际车展开幕，海马汽车携旗下海马7x、海马8s，以及海马e1纯电动车等车型亮相车展。期间，海马汽车宣告开启印度等新兴市场的战略布局。首次在印度亮相的海马e1纯电动车　　根据海马汽车副董事长卢国纲介绍，目</t>
  </si>
  <si>
    <t>北汽幻速S3L中控显示屏白屏无显示2019.7月份左右中控显示屏白屏无显示，我的车还在保修期内，去找经销商检查什么原因造成的。给出答复显示屏已坏。我要求更换保修，他说厂家已停产，无法保修。后我又去赣州4S店，也说厂家停产没配件，等待答复至今无回复。(4s店已登记2019.10.07)</t>
  </si>
  <si>
    <t>帕萨特碰撞测试时A柱出现断裂 安全性何在上汽大众帕萨特碰撞测试中A柱出现断裂，安全气囊有偏差，严重影响车辆的行车安全，要求厂家解决好车辆的问题。</t>
  </si>
  <si>
    <t>本田飞度VTC执行器故障启动故障，不能一次启动，电瓶好的，拧钥匙启动无反应，有时要启动好多次，启动马达有问题。如果能启动，有齿轮打齿的声音，VTC动作器异响！冷启动常见。</t>
  </si>
  <si>
    <t>凯美瑞启动的时候发动机舱里边有异常响声今天开车等红绿灯，自动启停启动发动机熄火状态，hold也是启动，绿灯时候踩油门突然发动机舱传来咔咔很大的声音...之前有听说过变速箱打齿的事情...看到车质网投诉变速箱打齿的人非常多而且集中2.5g8at版本，但是厂家一直没有正面回复...希望车质网能帮忙...</t>
  </si>
  <si>
    <t>小不丁点</t>
  </si>
  <si>
    <t>2020/02/07 09:44:00</t>
  </si>
  <si>
    <t>名爵HS显示电瓶电压低 发动机启动不了了过年在家待了3天，有一天早晨下去开车去外面结果车打不着了，显示电瓶电量低，要求厂家解决好车辆的问题。</t>
  </si>
  <si>
    <t>周吴郑王</t>
  </si>
  <si>
    <t>日产轩逸漆面生锈不是质量问题吗？之前一直感觉为什么车顶有小小五颜六色的渍，不为意，以为树的污渍，后来发现出现2个米粒大锈孔，这才醒误，原来我最初发现是针眼大的锈孔，这些针眼大的锈孔，车头盖有很多个，车顶也是有很多个，求助，车不到2年，怎么会出现这么严重问题。</t>
  </si>
  <si>
    <t>2000转左右时奇骏引擎有异响东风日产奇骏转速2000左右，发动机有嗡嗡声的异响。要求厂家尽快解决好车辆的问题。</t>
  </si>
  <si>
    <t>三关锁钥</t>
  </si>
  <si>
    <t>2020/02/07 09:43:00</t>
  </si>
  <si>
    <t>长安欧尚X7遥控钥匙故障会是什么问题？厂家说明书遥控钥匙的距离是10米到20米，但是现实中连3米都没有，容易失效！你让我怎么用！</t>
  </si>
  <si>
    <t>近日，大众在其俄罗斯官网公布了一组全新polo三厢版（俄罗斯市场称全新polo）的设计草图，新车或将于近期在俄罗斯市场发布，未来将在俄罗斯卡卢加州的大众工厂生产。    从曝光的设计草图来看，大众全新polo保持了当下大众轿车家族的设计理念，但并没有采用欧版全新polo两厢版的设计，前大灯组和格栅造</t>
  </si>
  <si>
    <t>　　近日，大众在其俄罗斯官网公布了一组全新polo三厢版（俄罗斯市场称全新polo）的设计草图，新车或将于近期在俄罗斯市场发布，未来将在俄罗斯卡卢加州的大众工厂生产。　　从曝光的设计草图来看，大众全新polo保持了当下大众轿车家族的设计理念，但并没有采用欧版全新polo两厢版的设计，前大灯组和格栅造</t>
  </si>
  <si>
    <t>行驶过程中奇骏发电机皮带轮掉落东风日产奇骏行驶过程中发电机皮带轮掉落，半路行驶过程中发电机轮掉落，车辆行驶在半路，发动机熄火，要求厂家解决好车辆的问题。</t>
  </si>
  <si>
    <t>益津关</t>
  </si>
  <si>
    <t>2020/02/07 09:42:00</t>
  </si>
  <si>
    <t>进口路虎发现全车断电故障灯亮路虎发现5，3.0，70周年特别款，行驶7000公里，正常行驶，全车断电！在5000公里时，故障灯亮，停车熄火，等了一个小时后又正常。</t>
  </si>
  <si>
    <t>　　今年我们收获了一个加码的春节假期，不过大家的心情却比较低落，为了打赢这场特别的战役，大部分人都宅在了家里。现在正是最关键的时刻，就算是要决斗也不能出门，大家来学下今天的两位对手，它们来了一场隔空pk。本田皓影(参数|询价)和丰田rav4荣放，它们绝对算是天生一对，不过是注定要成为一对宿敌，它们的</t>
  </si>
  <si>
    <t>王子平</t>
  </si>
  <si>
    <t>　　这一代汉兰达一推出，就一直被当做同价位合资中型suv的标杆般存在，众多对手轮番挑战依然无法撼动其在市场上的地位，足见其强大的产品力。2.0t 6at可靠的动力组合加上实用的7座大空间，让许多二胎家庭选择它作为座驾。不过我们今天的实拍车型却是汉兰达目前在售的入门版本，且是全系唯一的五座版，看看指导</t>
  </si>
  <si>
    <t>2020/02/07 09:37:00</t>
  </si>
  <si>
    <t>　　如果有人让我来总结奔驰品牌关键字，那我多半会选择：浮华、前卫和格调，当然还有一个就是“贵”。奔驰品牌之所以给人以这样的印象，可以很自然的归结于该品牌近些年在设计语言和产品线分布上的革新。在过去的2019年中，奔驰品牌全球累计售出汽车2339562辆，同比增长1.3%，这既是该品牌连续九年实现销量</t>
  </si>
  <si>
    <t>2020/02/07 09:29:00</t>
  </si>
  <si>
    <t>如果有人让我来总结奔驰品牌关键字，那我多半会选择：浮华、前卫和格调，当然还有一个就是“贵”。奔驰品牌之所以给人以这样的印象，可以很自然的归结于该品牌近些年在设计语言和产品线分布上的革新。在过去的2019年中，奔驰品牌全球累计售出汽车2339562辆，同比增长1.3%，这既是该品牌连续九年实现销量同比</t>
  </si>
  <si>
    <t>每辆车都肯定会有最基本的三大件组成，分别是发动机、变速箱和汽车底盘。对于这三大件，大咖之前就多次提过关于发动机和底盘的一些注意事项，而说起变速箱，大家对其的认知可能会比较浅薄。变速箱作为车辆上非常重要的部件，它可以改变传动比，扩大驱动轮转矩和转速的作用。随着现代科技的发展，变速箱也有了升级，从最初的</t>
  </si>
  <si>
    <t>2020/02/07 09:25:00</t>
  </si>
  <si>
    <t>变速箱为什么会顿挫造成顿挫的原因有哪些？每辆车都肯定会有最基本的三大件组成，分别是发动机、变速箱和汽车底盘。对于这三大件，大咖之前就多次提过关于发动机和底盘的一些注意事项，而说起变速箱，大家对其的认知可能会比较浅薄。变速箱作为车辆上非常重要的部件，它可以改变传动比，扩大驱动轮转矩和转速的作用。随着现</t>
  </si>
  <si>
    <t>提到国内suv常青树，我想非哈弗h6莫属。历经几次换代，热度丝毫不减。从销量上看它绝对是哈弗的顶梁柱，所以换代备受关注。全新一代哈弗h6，或者说哈弗整个h车系的雏形已经驶上舞台，这就是刚刚在印度车展亮相的concept h。    1 这不是一篇平常意义上的编故事设计解读，这次我们留点悬念，所以车辆</t>
  </si>
  <si>
    <t>2020/02/07 09:18:00</t>
  </si>
  <si>
    <t>　　提到国内suv常青树，我想非哈弗h6莫属。历经几次换代，热度丝毫不减。从销量上看它绝对是哈弗的顶梁柱，所以换代备受关注。全新一代哈弗h6，或者说哈弗整个h车系的雏形已经驶上舞台，这就是刚刚在印度车展亮相的concept h。　　1 这不是一篇平常意义上的编故事设计解读，这次我们留点悬念，所以车辆</t>
  </si>
  <si>
    <t>唐朝</t>
  </si>
  <si>
    <t>基于有车以后PT8-120实测体系，我们在过去的日子里量化了百余台车型的实测数据，并根据实测数据进行排名。而在这篇文章中，您将了解的是，在MPV领域，谁的乘坐空间最大、谁的载货能力最强、谁的舒适性更好、谁的性能最强，下面废话不多说，让我们进入正题吧。MPV实测之最——后排空间对于MPV而言，没有什么</t>
  </si>
  <si>
    <t>2020/02/07 09:05:00</t>
  </si>
  <si>
    <t>别只知道SUV 真正适合家用的车其实是这几台基于有车以后PT8-120实测体系，我们在过去的日子里量化了百余台车型的实测数据，并根据实测数据进行排名。而在这篇文章中，您将了解的是，在MPV领域，谁的乘坐空间最大、谁的载货能力最强、谁的舒适性更好、谁的性能最强，下面废话不多说，让我们进入正题吧。MPV</t>
  </si>
  <si>
    <t>投诉编号：【446534】  投诉时间： 2020-02-07 09:05  投诉品牌： 上汽集团  投诉车系： 名爵ZS  投诉车型： 2017款 1.5L 手动 舒适版        投诉内容  发动机怠速哒哒响！热车呜呜异响严重！离合器抖动没有半离合！底盘车身爆漆生锈！车内异响！买车3年了未曾</t>
  </si>
  <si>
    <t>对于国内的许多消费者来说，一家多台车甚至一人多台车的情况还并不普遍。在这样的情况下，一台车的属性是否全面就成为了大多数人选车的要素之一，SUV车型也就越来越受欢迎。那么如果您手握10万元预算，有哪些紧凑级SUV值得选择呢？今天我们就为大家带来三款产品力均衡的自主品牌紧凑级SUV，希望能给您提供一些参</t>
  </si>
  <si>
    <t>2020/02/07 09:03:00</t>
  </si>
  <si>
    <t>10万紧凑级SUV怎么选 这三款自主车型值得看对于国内的许多消费者来说，一家多台车甚至一人多台车的情况还并不普遍。在这样的情况下，一台车的属性是否全面就成为了大多数人选车的要素之一，SUV车型也就越来越受欢迎。那么如果您手握10万元预算，有哪些紧凑级SUV值得选择呢？今天我们就为大家带来三款产品力均</t>
  </si>
  <si>
    <t>汉龙汽车，这个名字对于大多数消费者来说都是陌生的。但一说众泰，我想大家就有所了解了。湖北大冶汉龙汽车有限公司成立于2016年1月，总部位于湖北省大冶市。2017年7月1日，湖北大冶汉龙汽车总装车间，汉龙公司第一辆整车下线，为众泰品牌车型。这也就是说，在汉龙品牌正式走向市场之前，该工厂是为众泰“代工”</t>
  </si>
  <si>
    <t>天平座</t>
  </si>
  <si>
    <t>2020/02/07 09:02:00</t>
  </si>
  <si>
    <t>全系2.0T+采埃孚8AT 这台车的尺寸同价位无人能比汉龙汽车，这个名字对于大多数消费者来说都是陌生的。但一说众泰，我想大家就有所了解了。湖北大冶汉龙汽车有限公司成立于2016年1月，总部位于湖北省大冶市。2017年7月1日，湖北大冶汉龙汽车总装车间，汉龙公司第一辆整车下线，为众泰品牌车型。这也就是</t>
  </si>
  <si>
    <t>我相信每一个汽车编辑在给人推荐车型时，都会叫他们自己亲自到店里问问。一方面到店后你能实际的体验到车型的性能，不再是纸上谈兵。而另一方面就实际售价有可能跟官方指导价有一定出入，并且这种出入往往是更便宜。像在30万级豪华品牌SUV这一细分市场当中，存在着不少拥有巨大优惠的产品，优惠后价格甚至能与普通合资</t>
  </si>
  <si>
    <t>2020/02/07 09:01:00</t>
  </si>
  <si>
    <t>30万选这4款豪华SUV 别人都知道你很懂行情我相信每一个汽车编辑在给人推荐车型时，都会叫他们自己亲自到店里问问。一方面到店后你能实际的体验到车型的性能，不再是纸上谈兵。而另一方面就实际售价有可能跟官方指导价有一定出入，并且这种出入往往是更便宜。像在30万级豪华品牌SUV这一细分市场当中，存在着不少</t>
  </si>
  <si>
    <t>　　特殊时期，防护级别再高的口罩也不如减少去到人群密集的地方，而我们日常用车生活中，加油站算是我们经常去到的人群密集场所，而怎样才能减少去加油站的次数呢？调皮的朋友肯定会说不开车不就完了吗！显然这是不现实的，今天咱们要聊的这三款车就是可以降低你去加油站频率的省油神器，它们都是谁？一起来看看吧。　　其</t>
  </si>
  <si>
    <t>郭思博</t>
  </si>
  <si>
    <t>2020/02/07 08:59:00</t>
  </si>
  <si>
    <t>　　寒冬即将离去，随着气温回升，你的“电动爹”也即将满血复活……当然了，这里不包括那些续航里程超过500km的车型……不知道各位有没有发现一个很奇怪的现象，国内传统车企也好，造车新势力也罢，它们所带来的产品续航里程都十分惊人，动辄500km起步。而合资或进口车型却恰恰相反，续航里程基本都在400km</t>
  </si>
  <si>
    <t>2020/02/07 08:56:00</t>
  </si>
  <si>
    <t>　　疫情无情，车企有情。在当前新型冠状病毒（2019-ncov）肆虐之际，国内豪华汽车销量冠军宝马坚持以人为本，将“安全”放在所有工作的首要位置。动员全体员工和经销商合作伙伴，积极应对疫情挑战，实施一系列措施，确保员工安全并为客户，提供贴心关爱和安心服务。　　赋能经销商，打造便捷安全的客户体验　　考</t>
  </si>
  <si>
    <t>2020/02/07 08:55:00</t>
  </si>
  <si>
    <t xml:space="preserve">疫情无情，车企有情。在当前新型冠状病毒（2019-ncov）肆虐之际，国内豪华汽车销量冠军宝马坚持以人为本，将“安全”放在所有工作的首要位置。动员全体员工和经销商合作伙伴，积极应对疫情挑战，实施一系列措施，确保员工安全并为客户，提供贴心关爱和安心服务。    赋能经销商，打造便捷安全的客户体验   </t>
  </si>
  <si>
    <t>　　在2019年取得33%的销量增长以后，新奔腾将2020年的销量目标定为20万辆，并计划在产品层面持续发力，推出3款全新车型――c105、d357、d365（均为内部代号），涵盖新能源、轿车、suv三大细分市场，其中c105将于4月开幕的北京车展上开启预售。除此之外，期待已久的t77 1.5t车型</t>
  </si>
  <si>
    <t>2020/02/07 08:54:00</t>
  </si>
  <si>
    <t>在2019年取得33%的销量增长以后，新奔腾将2020年的销量目标定为20万辆，并计划在产品层面持续发力，推出3款全新车型——c105、d357、d365（均为内部代号），涵盖新能源、轿车、suv三大细分市场，其中c105将于4月开幕的北京车展上开启预售。除此之外，期待已久的t77 1.5t车型也将</t>
  </si>
  <si>
    <t>　　上汽荣威目前拥有着4款suv 4款轿车 6款新能源车的庞大产品阵容，并以对6万-30万元主流消费市场形成了初步覆盖，为进一步深耕各细分市场，巩固市场定位，品牌在今年还将推出多款新产品。这其中除了全新一代rx5、ei6、i5 cross以及一款全新mpv外，预计还将有ei6 max、新款marve</t>
  </si>
  <si>
    <t>2020/02/07 08:52:00</t>
  </si>
  <si>
    <t xml:space="preserve">上汽荣威目前拥有着4款suv 4款轿车 6款新能源车的庞大产品阵容，并以对6万-30万元主流消费市场形成了初步覆盖，为进一步深耕各细分市场，巩固市场定位，品牌在今年还将推出多款新产品。这其中除了全新一代rx5、ei6、i5 cross以及一款全新mpv外，预计还将有ei6 max、新款marvel </t>
  </si>
  <si>
    <t>　　捷达品牌首款suv vs5一经上市便进入10万级畅销suv前列，如今定位更高的中型suv vs7也将于2月26日上市（线上渠道上市）。新车全系搭载1.4t涡轮增压发动机，共推出4款车型，预售价11.18-14.28万元，上市后实际售价或更低一些。　　外观方面，vs7沿用了捷达品牌家族式设计语言，</t>
  </si>
  <si>
    <t>2020/02/07 08:49:00</t>
  </si>
  <si>
    <t>捷达品牌首款suv vs5一经上市便进入10万级畅销suv前列，如今定位更高的中型suv vs7也将于2月26日上市（线上渠道上市）。新车全系搭载1.4t涡轮增压发动机，共推出4款车型，预售价11.18-14.28万元，上市后实际售价或更低一些。    外观方面，vs7沿用了捷达品牌家族式设计语言，</t>
  </si>
  <si>
    <t>　　北京现代菲斯塔ev将于2月18日上市，该车将成为农历新年上市第一款纯电动车型。除合资品牌之外，自主品牌以及造车新势力也将在今年年内陆续推出全新车型，比如比亚迪汉ev、小鹏p7、零跑t03等。有媒体对今年年内将上市的10款重磅纯电动轿车进行了梳理，发现这些车型均在上半年推出。从车型定位来看，这10</t>
  </si>
  <si>
    <t>2020/02/07 08:48:00</t>
  </si>
  <si>
    <t>北京现代菲斯塔ev将于2月18日上市，该车将成为农历新年上市第一款纯电动车型。除合资品牌之外，自主品牌以及造车新势力也将在今年年内陆续推出全新车型，比如比亚迪汉ev、小鹏p7、零跑t03等。有媒体对今年年内将上市的10款重磅纯电动轿车进行了梳理，发现这些车型均在上半年推出。从车型定位来看，这10款电</t>
  </si>
  <si>
    <t>　　有媒体从东风风神官方获悉：伴随去年风神奕炫上市后的持续热销，带动东风风神品牌销量实现了逆势上扬。2020年1月，东风风神全系终端交付量为10,899辆，同比上涨4.5%。考虑到受新型冠状病毒感染肺炎疫情和春节假期工时减少等因素影响，东风风神在今年开局的市场表现还是非常不错的。　　基于全新cmp全</t>
  </si>
  <si>
    <t>2020/02/07 08:45:00</t>
  </si>
  <si>
    <t>有媒体从东风风神官方获悉：伴随去年风神奕炫上市后的持续热销，带动东风风神品牌销量实现了逆势上扬。2020年1月，东风风神全系终端交付量为10,899辆，同比上涨4.5%。考虑到受新型冠状病毒感染肺炎疫情和春节假期工时减少等因素影响，东风风神在今年开局的市场表现还是非常不错的。    基于全新cmp全</t>
  </si>
  <si>
    <t>投诉编号：【446531】  投诉时间： 2020-02-07 08:45  投诉品牌： 东风日产  投诉车系： 奇骏  投诉车型： 2019款 2.0L CVT 智联舒适版 5座 2WD        投诉内容  东风日产奇骏行驶过程中发电机皮带轮掉落，半路行驶过程中发电机轮掉落，车辆行驶在半路，</t>
  </si>
  <si>
    <t>　　今年是东风启辰“单飞”的第三年，或许对于消费者而言，启辰依然是日产的“廉价”品牌。不过在去年广州车展，东风启辰发布了全新vsa架构，并带来了该架构的首款车型：启辰星，让消费者看到了东风启辰在自主研发上的“星”实力。这次全新suv启辰星，不仅能让消费者重新认识东风启辰这个品牌，甩掉“廉价”的帽子，</t>
  </si>
  <si>
    <t>2020/02/07 08:44:00</t>
  </si>
  <si>
    <t>今年是东风启辰“单飞”的第三年，或许对于消费者而言，启辰依然是日产的“廉价”品牌。不过在去年广州车展，东风启辰发布了全新vsa架构，并带来了该架构的首款车型：启辰星，让消费者看到了东风启辰在自主研发上的“星”实力。这次全新suv启辰星，不仅能让消费者重新认识东风启辰这个品牌，甩掉“廉价”的帽子，该车</t>
  </si>
  <si>
    <t>　　2019年suv市场占据着44.4%的市场份额，与轿车市场49%的份额仅相差4.6%，其中紧凑型suv市场为各大车企的主要战场。而广汽丰田首款紧凑型suv威兰达则是姗姗来迟，将于今年4月正式上市，预售区间为17-25万元。　　纵观2019年合资紧凑型suv市场，大众探岳月销已突破2万辆；本田cr</t>
  </si>
  <si>
    <t>2020/02/07 08:42:00</t>
  </si>
  <si>
    <t>2019年suv市场占据着44.4%的市场份额，与轿车市场49%的份额仅相差4.6%，其中紧凑型suv市场为各大车企的主要战场。而广汽丰田首款紧凑型suv威兰达则是姗姗来迟，将于今年4月正式上市，预售区间为17-25万元。    纵观2019年合资紧凑型suv市场，大众探岳月销已突破2万辆；本田cr</t>
  </si>
  <si>
    <t>　　东风悦达起亚在2019年推出了新一代kx5、新一代k3以及新一代kx3等多款新车，巩固了“腰部”力量，为2020年的冲刺做好了准备。除了上述车型以外，东风悦达起亚还将在今年推出两款新车――新一代k3 ev以及全新k5。其中，全新k5非常值得期待，外观设计更加动感，全面革新的它将肩负起东风悦达起亚</t>
  </si>
  <si>
    <t>2020/02/07 08:41:00</t>
  </si>
  <si>
    <t>东风悦达起亚在2019年推出了新一代kx5、新一代k3以及新一代kx3等多款新车，巩固了“腰部”力量，为2020年的冲刺做好了准备。除了上述车型以外，东风悦达起亚还将在今年推出两款新车——新一代k3 ev以及全新k5。其中，全新k5非常值得期待，外观设计更加动感，全面革新的它将肩负起东风悦达起亚重回</t>
  </si>
  <si>
    <t>　　美国时间2月8日，全美最大、持续时间最长的芝加哥车展将会正式拉开帷幕，在车展前，jeep表示将会在车展推出全新的jeep角斗士定制版车型――mojave版。据悉，该车将于2020年第二季度在经销商处销售。　　jeep角斗士mojave版将会让本来性能就已经足够强大的皮卡车型更加适应恶劣路况。顾名</t>
  </si>
  <si>
    <t>2020/02/07 08:40:00</t>
  </si>
  <si>
    <t>美国时间2月8日，全美最大、持续时间最长的芝加哥车展将会正式拉开帷幕，在车展前，jeep表示将会在车展推出全新的jeep角斗士定制版车型——mojave版。据悉，该车将于2020年第二季度在经销商处销售。    jeep角斗士mojave版将会让本来性能就已经足够强大的皮卡车型更加适应恶劣路况。顾名</t>
  </si>
  <si>
    <t>　　乘联会数据显示，2019年狭义乘用车全年销量2070万辆，同比下滑7.4%，值得注意的是suv车型全年销量下滑3.6%，这一数据远低于轿车与mpv产品销量下滑幅度。从数据上不难看出中国消费者依然对suv车型有着偏爱，在已经到来的2020年仍将有很多的suv车型上市，有媒体梳理了各大车企新车规划后</t>
  </si>
  <si>
    <t>2020/02/07 08:38:00</t>
  </si>
  <si>
    <t>乘联会数据显示，2019年狭义乘用车全年销量2070万辆，同比下滑7.4%，值得注意的是suv车型全年销量下滑3.6%，这一数据远低于轿车与mpv产品销量下滑幅度。从数据上不难看出中国消费者依然对suv车型有着偏爱，在已经到来的2020年仍将有很多的suv车型上市，有媒体梳理了各大车企新车规划后发现</t>
  </si>
  <si>
    <t>高尔夫车型是现在年轻消费者购车时的一个不错选择，该车定位为紧凑型轿车，与本田思域、丰田卡罗拉、日产轩逸等车同级别。在去年10月份全新一代高尔夫发布，并于年底正式上市完成交付。近日大众在海外市场上市了新款高尔夫车型，新车起售价为23,875英镑（约21.6万人民币），后续还将推出高尔夫gti、高尔夫r</t>
  </si>
  <si>
    <t>2020/02/07 08:36:00</t>
  </si>
  <si>
    <t>　　高尔夫车型是现在年轻消费者购车时的一个不错选择，该车定位为紧凑型轿车，与本田思域、丰田卡罗拉、日产轩逸等车同级别。在去年10月份全新一代高尔夫发布，并于年底正式上市完成交付。近日大众在海外市场上市了新款高尔夫车型，新车起售价为23,875英镑（约21.6万人民币），后续还将推出高尔夫gti、高尔</t>
  </si>
  <si>
    <t>2020年芝加哥车展已经拉开帷幕，丰田今年将在芝加哥车展上推出至少6款车型，包括包括塔科马(tacoma)、坦途(tundra)和4runner，这三款车型的2021款都将于今年夏天上市，而丰田为这三款车推出了dark版和trail editions版两个特别定制版，本篇介绍trail editio</t>
  </si>
  <si>
    <t>2020/02/07 08:35:00</t>
  </si>
  <si>
    <t>　　2020年芝加哥车展已经拉开帷幕，丰田今年将在芝加哥车展上推出至少6款车型，包括包括塔科马(tacoma)、坦途(tundra)和4runner，这三款车型的2021款都将于今年夏天上市，而丰田为这三款车推出了dark版和trail editions版两个特别定制版，本篇介绍trail edit</t>
  </si>
  <si>
    <t>近日，多地的大雪上了热搜。厚厚的积雪覆盖着城市的每个角落，无疑为城市增加了不少的美感。在传染病特别时期，也给我们压抑心情解了锁。但是这也为开车的朋友们带来了难题。车上的积雪过多难以清理，有的人就为了省事使用雨刮器刮走积雪，这是一个非常大的误区，今天我们就来给大家说说为什么这样做事不可取的。    汽</t>
  </si>
  <si>
    <t>2020/02/07 08:34:00</t>
  </si>
  <si>
    <t>　　近日，多地的大雪上了热搜。厚厚的积雪覆盖着城市的每个角落，无疑为城市增加了不少的美感。在传染病特别时期，也给我们压抑心情解了锁。但是这也为开车的朋友们带来了难题。车上的积雪过多难以清理，有的人就为了省事使用雨刮器刮走积雪，这是一个非常大的误区，今天我们就来给大家说说为什么这样做事不可取的。　　汽</t>
  </si>
  <si>
    <t>这两天，全国多地都经历了降雪的过程，尤其是北京天津等地，降雪量足足达到了5mm以上，可以说是近几年最明显的一次降雪了。那么面对地上厚厚的积雪，我们开车应该注意什么呢？    减少出行    是的，您没有看错！小编在第一条还是要奉劝各位车主减少开车出行，这不仅仅是因为传染病特殊时期应该这样，而且雪地路</t>
  </si>
  <si>
    <t>2020/02/07 08:32:00</t>
  </si>
  <si>
    <t>　　这两天，全国多地都经历了降雪的过程，尤其是北京天津等地，降雪量足足达到了5mm以上，可以说是近几年最明显的一次降雪了。那么面对地上厚厚的积雪，我们开车应该注意什么呢？　　减少出行　　是的，您没有看错！小编在第一条还是要奉劝各位车主减少开车出行，这不仅仅是因为传染病特殊时期应该这样，而且雪地路面对</t>
  </si>
  <si>
    <t>ix7是东风风光于2019年11月推出的一款城市中型suv，在售的汽油版车型全系搭载2.0tgdi发动机，官方售价区间为12.59万-21.59万元。有媒体从东风风光官方获悉：公司将于第4季度推出ix7 evr（插电式混合动力）车型，在电机和增程器的共同加持下，新车每百公里综合油耗低至1.6l。图为</t>
  </si>
  <si>
    <t>2020/02/07 08:31:00</t>
  </si>
  <si>
    <t>　　ix7是东风风光于2019年11月推出的一款城市中型suv，在售的汽油版车型全系搭载2.0tgdi发动机，官方售价区间为12.59万-21.59万元。有媒体从东风风光官方获悉：公司将于第4季度推出ix7 evr（插电式混合动力）车型，在电机和增程器的共同加持下，新车每百公里综合油耗低至1.6l。</t>
  </si>
  <si>
    <t>提及福特puma想必大家对它都已经很熟悉了，该款车型为品牌旗下的一款小型suv，目前新车也已在海外部分市场上市开售。据悉，福特新款puma也已在西班牙市场上市开售，并将搭载1.0t低高功率发动机。    动力方面，新车将搭载一台1.0t（低/高功率）涡轮增压发动机，最大功率分别为93kw、116kw</t>
  </si>
  <si>
    <t>2020/02/07 08:28:00</t>
  </si>
  <si>
    <t>　　提及福特puma想必大家对它都已经很熟悉了，该款车型为品牌旗下的一款小型suv，目前新车也已在海外部分市场上市开售。据悉，福特新款puma也已在西班牙市场上市开售，并将搭载1.0t低高功率发动机。　　动力方面，新车将搭载一台1.0t（低/高功率）涡轮增压发动机，最大功率分别为93kw、116kw</t>
  </si>
  <si>
    <t>作为宝马偶数系列家族的一员，宝马4系凭借着个性的外观以及驾控性，在细分市场中获得了较为优异的销量成绩，同时也受到了诸多年轻消费者们的喜爱。近日海外媒体曝光了一组宝马全新4系路试谍照图片，新车将于今年6月完成工厂下线任务，并将在今年年底率先登陆海外经销商处开售。    动力方面，新车将搭载2.0t、3</t>
  </si>
  <si>
    <t>2020/02/07 08:27:00</t>
  </si>
  <si>
    <t>　　作为宝马偶数系列家族的一员，宝马4系凭借着个性的外观以及驾控性，在细分市场中获得了较为优异的销量成绩，同时也受到了诸多年轻消费者们的喜爱。近日海外媒体曝光了一组宝马全新4系路试谍照图片，新车将于今年6月完成工厂下线任务，并将在今年年底率先登陆海外经销商处开售。　　动力方面，新车将搭载2.0t、3</t>
  </si>
  <si>
    <t>lc是雷克萨斯旗下的一款跑车，新车于2018年以进口形式正式引入到国内市场开售。近日据海外媒体报道，芝加哥车展将拉开帷幕，雷克萨斯将在本次车展上亮相18辆新车，其中包括一款lc 500 convertible车型，该车为定制版车型，并会限量销售。除优化了动力总成外，新车针对底盘进行了加固，并调整了悬</t>
  </si>
  <si>
    <t>2020/02/07 08:26:00</t>
  </si>
  <si>
    <t>　　lc是雷克萨斯旗下的一款跑车，新车于2018年以进口形式正式引入到国内市场开售。近日据海外媒体报道，芝加哥车展将拉开帷幕，雷克萨斯将在本次车展上亮相18辆新车，其中包括一款lc 500 convertible车型，该车为定制版车型，并会限量销售。除优化了动力总成外，新车针对底盘进行了加固，并调整</t>
  </si>
  <si>
    <t xml:space="preserve">提及保时捷跑车，知名度最高的莫过于911和718了，相比911车型，718车型相对较低的售价对许多消费者更有吸引力，同时718还舍弃了传统的六缸水平对置发动机，换用四缸引擎，但这对于有情怀的车迷来说不太“友好”。近日海外媒体曝光了新款保时捷718车型部分信息，新车将推出718 cayman gts </t>
  </si>
  <si>
    <t>2020/02/07 08:25:00</t>
  </si>
  <si>
    <t>　　提及保时捷跑车，知名度最高的莫过于911和718了，相比911车型，718车型相对较低的售价对许多消费者更有吸引力，同时718还舍弃了传统的六缸水平对置发动机，换用四缸引擎，但这对于有情怀的车迷来说不太“友好”。近日海外媒体曝光了新款保时捷718车型部分信息，新车将推出718 cayman gt</t>
  </si>
  <si>
    <t>近日从外媒得到消息称丰田将会推出三款全新的nightshade（暗夜阴影）车型并将会在芝加哥车展亮相，其中两款皮卡一款suv，他们分别是tacoma，坦途和红杉，提到暗夜阴影版本相信大家并不陌生，此前丰田卡罗拉，凯美瑞，4runner和sienna上已经推出过了。而近日推出暗夜版本的这三款车却是三台</t>
  </si>
  <si>
    <t>2020/02/07 08:23:00</t>
  </si>
  <si>
    <t>　　近日从外媒得到消息称丰田将会推出三款全新的nightshade（暗夜阴影）车型并将会在芝加哥车展亮相，其中两款皮卡一款suv，他们分别是tacoma，坦途和红杉，提到暗夜阴影版本相信大家并不陌生，此前丰田卡罗拉，凯美瑞，4runner和sienna上已经推出过了。而近日推出暗夜版本的这三款车却是</t>
  </si>
  <si>
    <t>日前，在印度举办的新德里汽车博览会上，斯柯达vision in概念车正式亮相。斯柯达vision in概念车是基于mqb-a0-in平台打造的首款车型，专为印度市场打造，量产版车型将于2021年初上市。    外观方面，斯柯达vision in概念车采用了家族的经典设计语言，直瀑式格栅已经具备了很高</t>
  </si>
  <si>
    <t>2020/02/07 08:21:00</t>
  </si>
  <si>
    <t>　　日前，在印度举办的新德里汽车博览会上，斯柯达vision in概念车正式亮相。斯柯达vision in概念车是基于mqb-a0-in平台打造的首款车型，专为印度市场打造，量产版车型将于2021年初上市。　　外观方面，斯柯达vision in概念车采用了家族的经典设计语言，直瀑式格栅已经具备了很高</t>
  </si>
  <si>
    <t>19款逸动底盘有隔热瓦吗？</t>
  </si>
  <si>
    <t>2020/02/07 08:18:18</t>
  </si>
  <si>
    <t>你们好，我在我这当地买的一辆二手车天籁舒适版11款的，前几天开着还好好的，一个星期后，车前面开始异响，换了平衡杆球头，减震器顶胶套，还是响，右边的减震器换了，换完以后左前边还响。还有就是上高速和低速跑的时候向右前方跑偏，做完四轮定位，开始往右边跑，请问是不是要做个动平衡？</t>
  </si>
  <si>
    <t>2020/02/07 08:13:25</t>
  </si>
  <si>
    <t>老师好，12款思域手动舒适怠速时抖动，特别明显，还有时速110以上也是抖动非常厉害，节气门清洗了，火花塞换了，机油刚换的，请问是什么问题呢？谢谢。</t>
  </si>
  <si>
    <t>2020/02/07 08:06:33</t>
  </si>
  <si>
    <t>起亚的售后多吗，去现代保养是不是就可以？</t>
  </si>
  <si>
    <t>2020/02/07 08:06:32</t>
  </si>
  <si>
    <t>师傅们，你好，我的是长安逸动车，13年的车，故障原因是电池不存电，开几个小时后，把车停好，过两小时再去打火，可以正常启动，放一个晚上，第二天早上去打火，就无法启动，叫别人开车来搭电，可以启动，已经3天了，都是这种情况。把电池负极拆下，第二天接上，可以启动，师傅们，请问这是什么问题，请解答。</t>
  </si>
  <si>
    <t>2020/02/07 08:03:08</t>
  </si>
  <si>
    <t>标致308出现故障码p0106以及p0113，换了进气压力传感器，故障依旧怎么回事。</t>
  </si>
  <si>
    <t>新车前铲附近磕碰了一下，出现小面积的漆面裂纹，请问这属于汽车质量问题吗？或者是什么原因造成的小面积裂纹？</t>
  </si>
  <si>
    <t>2020/02/07 07:59:32</t>
  </si>
  <si>
    <t>新车1100公里发现机油增多，加机油的盖上有乳白物，出现这种问题怎么处理？</t>
  </si>
  <si>
    <t>2020/02/07 07:59:31</t>
  </si>
  <si>
    <t>汽车发动机拉缸可以避免吗？</t>
  </si>
  <si>
    <t>备用智能钥匙需拔出电池后放置吗？拔出后对信号发射有否影响！</t>
  </si>
  <si>
    <t>长安欧尚X70A请问质量怎么样？</t>
  </si>
  <si>
    <t>2020/02/07 07:52:21</t>
  </si>
  <si>
    <t>大众探岳这款车怎么样，值得入手吗？20万左右SUV哪一款性价比高？</t>
  </si>
  <si>
    <t>2020/02/07 07:52:20</t>
  </si>
  <si>
    <t>本田飞度启动时有异响，应该怎么办？</t>
  </si>
  <si>
    <t>帝豪GS质量都稳定吗？正常用10年可以吗。</t>
  </si>
  <si>
    <t>2020/02/07 07:49:02</t>
  </si>
  <si>
    <t>后端的排气管有水漏出来，这是什么原因导致的？</t>
  </si>
  <si>
    <t>2020/02/07 07:49:01</t>
  </si>
  <si>
    <t>捷途X90遥控钥匙改成能遥控开后备箱，为什么捷途驾驶位和遥控钥匙不能开后备箱呢？</t>
  </si>
  <si>
    <t>2020/02/07 07:46:02</t>
  </si>
  <si>
    <t>请大神们帮忙鉴定一下，这是否是轮胎质量问题，购车时间没到一个月。行程1100公里，走过高速。</t>
  </si>
  <si>
    <t>2020/02/07 07:42:09</t>
  </si>
  <si>
    <t>艾瑞泽7e2016致享版插电式油电混动，cvt，4万公里，4缸自吸，在每小时10公里低速行驶中出现顿挫后出现故障灯亮(保养灯除外)就不能动了。低压电瓶另行充电后再启动(默认电能启动，发动机是不工作的)自检正常(没有故障灯)，但挂挡后(无论倒挡或前)松刹车车动不了，同时故障红灯点亮。该修哪些部位？</t>
  </si>
  <si>
    <t>　　如今汽车消费升级的趋势已经相当明显，消费者的用车需求已经从简单的代步转向追求品质感和高级感，排量更大尺寸更长的中高级车型越来越受到欢迎，以至于很多厂家都将产品重心倒向这些车型，逐渐放弃了对于小型车的研发。不过，即便在当下“以大为美”的车市环境中，小型车也并非一无是处，一来小巧紧凑的车身非常便于停</t>
  </si>
  <si>
    <t>2020/02/07 07:10:00</t>
  </si>
  <si>
    <t>2020/02/07 04:52:13</t>
  </si>
  <si>
    <t>投诉编号：【446529】
投诉时间： 2020-02-07 03:47
投诉品牌： 东风标致
投诉车系： 标致408
投诉车型： 2015款 1.2T 自动 豪华版</t>
  </si>
  <si>
    <t>2020/02/07 03:05:44</t>
  </si>
  <si>
    <t>投诉编号：【446528】
投诉时间： 2020-02-07 02:52
投诉品牌： 东风日产
投诉车系： 奇骏
投诉车型： 2019款 2.0L CVT 智联舒适版 5座 2WD</t>
  </si>
  <si>
    <t>2020/02/07 01:36:02</t>
  </si>
  <si>
    <t>投诉编号：【446526】
投诉时间： 2020-02-07 00:13
投诉品牌： 路虎进口
投诉车系： 发现
投诉车型： 2020款 3.0 V6 30周年特别版</t>
  </si>
  <si>
    <t>2020/02/06 23:56:36</t>
  </si>
  <si>
    <t>投诉编号：【446524】
投诉时间： 2020-02-06 23:19
投诉品牌： 长安福特
投诉车系： 福克斯
投诉车型： 2015款 1.6L 自动 舒适型 三厢</t>
  </si>
  <si>
    <t xml:space="preserve">投诉编号：【446523】  投诉时间： 2020-02-06 23:16  投诉品牌： 长安汽车  投诉车系： 长安欧尚X7  投诉车型： 2020款 1.5T 自动 尊贵型        投诉内容  厂家说明书遥控钥匙的距离是10米到20米，但是现实中连3米都没有，容易失效！你让我怎么用！   </t>
  </si>
  <si>
    <t>2020/02/06 23:16:00</t>
  </si>
  <si>
    <t>投诉编号：【446521】  投诉时间： 2020-02-06 22:28  投诉品牌： 东风日产  投诉车系： 轩逸  投诉车型： 2018款 1.6XV CVT 尊享版        投诉内容  之前一直感觉为什么车顶有小小五颜六色的渍，不为意，以为树的污渍，后来发现出现2个米粒大锈孔，这才醒误</t>
  </si>
  <si>
    <t>2020/02/06 22:28:00</t>
  </si>
  <si>
    <t>2020/02/06 22:16:29</t>
  </si>
  <si>
    <t>投诉编号：【446517】
投诉时间： 2020-02-06 22:03
投诉品牌： 广汽本田
投诉车系： 飞度
投诉车型： 2014款 1.5L CVT SE时尚型</t>
  </si>
  <si>
    <t>2020/02/06 22:16:27</t>
  </si>
  <si>
    <t>投诉编号：【446515】
投诉时间： 2020-02-06 21:42
投诉品牌： 东风日产
投诉车系： 奇骏
投诉车型： 2019款 2.0L CVT 舒适版 5座 2WD</t>
  </si>
  <si>
    <t>2020/02/06 22:16:24</t>
  </si>
  <si>
    <t>投诉编号：【446516】
投诉时间： 2020-02-06 21:59
投诉品牌： 北汽银翔
投诉车系： 幻速S3L
投诉车型： 2016款 1.5L 尊贵型</t>
  </si>
  <si>
    <t>2020/02/06 22:16:23</t>
  </si>
  <si>
    <t>投诉编号：【446511】
投诉时间： 2020-02-06 20:31
投诉品牌： 广汽丰田
投诉车系： 凯美瑞
投诉车型： 2019款 2.5G 豪华版 国VI</t>
  </si>
  <si>
    <t xml:space="preserve">投诉编号：【446518】  投诉时间： 2020-02-06 22:07  投诉品牌： 北京现代  投诉车系： 领动  投诉车型： 2019款 1.5L CVT 智炫·精英型        投诉内容  北京现代领动变速箱加速无力故障灯亮，严重缺失动力！当地4S店说变速箱坏了。      投诉回复 </t>
  </si>
  <si>
    <t>2020/02/06 22:07:00</t>
  </si>
  <si>
    <t>轮胎可以归属到消耗品一类，达到使用期限时需要进行更换。如果能掌握正确的保养方式则可以延长轮胎的使用寿命，那么，怎么保养轮胎才算正确呢？1、轮胎气压需要每月进行检查轮胎欠压以及过压将会导致轮胎不正常磨损，缩短轮胎的寿命、增加油耗甚至会增大爆胎的几率。轮胎专家建议我们一个月检查一次轮胎气压以保证轮胎气压</t>
  </si>
  <si>
    <t>2020/02/06 20:50:00</t>
  </si>
  <si>
    <t>车辆保养常识中怎么才能正确的保养轮胎轮胎可以归属到消耗品一类，达到使用期限时需要进行更换。如果能掌握正确的保养方式则可以延长轮胎的使用寿命，那么，怎么保养轮胎才算正确呢？1、轮胎气压需要每月进行检查轮胎欠压以及过压将会导致轮胎不正常磨损，缩短轮胎的寿命、增加油耗甚至会增大爆胎的几率。轮胎专家建议我们</t>
  </si>
  <si>
    <t>投诉编号：【446507】  投诉时间： 2020-02-06 20:03  投诉品牌： 上汽集团  投诉车系： 名爵HS  投诉车型： 2018款 20T 自动 两驱 荷尔蒙激情版 国V        投诉内容  过年在家待了3天，有一天早晨下去开车去外面结果车打不着了，显示电瓶电量低，要求厂家解</t>
  </si>
  <si>
    <t>2020/02/06 20:03:00</t>
  </si>
  <si>
    <t>2020/02/06 19:18:28</t>
  </si>
  <si>
    <t>投诉编号：【446505】
投诉时间： 2020-02-06 18:57
投诉品牌： 上汽大众
投诉车系： 帕萨特
投诉车型： 2019款 330TSI 豪华版 国VI</t>
  </si>
  <si>
    <t>投诉编号：【446504】  投诉时间： 2020-02-06 18:46  投诉品牌： 众泰汽车  投诉车系： 众泰T600  投诉车型： 2016款 1.5T  手动 尊贵型 运动版        投诉内容  10月初去湖南省郴州市检测主驾左侧大灯一盏灯泡故障，车灯不亮。4s拍照报备并申请厂家索</t>
  </si>
  <si>
    <t>2020/02/06 18:46:00</t>
  </si>
  <si>
    <t>2020/02/06 17:53:29</t>
  </si>
  <si>
    <t>投诉编号：【446503】
投诉时间： 2020-02-06 17:33
投诉品牌： 广汽三菱
投诉车系： 欧蓝德
投诉车型： 2018款 2.4L 四驱 精英版 5座</t>
  </si>
  <si>
    <t>投诉编号：【446502】  投诉时间： 2020-02-06 17:27  投诉品牌： 奇瑞汽车  投诉车系： 瑞虎8  投诉车型： 2019款 1.6TGDI 自动 精英型        投诉内容  从2019年1月8号到今天换了2次机油。按着4s店和厂家的要求热车，跑长途，之后！奇瑞瑞虎8的发</t>
  </si>
  <si>
    <t>2020/02/06 17:27:00</t>
  </si>
  <si>
    <t>电脑报c10a113，无法解锁是什么原因。</t>
  </si>
  <si>
    <t>2020/02/06 17:20:32</t>
  </si>
  <si>
    <t>机油里混进汽油。明显发动机声音变大，方向盘微抖，发动机会出现哒，哒哒哒哒哒的持续声音？发动机磨损加大的原因吗？</t>
  </si>
  <si>
    <t>2020/02/06 17:16:30</t>
  </si>
  <si>
    <t>投诉编号：【446499】投诉时间：2020-02-0616:53投诉品牌：广汽丰田投诉车系：凯美瑞投诉车型：2016款2.0G自动十周年纪念领先版投诉内容半轴防尘套左右两边都漏油，车子刚好3年了，其实早一段时间就漏了，只不过没有注意，现在超过质保期了！投诉回复车质网已将您的投诉转给生产企业以及国家</t>
  </si>
  <si>
    <t>2020/02/06 16:53:00</t>
  </si>
  <si>
    <t>投诉编号：【446498】  投诉时间： 2020-02-06 16:45  投诉品牌： 宝马（进口）  投诉车系： 宝马7系  投诉车型： 2009款 730Li 3.0L 自动  领先型        投诉内容  换挡顿挫挂不了挡，共振严重，我的车是二手车，不知道还能不能维修。      投诉回</t>
  </si>
  <si>
    <t>2020/02/06 16:45:00</t>
  </si>
  <si>
    <t>辉腾在怠速时有砰砰敲鼓声，D挡怠速会变大，车辆不振，加油门时发动机噪音变大。</t>
  </si>
  <si>
    <t>2020/02/06 16:44:52</t>
  </si>
  <si>
    <t>2020/02/06 16:06:54</t>
  </si>
  <si>
    <t>投诉编号：【446492】
投诉时间： 2020-02-06 15:31
投诉品牌： 广汽丰田
投诉车系： 凯美瑞
投诉车型： 2018款 2.5G 自动 豪华版</t>
  </si>
  <si>
    <t>2020/02/06 15:44:05</t>
  </si>
  <si>
    <t>投诉编号：【446491】
投诉时间： 2020-02-06 15:10
投诉品牌： 上汽大众
投诉车系： 帕萨特
投诉车型： 2019款 330TSI 豪华版 国V</t>
  </si>
  <si>
    <t>投诉编号：【446494】投诉时间：2020-02-0615:44投诉品牌：广汽丰田投诉车系：YARiSL致炫投诉车型：2015款1.5E自动魅动版投诉内容在发动机左边靠近皮带方向发出，有一种格拉格拉的响声，就像自行车链条拖底的声音，冷车热车都响，响声跟转速成正比。投诉回复车质网已将您的投诉转给生产</t>
  </si>
  <si>
    <t>2020/02/06 15:44:00</t>
  </si>
  <si>
    <t>更向年轻化和运动化 奥迪A6L售价高达11.71万说起奥迪A6L，相信很多中年人对于这款车的印象还停留在当初官车的年代，黑色车身和“L”的标识让这台C级车在一夜之间成为了无数成功人士梦寐以求的座驾。不过随着市场的向年轻化的方向转变，全新的奥迪A6L也开始逐渐向年轻化和运动化倾斜，其价格也不再让人望而</t>
  </si>
  <si>
    <t>袁冰</t>
  </si>
  <si>
    <t>2020/02/06 15:15:00</t>
  </si>
  <si>
    <t>说起奥迪A6L，相信很多中年人对于这款车的印象还停留在当初官车的年代，黑色车身和“L”的标识让这台C级车在一夜之间成为了无数成功人士梦寐以求的座驾。不过随着市场的向年轻化的方向转变，全新的奥迪A6L也开始逐渐向年轻化和运动化倾斜，其价格也不再让人望而却步，特别是最近高达11.71万的优惠，让这台车型</t>
  </si>
  <si>
    <t>　　如今，新能源退坡的浪潮对纯电动车的销量产生了一定的影响，不过像长安这样拥有“硬实力”的老牌大厂似乎没有受到特别大的冲击，产品线越来越丰富，就像不久前刚刚推出了一款纯电动SUV车型――E-Pro，400公里以上的续航里程加上10万出头的上市价格让这款车有着出色的竞争力，那现在买一台长安新能源E-P</t>
  </si>
  <si>
    <t>2020/02/06 14:41:00</t>
  </si>
  <si>
    <t>如题，中控蓝屏，软件进不去设置蓝牙，而且全车无声音。</t>
  </si>
  <si>
    <t>2020/02/06 14:40:29</t>
  </si>
  <si>
    <t>投诉编号：【446490】投诉时间：2020-02-0614:36投诉品牌：一汽-大众奥迪投诉车系：奥迪A6L投诉车型：2015款30TFSICVT百万纪念舒享型投诉内容太可怕了，接我新生女儿回家，结果路上方向突然失灵！今天是2020年2月6日，十二点四十分去医院接我家老二，刚刚出生四天，准备回家，</t>
  </si>
  <si>
    <t>2020/02/06 14:36:00</t>
  </si>
  <si>
    <t>　　春节本应该是全家欢聚一堂、乐乐呵呵庆祝才对。但2020年的春节似乎有意和大家作对，新型冠状病毒的出现让所有人活在惶恐当中。从最早的武汉疫情爆发，到现在的多区域全面爆发，这场疫情的严重度已经赶超了当年的SARS，所以也就有了如今口罩一只难求的现象，各大药房的口罩早已经出现缺货状态。　　虽然大家都很</t>
  </si>
  <si>
    <t>新能源汽车的发展始终离不开各国政府的政策支持，各家车企当然是希望支持力度越大越好。日前，斯柯达首席执行官Berhard Maier就呼吁各国政府加大对电动车的投资力度，从而降低车辆成本，使电动车的价格能够被更多消费者所接受。    斯柯达方面确认，将在未来2年内推出30款新车型，以帮助其实现到203</t>
  </si>
  <si>
    <t>2020/02/06 14:34:00</t>
  </si>
  <si>
    <t>　　新能源汽车的发展始终离不开各国政府的政策支持，各家车企当然是希望支持力度越大越好。日前，斯柯达首席执行官Berhard Maier就呼吁各国政府加大对电动车的投资力度，从而降低车辆成本，使电动车的价格能够被更多消费者所接受。　　斯柯达方面确认，将在未来2年内推出30款新车型，以帮助其实现到203</t>
  </si>
  <si>
    <t>日前，塔塔汽车在2020年印度新德里车展上发布了全新电动概念车Sierra EV，新车定位为一款中大型SUV，整体风格硬朗结实，后车门采用滑动设计，车内座椅支持一定角度的旋转。目前该车的量产版已经被塔塔汽车提升了日程，有望在两年内率先在印度亮相。    Sierra EV概念车在外观设计上可量产程度</t>
  </si>
  <si>
    <t>2020/02/06 14:32:00</t>
  </si>
  <si>
    <t>　　日前，塔塔汽车在2020年印度新德里车展上发布了全新电动概念车Sierra EV，新车定位为一款中大型SUV，整体风格硬朗结实，后车门采用滑动设计，车内座椅支持一定角度的旋转。目前该车的量产版已经被塔塔汽车提升了日程，有望在两年内率先在印度亮相。　　Sierra EV概念车在外观设计上可量产程度</t>
  </si>
  <si>
    <t>现在买车用车的人越来越多，已经成了标配三大件之一，但俗话说得好“常在河边站，哪有不扑街”，驾驶证就12分，不少人司机上路多少都中招，对于交规的扣分处罚仍是“一脸懵逼”，今天我们就来给大家解答哪些驾驶行为扣12分的？    现在大部分人考驾照都是C1/C2驾驶证，驾校也几乎都是考这两种驾照为主，日常开</t>
  </si>
  <si>
    <t>2020/02/06 14:27:00</t>
  </si>
  <si>
    <t>　　现在买车用车的人越来越多，已经成了标配三大件之一，但俗话说得好“常在河边站，哪有不扑街”，驾驶证就12分，不少人司机上路多少都中招，对于交规的扣分处罚仍是“一脸懵逼”，今天我们就来给大家解答哪些驾驶行为扣12分的？　　现在大部分人考驾照都是C1/C2驾驶证，驾校也几乎都是考这两种驾照为主，日常开</t>
  </si>
  <si>
    <t>一般来说，车的前后挡风和车窗玻璃，都是最容易被忽略的地方，在一些交通事故的照片中，一些车辆被撞严重的情况下，大部分车窗确完好无损，坚硬程度让人放心。可有时用车生活中的一些疏忽，却很容易造成车窗的损坏，为什么会这样呢？因为一般来说，车子的玻璃没有正面的收到物体的冲击，是不易被损坏的。但是当被物体击中后</t>
  </si>
  <si>
    <t>2020/02/06 14:25:00</t>
  </si>
  <si>
    <t>　　一般来说，车的前后挡风和车窗玻璃，都是最容易被忽略的地方，在一些交通事故的照片中，一些车辆被撞严重的情况下，大部分车窗确完好无损，坚硬程度让人放心。可有时用车生活中的一些疏忽，却很容易造成车窗的损坏，为什么会这样呢？因为一般来说，车子的玻璃没有正面的收到物体的冲击，是不易被损坏的。但是当被物体击</t>
  </si>
  <si>
    <t>张竞荣</t>
  </si>
  <si>
    <t>前段时间我们换了一台新的工作车，这可把我们爽的。不过开了几天却发现每次脚下都滑滑的怪不舒服，一看才发现：这车少了最基本的东西：汽车脚垫，这要到了雨季那车不得完蛋了。    可是这脚垫的价格差别从高到低都有，种类和材料也参差不齐，有些不适用的还会影响车辆行驶安全。编者在请教大师之后就给大家汇总一下如何</t>
  </si>
  <si>
    <t>2020/02/06 14:23:00</t>
  </si>
  <si>
    <t>　　前段时间我们换了一台新的工作车，这可把我们爽的。不过开了几天却发现每次脚下都滑滑的怪不舒服，一看才发现：这车少了最基本的东西：汽车脚垫，这要到了雨季那车不得完蛋了。　　可是这脚垫的价格差别从高到低都有，种类和材料也参差不齐，有些不适用的还会影响车辆行驶安全。编者在请教大师之后就给大家汇总一下如何</t>
  </si>
  <si>
    <t>2020/02/06 14:22:42</t>
  </si>
  <si>
    <t>投诉编号：【446486】
投诉时间： 2020-02-06 14:07
投诉品牌： 华晨中华
投诉车系： 中华V6
投诉车型： 2018款 1.5T 自动 豪华型</t>
  </si>
  <si>
    <t>咱们深度对比下宝马3系和奔驰C级哪个更保值大家常啊开宝马坐奔驰，但在汽车工业高速发展的今天，这种说法其实已经不够全面了，因为汽车都在不断的进步，所以今天就给大家深度对比一下宝马3系和奔驰C级，这个说法到底够不够严谨。宝马3系上市已经有较长的时间了，而且据称将在2019年全新换代，所以其外观现在看起来</t>
  </si>
  <si>
    <t>2020/02/06 14:21:00</t>
  </si>
  <si>
    <t>　　不知道大家有没有这样一个习惯，每次开着自己的爱车出门前，都会围着自己的车子转一圈瞧瞧的外观，检查妥当再出门，如果没有的话，建议还是先大致检查一下再出门，否则，损失的还是自己。那么，要检查什么呢？不着急，听我一一道来。　　出行必要项　　车牌　　先说一个很容易被大家忽略的东西，如果这个东西不在车上了</t>
  </si>
  <si>
    <t>　　北京时间2月6日早间消息，据国外媒体报道，埃隆・马斯克（elon musk）的财富出现了巨大的损失。在长达6天的连续上涨之后，本周三特斯拉股价暴跌17%，创下了最近8年来的最大单日跌幅，而这也让该公司ceo马斯克的财富缩水了59亿美元。　　仅仅一天以前，特斯拉股价一度达到887.06美元的创纪录</t>
  </si>
  <si>
    <t>大家常啊开宝马坐奔驰，但在汽车工业高速发展的今天，这种说法其实已经不够全面了，因为汽车都在不断的进步，所以今天就给大家深度对比一下宝马3系和奔驰C级，这个说法到底够不够严谨。宝马3系上市已经有较长的时间了，而且据称将在2019年全新换代，所以其外观现在看起来会有些视觉疲劳。前脸双肾进气格栅和开了眼角</t>
  </si>
  <si>
    <t>不知道大家有没有这样一个习惯，每次开着自己的爱车出门前，都会围着自己的车子转一圈瞧瞧的外观，检查妥当再出门，如果没有的话，建议还是先大致检查一下再出门，否则，损失的还是自己。那么，要检查什么呢？不着急，听我一一道来。    出行必要项    车牌    先说一个很容易被大家忽略的东西，如果这个东西不</t>
  </si>
  <si>
    <t>北京时间2月6日早间消息，据国外媒体报道，埃隆·马斯克（elon musk）的财富出现了巨大的损失。在长达6天的连续上涨之后，本周三特斯拉股价暴跌17%，创下了最近8年来的最大单日跌幅，而这也让该公司ceo马斯克的财富缩水了59亿美元。    仅仅一天以前，特斯拉股价一度达到887.06美元的创纪录</t>
  </si>
  <si>
    <t>消费者越来越精明 CS75PLUS为何还能4个月热卖7万台“我太难了”，用这4个字来形容2019年的车市再合适不过。尽管国内的汽车产销量分别下滑了7.5%和8.2%，但是金子总会发光，惨淡的车市中总有少数表现抢眼的“弄潮儿”，长安CS75PLUS便是其中之一。通过上表我们可以看出，上市短短4个月，长</t>
  </si>
  <si>
    <t>2020/02/06 14:20:00</t>
  </si>
  <si>
    <t>投诉编号：【446488】  投诉时间： 2020-02-06 14:20  投诉品牌： 一汽-大众  投诉车系： 迈腾  投诉车型： 2017款 330TSI DSG 领先型        投诉内容  油封漏油比之前没拆没换的时候漏的更加厉害，越修越严重。      投诉回复  车质网已将您的投诉</t>
  </si>
  <si>
    <t>“我太难了”，用这4个字来形容2019年的车市再合适不过。尽管国内的汽车产销量分别下滑了7.5%和8.2%，但是金子总会发光，惨淡的车市中总有少数表现抢眼的“弄潮儿”，长安CS75PLUS便是其中之一。通过上表我们可以看出，上市短短4个月，长安CS75PLUS的累计销量就超过了7万台，并且以平均月销</t>
  </si>
  <si>
    <t>雅阁与帕萨特应该怎么选这已经是被困村中的第五天了，咱们继续来聊车，依旧是大门不出二门不迈。今天我们来说两款轿车，并且名气都很高。一款是最近名气高到爆的上汽大众-2019款帕萨特，另一款则是2019年7月上市的2018款广汽本田雅阁。下面我们先来看看这两款车的一些数据上的对比。两车售价方面，雅阁指导售</t>
  </si>
  <si>
    <t>2020/02/06 14:19:00</t>
  </si>
  <si>
    <t>　　有媒体从马自达（中国）企业管理有限公司官方获悉，今年1月，马自达品牌在中国的销量为20963辆，与去年同期的22844辆相比，下滑8.23%。　　具体来看，一汽马自达1月销量为7539辆，与去年同期相比增长7.45%；长安马自达1月销量为13424辆，与去年同期相比下滑15.19%。　　从车型来</t>
  </si>
  <si>
    <t>这已经是被困村中的第五天了，咱们继续来聊车，依旧是大门不出二门不迈。今天我们来说两款轿车，并且名气都很高。一款是最近名气高到爆的上汽大众-2019款帕萨特，另一款则是2019年7月上市的2018款广汽本田雅阁。下面我们先来看看这两款车的一些数据上的对比。两车售价方面，雅阁指导售价：17.98-25.</t>
  </si>
  <si>
    <t>有媒体从马自达（中国）企业管理有限公司官方获悉，今年1月，马自达品牌在中国的销量为20963辆，与去年同期的22844辆相比，下滑8.23%。    具体来看，一汽马自达1月销量为7539辆，与去年同期相比增长7.45%；长安马自达1月销量为13424辆，与去年同期相比下滑15.19%。    从车</t>
  </si>
  <si>
    <t>全新S级曝光 这比亚迪风是在哪学的全新S级假想图曝光，印象中这是最近几代S级改款中争议最大的一款，正遇汽车行业矩阵，奔驰S级也与其他竞品相同玩起了运动，毕竟7系以及A8L都已经将运动发挥到新的高度，虽然说当下S级销量表现仍然较为出色，但按照奔驰产品推进计划，改款车型必然要率先推出。才能以快人一步姿态</t>
  </si>
  <si>
    <t>2020/02/06 14:18:00</t>
  </si>
  <si>
    <t>全新S级假想图曝光，印象中这是最近几代S级改款中争议最大的一款，正遇汽车行业矩阵，奔驰S级也与其他竞品相同玩起了运动，毕竟7系以及A8L都已经将运动发挥到新的高度，虽然说当下S级销量表现仍然较为出色，但按照奔驰产品推进计划，改款车型必然要率先推出。才能以快人一步姿态继续深化行业领导者地位。这一代S级</t>
  </si>
  <si>
    <t>汽车轮胎磨损掉的部分都到哪里去了轮胎的胎面磨损了，需要换新轮胎，这是很多司机的日常生活。但这些丢失的几厘米轮胎胎面“消失”到哪里去了？作为微型橡胶，它们主要存在于土壤和水中，在一定程度上也存在于空气中。环境管理局（Empa）的研究人员已经计算出，这些微粒的数量一点也不少。每个人都在谈论微塑料。但是空</t>
  </si>
  <si>
    <t>2020/02/06 14:17:00</t>
  </si>
  <si>
    <t>路虎揽胜皇家一号加长 高端豪华领域 5.0伊丽莎白款路虎揽胜皇家一号加长版现车到店，路虎皇家一号定位在高端豪华领域的揽胜，标准轴距版就已经能够令人赏心悦目，而加长版的车型在豪华的基础上更加注重后排的驾乘感受。从而路虎揽胜推出一款超级豪华SUV房车路虎皇家一号，超长的车身 独具匠心的研发技术和豪华的内</t>
  </si>
  <si>
    <t>　　全新路虎发现运动版于2020年1月1日开启预售，预售价格区间为35.98万-45.98万元，将于2月21日正式上市。日前，我们从工信部获悉，全新路虎发现运动版搭载2.0t发动机，与之匹配的是at变速箱，其低功版车型的综合百公里油耗为7.6升。　　全新路虎发现运动版采用了搭载48伏轻混动力系统的英</t>
  </si>
  <si>
    <t>轮胎的胎面磨损了，需要换新轮胎，这是很多司机的日常生活。但这些丢失的几厘米轮胎胎面“消失”到哪里去了？作为微型橡胶，它们主要存在于土壤和水中，在一定程度上也存在于空气中。环境管理局（Empa）的研究人员已经计算出，这些微粒的数量一点也不少。每个人都在谈论微塑料。但是空气和水中的塑料微粒的数量与另一种</t>
  </si>
  <si>
    <t>电池作为车辆的核心部件，从车辆的成本上面来看，占据了40%左右的成本，随着新能源汽车的保有量的增长，购买新能源汽车的人也是越来越多，目前很多普通消费者还是对新能源汽车的动力电池寿命产生疑虑，说起电池的使用寿命，其实更加专业说法应该是电池的循坏使用次数。根据电池的寿命来看，基本上是在6到8年左右的使用</t>
  </si>
  <si>
    <t>路虎揽胜皇家一号加长版现车到店，路虎皇家一号定位在高端豪华领域的揽胜，标准轴距版就已经能够令人赏心悦目，而加长版的车型在豪华的基础上更加注重后排的驾乘感受。从而路虎揽胜推出一款超级豪华SUV房车路虎皇家一号，超长的车身 独具匠心的研发技术和豪华的内饰使得路虎皇家一号稳坐超豪华SUV房车的一把交椅。皇</t>
  </si>
  <si>
    <t>当我们去买车的时候，就会发现如今的汽车越来越好看了，配置也开始越来越多，很多汽车上的中控电脑甚至可以玩游戏了。除了这些娱乐配置之外，空调系统还有安全配置也越来越全面。比如说汽车上的安全气囊，以前只有高端车型上才有，现在几乎成了所有车型上的标配。汽车上的安全气囊是一种被动保护装置，受到撞击之后就可以自</t>
  </si>
  <si>
    <t>荣威RX5 MAX自2019年8月上市以来，关注度一直很高，而它的推出也给长安CS75 PLUS、吉利博越Pro等自主品牌紧凑型SUV不小的压力。不过，荣威似乎并不满足现状，继续推出插电混合动力车型荣威RX5 eMAX进一步丰富车系，该车已于2019广州车展正式上市，如今有机会试驾，看看它的表现如何</t>
  </si>
  <si>
    <t>安全气囊弹出后复原究竟要花多少钱当我们去买车的时候，就会发现如今的汽车越来越好看了，配置也开始越来越多，很多汽车上的中控电脑甚至可以玩游戏了。除了这些娱乐配置之外，空调系统还有安全配置也越来越全面。比如说汽车上的安全气囊，以前只有高端车型上才有，现在几乎成了所有车型上的标配。汽车上的安全气囊是一种被</t>
  </si>
  <si>
    <t>比燃油版动力更出色 试驾荣威RX5 eMAX 500PHEV荣威RX5 MAX自2019年8月上市以来，关注度一直很高，而它的推出也给长安CS75 PLUS、吉利博越Pro等自主品牌紧凑型SUV不小的压力。不过，荣威似乎并不满足现状，继续推出插电混合动力车型荣威RX5 eMAX进一步丰富车系，该车已</t>
  </si>
  <si>
    <t>全新路虎发现运动版于2020年1月1日开启预售，预售价格区间为35.98万-45.98万元，将于2月21日正式上市。日前，我们从工信部获悉，全新路虎发现运动版搭载2.0t发动机，与之匹配的是at变速箱，其低功版车型的综合百公里油耗为7.6升。    全新路虎发现运动版采用了搭载48伏轻混动力系统的英</t>
  </si>
  <si>
    <t>新能源汽车锂电池使用寿命多长电池作为车辆的核心部件，从车辆的成本上面来看，占据了40%左右的成本，随着新能源汽车的保有量的增长，购买新能源汽车的人也是越来越多，目前很多普通消费者还是对新能源汽车的动力电池寿命产生疑虑，说起电池的使用寿命，其实更加专业说法应该是电池的循坏使用次数。根据电池的寿命来看，</t>
  </si>
  <si>
    <t>汽车遇到锯齿车道要怎么开如今的交通规则越来越多，司机们在行车途中，交通标志是必须要严格遵守的，不然被扣了分就很严重了。在开车时常有路过锯齿轮的车道，这种车道如果走的不正确，是要面临扣分罚款，因此不少司机都在这吃了亏。那么这条车到底有什么存在的意义？首先我们要知道，这种锯齿状的车道，可以叫做潮汐车道和</t>
  </si>
  <si>
    <t>2020/02/06 14:16:00</t>
  </si>
  <si>
    <t>　　雷诺于不久前发布了采用混动技术的clio和captur，在新能源和自动驾驶领域该车企还将有进一步的计划。近日，我们从雷诺汽车官方获悉，其公布了名为e-tech的计划，旨在推进产品电动化和自动驾驶方面的研发。　　在上个月开幕的布鲁塞尔车展上，雷诺就带来了采用混动技术的clio和captur（国内称</t>
  </si>
  <si>
    <t>如今的交通规则越来越多，司机们在行车途中，交通标志是必须要严格遵守的，不然被扣了分就很严重了。在开车时常有路过锯齿轮的车道，这种车道如果走的不正确，是要面临扣分罚款，因此不少司机都在这吃了亏。那么这条车到底有什么存在的意义？首先我们要知道，这种锯齿状的车道，可以叫做潮汐车道和变车道，所以从名字中可以</t>
  </si>
  <si>
    <t>雷诺于不久前发布了采用混动技术的clio和captur，在新能源和自动驾驶领域该车企还将有进一步的计划。近日，我们从雷诺汽车官方获悉，其公布了名为e-tech的计划，旨在推进产品电动化和自动驾驶方面的研发。    在上个月开幕的布鲁塞尔车展上，雷诺就带来了采用混动技术的clio和captur（国内称</t>
  </si>
  <si>
    <t>现在车内如何进行科学消毒目前，新型冠状病毒肺炎疫情仍在蔓延，伴随着疫情的发展，不少物资变成了紧俏货，但是为了自身安全，真正需要出行的人们可能更多的会选择自驾而避免乘坐公共交通。汽车作为较密闭的环境，如何进行科学的消毒，保障驾乘人员健康？今天为大家带来几条实用攻略，带大家由外及内，高效清洁爱车。一、车</t>
  </si>
  <si>
    <t>2020/02/06 14:15:00</t>
  </si>
  <si>
    <t>最近有不少新手司机问驾驶证实习期满需要换副页吗副页有什么用如果不小心丢了会有啥后果关于驾驶证的一些小知识可能许多老司机都不知道……驾驶证副页有什么用？中华人民共和国机动车驾驶证是由主页和副页共同组成，副页是记录驾驶证档案编号和相关事项的专用页面，缺一不可。无驾驶证副页的机动车驾驶证无效，而有驾驶证副</t>
  </si>
  <si>
    <t>目前，新型冠状病毒肺炎疫情仍在蔓延，伴随着疫情的发展，不少物资变成了紧俏货，但是为了自身安全，真正需要出行的人们可能更多的会选择自驾而避免乘坐公共交通。汽车作为较密闭的环境，如何进行科学的消毒，保障驾乘人员健康？今天为大家带来几条实用攻略，带大家由外及内，高效清洁爱车。一、车外重点部位杀菌消毒首先建</t>
  </si>
  <si>
    <t>驾驶证副页可别不当回事最近有不少新手司机问驾驶证实习期满需要换副页吗副页有什么用如果不小心丢了会有啥后果关于驾驶证的一些小知识可能许多老司机都不知道……驾驶证副页有什么用？中华人民共和国机动车驾驶证是由主页和副页共同组成，副页是记录驾驶证档案编号和相关事项的专用页面，缺一不可。无驾驶证副页的机动车驾</t>
  </si>
  <si>
    <t>近日，比亚迪2020年最重磅的旗舰轿车——比亚迪汉已经于工信部正式亮相，比亚迪汉车型将会区分为两个大的类别，其中基础车型将会搭载混动系统，也就是DM版本，除此之外就是EV纯电动版本。这款新车的尺寸非常给力，新车三围达到4980/1910/1495毫米，轴距为2920毫米，定位中大型旗舰轿车DM版和E</t>
  </si>
  <si>
    <t>2020/02/06 14:14:00</t>
  </si>
  <si>
    <t>现在国内的车辆饱和度越来越高，所以汽车的销量也开始有些疲软，没有前几年那么增长迅猛了。而很多车主现在买车的要求会越来越高，甚至现在都有人开始研究汽车轮胎的宽窄了。然而不知道大家有没有注意到，日常的家用车一般会选用较窄的轮胎，而一些上百万的豪车和越野车则会用宽轮胎多一些。那么话说，对于汽车轮胎的宽窄，</t>
  </si>
  <si>
    <t>旗舰来了 比亚迪汉实车曝光近日，比亚迪2020年最重磅的旗舰轿车——比亚迪汉已经于工信部正式亮相，比亚迪汉车型将会区分为两个大的类别，其中基础车型将会搭载混动系统，也就是DM版本，除此之外就是EV纯电动版本。这款新车的尺寸非常给力，新车三围达到4980/1910/1495毫米，轴距为2920毫米，定</t>
  </si>
  <si>
    <t>“窄轮胎”与“宽轮胎”差距到底在哪现在国内的车辆饱和度越来越高，所以汽车的销量也开始有些疲软，没有前几年那么增长迅猛了。而很多车主现在买车的要求会越来越高，甚至现在都有人开始研究汽车轮胎的宽窄了。然而不知道大家有没有注意到，日常的家用车一般会选用较窄的轮胎，而一些上百万的豪车和越野车则会用宽轮胎多一</t>
  </si>
  <si>
    <t>交通肇事是指车辆行为人在行驶过程中，发生碰撞、碾轧、刮擦、翻车、坠车、爆炸、失火等人身伤亡、财产损失等交通事故，承担事故相应责任的情形。一、交通肇事的法律责任有哪些？（1）民事责任公安机关交通管理部门应当根据当事人的行为对发生道路交通事故所起的作用以及过错的严重程度，确定当事人的责任。（一）因一方当</t>
  </si>
  <si>
    <t>交通肇事可能承担的法律责任有哪些交通肇事是指车辆行为人在行驶过程中，发生碰撞、碾轧、刮擦、翻车、坠车、爆炸、失火等人身伤亡、财产损失等交通事故，承担事故相应责任的情形。一、交通肇事的法律责任有哪些？（1）民事责任公安机关交通管理部门应当根据当事人的行为对发生道路交通事故所起的作用以及过错的严重程度，</t>
  </si>
  <si>
    <t>今天的话题貌似无需铺垫，让我们直抒胸臆直接开始。手握三十万预算，选特斯拉的国产Model 3还是老老实实买辆奔驰C级？太长不看版：1、 看城市。生活在上海等上牌困难、牌照价格奇高的城市，选Model 3；2、 看需求。日常上班代步、偶尔周末短途郊游选Model 3，其他需求选奔驰C级；3、 Mode</t>
  </si>
  <si>
    <t>2020/02/06 14:13:00</t>
  </si>
  <si>
    <t>一个不经意的转弯，生命瞬间消逝。你可以不知道什么是盲区，但你要知道时刻远离危险，尤其是正在准备转弯的大货车。</t>
  </si>
  <si>
    <t>30万预算 选国产Model 3还是奔驰C今天的话题貌似无需铺垫，让我们直抒胸臆直接开始。手握三十万预算，选特斯拉的国产Model 3还是老老实实买辆奔驰C级？太长不看版：1、 看城市。生活在上海等上牌困难、牌照价格奇高的城市，选Model 3；2、 看需求。日常上班代步、偶尔周末短途郊游选Mode</t>
  </si>
  <si>
    <t>动图说安全一个不经意的转弯，生命瞬间消逝。你可以不知道什么是盲区，但你要知道时刻远离危险，尤其是正在准备转弯的大货车。</t>
  </si>
  <si>
    <t>近日,外媒曝光了一组全新一代宝马4系的谍照。外观方面，前脸部分，新车采用了大尺寸双肾式进气格栅设计，配合内部点阵式镀铬装饰，显得非常有视觉冲击力。车尾方面，尾灯造型上更加的细长，红色的LED灯带十分的吸睛。动力方面上，新车将继续搭载2.0T四缸发动机以及一台3.0T直列六缸发动机，前者最大马力255</t>
  </si>
  <si>
    <t>2020/02/06 14:12:00</t>
  </si>
  <si>
    <t>近日，倍耐力在奥地利滨湖采尔镇举办的2020冰雪大奖赛（gp ice race）上发布了为2021赛季世界拉力锦标赛（wrc）研发的轮胎系列，本次展出的瑞典规格sottozero ice j1钉胎成为打造倍耐力最新世界拉力锦标赛时代的首款轮胎，该轮胎的尺寸为205/65 r15，将于下个赛季装配在世</t>
  </si>
  <si>
    <t>　　近日，倍耐力在奥地利滨湖采尔镇举办的2020冰雪大奖赛（gp ice race）上发布了为2021赛季世界拉力锦标赛（wrc）研发的轮胎系列，本次展出的瑞典规格sottozero ice j1钉胎成为打造倍耐力最新世界拉力锦标赛时代的首款轮胎，该轮胎的尺寸为205/65 r15，将于下个赛季装配</t>
  </si>
  <si>
    <t>做完油漆发现明显的色差当我们车子剐蹭了，去维修厂做油漆，做完之后不太理想，会有一定的色差，或者是会用时间长了后会开裂，起皮，甚至会生锈。那么为什么会出现色差呢。我们怎么去选择到哪儿做油漆才会避免这样的问题呢。后门明显颜色深些油漆喷涂施工流程有几个步骤，钣金修复，环氧底漆，钣金灰，中涂底漆，色漆，清漆</t>
  </si>
  <si>
    <t>投诉编号：【446487】  投诉时间： 2020-02-06 14:12  投诉品牌： 吉利汽车  投诉车系： 帝豪  投诉车型： 2014款 1.5L CVT 精英型 三厢        投诉内容  这个问题17年就出现过，说是传感器问题，没想到今年又出现了，我看到很多帝豪有类似的问题，希望厂家</t>
  </si>
  <si>
    <t>当我们车子剐蹭了，去维修厂做油漆，做完之后不太理想，会有一定的色差，或者是会用时间长了后会开裂，起皮，甚至会生锈。那么为什么会出现色差呢。我们怎么去选择到哪儿做油漆才会避免这样的问题呢。后门明显颜色深些油漆喷涂施工流程有几个步骤，钣金修复，环氧底漆，钣金灰，中涂底漆，色漆，清漆层，最后抛光打蜡。那么</t>
  </si>
  <si>
    <t>近期很多朋友问邱师傅：汽车室内杀菌消毒用什么方式比较好？日常使用中要注意哪些事项？下面邱师傅就给大家介绍一下：目前市面流通的汽车消毒有以下一样几种型式：1、消毒剂消毒利用消毒剂对汽车内饰进行擦拭，利用化学作用达到杀菌，操作简单易行，比较彻底。目前市场上常该方法消毒较彻底，但是消毒后车舱内会留有气味，</t>
  </si>
  <si>
    <t>汽车室内杀菌消毒与日常使用注意事项近期很多朋友问邱师傅：汽车室内杀菌消毒用什么方式比较好？日常使用中要注意哪些事项？下面邱师傅就给大家介绍一下：目前市面流通的汽车消毒有以下一样几种型式：1、消毒剂消毒利用消毒剂对汽车内饰进行擦拭，利用化学作用达到杀菌，操作简单易行，比较彻底。目前市场上常该方法消毒较</t>
  </si>
  <si>
    <t>宝马4系谍照曝光 拥有更大尺寸的进气格栅近日,外媒曝光了一组全新一代宝马4系的谍照。外观方面，前脸部分，新车采用了大尺寸双肾式进气格栅设计，配合内部点阵式镀铬装饰，显得非常有视觉冲击力。车尾方面，尾灯造型上更加的细长，红色的LED灯带十分的吸睛。动力方面上，新车将继续搭载2.0T四缸发动机以及一台3</t>
  </si>
  <si>
    <t>面对新型冠状病毒感染的肺炎疫情，身处抗击疫情第一线的汽车企业东风雪铁龙第一时间启动应急预案，助力新型冠状病毒肺炎疫情防控：1月24日迅速成立疫情防控指挥部；并根据疫情的变化对上半年营销工作进行调整，确保整体运营稳定。日前，有媒体从官方获悉，东风雪铁龙在保障员工健康的同时，还推出了多项举措为经销商减压</t>
  </si>
  <si>
    <t>2020/02/06 14:10:00</t>
  </si>
  <si>
    <t>　　面对新型冠状病毒感染的肺炎疫情，身处抗击疫情第一线的汽车企业东风雪铁龙第一时间启动应急预案，助力新型冠状病毒肺炎疫情防控：1月24日迅速成立疫情防控指挥部；并根据疫情的变化对上半年营销工作进行调整，确保整体运营稳定。日前，有媒体从官方获悉，东风雪铁龙在保障员工健康的同时，还推出了多项举措为经销商</t>
  </si>
  <si>
    <t>随着疫情的持续蔓延，众多车企也纷纷推出关爱车主的政策。日前，有媒体从官方获悉，为抗击疫情，林肯携手全国经销商践行林肯之道，推出5大关爱行动。其中包括延长质保、无接触取送车、展厅消毒、针对湖北地区的免费道路救援等。    1、质保延长    原厂延长保修在2020年2月、3月到期的车主，均可延长至4月</t>
  </si>
  <si>
    <t>2020/02/06 14:09:00</t>
  </si>
  <si>
    <t>　　随着疫情的持续蔓延，众多车企也纷纷推出关爱车主的政策。日前，有媒体从官方获悉，为抗击疫情，林肯携手全国经销商践行林肯之道，推出5大关爱行动。其中包括延长质保、无接触取送车、展厅消毒、针对湖北地区的免费道路救援等。　　1、质保延长　　原厂延长保修在2020年2月、3月到期的车主，均可延长至4月30</t>
  </si>
  <si>
    <t>fairlady是日产推出的一款双门跑车，也是z系列跑车的鼻祖。日前，我们从海外媒体获悉，日产正在开发新一代 fairlady 跑车，新车或命名为fairlady 400z，搭载3.0l v6双涡轮增压引擎，将于2021年正式亮相。    外观设计方面，新一代fairlady将会向第一代车型niss</t>
  </si>
  <si>
    <t>2020/02/06 13:59:00</t>
  </si>
  <si>
    <t>　　fairlady是日产推出的一款双门跑车，也是z系列跑车的鼻祖。日前，我们从海外媒体获悉，日产正在开发新一代 fairlady 跑车，新车或命名为fairlady 400z，搭载3.0l v6双涡轮增压引擎，将于2021年正式亮相。　　外观设计方面，新一代fairlady将会向第一代车型niss</t>
  </si>
  <si>
    <t>投诉编号：【446483】投诉时间：2020-02-0613:57投诉品牌：上汽大众投诉车系：凌渡投诉车型：2015款280TSIDSG豪华版投诉内容我的车近期连续多次出现在每天第一次启动车辆后5分钟左右，在行驶中突然停车，加油不走，直接从2挡或者3挡脱挡，必须熄火重新打火挂挡，才能恢复正常。车辆在</t>
  </si>
  <si>
    <t>2020/02/06 13:57:00</t>
  </si>
  <si>
    <t>2020年2月5日我们从海外媒体获得一组奥迪全新rs7店内实车照片。全新rs7的外观比普通版全新a7更有气势。宽体套件的应用，使得全新rs7整体的气场更“凶悍”。    全新rs7采用6边型大嘴设计，一整套的黑化套件加持，更加有“战斗”气息。大灯造型与普通a7保持一致，内部采用矩阵式led大灯和此前</t>
  </si>
  <si>
    <t>2020/02/06 13:56:00</t>
  </si>
  <si>
    <t>　　2020年2月5日我们从海外媒体获得一组奥迪全新rs7店内实车照片。全新rs7的外观比普通版全新a7更有气势。宽体套件的应用，使得全新rs7整体的气场更“凶悍”。　　全新rs7采用6边型大嘴设计，一整套的黑化套件加持，更加有“战斗”气息。大灯造型与普通a7保持一致，内部采用矩阵式led大灯和此前</t>
  </si>
  <si>
    <t>近日，有媒体从特斯拉官方获悉，应政府要求特斯拉上海超级工厂将暂时关闭停产，而新车交付也将延期。据特斯拉首席财务官zach kirkhorn透露，预计国产model 3新车生产将推迟一周或一周半。    在上周电话会议上，特斯拉首席财务官zach kirkhorn表示，model 3的量产将推迟一周或</t>
  </si>
  <si>
    <t>2020/02/06 13:53:00</t>
  </si>
  <si>
    <t>　　近日，有媒体从特斯拉官方获悉，应政府要求特斯拉上海超级工厂将暂时关闭停产，而新车交付也将延期。据特斯拉首席财务官zach kirkhorn透露，预计国产model 3新车生产将推迟一周或一周半。　　在上周电话会议上，特斯拉首席财务官zach kirkhorn表示，model 3的量产将推迟一周或</t>
  </si>
  <si>
    <t>　　作为宝马旗下的高性能改装品牌品牌，alpina品牌也将品牌旗下车型的改装潜力发挥到了极致，在提升车辆性能的同时，豪华程度依旧不逊基础款车型。近日海外媒体曝光了一组alpina新款b3车型售价，新车海外市场起售价为81,250欧元（约为63万人民币），并已在欧洲部分国家上市开售，且将于今年年内陆续</t>
  </si>
  <si>
    <t>2020/02/06 13:51:00</t>
  </si>
  <si>
    <t>作为宝马旗下的高性能改装品牌品牌，alpina品牌也将品牌旗下车型的改装潜力发挥到了极致，在提升车辆性能的同时，豪华程度依旧不逊基础款车型。近日海外媒体曝光了一组alpina新款b3车型售价，新车海外市场起售价为81,250欧元（约为63万人民币），并已在欧洲部分国家上市开售，且将于今年年内陆续交付</t>
  </si>
  <si>
    <t>　　rs q8是奥迪旗下的一款高性能车型，定位为中大型suv，并与宝马x5m、奔驰gle amg等车同级别，新车已于去年在海外正式开售，并在去年年底和今年年初完成交付工作。近日据海外媒体报道，奥迪御用改装厂商abt为新款rs q8车型外观细节部分进行了调整，同时针对动力方面的优化，最大功率提升了10</t>
  </si>
  <si>
    <t>2020/02/06 13:49:00</t>
  </si>
  <si>
    <t>rs q8是奥迪旗下的一款高性能车型，定位为中大型suv，并与宝马x5m、奔驰gle amg等车同级别，新车已于去年在海外正式开售，并在去年年底和今年年初完成交付工作。近日据海外媒体报道，奥迪御用改装厂商abt为新款rs q8车型外观细节部分进行了调整，同时针对动力方面的优化，最大功率提升了100马</t>
  </si>
  <si>
    <t>　　kx3傲跑是起亚旗下的一款小型suv（海外称sonet），与本田缤智、丰田c-hr、大众途铠等车同级别。在去年11月份的广州车展上起亚全新一代kx3傲跑车型上市，并在12月份的销量突破6千台，领先于丰田c-hr车型。近日在海外的汽车博览会上起亚全球首发了新款kx3傲跑车型，新车将在今年下半年在海</t>
  </si>
  <si>
    <t>2020/02/06 13:47:00</t>
  </si>
  <si>
    <t>kx3傲跑是起亚旗下的一款小型suv（海外称sonet），与本田缤智、丰田c-hr、大众途铠等车同级别。在去年11月份的广州车展上起亚全新一代kx3傲跑车型上市，并在12月份的销量突破6千台，领先于丰田c-hr车型。近日在海外的汽车博览会上起亚全球首发了新款kx3傲跑车型，新车将在今年下半年在海外推</t>
  </si>
  <si>
    <t>2020/02/06 13:45:53</t>
  </si>
  <si>
    <t>投诉编号：【446482】
投诉时间： 2020-02-06 13:35
投诉品牌： 广汽菲克Jeep
投诉车系： 自由光
投诉车型： 2016款 2.0L 优越版</t>
  </si>
  <si>
    <t>　　途胜是现代旗下的一款紧凑型suv，其兄弟车型ix35在去年累计销量突破13万台，但途胜的销量却差强人意，与同级别的日产奇骏、本田cr-v、大众途观等车型相比则是相差甚远。近日海外媒体曝光了一组现代新款途胜车型无伪谍照，新车海外起售价187万卢比（约18.4万人民币）。同时今年下半年全新一代途胜也</t>
  </si>
  <si>
    <t>2020/02/06 13:45:00</t>
  </si>
  <si>
    <t>途胜是现代旗下的一款紧凑型suv，其兄弟车型ix35在去年累计销量突破13万台，但途胜的销量却差强人意，与同级别的日产奇骏、本田cr-v、大众途观等车型相比则是相差甚远。近日海外媒体曝光了一组现代新款途胜车型无伪谍照，新车海外起售价187万卢比（约18.4万人民币）。同时今年下半年全新一代途胜也将推</t>
  </si>
  <si>
    <t>近日，斯柯达技术研发董事christian strube在接受媒体采访时表示，他相信斯柯达旗下的微型车citigo未来将转型为纯电动车型，不再提供燃油版本。斯柯达技术研发董事christian strube    christian strube同时表示，目前全球范围内特大型城市圈的兴起让citig</t>
  </si>
  <si>
    <t>2020/02/06 13:43:00</t>
  </si>
  <si>
    <t>　　近日，斯柯达技术研发董事christian strube在接受媒体采访时表示，他相信斯柯达旗下的微型车citigo未来将转型为纯电动车型，不再提供燃油版本。斯柯达技术研发董事christian strube　　christian strube同时表示，目前全球范围内特大型城市圈的兴起让citig</t>
  </si>
  <si>
    <t>日前，在2020印度新德里车展上，起亚sonet概念车正式发布。作为一款概念suv，新车的量产版本将于今年下半年发布，定位于小型suv，主要面向印度等地市场。    从外观来看，起亚sonet概念车的尺寸小巧，但设计风格非常时尚，凸显出了小而精致的气质，同时不失硬朗。前脸部分，起亚家族的虎啸式前格栅</t>
  </si>
  <si>
    <t>2020/02/06 13:40:00</t>
  </si>
  <si>
    <t>　　日前，在2020印度新德里车展上，起亚sonet概念车正式发布。作为一款概念suv，新车的量产版本将于今年下半年发布，定位于小型suv，主要面向印度等地市场。　　从外观来看，起亚sonet概念车的尺寸小巧，但设计风格非常时尚，凸显出了小而精致的气质，同时不失硬朗。前脸部分，起亚家族的虎啸式前格栅</t>
  </si>
  <si>
    <t>近日，现代对外发布了全新一代i20车型的预告图，新车将会在3月份开幕的日内瓦车展期间正式亮相。　　全新一代现代i20的外观设计将会更加时尚一些。前脸采用更大的进气格栅，大灯造型更加犀利，内部预计会采用勾状的LED日间行车灯。在“Sensuous Sportiness”设计语言的引领下，该车前包围的颇</t>
  </si>
  <si>
    <t>2020/02/06 13:39:00</t>
  </si>
  <si>
    <t>2月5日晚，通用汽车发布2019年财报，数据显示，通用汽车2019年净收入1372亿美元，同比下滑6.7%；净利润67亿美元，同比下滑17.4%；在计入罢工造成的36亿美元损失之后，调整后息税前利润为84亿美元。    显然，于去年9月中旬发生的为期40天的罢工事件，给通用汽车带来了巨大的经济损失。</t>
  </si>
  <si>
    <t>2020/02/06 13:32:00</t>
  </si>
  <si>
    <t>　　2月5日晚，通用汽车发布2019年财报，数据显示，通用汽车2019年净收入1372亿美元，同比下滑6.7%；净利润67亿美元，同比下滑17.4%；在计入罢工造成的36亿美元损失之后，调整后息税前利润为84亿美元。　　显然，于去年9月中旬发生的为期40天的罢工事件，给通用汽车带来了巨大的经济损失。</t>
  </si>
  <si>
    <t>投诉编号：【446481】  投诉时间： 2020-02-06 13:30  投诉品牌： 一汽-大众  投诉车系： 宝来  投诉车型： 2014款 1.6L 自动 舒适型        投诉内容  机油从发动机一侧渗出，渗出口的附近已经有油污结块，有些已经渗出滴到附近的机件和底部。      投诉回</t>
  </si>
  <si>
    <t>2020/02/06 13:30:00</t>
  </si>
  <si>
    <t>日前，斯柯达官方发布明锐rs iv车型设计草图。新车动力搭载1.4t插电式混合动力系统，并将于2020年3月2日开幕的日内瓦车展中首发。    从外观来看，新车展示了旅行版和轿车两种车身形式，前脸基本延续了普通版车型设计，包括直瀑式格栅，但经过了熏黑处理，同时带有vrs标志，两侧大灯组与普通版没有明</t>
  </si>
  <si>
    <t>　　日前，斯柯达官方发布明锐rs iv车型设计草图。新车动力搭载1.4t插电式混合动力系统，并将于2020年3月2日开幕的日内瓦车展中首发。　　从外观来看，新车展示了旅行版和轿车两种车身形式，前脸基本延续了普通版车型设计，包括直瀑式格栅，但经过了熏黑处理，同时带有vrs标志，两侧大灯组与普通版没有明</t>
  </si>
  <si>
    <t>全新凯迪拉克凯雷德escalade已经首发，但长轴版车型尚未亮相，我们从外媒获悉，新车将于2020年4月8日开幕的纽约车展正式亮相，其相比标轴版车型进一步增大了车身尺寸。    虽然新车尚未曝光，但凯迪拉克官网的配置器已经能让我们看到整车的外形设计，作为长轴版车型，全新凯迪拉克凯雷德escalade</t>
  </si>
  <si>
    <t>2020/02/06 13:28:00</t>
  </si>
  <si>
    <t>　　全新凯迪拉克凯雷德escalade已经首发，但长轴版车型尚未亮相，我们从外媒获悉，新车将于2020年4月8日开幕的纽约车展正式亮相，其相比标轴版车型进一步增大了车身尺寸。　　虽然新车尚未曝光，但凯迪拉克官网的配置器已经能让我们看到整车的外形设计，作为长轴版车型，全新凯迪拉克凯雷德escalade</t>
  </si>
  <si>
    <t>投诉编号：【446480】  投诉时间： 2020-02-06 13:28  投诉品牌： 广汽本田  投诉车系： 冠道  投诉车型： 2017款 240TURBO CVT 两驱 豪华版        投诉内容  车门异响，车身异响，中控异响。去过2次4s店，他们都说是正常，但是别的车就没有，就我的车</t>
  </si>
  <si>
    <t>日前，有海外媒体曝光了一组全新一代宝马4系的实车谍照，新车汲取了于2019法兰克福车展中亮相的全新宝马4系概念车的设计元素，特别是尺寸夸张的双肾式格栅，令人过目不忘。本次谍照中车辆所采用的车头设计理念无疑是宝马近期所强调的设计理念的延续，突出的造型特征确实有利于消费者加深对豪华品牌的认知。高辨识度的</t>
  </si>
  <si>
    <t>2020/02/06 13:27:00</t>
  </si>
  <si>
    <t>　　日前，有海外媒体曝光了一组全新一代宝马4系的实车谍照，新车汲取了于2019法兰克福车展中亮相的全新宝马4系概念车的设计元素，特别是尺寸夸张的双肾式格栅，令人过目不忘。本次谍照中车辆所采用的车头设计理念无疑是宝马近期所强调的设计理念的延续，突出的造型特征确实有利于消费者加深对豪华品牌的认知。高辨识</t>
  </si>
  <si>
    <t>日前铃木汽车印度子公司maruti suzuki在2020年印度新德里车展上发布了全新电动概念车maruti concept futuro-e，概念车定位小型suv，显示了该品牌未来产品的设计方向，该车主要面对印度市场。    maruti concept futuro-e概念车由maruti su</t>
  </si>
  <si>
    <t>2020/02/06 13:24:00</t>
  </si>
  <si>
    <t>　　日前铃木汽车印度子公司maruti suzuki在2020年印度新德里车展上发布了全新电动概念车maruti concept futuro-e，概念车定位小型suv，显示了该品牌未来产品的设计方向，该车主要面对印度市场。　　maruti concept futuro-e概念车由maruti su</t>
  </si>
  <si>
    <t>上海特斯拉工厂正进行第二批国产化零部件定点，均胜电子近日获得国产特斯拉定点生产函，这意味着model 3和model y的相关零部件将由均胜安全系统（jss）上海临港工厂直接生产并供应。    特斯拉供应链全面国产化在即，目前下线model 3的零部件国产化率达30%，今年年中可达80%，年底可全面</t>
  </si>
  <si>
    <t>2020/02/06 13:23:00</t>
  </si>
  <si>
    <t>　　上海特斯拉工厂正进行第二批国产化零部件定点，均胜电子近日获得国产特斯拉定点生产函，这意味着model 3和model y的相关零部件将由均胜安全系统（jss）上海临港工厂直接生产并供应。　　特斯拉供应链全面国产化在即，目前下线model 3的零部件国产化率达30%，今年年中可达80%，年底可全面</t>
  </si>
  <si>
    <t>一直以来，自动驾驶汽车的安全问题都备受公众瞩目，如何在保证车辆驾驶安全的同时不伤害周边行人和车辆，是各家自动驾驶相关企业的研发重点。自从两年前uber自动驾驶汽车在美国亚利桑那州撞死一名行人后，uber的加州测试工作始终处于停摆状态。2月6日最新消息，uber已经获得加州车辆管理局的批准，可以在加州</t>
  </si>
  <si>
    <t>2020/02/06 13:21:00</t>
  </si>
  <si>
    <t>　　一直以来，自动驾驶汽车的安全问题都备受公众瞩目，如何在保证车辆驾驶安全的同时不伤害周边行人和车辆，是各家自动驾驶相关企业的研发重点。自从两年前uber自动驾驶汽车在美国亚利桑那州撞死一名行人后，uber的加州测试工作始终处于停摆状态。2月6日最新消息，uber已经获得加州车辆管理局的批准，可以在</t>
  </si>
  <si>
    <t xml:space="preserve">投诉编号：【446478】  投诉时间： 2020-02-06 13:14  投诉品牌： 广汽丰田  投诉车系： 雷凌  投诉车型： 2016款 1.6G 手动 精英版        投诉内容  汽车中控台里面有大量黑心棉，汽车使用3年多，异味一直很重，什么方法都想尽了，回收棉肯定是污染源之一。  </t>
  </si>
  <si>
    <t>2020/02/06 13:14:00</t>
  </si>
  <si>
    <t>当你在高速环境下驾驶时，如果车辆具有半自动驾驶功能，这无疑会是一次很不错的驾驶体验。通用汽车2017年就推出“超级巡航”系统，不过目前只搭载在凯迪拉克CT6车型上。2月6日，通用汽车宣布，计划到2023年将其超级巡航半自动高速公路驾驶员辅助系统拓展至22种车型。    通用汽车超级巡航半自动高速公路</t>
  </si>
  <si>
    <t>2020/02/06 13:12:00</t>
  </si>
  <si>
    <t>　　当你在高速环境下驾驶时，如果车辆具有半自动驾驶功能，这无疑会是一次很不错的驾驶体验。通用汽车2017年就推出“超级巡航”系统，不过目前只搭载在凯迪拉克CT6车型上。2月6日，通用汽车宣布，计划到2023年将其超级巡航半自动高速公路驾驶员辅助系统拓展至22种车型。　　通用汽车超级巡航半自动高速公路</t>
  </si>
  <si>
    <t>日前，日产官方发布2020款Frontier官图。新车最大的变化在于换搭3.8L V6自然吸气发动机，并匹配全新的9速自动变速箱。根据官方公布的信息，新车将在2020年春季海外发售。    从外观来看，新车延续现款车型硬朗的设计风格，前脸采用大面积镀铬装饰。新车的前进气格栅内部依旧为网状设计，前大灯</t>
  </si>
  <si>
    <t>2020/02/06 13:11:00</t>
  </si>
  <si>
    <t>　　日前，日产官方发布2020款Frontier官图。新车最大的变化在于换搭3.8L V6自然吸气发动机，并匹配全新的9速自动变速箱。根据官方公布的信息，新车将在2020年春季海外发售。　　从外观来看，新车延续现款车型硬朗的设计风格，前脸采用大面积镀铬装饰。新车的前进气格栅内部依旧为网状设计，前大灯</t>
  </si>
  <si>
    <t>2020/02/06 13:10:44</t>
  </si>
  <si>
    <t>投诉编号：【446477】
投诉时间： 2020-02-06 12:46
投诉品牌： 上汽通用别克
投诉车系： 君越
投诉车型： 2018款 28T 自动 豪华型</t>
  </si>
  <si>
    <t>为更好的防控新型冠状病毒肺炎疫情，企业纷纷延迟了节后返工时间。2月5日，威马汽车向员工发送邮件将继续调整节后上班时间，预计于2月17日全体返回公司办公场所工作。    威马汽车返工调整时间根据岗位不同而有所区别。根据业务实际需要，必须在公司办公场所开展工作的岗位按原定计划2月10日复工，其他员工将继</t>
  </si>
  <si>
    <t>2020/02/06 13:10:00</t>
  </si>
  <si>
    <t>　　为更好的防控新型冠状病毒肺炎疫情，企业纷纷延迟了节后返工时间。2月5日，威马汽车向员工发送邮件将继续调整节后上班时间，预计于2月17日全体返回公司办公场所工作。　　威马汽车返工调整时间根据岗位不同而有所区别。根据业务实际需要，必须在公司办公场所开展工作的岗位按原定计划2月10日复工，其他员工将继</t>
  </si>
  <si>
    <t>2月5日，吉利控股集团发布宝腾汽车品牌2020年1月销量数据。数据显示，1月，宝腾汽车销量8506辆，同比增长20.2%，增速位居马来西亚汽车行业第一，市场占有率达到19.5%。    具体从车型来看，作为吉利向宝腾技术输出的首款车型，1月宝腾x70销量达到1367辆，继续蝉联马来西亚中高端suv销</t>
  </si>
  <si>
    <t>2020/02/06 13:09:00</t>
  </si>
  <si>
    <t>　　2月5日，吉利控股集团发布宝腾汽车品牌2020年1月销量数据。数据显示，1月，宝腾汽车销量8506辆，同比增长20.2%，增速位居马来西亚汽车行业第一，市场占有率达到19.5%。　　具体从车型来看，作为吉利向宝腾技术输出的首款车型，1月宝腾x70销量达到1367辆，继续蝉联马来西亚中高端suv销</t>
  </si>
  <si>
    <t>我们从外媒获悉，近日，布加迪总裁斯蒂芬温克尔曼宣布：布加迪chiron将于2021年年底停产。不过，正在搬砖的你我都不用太过担心，现在仍有约100辆chiron可订购，这其中包括标准版和特别版车型。布加迪chiron自2005年问世，根据官方规划，该车将总计生产500辆，预计将会在2021年底达成这</t>
  </si>
  <si>
    <t>2020/02/06 13:06:00</t>
  </si>
  <si>
    <t>　　我们从外媒获悉，近日，布加迪总裁斯蒂芬温克尔曼宣布：布加迪chiron将于2021年年底停产。不过，正在搬砖的你我都不用太过担心，现在仍有约100辆chiron可订购，这其中包括标准版和特别版车型。布加迪chiron自2005年问世，根据官方规划，该车将总计生产500辆，预计将会在2021年底达</t>
  </si>
  <si>
    <t>rc-6是新宝骏推出的一款全新轿跑车型，基于智能驾控电子架构r平台打造。近日，我们获悉，新车有望在3月份正式上市。rc-6最大的亮点便是运用华为hicar智慧互联系统提供了人-车-家全场景智慧互联解决方案，可实现手机与车机无感连接、手势交互等功能。    新车是搭载华为hicar智慧互联系统的高能动</t>
  </si>
  <si>
    <t>2020/02/06 13:04:00</t>
  </si>
  <si>
    <t>　　rc-6是新宝骏推出的一款全新轿跑车型，基于智能驾控电子架构r平台打造。近日，我们获悉，新车有望在3月份正式上市。rc-6最大的亮点便是运用华为hicar智慧互联系统提供了人-车-家全场景智慧互联解决方案，可实现手机与车机无感连接、手势交互等功能。　　新车是搭载华为hicar智慧互联系统的高能动</t>
  </si>
  <si>
    <t xml:space="preserve">哈弗vision 2025概念车最早于2019年上海车展亮相，该车使用了诸多互联及ar领域技术，同时也展示了哈弗品牌对未来汽车产品的丰富想象。2月5日，我们从长城汽车官方获悉，哈弗vision 2025概念车在第15届印度德里车展正式亮相。与此同时，长城汽车也将以此为契机，正式进军印度市场。    </t>
  </si>
  <si>
    <t>2020/02/06 13:03:00</t>
  </si>
  <si>
    <t>　　哈弗vision 2025概念车最早于2019年上海车展亮相，该车使用了诸多互联及ar领域技术，同时也展示了哈弗品牌对未来汽车产品的丰富想象。2月5日，我们从长城汽车官方获悉，哈弗vision 2025概念车在第15届印度德里车展正式亮相。与此同时，长城汽车也将以此为契机，正式进军印度市场。　　</t>
  </si>
  <si>
    <t>长安欧尚A600经销商出售库存车未告知我是2020年1月20号买的，车子是2019年3月23号的，被骗啦，我不知道是库存车，和厂家反应，但是厂家不给处理，现在感觉心里面很不平衡，花的原价买的库存车，希望和你们投诉完你们可以给我一个合理的处理结果。</t>
  </si>
  <si>
    <t>2020/02/06 12:58:00</t>
  </si>
  <si>
    <t>我是2020年1月20号买的，车子是2019年3月23号的，被骗啦，我不知道是库存车，和厂家反应，但是厂家不给处理，现在感觉心里面很不平衡，花的原价买的库存车，希望和你们投诉完你们可以给我一个合理的处理结果。</t>
  </si>
  <si>
    <t>几年前，只有售价超过百万元的超跑才能有强悍的性能。但必须牺牲实用性。不过，随着电动车市场的发展，燃油车的优势已经慢慢减退。凭借电动机的特性，轻轻松松就可以实现燃油车难以企及的性能。在近两年的纯电动车市场中，甚至已经有了超过1万牛米扭矩的车型，而且它们还是皮卡，在满足恐怖性能的同时，还有非常强悍的实用</t>
  </si>
  <si>
    <t>　　几年前，只有售价超过百万元的超跑才能有强悍的性能。但必须牺牲实用性。不过，随着电动车市场的发展，燃油车的优势已经慢慢减退。凭借电动机的特性，轻轻松松就可以实现燃油车难以企及的性能。在近两年的纯电动车市场中，甚至已经有了超过1万牛米扭矩的车型，而且它们还是皮卡，在满足恐怖性能的同时，还有非常强悍的</t>
  </si>
  <si>
    <t>王佳旭</t>
  </si>
  <si>
    <t>上汽大众帕萨特碰撞测试A柱断裂经过中保研测试，A柱断裂，给驾驶员带来安全问题。降价了肯定还有人买</t>
  </si>
  <si>
    <t>2020/02/06 12:57:00</t>
  </si>
  <si>
    <t>经过中保研测试，A柱断裂，给驾驶员带来安全问题。</t>
  </si>
  <si>
    <t>雷克萨斯ES两前轮翼子板内衬卷入大量泥浆提车一个月零5天2645公里起码2000公里跑高速的，没走过泥泞烂路，最多下雨天走了几天水泥道路有积水，还从车轮翼子板内衬卷进明显的泥浆……时间长了日积月累肯定一个不美观、二影响电路线束安全问题。购选之前知道凯美瑞泥浆门事件，我还以为过去一年多了，解决了，唉…</t>
  </si>
  <si>
    <t>2020/02/06 12:56:00</t>
  </si>
  <si>
    <t>吉利帝豪GL无法使用互联与PM2.5显示之前中控可以实时显示PM2.5数值，现在无法显示，怀疑厂家升级版本时阉割！CarPlay功能也被阉割！要求解决！为什么升级呢？</t>
  </si>
  <si>
    <t>提车一个月零5天2645公里起码2000公里跑高速的，没走过泥泞烂路，最多下雨天走了几天水泥道路有积水，还从车轮翼子板内衬卷进明显的泥浆……时间长了日积月累肯定一个不美观、二影响电路线束安全问题。购选之前知道凯美瑞泥浆门事件，我还以为过去一年多了，解决了，唉……太失望了46万落地我买5系中高配不香吗</t>
  </si>
  <si>
    <t>之前中控可以实时显示PM2.5数值，现在无法显示，怀疑厂家升级版本时阉割！CarPlay功能也被阉割！要求解决！</t>
  </si>
  <si>
    <t>2月6日早上上班路上，刚从家中出来行驶大约1公里，汽车行驶过程中突然发现车辆在减速，方向盘变重，低头发现三个故障灯亮，发动机转速为0！！！</t>
  </si>
  <si>
    <t>2020/02/06 12:55:00</t>
  </si>
  <si>
    <t>没过质保期前换过减震换过方向机助力器球头修过一次漏水补过胶，这大众车子的通病这么多，设计不合理，现在又再次漏水，希望厂家能给予解决。</t>
  </si>
  <si>
    <t>启辰D60行驶过程中突然熄火2月6日早上上班路上，刚从家中出来行驶大约1公里，汽车行驶过程中突然发现车辆在减速，方向盘变重，低头发现三个故障灯亮，发动机转速为0！！！</t>
  </si>
  <si>
    <t>一汽大众宝来车身漏水怎么回事没过质保期前换过减震换过方向机助力器球头修过一次漏水补过胶，这大众车子的通病这么多，设计不合理，现在又再次漏水，希望厂家能给予解决。</t>
  </si>
  <si>
    <t>宝骏560主驾座椅塌陷影响正常乘坐2017年1月底购车，目前车辆的里程是5万公里，主驾座椅塌陷严重不给处理解决问题，希望尽快协调解决问题。联系她们客服不给处理还要求删除投诉链接，客服微信不给处理不给答复后来直接删除我微信，这样客服太不人道了。</t>
  </si>
  <si>
    <t>折兵锋</t>
  </si>
  <si>
    <t>2020/02/06 12:54:00</t>
  </si>
  <si>
    <t>2017年1月底购车，目前车辆的里程是5万公里，主驾座椅塌陷严重不给处理解决问题，希望尽快协调解决问题。联系她们客服不给处理还要求删除投诉链接，客服微信不给处理不给答复后来直接删除我微信，这样客服太不人道了。</t>
  </si>
  <si>
    <t>于2019-1-8向汕头购买2019版宝马X1，开没几个月后于2019年4月份汽车在行驶中车尾就出现不明原因异响，联系保宝悦原泰山路售后店检查后说是燃油箱排气管有问题并于2019-5-12对其进行了更换，但是更换燃油箱排气管(附图)后，问题并不能解决，异响仍然存在，又联系售后，得到回复是问题可能在汽</t>
  </si>
  <si>
    <t>华晨宝马X1车辆尾部异响无法解决于2019-1-8向汕头购买2019版宝马X1，开没几个月后于2019年4月份汽车在行驶中车尾就出现不明原因异响，联系保宝悦原泰山路售后店检查后说是燃油箱排气管有问题并于2019-5-12对其进行了更换，但是更换燃油箱排气管(附图)后，问题并不能解决，异响仍然存在，又</t>
  </si>
  <si>
    <t>日前，海外车媒曝光了一组现代全新一代的伊兰特测试谍。新车依然披着厚重的伪装。据悉，该车预计在今年上半年发布，并计划在2021年上市销售。    从外观来看，2021款现代伊兰特与2019款版本设计极为相似，且一眼就能看出新一代伊兰特高度借鉴了索纳塔的设计，内部消息也证实了信息。    新一代伊兰特的</t>
  </si>
  <si>
    <t>　　日前，海外车媒曝光了一组现代全新一代的伊兰特测试谍。新车依然披着厚重的伪装。据悉，该车预计在今年上半年发布，并计划在2021年上市销售。　　从外观来看，2021款现代伊兰特与2019款版本设计极为相似，且一眼就能看出新一代伊兰特高度借鉴了索纳塔的设计，内部消息也证实了信息。　　新一代伊兰特的c柱</t>
  </si>
  <si>
    <t>曹筱坤</t>
  </si>
  <si>
    <t>折兵锋                 初级技工</t>
  </si>
  <si>
    <t>东风日产轩逸自动启停系统失灵了东风日产轩逸自动启停系统失灵了，无法正常使用。真的烦人，到底怎么才能解决问题？怎么才能处理好？</t>
  </si>
  <si>
    <t>2020/02/06 12:53:00</t>
  </si>
  <si>
    <t>买车以后发现每次加油都加不满，加到30升左右跳枪，然后还能一点一点往里再加20升油左右，并且油表显示跳枪后满格！去店里维修好几次都查不出原因。</t>
  </si>
  <si>
    <t>汽车飞驰08</t>
  </si>
  <si>
    <t>东风日产轩逸自动启停系统失灵了，无法正常使用。真的烦人，到底怎么才能解决问题？怎么才能处理好？</t>
  </si>
  <si>
    <t>　　近日，有国外媒体报道曝光了一组2021款保时捷911 turbo最新的谍照图片。除了仍然有一些伪装之外，还隐藏了一些尾灯细节。值得一提的是，新车有望在春季发布。　　在车身方面，新车将获得特殊的前后饰板，其前部配备了在991系列车型上首次亮相的保时捷主动空气动力学系统。在较高的速度下，前唇扰流板将</t>
  </si>
  <si>
    <t>别克君越油箱未加满就自动跳枪买车以后发现每次加油都加不满，加到30升左右跳枪，然后还能一点一点往里再加20升油左右，并且油表显示跳枪后满格！去店里维修好几次都查不出原因。油泵有问题</t>
  </si>
  <si>
    <t>近日，有国外媒体报道曝光了一组2021款保时捷911 turbo最新的谍照图片。除了仍然有一些伪装之外，还隐藏了一些尾灯细节。值得一提的是，新车有望在春季发布。    在车身方面，新车将获得特殊的前后饰板，其前部配备了在991系列车型上首次亮相的保时捷主动空气动力学系统。在较高的速度下，前唇扰流板将</t>
  </si>
  <si>
    <t>起动机有问题，拧钥匙自检完成之后再打火，经常出现咔咔的声音没反应，然后再打第二次或者第三次才能打着火，网上查询才得知14年11月批次的车好多都有这个问题，我的车按照公里数才4万多公里，不应该出现这种问题，这完全是批次质量问题，应厂家处理解决。</t>
  </si>
  <si>
    <t>车轮飞驰07</t>
  </si>
  <si>
    <t>2020/02/06 12:52:00</t>
  </si>
  <si>
    <t>广汽本田飞度起动机故障发动机不易启动起动机有问题，拧钥匙自检完成之后再打火，经常出现咔咔的声音没反应，然后再打第二次或者第三次才能打着火，网上查询才得知14年11月批次的车好多都有这个问题，我的车按照公里数才4万多公里，不应该出现这种问题，这完全是批次质量问题，应厂家处理解决。通病吧</t>
  </si>
  <si>
    <t>车辆行驶5万多公里，2014款1.8L劲智版，最近发现方向盘明显松动，上下左右晃动，严重影响驾驶安全，经询问车友和网上查询，发现好多车友有此问题，是此款车型的通病，属于设计与质量问题，我投诉到厂家和4S店，却均推卸责任，要求自费，明明是设计缺陷，且非个案，却要消费者自行买单。希望东风雪铁龙公司切实担</t>
  </si>
  <si>
    <t>飞奔的车09</t>
  </si>
  <si>
    <t>2020/02/06 12:51:00</t>
  </si>
  <si>
    <t>　　日前，根据一汽-大众官方信息：2020年一汽-大众大众品牌将推出5款新车，包括：全新coupe suv、探岳gte、全新高尔夫（第八代车型）、中期改款大众cc以及大众cc shooting brake（猎装版）车型。同时，一汽-大众大众品牌还将促进新能源车型营销，推进数字化转型等重点项目。　　回</t>
  </si>
  <si>
    <t>东风雪铁龙C4L方向盘松动车辆行驶5万多公里，2014款1.8L劲智版，最近发现方向盘明显松动，上下左右晃动，严重影响驾驶安全，经询问车友和网上查询，发现好多车友有此问题，是此款车型的通病，属于设计与质量问题，我投诉到厂家和4S店，却均推卸责任，要求自费，明明是设计缺陷，且非个案，却要消费者自行买单</t>
  </si>
  <si>
    <t>日前，根据一汽-大众官方信息：2020年一汽-大众大众品牌将推出5款新车，包括：全新coupe suv、探岳gte、全新高尔夫（第八代车型）、中期改款大众cc以及大众cc shooting brake（猎装版）车型。同时，一汽-大众大众品牌还将促进新能源车型营销，推进数字化转型等重点项目。    回</t>
  </si>
  <si>
    <t>发动机缸盖漏油，经4S店检查是密封垫处渗漏，现在越来越严重。行驶公里数较少不到4万5千公里呢，驾驶也不激烈，4万多公里发动机缸盖就漏油，这是产品质量不合格导致的，请厂家免费维修。</t>
  </si>
  <si>
    <t>专业维修06</t>
  </si>
  <si>
    <t>2020/02/06 12:49:00</t>
  </si>
  <si>
    <t>一汽丰田RAV4荣放发动机漏油发动机缸盖漏油，经4S店检查是密封垫处渗漏，现在越来越严重。行驶公里数较少不到4万5千公里呢，驾驶也不激烈，4万多公里发动机缸盖就漏油，这是产品质量不合格导致的，请厂家免费维修。</t>
  </si>
  <si>
    <t>近日，我们从工信部了解到，江铃福特撼路者新增2.3t车型。新车搭载了2.3t发动机，最大功率275ps，满足国vi排放标准，外观方面与在售车型保持一致。    外观方面，新车造型设计与现款在售车型设计完全一致，依旧采用简洁的设计语言。前脸较大面积的进气格栅在保证了硬派suv设计风格的同时，又增加了一</t>
  </si>
  <si>
    <t>　　近日，我们从工信部了解到，江铃福特撼路者新增2.3t车型。新车搭载了2.3t发动机，最大功率275ps，满足国vi排放标准，外观方面与在售车型保持一致。　　外观方面，新车造型设计与现款在售车型设计完全一致，依旧采用简洁的设计语言。前脸较大面积的进气格栅在保证了硬派suv设计风格的同时，又增加了一</t>
  </si>
  <si>
    <t>上汽名爵ZS电瓶亏电中控屏幕不亮1月20日中控屏不亮了，25日26日27日车三天没开，28日电瓶没电，4S店休息，不知什么时间能解决。</t>
  </si>
  <si>
    <t>2020/02/06 12:47:00</t>
  </si>
  <si>
    <t>1月20日中控屏不亮了，25日26日27日车三天没开，28日电瓶没电，4S店休息，不知什么时间能解决。</t>
  </si>
  <si>
    <t>日前获悉，起亚k3 ev将于2020年3月份上市，此前这款车型已经在广州车展正式亮相，在外观上保持了全新一代k3动感时尚家族设计风格，综合工况续航里程将达到490公里。    新车信息：    1.新车基于k3燃油版打造，采用了带有纵向条幅式设计的全封闭前格栅，轮毂为双色多幅式，长宽高分别为4650</t>
  </si>
  <si>
    <t>　　日前获悉，起亚k3 ev将于2020年3月份上市，此前这款车型已经在广州车展正式亮相，在外观上保持了全新一代k3动感时尚家族设计风格，综合工况续航里程将达到490公里。　　新车信息：　　1.新车基于k3燃油版打造，采用了带有纵向条幅式设计的全封闭前格栅，轮毂为双色多幅式，长宽高分别为4650mm</t>
  </si>
  <si>
    <t>投诉编号：【446476】投诉时间：2020-02-0612:46投诉品牌：北京现代投诉车系：菲斯塔投诉车型：2019款280TGDi智速版国VI投诉内容去年七月份买的车六个月不到轮胎出现裂纹，去4S店服务态度极差，人都没见到照了几张照片就让我回来了。去的时候还没五千公里，然后冒着生命危险自己又把车</t>
  </si>
  <si>
    <t>2020/02/06 12:46:00</t>
  </si>
  <si>
    <t>上汽大众凌渡马牌轮胎胎噪大车辆的轮胎是原厂马牌轮胎，撤诉达到60迈以上时，胎噪大得不能接受，目前车辆的里程大概是7万4千公里，在3万多公里时就开始出现这个问题。</t>
  </si>
  <si>
    <t>汽车保养05</t>
  </si>
  <si>
    <t>2020/02/06 12:45:00</t>
  </si>
  <si>
    <t>车辆的轮胎是原厂马牌轮胎，撤诉达到60迈以上时，胎噪大得不能接受，目前车辆的里程大概是7万4千公里，在3万多公里时就开始出现这个问题。</t>
  </si>
  <si>
    <t>　　日期，旗舰级豪华mpv全新雷克萨斯lm开启预售，共推出两款车型：七座隽雅版及四座御世版，厂商建议零售价分别为人民币116.6万元及146.6万元，将于2020年2月24日正式开启销售。　　从外观来看，雷克萨斯lm采用雷克萨斯家族式纺锤形进气格栅设计，内部为网状结构，看起来较为硬朗。另外，两侧前大</t>
  </si>
  <si>
    <t>2020/02/06 12:44:00</t>
  </si>
  <si>
    <t>日期，旗舰级豪华mpv全新雷克萨斯lm开启预售，共推出两款车型：七座隽雅版及四座御世版，厂商建议零售价分别为人民币116.6万元及146.6万元，将于2020年2月24日正式开启销售。    从外观来看，雷克萨斯lm采用雷克萨斯家族式纺锤形进气格栅设计，内部为网状结构，看起来较为硬朗。另外，两侧前大</t>
  </si>
  <si>
    <t>专家您好，请问别克昂科威20款28T四驱精英版质量怎么样，变速箱换挡顿不顿挫。</t>
  </si>
  <si>
    <t>2020/02/06 12:43:26</t>
  </si>
  <si>
    <t>一汽大众奥迪A4L变速箱异响希望解决新车刚提回来时就发生变速箱异响，特别是刹停时2挡降1挡时咔咔咔声音有明显异响声。保养时去4s店得到的回复是无法解决此问题。偶尔有挂挡挂不上。</t>
  </si>
  <si>
    <t>专业养车04</t>
  </si>
  <si>
    <t>2020/02/06 12:43:00</t>
  </si>
  <si>
    <t>新车刚提回来时就发生变速箱异响，特别是刹停时2挡降1挡时咔咔咔声音有明显异响声。保养时去4s店得到的回复是无法解决此问题。偶尔有挂挡挂不上。</t>
  </si>
  <si>
    <t>投诉编号：【446475】  投诉时间： 2020-02-06 12:43  投诉品牌： 上汽大众  投诉车系： 朗逸  投诉车型： 2018款 1.5L 自动 舒适版 国V        投诉内容  本人于2018年6月购2018款1.5L自动舒适版朗逸，约2个月后出现加速时转速上升发动机噪音巨大</t>
  </si>
  <si>
    <t>换挡把的P挡无故卡死，车辆无法行驶，去售后检查告知该问题属于通病，需要更换整套换挡机构总成，既然是通病，属于质量缺陷，应该免费维修更换。</t>
  </si>
  <si>
    <t>汽车维修工03</t>
  </si>
  <si>
    <t>2020/02/06 12:42:00</t>
  </si>
  <si>
    <t>　　前不久吉利汽车发布了新年新讯息，吉利icon将于2月14日情人节当天正式上市。同时，此前发售的2020台“银河限量版”已于2020年1月1日正式交付完毕。　　新车信息　　1、基于吉利bma模块化架构的第二款suv　　2、外观高度还原概念车concept icon的设计　　3、内饰配备两块10.2</t>
  </si>
  <si>
    <t>前不久吉利汽车发布了新年新讯息，吉利icon将于2月14日情人节当天正式上市。同时，此前发售的2020台“银河限量版”已于2020年1月1日正式交付完毕。    新车信息    1、基于吉利bma模块化架构的第二款suv    2、外观高度还原概念车concept icon的设计    3、内饰配备</t>
  </si>
  <si>
    <t>长安逸动XT换挡器总成P挡卡死无法摘出换挡把的P挡无故卡死，车辆无法行驶，去售后检查告知该问题属于通病，需要更换整套换挡机构总成，既然是通病，属于质量缺陷，应该免费维修更换。</t>
  </si>
  <si>
    <t>东风风光580发动机缸盖漏油发动机缸盖部位漏油，漏油特别厉害，详细见附件照片。车辆还不到2万公里，希望厂家给一个满意的解决方案。</t>
  </si>
  <si>
    <t>汽车达人02</t>
  </si>
  <si>
    <t>2020/02/06 12:40:00</t>
  </si>
  <si>
    <t>发动机缸盖部位漏油，漏油特别厉害，详细见附件照片。车辆还不到2万公里，希望厂家给一个满意的解决方案。</t>
  </si>
  <si>
    <t>东南汽车DX3高速车身共振噪音大在高速上速度只要超过100码，车身抖动的很厉害，噪音特别大。车辆才2年多点。里程2万公里，请厂家协助解决该问题。</t>
  </si>
  <si>
    <t>汽车养护工01</t>
  </si>
  <si>
    <t>2020/02/06 12:37:00</t>
  </si>
  <si>
    <t>在高速上速度只要超过100码，车身抖动的很厉害，噪音特别大。车辆才2年多点。里程2万公里，请厂家协助解决该问题。</t>
  </si>
  <si>
    <t>正在行驶途中，之前还出热风，突然就没热气了。第二天又试了几次也不出热风。到4S店检测说是加热器坏了。空调制热功能每年只11月到12月初开热气，天特别冷以后就开汽油车，很少开电动车了。刚刚过质保期1周就坏，使用频率不高，而且同批车加热器问题很多都同时出现，这明显是质量问题，希望引起吉利的重视，延长加热</t>
  </si>
  <si>
    <t>10极速时刻</t>
  </si>
  <si>
    <t>2020/02/06 12:35:00</t>
  </si>
  <si>
    <t>吉利帝豪新能源空调加热器故障正在行驶途中，之前还出热风，突然就没热气了。第二天又试了几次也不出热风。到4S店检测说是加热器坏了。空调制热功能每年只11月到12月初开热气，天特别冷以后就开汽油车，很少开电动车了。刚刚过质保期1周就坏，使用频率不高，而且同批车加热器问题很多都同时出现，这明显是质量问题，</t>
  </si>
  <si>
    <t>汽车有非常多的灯，比如汽车的大灯、刹车灯、示宽灯、雾灯等等，而现在有些车辆上有一种灯白天也是亮起来的，并且这个灯不像其他的灯想关就能关掉的。这种灯就是我们所说的“日间行车灯”。日间行车灯能够提升车辆的颜值，难道日间行车灯只为提升颜值吗？大白天的开灯有必要吗？白天光线那么好，又不是看不见。日间行车灯在</t>
  </si>
  <si>
    <t>2020/02/06 12:34:00</t>
  </si>
  <si>
    <t>汽车的“日间行车灯”到底有何作用汽车有非常多的灯，比如汽车的大灯、刹车灯、示宽灯、雾灯等等，而现在有些车辆上有一种灯白天也是亮起来的，并且这个灯不像其他的灯想关就能关掉的。这种灯就是我们所说的“日间行车灯”。日间行车灯能够提升车辆的颜值，难道日间行车灯只为提升颜值吗？大白天的开灯有必要吗？白天光线那</t>
  </si>
  <si>
    <t>对于汽车来说，发动机、变速箱、底盘是车辆最为重要的“三大件”。不同于发动机、变速箱这样的单个部件，车辆的底盘则是由传动系统、行驶系统、制动系统、转向系统四大系统共同组成。其中，汽车悬架就是行驶系统中的重要组成部分。那么，常见的汽车悬架都有哪些种类？各自又有什么特点呢？一、独立悬架·麦弗逊式独立悬架麦</t>
  </si>
  <si>
    <t>2020/02/06 12:33:00</t>
  </si>
  <si>
    <t>越野的朋友大家应该都知道四驱系统，在遇到爬坡或者是泥泞路段，车子不能脱困就需要这个四驱系统来帮忙。在四驱系统存在了上百年的时间里，除了控制系统的变化之外，在机械的结构上面并没有什么特别大的改进。其中四驱又有分时四驱和实时四驱，那么这两者之间又有什么不同呢？分时四驱需要驾驶员手动切换到四驱模式，通过接</t>
  </si>
  <si>
    <t>带有这种功能的车速不要超过40越野的朋友大家应该都知道四驱系统，在遇到爬坡或者是泥泞路段，车子不能脱困就需要这个四驱系统来帮忙。在四驱系统存在了上百年的时间里，除了控制系统的变化之外，在机械的结构上面并没有什么特别大的改进。其中四驱又有分时四驱和实时四驱，那么这两者之间又有什么不同呢？分时四驱需要驾</t>
  </si>
  <si>
    <t>汽车悬架分哪些类型 各有什么特点对于汽车来说，发动机、变速箱、底盘是车辆最为重要的“三大件”。不同于发动机、变速箱这样的单个部件，车辆的底盘则是由传动系统、行驶系统、制动系统、转向系统四大系统共同组成。其中，汽车悬架就是行驶系统中的重要组成部分。那么，常见的汽车悬架都有哪些种类？各自又有什么特点呢？</t>
  </si>
  <si>
    <t>在21世纪的今天，大家对汽车的理解似乎还停留在一个世纪之前，很多人都用关车门的声音去判断一台车是不是厚实，更有人买车就买重车，美其名曰这样开出去高速不飘，比较稳。殊不知这不过都是车盲的表现，汽车稳不稳厚不厚实与车门和重量无关。相反，在汽车制造不断轻量化的今天，所有车企都在找寻能让汽车哪怕减重一公斤的</t>
  </si>
  <si>
    <t>2020/02/06 12:32:00</t>
  </si>
  <si>
    <t>有一款车型，它的配置是相当奇怪的。当初它在2018年8月刚刚上市时，搭载四款动力总成：三缸1.0T发动机+六速手动变速箱、三缸1.0T发动机+六速双离合变速箱、四缸1.4T发动机+六速手动变速箱、四缸1.4T发动机+CVT变速箱。在大家的印象中，肯定是四缸1.4T发动机的车型是高配，三缸1.0T发动</t>
  </si>
  <si>
    <t>在汽车发动机的涡轮增压器上，都有一个小气缸，它一端通过一根气管与增压器的压气机相连接，另一端是一根拉杆，它与涡轮机上的一个小阀门相连接。很多人都不知道它是做什么用的。其实它是涡轮增压器上的废气旁通装置。为什么要设计这样一个废气旁通装置呢？大家知道，涡轮增压器的工作原理就是用发动机排出的废气推动涡轮转</t>
  </si>
  <si>
    <t>三缸高配四缸低配 这样的车型你见过吗有一款车型，它的配置是相当奇怪的。当初它在2018年8月刚刚上市时，搭载四款动力总成：三缸1.0T发动机+六速手动变速箱、三缸1.0T发动机+六速双离合变速箱、四缸1.4T发动机+六速手动变速箱、四缸1.4T发动机+CVT变速箱。在大家的印象中，肯定是四缸1.4T</t>
  </si>
  <si>
    <t>涡轮增压器上的废气旁通阀是干什么用的在汽车发动机的涡轮增压器上，都有一个小气缸，它一端通过一根气管与增压器的压气机相连接，另一端是一根拉杆，它与涡轮机上的一个小阀门相连接。很多人都不知道它是做什么用的。其实它是涡轮增压器上的废气旁通装置。为什么要设计这样一个废气旁通装置呢？大家知道，涡轮增压器的工作</t>
  </si>
  <si>
    <t>世界最轻汽车座舱仅86公斤 挑战车门党底线在21世纪的今天，大家对汽车的理解似乎还停留在一个世纪之前，很多人都用关车门的声音去判断一台车是不是厚实，更有人买车就买重车，美其名曰这样开出去高速不飘，比较稳。殊不知这不过都是车盲的表现，汽车稳不稳厚不厚实与车门和重量无关。相反，在汽车制造不断轻量化的今天</t>
  </si>
  <si>
    <t>今年这个春节，想必大家都和小编我一样，基本都在家“坐月子”吧？为了防控新冠肺炎疫情的蔓延，越来越多的城市采取了不同程度的限制出行措施，大家也就不出门宅在家过春节。当然，宅归宅，新型冠状病毒引发的肺炎疫情还是让我们时刻关注。为了控制疫情蔓延，春节假期也相应延长。我们宅在家了解疫情新闻的同时，可能很多人</t>
  </si>
  <si>
    <t>2020/02/06 12:31:00</t>
  </si>
  <si>
    <t>抗击病毒的“移动堡垒” 为你解析负压救护车今年这个春节，想必大家都和小编我一样，基本都在家“坐月子”吧？为了防控新冠肺炎疫情的蔓延，越来越多的城市采取了不同程度的限制出行措施，大家也就不出门宅在家过春节。当然，宅归宅，新型冠状病毒引发的肺炎疫情还是让我们时刻关注。为了控制疫情蔓延，春节假期也相应延长</t>
  </si>
  <si>
    <t>2020年第一件大事就是新型冠状病毒的爆发，它的到来让我们诚惶诚恐，为了遏制病毒进一步扩散，相关部门下达指令让每个居民窝在家里过春节。而这个时刻的我们普通人，能够保护好自己和家人，就是对国家最大的贡献。作为汽车编辑我就要做点力所能及的工作，那么今天我继续为大家科普下知识，介绍下车内空气净化装置是否能</t>
  </si>
  <si>
    <t>2020/02/06 12:30:00</t>
  </si>
  <si>
    <t>AMT就是智能离合手自一体变速器，以前我们买车的时候总是会听到手自一体这个词，但是现在却听得少了。有人说智能离合手自一体变速器早晚会被淘汰，因为它的缺点实在是太多了。以前就是因为手自一体便宜，所以很多人才会选择购买手自一体的车。但是随着对它的缺点认识得越来越多，大家也都不愿意购买手自一体的车了。那么</t>
  </si>
  <si>
    <t>车载空气净化装置能过滤病毒吗2020年第一件大事就是新型冠状病毒的爆发，它的到来让我们诚惶诚恐，为了遏制病毒进一步扩散，相关部门下达指令让每个居民窝在家里过春节。而这个时刻的我们普通人，能够保护好自己和家人，就是对国家最大的贡献。作为汽车编辑我就要做点力所能及的工作，那么今天我继续为大家科普下知识，</t>
  </si>
  <si>
    <t>让人又爱又恨的AMT变速器为什么消失不见AMT就是智能离合手自一体变速器，以前我们买车的时候总是会听到手自一体这个词，但是现在却听得少了。有人说智能离合手自一体变速器早晚会被淘汰，因为它的缺点实在是太多了。以前就是因为手自一体便宜，所以很多人才会选择购买手自一体的车。但是随着对它的缺点认识得越来越多</t>
  </si>
  <si>
    <t>当我们谈论汽车的时候，最常提到的就是车辆的布置就是分前驱和后驱两种，很多不太了解汽车的朋友都搞不清楚前驱和后驱的区别，今天就跟大家一起探讨一下前驱和后驱的区别。前驱VS后驱，到底有多大差别，选哪个更好？听听老司机怎么说如果说发动机是心脏的话，那传动系统就像是人的脊柱，通过传动系统将发动机的动力传递到</t>
  </si>
  <si>
    <t>2020/02/06 12:29:00</t>
  </si>
  <si>
    <t>前驱VS后驱到底有多大差别 选哪个更好当我们谈论汽车的时候，最常提到的就是车辆的布置就是分前驱和后驱两种，很多不太了解汽车的朋友都搞不清楚前驱和后驱的区别，今天就跟大家一起探讨一下前驱和后驱的区别。前驱VS后驱，到底有多大差别，选哪个更好？听听老司机怎么说如果说发动机是心脏的话，那传动系统就像是人的</t>
  </si>
  <si>
    <t>投诉编号：【446474】  投诉时间： 2020-02-06 12:28  投诉品牌： 上汽集团  投诉车系： 名爵ZS  投诉车型： 2020款 180DVVT 自动 Plus L2+        投诉内容  1月20日中控屏不亮了，25日26日27日车三天没开，28日电瓶没电，4S店休息，不</t>
  </si>
  <si>
    <t>2020/02/06 12:28:00</t>
  </si>
  <si>
    <t>投诉编号：【446473】  投诉时间： 2020-02-06 12:26  投诉品牌： 东风日产  投诉车系： 轩逸  投诉车型： 2020款 1.6L XL CVT 悦享版        投诉内容  东风日产轩逸自动启停系统失灵希望处理，无法正常使用。      投诉回复  车质网已将您的投诉转</t>
  </si>
  <si>
    <t>2020/02/06 12:26:00</t>
  </si>
  <si>
    <t>　　在去年的广州车展上，北京现代菲斯塔纯电动版正式发布，新车外观继续走运动路线，同时做出了ev车型的专属设定，搭载宁德时代提供的三元锂离子动力电池，电机最大功率为135kw。根据相关信息，新车将于2月18日正式上市，官方表示该车nedc续航里程为490km。　　新车信息　　1.外观与燃油版大体一致：</t>
  </si>
  <si>
    <t>2020/02/06 12:19:00</t>
  </si>
  <si>
    <t>在去年的广州车展上，北京现代菲斯塔纯电动版正式发布，新车外观继续走运动路线，同时做出了ev车型的专属设定，搭载宁德时代提供的三元锂离子动力电池，电机最大功率为135kw。根据相关信息，新车将于2月18日正式上市，官方表示该车nedc续航里程为490km。    新车信息    1.外观与燃油版大体一</t>
  </si>
  <si>
    <t>据相关消息，传祺gs4 coupe将于3月份正式上市。新车此前已经登上申报目录，它采用了全新的外观设计，与gs4风格差异很大，令人耳目一新。所以，这不仅仅是一台更加运动的传祺gs4。    外观方面，传祺gs4 coupe并非只是在传祺gs4的基础上添加运动元素，而是采用了全新的设计，动感十足。前中</t>
  </si>
  <si>
    <t>2020/02/06 12:15:00</t>
  </si>
  <si>
    <t>　　据相关消息，传祺gs4 coupe将于3月份正式上市。新车此前已经登上申报目录，它采用了全新的外观设计，与gs4风格差异很大，令人耳目一新。所以，这不仅仅是一台更加运动的传祺gs4。　　外观方面，传祺gs4 coupe并非只是在传祺gs4的基础上添加运动元素，而是采用了全新的设计，动感十足。前中</t>
  </si>
  <si>
    <t>近日，有消息称，长安新能源e-rock预计于今年3月份左右正式上市。作为一款紧凑型纯电动suv，该车在长安cs55 plus的基础上打造而来，在细节处融入了新能源元素。长安汽车官方表示，e-rock的nedc续航里程将会达到605km。    在外观上，新车与cs55 plus有颇多相似之处：与大灯</t>
  </si>
  <si>
    <t>2020/02/06 12:14:00</t>
  </si>
  <si>
    <t>　　近日，有消息称，长安新能源e-rock预计于今年3月份左右正式上市。作为一款紧凑型纯电动suv，该车在长安cs55 plus的基础上打造而来，在细节处融入了新能源元素。长安汽车官方表示，e-rock的nedc续航里程将会达到605km。　　在外观上，新车与cs55 plus有颇多相似之处：与大灯</t>
  </si>
  <si>
    <t>近期，jeep在其官方网站上公布了gladiator北方版车型的照片，该版本车型主要针对寒冷地区设计，增加座椅加热、方向盘加热等配置。gladiator北方版车型已经于1月16日亮相并在海外接受预定，售价区间为26,670-45,720美元（约合人民币18.4-31.55万）。    北方版是jee</t>
  </si>
  <si>
    <t>2020/02/06 12:13:00</t>
  </si>
  <si>
    <t>　　近期，jeep在其官方网站上公布了gladiator北方版车型的照片，该版本车型主要针对寒冷地区设计，增加座椅加热、方向盘加热等配置。gladiator北方版车型已经于1月16日亮相并在海外接受预定，售价区间为26,670-45,720美元（约合人民币18.4-31.55万）。　　北方版是jee</t>
  </si>
  <si>
    <t>日前获悉，雪佛兰开拓者将于今年上半年上市，新车定位于中大型旗舰suv，采用新一代suv设计语言，并且提供造型霸气的rs系列和时尚的redline尚红系列双版本车型。    新车信息    随着国内首秀已经完成，全新雪佛兰开拓者引入的大幕正式拉开。国产开拓者在外观方面可以说与海外版整体风格一致，提供r</t>
  </si>
  <si>
    <t>2020/02/06 12:11:00</t>
  </si>
  <si>
    <t>　　日前获悉，雪佛兰开拓者将于今年上半年上市，新车定位于中大型旗舰suv，采用新一代suv设计语言，并且提供造型霸气的rs系列和时尚的redline尚红系列双版本车型。　　新车信息　　随着国内首秀已经完成，全新雪佛兰开拓者引入的大幕正式拉开。国产开拓者在外观方面可以说与海外版整体风格一致，提供rs和</t>
  </si>
  <si>
    <t>一年一度的日内瓦车展马上到来了，在2020年的日内瓦车展上预计阿斯顿·马丁将会给我们带来多款跑车，和让我们瞠目结舌的车型。    阿斯顿·马丁vantage敞篷版    阿斯顿·马丁vantage roadster，新车预计将在2020年春季全球正式发布，同时，新车将继续搭载来自梅赛德斯-amg的4</t>
  </si>
  <si>
    <t>2020/02/06 12:09:00</t>
  </si>
  <si>
    <t>　　一年一度的日内瓦车展马上到来了，在2020年的日内瓦车展上预计阿斯顿・马丁将会给我们带来多款跑车，和让我们瞠目结舌的车型。　　阿斯顿・马丁vantage敞篷版　　阿斯顿・马丁vantage roadster，新车预计将在2020年春季全球正式发布，同时，新车将继续搭载来自梅赛德斯-amg的4.0</t>
  </si>
  <si>
    <t>2020/02/06 12:04:41</t>
  </si>
  <si>
    <t>投诉编号：【446468】
投诉时间： 2020-02-06 11:31
投诉品牌： 广汽乘用车
投诉车系： 传祺GA3S视界
投诉车型： 2014款 1.6L 手动 豪华ESP版</t>
  </si>
  <si>
    <t>2月5日，全亚洲规模最大的汽车展览会之一，第15届印度德里国际车展正式开幕。 本届德里国际车展，吸引了来自世界各地的众多汽车企业参展。作为我国自主品牌领头羊之一的长城汽车也携旗下哈弗品牌和长城ev正式亮相德里国际车展。这是长城汽车首次参加印度车展，同时也是长城汽车出征印度市场以及全球化战略进程的重要</t>
  </si>
  <si>
    <t>2020/02/06 12:02:00</t>
  </si>
  <si>
    <t>　　2月5日，全亚洲规模最大的汽车展览会之一，第15届印度德里国际车展正式开幕。 本届德里国际车展，吸引了来自世界各地的众多汽车企业参展。作为我国自主品牌领头羊之一的长城汽车也携旗下哈弗品牌和长城ev正式亮相德里国际车展。这是长城汽车首次参加印度车展，同时也是长城汽车出征印度市场以及全球化战略进程的</t>
  </si>
  <si>
    <t>投诉编号：【446469】  投诉时间： 2020-02-06 12:01  投诉品牌： 上汽通用五菱  投诉车系： 宝骏560  投诉车型： 2016款 1.8L 手动 豪华型        投诉内容  2017年1月底购车，目前车辆的里程是5万公里，主驾座椅塌陷严重不给处理解决问题，希望尽快协调</t>
  </si>
  <si>
    <t>2020/02/06 12:01:00</t>
  </si>
  <si>
    <t>　　这两年各家厂商的旗舰之争从轿车迅速扩展到了suv产品线，于是全新的奥迪q8也就应运而生。但这位全新旗舰车型在一众对手里显得有点另类，因为奥迪q8走了完全不同的线路，今天咱们就来聊聊这位特立独行的新旗舰！　　q8采用了和q7一样的大众中大型suv平台-mlb evo，从设计上来说q8与集团内更高端</t>
  </si>
  <si>
    <t>　　当下我国处于疫情防控关键时期，东风风行针对目前的态势，全面启动响应机制，履行企业社会责任。具体措施包括如下：向疫区防控捐款100万元、针对风行抗疫英雄事迹予以表彰、面向保有客户推出五大暖心专项关爱、为减轻渠道压力不设2月销售目标等。　　向疫区防控捐款100万元　　作为东风汽车旗下重要的自主事业单</t>
  </si>
  <si>
    <t>2020/02/06 11:58:00</t>
  </si>
  <si>
    <t>当下我国处于疫情防控关键时期，东风风行针对目前的态势，全面启动响应机制，履行企业社会责任。具体措施包括如下：向疫区防控捐款100万元、针对风行抗疫英雄事迹予以表彰、面向保有客户推出五大暖心专项关爱、为减轻渠道压力不设2月销售目标等。    向疫区防控捐款100万元    作为东风汽车旗下重要的自主事</t>
  </si>
  <si>
    <t>　　我们经常会聊起30万选车的话题，无非避不开两种选项，轿车或suv。在上个月笔者推荐了购买奥迪a4 avant旅行车的个性选择，很多网友认为不如suv来得更实在。其实现实总是残酷的，想与众不同或任性，就要付出金钱的代价。今天笔者在家“修炼”多日后，忽然发现有一种选择比奥迪a4 avant更具性价比</t>
  </si>
  <si>
    <t>2020/02/06 11:56:00</t>
  </si>
  <si>
    <t>　　一个小众品牌如何能够获得成功和认可？我觉得出色的产品必不可少，当然还要不断为消费者带来新鲜感，丰富自己的产品线，并不断进行产品迭代，以增加品牌曝光度。作为日系三大豪华品牌之一的英菲尼迪做到了第一点，但第二点近些年有些缺失。　　不久前的消息：或许是英菲尼迪2020年唯一的新车qx55延期投产，我们</t>
  </si>
  <si>
    <t>2020/02/06 11:54:00</t>
  </si>
  <si>
    <t xml:space="preserve">　　那么四驱和前驱到底哪个更适合自己呢？这3万块的配置差距到底值不值呢？我为大家做了对比测试，一看便知：　　总结：通过几天的测试，日常驾驶感受我还是更倾向于轻巧的x1 sdrive25li领先版前驱车型。但是如果你长期在东北、新疆高寒地区或者西南山区用车，遇到冰雪或湿滑泥泞路面的概率较高，那么x1 </t>
  </si>
  <si>
    <t>2020/02/06 11:50:00</t>
  </si>
  <si>
    <t xml:space="preserve">那么四驱和前驱到底哪个更适合自己呢？这3万块的配置差距到底值不值呢？我为大家做了对比测试，一看便知：    总结：通过几天的测试，日常驾驶感受我还是更倾向于轻巧的x1 sdrive25li领先版前驱车型。但是如果你长期在东北、新疆高寒地区或者西南山区用车，遇到冰雪或湿滑泥泞路面的概率较高，那么x1 </t>
  </si>
  <si>
    <t>　　沃尔沃汽车及其母公司吉利汽车集团，目前正在国内积极驰援武汉共同抗击疫情。与此同时，沃尔沃汽车公布了全球一月销量数据，45752辆汽车较去年同期相比下降9.7%。这样的表现在意料之外，也在情理之中。　　情理之中是因为国内外的圣诞、新年、中国春节假期的影响，而且在完成2019年度销售任务后，会有新计</t>
  </si>
  <si>
    <t>2020/02/06 11:49:00</t>
  </si>
  <si>
    <t>沃尔沃汽车及其母公司吉利汽车集团，目前正在国内积极驰援武汉共同抗击疫情。与此同时，沃尔沃汽车公布了全球一月销量数据，45752辆汽车较去年同期相比下降9.7%。这样的表现在意料之外，也在情理之中。    情理之中是因为国内外的圣诞、新年、中国春节假期的影响，而且在完成2019年度销售任务后，会有新计</t>
  </si>
  <si>
    <t>　　在2019年底，名爵推出了mg6十周年纪念版车型，转眼间mg6凭借自身产品实力已在市场“征战”十年。而现如今紧凑型轿车市场已成为自主品牌竞争的主战场，涌现出多款极具代表性的产品，其中广汽传祺ga4与奇瑞艾瑞泽gx可谓是主力车型，下面就来看看，十年“老将”名爵6在同级别车中是否具有竞争力，又与三者</t>
  </si>
  <si>
    <t>2020/02/06 11:47:00</t>
  </si>
  <si>
    <t>　　轿跑车一直都是很多年轻人的选择，年轻消费者更能接受新鲜事物，广大车企也顺应市场趋势开发了不少轿跑车型，奔驰cla可以说是这个细分市场的热销车，目前全新奔驰cla已在海外市场上市，很多国内消费者都迫不及待的想见到这款新车，好消息就是今年这款车型就要与国人见面。接下来我们就来看看这款有哪些亮点吧。　</t>
  </si>
  <si>
    <t>2020/02/06 11:46:00</t>
  </si>
  <si>
    <t>　　星途是奇瑞的高端子品牌之一，而星途vx是星途汽车的旗舰车型，之前我们已经对其进行了一定程度的曝光，今天我们得到了更多的产品信息，咱们一起来研究研究这款旗舰车型到底有什么水平的产品力，同时也来看看这样的一款全新suv在同级别中是否具有竞争力。　　外观设计竞争力如何？――我大故我强　　要说最了解中国</t>
  </si>
  <si>
    <t>2020/02/06 11:44:00</t>
  </si>
  <si>
    <t>　　日前，我们从外媒获悉，在公布了2019年第四季度财报之后，法拉利上调了2020年的收入预期。数据显示，在2019年的最后三个月，法拉利的息税前利润（ebita）率达到了22%。法拉利表示，公司将2020年的预期利润上调至13.8-14.3亿欧元，此前该公司的预计数值是13亿欧元。　　据外媒消息，</t>
  </si>
  <si>
    <t>2020/02/06 11:41:00</t>
  </si>
  <si>
    <t>日前，我们从外媒获悉，在公布了2019年第四季度财报之后，法拉利上调了2020年的收入预期。数据显示，在2019年的最后三个月，法拉利的息税前利润（ebita）率达到了22%。法拉利表示，公司将2020年的预期利润上调至13.8-14.3亿欧元，此前该公司的预计数值是13亿欧元。    据外媒消息，</t>
  </si>
  <si>
    <t>　　今年1月，东风小康汽车有限公司决定通过重庆市慈善总会，向湖北省慈善总会捐赠东风风光580、东风风光ix7等车辆，共计价值约500万元，助力抗击新型冠状病毒肺炎疫情。日前，有媒体从东风风光官方获悉，企业在疫情期间为用户提供六大关爱服务行动，帮助消费者解决因疫情所导致的实际用车问题。　　六大关爱服务</t>
  </si>
  <si>
    <t>2020/02/06 11:40:00</t>
  </si>
  <si>
    <t>今年1月，东风小康汽车有限公司决定通过重庆市慈善总会，向湖北省慈善总会捐赠东风风光580、东风风光ix7等车辆，共计价值约500万元，助力抗击新型冠状病毒肺炎疫情。日前，有媒体从东风风光官方获悉，企业在疫情期间为用户提供六大关爱服务行动，帮助消费者解决因疫情所导致的实际用车问题。    六大关爱服务</t>
  </si>
  <si>
    <t>　　2月5日，武汉雷神山医院的建设工作进入最后的冲刺阶段，预计在今天实现交付。这是继2月2日火神山医院投入使用之后，又一所“小汤山”模式的“战时医院”正式建成。与此同时，有媒体从上汽大通汽车有限公司获悉，由该公司无锡工厂生产调试的30辆负压救护车已赶到现场严阵以待，另外25辆正在进行最后安装调试的负</t>
  </si>
  <si>
    <t>2020/02/06 11:39:00</t>
  </si>
  <si>
    <t>2月5日，武汉雷神山医院的建设工作进入最后的冲刺阶段，预计在今天实现交付。这是继2月2日火神山医院投入使用之后，又一所“小汤山”模式的“战时医院”正式建成。与此同时，有媒体从上汽大通汽车有限公司获悉，由该公司无锡工厂生产调试的30辆负压救护车已赶到现场严阵以待，另外25辆正在进行最后安装调试的负压救</t>
  </si>
  <si>
    <t>　　2020年2月3日，东风悦达起亚为了应对疫情防控期间用户不便出门的情况，推出“三项承诺，九项行动”。2月5日，从东风悦达起亚官方获悉，东风悦达起亚又推出“八大保障”，为经销商解决燃眉之急。其中包括取消指标，保障需求；取消捆绑，保障运营；取消考核，保障稳定等措施。　　八大保障：取消指标，保障需求；</t>
  </si>
  <si>
    <t>2020/02/06 11:37:00</t>
  </si>
  <si>
    <t>2020年2月3日，东风悦达起亚为了应对疫情防控期间用户不便出门的情况，推出“三项承诺，九项行动”。2月5日，从东风悦达起亚官方获悉，东风悦达起亚又推出“八大保障”，为经销商解决燃眉之急。其中包括取消指标，保障需求；取消捆绑，保障运营；取消考核，保障稳定等措施。    八大保障：取消指标，保障需求；</t>
  </si>
  <si>
    <t>　　2020年2月5日有媒体获悉，宝马正式发布了2系gran coupe车型在北美市场的价格，其中228i xdrive车型起售价38495美元。m235i车型可以算是车系顶配，起售价为46495美元，预计会在2020年末引入国内市场。　　宝马2系gran coupe是宝马旗下全新的紧凑型车，可以把</t>
  </si>
  <si>
    <t>2020/02/06 11:36:00</t>
  </si>
  <si>
    <t>2020年2月5日有媒体获悉，宝马正式发布了2系gran coupe车型在北美市场的价格，其中228i xdrive车型起售价38495美元。m235i车型可以算是车系顶配，起售价为46495美元，预计会在2020年末引入国内市场。    宝马2系gran coupe是宝马旗下全新的紧凑型车，可以把</t>
  </si>
  <si>
    <t>　　连日来，新型冠状病毒肺炎疫情牵动着全国人民的心。此前，上汽大众汽车有限公司通过上海慈善机构向全国疫情严重地区捐赠800万元人民币，用于支持疫情防控工作。日前，有媒体从上汽大众官方获悉，企业继续向疫区追加捐赠，累计捐款已达4000万元人民币，全力驰援疫情防控。　　捐赠款项将主要用于湖北及其他疫情严</t>
  </si>
  <si>
    <t>2020/02/06 11:34:00</t>
  </si>
  <si>
    <t>连日来，新型冠状病毒肺炎疫情牵动着全国人民的心。此前，上汽大众汽车有限公司通过上海慈善机构向全国疫情严重地区捐赠800万元人民币，用于支持疫情防控工作。日前，有媒体从上汽大众官方获悉，企业继续向疫区追加捐赠，累计捐款已达4000万元人民币，全力驰援疫情防控。    捐赠款项将主要用于湖北及其他疫情严</t>
  </si>
  <si>
    <t>p挡踩刹车时出现异响 这是通病么以前都是踩刹车打火，没发现。后来发现不踩刹车也可以打火，然后p挡踩刹车就会哒的一声，是通病么？</t>
  </si>
  <si>
    <t>大厨Gary</t>
  </si>
  <si>
    <t>2020/02/06 11:32:00</t>
  </si>
  <si>
    <t>长城汽车非常注重全球化发展，目前长城汽车已在美国、德国、奥地利、韩国、日本等海外地区设置了研发中心。2020年长城汽车将主要发展印度市场，长城汽车参加第15届印度德里国际车展将携旗下哈弗品牌正式亮相印度市场。    今日网通社从长城汽车官方获悉，长城汽车将携哈弗f7以及f7x亮相第15届印度德里国际</t>
  </si>
  <si>
    <t>2020/02/06 11:30:00</t>
  </si>
  <si>
    <t>　　长城汽车非常注重全球化发展，目前长城汽车已在美国、德国、奥地利、韩国、日本等海外地区设置了研发中心。2020年长城汽车将主要发展印度市场，长城汽车参加第15届印度德里国际车展将携旗下哈弗品牌正式亮相印度市场。　　今日网通社从长城汽车官方获悉，长城汽车将携哈弗f7以及f7x亮相第15届印度德里国际</t>
  </si>
  <si>
    <t>2020/02/06 11:18:40</t>
  </si>
  <si>
    <t>投诉编号：【446466】
投诉时间： 2020-02-06 11:00
投诉品牌： 上汽大众
投诉车系： 朗逸
投诉车型： 2019款 1.5L 手动 舒适版 国VI</t>
  </si>
  <si>
    <t>欧拉r1是长城推出的一款a00级纯电动车，上市后凭借讨巧的设计和出色的续航能力成为同级中的佼佼者。日前，有媒体从长城官方获悉，长城汽车携旗下多款车型亮相第15届印度德里车展，欧拉r1正是其中之一。    欧拉r1采用了简约独特的造型风格，呆萌的设计令人眼前一亮。前脸的造型活脱一副卡通人物脸谱，在大量</t>
  </si>
  <si>
    <t>2020/02/06 11:08:00</t>
  </si>
  <si>
    <t>　　欧拉r1是长城推出的一款a00级纯电动车，上市后凭借讨巧的设计和出色的续航能力成为同级中的佼佼者。日前，有媒体从长城官方获悉，长城汽车携旗下多款车型亮相第15届印度德里车展，欧拉r1正是其中之一。　　欧拉r1采用了简约独特的造型风格，呆萌的设计令人眼前一亮。前脸的造型活脱一副卡通人物脸谱，在大量</t>
  </si>
  <si>
    <t>h9是哈弗品牌旗下一款中大型硬派suv，2020款车型已经上市，国内售价区间为20.98万-27.28万元。2月5日，有媒体从官方获悉，2020款哈弗h9正式亮相于印度车展。新车采用全新外观设计，加入全led头灯组、新样式造型格栅及保险杠等元素；配置上新增l2级自动驾驶辅助系统等。动力方面，新款h9</t>
  </si>
  <si>
    <t>2020/02/06 10:34:00</t>
  </si>
  <si>
    <t>　　h9是哈弗品牌旗下一款中大型硬派suv，2020款车型已经上市，国内售价区间为20.98万-27.28万元。2月5日，有媒体从官方获悉，2020款哈弗h9正式亮相于印度车展。新车采用全新外观设计，加入全led头灯组、新样式造型格栅及保险杠等元素；配置上新增l2级自动驾驶辅助系统等。动力方面，新款</t>
  </si>
  <si>
    <t>为迎合消费者对个性和性能的追求，并增加在跑车领域的竞争力，奔驰在性能车方面的规划做的也十分充足。梅赛德斯-奔驰amg将推出新款gt r跑车，近日海外媒体曝光了新车部分信息，新车有望年内率先在海外市场推出。同时新车在外观细节部分做出了调整，并针对动力方面进行了优化，进一步提升了与保时捷panamera</t>
  </si>
  <si>
    <t>2020/02/06 10:30:00</t>
  </si>
  <si>
    <t>　　为迎合消费者对个性和性能的追求，并增加在跑车领域的竞争力，奔驰在性能车方面的规划做的也十分充足。梅赛德斯-奔驰amg将推出新款gt r跑车，近日海外媒体曝光了新车部分信息，新车有望年内率先在海外市场推出。同时新车在外观细节部分做出了调整，并针对动力方面进行了优化，进一步提升了与保时捷paname</t>
  </si>
  <si>
    <t>2020年已经走过了一个多月时间，新一轮的产品投放也将在不久后开启，将为打算购车的朋友提供更多的选择。梳理了10款将于今年上市的自主suv车型，覆盖小型到中大型级别，包括备受期待的奇瑞全新一代瑞虎7、吉利豪越以及宝骏rs-7等车型。其中价位较低的奇瑞全新一代瑞虎7只要8万多就能买。    吉利ico</t>
  </si>
  <si>
    <t>2020/02/06 10:27:00</t>
  </si>
  <si>
    <t>　　2020年已经走过了一个多月时间，新一轮的产品投放也将在不久后开启，将为打算购车的朋友提供更多的选择。梳理了10款将于今年上市的自主suv车型，覆盖小型到中大型级别，包括备受期待的奇瑞全新一代瑞虎7、吉利豪越以及宝骏rs-7等车型。其中价位较低的奇瑞全新一代瑞虎7只要8万多就能买。　　吉利ico</t>
  </si>
  <si>
    <t>　　e-tron是奥迪旗下的一款中型纯电动suv，作为奥迪旗下的首款纯电suv车型，自国内上市开售以来，便受到了诸多成功人士们以及年轻消费群体们的关注，并与奔驰eqc车型展开了激烈的竞争。近日海外媒体曝光了一组奥迪全新e-tron 50 quattro车型售价，新车定位也要低于55系列车型，海外市场</t>
  </si>
  <si>
    <t>2020/02/06 10:22:00</t>
  </si>
  <si>
    <t>e-tron是奥迪旗下的一款中型纯电动suv，作为奥迪旗下的首款纯电suv车型，自国内上市开售以来，便受到了诸多成功人士们以及年轻消费群体们的关注，并与奔驰eqc车型展开了激烈的竞争。近日海外媒体曝光了一组奥迪全新e-tron 50 quattro车型售价，新车定位也要低于55系列车型，海外市场售价</t>
  </si>
  <si>
    <t>　　在2019年4月，福特中国发布了“330计划”，计划三年内推出30 款车型，涵盖福特、林肯品牌及新能源车型。梳理后发现，福特品牌2020年在华最少将有4款新车上市，其中3款为全新产品，包含7座大suv――国产探险者、福克斯旅行版等车型，进一步拓宽福特在华产品布局。　　国产探险者　　探险者是福特旗</t>
  </si>
  <si>
    <t>2020/02/06 10:20:00</t>
  </si>
  <si>
    <t>在2019年4月，福特中国发布了“330计划”，计划三年内推出30 款车型，涵盖福特、林肯品牌及新能源车型。梳理后发现，福特品牌2020年在华最少将有4款新车上市，其中3款为全新产品，包含7座大suv——国产探险者、福克斯旅行版等车型，进一步拓宽福特在华产品布局。    国产探险者    探险者是福</t>
  </si>
  <si>
    <t>glc是奔驰旗下的一款中型suv，也是奔驰推出的首款跨级车型，该车也可以看做是glk的轿跑版本。近日海外媒体曝光了新款glc车型部分信息，新车将在今年推出glc43 4matic和glc43 4matic coupe两款车型。后续待新车上市后将继续与宝马x3、奥迪q5l等同级别车型展开竞争。（配图为</t>
  </si>
  <si>
    <t>2020/02/06 10:18:00</t>
  </si>
  <si>
    <t>　　glc是奔驰旗下的一款中型suv，也是奔驰推出的首款跨级车型，该车也可以看做是glk的轿跑版本。近日海外媒体曝光了新款glc车型部分信息，新车将在今年推出glc43 4matic和glc43 4matic coupe两款车型。后续待新车上市后将继续与宝马x3、奥迪q5l等同级别车型展开竞争。（配</t>
  </si>
  <si>
    <t>提及劳斯莱斯古思特想必大家对这款车型并不陌生，新车自入华开售以来，便受到了诸多企业人事以及成功人事们的青睐，但动辄百万元的新车售价也是让大家摸不得碰不得，而高昂的维修费用也是让诸多司机朋友们退避三尺。近日海外媒体曝光了一组劳斯莱斯全新古思特谍照图片，新车预计将于今年年内正式亮相。    动力方面，新</t>
  </si>
  <si>
    <t>2020/02/06 10:15:00</t>
  </si>
  <si>
    <t>　　提及劳斯莱斯古思特想必大家对这款车型并不陌生，新车自入华开售以来，便受到了诸多企业人事以及成功人事们的青睐，但动辄百万元的新车售价也是让大家摸不得碰不得，而高昂的维修费用也是让诸多司机朋友们退避三尺。近日海外媒体曝光了一组劳斯莱斯全新古思特谍照图片，新车预计将于今年年内正式亮相。　　动力方面，新</t>
  </si>
  <si>
    <t>零跑版"四门smart"将二季度上 竞争比亚迪e1</t>
  </si>
  <si>
    <t>有媒体从零跑汽车官方获悉，旗下第二款纯电动车型-t03将于今年二季度上市。新车外观造型与smart forfour颇为相似，采用全封闭式的前脸设计，加上两侧椭圆形的大灯，视觉呈现十分可爱。从数据来看，零跑t03的综合工况续航能力达到400公里，上市后将竞争比亚迪e1等同级别车型。    在造车新势力</t>
  </si>
  <si>
    <t>2020/02/06 10:12:00</t>
  </si>
  <si>
    <t>　　有媒体从零跑汽车官方获悉，旗下第二款纯电动车型-t03将于今年二季度上市。新车外观造型与smart forfour颇为相似，采用全封闭式的前脸设计，加上两侧椭圆形的大灯，视觉呈现十分可爱。从数据来看，零跑t03的综合工况续航能力达到400公里，上市后将竞争比亚迪e1等同级别车型。　　在造车新势力</t>
  </si>
  <si>
    <t>　　途观是大众旗下的一款suv车型，在2011年正式引入国内市场销售，并在2018年停止更新换代工作，而国产版途观车型出于停产在售的状态，未来并将被大众途岳车型取代。近日大众在海外正式首发亮相了全新途观车型，新车计划在明年年内率先在海外市场上市。后续将继续与本田cr-v、丰田rav4、日产逍客等车展</t>
  </si>
  <si>
    <t>2020/02/06 10:09:00</t>
  </si>
  <si>
    <t>途观是大众旗下的一款suv车型，在2011年正式引入国内市场销售，并在2018年停止更新换代工作，而国产版途观车型出于停产在售的状态，未来并将被大众途岳车型取代。近日大众在海外正式首发亮相了全新途观车型，新车计划在明年年内率先在海外市场上市。后续将继续与本田cr-v、丰田rav4、日产逍客等车展开竞</t>
  </si>
  <si>
    <t>投诉编号：【446463】投诉时间：2020-02-0610:08投诉品牌：华晨宝马投诉车系：宝马X1投诉车型：2019款sDrive18Li尊享型投诉内容于2019-1-8向汕头宝悦购买2019版宝马X1，开没几个月后于2019年4月份汽车在行驶中车尾就出现不明原因异响，联系保宝悦原泰山路售后店检</t>
  </si>
  <si>
    <t>2020/02/06 10:08:00</t>
  </si>
  <si>
    <t>2019年马自达中国全年的累计销量为227,750辆。其中，一汽马自达销量为91,416辆，长安马自达销量为136,334辆。随着阿特兹、cx-4和昂克赛拉的改款换代，在2019年下半年马自达平稳度过了产品换代期，销量逐渐升温。通过梳理发现，2020年马自达还将推出改款长安马自达3 昂克赛拉、全新长</t>
  </si>
  <si>
    <t>2020/02/06 10:07:00</t>
  </si>
  <si>
    <t>　　2019年马自达中国全年的累计销量为227,750辆。其中，一汽马自达销量为91,416辆，长安马自达销量为136,334辆。随着阿特兹、cx-4和昂克赛拉的改款换代，在2019年下半年马自达平稳度过了产品换代期，销量逐渐升温。通过梳理发现，2020年马自达还将推出改款长安马自达3 昂克赛拉、全</t>
  </si>
  <si>
    <t>路虎全新卫士在2019年9月份的法兰克福车展上首次发布，吸引了众多越野爱好者的关注。我们近日获得了全新卫士国内路试谍照，根据路虎规划，新车将于4月份北京车展前夕的品牌之夜上在华首发亮相，并有望于5月份上市销售。    新车整体依然是较为方正的设计，车头两侧大灯组采用近似矩形的设计，内部led日间行车</t>
  </si>
  <si>
    <t>2020/02/06 10:05:00</t>
  </si>
  <si>
    <t>　　路虎全新卫士在2019年9月份的法兰克福车展上首次发布，吸引了众多越野爱好者的关注。我们近日获得了全新卫士国内路试谍照，根据路虎规划，新车将于4月份北京车展前夕的品牌之夜上在华首发亮相，并有望于5月份上市销售。　　新车整体依然是较为方正的设计，车头两侧大灯组采用近似矩形的设计，内部led日间行车</t>
  </si>
  <si>
    <t>有媒体从东风风光官方获悉：公司将于今年第4季度推出一款代号为f527evr的全新mpv车型，该车定位为中大型7座乘用mpv，车身长宽高均超过了合资品牌热门产品——广汽本田奥德赛。在电动机和增程器的共同加持下，其每百公里综合油耗仅需1.6l。图为风光s370    东风风光f527evr配备了电动滑门</t>
  </si>
  <si>
    <t>2020/02/06 10:03:00</t>
  </si>
  <si>
    <t>　　有媒体从东风风光官方获悉：公司将于今年第4季度推出一款代号为f527evr的全新mpv车型，该车定位为中大型7座乘用mpv，车身长宽高均超过了合资品牌热门产品――广汽本田奥德赛。在电动机和增程器的共同加持下，其每百公里综合油耗仅需1.6l。图为风光s370　　东风风光f527evr配备了电动滑门</t>
  </si>
  <si>
    <t>目前，新型冠状病毒感染的肺炎疫情防控工作处于关键时期，中国一汽积极履行社会责任，携旗下分、子公司及合作伙伴持续开展援助。2月5日，一汽奔腾针对疫情期间出行不便及防控需求增加的问题，及时推出了经销商“一减负二支持三保障六项政策”和用户“两净两时挚心关怀四项服务”的举措。    “一减负二支持三保障”，</t>
  </si>
  <si>
    <t>2020/02/06 10:01:00</t>
  </si>
  <si>
    <t>　　目前，新型冠状病毒感染的肺炎疫情防控工作处于关键时期，中国一汽积极履行社会责任，携旗下分、子公司及合作伙伴持续开展援助。2月5日，一汽奔腾针对疫情期间出行不便及防控需求增加的问题，及时推出了经销商“一减负二支持三保障六项政策”和用户“两净两时挚心关怀四项服务”的举措。　　“一减负二支持三保障”，</t>
  </si>
  <si>
    <t>　　20万左右的购车预算，相信很多消费者会选择购置一款家用suv车型，来满足日常用车需求。不过也有些消费者并不仅限于此，注重品质、做工和品牌效应的他们，更多的是希望考虑一款豪华品牌suv车型，去追求那份有品位的小资情调。那么，对于这种跃跃欲试的小“奢望”，有哪些车型比较称心如意呢？　　推荐车型：奥迪</t>
  </si>
  <si>
    <t>2020/02/06 09:55:00</t>
  </si>
  <si>
    <t>　　汽车消费市场上，入门级车型往往都和年轻人绑定在一起，随着主力消费人群趋向于年轻化，入门级车型也承担着走量的任务。但入门不代表着减配，低价更不是产品力层面缺失的理由，可以看到在小型suv市场上销量比较好xr-v/缤智等车型都遵循着这个原则，以高颜值和性价比著称的韩系车更是深谙这个道理，小型suv领</t>
  </si>
  <si>
    <t>2020/02/06 09:52:00</t>
  </si>
  <si>
    <t>近日，特斯拉ceo马斯克在推特上连发数条动态，亲自为autopilot（特斯拉的智能驾驶系统）团队招募人才，意在推动对自动驾驶技术的研发。在推特中，马斯克强调ai（人工智能）在特斯拉自动驾驶战略中具有极为关键的重要性。教育背景无关紧要，“我不在乎你是否高中毕业”，马斯克要寻找ai领域真正的尖端人才。</t>
  </si>
  <si>
    <t>2020/02/06 09:47:00</t>
  </si>
  <si>
    <t>　　近日，特斯拉ceo马斯克在推特上连发数条动态，亲自为autopilot（特斯拉的智能驾驶系统）团队招募人才，意在推动对自动驾驶技术的研发。在推特中，马斯克强调ai（人工智能）在特斯拉自动驾驶战略中具有极为关键的重要性。教育背景无关紧要，“我不在乎你是否高中毕业”，马斯克要寻找ai领域真正的尖端人</t>
  </si>
  <si>
    <t>日前，有网友向我们提供了一套新款帕杰罗·劲畅（pajero sport）实车图，通过图片背景来看，该车辆疑似在国内某活动现场，这或许是该车的首次公开亮相。作为中期改款车型，新车主要针对外观和配置进行了升级。    新款帕杰罗·劲畅相比老款产品看起来更加硬朗，这主要得益于前脸设计的更新，dynamic</t>
  </si>
  <si>
    <t>2020/02/06 09:46:00</t>
  </si>
  <si>
    <t>　　日前，有网友向我们提供了一套新款帕杰罗・劲畅（pajero sport）实车图，通过图片背景来看，该车辆疑似在国内某活动现场，这或许是该车的首次公开亮相。作为中期改款车型，新车主要针对外观和配置进行了升级。　　新款帕杰罗・劲畅相比老款产品看起来更加硬朗，这主要得益于前脸设计的更新，dynamic</t>
  </si>
  <si>
    <t>2020/02/06 09:37:00</t>
  </si>
  <si>
    <t xml:space="preserve">日前，我们从一汽-大众捷达品牌官网获取到了捷达vs7车型的推出4款1.4t动力车型，此前官方公布的预售价区间为11.18-14.28万元。    捷达vs7的四款车型可以分为三个配置等级，分别为进取版、悦享版和荣耀版，其中进取版提供手动挡和自动挡车型可选，而悦享版和荣耀版则仅提供自动挡车型。    </t>
  </si>
  <si>
    <t>2020/02/06 09:36:00</t>
  </si>
  <si>
    <t>　　日前，我们从一汽-大众捷达品牌官网获取到了捷达vs7车型的推出4款1.4t动力车型，此前官方公布的预售价区间为11.18-14.28万元。　　捷达vs7的四款车型可以分为三个配置等级，分别为进取版、悦享版和荣耀版，其中进取版提供手动挡和自动挡车型可选，而悦享版和荣耀版则仅提供自动挡车型。　　首先</t>
  </si>
  <si>
    <t>　　新型冠状病毒肺炎疫情之下，主机厂和经销商都承受着巨大压力。2月5日，东风乘用车公司发布公告称，将暂定于于2月14日复工生产，并通过全面下调2月销量目标及多项商务政策扶持，与经销商共渡难关。　　2019年，风神奕炫为东风风神品牌带来了一定销量。2020年1月，风神奕炫全系终端交付10899台，同比</t>
  </si>
  <si>
    <t>2020/02/06 09:33:00</t>
  </si>
  <si>
    <t>新型冠状病毒肺炎疫情之下，主机厂和经销商都承受着巨大压力。2月5日，东风乘用车公司发布公告称，将暂定于于2月14日复工生产，并通过全面下调2月销量目标及多项商务政策扶持，与经销商共渡难关。    2019年，风神奕炫为东风风神品牌带来了一定销量。2020年1月，风神奕炫全系终端交付10899台，同比</t>
  </si>
  <si>
    <t>　　英国脱欧，对汽车产业造成了一定的影响。日前，《金融时报》援引两位参与了企业讨论人士的消息，称日产已经起草了一份应急计划，一旦欧洲大陆生产的汽车在进入英国时面临关税难题，日产将会把业务集中在位于英国桑德兰的工厂内，并削减公司在欧洲大陆的产量。　　日产的这项计划意味着他们有可能关闭位于西班牙巴塞罗那</t>
  </si>
  <si>
    <t>2020/02/06 09:31:00</t>
  </si>
  <si>
    <t>英国脱欧，对汽车产业造成了一定的影响。日前，《金融时报》援引两位参与了企业讨论人士的消息，称日产已经起草了一份应急计划，一旦欧洲大陆生产的汽车在进入英国时面临关税难题，日产将会把业务集中在位于英国桑德兰的工厂内，并削减公司在欧洲大陆的产量。    日产的这项计划意味着他们有可能关闭位于西班牙巴塞罗那</t>
  </si>
  <si>
    <t>　　当前正处于疫情关键时期，如何解决用户的购车问题？哪吒汽车的措施是推出“盲购7天无理由退换”等一系列活动。　　为减少用户到店，哪吒汽车增加了主动上门服务，用户只需线上进行看车与购车洽谈，即可享有“7天无理由退换”的权利，最终实现5分钟线上看车、2小时上门交车、0风险退车，为用户提供了足不出户的便捷</t>
  </si>
  <si>
    <t>2020/02/06 09:30:00</t>
  </si>
  <si>
    <t>当前正处于疫情关键时期，如何解决用户的购车问题？哪吒汽车的措施是推出“盲购7天无理由退换”等一系列活动。    为减少用户到店，哪吒汽车增加了主动上门服务，用户只需线上进行看车与购车洽谈，即可享有“7天无理由退换”的权利，最终实现5分钟线上看车、2小时上门交车、0风险退车，为用户提供了足不出户的便捷</t>
  </si>
  <si>
    <t>2020/02/06 09:29:58</t>
  </si>
  <si>
    <t>投诉编号：【446460】
投诉时间： 2020-02-06 09:29
投诉品牌： 一汽-大众
投诉车系： 宝来
投诉车型： 2014款 1.6L 自动 舒适型</t>
  </si>
  <si>
    <t>　　日前，宝马正式宣布旗下全新x5 xdrive45e插电式混动版正式上市，新车将搭载3.0t直列六缸发动机与电机组合的一套混动系统，纯电动续航里程达85km。新车售价84.99万元。　　作为现款宝马x5的插电式混动版，全新x5 xdrive45e车型在外观设计上保持了在售燃油版的m运动套装风格，并</t>
  </si>
  <si>
    <t>2020/02/06 09:28:00</t>
  </si>
  <si>
    <t>日前，宝马正式宣布旗下全新x5 xdrive45e插电式混动版正式上市，新车将搭载3.0t直列六缸发动机与电机组合的一套混动系统，纯电动续航里程达85km。新车售价84.99万元。    作为现款宝马x5的插电式混动版，全新x5 xdrive45e车型在外观设计上保持了在售燃油版的m运动套装风格，并</t>
  </si>
  <si>
    <t>2020/02/06 09:23:55</t>
  </si>
  <si>
    <t>投诉编号：【446459】
投诉时间： 2020-02-06 09:21
投诉品牌： 东风启辰
投诉车系： 启辰D60
投诉车型： 2019款 1.6L XL CVT 智联精英版 国V</t>
  </si>
  <si>
    <t>　　新型冠状病毒肺炎疫情给汽车产业带来不小的影响。疫情到来，特斯拉上海超级工厂于1月30日宣布暂时关闭，并计划将复工时间推迟一周到一周半。2日5日晚，特斯拉高管表示，计划2月10日恢复生产。model 3　　特斯拉上海超级工厂投资约500亿元，是上海迄今为止最大的外资制造业项目，一期规划年产纯电动汽</t>
  </si>
  <si>
    <t>2020/02/06 09:22:00</t>
  </si>
  <si>
    <t>新型冠状病毒肺炎疫情给汽车产业带来不小的影响。疫情到来，特斯拉上海超级工厂于1月30日宣布暂时关闭，并计划将复工时间推迟一周到一周半。2日5日晚，特斯拉高管表示，计划2月10日恢复生产。model 3    特斯拉上海超级工厂投资约500亿元，是上海迄今为止最大的外资制造业项目，一期规划年产纯电动汽</t>
  </si>
  <si>
    <t>投诉编号：【446459】  投诉时间： 2020-02-06 09:21  投诉品牌： 东风启辰  投诉车系： 启辰D60  投诉车型： 2019款 1.6L XL CVT 智联精英版 国V        投诉内容  2月6日早上上班路上，刚从家中出来行驶大约1公里，汽车行驶过程中突然发现车辆在减</t>
  </si>
  <si>
    <t>2020/02/06 09:21:00</t>
  </si>
  <si>
    <t>投诉编号：【446458】  投诉时间： 2020-02-06 09:18  投诉品牌： 一汽奔腾  投诉车系： 奔腾T77  投诉车型： 2019款 230 TID 自动 豪华型 国VI        投诉内容  发动机抖动D挡怠速发动机方向盘抖动，整个车厢都有轻微抖动，要求厂家解决。4s店给换了</t>
  </si>
  <si>
    <t>2020/02/06 09:18:00</t>
  </si>
  <si>
    <t>凯迪拉克ct5的推出意味着美系豪华品牌在中型车市场上又增加了一款颇有竞争力的车型。新车全系采用后轮驱动，新的造型和依旧丰富的配置也让年轻消费者眼前一亮，加上合理的售价，在30万元区间终于又有了一款能与bba相抗衡的力作。不过今天的实拍我们并不针对ct5家族中装备齐全的顶配车型，而是秉承着花小钱做大事</t>
  </si>
  <si>
    <t>2020/02/06 09:08:00</t>
  </si>
  <si>
    <t>　　凯迪拉克ct5的推出意味着美系豪华品牌在中型车市场上又增加了一款颇有竞争力的车型。新车全系采用后轮驱动，新的造型和依旧丰富的配置也让年轻消费者眼前一亮，加上合理的售价，在30万元区间终于又有了一款能与bba相抗衡的力作。不过今天的实拍我们并不针对ct5家族中装备齐全的顶配车型，而是秉承着花小钱做</t>
  </si>
  <si>
    <t>别克君威19款1.5T精英版落地多少钱？</t>
  </si>
  <si>
    <t>2020/02/06 08:54:04</t>
  </si>
  <si>
    <t>面对新型冠状病毒感染的肺炎疫情，零跑汽车也发布了疫情防控期间相关措施，其中对于近期拟购车用户，提供送车上门试驾服务，同时用户可以通过零跑app实现线上咨询、看车、选车、订车，以及在线金融预约、在线上门试驾预约等功能。对于已购车用户，提供上门取还车保养等服务，受疫情影响无法及时保养车辆的用户，其免费保</t>
  </si>
  <si>
    <t>2020/02/06 08:54:00</t>
  </si>
  <si>
    <t>　　面对新型冠状病毒感染的肺炎疫情，零跑汽车也发布了疫情防控期间相关措施，其中对于近期拟购车用户，提供送车上门试驾服务，同时用户可以通过零跑app实现线上咨询、看车、选车、订车，以及在线金融预约、在线上门试驾预约等功能。对于已购车用户，提供上门取还车保养等服务，受疫情影响无法及时保养车辆的用户，其免</t>
  </si>
  <si>
    <t>2020年2月5日, 新型冠状病毒不仅给人民带来了巨大的健康威胁，同时也给短期的经济形势造成了一定的冲击，全国车市也受到影响，尤其是处在销售第一线的经销商面临巨大压力。面对新型防控防治“战疫”及市场发展形势，wey品牌在疫情期间果断采取一些列重大举措，与经销商伙伴站在一起，有信心，有决心攻克时艰，共</t>
  </si>
  <si>
    <t>2020/02/06 08:53:00</t>
  </si>
  <si>
    <t>　　2020年2月5日, 新型冠状病毒不仅给人民带来了巨大的健康威胁，同时也给短期的经济形势造成了一定的冲击，全国车市也受到影响，尤其是处在销售第一线的经销商面临巨大压力。面对新型防控防治“战疫”及市场发展形势，wey品牌在疫情期间果断采取一些列重大举措，与经销商伙伴站在一起，有信心，有决心攻克时艰</t>
  </si>
  <si>
    <t>亚洲龙和君越家用，怎么选。</t>
  </si>
  <si>
    <t>2020/02/06 08:51:33</t>
  </si>
  <si>
    <t>长安cs55 17款自动挡运动模最高到几挡？</t>
  </si>
  <si>
    <t>2020/02/06 08:51:28</t>
  </si>
  <si>
    <t>2月5日，第十五届印度德里国际车展在印度首都德里隆重开幕。作为全球知名的suv及皮卡制造商，长城汽车携哈弗和长城ev首次亮相印度德里车展，并推出了多款核心零部件产品。同时，长城汽车于此次车展宣布了进军印度市场目标，也意味着其全球化战略将进一步在印度落地。    哈弗品牌专注suv产品，现已经形成大中</t>
  </si>
  <si>
    <t>2020/02/06 08:50:00</t>
  </si>
  <si>
    <t>　　2月5日，第十五届印度德里国际车展在印度首都德里隆重开幕。作为全球知名的suv及皮卡制造商，长城汽车携哈弗和长城ev首次亮相印度德里车展，并推出了多款核心零部件产品。同时，长城汽车于此次车展宣布了进军印度市场目标，也意味着其全球化战略将进一步在印度落地。　　哈弗品牌专注suv产品，现已经形成大中</t>
  </si>
  <si>
    <t>日前，我们从相关渠道获悉了一组全新福特bronco的谍照。全新福特bronco整车设计采用极为硬朗的风格，定位于硬派越野车，同时将配备2.3t发动机 10at的动力组合。    bronco直译为野马，这与福特旗下另一款经典车型mustang相同。外观方面，从曝光的谍照来看，全新福特bronco外观</t>
  </si>
  <si>
    <t>2020/02/06 08:49:00</t>
  </si>
  <si>
    <t>　　日前，我们从相关渠道获悉了一组全新福特bronco的谍照。全新福特bronco整车设计采用极为硬朗的风格，定位于硬派越野车，同时将配备2.3t发动机 10at的动力组合。　　bronco直译为野马，这与福特旗下另一款经典车型mustang相同。外观方面，从曝光的谍照来看，全新福特bronco外观</t>
  </si>
  <si>
    <t>新车买来开了才500公里，启动车的时候往前开或者倒车，放踩刹车和打方向盘会有异响。</t>
  </si>
  <si>
    <t>2020/02/06 08:47:01</t>
  </si>
  <si>
    <t>思域16款尊贵版1.3万公里低速和原地打方向时，间中有卡顿现象。是不是方向助力有问题。</t>
  </si>
  <si>
    <t>家在黑龙江冬季启动怠速热车后水温表显示正常，暖风不热。如果不原地热车在水温没有上升前开暖风到高挡行驶二十公里水温表无法达到正常，暖风也不热。</t>
  </si>
  <si>
    <t>一键启动失灵是什么原因该如何解决？该怎么处理？</t>
  </si>
  <si>
    <t>2020/02/06 08:47:00</t>
  </si>
  <si>
    <t>投诉编号：【446456】  投诉时间： 2020-02-06 08:46  投诉品牌： 吉利汽车  投诉车系： 帝豪GL  投诉车型： 2018款 1.4T 自动 尊贵智联型        投诉内容  之前中控可以实时显示PM2.5数值，现在无法显示，怀疑厂家升级版本时阉割！CarPlay功能也被</t>
  </si>
  <si>
    <t>2020/02/06 08:46:00</t>
  </si>
  <si>
    <t>本田飞度发动机冷启动抖动 有打齿声发动机冷启动，有1-2秒的剧烈振动并伴有非常大声打齿声音，主要发生在夏天温度35度以上或冬天5度以下。最早这种现象比较少，现在越来越频繁了。网上查了，这个飞度的发动机都有这个共病。应该是部件的共病申请厂家免费维修。</t>
  </si>
  <si>
    <t>2020/02/06 08:45:00</t>
  </si>
  <si>
    <t>发动机冷启动，有1-2秒的剧烈振动并伴有非常大声打齿声音，主要发生在夏天温度35度以上或冬天5度以下。最早这种现象比较少，现在越来越频繁了。网上查了，这个飞度的发动机都有这个共病。应该是部件的共病申请厂家免费维修。</t>
  </si>
  <si>
    <t>2020/02/06 08:44:00</t>
  </si>
  <si>
    <t>大众探岳车灯不透亮夜间行车影响安全左侧车灯白内障不透亮，夜间行车不安全亮度低，目前右侧车灯没有出现这个问题，不知道以后会不会出现。</t>
  </si>
  <si>
    <t>左侧车灯白内障不透亮，夜间行车不安全亮度低，目前右侧车灯没有出现这个问题，不知道以后会不会出现。</t>
  </si>
  <si>
    <t>我19年01月买的卡罗拉综合油耗7.6属于正常吗？官方数据是4个多。</t>
  </si>
  <si>
    <t>2020/02/06 08:43:28</t>
  </si>
  <si>
    <t>我在2019年11月初发现后避震漏油并且减震异响，4s店说要等看到油流出来才可以保修，明显看得出来漏了，想问一下厂家是否这样规定的？</t>
  </si>
  <si>
    <t>环绕声                 维修技师</t>
  </si>
  <si>
    <t>2020/02/06 08:42:00</t>
  </si>
  <si>
    <t>大众速腾变速箱加速减速有异响加油松油有咯吱声，希望厂家能处理。</t>
  </si>
  <si>
    <t>2020/02/06 08:41:00</t>
  </si>
  <si>
    <t>大众帕萨特碰撞测试中A柱断裂中保研碰撞测试A柱断裂，驾驶员一侧安全气囊偏离，严重影响安全，要求尽快处理。</t>
  </si>
  <si>
    <t>加油松油有咯吱声，希望厂家能处理。</t>
  </si>
  <si>
    <t>直路方向盘扶正，车子往左跑。2018年在4s调过一次，没有解决，现在越来越严重</t>
  </si>
  <si>
    <t>2020/02/06 08:40:00</t>
  </si>
  <si>
    <t>帝豪GS车辆行驶跑偏希望厂家解决直路方向盘扶正，车子往左跑。2018年在4s调过一次，没有解决，现在越来越严重</t>
  </si>
  <si>
    <t>雷克萨斯RX怠速时油箱位置异响严重新车2600公里开始，怠速情况下，在底盘后部油箱位置处异响严重，类似“呼噜呼噜”的声音。</t>
  </si>
  <si>
    <t>2020/02/06 08:39:00</t>
  </si>
  <si>
    <t>新车2600公里开始，怠速情况下，在底盘后部油箱位置处异响严重，类似“呼噜呼噜”的声音。</t>
  </si>
  <si>
    <t>发动机报警冷却液低，检查发现液位已经最低，加到最高位两周后再次到最低位置，4S店检查为节温器问题，需要更换，此零件并非特别易损件，使用3年多就坏掉，为厂家设计问题不应该由消费者买单，此缺陷为A4L普遍现象，投诉率高，强烈要求厂家就此缺陷召回。最后拆车发现节温器，水泵，水壶同时都坏掉了，需要同时更换三</t>
  </si>
  <si>
    <t>2020/02/06 08:38:00</t>
  </si>
  <si>
    <t>奥迪A4L节温器故障发动机报警冷却液低，检查发现液位已经最低，加到最高位两周后再次到最低位置，4S店检查为节温器问题，需要更换，此零件并非特别易损件，使用3年多就坏掉，为厂家设计问题不应该由消费者买单，此缺陷为A4L普遍现象，投诉率高，强烈要求厂家就此缺陷召回。最后拆车发现节温器，水泵，水壶同时都坏</t>
  </si>
  <si>
    <t>2020/02/06 07:10:00</t>
  </si>
  <si>
    <t>2020/02/06 05:14:26</t>
  </si>
  <si>
    <t>投诉编号：【446454】
投诉时间： 2020-02-06 03:04
投诉品牌： 雷克萨斯
投诉车系： 雷克萨斯ES
投诉车型： 2020款 260 尊享版</t>
  </si>
  <si>
    <t>2020/02/06 02:31:01</t>
  </si>
  <si>
    <t>投诉编号：【446453】
投诉时间： 2020-02-06 02:12
投诉品牌： 北京现代
投诉车系： 索纳塔八
投诉车型： 2013款 2.0L 领先版</t>
  </si>
  <si>
    <t>2020/02/06 02:13:41</t>
  </si>
  <si>
    <t>投诉编号：【446452】
投诉时间： 2020-02-06 01:10
投诉品牌： 东南汽车
投诉车系： 东南DX3
投诉车型： 2016款 1.5L 手动 尊贵型</t>
  </si>
  <si>
    <t>2020/02/06 01:03:49</t>
  </si>
  <si>
    <t>投诉编号：【446450】
投诉时间： 2020-02-06 00:07
投诉品牌： 东风标致
投诉车系： 标致408
投诉车型： 2015款 1.2T 自动 豪华版</t>
  </si>
  <si>
    <t>投诉编号：【446451】  投诉时间： 2020-02-06 00:36  投诉品牌： 长安汽车  投诉车系： 长安欧尚X7  投诉车型： 2020款 1.5T 自动 精英型        投诉内容  后尾灯不亮，存在安全隐患。难道厂家只为省几颗灯泡钱吗？这是在哪生命不当回事啊？让相信长安，信赖国</t>
  </si>
  <si>
    <t>2020/02/06 00:36:00</t>
  </si>
  <si>
    <t>投诉编号：【446449】  投诉时间： 2020-02-05 23:50  投诉品牌： 上汽大众  投诉车系： 帕萨特  投诉车型： 2019款 330TSI 精英版 国VI        投诉内容  经过中保研测试，A柱断裂，给驾驶员带来安全问题。      投诉回复  车质网已将您的投诉转给生</t>
  </si>
  <si>
    <t>2020/02/05 23:50:00</t>
  </si>
  <si>
    <t>投诉编号：【446447】  投诉时间： 2020-02-05 23:44  投诉品牌： 东风雪铁龙  投诉车系： 雪铁龙C6  投诉车型： 2017款 350THP 豪华型        投诉内容  这个车到现在2年8个月，在2019年11月3号带着朋友家人去游玩的快速路上发现仪表盘发动机故障，刚</t>
  </si>
  <si>
    <t>2020/02/05 23:44:00</t>
  </si>
  <si>
    <t>2020/02/05 23:09:54</t>
  </si>
  <si>
    <t>投诉编号：【446446】
投诉时间： 2020-02-05 22:39
投诉品牌： 长安汽车
投诉车系： 长安欧尚A600
投诉车型： 2019款 1.5L 手动 简约型</t>
  </si>
  <si>
    <t>2020/02/05 22:14:16</t>
  </si>
  <si>
    <t>投诉编号：【446444】
投诉时间： 2020-02-05 22:09
投诉品牌： 奇瑞汽车
投诉车系： 瑞虎3x
投诉车型： 2017款 1.5L 手动 时尚版</t>
  </si>
  <si>
    <t>2020/02/05 22:14:08</t>
  </si>
  <si>
    <t>投诉编号：【446441】
投诉时间： 2020-02-05 21:35
投诉品牌： 上汽通用雪佛兰
投诉车系： 迈锐宝XL
投诉车型： 2019款 Redline 550T 自动 锐动版</t>
  </si>
  <si>
    <t>投诉编号：【446443】  投诉时间： 2020-02-05 21:54  投诉品牌： 一汽丰田  投诉车系： RAV4荣放  投诉车型： 2016款 2.0L CVT 两驱 风尚版 国V        投诉内容  车辆启动过几分钟以后驾驶室异响，哒哒哒连续出现，虽不影响驾驶，但听着烦心，望厂家能</t>
  </si>
  <si>
    <t>2020/02/05 21:54:00</t>
  </si>
  <si>
    <t>2020/02/05 21:38:04</t>
  </si>
  <si>
    <t>投诉编号：【446438】
投诉时间： 2020-02-05 21:12
投诉品牌： 上汽集团
投诉车系： 荣威RX5
投诉车型： 2020款 20T 自动 Ali智联网超越旗舰版</t>
  </si>
  <si>
    <t>投诉编号：【446440】  投诉时间： 2020-02-05 21:27  投诉品牌： 东南汽车  投诉车系： 东南DX3  投诉车型： 2019款 1.5L 手动 豪华型 国VI        投诉内容  东南DX3发动机故障灯报警希望处理，换了零件也没用。      投诉回复  车质网已将您的</t>
  </si>
  <si>
    <t>2020/02/05 21:27:00</t>
  </si>
  <si>
    <t>投诉编号：【446439】  投诉时间： 2020-02-05 21:25  投诉品牌： 广汽丰田  投诉车系： 雷凌  投诉车型： 2019款 185T CVT 豪华版 国V        投诉内容  发动机温度起来后挂入P挡档，怠速在800至1100转波动，油耗高！声音忽大忽小！      投诉</t>
  </si>
  <si>
    <t>2020/02/05 21:25:00</t>
  </si>
  <si>
    <t>投诉编号：【446437】  投诉时间： 2020-02-05 21:11  投诉品牌： 广汽本田  投诉车系： 雅阁  投诉车型： 2018款 2.0L 锐领版 锐·混动 国VI        投诉内容  方向盘卡顿，转向有阻力，施加压力则转向过度。转向不顺滑，有卡滞感，手感不均匀，高速时越发明显</t>
  </si>
  <si>
    <t>2020/02/05 21:11:00</t>
  </si>
  <si>
    <t>投诉编号：【446436】  投诉时间： 2020-02-05 21:05  投诉品牌： 吉利汽车  投诉车系： 博瑞  投诉车型： 2016款 2.4L 尊雅型        投诉内容  吉利博瑞2.4L烧机油，壳牌全合成机油一万公里就到机油尺下限了，4S店说是正常现象。      投诉回复  车</t>
  </si>
  <si>
    <t>2020/02/05 21:05:00</t>
  </si>
  <si>
    <t>2020/02/05 20:39:34</t>
  </si>
  <si>
    <t>投诉编号：【446434】
投诉时间： 2020-02-05 20:17
投诉品牌： 上汽大众
投诉车系： 帕萨特
投诉车型： 2019款 330TSI 豪华版 国VI</t>
  </si>
  <si>
    <t>通常情况下，我们在4s店买完汽车后，都会赠送至少一次的车辆保养，所以很多车主都会毫不犹豫的选择去4s店做保养，但是要给大家提个醒，在4s店做车辆保养的时候，这三个项目基本上都是坑，那些老司机们从来都不在4s店做这种保养，自己保养也可以做得很好。当汽车行驶到四五万公里的时候，就要考虑做一次大的汽车保养</t>
  </si>
  <si>
    <t>2020/02/05 20:33:00</t>
  </si>
  <si>
    <t>4s店做车辆保养这些项目都是坑通常情况下，我们在4s店买完汽车后，都会赠送至少一次的车辆保养，所以很多车主都会毫不犹豫的选择去4s店做保养，但是要给大家提个醒，在4s店做车辆保养的时候，这三个项目基本上都是坑，那些老司机们从来都不在4s店做这种保养，自己保养也可以做得很好。当汽车行驶到四五万公里的时</t>
  </si>
  <si>
    <t>投诉编号：【446435】  投诉时间： 2020-02-05 20:28  投诉品牌： 众泰汽车  投诉车系： 众泰T300  投诉车型： 2017款 1.5L 手动 尊享型        投诉内容  有异响，挂倒挡经常出现挂不进去的情况要多挂几次。      投诉回复  车质网已将您的投诉转给生</t>
  </si>
  <si>
    <t>2020/02/05 20:28:00</t>
  </si>
  <si>
    <t>2020/02/05 20:01:18</t>
  </si>
  <si>
    <t>投诉编号：【446433】
投诉时间： 2020-02-05 20:00
投诉品牌： 上汽大众
投诉车系： 朗逸
投诉车型： 2018款 1.5L 自动 风尚版 国V</t>
  </si>
  <si>
    <t>投诉编号：【446431】  投诉时间： 2020-02-05 19:53  投诉品牌： 东风日产  投诉车系： 逍客  投诉车型： 2016款 2.0L CVT 尊享版        投诉内容  车内异味大，异味非常大，买来发现异味大，4s店说晒晒就好了，现在晒了快4年了，依然气味刺鼻，冬天开车也</t>
  </si>
  <si>
    <t>2020/02/05 19:53:00</t>
  </si>
  <si>
    <t>2020/02/05 19:39:25</t>
  </si>
  <si>
    <t>投诉编号：【446427】
投诉时间： 2020-02-05 19:24
投诉品牌： 东风日产
投诉车系： 轩逸
投诉车型： 2020款 1.6L XL CVT 悦享版</t>
  </si>
  <si>
    <t>投诉编号：【446429】  投诉时间： 2020-02-05 19:29  投诉品牌： 东风日产  投诉车系： 奇骏  投诉车型： 2019款 2.0L CVT 舒适版 5座 2WD        投诉内容  电瓶电量出现明显衰退，电压长期处于亏电状态，启动困难！      投诉回复  车质网已将</t>
  </si>
  <si>
    <t>2020/02/05 19:29:00</t>
  </si>
  <si>
    <t>　　2月5日，第十五届印度德里国际车展在印度首都德里隆重开幕。作为全球知名的SUV及皮卡制造商，长城汽车携哈弗和长城EV首次亮相印度德里车展，并推出了多款核心零部件产品，向印度消费者展示了长城汽车强大的产品阵容和领先的科技实力。此次印度车展，长城汽车采取独立包馆的形式，展台面积达3150平米，创历史</t>
  </si>
  <si>
    <t>2020/02/05 18:50:00</t>
  </si>
  <si>
    <t>2月5日，第十五届印度德里国际车展在印度首都德里隆重开幕。作为全球知名的SUV及皮卡制造商，长城汽车携哈弗和长城EV首次亮相印度德里车展，并推出了多款核心零部件产品，向印度消费者展示了长城汽车强大的产品阵容和领先的科技实力。此次印度车展，长城汽车采取独立包馆的形式，展台面积达3150平米，创历史记录</t>
  </si>
  <si>
    <t xml:space="preserve">投诉编号：【446422】  投诉时间： 2020-02-05 18:43  投诉品牌： 众泰汽车  投诉车系： 众泰T600  投诉车型： 2015款 1.5T 手动 精英型        投诉内容  欺骗我，问题不解决导致我半年没用车。直到拖延时间现在出保，回复我收费才给我解决我的问题。    </t>
  </si>
  <si>
    <t>2020/02/05 18:43:00</t>
  </si>
  <si>
    <t>投诉编号：【446420】  投诉时间： 2020-02-05 18:19  投诉品牌： 比亚迪  投诉车系： 速锐  投诉车型： 2015款 1.5L 手动 豪华型        投诉内容  本人在2017年3月15投诉到4s店，投诉内容是变速箱异响，我跟4s店售后维修经理说了异响问题，查验了变速</t>
  </si>
  <si>
    <t>2020/02/05 18:19:00</t>
  </si>
  <si>
    <t>2020/02/05 18:03:36</t>
  </si>
  <si>
    <t>投诉编号：【446416】
投诉时间： 2020-02-05 17:35
投诉品牌： 长城汽车
投诉车系： 哈弗H4
投诉车型： 2019款 1.5GDIT DCT 豪华智联版 红标</t>
  </si>
  <si>
    <t>投诉编号：【446415】  投诉时间： 2020-02-05 17:30  投诉品牌： 一汽-大众奥迪  投诉车系： 奥迪A4L  投诉车型： 2016款 2.0T CVT 舒适型 典藏版        投诉内容  发动机报警冷却液低，检查发现液位已经最低，加到最高位两周后再次到最低位置，4S店检</t>
  </si>
  <si>
    <t>2020/02/05 17:30:00</t>
  </si>
  <si>
    <t>新款雷凌保养需要换机油和滤芯吗？首保项目没有说更换机油和滤芯这些。只是基本的检查。然后问了4s店，首保里面没有说更换机油，如果你要换的话需要额外收费。</t>
  </si>
  <si>
    <t>2020/02/05 17:26:25</t>
  </si>
  <si>
    <t xml:space="preserve">投诉编号：【446414】  投诉时间： 2020-02-05 17:25  投诉品牌： 雷克萨斯  投诉车系： 雷克萨斯RX  投诉车型： 2020款 300 四驱 典雅版 国VI        投诉内容  新车2600公里开始，怠速情况下，在底盘后部油箱位置处异响严重，类似“呼噜呼噜”的声音。 </t>
  </si>
  <si>
    <t>2020/02/05 17:25:00</t>
  </si>
  <si>
    <t>投诉编号：【446412】  投诉时间： 2020-02-05 16:58  投诉品牌： 凯马  投诉车系： 国五  投诉车型： 普通货车        投诉内容  凯马中型货车仪表没有任何异常的情况下发动机拉缸，去售后服务站维修费用两千六百元全部由我个人承担的。服务站经理硬说是人为的，三包期时间为</t>
  </si>
  <si>
    <t>2020/02/05 16:58:00</t>
  </si>
  <si>
    <t>方向盘转动太累，电子助力灯黄灯亮起是什么原因？</t>
  </si>
  <si>
    <t>2020/02/05 16:51:55</t>
  </si>
  <si>
    <t>投诉编号：【446411】投诉时间：2020-02-0516:46投诉品牌：吉利汽车投诉车系：帝豪GS投诉车型：2016款1.8L自动领尚型优雅版投诉内容直路方向盘扶正，车子往左跑。2018年在4s调过一次，没有解决，现在越来越严重投诉回复车质网已将您的投诉转给生产企业以及国家市场监督管理总局缺陷产</t>
  </si>
  <si>
    <t>2020/02/05 16:46:00</t>
  </si>
  <si>
    <t>Rx3这个车子是不是漏电，刚换的电瓶二天又发不起来了，哪里的问题</t>
  </si>
  <si>
    <t>女人的谎言</t>
  </si>
  <si>
    <t>2020/02/05 16:42:00</t>
  </si>
  <si>
    <t>Rx3这个车子是不是漏电 刚换的电瓶二天又发不起来了Rx3这个车子是不是漏电，刚换的电瓶二天又发不起来了，哪里的问题</t>
  </si>
  <si>
    <t>投诉编号：【446410】投诉时间：2020-02-0516:39投诉品牌：比速汽车投诉车系：比速T5投诉车型：2017款1.5T自动尊贵型投诉内容暖风电机不工作，影响正常使用，希望厂家处理。投诉回复车质网已将您的投诉转给生产企业以及国家市场监督管理总局缺陷产品管理中心，我们将会对此投诉继续跟踪，请</t>
  </si>
  <si>
    <t>2020/02/05 16:39:00</t>
  </si>
  <si>
    <t>冷车启动声音不正常，热车启动又没有。</t>
  </si>
  <si>
    <t>2020/02/05 16:26:09</t>
  </si>
  <si>
    <t xml:space="preserve">投诉编号：【446409】  投诉时间： 2020-02-05 16:04  投诉品牌： 上汽大众  投诉车系： 帕萨特  投诉车型： 2019款 330TSI 尊贵版 VI        投诉内容  中保研碰撞测试A柱断裂，驾驶员一侧安全气囊偏离，严重影响安全，要求尽快处理。      投诉回复 </t>
  </si>
  <si>
    <t>2020/02/05 16:04:00</t>
  </si>
  <si>
    <t>下班回家将车停好熄火后发现玻璃未关，于是重新启动电源准备关玻璃，结果驻车制动图标闪烁并报警，说制动系统故障，于是重新启动后踩了刹车又重新释放手刹后好了，请问这是什么原因，车是刚买的18款新蒙迪欧还不到一个月。</t>
  </si>
  <si>
    <t>2020/02/05 15:56:29</t>
  </si>
  <si>
    <t>车在室外放了4天，今天用车，启动不了，发出咔咔的声音，之后发动机认证不了！怎么回事？</t>
  </si>
  <si>
    <t>2020/02/05 15:37:01</t>
  </si>
  <si>
    <t>车在室外放了4天，今天用车，启动不了，发出咔咔的声音，之后后发动机认证不了！怎么回事？</t>
  </si>
  <si>
    <t>cg237518</t>
  </si>
  <si>
    <t>2020/02/05 15:32:00</t>
  </si>
  <si>
    <t>今天车启动不了 发动机不启动不认证车在室外放了4天，今天用车，启动不了，发出咔咔的声音，之后后发动机认证不了！怎么回事？</t>
  </si>
  <si>
    <t>10万左边落地，这个价位有什么如的车型推荐呢？先合适后国产，先SUV后轿车，要相对来说性价比高的，稳定，省油点的，烦请给个建议…</t>
  </si>
  <si>
    <t>2020/02/05 15:24:48</t>
  </si>
  <si>
    <t>投诉编号：【446407】  投诉时间： 2020-02-05 15:24  投诉品牌： 一汽-大众  投诉车系： 速腾  投诉车型： 2017款 1.6L 自动 舒适型        投诉内容  加油松油有咯吱声，希望厂家能处理。      投诉回复  车质网已将您的投诉转给生产企业以及国家市场监</t>
  </si>
  <si>
    <t>2020/02/05 15:24:00</t>
  </si>
  <si>
    <t>三缸别克gl6家用怎样，开三五年后会不会抖动的厉害噪音越来越严重！部件磨损严重！如果不在4s店保养维护厂家所承诺的保几年保十几万公里如果出问题是不是就推脱不在保之内了！谢谢</t>
  </si>
  <si>
    <t>2020/02/05 15:20:50</t>
  </si>
  <si>
    <t>　　新型冠状病毒疫情牵动着全国人民的心，共同抗击病毒成为举国上下的头等大事。广汽三菱严格按照政府和集团的要求迅速部署，加强疫情防控工作组织，并坚定地履行着“企业公民”的义务和职责。　　病毒无情人有情，抗疫行动暖人心。为全力支援疫情防控，广汽三菱通过中国社会福利基金会芒果V基金向湖南省新型冠状病毒疫情</t>
  </si>
  <si>
    <t>2020/02/05 15:02:00</t>
  </si>
  <si>
    <t>　　众所周知，中国地大，跨度大，气象万千，部分地区的也少不了冰雪天气，那么问题来了，冰雪天气要注意什么？据说有些车主的车一夜之间就被冰的动弹不得？　　行车　　挡泥板　　关于挡泥板的那些事，可以说是亲身体验了，如果长期在北方生活的朋友们，建议车子不要加装铁质的挡泥板，因为在雪路上行驶，积雪会被打在挡泥</t>
  </si>
  <si>
    <t>2020/02/05 14:42:00</t>
  </si>
  <si>
    <t>众所周知，中国地大，跨度大，气象万千，部分地区的也少不了冰雪天气，那么问题来了，冰雪天气要注意什么？据说有些车主的车一夜之间就被冰的动弹不得？    行车    挡泥板    关于挡泥板的那些事，可以说是亲身体验了，如果长期在北方生活的朋友们，建议车子不要加装铁质的挡泥板，因为在雪路上行驶，积雪会被</t>
  </si>
  <si>
    <t>　　又到一年起雾季，挡风玻璃“发脾气”。每当冬天到来的时候，汽车的玻璃都特别容易起雾，尤其是停放过夜后，雾气更加严重，很多车主都喜欢通过用抹布擦的方式来解决，但是我们为何不用一些根治的方法来预防呢？下面我们就来说说有什么好办法，可以除雾或者是预防起雾。　　开窗除雾　　首先都是大家都清楚的一个办法，就</t>
  </si>
  <si>
    <t>2020/02/05 14:40:00</t>
  </si>
  <si>
    <t>投诉编号：【446404】  投诉时间： 2020-02-05 14:40  投诉品牌： 上汽通用五菱  投诉车系： 宝骏560  投诉车型： 2016款 1.5T 手动 豪华型        投诉内容  右后减震器漏油，要求免费更换减震器或者定价赔偿。      投诉回复  车质网已将您的投诉转给</t>
  </si>
  <si>
    <t>又到一年起雾季，挡风玻璃“发脾气”。每当冬天到来的时候，汽车的玻璃都特别容易起雾，尤其是停放过夜后，雾气更加严重，很多车主都喜欢通过用抹布擦的方式来解决，但是我们为何不用一些根治的方法来预防呢？下面我们就来说说有什么好办法，可以除雾或者是预防起雾。    开窗除雾    首先都是大家都清楚的一个办法</t>
  </si>
  <si>
    <t>　　车辆越来越多，在路上发生点小剐蹭也是在所难免的事。我们大部分时候再发生交通事故第一反应是找警察，可是警察过来需要很长的时间，车辆长时间不移动容易造成交通堵塞，移车又破坏了事故现场。　　所以发生交通事故之后如果人没有受伤，第一时间要先拍下事故现场照片保留证据。然后选择报警或报保险，再看是否需要移开</t>
  </si>
  <si>
    <t>崔泽圣</t>
  </si>
  <si>
    <t>2020/02/05 14:38:00</t>
  </si>
  <si>
    <t>车辆越来越多，在路上发生点小剐蹭也是在所难免的事。我们大部分时候再发生交通事故第一反应是找警察，可是警察过来需要很长的时间，车辆长时间不移动容易造成交通堵塞，移车又破坏了事故现场。    所以发生交通事故之后如果人没有受伤，第一时间要先拍下事故现场照片保留证据。然后选择报警或报保险，再看是否需要移开</t>
  </si>
  <si>
    <t>　　那么有哪些车上尽量不要放置的汽车用品呢？那么这次就来讲几个汽车用品的反例来警示一下大家。　　1：全覆盖脚垫　　危险级别：★★★★★　　很多车主在购买了新车以后，对车子都爱护有加，为了防止上下车弄脏地板，就会选择全覆盖式的脚垫，将所有脚能碰到的地方都盖住。但是，这种脚垫的侧面和油门离得非常近，一旦</t>
  </si>
  <si>
    <t>2020/02/05 14:35:00</t>
  </si>
  <si>
    <t>那么有哪些车上尽量不要放置的汽车用品呢？那么这次就来讲几个汽车用品的反例来警示一下大家。    1：全覆盖脚垫    危险级别：★★★★★    很多车主在购买了新车以后，对车子都爱护有加，为了防止上下车弄脏地板，就会选择全覆盖式的脚垫，将所有脚能碰到的地方都盖住。但是，这种脚垫的侧面和油门离得非常</t>
  </si>
  <si>
    <t>　　大家在买车的时候，都会有一个不理性的选择，就是觉得买车就要上高配，配置多，车就好，但是作为一名阅车无数的汽车编辑，我决定用我自己的亲身经历来告诉大家一个明确的概念，有的配置，有了并不代表好用。　　有的配置作为厂家不甘落后时代的产物，其实用性并不高，只是为了提高产品竞争力，提升价格区间而已。所以有</t>
  </si>
  <si>
    <t>2020/02/05 14:32:00</t>
  </si>
  <si>
    <t>大家在买车的时候，都会有一个不理性的选择，就是觉得买车就要上高配，配置多，车就好，但是作为一名阅车无数的汽车编辑，我决定用我自己的亲身经历来告诉大家一个明确的概念，有的配置，有了并不代表好用。    有的配置作为厂家不甘落后时代的产物，其实用性并不高，只是为了提高产品竞争力，提升价格区间而已。所以有</t>
  </si>
  <si>
    <t>　　日前，有海外媒体曝光了一组西雅特旗下高性能子品牌Cupra中型SUV――Formentor量产版谍照，新车或将搭载最大功率为245Ps（180kW）插电式混合动力系统。据了解，该车已确定在2020日内瓦车展上正式亮相。Cupra Formentor量产版谍照Cupra Formentor 概念车</t>
  </si>
  <si>
    <t>2020/02/05 14:25:00</t>
  </si>
  <si>
    <t>日前，有海外媒体曝光了一组西雅特旗下高性能子品牌Cupra中型SUV——Formentor量产版谍照，新车或将搭载最大功率为245Ps（180kW）插电式混合动力系统。据了解，该车已确定在2020日内瓦车展上正式亮相。Cupra Formentor量产版谍照Cupra Formentor 概念车官图</t>
  </si>
  <si>
    <t>　　在新型冠状病毒疫情出现后，全国上下纷纷参与到了这场没有硝烟的“战争”中。其中，汽车行业也涌现出一批零部件企业走在支援新型冠状病毒疫情防控的前列。　　据最新消息，博格华纳于2月5日向中国捐赠200万元，支援武汉抗击新型冠状病毒肺炎疫情。这笔款项将分别捐赠予武汉市当地人民医院及上海两家积极支援武汉救</t>
  </si>
  <si>
    <t>2020/02/05 14:23:00</t>
  </si>
  <si>
    <t>在新型冠状病毒疫情出现后，全国上下纷纷参与到了这场没有硝烟的“战争”中。其中，汽车行业也涌现出一批零部件企业走在支援新型冠状病毒疫情防控的前列。    据最新消息，博格华纳于2月5日向中国捐赠200万元，支援武汉抗击新型冠状病毒肺炎疫情。这笔款项将分别捐赠予武汉市当地人民医院及上海两家积极支援武汉救</t>
  </si>
  <si>
    <t>　　2月4日，有用户在微博上提问，特斯拉是否会因疫情影响延迟第一、二季度的车辆交付工作，对此特斯拉公司全球副总裁陶琳在微博上回复，表示原定于春节后2月的交付工作会因疫情暂缓，目前正在制定相关计划中。　　根据此前报道，中国制造版特斯拉Model 3已于1月7日进行了首批车主交付，而第一季度将会是集中交</t>
  </si>
  <si>
    <t>2020/02/05 14:22:00</t>
  </si>
  <si>
    <t>2月4日，有用户在微博上提问，特斯拉是否会因疫情影响延迟第一、二季度的车辆交付工作，对此特斯拉公司全球副总裁陶琳在微博上回复，表示原定于春节后2月的交付工作会因疫情暂缓，目前正在制定相关计划中。    根据此前报道，中国制造版特斯拉Model 3已于1月7日进行了首批车主交付，而第一季度将会是集中交</t>
  </si>
  <si>
    <t>　　逍客是日产旗下一款紧凑型suv，目前已到全新换代阶段。日前，我们从海外媒体kolesa获悉，日产全新一代逍客将于今年9月份开幕的法兰克福车展上正式亮相。新车外观加入日产最新家族式设计风格，内饰在科技感方面也得到大幅度升级，动力方面还有望加入插混系统。　　根据此前曝光的路试谍照可以看出，新车外观轮</t>
  </si>
  <si>
    <t>2020/02/05 14:21:00</t>
  </si>
  <si>
    <t>逍客是日产旗下一款紧凑型suv，目前已到全新换代阶段。日前，我们从海外媒体kolesa获悉，日产全新一代逍客将于今年9月份开幕的法兰克福车展上正式亮相。新车外观加入日产最新家族式设计风格，内饰在科技感方面也得到大幅度升级，动力方面还有望加入插混系统。    根据此前曝光的路试谍照可以看出，新车外观轮</t>
  </si>
  <si>
    <t>　　近日，海外媒体率先曝光了福特tx4车型的最新信息。福特tx4车型专为南美市场开发，上市后的预计起售价为39，436美元（折合人民币27.6万元）。　　全新福特tx4车型的造型设计延续了福特传统的硬朗风格，包括涉水器等特殊设计使得tx4车型的野外行驶能力十分出色。该全新车型的前后包围为蓝色钢制材料</t>
  </si>
  <si>
    <t>2020/02/05 14:19:00</t>
  </si>
  <si>
    <t>近日，海外媒体率先曝光了福特tx4车型的最新信息。福特tx4车型专为南美市场开发，上市后的预计起售价为39，436美元（折合人民币27.6万元）。    全新福特tx4车型的造型设计延续了福特传统的硬朗风格，包括涉水器等特殊设计使得tx4车型的野外行驶能力十分出色。该全新车型的前后包围为蓝色钢制材料</t>
  </si>
  <si>
    <t>　　近日，国外媒体发布了新款三菱eclipse跨界suv车型的合成图。据悉，新三菱eclipse跨界suv车型将在今年晚些时候正式发布。　　本次发布的合成图基于早先曝光的路试谍照制作，由于是中期改款，新三菱eclipse跨界suv的车身设计变化不大，前脸和尾部设计基本保持一致。与当前款车型不同的是，</t>
  </si>
  <si>
    <t>2020/02/05 14:17:00</t>
  </si>
  <si>
    <t>近日，国外媒体发布了新款三菱eclipse跨界suv车型的合成图。据悉，新三菱eclipse跨界suv车型将在今年晚些时候正式发布。    本次发布的合成图基于早先曝光的路试谍照制作，由于是中期改款，新三菱eclipse跨界suv的车身设计变化不大，前脸和尾部设计基本保持一致。与当前款车型不同的是，</t>
  </si>
  <si>
    <t>投诉编号：【446400】  投诉时间： 2020-02-05 14:15  投诉品牌： 华晨宝马  投诉车系： 宝马5系新能源  投诉车型： 2020款 530Le 先锋版        投诉内容  无意逛论坛，发现有1月15日提2020款宝马530le的车主电池续航里程为95km，我的车是201</t>
  </si>
  <si>
    <t>2020/02/05 14:15:00</t>
  </si>
  <si>
    <t>近日，有媒体从beijing品牌官方获悉，为了守护广大奋战在出行保障一线的工作人员，在北汽集团的统一安排部署下，beijing品牌在出租车、网约车、驾校培训领域与逆行英雄共筑防疫的三道“钢铁长城”，这也是北汽集团连日来一系列防疫工作部署的重要一环。    自疫情发生以来，北汽集团第一时间驰援疫区捐资</t>
  </si>
  <si>
    <t>2020/02/05 14:14:00</t>
  </si>
  <si>
    <t>　　近日，有媒体从beijing品牌官方获悉，为了守护广大奋战在出行保障一线的工作人员，在北汽集团的统一安排部署下，beijing品牌在出租车、网约车、驾校培训领域与逆行英雄共筑防疫的三道“钢铁长城”，这也是北汽集团连日来一系列防疫工作部署的重要一环。　　自疫情发生以来，北汽集团第一时间驰援疫区捐资</t>
  </si>
  <si>
    <t>2020/02/05 14:12:48</t>
  </si>
  <si>
    <t>投诉编号：【446398】
投诉时间： 2020-02-05 14:02
投诉品牌： 东风标致
投诉车系： 标致308
投诉车型： 2014款 乐享版 经典 1.6L 手动 风尚型</t>
  </si>
  <si>
    <t>投诉编号：【446399】  投诉时间： 2020-02-05 14:12  投诉品牌： 一汽-大众  投诉车系： 探岳  投诉车型： 2019款 330TSI 两驱 豪华型 国Ⅵ        投诉内容  左侧车灯白内障不透亮，夜间行车不安全亮度低，目前右侧车灯没有出现这个问题，不知道以后会不会出</t>
  </si>
  <si>
    <t>2020/02/05 14:12:00</t>
  </si>
  <si>
    <t>近日，我们从外媒获悉，目前马自达为自己研发的直列六缸发动机的排气系统和八速自动变速器申请了专利，这条令人兴奋的消息也标志着马自达的skyactiv-x技术将搭载到全新六缸发动机上，预计最快2025年之前实现量产。    马自达这套全新的发动机排气通过改变排气口的结构来确保排气效率，同时减小发动机的尺</t>
  </si>
  <si>
    <t>2020/02/05 14:11:00</t>
  </si>
  <si>
    <t>　　近日，我们从外媒获悉，目前马自达为自己研发的直列六缸发动机的排气系统和八速自动变速器申请了专利，这条令人兴奋的消息也标志着马自达的skyactiv-x技术将搭载到全新六缸发动机上，预计最快2025年之前实现量产。　　马自达这套全新的发动机排气通过改变排气口的结构来确保排气效率，同时减小发动机的尺</t>
  </si>
  <si>
    <t>全顺connect是福特旗下的一款小型货车，作为全顺系列的一员在海外市场有着较高的关注度。日前，我们从海外媒体获得了一组2020款福特全顺connect谍照，新车将于2021年正式亮相。    福特生产了很多命名为“transit”（国内译名为全顺）的货车，从运送包裹的小型货车到卡车、公共汽车，甚至</t>
  </si>
  <si>
    <t>2020/02/05 14:09:00</t>
  </si>
  <si>
    <t>　　全顺connect是福特旗下的一款小型货车，作为全顺系列的一员在海外市场有着较高的关注度。日前，我们从海外媒体获得了一组2020款福特全顺connect谍照，新车将于2021年正式亮相。　　福特生产了很多命名为“transit”（国内译名为全顺）的货车，从运送包裹的小型货车到卡车、公共汽车，甚至</t>
  </si>
  <si>
    <t>奇瑞瑞虎3x自动挡真实油耗，我车市区油耗12.8升，与经销商起测试。冬季油耗16升左右。可厂家及经销商说无法处理。我万般无奈起诉厂家及经销商。可在法庭庭审时，他们说该车百公里油耗12升正常。空口无凭法庭庭审记录为证。</t>
  </si>
  <si>
    <t>liupengfei</t>
  </si>
  <si>
    <t>2020/02/05 14:02:00</t>
  </si>
  <si>
    <t>奇瑞瑞虎3x自动挡油耗为啥比工信部公布油耗高一倍奇瑞瑞虎3x自动挡真实油耗，我车市区油耗12.8升，与经销商起测试。冬季油耗16升左右。可厂家及经销商说无法处理。我万般无奈起诉厂家及经销商。可在法庭庭审时，他们说该车百公里油耗12升正常。空口无凭法庭庭审记录为证。</t>
  </si>
  <si>
    <t>东风启辰在2019年广州车展上推出了全新suv——启辰星，新车基于全新的vsa智能模块架构打造，将于今年第一季度上市。近日，有媒体从工信部获悉，启辰星将搭载1.5t涡轮增压发动机，并提供dct和mt两种变速箱，其综合工况下百公里油耗最低为6.1升。    启辰星采用全新的平台开发，搭载一台1.5t涡</t>
  </si>
  <si>
    <t>2020/02/05 14:01:00</t>
  </si>
  <si>
    <t>　　东风启辰在2019年广州车展上推出了全新suv――启辰星，新车基于全新的vsa智能模块架构打造，将于今年第一季度上市。近日，有媒体从工信部获悉，启辰星将搭载1.5t涡轮增压发动机，并提供dct和mt两种变速箱，其综合工况下百公里油耗最低为6.1升。　　启辰星采用全新的平台开发，搭载一台1.5t涡</t>
  </si>
  <si>
    <t>近日，法拉利公布了2019年的财务业绩。有媒体获悉，法拉利2019年全球交付量达10,131辆，较2018年增长了9.5％。另外，这是法拉利历史上首次出货量超过10,000辆，随着销量的暴增使得该公司的净收入也达到37.66亿欧元，同比增长10.1％。    具体地区方面，欧洲、中东和非洲是法拉利销</t>
  </si>
  <si>
    <t>2020/02/05 13:59:00</t>
  </si>
  <si>
    <t>　　近日，法拉利公布了2019年的财务业绩。有媒体获悉，法拉利2019年全球交付量达10,131辆，较2018年增长了9.5％。另外，这是法拉利历史上首次出货量超过10,000辆，随着销量的暴增使得该公司的净收入也达到37.66亿欧元，同比增长10.1％。　　具体地区方面，欧洲、中东和非洲是法拉利销</t>
  </si>
  <si>
    <t>　　近日，我们从官方获悉，面对疫情，东风风行全面启动响应机制，积极履行企业社会责任，向疫区防控捐款100万元、针对风行抗疫英雄事迹予以表彰、面向保有客户推出五大暖心专项关爱、为减轻渠道压力不设2月销售目标等一系列举措。　　作为东风汽车旗下重要的自主事业单位，东风风行密切关注疫情变化，及时组织召开了新</t>
  </si>
  <si>
    <t>2020/02/05 13:56:00</t>
  </si>
  <si>
    <t>近日，我们从官方获悉，面对疫情，东风风行全面启动响应机制，积极履行企业社会责任，向疫区防控捐款100万元、针对风行抗疫英雄事迹予以表彰、面向保有客户推出五大暖心专项关爱、为减轻渠道压力不设2月销售目标等一系列举措。    作为东风汽车旗下重要的自主事业单位，东风风行密切关注疫情变化，及时组织召开了新</t>
  </si>
  <si>
    <t>　　此前大众已正式发布与高尔夫系列产品同级的id.3纯电动车，近日，我们从海外媒体获悉，根据大众内部人士的介绍，大众将推出电动高性能车型id.3 r。新车将采用id.r赛车中的电池技术以及温控管理系统等，并有望加入四驱系统。据悉，这款车未来上市则将与目前高尔夫r同级，并有望在2023年推出。　　大众</t>
  </si>
  <si>
    <t>2020/02/05 13:54:00</t>
  </si>
  <si>
    <t>此前大众已正式发布与高尔夫系列产品同级的id.3纯电动车，近日，我们从海外媒体获悉，根据大众内部人士的介绍，大众将推出电动高性能车型id.3 r。新车将采用id.r赛车中的电池技术以及温控管理系统等，并有望加入四驱系统。据悉，这款车未来上市则将与目前高尔夫r同级，并有望在2023年推出。    大众</t>
  </si>
  <si>
    <t>缤智走颠簸，水泥路段前轮咯噔异响，什么情况？</t>
  </si>
  <si>
    <t>华夏民族</t>
  </si>
  <si>
    <t>2020/02/05 13:52:00</t>
  </si>
  <si>
    <t>缤智水泥路段前轮咯噔异响   什么情况？缤智走颠簸，水泥路段前轮咯噔异响，什么情况？</t>
  </si>
  <si>
    <t>　　新型冠状肺炎依旧在持续，来自各大车企的援助也仍然在持续。有媒体了解到，奇瑞利用海外网络优势，从以色列、中亚等国家紧急采购的3万多副n95、医用一次性口罩已于日前抵达国内。另外，从巴西、巴拿马、沙特、科威特、俄罗斯、和阿根廷等国家采购到的更多医疗物资预计也将在3-7天内陆续运抵回国，驰援新冠病毒肺</t>
  </si>
  <si>
    <t>2020/02/05 13:50:00</t>
  </si>
  <si>
    <t>新型冠状肺炎依旧在持续，来自各大车企的援助也仍然在持续。有媒体了解到，奇瑞利用海外网络优势，从以色列、中亚等国家紧急采购的3万多副n95、医用一次性口罩已于日前抵达国内。另外，从巴西、巴拿马、沙特、科威特、俄罗斯、和阿根廷等国家采购到的更多医疗物资预计也将在3-7天内陆续运抵回国，驰援新冠病毒肺炎疫</t>
  </si>
  <si>
    <t>　　帕萨特是大众旗下的一款较为畅销的车型，其定位为中型轿车，与丰田凯美瑞、本田雅阁、日产天籁等车同级别。帕萨特作为一款经典车型，从去年累计销量的角度来看，其受欢迎程度仍高于同家族的辉腾车型（帕萨特19.3万台，辉腾16.9万台）。近日海外媒体曝光了一组大众新款帕萨特车型谍照，新车将在今年下半年在海外</t>
  </si>
  <si>
    <t>2020/02/05 13:47:00</t>
  </si>
  <si>
    <t>帕萨特是大众旗下的一款较为畅销的车型，其定位为中型轿车，与丰田凯美瑞、本田雅阁、日产天籁等车同级别。帕萨特作为一款经典车型，从去年累计销量的角度来看，其受欢迎程度仍高于同家族的辉腾车型（帕萨特19.3万台，辉腾16.9万台）。近日海外媒体曝光了一组大众新款帕萨特车型谍照，新车将在今年下半年在海外市场</t>
  </si>
  <si>
    <t>　　inext是宝马旗下即将推出的一款全新纯电车型，新车或将定位中型suv，未来也将于奔驰eqc、奥迪e-tron等车型展开竞争。近日海外媒体曝光了一组inext路试谍照图片，新车将于2021年正式亮相。　　动力方面，新车将采用纯电形式进行驱动，电池最大功率可达400kw，最大续航里程可达600km</t>
  </si>
  <si>
    <t>2020/02/05 13:46:00</t>
  </si>
  <si>
    <t>inext是宝马旗下即将推出的一款全新纯电车型，新车或将定位中型suv，未来也将于奔驰eqc、奥迪e-tron等车型展开竞争。近日海外媒体曝光了一组inext路试谍照图片，新车将于2021年正式亮相。    动力方面，新车将采用纯电形式进行驱动，电池最大功率可达400kw，最大续航里程可达600km</t>
  </si>
  <si>
    <t>　　levante是玛莎拉蒂旗下的一款中大型suv车型，同时也是品牌推出的唯一一款suv车市，该款车型于2016年以进口形式引入国内市场销售，但因较为品牌较为小众的缘故，其市场销量始终无法与奔驰gle、宝马x5、奥迪q7等品牌车型抗衡。　　近日海外媒体曝光了一组玛莎拉蒂全新levante路试谍照图片</t>
  </si>
  <si>
    <t>2020/02/05 13:44:00</t>
  </si>
  <si>
    <t>levante是玛莎拉蒂旗下的一款中大型suv车型，同时也是品牌推出的唯一一款suv车市，该款车型于2016年以进口形式引入国内市场销售，但因较为品牌较为小众的缘故，其市场销量始终无法与奔驰gle、宝马x5、奥迪q7等品牌车型抗衡。    近日海外媒体曝光了一组玛莎拉蒂全新levante路试谍照图片</t>
  </si>
  <si>
    <t>　　据海外媒体透露，福特正在计划推出一款全新跨界车型，新车将命名为transit connect，同时计划在2022年正式亮相，并有望在同年上市开售。值得一提的是，新车的推出或将取代现款福特蒙迪欧车型。　　外观方面，新车前脸预计将采用多横幅炭黑格栅设计，两侧配备蒙迪欧同款样式头灯组。车身侧面提高了车</t>
  </si>
  <si>
    <t>2020/02/05 13:41:00</t>
  </si>
  <si>
    <t>据海外媒体透露，福特正在计划推出一款全新跨界车型，新车将命名为transit connect，同时计划在2022年正式亮相，并有望在同年上市开售。值得一提的是，新车的推出或将取代现款福特蒙迪欧车型。    外观方面，新车前脸预计将采用多横幅炭黑格栅设计，两侧配备蒙迪欧同款样式头灯组。车身侧面提高了车</t>
  </si>
  <si>
    <t>　　奔驰cla是奔驰旗下首款基于紧凑车身底盘开发的四门轿跑车型，该车基于mfa平台打造，外形设计十分动感，主要针对年轻的消费者市场。与奔驰c级车型相比，cla车型在尺寸和配置方面与之相当，cla车型售价较低的优势较为突出。近日海外媒体曝光了奔驰全新cla 45 amg车型部分信息，新车针对悬架和动力</t>
  </si>
  <si>
    <t>2020/02/05 13:38:00</t>
  </si>
  <si>
    <t>奔驰cla是奔驰旗下首款基于紧凑车身底盘开发的四门轿跑车型，该车基于mfa平台打造，外形设计十分动感，主要针对年轻的消费者市场。与奔驰c级车型相比，cla车型在尺寸和配置方面与之相当，cla车型售价较低的优势较为突出。近日海外媒体曝光了奔驰全新cla 45 amg车型部分信息，新车针对悬架和动力系统</t>
  </si>
  <si>
    <t>投诉编号：【446396】  投诉时间： 2020-02-05 13:37  投诉品牌： 江铃汽车  投诉车系： 域虎3  投诉车型： 2018款 2.5T 两驱 进取版 标准轴距 柴油        投诉内容  新车在三千公里的时候亮故障灯，之后时亮时不亮，一直持续到现在。在九千公里左右的时候，发</t>
  </si>
  <si>
    <t>2020/02/05 13:37:00</t>
  </si>
  <si>
    <t>　　梅甘娜是雷诺旗下的一款紧凑级轿车，遗憾的是该款车型仅在海外市场进行销售，而国内市场尚未布局该款车型。近日海外媒体曝光了一组更高性能的新款梅甘娜rs车型图片，新车预计将于今年年内上市开售。　　动力方面，新车将继续搭载1.8t涡轮增压发动机，最大功率可达224kw，峰值扭矩可达400n.m，并配备6</t>
  </si>
  <si>
    <t>2020/02/05 13:36:00</t>
  </si>
  <si>
    <t>梅甘娜是雷诺旗下的一款紧凑级轿车，遗憾的是该款车型仅在海外市场进行销售，而国内市场尚未布局该款车型。近日海外媒体曝光了一组更高性能的新款梅甘娜rs车型图片，新车预计将于今年年内上市开售。    动力方面，新车将继续搭载1.8t涡轮增压发动机，最大功率可达224kw，峰值扭矩可达400n.m，并配备6</t>
  </si>
  <si>
    <t>rio是起亚旗下的一款紧凑级轿车，可能大家对这款车型都比较陌生，的确新车仅在海外市场进行销售，而国内市场也尚未布局该款车型。近日海外媒体曝光了一组起亚全新rio车型路试谍照图片，新车将于今年年底或明年年初正式亮相。    动力方面，新车将搭载1.2l自然吸气、1.0t涡轮增压两款动力引擎。值得一提的</t>
  </si>
  <si>
    <t>2020/02/05 13:33:00</t>
  </si>
  <si>
    <t>　　rio是起亚旗下的一款紧凑级轿车，可能大家对这款车型都比较陌生，的确新车仅在海外市场进行销售，而国内市场也尚未布局该款车型。近日海外媒体曝光了一组起亚全新rio车型路试谍照图片，新车将于今年年底或明年年初正式亮相。　　动力方面，新车将搭载1.2l自然吸气、1.0t涡轮增压两款动力引擎。值得一提的</t>
  </si>
  <si>
    <t>今年华晨中华将陆续推出4款新车，包括全新一代v6、中期改款v7、v9以及一款纯电动小型车。其中中华v9是一款与众泰t800定位相同的中大型suv，也是继v7之后第二款基于m8x模块化平台打造的车型，动力上搭载与v7相同的1.8t发动机。近日有媒体获取到了一组中华v9的路试谍照，该车内饰采用了时下十分</t>
  </si>
  <si>
    <t>2020/02/05 13:31:00</t>
  </si>
  <si>
    <t>　　今年华晨中华将陆续推出4款新车，包括全新一代v6、中期改款v7、v9以及一款纯电动小型车。其中中华v9是一款与众泰t800定位相同的中大型suv，也是继v7之后第二款基于m8x模块化平台打造的车型，动力上搭载与v7相同的1.8t发动机。近日有媒体获取到了一组中华v9的路试谍照，该车内饰采用了时下</t>
  </si>
  <si>
    <t>投诉编号：【446395】  投诉时间： 2020-02-05 13:30  投诉品牌： 江淮汽车  投诉车系： 瑞风S3  投诉车型： 2018款 1.5L 手动 豪华型 定制版        投诉内容  我去售后服务站去了两次。给我更换过半轴，之后问题没有解决。他说没办法了让我先开着。反正保五年</t>
  </si>
  <si>
    <t>2020/02/05 13:30:00</t>
  </si>
  <si>
    <t>有媒体从东风风光官方获悉：公司将于今年第4季度推出一款代号为f513的全新5座小型suv。新车的整体尺寸超过了同级别热销车型——吉利缤越，动力方面则提供1.5l/1.5t两款发动机。图为风光580pro    目前，东风风光在售的汽油suv产品包括ix7（中型）、风光580pro（中型）、ix5（中</t>
  </si>
  <si>
    <t>2020/02/05 13:29:00</t>
  </si>
  <si>
    <t>　　有媒体从东风风光官方获悉：公司将于今年第4季度推出一款代号为f513的全新5座小型suv。新车的整体尺寸超过了同级别热销车型――吉利缤越，动力方面则提供1.5l/1.5t两款发动机。图为风光580pro　　目前，东风风光在售的汽油suv产品包括ix7（中型）、风光580pro（中型）、ix5（中</t>
  </si>
  <si>
    <t>日前，福特正式发布了全新探险者xlt运动版车型的官图，新车在外观以及内饰配色上进行了小幅度的调整，整体设计更具运动感。此外值得一提的是，自1990年第一代车型发布以来，福特探险者的累计销量已达800万辆，成为美国历史上最畅销的suv车型。    此次发布的探险者xlt运动版车型基于全新一代福特探险者</t>
  </si>
  <si>
    <t>2020/02/05 13:24:00</t>
  </si>
  <si>
    <t>　　日前，福特正式发布了全新探险者xlt运动版车型的官图，新车在外观以及内饰配色上进行了小幅度的调整，整体设计更具运动感。此外值得一提的是，自1990年第一代车型发布以来，福特探险者的累计销量已达800万辆，成为美国历史上最畅销的suv车型。　　此次发布的探险者xlt运动版车型基于全新一代福特探险者</t>
  </si>
  <si>
    <t>为保障客户和员工的安全健康，广汽丰田连同经销商一起实施系列措施，将线上与线下服务相结合，以平安度过新型肺炎疫情的非常时期。    目前，广汽丰田客户可在线上进行看车咨询、预约试驾、订车付款、贷款审批、维保预约等。与此同时，线下销售店将做好防疫措施，包括展厅每日定时消毒、展车和试驾车高频次消毒、销售顾</t>
  </si>
  <si>
    <t>2020/02/05 13:22:00</t>
  </si>
  <si>
    <t>　　为保障客户和员工的安全健康，广汽丰田连同经销商一起实施系列措施，将线上与线下服务相结合，以平安度过新型肺炎疫情的非常时期。　　目前，广汽丰田客户可在线上进行看车咨询、预约试驾、订车付款、贷款审批、维保预约等。与此同时，线下销售店将做好防疫措施，包括展厅每日定时消毒、展车和试驾车高频次消毒、销售顾</t>
  </si>
  <si>
    <t>日前，铃木发布了日规版2020款英格尼斯车型的官图。作为改款车型，新款英格尼斯采用了经过微调的外观设计，增加了车身颜色，同时针对配置进行了调整。售价方面，新款英格尼斯的起售价为1522400日元（约合人民币97356元）。    外观方面，新款英格尼斯普通版车型前脸部分的变化几乎仅有前格栅。新的格栅</t>
  </si>
  <si>
    <t>2020/02/05 13:21:00</t>
  </si>
  <si>
    <t>　　日前，铃木发布了日规版2020款英格尼斯车型的官图。作为改款车型，新款英格尼斯采用了经过微调的外观设计，增加了车身颜色，同时针对配置进行了调整。售价方面，新款英格尼斯的起售价为1522400日元（约合人民币97356元）。　　外观方面，新款英格尼斯普通版车型前脸部分的变化几乎仅有前格栅。新的格栅</t>
  </si>
  <si>
    <t>北京时间2020年2月5日，凯德拉克正式发布了全新凯雷德escalade，新车定位于大型suv，与雪佛兰tahoe/suburban和gmc yukon同平台打造而来，并配备了独特的oled曲面中控屏，动力系统部分还引入了柴油发动机可选。    全新凯雷德escalade（以下简称为凯雷德）拥有尺寸</t>
  </si>
  <si>
    <t>2020/02/05 13:19:00</t>
  </si>
  <si>
    <t>　　北京时间2020年2月5日，凯德拉克正式发布了全新凯雷德escalade，新车定位于大型suv，与雪佛兰tahoe/suburban和gmc yukon同平台打造而来，并配备了独特的oled曲面中控屏，动力系统部分还引入了柴油发动机可选。　　全新凯雷德escalade（以下简称为凯雷德）拥有尺寸</t>
  </si>
  <si>
    <t xml:space="preserve">近日，有海外媒体通过linkedin（领英）上的招聘信息得知，福特新一代mustang将于2022年正式推出。福特在linkedin（领英）上发布的招聘信息    根据linkedin（领英）上的招聘信息得知，新一代福特mustang的代号为s650。blue oval希望在福特密歇根州的flat </t>
  </si>
  <si>
    <t>2020/02/05 13:17:00</t>
  </si>
  <si>
    <t xml:space="preserve">　　近日，有海外媒体通过linkedin（领英）上的招聘信息得知，福特新一代mustang将于2022年正式推出。福特在linkedin（领英）上发布的招聘信息　　根据linkedin（领英）上的招聘信息得知，新一代福特mustang的代号为s650。blue oval希望在福特密歇根州的flat </t>
  </si>
  <si>
    <t>日前，有海外媒体曝光了一组全新现代i20路试谍照。新车延续现款车型的设计风格，但细节处还是凸显了变化。此外，新车预计将于3月2日开幕的2020年日内瓦车展中首发。    尽管新车覆盖较为厚重的伪装，但依然可以看到前大灯组发生变化，led日间行车灯位于灯组顶部，带来锐利的即视感。不过由于需求与生产复杂</t>
  </si>
  <si>
    <t>2020/02/05 13:11:00</t>
  </si>
  <si>
    <t>　　日前，有海外媒体曝光了一组全新现代i20路试谍照。新车延续现款车型的设计风格，但细节处还是凸显了变化。此外，新车预计将于3月2日开幕的2020年日内瓦车展中首发。　　尽管新车覆盖较为厚重的伪装，但依然可以看到前大灯组发生变化，led日间行车灯位于灯组顶部，带来锐利的即视感。不过由于需求与生产复杂</t>
  </si>
  <si>
    <t>2020/02/05 13:08:50</t>
  </si>
  <si>
    <t>投诉编号：【446390】
投诉时间： 2020-02-05 12:51
投诉品牌： 北京现代
投诉车系： 领动
投诉车型： 2016款 1.6L 自动 智炫·精英型</t>
  </si>
  <si>
    <t>日前，奥迪官方发布了全新一代奥迪s3sportback（两厢版）原型车的官方谍照，新车整体采用了全新的设计风格，而同样的造型元素也将出现在全新一代奥迪a3之上。据了解，新车将于3月2日开幕的2020日内瓦车展中正式亮相。    根据此次官方发布的谍照来看，全新一代奥迪s3采用了最新的家族设计语言，例</t>
  </si>
  <si>
    <t>2020/02/05 13:08:00</t>
  </si>
  <si>
    <t>　　日前，奥迪官方发布了全新一代奥迪s3sportback（两厢版）原型车的官方谍照，新车整体采用了全新的设计风格，而同样的造型元素也将出现在全新一代奥迪a3之上。据了解，新车将于3月2日开幕的2020日内瓦车展中正式亮相。　　根据此次官方发布的谍照来看，全新一代奥迪s3采用了最新的家族设计语言，例</t>
  </si>
  <si>
    <t>国家统计局日前公布了2019年全国规模以上工业企业利润相关信息，数据显示，2019年全国规模以上工业企业实现利润总额61995.5亿元，比去年下降3.3%。其中，汽车制造业营业收入80846.7亿元，同比上一年下降1.8%；营业成本68219.4亿元，同比减少1.4%；利润总额5086.8亿元，同比</t>
  </si>
  <si>
    <t>2020/02/05 13:07:00</t>
  </si>
  <si>
    <t>　　国家统计局日前公布了2019年全国规模以上工业企业利润相关信息，数据显示，2019年全国规模以上工业企业实现利润总额61995.5亿元，比去年下降3.3%。其中，汽车制造业营业收入80846.7亿元，同比上一年下降1.8%；营业成本68219.4亿元，同比减少1.4%；利润总额5086.8亿元，</t>
  </si>
  <si>
    <t>　　日前，有海外媒体曝光了一组新款现代胜达的谍照，新车定位于中型suv，从曝光的照片来看，新车与海外版现款车型的外观差别不大，动力方面新车或将提供轻混以及插电混合动力版本。　　此次曝光的谍照由于车辆经过严密伪装，因此难以分辨出外观的变化，我们只能从车身裸露出的一些蛛丝马迹来寻找线索。从车头部分能够看</t>
  </si>
  <si>
    <t>2020/02/05 13:06:00</t>
  </si>
  <si>
    <t>日前，有海外媒体曝光了一组新款现代胜达的谍照，新车定位于中型suv，从曝光的照片来看，新车与海外版现款车型的外观差别不大，动力方面新车或将提供轻混以及插电混合动力版本。    此次曝光的谍照由于车辆经过严密伪装，因此难以分辨出外观的变化，我们只能从车身裸露出的一些蛛丝马迹来寻找线索。从车头部分能够看</t>
  </si>
  <si>
    <t>投诉编号：【446394】投诉时间：2020-02-0513:04投诉品牌：广汽本田投诉车系：飞度投诉车型：2014款1.5CVTEX精英型投诉内容发动机冷启动，有1-2秒的剧烈振动并伴有非常大声打齿声音，主要发生在夏天温度35度以上或冬天5度以下。最早这种现象比较少，现在越来越频繁了。网上查了，这</t>
  </si>
  <si>
    <t>2020/02/05 13:04:00</t>
  </si>
  <si>
    <t>　　电动化和自动驾驶已经成为众多车企未来的发展方向。日前，雷诺发布了e-tech计划，将重点推进产品线电动化和自动驾驶汽车的研发工作。科雷缤新能源　　据悉，雷诺e-tech产品线的首批车型，是两款现有车型（clio和科雷缤）的混合动力版本。全新一代clio于2019年问世，这款车的设计也是为了彰显雷</t>
  </si>
  <si>
    <t>电动化和自动驾驶已经成为众多车企未来的发展方向。日前，雷诺发布了e-tech计划，将重点推进产品线电动化和自动驾驶汽车的研发工作。科雷缤新能源    据悉，雷诺e-tech产品线的首批车型，是两款现有车型（clio和科雷缤）的混合动力版本。全新一代clio于2019年问世，这款车的设计也是为了彰显雷</t>
  </si>
  <si>
    <t>日前，据媒体报道，由于新型冠状病毒感染肺炎疫情，现代汽车集团出现了零部件供货中断的情况，现代表示，公司将暂停韩国工厂的车辆生产工作。据悉，现代汽车在韩国设有七家工厂，韩国是现代汽车最大的生产基地。    现代汽车在韩国的汽车产量占到了其全球总产量的近四成，工厂此次停产的主要原因是线束供货不足，这款零</t>
  </si>
  <si>
    <t>2020/02/05 13:01:00</t>
  </si>
  <si>
    <t>　　日前，据媒体报道，由于新型冠状病毒感染肺炎疫情，现代汽车集团出现了零部件供货中断的情况，现代表示，公司将暂停韩国工厂的车辆生产工作。据悉，现代汽车在韩国设有七家工厂，韩国是现代汽车最大的生产基地。　　现代汽车在韩国的汽车产量占到了其全球总产量的近四成，工厂此次停产的主要原因是线束供货不足，这款零</t>
  </si>
  <si>
    <t>16年11月购入满3年刚过质保期，这三年期间问题不断，第一年发动机盖车身漆出现龟裂、右前及左后车门两处隐角有严重锈蚀现象，第二年空调不制冷更换压缩机，玻璃升降器异响更换，天窗密封条开裂更换，如今刚过质保期又出现问题，在颠簸路行驶时前面的减震器异响，冷车踩刹车会发出砰砰的响声，请厂家协调解决。</t>
  </si>
  <si>
    <t>2020/02/05 13:00:00</t>
  </si>
  <si>
    <t>上汽大众朗逸颠簸路减震器异响16年11月购入满3年刚过质保期，这三年期间问题不断，第一年发动机盖车身漆出现龟裂、右前及左后车门两处隐角有严重锈蚀现象，第二年空调不制冷更换压缩机，玻璃升降器异响更换，天窗密封条开裂更换，如今刚过质保期又出现问题，在颠簸路行驶时前面的减震器异响，冷车踩刹车会发出砰砰的响</t>
  </si>
  <si>
    <t>　　近日，据外媒报道，特斯拉计划上线拼车应用程序，正式进军共享出行领域。在过去的几年中，特斯拉ceo埃隆・马斯克曾多次提及推出自动驾驶拼车服务，而当前的计划意味着特斯拉要在完全实现无人驾驶前，首先引入真人驾驶员。　　马斯克将其共享出行服务称作特斯拉网络，他也曾在上周的财报会议上重申了这一计划，并表示</t>
  </si>
  <si>
    <t>2020/02/05 12:59:00</t>
  </si>
  <si>
    <t>投诉编号：【446391】投诉时间：2020-02-0512:59投诉品牌：东风标致投诉车系：标致207投诉车型：2011款1.4手动驭乐版三厢投诉内容跑到70迈或过颠跛路段右后轮抖动，希望给予解决。投诉回复车质网已将您的投诉转给生产企业以及国家市场监督管理总局缺陷产品管理中心，我们将会对此投诉继续</t>
  </si>
  <si>
    <t>起亚KX4发动机怠速抖动车辆于20018年4月份发现等待红绿灯出现发动机怠速抖动，挂D挡开空调尤其严重，开始一直未在意，本以为是正常现象，但是后续车辆相继出现低速转向打死异响、天窗异响、扶手箱空气净化器失灵等故障。于是我在2018年年底将车开往4S店进行了处理，当时售后师傅帮忙把空气净化器、天窗异响</t>
  </si>
  <si>
    <t>车辆于20018年4月份发现等待红绿灯出现发动机怠速抖动，挂D挡开空调尤其严重，开始一直未在意，本以为是正常现象，但是后续车辆相继出现低速转向打死异响、天窗异响、扶手箱空气净化器失灵等故障。于是我在2018年年底将车开往4S店进行了处理，当时售后师傅帮忙把空气净化器、天窗异响处理好，由于方向盘打死异</t>
  </si>
  <si>
    <t>近日，据外媒报道，特斯拉计划上线拼车应用程序，正式进军共享出行领域。在过去的几年中，特斯拉ceo埃隆·马斯克曾多次提及推出自动驾驶拼车服务，而当前的计划意味着特斯拉要在完全实现无人驾驶前，首先引入真人驾驶员。    马斯克将其共享出行服务称作特斯拉网络，他也曾在上周的财报会议上重申了这一计划，并表示</t>
  </si>
  <si>
    <t>转向时方向机重，车辆原地发动后左右打方向方向机有哒哒异响。高速行驶时，方向机偶尔出现一点空行程问题。转向系统是汽车安全保障的关键系统，本人担心汽车在行驶过程中出现转向失灵，导致重大安全事故发生。4S店机修人员检查后认为方向机正常，本人不认可。特此投诉，请上汽大众尽快解决本人途观车辆的转向系统质量问题</t>
  </si>
  <si>
    <t>2020/02/05 12:55:00</t>
  </si>
  <si>
    <t>上汽大众途观转向沉转向异响转向时方向机重，车辆原地发动后左右打方向方向机有哒哒异响。高速行驶时，方向机偶尔出现一点空行程问题。转向系统是汽车安全保障的关键系统，本人担心汽车在行驶过程中出现转向失灵，导致重大安全事故发生。4S店机修人员检查后认为方向机正常，本人不认可。特此投诉，请上汽大众尽快解决本人</t>
  </si>
  <si>
    <t>发动机故障灯闪烁，怠速时发动机抖动严重，4s店去了3次解决不了。17年的车，才一万四千多公里，希望厂家协助解决。</t>
  </si>
  <si>
    <t>2020/02/05 12:54:00</t>
  </si>
  <si>
    <t>奇瑞艾瑞泽5发动机故障灯亮怠速抖动发动机故障灯闪烁，怠速时发动机抖动严重，4s店去了3次解决不了。17年的车，才一万四千多公里，希望厂家协助解决。</t>
  </si>
  <si>
    <t>　　日前，我们从国家工信部获取到了北京越野北京BJ40 PLUS新增动力车型的申报信息。信息显示，北京BJ40 PLUS将增加搭载长城汽车旗下蜂巢易创2.0T发动机的新车型，其最大功率224马力，满足国六排放标准。现款BJ40 PLUS 2.3T车型BJ40 PLUS新动力车型工信部公告截图　　此次</t>
  </si>
  <si>
    <t>2020/02/05 12:52:00</t>
  </si>
  <si>
    <t>1.6T这发动机安在C4L身上除了动力好外，毛病太多了，2017年底时经常报发动机故障及发动机异响，但并不太影响行驶，重新启动后故障灯会自己灭，日常保养正常进行，4S店也只是用电脑消除故障了事。2018年时听朋友说C4L发动机异响是正时链条通病，联系4s店，给免费更换了正时链条，才消除了异响，这都是</t>
  </si>
  <si>
    <t>东风雪铁龙C4L发动机烧机油1.6T这发动机安在C4L身上除了动力好外，毛病太多了，2017年底时经常报发动机故障及发动机异响，但并不太影响行驶，重新启动后故障灯会自己灭，日常保养正常进行，4S店也只是用电脑消除故障了事。2018年时听朋友说C4L发动机异响是正时链条通病，联系4s店，给免费更换了正</t>
  </si>
  <si>
    <t>日前，我们从国家工信部获取到了北京越野北京BJ40 PLUS新增动力车型的申报信息。信息显示，北京BJ40 PLUS将增加搭载长城汽车旗下蜂巢易创2.0T发动机的新车型，其最大功率224马力，满足国六排放标准。现款BJ40 PLUS 2.3T车型BJ40 PLUS新动力车型工信部公告截图    此次</t>
  </si>
  <si>
    <t>　　据媒体报道，雷诺发言人表示，该公司将把位于中国武汉的工厂停工时间延长至2月13日，以配合中国政府对新型冠状病毒疫情的指导。　　此前，湖北省政府已宣布将农历新年假期延长至2月13日，以遏制新型冠状病毒的爆发。　　几天前，雷诺汽车曾表示，该公司与东风集团在湖北省武汉市的工厂将停工到2月9日，2月10</t>
  </si>
  <si>
    <t>2020/02/05 12:50:00</t>
  </si>
  <si>
    <t>自2019年11月起，中控台主机频繁死机，然后重新启动，倒车时有时候没有图像，12月20日去4S店维修过一次，经过师傅维修后，问题没有解决，而且出现新问题，屏幕亮度忽明忽暗，频繁跳动。</t>
  </si>
  <si>
    <t>东风标致4008中控屏死机倒车影像故障自2019年11月起，中控台主机频繁死机，然后重新启动，倒车时有时候没有图像，12月20日去4S店维修过一次，经过师傅维修后，问题没有解决，而且出现新问题，屏幕亮度忽明忽暗，频繁跳动。</t>
  </si>
  <si>
    <t>据媒体报道，雷诺发言人表示，该公司将把位于中国武汉的工厂停工时间延长至2月13日，以配合中国政府对新型冠状病毒疫情的指导。    此前，湖北省政府已宣布将农历新年假期延长至2月13日，以遏制新型冠状病毒的爆发。    几天前，雷诺汽车曾表示，该公司与东风集团在湖北省武汉市的工厂将停工到2月9日，2月</t>
  </si>
  <si>
    <t>　　（2020年2月4日，北京）疫情挡不住温情，隔离阻不断温暖。在这个不平常的春节里，全国各地、各行各业同心协力抗击疫情。作为一名企业公民，豪华汽车品牌英菲尼迪始终秉承“以人为本”的理念，立足人文视角，重视每个人的价值。从车主、客户到经销商、员工，英菲尼迪以切实行动，为每个人献上“菲”凡关怀，为打赢</t>
  </si>
  <si>
    <t>2020/02/05 12:49:00</t>
  </si>
  <si>
    <t>（2020年2月4日，北京）疫情挡不住温情，隔离阻不断温暖。在这个不平常的春节里，全国各地、各行各业同心协力抗击疫情。作为一名企业公民，豪华汽车品牌英菲尼迪始终秉承“以人为本”的理念，立足人文视角，重视每个人的价值。从车主、客户到经销商、员工，英菲尼迪以切实行动，为每个人献上“菲”凡关怀，为打赢这场</t>
  </si>
  <si>
    <t>提车两个月的时候中控屏无辜死机，并伴有360影像频卡顿现象。 19年十一月中旬开始冷车启动冒黑烟，开暖风时中控伴有磕啪磕啪的响声。在速度30到80迈时加速或减速时方向盘振动。</t>
  </si>
  <si>
    <t>2020/02/05 12:48:00</t>
  </si>
  <si>
    <t>东风日产奇骏中控屏死机冷启动冒黑烟提车两个月的时候中控屏无辜死机，并伴有360影像频卡顿现象。 19年十一月中旬开始冷车启动冒黑烟，开暖风时中控伴有磕啪磕啪的响声。在速度30到80迈时加速或减速时方向盘振动。</t>
  </si>
  <si>
    <t>　　雷克萨斯公布了2019年全球销售业绩。数据显示，2019年，雷克萨斯全球销量为76.53万辆，较2018年同比上涨10%，创历史最高年度销量纪录。　　从具体市场来看，中国、欧洲、日本等主要市场的表现均优于去年，且连续两年刷新了历史最高记录。数据显示，2019年，雷克萨斯在华累计销量为20.2万辆</t>
  </si>
  <si>
    <t>2020/02/05 12:46:00</t>
  </si>
  <si>
    <t>雷克萨斯公布了2019年全球销售业绩。数据显示，2019年，雷克萨斯全球销量为76.53万辆，较2018年同比上涨10%，创历史最高年度销量纪录。    从具体市场来看，中国、欧洲、日本等主要市场的表现均优于去年，且连续两年刷新了历史最高记录。数据显示，2019年，雷克萨斯在华累计销量为20.2万辆</t>
  </si>
  <si>
    <t>购买不久的车，轮胎侧面鼓包，从轮胎的损伤情况分析，是由于轮胎在使用过程中,胎侧受外力冲击或与障碍物碰撞，导致胎侧帘线松散或断裂，损伤部位强度下降，在内压的作用下形成鼓包。不属于质量问题,是使用不当导致的损伤,不属于制造商责任范围。4S店售后说不属于车轮质量问题,他们没办法处理，如果换车胎由车主自己负</t>
  </si>
  <si>
    <t>2020/02/05 12:44:00</t>
  </si>
  <si>
    <t>一汽大众探岳新车邓禄普轮胎有鼓包购买不久的车，轮胎侧面鼓包，从轮胎的损伤情况分析，是由于轮胎在使用过程中,胎侧受外力冲击或与障碍物碰撞，导致胎侧帘线松散或断裂，损伤部位强度下降，在内压的作用下形成鼓包。不属于质量问题,是使用不当导致的损伤,不属于制造商责任范围。4S店售后说不属于车轮质量问题,他们没</t>
  </si>
  <si>
    <t>投诉编号：【446389】  投诉时间： 2020-02-05 12:43  投诉品牌： 长城汽车  投诉车系： 哈弗H2  投诉车型： 2016款 1.5T 手动 两驱精英型        投诉内容  由于技术问题，产生气孔。导致车掉漆。      投诉回复  车质网已将您的投诉转给生产企业以及国</t>
  </si>
  <si>
    <t>2020/02/05 12:43:00</t>
  </si>
  <si>
    <t>　　自主品牌suv这些年总能给我们带来很多惊喜，不仅有各自的设计语言，还给你一种满满的“国潮”范儿，在空间、动力等各方面也有长足的进步。转眼2020年已经进入了2月，疫情困住了大家出门的脚步，但我们将今年最值得期待的国潮suv带给你。　　吉利icon　　吉利在2019年下半年就率先亮相了全新车型吉利</t>
  </si>
  <si>
    <t>2020/02/05 12:42:00</t>
  </si>
  <si>
    <t>方向盘不正，直线行驶时需要往左打一点，且往左右打方向阻力不一样，向右打方向阻力大一点。稍长时间保持转向后（比如环岛转向回到直线道路时）回正时会出现方向盘卡滞情况，有时变道回正时也会出现卡滞，行驶中担心出现事故，而且驾驶感受很不好。4S店的先调整过数据，之后也做过四轮定位，但是没多久（差不多过了一周左</t>
  </si>
  <si>
    <t>华晨宝马3系方向盘不正转向时卡滞方向盘不正，直线行驶时需要往左打一点，且往左右打方向阻力不一样，向右打方向阻力大一点。稍长时间保持转向后（比如环岛转向回到直线道路时）回正时会出现方向盘卡滞情况，有时变道回正时也会出现卡滞，行驶中担心出现事故，而且驾驶感受很不好。4S店的先调整过数据，之后也做过四轮定</t>
  </si>
  <si>
    <t>我车辆正在行驶在中，车子突然抖动，紧接着屏幕显示变速箱需要保养，重新发动车辆没有反应，立马联系了4S店，叫了拖车来拖，第二天4S店维修的师傅说变速箱阀体上面的一个零件坏了，更换一下就好了，可是没过多久师傅又打电话来说变速箱里面的线路有问题需要。更换变速箱总层才能解决问题，我买来还是3个月的车子，首保</t>
  </si>
  <si>
    <t>2020/02/05 12:40:00</t>
  </si>
  <si>
    <t>江铃福特领界变速箱故障存在质量问题我车辆正在行驶在中，车子突然抖动，紧接着屏幕显示变速箱需要保养，重新发动车辆没有反应，立马联系了4S店，叫了拖车来拖，第二天4S店维修的师傅说变速箱阀体上面的一个零件坏了，更换一下就好了，可是没过多久师傅又打电话来说变速箱里面的线路有问题需要。更换变速箱总层才能解决</t>
  </si>
  <si>
    <t>本田e车型于2017年以概念车形式亮相，之后的可量产版车型在2019年法兰克福车展上全球首发。近日，本田官方公布了这款车型的详细参数，包括动力参数、电池容量、续航以及丰富的智能安全装备。    首先是外观部分，量产版本的本田e高度还原了概念车的设计，通过圆润的线条和个性的造型让复古和现代两个矛盾的风</t>
  </si>
  <si>
    <t>2020/02/05 12:39:00</t>
  </si>
  <si>
    <t>　　本田e车型于2017年以概念车形式亮相，之后的可量产版车型在2019年法兰克福车展上全球首发。近日，本田官方公布了这款车型的详细参数，包括动力参数、电池容量、续航以及丰富的智能安全装备。　　首先是外观部分，量产版本的本田e高度还原了概念车的设计，通过圆润的线条和个性的造型让复古和现代两个矛盾的风</t>
  </si>
  <si>
    <t>2020/02/05 12:37:14</t>
  </si>
  <si>
    <t>投诉编号：【446388】
投诉时间： 2020-02-05 12:37
投诉品牌： 江铃汽车
投诉车系： 驭胜S330
投诉车型： 2016款 1.5L GTDi 自动 两驱 时尚版</t>
  </si>
  <si>
    <t>发动机怠速呼噜声音大，上坡时变速箱异响，目前车辆才行驶了6万多公里，发动机变速箱就出现异响，希望厂家协调解决。</t>
  </si>
  <si>
    <t>2020/02/05 12:36:00</t>
  </si>
  <si>
    <t>　　2020年2月3日我们从海外媒体获悉，大众新款e-up!英国市场的售价公布，起售价为19695英镑。该车定位4座布局的纯电动微型车，搭载容量为32.3kwh的动力电池，wltp工况下的续航里程为246km。　　新款e-up!整体的外观设计和老款车型相比变化不大，主要是细节处变得更加精致，例如前格</t>
  </si>
  <si>
    <t>2020年2月3日我们从海外媒体获悉，大众新款e-up!英国市场的售价公布，起售价为19695英镑。该车定位4座布局的纯电动微型车，搭载容量为32.3kwh的动力电池，wltp工况下的续航里程为246km。    新款e-up!整体的外观设计和老款车型相比变化不大，主要是细节处变得更加精致，例如前格</t>
  </si>
  <si>
    <t>一汽大众高尔夫·嘉旅发动机怠速异响发动机怠速呼噜声音大，上坡时变速箱异响，目前车辆才行驶了6万多公里，发动机变速箱就出现异响，希望厂家协调解决。</t>
  </si>
  <si>
    <t>新买的车首保时发动机漏油，清理干净后让二保再来看看还是漏油，和厂家申请后说超出更换总成时间让拆了后修。1.我新车首保时就出现漏油是你们让清理后再看超出的时间，二保又漏就说明车子一开始就是有问题的和时间无关系。他们是在玩文字游戏。2,新车拆了后修理我十分不认同，新车发动机机器拆拆装装作为消费者我不认同</t>
  </si>
  <si>
    <t>2020/02/05 12:35:00</t>
  </si>
  <si>
    <t>东风日产轩逸发动机漏油新买的车首保时发动机漏油，清理干净后让二保再来看看还是漏油，和厂家申请后说超出更换总成时间让拆了后修。1.我新车首保时就出现漏油是你们让清理后再看超出的时间，二保又漏就说明车子一开始就是有问题的和时间无关系。他们是在玩文字游戏。2,新车拆了后修理我十分不认同，新车发动机机器拆拆</t>
  </si>
  <si>
    <t>1、后排座椅生锈，几个月前去4S店有喷漆处理过正面，现侧面和里面也大面积生锈。2、车门鼓漆生锈，现四个车门都有鼓漆开裂生锈并有多处已掉漆。3、车内顶棚脱落，用手按一下顶棚的一圈都是咯吱咯吱的响，走有颠坡路况时不时有异响声发出。4、前大灯嗡嗡响声，2019年12月5日去4S店换了右前大灯，问题还是存在</t>
  </si>
  <si>
    <t>秋风卷落叶</t>
  </si>
  <si>
    <t>2020/02/05 12:32:00</t>
  </si>
  <si>
    <t>由于销量持续下滑，菲亚特决定2020年不再将菲亚特500输出美国市场。不过在欧洲市场，大受青睐的菲亚特500则准备推出新款ev车型，目前该车的谍照首次曝光。全新的菲亚特500车型中，将会先推出ev版车型，随后再推出燃油版车型。    据悉，全新菲亚特500 ev将于2020年第二季度在意大利的mir</t>
  </si>
  <si>
    <t>　　由于销量持续下滑，菲亚特决定2020年不再将菲亚特500输出美国市场。不过在欧洲市场，大受青睐的菲亚特500则准备推出新款ev车型，目前该车的谍照首次曝光。全新的菲亚特500车型中，将会先推出ev版车型，随后再推出燃油版车型。　　据悉，全新菲亚特500 ev将于2020年第二季度在意大利的mir</t>
  </si>
  <si>
    <t>长安CS75车身脱漆生锈顶棚异响刹车漏油1、后排座椅生锈，几个月前去4S店有喷漆处理过正面，现侧面和里面也大面积生锈。2、车门鼓漆生锈，现四个车门都有鼓漆开裂生锈并有多处已掉漆。3、车内顶棚脱落，用手按一下顶棚的一圈都是咯吱咯吱的响，走有颠坡路况时不时有异响声发出。4、前大灯嗡嗡响声，2019年12</t>
  </si>
  <si>
    <t>　　全新一代奥迪a3将于2020年3月正式上市，而国产化进程也十分顺利，我们从相关渠道了解到，一汽-大众全新奥迪a3将于今年4月正式进入量产阶段，新车将在一汽-大众青岛工厂投产，继续推出两厢版和三厢版车型，而三厢版车型尺寸有望进行加长。　　前脸采用了现如今奥迪家族流行的六边形蜂窝状中网，大灯组也经过</t>
  </si>
  <si>
    <t>2020/02/05 12:31:00</t>
  </si>
  <si>
    <t>全新一代奥迪a3将于2020年3月正式上市，而国产化进程也十分顺利，我们从相关渠道了解到，一汽-大众全新奥迪a3将于今年4月正式进入量产阶段，新车将在一汽-大众青岛工厂投产，继续推出两厢版和三厢版车型，而三厢版车型尺寸有望进行加长。    前脸采用了现如今奥迪家族流行的六边形蜂窝状中网，大灯组也经过</t>
  </si>
  <si>
    <t>　　随着2019年10月份大众第八代高尔夫的发布，后续其衍生产品也将应运而生。近日海外媒体曝光了一组大众全新高尔夫gti车型谍照，新车计划在2个月后的日内瓦车展上首次亮相。　　从此次曝光的尾部无伪装谍照来看，第八代高尔夫gti实车和之前的假想图几乎没有区别，排气系统采用了双边单出圆形设计，同时后保险</t>
  </si>
  <si>
    <t>2020/02/05 12:29:00</t>
  </si>
  <si>
    <t>随着2019年10月份大众第八代高尔夫的发布，后续其衍生产品也将应运而生。近日海外媒体曝光了一组大众全新高尔夫gti车型谍照，新车计划在2个月后的日内瓦车展上首次亮相。    从此次曝光的尾部无伪装谍照来看，第八代高尔夫gti实车和之前的假想图几乎没有区别，排气系统采用了双边单出圆形设计，同时后保险</t>
  </si>
  <si>
    <t>发动机故障灯上打个叉，起动不了车是什么原因？</t>
  </si>
  <si>
    <t>2020/02/05 12:27:57</t>
  </si>
  <si>
    <t>　　日前获悉，2020款奥迪q7将于2月底上市，新车在外观内饰设计元素方面大量借鉴q8车型，整体比现款更加动感。　　新车信息：　　1.前脸为大尺寸八边形格栅，内部为六条竖状镀铬件搭配，可选装hd matrix led大灯，侧面线条基本维持不动，微微上扬的车身腰线贯穿前后，长宽高分别为5063/197</t>
  </si>
  <si>
    <t>2020/02/05 12:27:00</t>
  </si>
  <si>
    <t>10月中旬购车，在11月初晚上行车时发现汽车近光灯偏暗，停车检查后发现汽车大灯透镜上有一层类似白膜及指纹等痕迹，次日联系一汽大众厂家售后，选择在一汽大众4S店进行检测。我去店里进行检测，工作人员进行拍照后说将问题上传厂家等待回复。11月28号，4S店工作人员联系我说厂家回复没问题，但大灯上的异物是真</t>
  </si>
  <si>
    <t>秋风凉21</t>
  </si>
  <si>
    <t>一汽大众探岳大灯不亮安全带未系不报警10月中旬购车，在11月初晚上行车时发现汽车近光灯偏暗，停车检查后发现汽车大灯透镜上有一层类似白膜及指纹等痕迹，次日联系一汽大众厂家售后，选择在一汽大众4S店进行检测。我去店里进行检测，工作人员进行拍照后说将问题上传厂家等待回复。11月28号，4S店工作人员联系我</t>
  </si>
  <si>
    <t>日前获悉，2020款奥迪q7将于2月底上市，新车在外观内饰设计元素方面大量借鉴q8车型，整体比现款更加动感。    新车信息：    1.前脸为大尺寸八边形格栅，内部为六条竖状镀铬件搭配，可选装hd matrix led大灯，侧面线条基本维持不动，微微上扬的车身腰线贯穿前后，长宽高分别为5063/1</t>
  </si>
  <si>
    <t>　　近日，有海外媒体拍到了一组aurus komendant的谍照图，新车定位大型suv，新车造型十分硬朗，内饰设计风格也很有科技感。动力方面，新车将搭载一台4.4t v8发动机和一台63马力的电动机。　　外观方面，这台源自俄罗斯的suv看起来十分“硬汉”，方正的前大灯组，硕大的直瀑式矩形镀铬中网为</t>
  </si>
  <si>
    <t>2020/02/05 12:26:00</t>
  </si>
  <si>
    <t>近日，有海外媒体拍到了一组aurus komendant的谍照图，新车定位大型suv，新车造型十分硬朗，内饰设计风格也很有科技感。动力方面，新车将搭载一台4.4t v8发动机和一台63马力的电动机。    外观方面，这台源自俄罗斯的suv看起来十分“硬汉”，方正的前大灯组，硕大的直瀑式矩形镀铬中网为</t>
  </si>
  <si>
    <t>　　现款丰田兰德酷路泽车型自从2007年上市以来，到现在已经销售了13年时间。近日据外媒曝光得知，全新一代丰田兰德酷路泽将于2020年8月发布，并猜测新车将基于tnga架构进行打造，并且动力上有望采用v6发动机及混合动力组成。　　兰德酷路泽车系起源于二战期间的1941年，由于战事需求日本政府把当时缴</t>
  </si>
  <si>
    <t>2020/02/05 12:24:00</t>
  </si>
  <si>
    <t>很多人乘坐交通工具时都会或多或少的有晕车的症状，晕车又叫晕动症。当乘客在乘坐汽车轮船飞机等交通工具时会感到恶心，反胃等一系列晕车症状。当交通工具在移动时，我们耳朵内的内耳前庭器开始运作。前庭可以感受到人体头位、体位的变化，可以随时调整人身体的姿势，达到身体平衡。前庭器官是维持人体平衡功能的一个很重要</t>
  </si>
  <si>
    <t>为什么有些人开车不晕车坐车就会晕车呢很多人乘坐交通工具时都会或多或少的有晕车的症状，晕车又叫晕动症。当乘客在乘坐汽车轮船飞机等交通工具时会感到恶心，反胃等一系列晕车症状。当交通工具在移动时，我们耳朵内的内耳前庭器开始运作。前庭可以感受到人体头位、体位的变化，可以随时调整人身体的姿势，达到身体平衡。前</t>
  </si>
  <si>
    <t>现款丰田兰德酷路泽车型自从2007年上市以来，到现在已经销售了13年时间。近日据外媒曝光得知，全新一代丰田兰德酷路泽将于2020年8月发布，并猜测新车将基于tnga架构进行打造，并且动力上有望采用v6发动机及混合动力组成。    兰德酷路泽车系起源于二战期间的1941年，由于战事需求日本政府把当时缴</t>
  </si>
  <si>
    <t>最近疫情响应国家，长达十天没有外出过，今天有急事需要出门，发现车打不着火，原因在哪？</t>
  </si>
  <si>
    <t>2020/02/05 12:23:58</t>
  </si>
  <si>
    <t>以前新车车主都会听说新车要磨合的说法，但是随着汽车工业的进步，现在各大汽车品牌推出的新品汽车实际都没有磨合期的说法了。但是没有磨合期也不是说拿到新车后就可以肆无忌惮的行驶。新车上路，司机和车辆都会有个“蜜月期”，司机需要对于新车的功能按键，操作习惯都要有所适应，上路也会格外小心。通过这种适应基本就能</t>
  </si>
  <si>
    <t>2020/02/05 12:23:00</t>
  </si>
  <si>
    <t>老司机不建议买小排量涡轮增加双离合的汽车，但是从汽车销售市场的情况来看，购买配备这种发动机的汽车的还是大有人在的。所以并不要一听小排量涡轮增压双离合就谈虎色变，我们需要理性看待这种存在，存在即合理，这种合理不是说他完美无缺，而是在汽车工业发展的现阶段，是有其存在的理由的。小排量涡轮增压存在的合理性为</t>
  </si>
  <si>
    <t>现在的汽车还存在磨合期吗 多久才过磨合期以前新车车主都会听说新车要磨合的说法，但是随着汽车工业的进步，现在各大汽车品牌推出的新品汽车实际都没有磨合期的说法了。但是没有磨合期也不是说拿到新车后就可以肆无忌惮的行驶。新车上路，司机和车辆都会有个“蜜月期”，司机需要对于新车的功能按键，操作习惯都要有所适应</t>
  </si>
  <si>
    <t>为什么老司机不建议买小排量涡轮增压双离合老司机不建议买小排量涡轮增加双离合的汽车，但是从汽车销售市场的情况来看，购买配备这种发动机的汽车的还是大有人在的。所以并不要一听小排量涡轮增压双离合就谈虎色变，我们需要理性看待这种存在，存在即合理，这种合理不是说他完美无缺，而是在汽车工业发展的现阶段，是有其存</t>
  </si>
  <si>
    <t>发动机核心技术到底掌握在哪些国家手里对于汽车来说，发动机、变速箱、底盘是最为重要的三大核心部件。其中，发动机又被称作“汽车的心脏”，车辆的动力、性能都要通过发动机来实现。从世界范围来看，国外汽车工业起步早，技术成熟，经验丰富，大量的汽车核心技术都掌握在国外厂商手中。那么，在汽车的发动机领域，核心技术</t>
  </si>
  <si>
    <t>2020/02/05 12:22:00</t>
  </si>
  <si>
    <t>SUV比轿车安全吗 为什么我们总会听到很多人说SUV比轿车更安全，我身边也有这样的朋友，新车刚买了一年多，生了孩子立刻捉摸着换车，问他干嘛急着换车，他说有了孩子以后想要更安全的车，所以想买更安全的车。即使作为一个接受更多新思想的90后，依然有很多人拍脑袋的认为SUV比轿车更安全，但实际上这是一个实实</t>
  </si>
  <si>
    <t>投诉编号：【446387】投诉时间：2020-02-0512:22投诉品牌：一汽-大众奥迪投诉车系：奥迪Q3投诉车型：2015款30TFSI舒适型5座投诉内容本人的奥迪Q3越野车是2015年3购买的，现在已经过了保修期，平时也一直也保养的，2018年11月以来天窗旁边的左、右侧A柱在一下雨就渗水，去</t>
  </si>
  <si>
    <t>汽车行驶到3万多公里的时候，经常出现发动机抖动严重，动力不足，油耗偏高的现象。就近找了一家修理店，经过检查发现进气歧管内有大量机油积液，目前已经做了简单的清理处理。</t>
  </si>
  <si>
    <t>我们总会听到很多人说SUV比轿车更安全，我身边也有这样的朋友，新车刚买了一年多，生了孩子立刻捉摸着换车，问他干嘛急着换车，他说有了孩子以后想要更安全的车，所以想买更安全的车。即使作为一个接受更多新思想的90后，依然有很多人拍脑袋的认为SUV比轿车更安全，但实际上这是一个实实在在的误会。今天老马就来详</t>
  </si>
  <si>
    <t>对于汽车来说，发动机、变速箱、底盘是最为重要的三大核心部件。其中，发动机又被称作“汽车的心脏”，车辆的动力、性能都要通过发动机来实现。从世界范围来看，国外汽车工业起步早，技术成熟，经验丰富，大量的汽车核心技术都掌握在国外厂商手中。那么，在汽车的发动机领域，核心技术都掌握在谁的手中呢？·发动机研发与设</t>
  </si>
  <si>
    <t>长安福特蒙迪欧发动机抖动动力不足油耗高汽车行驶到3万多公里的时候，经常出现发动机抖动严重，动力不足，油耗偏高的现象。就近找了一家修理店，经过检查发现进气歧管内有大量机油积液，目前已经做了简单的清理处理。</t>
  </si>
  <si>
    <t>　　日前，广汽传祺公布了2020新车计划，其中全新gs4 coupe和gs4 phev将于3月率先上市，而新款ga8则有望在下半年推出。　　gs4 coupe　　1.溜背的车身线条十分流畅，并且采用更受年轻人喜爱的双色车身设计，枪灰色轮圈涂装也与其coupe造型十分契合。　　2.车辆后保险杠使用了惹</t>
  </si>
  <si>
    <t>2020/02/05 12:21:00</t>
  </si>
  <si>
    <t>揭秘三大品牌的独门绝技现在的NBA很多人看着都觉得没有意思，因为许多球队的球风都像是一个模子印出来一样，走的都是所谓的“魔球”道路。“魔球”即追求高效率，进攻上大量的突破或者投三分，削弱中距离的戏份。这种数据上的追求极致，导致了现在的球员缺乏一种全面的进攻技术。技术上的趋同，导致了看家本领的缺失。像</t>
  </si>
  <si>
    <t>什么时候才有国产四驱系统在国产汽车厂商在发动机和变速箱领域上取得了一定的突破，在一定程度上使得国产厂商在技术领域上走出了海外厂商的专利技术封锁，让国产车型在市场上有着一定的竞争，也开始慢慢得到消费者的认可。在目前国内的汽车厂商所推出的三大件中，在发动机和变速箱领域上，刚刚在入门级市场上中蓄起微末的知</t>
  </si>
  <si>
    <t>现在的NBA很多人看着都觉得没有意思，因为许多球队的球风都像是一个模子印出来一样，走的都是所谓的“魔球”道路。“魔球”即追求高效率，进攻上大量的突破或者投三分，削弱中距离的戏份。这种数据上的追求极致，导致了现在的球员缺乏一种全面的进攻技术。技术上的趋同，导致了看家本领的缺失。像诺维斯基的金鸡独立、邓</t>
  </si>
  <si>
    <t>在国产汽车厂商在发动机和变速箱领域上取得了一定的突破，在一定程度上使得国产厂商在技术领域上走出了海外厂商的专利技术封锁，让国产车型在市场上有着一定的竞争，也开始慢慢得到消费者的认可。在目前国内的汽车厂商所推出的三大件中，在发动机和变速箱领域上，刚刚在入门级市场上中蓄起微末的知名度，但是在乘用车的底盘</t>
  </si>
  <si>
    <t>日前，广汽传祺公布了2020新车计划，其中全新gs4 coupe和gs4 phev将于3月率先上市，而新款ga8则有望在下半年推出。    gs4 coupe    1.溜背的车身线条十分流畅，并且采用更受年轻人喜爱的双色车身设计，枪灰色轮圈涂装也与其coupe造型十分契合。    2.车辆后保险杠</t>
  </si>
  <si>
    <t>2020/02/05 12:17:22</t>
  </si>
  <si>
    <t>投诉编号：【446382】
投诉时间： 2020-02-05 11:29
投诉品牌： 广汽丰田
投诉车系： 雷凌
投诉车型： 2019款 185T CVT 豪华版 国VI</t>
  </si>
  <si>
    <t>2019年11月份之前，下班回家晚上，转向结束，转向灯复位，出现多次把自动大灯也关闭的情况。2019年11月底，4S做保养，报该问题，没有解决，把我车子发动机刷了一遍，说可以解决。2019年12月4日晚间，又复发问题。由于晚间大灯有警示和提示作用，这样突然转向灯复位而关闭大灯，有很大的安全风险.</t>
  </si>
  <si>
    <t>2020/02/05 12:17:00</t>
  </si>
  <si>
    <t>荣威RX5转向灯复位时大灯自动关闭2019年11月份之前，下班回家晚上，转向结束，转向灯复位，出现多次把自动大灯也关闭的情况。2019年11月底，4S做保养，报该问题，没有解决，把我车子发动机刷了一遍，说可以解决。2019年12月4日晚间，又复发问题。由于晚间大灯有警示和提示作用，这样突然转向灯复位</t>
  </si>
  <si>
    <t>车子买了一年了前轮过减速带减震器咯吱咯吱响，好像底盘要散架。音响低音共振嗡嗡的，很严重。车内车顶不知道哪里有异响，踩刹车有尖锐的声音。尾灯灯罩开裂</t>
  </si>
  <si>
    <t>加速度23</t>
  </si>
  <si>
    <t>2020/02/05 12:15:00</t>
  </si>
  <si>
    <t>一汽大众迈腾减震器异响刹车异响尾灯开裂车子买了一年了前轮过减速带减震器咯吱咯吱响，好像底盘要散架。音响低音共振嗡嗡的，很严重。车内车顶不知道哪里有异响，踩刹车有尖锐的声音。尾灯灯罩开裂</t>
  </si>
  <si>
    <t>投诉编号：【446386】投诉时间：2020-02-0512:14投诉品牌：长安汽车投诉车系：长安CS75PLUS投诉车型：2020款1.5T自动豪华型投诉内容由于疫情，最近都在家没开车，前几天停放了两三天之后，车辆就打不着火，结果找车借电打的火，只好开了一段时间蓄电，今天停放两三天了，又出现电池亏</t>
  </si>
  <si>
    <t>2020/02/05 12:14:00</t>
  </si>
  <si>
    <t>近日，宝马正式发布了2系gran coupe车型在海外的价格，定价和人们的预期可能会有些出入，而且并不像我们预想的那么低，228i xdrive车型起售价38495美元，而高配版m235i车型起售价达到了46495美元，这个价格略高于x1和2系轿跑的起售价格。2020款宝马2系gran coupe轿</t>
  </si>
  <si>
    <t>2020/02/05 12:12:00</t>
  </si>
  <si>
    <t>　　近日，宝马正式发布了2系gran coupe车型在海外的价格，定价和人们的预期可能会有些出入，而且并不像我们预想的那么低，228i xdrive车型起售价38495美元，而高配版m235i车型起售价达到了46495美元，这个价格略高于x1和2系轿跑的起售价格。2020款宝马2系gran coup</t>
  </si>
  <si>
    <t>全铝车身轻油耗低为什么市场占有率不高目前全球的汽车都在追求轻量化，而目前轻量化最好的材料就是铝合金和碳纤维材料。而碳纤维材料是很多人可望而不可及的，如果不是土豪级别的根本不敢想象，所以目前很多都会选择铝合金的材料作为车身，但是铝合金的价格也并非像钢材那样亲民。为什么汽车要轻量化呢？根福有关数据显示，</t>
  </si>
  <si>
    <t>2020/02/05 12:11:00</t>
  </si>
  <si>
    <t>目前全球的汽车都在追求轻量化，而目前轻量化最好的材料就是铝合金和碳纤维材料。而碳纤维材料是很多人可望而不可及的，如果不是土豪级别的根本不敢想象，所以目前很多都会选择铝合金的材料作为车身，但是铝合金的价格也并非像钢材那样亲民。为什么汽车要轻量化呢？根福有关数据显示，如果一辆汽车的重量减轻100kg，那</t>
  </si>
  <si>
    <t>投诉编号：【446385】  投诉时间： 2020-02-05 12:10  投诉品牌： 江淮汽车  投诉车系： 和悦  投诉车型： 2012款 1.5L 手动 豪华运动型        投诉内容  2013年4月再出现生锈门事件后一个月依然选择信任江淮将辛苦攒的几万块钱购入江淮和悦，之后的时间里小</t>
  </si>
  <si>
    <t>2020/02/05 12:10:00</t>
  </si>
  <si>
    <t>电池容量和BMS技术哪一个对续航影响更大电池容量，顾名思义就是电池所能够储存的电量，在其他条件不变的情况下，电池所能够储存的电量越多，那么意味着这台车所能够行驶的公里数越长。而至于BMS技术，则是指的电池管理系统，而它的作用就是提高电池的利用率，防止电池出现过度的充电和放电，起到延长续航里程和提升动</t>
  </si>
  <si>
    <t>2020/02/05 12:09:00</t>
  </si>
  <si>
    <t>卤素、氙气、LED三种光源哪个好车灯作为汽车最重要的组成部件，不仅有画龙点睛的装饰作用，还关乎着我们夜晚的行车安全。随着汽车工业的逐步发展，这双“眼睛”也有了多种选择，曾经服役多年的卤素灯已经不再是唯一的选择，价格稍高一度成为高配车型专属的HID氙气灯，如今也有逐渐被LED这个后来者所替代的趋势。那</t>
  </si>
  <si>
    <t>　　我们获得了一组保时捷新款panamera sport turismo的路试谍照，新车属于改款车型，外观细节有所调整。　　从谍照中可以看出，新车车身结构并没有明显的改动，仅针对外观进行了一定的调整，其中包括前保险杠造型以及尾灯组设计。另外，从青柠色刹车卡钳推测，谍照中的车型有可能是e-hybird</t>
  </si>
  <si>
    <t>我们获得了一组保时捷新款panamera sport turismo的路试谍照，新车属于改款车型，外观细节有所调整。    从谍照中可以看出，新车车身结构并没有明显的改动，仅针对外观进行了一定的调整，其中包括前保险杠造型以及尾灯组设计。另外，从青柠色刹车卡钳推测，谍照中的车型有可能是e-hybird</t>
  </si>
  <si>
    <t>车灯作为汽车最重要的组成部件，不仅有画龙点睛的装饰作用，还关乎着我们夜晚的行车安全。随着汽车工业的逐步发展，这双“眼睛”也有了多种选择，曾经服役多年的卤素灯已经不再是唯一的选择，价格稍高一度成为高配车型专属的HID氙气灯，如今也有逐渐被LED这个后来者所替代的趋势。那么这三种较为常见的车灯光源是越贵</t>
  </si>
  <si>
    <t>电池容量，顾名思义就是电池所能够储存的电量，在其他条件不变的情况下，电池所能够储存的电量越多，那么意味着这台车所能够行驶的公里数越长。而至于BMS技术，则是指的电池管理系统，而它的作用就是提高电池的利用率，防止电池出现过度的充电和放电，起到延长续航里程和提升动力电池稳定性的作用。所以由此不难看出，电</t>
  </si>
  <si>
    <t>　　我们获得了一组新款沃尔沃s90的路试谍照，新车外观方面有所调整，据此前海外媒体报道，新车有望于2021年在美国市场率先上市。　　从谍照看出，新车外观调整并不算太大，前保险杠两侧被伪装所覆盖，预计其造型将有所调整。另外，新款s90的尾灯部分同样被伪装所覆盖，相信尾灯组内部灯源的布局将会被调整，其次</t>
  </si>
  <si>
    <t>2020/02/05 12:08:00</t>
  </si>
  <si>
    <t>我们获得了一组新款沃尔沃s90的路试谍照，新车外观方面有所调整，据此前海外媒体报道，新车有望于2021年在美国市场率先上市。    从谍照看出，新车外观调整并不算太大，前保险杠两侧被伪装所覆盖，预计其造型将有所调整。另外，新款s90的尾灯部分同样被伪装所覆盖，相信尾灯组内部灯源的布局将会被调整，其次</t>
  </si>
  <si>
    <t>车辆使用3年，全程4S店保养，2019年12月，加玻璃水时发现发动机舱生锈。申请4S维修(西咸盈丰)，简单处理，结果很不满意，喷漆喷到发动机其他部件上，喷漆后流的到处都是。</t>
  </si>
  <si>
    <t>2020/02/05 12:07:00</t>
  </si>
  <si>
    <t>奇瑞艾瑞泽5发动机舱生锈车辆使用3年，全程4S店保养，2019年12月，加玻璃水时发现发动机舱生锈。申请4S维修(西咸盈丰)，简单处理，结果很不满意，喷漆喷到发动机其他部件上，喷漆后流的到处都是。</t>
  </si>
  <si>
    <t>renault集团旗下运动化品牌alpine近日在巴黎国际汽车节发表了全新概念车alpine a110 sportsx concept。新车是基于a110车型升级打造，设计灵感则是源自1973年蒙特卡洛拉力赛中获胜的a110拉力赛车。    新车在量产版a110的基础上增加了更外抛的前后翼子板，悬挂</t>
  </si>
  <si>
    <t>2020/02/05 12:06:00</t>
  </si>
  <si>
    <t>　　renault集团旗下运动化品牌alpine近日在巴黎国际汽车节发表了全新概念车alpine a110 sportsx concept。新车是基于a110车型升级打造，设计灵感则是源自1973年蒙特卡洛拉力赛中获胜的a110拉力赛车。　　新车在量产版a110的基础上增加了更外抛的前后翼子板，悬挂</t>
  </si>
  <si>
    <t>四轮普利司通轮胎大面积龟裂，轮胎花纹沟槽内出现大的深度裂口。目前才两万公里，这是轮胎的质量问题，要求免费更换。</t>
  </si>
  <si>
    <t>2020/02/05 12:04:00</t>
  </si>
  <si>
    <t>一汽丰田威驰普利司通轮胎开裂四轮普利司通轮胎大面积龟裂，轮胎花纹沟槽内出现大的深度裂口。目前才两万公里，这是轮胎的质量问题，要求免费更换。</t>
  </si>
  <si>
    <t>　　日前，我们从相关渠道获取了一组大众全新开迪（海外称caddy）的路试谍照。新车定位介于轿车和mpv车型之间，大众将其定义为van车型。新车采用了与概念版车型不同的前脸造型设计，同时车身长度进一步加长，从而进一步增加车内空间。据悉，该车将在今年2月底正式发布。路试谍照概念版车型设计图　　对比此前发</t>
  </si>
  <si>
    <t>日前，我们从相关渠道获取了一组大众全新开迪（海外称caddy）的路试谍照。新车定位介于轿车和mpv车型之间，大众将其定义为van车型。新车采用了与概念版车型不同的前脸造型设计，同时车身长度进一步加长，从而进一步增加车内空间。据悉，该车将在今年2月底正式发布。路试谍照概念版车型设计图    对比此前发</t>
  </si>
  <si>
    <t>东风雪铁龙天逸C5 AIRCROSS发动机故障灯亮自2019年8月四万公里以来发动机故障灯常亮，多次去4S交涉，就是诊断仪消除故障码了事。每次到4S诊断仪都有三元催化器转化效率低于阈值故障代码，要求详细检查记录三元催化器及相关硬件，并根据结果按质保规定给予免费更换，店方均予以拒绝，声称三元催化器不在</t>
  </si>
  <si>
    <t>2020/02/05 12:02:00</t>
  </si>
  <si>
    <t>自2019年8月四万公里以来发动机故障灯常亮，多次去4S交涉，就是诊断仪消除故障码了事。每次到4S诊断仪都有三元催化器转化效率低于阈值故障代码，要求详细检查记录三元催化器及相关硬件，并根据结果按质保规定给予免费更换，店方均予以拒绝，声称三元催化器不在质保范伟。本人车辆不仅在三年十万公里之内，而且早已</t>
  </si>
  <si>
    <t>下班上车正常打火，刚启动就有烧焦味，四处找味道的来源，然后副驾驶升降器开关附近就着火了，明火，很大当时地上有雪，拿雪扑灭的，右前门均为原车线束，没加装未改动，此次造成门衬板烧化，升降器开关烧毁严重，开关饰板严重，上4s店要说法无果，态度恶劣，就拿车已经过保了说事，要想检查，检查费800元抢钱一样，别</t>
  </si>
  <si>
    <t>登高易望远</t>
  </si>
  <si>
    <t>2020/02/05 11:54:00</t>
  </si>
  <si>
    <t>东风日产轩逸车辆线束烧焦存在安全隐患下班上车正常打火，刚启动就有烧焦味，四处找味道的来源，然后副驾驶升降器开关附近就着火了，明火，很大当时地上有雪，拿雪扑灭的，右前门均为原车线束，没加装未改动，此次造成门衬板烧化，升降器开关烧毁严重，开关饰板严重，上4s店要说法无果，态度恶劣，就拿车已经过保了说事，</t>
  </si>
  <si>
    <t>几个月前车子出现异响，就是在换挡以后松离合时，车子听见底盘下面嘎达嘎达响，二挡三挡比较严重，特别是车子行驶一段距离后响声特别大。去过维修站三次，第一次说正常，第二次说我松离合松的太快，油门儿跟不上，我这都20多年司机了会油离配合不好吗？第三次去维修站，维修师傅听了一下说让我自己录音，要有音频证据，我</t>
  </si>
  <si>
    <t>寒风冽</t>
  </si>
  <si>
    <t>2020/02/05 11:52:00</t>
  </si>
  <si>
    <t>奇瑞艾瑞泽5换挡松离合时异响几个月前车子出现异响，就是在换挡以后松离合时，车子听见底盘下面嘎达嘎达响，二挡三挡比较严重，特别是车子行驶一段距离后响声特别大。去过维修站三次，第一次说正常，第二次说我松离合松的太快，油门儿跟不上，我这都20多年司机了会油离配合不好吗？第三次去维修站，维修师傅听了一下说让</t>
  </si>
  <si>
    <t>投诉编号：【446384】投诉时间：2020-02-0511:50投诉品牌：奇瑞汽车投诉车系：艾瑞泽EX投诉车型：2019款1.5L手动青春版国V投诉内容2019年4月10日购买的艾瑞泽5ex手动青春版，目前行驶2万7千多公里，全程在4S店保养，车子在行驶18000公里后出现左右两侧B柱位置异响，具</t>
  </si>
  <si>
    <t>2020/02/05 11:50:00</t>
  </si>
  <si>
    <t>右后轮胎吃胎，原胎磨轮胎外侧，换新的胎后磨轮胎整个胎平面。18年买的车，里程才三万三千多公里，请厂家解决问题。</t>
  </si>
  <si>
    <t>2020/02/05 11:49:00</t>
  </si>
  <si>
    <t>广汽传祺GA6右后轮轮胎吃胎右后轮胎吃胎，原胎磨轮胎外侧，换新的胎后磨轮胎整个胎平面。18年买的车，里程才三万三千多公里，请厂家解决问题。</t>
  </si>
  <si>
    <t>行驶过程中突然失去动力，经过检查是变速箱的机电单元出现故障需要更换。车辆才3万4千多公里，这是车辆的质量问题，要求索赔维修。这个配件维修价格很高，本身的质量问题需要厂家免费更换。</t>
  </si>
  <si>
    <t>雪花飞26</t>
  </si>
  <si>
    <t>2020/02/05 11:47:00</t>
  </si>
  <si>
    <t>一汽大众高尔夫变速箱控制单元故障行驶过程中突然失去动力，经过检查是变速箱的机电单元出现故障需要更换。车辆才3万4千多公里，这是车辆的质量问题，要求索赔维修。这个配件维修价格很高，本身的质量问题需要厂家免费更换。</t>
  </si>
  <si>
    <t>2019年11月初购车，目前行驶里程7000公里，车辆在高速公路行驶时，时速达到100迈以上时打转向会有卡滞感，低速就没有，这是质量问题希望尽快解决。</t>
  </si>
  <si>
    <t>禁止超速</t>
  </si>
  <si>
    <t>2020/02/05 11:41:00</t>
  </si>
  <si>
    <t>东风本田INSPIRE高速转向系统卡滞2019年11月初购车，目前行驶里程7000公里，车辆在高速公路行驶时，时速达到100迈以上时打转向会有卡滞感，低速就没有，这是质量问题希望尽快解决。</t>
  </si>
  <si>
    <t>新车中控屏幕就一会儿一会儿死机重启，4s检测说主机故障，拆中控，说是拍主机发给厂家换，这也就忍了，毕竟承认有故障能更换。不能接受的是每次踩刹车，松开刹车起步都有咯噔声，动静很大，问4s说是正常的，论坛有个朋友也有类似的问题，结果十天刹车抱死，如果是在高速路，这是要出人命的，厂家也毫无作为，然后换挡也</t>
  </si>
  <si>
    <t>2020/02/05 11:39:00</t>
  </si>
  <si>
    <t>华晨宝马3系中控屏故障刹车异响新车中控屏幕就一会儿一会儿死机重启，4s检测说主机故障，拆中控，说是拍主机发给厂家换，这也就忍了，毕竟承认有故障能更换。不能接受的是每次踩刹车，松开刹车起步都有咯噔声，动静很大，问4s说是正常的，论坛有个朋友也有类似的问题，结果十天刹车抱死，如果是在高速路，这是要出人命</t>
  </si>
  <si>
    <t>九万公里左右发动机故障灯亮，4S店是要更换正时皮带张紧轮后来换了正时皮带跑了还没五千公里机油灯直接报警。最近监测发现三千公里尺子就沾不到油了，打电话给厂家，厂家说不在质保了。</t>
  </si>
  <si>
    <t>好天气</t>
  </si>
  <si>
    <t>2020/02/05 11:36:00</t>
  </si>
  <si>
    <t>东风标致408发动机严重故障烧机油九万公里左右发动机故障灯亮，4S店是要更换正时皮带张紧轮后来换了正时皮带跑了还没五千公里机油灯直接报警。最近监测发现三千公里尺子就沾不到油了，打电话给厂家，厂家说不在质保了。</t>
  </si>
  <si>
    <t>2020/02/05 11:35:20</t>
  </si>
  <si>
    <t>投诉编号：【446381】
投诉时间： 2020-02-05 11:21
投诉品牌： 长城汽车
投诉车系： 哈弗F7
投诉车型： 2020款 1.5T 两驱 i型</t>
  </si>
  <si>
    <t>投诉编号：【446383】投诉时间：2020-02-0511:33投诉品牌：一汽丰田投诉车系：威驰投诉车型：2019款1.5LCVT畅行版投诉内容四个车门嗯的螺丝全部都有拧动过还有就是右左侧车门有掉漆，引擎盖子上面有一个针眼大的掉漆。投诉回复车质网已将您的投诉转给生产企业以及国家市场监督管理总局缺陷</t>
  </si>
  <si>
    <t>2020/02/05 11:33:00</t>
  </si>
  <si>
    <t>2013年1月底购车，目前行驶了7万公里多点。现在车身漆面未破损，铁皮由内部生锈导致车漆开裂。希望厂家给一个合理的解决方案。</t>
  </si>
  <si>
    <t>下雪了30</t>
  </si>
  <si>
    <t>2020/02/05 11:30:00</t>
  </si>
  <si>
    <t>奇瑞E5车身严重生锈产品质量太让人失望2013年1月底购车，目前行驶了7万公里多点。现在车身漆面未破损，铁皮由内部生锈导致车漆开裂。希望厂家给一个合理的解决方案。</t>
  </si>
  <si>
    <t>进口的宝马3系GT前轮刹车软管漏油在路上正常行驶制动系统报警，拖到4S店发现左前轮刹车软管漏油，4S店说是底部被动过，又拖回经销商处说修下就行，这是没出事出事了谁给负责。</t>
  </si>
  <si>
    <t>2020/02/05 11:27:00</t>
  </si>
  <si>
    <t>在路上正常行驶制动系统报警，拖到4S店发现左前轮刹车软管漏油，4S店说是底部被动过，又拖回经销商处说修下就行，这是没出事出事了谁给负责。</t>
  </si>
  <si>
    <t>投诉编号：【446379】  投诉时间： 2020-02-05 11:16  投诉品牌： 一汽-大众  投诉车系： 宝来  投诉车型： 2019款 1.5L 手动 舒适型        投诉内容  新车行驶一万公里发现变速箱半轴漏油，2019年12月9号去4s店更换了半轴油封，12月27号二次漏油更</t>
  </si>
  <si>
    <t>2020/02/05 11:16:00</t>
  </si>
  <si>
    <t>　　广汽本田新款理念ve-1已于2019年10月正式上市，新车定位小型纯电动suv。和当前大多合资品牌推出的电动车一样，这款产品也是在燃油车基础上改造而来。新款理念ve-1是基于广汽本田的缤智改造，两款车在设计上有90%的相似度，整体造型、车身线条以及内饰布局均保持一致。　　目前中国市场中这一定位的</t>
  </si>
  <si>
    <t>2020/02/05 11:14:00</t>
  </si>
  <si>
    <t>随着生活的发展、汽车的普及考驾照的人越来越多了不仅仅是年轻人，很多老一辈的人都学起了开车那么开车年龄的最大上限是多少呢多大岁数我们就不可以开车了呢1c1驾驶证就最常见的c1驾照来说：c1驾照考取年龄C类驾驶员准驾车型是小型、微型车辆；申请小型汽车、小型自动挡汽车、残疾人专用小型自动挡载客汽车、轻便摩</t>
  </si>
  <si>
    <t>2020/02/05 11:08:00</t>
  </si>
  <si>
    <t>当我们开车的时候会发现，不管是多么爱干净的人，汽车总是会变脏，即使是把车放着不开，隔一段时间表面还是会有灰尘。要是新车还好一点，起码都不愿意它弄得太脏，会及时的去清洗，只要过了这个新鲜劲儿，一个月不洗一次都有可能，实在看不下去就用毛巾擦一擦，把重要的部位弄干净就可以了。车内灰尘多别毛巾擦，老司机教你</t>
  </si>
  <si>
    <t>车内灰尘多别用毛巾擦当我们开车的时候会发现，不管是多么爱干净的人，汽车总是会变脏，即使是把车放着不开，隔一段时间表面还是会有灰尘。要是新车还好一点，起码都不愿意它弄得太脏，会及时的去清洗，只要过了这个新鲜劲儿，一个月不洗一次都有可能，实在看不下去就用毛巾擦一擦，把重要的部位弄干净就可以了。车内灰尘多</t>
  </si>
  <si>
    <t>多大岁数我们就不可以开车了呢随着生活的发展、汽车的普及考驾照的人越来越多了不仅仅是年轻人，很多老一辈的人都学起了开车那么开车年龄的最大上限是多少呢多大岁数我们就不可以开车了呢1c1驾驶证就最常见的c1驾照来说：c1驾照考取年龄C类驾驶员准驾车型是小型、微型车辆；申请小型汽车、小型自动挡汽车、残疾人专</t>
  </si>
  <si>
    <t>　　日前有媒体从广汽本田官方获悉，为了更好应对疫情，广汽本田推出了四大暖心计划，涵盖线上订车补贴、店内消毒防控以及部分经销商上门取送车等服务，全方位保障客户权益，减少客户的外出频率，进一步巩固防控防疫效果。　　本次广汽本田推出的暖心计划分为四个部分，具体内容如下：　　线上看车 同享安心：广汽本田将针</t>
  </si>
  <si>
    <t>日前有媒体从广汽本田官方获悉，为了更好应对疫情，广汽本田推出了四大暖心计划，涵盖线上订车补贴、店内消毒防控以及部分经销商上门取送车等服务，全方位保障客户权益，减少客户的外出频率，进一步巩固防控防疫效果。    本次广汽本田推出的暖心计划分为四个部分，具体内容如下：    线上看车 同享安心：广汽本田</t>
  </si>
  <si>
    <t>在现在这个时代，买车已经不是一件什么稀奇古怪的事情了，如今很多人为了出行的方便都会买一辆车，对于许多男性来说，开车并不只是一份简简单单的技术活，而一个开车端庄娴雅的男人往往也会更显得有魅力，但是如何判断男人开车技术好坏呢?从这5个简单的动作当中就可以看出来了。首先，看一个人开车是否是老司机从第一个方</t>
  </si>
  <si>
    <t>2020/02/05 11:07:00</t>
  </si>
  <si>
    <t>看似寻常的倒车，一不小心却可能引发严重的交通事故。倒车时，不管你是司机还是行人都要：注意车辆盲区；不过分依赖电子辅助设备；后视镜配合回头观察四周情况；怠速倒车备踩刹车。</t>
  </si>
  <si>
    <t>最危险的一段间距看似寻常的倒车，一不小心却可能引发严重的交通事故。倒车时，不管你是司机还是行人都要：注意车辆盲区；不过分依赖电子辅助设备；后视镜配合回头观察四周情况；怠速倒车备踩刹车。</t>
  </si>
  <si>
    <t>如何判断男人开车技术好坏在现在这个时代，买车已经不是一件什么稀奇古怪的事情了，如今很多人为了出行的方便都会买一辆车，对于许多男性来说，开车并不只是一份简简单单的技术活，而一个开车端庄娴雅的男人往往也会更显得有魅力，但是如何判断男人开车技术好坏呢?从这5个简单的动作当中就可以看出来了。首先，看一个人开</t>
  </si>
  <si>
    <t>限高本为了提醒司机不要超高，有时却成了恐怖的“杀手”，一不小心可能危害自己和周围车辆的安全。通过限高时一定要留意自身高度和前后大货车的存在，避免与其并行，遭受无妄之灾。</t>
  </si>
  <si>
    <t>2020/02/05 11:06:00</t>
  </si>
  <si>
    <t>有需要的老司机看过来 C1驾照可以升级为B2驾照我们很多人在考驾驶证的时候大多数考的是C1驾驶证，该驾驶证可以驾驶小型、微型载客汽车以及轻型、微型载货汽车。如果你个人业务有需求，需要增驾B2（大型货车）驾照，只要到相应的驾校报名，并准备好相关的资料以及钱就行了。不过，根据《机动车驾驶证申领和使用规定</t>
  </si>
  <si>
    <t>小心被“剃头”！躺着也“中枪”限高本为了提醒司机不要超高，有时却成了恐怖的“杀手”，一不小心可能危害自己和周围车辆的安全。通过限高时一定要留意自身高度和前后大货车的存在，避免与其并行，遭受无妄之灾。</t>
  </si>
  <si>
    <t>　　凯迪拉克此前曾宣布，自2020年起，super cruise?驾驶辅助系统将逐渐应用于全系车型。日前，有媒体从通用汽车官方获悉，该智能驾驶系统即将迎来技术升级和增强，增强后能够在确认道路安全的情况下，根据驾驶员的要求在高速公路上执行自动变道。　　作为整车的“大脑和神经系统”，通用汽车全新一代电子</t>
  </si>
  <si>
    <t>凯迪拉克此前曾宣布，自2020年起，super cruise?驾驶辅助系统将逐渐应用于全系车型。日前，有媒体从通用汽车官方获悉，该智能驾驶系统即将迎来技术升级和增强，增强后能够在确认道路安全的情况下，根据驾驶员的要求在高速公路上执行自动变道。    作为整车的“大脑和神经系统”，通用汽车全新一代电子</t>
  </si>
  <si>
    <t>有车也不是完美的，夏天来临了，午觉起来后，打开车门的刹那， 简直了！这里说说，高温天气怎样让车子降温？请看下文！先开窗、后车门最后空调车子被暴晒后，必须打开车窗、天窗、车门，先把车子里的热气散出去，一段时间过后，在把车窗关上直接开空调，并调到外循环模式，几分钟后在切换到内循环，这样的话里面空调的效果</t>
  </si>
  <si>
    <t>2020/02/05 11:05:00</t>
  </si>
  <si>
    <t>最近很多人告诉小编，没学过汽车相关专业不了解汽车构造，但却想更多的了解汽车怎么办？今天小编特意带来了高清汽车零部件图，可以让大家欣赏到现实中无法看到的汽车细节，是学习汽车构造，了解汽车构造与工作原理的绝好资料，小伙伴们赶紧转起来吧！</t>
  </si>
  <si>
    <t>新型冠状病毒的出现让口罩一夜脱销，防病毒已经悄然成为超级卖点，于是有车企开始宣传自家车的空调可以防病毒，而这个防病毒的核心就是过滤PM2.5。PM2.5一开始是用来形容空气中直径小于或等于2.5微米的颗粒物，PM2.5浓度高说明空气质量差，“打开车门是北京，关上车门是北欧”，这是当时车企宣传车内空气</t>
  </si>
  <si>
    <t>夏天停车是门技术活有车也不是完美的，夏天来临了，午觉起来后，打开车门的刹那， 简直了！这里说说，高温天气怎样让车子降温？请看下文！先开窗、后车门最后空调车子被暴晒后，必须打开车窗、天窗、车门，先把车子里的热气散出去，一段时间过后，在把车窗关上直接开空调，并调到外循环模式，几分钟后在切换到内循环，这样</t>
  </si>
  <si>
    <t>汽车上每个零件你都叫得出名字吗最近很多人告诉小编，没学过汽车相关专业不了解汽车构造，但却想更多的了解汽车怎么办？今天小编特意带来了高清汽车零部件图，可以让大家欣赏到现实中无法看到的汽车细节，是学习汽车构造，了解汽车构造与工作原理的绝好资料，小伙伴们赶紧转起来吧！</t>
  </si>
  <si>
    <t>能过滤PM2.5的车，是不是也可以防病毒？新型冠状病毒的出现让口罩一夜脱销，防病毒已经悄然成为超级卖点，于是有车企开始宣传自家车的空调可以防病毒，而这个防病毒的核心就是过滤PM2.5。PM2.5一开始是用来形容空气中直径小于或等于2.5微米的颗粒物，PM2.5浓度高说明空气质量差，“打开车门是北京，</t>
  </si>
  <si>
    <t>在疫情期间，除了进行室内消毒和自我防护，很多车主都没有忘记给爱车也进行一番彻底的清理。不过最近一段汽车起火视频迅速传遍了朋友圈，有网友称这是车内男子用消毒水消毒后点燃香烟，导致车辆起火自燃。那么事实究竟是怎样的呢？科学的汽车消毒方式又是怎样的呢？近日，有网友表示：“今天天津一哥们儿，在自己衣服上喷了</t>
  </si>
  <si>
    <t>2020/02/05 11:04:00</t>
  </si>
  <si>
    <t>特殊时期特别关爱 牛车实验室教您科学消毒爱车在疫情期间，除了进行室内消毒和自我防护，很多车主都没有忘记给爱车也进行一番彻底的清理。不过最近一段汽车起火视频迅速传遍了朋友圈，有网友称这是车内男子用消毒水消毒后点燃香烟，导致车辆起火自燃。那么事实究竟是怎样的呢？科学的汽车消毒方式又是怎样的呢？近日，有网</t>
  </si>
  <si>
    <t>最近疫情闹得沸沸扬扬，昨日又有消息报道一个感染者在没有接触过任何湖北旅史及感染者情况下依旧被感染了，最后在门把手上查出了感染源，由此可见此次的病毒传播性真的还是挺强的。但是大家也不必过于惊慌，早前疫情爆发初期的时候医生就指出了酒精和84消毒液是可以达到杀死病毒的效果的，家里如何消毒我们其实都知道，但</t>
  </si>
  <si>
    <t>2020/02/05 11:03:00</t>
  </si>
  <si>
    <t>用84消毒液与酒精怎样给汽车消毒最近疫情闹得沸沸扬扬，昨日又有消息报道一个感染者在没有接触过任何湖北旅史及感染者情况下依旧被感染了，最后在门把手上查出了感染源，由此可见此次的病毒传播性真的还是挺强的。但是大家也不必过于惊慌，早前疫情爆发初期的时候医生就指出了酒精和84消毒液是可以达到杀死病毒的效果的</t>
  </si>
  <si>
    <t>近日，在第15届印度德里国际车展前夕，雷克萨斯在印度市场推出了新款es 300h，而值得注意的是，新车是在印度本土生产的es车型。此前，雷克萨斯在印度投资了一亿美元，拥有一条装配线，也成为了继日本和北美之后的第三个雷克萨斯制造基地。    据了解，雷克萨斯2019年在印度仅售出了500-600 辆汽</t>
  </si>
  <si>
    <t>喝酒后，要过多长时间才能开车这是很多人关心的一个问题，由于日常的应酬和聚会，喝酒一事总是不能避免；为了不耽误正常的工作和学习，大多数人喜欢在晚餐饮酒，而且还喜欢饮用酒精度数较高的“白酒”，那问题就来了，晚上喝完白酒，第二天早上开车是否还能被测出是酒驾？酒驾的标准如何？白酒是一种常见的酒水，对于它，您</t>
  </si>
  <si>
    <t>　　近日，在第15届印度德里国际车展前夕，雷克萨斯在印度市场推出了新款es 300h，而值得注意的是，新车是在印度本土生产的es车型。此前，雷克萨斯在印度投资了一亿美元，拥有一条装配线，也成为了继日本和北美之后的第三个雷克萨斯制造基地。　　据了解，雷克萨斯2019年在印度仅售出了500-600 辆汽</t>
  </si>
  <si>
    <t>特殊时期，大家能不出门尽量不出门，必须出门建议不要乘坐公共交通工具，尽量选择私家车出行，并且最好选择单人单车使用，避免带来不必要的麻烦。很多私家车配备了空气净化功能，能彻底阻隔病毒吗？如何使用能发挥更大作用？下面就为大家介绍疫情期间如何保证私家车更安全？有哪些细节需要注意。1、私家车日常如何预防病毒</t>
  </si>
  <si>
    <t>2020/02/05 11:02:00</t>
  </si>
  <si>
    <t>莫恐慌，疫情期间如何保证开私家车更安全特殊时期，大家能不出门尽量不出门，必须出门建议不要乘坐公共交通工具，尽量选择私家车出行，并且最好选择单人单车使用，避免带来不必要的麻烦。很多私家车配备了空气净化功能，能彻底阻隔病毒吗？如何使用能发挥更大作用？下面就为大家介绍疫情期间如何保证私家车更安全？有哪些细</t>
  </si>
  <si>
    <t>近日，有媒体从官方获悉，长安欧尚汽车为更好应对此次疫情与守护百万家庭出行安全，特推出7x24小时在线服务，保障长安欧尚车主用车畅通，用户可以足不出户享受选、购、用、修、换等便捷服务。    欧尚style app可每日向用户推送疫情动态及新型冠状病毒防护知识，同时消费者可通过在线看车服务，了解到长安</t>
  </si>
  <si>
    <t>2020/02/05 11:01:00</t>
  </si>
  <si>
    <t>　　近日，有媒体从官方获悉，长安欧尚汽车为更好应对此次疫情与守护百万家庭出行安全，特推出7x24小时在线服务，保障长安欧尚车主用车畅通，用户可以足不出户享受选、购、用、修、换等便捷服务。　　欧尚style app可每日向用户推送疫情动态及新型冠状病毒防护知识，同时消费者可通过在线看车服务，了解到长安</t>
  </si>
  <si>
    <t>投诉编号：【446376】  投诉时间： 2020-02-05 11:00  投诉品牌： 东风本田  投诉车系： 本田CR-V  投诉车型： 2017款 240TURBO 自动 四驱 尊贵版        投诉内容  机油增多，油耗增加，发动机噪音变大，希望尽快得到处理。      投诉回复  车质</t>
  </si>
  <si>
    <t>2020/02/05 11:00:00</t>
  </si>
  <si>
    <t>　　起亚旗下中型suv索兰托此前以进口方式引入国内。自2002年推出以来，索兰托在全球范围内的销量已超过300万辆。日前，有媒体从起亚汽车官方获得了全新索兰托的预告图。新车内部代号为mq4，基于现代和起亚共享的全新平台打造，整体设计与此前曝光的谍照保持一致。　　从发布的预告图不难看出，此前曝光的谍照</t>
  </si>
  <si>
    <t>2020/02/05 10:57:00</t>
  </si>
  <si>
    <t>起亚旗下中型suv索兰托此前以进口方式引入国内。自2002年推出以来，索兰托在全球范围内的销量已超过300万辆。日前，有媒体从起亚汽车官方获得了全新索兰托的预告图。新车内部代号为mq4，基于现代和起亚共享的全新平台打造，整体设计与此前曝光的谍照保持一致。    从发布的预告图不难看出，此前曝光的谍照</t>
  </si>
  <si>
    <t>　　此前，宝马在北美daytona 24小时赛事中亮相了旗下全新赛车――m2 cs racing，用以向私人车队或对此车统一规格赛事有兴趣的车手进行销售。全新车型也将替代m235i racing和m240i racing成为宝马赛车产品中的入门车型。　　据海外媒体的信息，宝马 m gmbh消费负责人</t>
  </si>
  <si>
    <t>2020/02/05 10:56:00</t>
  </si>
  <si>
    <t>此前，宝马在北美daytona 24小时赛事中亮相了旗下全新赛车——m2 cs racing，用以向私人车队或对此车统一规格赛事有兴趣的车手进行销售。全新车型也将替代m235i racing和m240i racing成为宝马赛车产品中的入门车型。    据海外媒体的信息，宝马 m gmbh消费负责人</t>
  </si>
  <si>
    <t>新的2021款福特Bronco即将曝光，这意味着福特正在完成越野SUV的开发。在过去的一个月里，我们看到了Bronco在浓重伪装下方方正正的首次亮相。现在，一批新的照片展示了一个更强壮的版本的 Bronco。新照片的焦点是从福特F-150猛禽借来的更结实的固特异牧马人315/70R17轮胎。那些更大</t>
  </si>
  <si>
    <t>2020/02/05 10:50:00</t>
  </si>
  <si>
    <t>福特专业级越野SUV曝光新的2021款福特Bronco即将曝光，这意味着福特正在完成越野SUV的开发。在过去的一个月里，我们看到了Bronco在浓重伪装下方方正正的首次亮相。现在，一批新的照片展示了一个更强壮的版本的 Bronco。新照片的焦点是从福特F-150猛禽借来的更结实的固特异牧马人315/</t>
  </si>
  <si>
    <t>国内MPV市场一直被两款车型霸占，一辆就是主打商务用途的上汽通用别克GL8，而另一辆则是服务于家庭和乡村的上汽通用五菱宏光。虽说目前国内各大厂商都在积极推出MPV车型，抢占商务MPV霸主GL8的市场份额，但都是以卵击石。丰田作为全球汽车市场中的重要角色，旗下产品矩阵十分强大，不论是轿车还是SUV、硬</t>
  </si>
  <si>
    <t>2020/02/05 10:49:00</t>
  </si>
  <si>
    <t>投诉编号：【446375】  投诉时间： 2020-02-05 10:49  投诉品牌： 一汽-大众  投诉车系： 速腾  投诉车型： 2019款 280TSI DSG 舒适型 国VI        投诉内容  实际价格高，索要发票店内全损不但高于成交前价格，索要发票，不明项目发票开具的全是服务费。</t>
  </si>
  <si>
    <t>能否撼动GL8的地位 丰田Sienna塞纳将国产国内MPV市场一直被两款车型霸占，一辆就是主打商务用途的上汽通用别克GL8，而另一辆则是服务于家庭和乡村的上汽通用五菱宏光。虽说目前国内各大厂商都在积极推出MPV车型，抢占商务MPV霸主GL8的市场份额，但都是以卵击石。丰田作为全球汽车市场中的重要角色</t>
  </si>
  <si>
    <t>最近，有海外设计师根据此前泄露的2021款奔驰E63谍照，制作了E63的整车渲染图。无一例外的是，E63的整体设计风格与奔驰家族的其他新成员保持了高度一致，加入了很多圆润的曲线，和往代充满进攻性的设计相比，2021款奔驰E63更像是一个“呆萌壮汉”。最近，有海外设计师根据此前泄露的2021款奔驰E6</t>
  </si>
  <si>
    <t>2020/02/05 10:48:00</t>
  </si>
  <si>
    <t>2021款E63渲染图出炉最近，有海外设计师根据此前泄露的2021款奔驰E63谍照，制作了E63的整车渲染图。无一例外的是，E63的整体设计风格与奔驰家族的其他新成员保持了高度一致，加入了很多圆润的曲线，和往代充满进攻性的设计相比，2021款奔驰E63更像是一个“呆萌壮汉”。最近，有海外设计师根据此</t>
  </si>
  <si>
    <t>奇瑞捷豹路虎揽胜极光，这次还要加个新字，这次是真的够新，除了外观你完全看不到上一代的影子。都说这一代揽胜极光继承了大量星脉的配置，外观在经典设计上融入了各种细节设计，而焕然一新的内饰将实体按钮减少到了极致，极大的提升了高级感，但都知道装备了液晶仪表盘、中控屏、空调面板、流媒体后视镜以及HUD抬头显示</t>
  </si>
  <si>
    <t>2020/02/05 10:47:00</t>
  </si>
  <si>
    <t>全新路虎揽胜极光 仿造的成本都很高奇瑞捷豹路虎揽胜极光，这次还要加个新字，这次是真的够新，除了外观你完全看不到上一代的影子。都说这一代揽胜极光继承了大量星脉的配置，外观在经典设计上融入了各种细节设计，而焕然一新的内饰将实体按钮减少到了极致，极大的提升了高级感，但都知道装备了液晶仪表盘、中控屏、空调面</t>
  </si>
  <si>
    <t>虽然在之前原厂 Proton 已经宣布 2020 Proton X70 CKD 正式在 Tanjung Malim 的 Proton City 下线，但是当时并没有公布这款新车的发布时间，而近日根据社交网站上流传一张海报， 2020 X70 或将在2月12日正式发布，不过价钱并没有任何消息。Prot</t>
  </si>
  <si>
    <t>2020/02/05 10:46:00</t>
  </si>
  <si>
    <t>　　我猜，“负压式救护车”对于大多数朋友来说，一定是个既熟悉又陌生的新名词。一方面，熟悉之处在于“救护车”从小给你留下的印象，而陌生不用说，一定是源于“负压”一词。那么今天我们通过华晨金杯负压救护车来和大家聊聊什么是“负压式救护车 ”，看看它与普通救护车有何不同？据说它们每一台的造价就接近三十万元。</t>
  </si>
  <si>
    <t>汪一舟</t>
  </si>
  <si>
    <t>2020 Proton X70 CKD 或将在2月12日发布虽然在之前原厂 Proton 已经宣布 2020 Proton X70 CKD 正式在 Tanjung Malim 的 Proton City 下线，但是当时并没有公布这款新车的发布时间，而近日根据社交网站上流传一张海报， 2020 X70</t>
  </si>
  <si>
    <t>在大家的印象中，斯巴鲁这个企业一直都很任性，一直都对新能源汽车不怎么感冒，所以新能源产品也是相对匮乏的。不过日前，该品牌公布了新的新能源战略规划。据海外媒体报道，斯巴鲁将借助丰田的技术，开发“强混动”车型，该车型将与2020-2030这10年内推出，另外斯巴鲁表示，2030年后旗下的新能源车型销量要</t>
  </si>
  <si>
    <t>2020/02/05 10:44:00</t>
  </si>
  <si>
    <t>　　疫情发生以来，长城汽车先是向湖北省慈善总会捐赠500万元人民币，用于支援武汉、黄冈、潜江等十余个城市购买急需的疫情防控物资，以及防控指挥部统一调配使用。后又将10辆总价值115万元的长城炮皮卡捐赠给重庆市慈善总会，用于支援重庆地区的防疫应急工作。2月4日，长城汽车再次伸出援手，与旗下经销商共同启</t>
  </si>
  <si>
    <t>斯巴鲁公布未来电气化计划在大家的印象中，斯巴鲁这个企业一直都很任性，一直都对新能源汽车不怎么感冒，所以新能源产品也是相对匮乏的。不过日前，该品牌公布了新的新能源战略规划。据海外媒体报道，斯巴鲁将借助丰田的技术，开发“强混动”车型，该车型将与2020-2030这10年内推出，另外斯巴鲁表示，2030年</t>
  </si>
  <si>
    <t>疫情发生以来，长城汽车先是向湖北省慈善总会捐赠500万元人民币，用于支援武汉、黄冈、潜江等十余个城市购买急需的疫情防控物资，以及防控指挥部统一调配使用。后又将10辆总价值115万元的长城炮皮卡捐赠给重庆市慈善总会，用于支援重庆地区的防疫应急工作。2月4日，长城汽车再次伸出援手，与旗下经销商共同启动2</t>
  </si>
  <si>
    <t>2020/02/05 10:43:34</t>
  </si>
  <si>
    <t>投诉编号：【446374】
投诉时间： 2020-02-05 10:43
投诉品牌： 沃尔沃亚太
投诉车系： 沃尔沃S90
投诉车型： 2018款 T5 智远版</t>
  </si>
  <si>
    <t>　　受新冠病毒肺炎疫情影响，汽车行业受到不小的冲击，有取消发布会的，有新车推迟上市的。不过根据此前的规划，造车新势力将有包括哪吒u在内的3款新车于3月份上市/发布，其中售价最低的车型是哪吒u，该车补贴后预售价为15万元起。　　哪吒u　　看点：三联屏设计仪表盘、透明a柱　　哪吒u在外观设计方面基于eu</t>
  </si>
  <si>
    <t>2020/02/05 10:43:00</t>
  </si>
  <si>
    <t>对有着“车轮上的国家”之称的美国来说，其国内汽车市场呈现出和世界上很多其他地区完全迥异的特质。即使这几年在总销量上被中国超越，但美国汽车市场在全球仍然占据着重要的地位。接下来，让我们去看看2019年美国销量排行前十的汽车都有哪些。有意思的是，在这份榜单上泾渭分明地呈现出了不同的阵营。同时，它们还按销</t>
  </si>
  <si>
    <t>看看哪些车在美国卖最火对有着“车轮上的国家”之称的美国来说，其国内汽车市场呈现出和世界上很多其他地区完全迥异的特质。即使这几年在总销量上被中国超越，但美国汽车市场在全球仍然占据着重要的地位。接下来，让我们去看看2019年美国销量排行前十的汽车都有哪些。有意思的是，在这份榜单上泾渭分明地呈现出了不同的</t>
  </si>
  <si>
    <t>受新冠病毒肺炎疫情影响，汽车行业受到不小的冲击，有取消发布会的，有新车推迟上市的。不过根据此前的规划，造车新势力将有包括哪吒u在内的3款新车于3月份上市/发布，其中售价最低的车型是哪吒u，该车补贴后预售价为15万元起。    哪吒u    看点：三联屏设计仪表盘、透明a柱    哪吒u在外观设计方面</t>
  </si>
  <si>
    <t>据统计，2019年全年国产自主紧凑型轿车累计销量为154.5万辆，仅占全年轿车市场总销量的15.2%的市场份额，整体市场销量不理想。2019年，月均销量超过5千辆的自主紧凑型轿车仅有9款车型，其中两款车型月均销量超过1万辆。排名第一的依然是吉利帝豪，全年销量182514辆，领先的幅度非常大，不过相比</t>
  </si>
  <si>
    <t>2020/02/05 10:42:00</t>
  </si>
  <si>
    <t>2019年全年国产紧凑型轿车销量排名据统计，2019年全年国产自主紧凑型轿车累计销量为154.5万辆，仅占全年轿车市场总销量的15.2%的市场份额，整体市场销量不理想。2019年，月均销量超过5千辆的自主紧凑型轿车仅有9款车型，其中两款车型月均销量超过1万辆。排名第一的依然是吉利帝豪，全年销量182</t>
  </si>
  <si>
    <t>国内什么汽车品牌最受欢迎？相信很多人都会回答大众，没错，2018年国内车企年销量排名，上汽大众和一汽大众分列第一二名；国内轿车月销量排名前十的车型，大众占据五席也是常规操作。那么大众旗下最具代表性的车型是什么？可能很多人就回答不上来了。在国内，朗逸、捷达、桑塔纳乃至帕萨特都很有代表性，但放眼全球，大</t>
  </si>
  <si>
    <t>2020/02/05 10:40:00</t>
  </si>
  <si>
    <t>大众又推新车 内饰堪称惊艳 15万内无敌了国内什么汽车品牌最受欢迎？相信很多人都会回答大众，没错，2018年国内车企年销量排名，上汽大众和一汽大众分列第一二名；国内轿车月销量排名前十的车型，大众占据五席也是常规操作。那么大众旗下最具代表性的车型是什么？可能很多人就回答不上来了。在国内，朗逸、捷达、桑</t>
  </si>
  <si>
    <t>神龙汽车在去年公布了以“元”为名称的复兴计划，计划中包括投放更多适配中国市场、满足中国消费者的优质车型。梳理了神龙汽车公司旗下东风标致与东风雪铁龙新车规划，在2020年将有6款新车上市销售，其中包括全新2008与e-2008（纯电动版）以及雪铁龙c3l等车型。    标致 全新2008    新车基</t>
  </si>
  <si>
    <t>2020/02/05 10:39:00</t>
  </si>
  <si>
    <t>　　神龙汽车在去年公布了以“元”为名称的复兴计划，计划中包括投放更多适配中国市场、满足中国消费者的优质车型。梳理了神龙汽车公司旗下东风标致与东风雪铁龙新车规划，在2020年将有6款新车上市销售，其中包括全新2008与e-2008（纯电动版）以及雪铁龙c3l等车型。　　标致 全新2008　　新车基于p</t>
  </si>
  <si>
    <t>尽管不少购车者消费观念是买车买大，但是其实拥有自己的车之后更多的用途是代步，全家人一起乘坐的情况相对而言还是比价少的。那么对于买车只是用于代步的消费者而言，新能源微型车就是不错的选择，例如欧拉R1、奇瑞小蚂蚁、宝骏E100。在城市越发拥堵的当下，它们更合适于车流中穿梭，和在有限的停车位的情况下找到一</t>
  </si>
  <si>
    <t>2020/02/05 10:38:00</t>
  </si>
  <si>
    <t>5万不到的城市通勤利器 不依赖充电桩上班族也可以随便买尽管不少购车者消费观念是买车买大，但是其实拥有自己的车之后更多的用途是代步，全家人一起乘坐的情况相对而言还是比价少的。那么对于买车只是用于代步的消费者而言，新能源微型车就是不错的选择，例如欧拉R1、奇瑞小蚂蚁、宝骏E100。在城市越发拥堵的当下，</t>
  </si>
  <si>
    <t>得益于tnga产品线的全面铺开，2019年丰田合资品牌交上了一份满意的年终销量答卷：一汽丰田销量为73.8万台，同比增长2％；广汽丰田销量68.2万台，同比增长17.69％。经过梳理后发现，2020年丰田在华至少推出威兰达、奕泽e擎、c-hr ev、改款汉兰达4款重磅车型，进一步提升市场竞争力，而国</t>
  </si>
  <si>
    <t>2020/02/05 10:36:00</t>
  </si>
  <si>
    <t>　　得益于tnga产品线的全面铺开，2019年丰田合资品牌交上了一份满意的年终销量答卷：一汽丰田销量为73.8万台，同比增长2％；广汽丰田销量68.2万台，同比增长17.69％。经过梳理后发现，2020年丰田在华至少推出威兰达、奕泽e擎、c-hr ev、改款汉兰达4款重磅车型，进一步提升市场竞争力，</t>
  </si>
  <si>
    <t>有媒体从长安汽车官方获悉：旗下全新a级轿车——逸动plus计划于3月17日正式上市。从长安汽车现有plus车系的定价方式来看，该车的购买门槛或在7.8万元上下。    逸动plus采用与长安cs75plus相似的设计语言，比目前在售的逸动车型品质感更强。该车搭载了长安蓝鲸1.4t高压直喷发动机，动力</t>
  </si>
  <si>
    <t>2020/02/05 10:33:00</t>
  </si>
  <si>
    <t>　　有媒体从长安汽车官方获悉：旗下全新a级轿车――逸动plus计划于3月17日正式上市。从长安汽车现有plus车系的定价方式来看，该车的购买门槛或在7.8万元上下。　　逸动plus采用与长安cs75plus相似的设计语言，比目前在售的逸动车型品质感更强。该车搭载了长安蓝鲸1.4t高压直喷发动机，动力</t>
  </si>
  <si>
    <t>c63是梅赛德斯-amg旗下的一款中型性能车，该款车型于2009年以进口形式引入国内市场开售，同时也受到了国内性能车迷们的广泛关注。近日海外媒体曝光了一组梅赛德斯-amg全新c 63车型信息，新车将于明年上市开售，并换搭一台全新动力引擎。（配图均为现款c 63 s车型）    动力方面，新车将搭载一</t>
  </si>
  <si>
    <t>2020/02/05 10:32:00</t>
  </si>
  <si>
    <t>随着新战略的稳步推进，红旗的产品阵营越来越壮大，助力其在2019年提前完成10万辆年销目标。有媒体从红旗内部了解到，红旗将于2020年再推出2款重磅产品，分别是红旗旗舰轿车（h9）与豪华大型纯电动suv（e115）。与此同时，红旗h5将新增1.5t、2.0t车型、hs7也将推出2.0t产品。其中豪华</t>
  </si>
  <si>
    <t>　　c63是梅赛德斯-amg旗下的一款中型性能车，该款车型于2009年以进口形式引入国内市场开售，同时也受到了国内性能车迷们的广泛关注。近日海外媒体曝光了一组梅赛德斯-amg全新c 63车型信息，新车将于明年上市开售，并换搭一台全新动力引擎。（配图均为现款c 63 s车型）　　动力方面，新车将搭载一</t>
  </si>
  <si>
    <t>　　随着新战略的稳步推进，红旗的产品阵营越来越壮大，助力其在2019年提前完成10万辆年销目标。有媒体从红旗内部了解到，红旗将于2020年再推出2款重磅产品，分别是红旗旗舰轿车（h9）与豪华大型纯电动suv（e115）。与此同时，红旗h5将新增1.5t、2.0t车型、hs7也将推出2.0t产品。其中</t>
  </si>
  <si>
    <t>　　吉利高端品牌领克目前布局了01、02、03三款主要产品，还有01 phev、03 等多款衍生车型。至2020年，领克也将完成此前在中国推出10款全新产品的规划，形成最新、最全面的产品布局。目前已知品牌在今年有两款重磅车型即将推出，分别为领克05与领克06，前者原计划将在3月份正式上市，但受目前疫</t>
  </si>
  <si>
    <t>2020/02/05 10:26:00</t>
  </si>
  <si>
    <t>吉利高端品牌领克目前布局了01、02、03三款主要产品，还有01 phev、03 等多款衍生车型。至2020年，领克也将完成此前在中国推出10款全新产品的规划，形成最新、最全面的产品布局。目前已知品牌在今年有两款重磅车型即将推出，分别为领克05与领克06，前者原计划将在3月份正式上市，但受目前疫情影</t>
  </si>
  <si>
    <t>　　m8是宝马旗下四门轿跑车型，与奔驰amg gt、保时捷911、奥迪r8等车同级别。在去年11月份宝马在洛杉矶车展上首次亮相了m8 gran coupe车型，新车除普通版车型外，还提供动力强劲的competition车型，两款车型均已在德国dingolfing工厂投产。近日宝马在海外上市了m8 g</t>
  </si>
  <si>
    <t>2020/02/05 10:23:00</t>
  </si>
  <si>
    <t>m8是宝马旗下四门轿跑车型，与奔驰amg gt、保时捷911、奥迪r8等车同级别。在去年11月份宝马在洛杉矶车展上首次亮相了m8 gran coupe车型，新车除普通版车型外，还提供动力强劲的competition车型，两款车型均已在德国dingolfing工厂投产。近日宝马在海外上市了m8 gra</t>
  </si>
  <si>
    <t>　　日前，我们获得了一款中兴全新大皮卡的信息，据悉，这款全新车型或者会被命名为为中兴领主g9，而领主可能会成为中兴旗下高端皮卡的一个新的车系。　　相比目前在售的素有“国产坦途”之称的领主皮卡，这款全新的g9前脸造型更加宽厚硬朗，其采用了多幅式中网装饰，上下格栅贯穿整个前脸，与国外新款丰田坦途更加相似</t>
  </si>
  <si>
    <t>2020/02/05 10:21:00</t>
  </si>
  <si>
    <t>日前，我们获得了一款中兴全新大皮卡的信息，据悉，这款全新车型或者会被命名为为中兴领主g9，而领主可能会成为中兴旗下高端皮卡的一个新的车系。    相比目前在售的素有“国产坦途”之称的领主皮卡，这款全新的g9前脸造型更加宽厚硬朗，其采用了多幅式中网装饰，上下格栅贯穿整个前脸，与国外新款丰田坦途更加相似</t>
  </si>
  <si>
    <t>投诉编号：【446373】  投诉时间： 2020-02-05 10:14  投诉品牌： 吉利汽车  投诉车系： 星越  投诉车型： 2019款 350T 探星者        投诉内容  11月初在湖北购买吉利星越汽车。后续进行置换补贴时，因操作不当导致本人提供的汽车二手车交易发票错误，后进行更正</t>
  </si>
  <si>
    <t>2020/02/05 10:14:00</t>
  </si>
  <si>
    <t>　　在新型冠状病毒（2019-ncov）疫情肆虐之际，国内车企展现了极强的社会责任感，与武汉及全国人民众志成城、全力阻击疫情。在这场没有硝烟的战“疫”中 ，万众一心，就没有翻不过的山；心手相牵，就没有跨不过的坎。与此同时，众多的皮卡企业、皮卡经销商、皮卡用户也与全国人民同心同行，共克时艰，坚决打赢疫</t>
  </si>
  <si>
    <t>在新型冠状病毒（2019-ncov）疫情肆虐之际，国内车企展现了极强的社会责任感，与武汉及全国人民众志成城、全力阻击疫情。在这场没有硝烟的战“疫”中 ，万众一心，就没有翻不过的山；心手相牵，就没有跨不过的坎。与此同时，众多的皮卡企业、皮卡经销商、皮卡用户也与全国人民同心同行，共克时艰，坚决打赢疫情防</t>
  </si>
  <si>
    <t>　　2月4日，奇瑞新能源在应对新型冠状病毒肺炎疫情期间，针对售后服务推出包括所有车辆保养时间顺延至疫情结束，三电终身质保不受影响在内的五项措施，为车主提供售后保障，让用户足不出户便可享受到安全、快捷、便利的服务。　　1.服务热线 及时周到　　经销商服务热线及400-883-8888服务热线24小时在</t>
  </si>
  <si>
    <t>2020/02/05 10:08:00</t>
  </si>
  <si>
    <t>2月4日，奇瑞新能源在应对新型冠状病毒肺炎疫情期间，针对售后服务推出包括所有车辆保养时间顺延至疫情结束，三电终身质保不受影响在内的五项措施，为车主提供售后保障，让用户足不出户便可享受到安全、快捷、便利的服务。    1.服务热线 及时周到    经销商服务热线及400-883-8888服务热线24小</t>
  </si>
  <si>
    <t>车在山西4S店的下属单位买的，现在车出现左前轮异响，维修十几次无果后，结果4S店不承认二级店是他的下属店了？我该找谁？</t>
  </si>
  <si>
    <t>2020/02/05 10:07:00</t>
  </si>
  <si>
    <t>　　a8是奥迪旗下的一款旗舰级大型轿车，与宝马7系、奔驰s级等车型同级别。奥迪a8车型自1994年诞生，并于2004年以进口形式引入国内市场销售，凭借着超高的性价比以及实用性领跑国内大型豪华轿车市场。近日海外媒体曝光了一组奥迪新款a8车型实拍，新车海外起售价1,172 万日元（约75.7万人民币）。</t>
  </si>
  <si>
    <t>2020/02/05 10:05:00</t>
  </si>
  <si>
    <t xml:space="preserve">a8是奥迪旗下的一款旗舰级大型轿车，与宝马7系、奔驰s级等车型同级别。奥迪a8车型自1994年诞生，并于2004年以进口形式引入国内市场销售，凭借着超高的性价比以及实用性领跑国内大型豪华轿车市场。近日海外媒体曝光了一组奥迪新款a8车型实拍，新车海外起售价1,172 万日元（约75.7万人民币）。  </t>
  </si>
  <si>
    <t>　　作为奥迪家族旗下的一款主力销量车型，奥迪q5于2011年以进口形式引入国内市场开售，并于2018年正式在华国产上市，很快便在市场中获得了较为优异的反响，同时其销量也与同级车型奔驰glc、宝马x3不相上下。近日海外媒体曝光了一组奥迪q5插混版车型谍照图片，新车预计将于2021年正式上市，并于同年5</t>
  </si>
  <si>
    <t>2020/02/05 10:00:00</t>
  </si>
  <si>
    <t>作为奥迪家族旗下的一款主力销量车型，奥迪q5于2011年以进口形式引入国内市场开售，并于2018年正式在华国产上市，很快便在市场中获得了较为优异的反响，同时其销量也与同级车型奔驰glc、宝马x3不相上下。近日海外媒体曝光了一组奥迪q5插混版车型谍照图片，新车预计将于2021年正式上市，并于同年5月开</t>
  </si>
  <si>
    <t>　　东风本田可谓是2019年中国汽车市场最大的赢家之一，销量逆势增长13%，产量突破80万辆，旗下车型都非常畅销，思域和cr-v更是供不应求。东风本田逆势增长的销量，成为一种“现象级”存在。进入到2020年，东风本田还会拿出许多重量级产品，导入全新的技术，进一步扩大市场份额。通过梳理后发现，2020</t>
  </si>
  <si>
    <t>2020/02/05 09:58:00</t>
  </si>
  <si>
    <t>东风本田可谓是2019年中国汽车市场最大的赢家之一，销量逆势增长13%，产量突破80万辆，旗下车型都非常畅销，思域和cr-v更是供不应求。东风本田逆势增长的销量，成为一种“现象级”存在。进入到2020年，东风本田还会拿出许多重量级产品，导入全新的技术，进一步扩大市场份额。通过梳理后发现，2020年东</t>
  </si>
  <si>
    <t>　　迈特威是大众旗下的一款mpv车型，新车于2008年以进口形式引入国内市场销售，并在细分市场拥有着不错的销量成绩，同时也受到了诸多企业人士们的青睐。近日海外媒体曝光了一组大众全新迈特威插混版路试谍照图片，新车预计将于今年年内正式亮相。　　动力方面，新车将搭载一台1.4t涡轮增压发动机 电动机所组成</t>
  </si>
  <si>
    <t>2020/02/05 09:56:00</t>
  </si>
  <si>
    <t>迈特威是大众旗下的一款mpv车型，新车于2008年以进口形式引入国内市场销售，并在细分市场拥有着不错的销量成绩，同时也受到了诸多企业人士们的青睐。近日海外媒体曝光了一组大众全新迈特威插混版路试谍照图片，新车预计将于今年年内正式亮相。    动力方面，新车将搭载一台1.4t涡轮增压发动机 电动机所组成</t>
  </si>
  <si>
    <t>　　日前，起亚汽车表示，预计打造一款纯电动车型，该车将于2021年上市。这也是起亚汽车全球战略“s计划”中的重要一环。根据战略内容，到2025年起亚汽车将发布11款电动车型。　　据悉，起亚于2019年在日内瓦车展上曾展示了这款电动概念车imagine，公司发言人证实，这款待量产的概念车型将于1-2年</t>
  </si>
  <si>
    <t>2020/02/05 09:52:00</t>
  </si>
  <si>
    <t>日前，起亚汽车表示，预计打造一款纯电动车型，该车将于2021年上市。这也是起亚汽车全球战略“s计划”中的重要一环。根据战略内容，到2025年起亚汽车将发布11款电动车型。    据悉，起亚于2019年在日内瓦车展上曾展示了这款电动概念车imagine，公司发言人证实，这款待量产的概念车型将于1-2年</t>
  </si>
  <si>
    <t>　　近日，国外ev sales发布了2019年全球新能源汽车销量排行，数据显示，2019年全球销售新能源汽车约221万辆，同比增长10%。霸占4年销冠的比亚迪被特斯拉拉下神坛，特斯拉则以较大的优势摘得全球销量冠军。　　特斯拉model 3以30万辆单车销量夺得了热销车型第一名；北汽eu系列位列第二，</t>
  </si>
  <si>
    <t>2020/02/05 09:49:00</t>
  </si>
  <si>
    <t>近日，国外ev sales发布了2019年全球新能源汽车销量排行，数据显示，2019年全球销售新能源汽车约221万辆，同比增长10%。霸占4年销冠的比亚迪被特斯拉拉下神坛，特斯拉则以较大的优势摘得全球销量冠军。    特斯拉model 3以30万辆单车销量夺得了热销车型第一名；北汽eu系列位列第二，</t>
  </si>
  <si>
    <t xml:space="preserve">在全国共抗新型冠状病毒的紧急时刻，各大车企也纷纷推出了相关举措，日前红旗宣布对车主制定了三项服务政策，主要包括提供延保、“4 3”关爱活动、视频展示车内相关操作三项内容。    延保政策    红旗将旗下车型保养延期3个月，确保用户不受疫情影响，正常享有终身保修资格。    “4 3”关爱活动   </t>
  </si>
  <si>
    <t>2020/02/05 09:41:00</t>
  </si>
  <si>
    <t>　　在全国共抗新型冠状病毒的紧急时刻，各大车企也纷纷推出了相关举措，日前红旗宣布对车主制定了三项服务政策，主要包括提供延保、“4 3”关爱活动、视频展示车内相关操作三项内容。　　延保政策　　红旗将旗下车型保养延期3个月，确保用户不受疫情影响，正常享有终身保修资格。　　“4 3”关爱活动　　“4 3”</t>
  </si>
  <si>
    <t>投诉编号：【446370】  投诉时间： 2020-02-05 09:39  投诉品牌： 奇瑞汽车  投诉车系： 艾瑞泽5  投诉车型： 2016款 1.5L 手动 领潮版        投诉内容  驾驶门内把手金属无故开裂划手，希望厂家尽快处理解决。      投诉回复  车质网已将您的投诉转给生</t>
  </si>
  <si>
    <t>2020/02/05 09:39:00</t>
  </si>
  <si>
    <t xml:space="preserve">日前，有媒体从相关渠道获悉，现代全新一代索纳塔混动版车型将在2月6日开幕的芝加哥车展中亮相。新一代索纳塔混动版的整体设计语言基本与燃油版保持一致。值得一提的是，新车在配备了混合动力的同时，还在车顶增加了一块太阳能电池板，以此来提供更多的额外电力。此外，全新一代北京现代索纳塔燃油版车型将在4月上市。 </t>
  </si>
  <si>
    <t>2020/02/05 09:35:00</t>
  </si>
  <si>
    <t>　　日前，有媒体从相关渠道获悉，现代全新一代索纳塔混动版车型将在2月6日开幕的芝加哥车展中亮相。新一代索纳塔混动版的整体设计语言基本与燃油版保持一致。值得一提的是，新车在配备了混合动力的同时，还在车顶增加了一块太阳能电池板，以此来提供更多的额外电力。此外，全新一代北京现代索纳塔燃油版车型将在4月上市</t>
  </si>
  <si>
    <t>作为德国豪华轿车“三驾马车”中品牌积淀最为深厚的厂商，奔驰通过不断地创新，令三叉星标志在如今消费者心目中仍有着举足轻重的地位。不久前，奔驰公布了新款e级轿车（如今第十代e级w213车系改款车型）的伪装照以及新车的一些技术特点，下面让我们通过5个关键词，来看看它有了哪些新特点，以及奔驰旗下车型的发展趋</t>
  </si>
  <si>
    <t>2020/02/05 09:32:00</t>
  </si>
  <si>
    <t>　　作为德国豪华轿车“三驾马车”中品牌积淀最为深厚的厂商，奔驰通过不断地创新，令三叉星标志在如今消费者心目中仍有着举足轻重的地位。不久前，奔驰公布了新款e级轿车（如今第十代e级w213车系改款车型）的伪装照以及新车的一些技术特点，下面让我们通过5个关键词，来看看它有了哪些新特点，以及奔驰旗下车型的发</t>
  </si>
  <si>
    <t>王兴宇</t>
  </si>
  <si>
    <t>一转眼，国产沃尔沃xc40已经上市近9个月的时间。定位紧凑型suv的沃尔沃xc40共推出三种动力共计7款不同配置的车型，指导价格区间为26.48-38.58万元，其中售价比较低的是两款搭载1.5t发动机的t3车型。今天《解读低配车》为大家带来的，就是其中指导价为26.48万元的入门车型--t3智行时</t>
  </si>
  <si>
    <t>2020/02/05 09:29:00</t>
  </si>
  <si>
    <t>　　一转眼，国产沃尔沃xc40已经上市近9个月的时间。定位紧凑型suv的沃尔沃xc40共推出三种动力共计7款不同配置的车型，指导价格区间为26.48-38.58万元，其中售价比较低的是两款搭载1.5t发动机的t3车型。今天《解读低配车》为大家带来的，就是其中指导价为26.48万元的入门车型--t3智</t>
  </si>
  <si>
    <t>周尤</t>
  </si>
  <si>
    <t>广汽菲亚特菲翔蓝牙控制模块故障，现在根本无法连接蓝牙。要求厂家解决好车辆的问题。</t>
  </si>
  <si>
    <t>2020/02/05 09:28:00</t>
  </si>
  <si>
    <t>一汽大众探岳大灯雾化严重影响照明大灯雾化严重，有路灯路面看不到灯光,无路灯路面看不清前方，危机安全，多次险些碰到路障。多次沟通厂家，厂家推卸责任到4S店，因灯表明无脏迹，4S店不认为灯有问题。</t>
  </si>
  <si>
    <t>广汽菲亚特菲翔蓝牙控制模块故障无法连接广汽菲亚特菲翔蓝牙控制模块故障，现在根本无法连接蓝牙。要求厂家解决好车辆的问题。</t>
  </si>
  <si>
    <t>大灯雾化严重，有路灯路面看不到灯光,无路灯路面看不清前方，危机安全，多次险些碰到路障。多次沟通厂家，厂家推卸责任到4S店，因灯表明无脏迹，4S店不认为灯有问题。</t>
  </si>
  <si>
    <t>在车速每小时10公里左右正常低速行进时突然顿挫后车就动不了了，见图片显示的两个故障灯亮(保养灯除外)。关机后再启动，电路能启动和自检完好(无故障灯出现)。但挂挡(无论前进或倒挡，松刹车不能起步同时两故障灯出现)12伏启动电瓶另行充满电后重复启动起步操作，故障灯照样出现，车辆动不了！(后经查阅网上资讯</t>
  </si>
  <si>
    <t>2020/02/05 09:27:00</t>
  </si>
  <si>
    <t>奇瑞艾瑞泽7e显示屏出现动力系统故障在车速每小时10公里左右正常低速行进时突然顿挫后车就动不了了，见图片显示的两个故障灯亮(保养灯除外)。关机后再启动，电路能启动和自检完好(无故障灯出现)。但挂挡(无论前进或倒挡，松刹车不能起步同时两故障灯出现)12伏启动电瓶另行充满电后重复启动起步操作，故障灯照样</t>
  </si>
  <si>
    <t>猎豹CS10车门生锈影响使用但是不解决五个车门生锈腐蚀严重，投诉多次厂家就这样爱搭不理的处理。严重影响正常使用</t>
  </si>
  <si>
    <t>倦红尘</t>
  </si>
  <si>
    <t>北京时间2月4日下午，formula e（电动方程式）发布了将于第七赛季（2020-2021）启用的新赛车--gen2 evo的官图。如果用民用车的话语来描述gen2 evo赛车的话，它是目前使用的gen2赛车的中期改款车型，在原本就科幻犀利的外观基础上进一步升级，同时也融入了和新赛季f1赛车相类似</t>
  </si>
  <si>
    <t>　　北京时间2月4日下午，formula e（电动方程式）发布了将于第七赛季（2020-2021）启用的新赛车--gen2 evo的官图。如果用民用车的话语来描述gen2 evo赛车的话，它是目前使用的gen2赛车的中期改款车型，在原本就科幻犀利的外观基础上进一步升级，同时也融入了和新赛季f1赛车相</t>
  </si>
  <si>
    <t>五个车门生锈腐蚀严重，投诉多次厂家就这样爱搭不理的处理。严重影响正常使用</t>
  </si>
  <si>
    <t>刚买车2个月的时候就出现了一档起步时离合器压盘异响，4S店给我的车换过一次离合器片，两个月不到的时间再次出现异响，现在开着车在路上起步有很多人回头看我，我觉的买了这个车开在路上很丢人，很多手动名爵的车友都出现了这个问题，请迅速给出解决方案并立即召回车辆维修，以免造成不必要的巨大损失！</t>
  </si>
  <si>
    <t>2020/02/05 09:26:00</t>
  </si>
  <si>
    <t>停在家几天后无法启动发动机，电瓶亏电，希望尽快处理。</t>
  </si>
  <si>
    <t>上汽名爵6离合器压盘异响太烦人了刚买车2个月的时候就出现了一档起步时离合器压盘异响，4S店给我的车换过一次离合器片，两个月不到的时间再次出现异响，现在开着车在路上起步有很多人回头看我，我觉的买了这个车开在路上很丢人，很多手动名爵的车友都出现了这个问题，请迅速给出解决方案并立即召回车辆维修，以免造成不</t>
  </si>
  <si>
    <t>广汽三菱奕歌电瓶亏电导致无法启动停在家几天后无法启动发动机，电瓶亏电，希望尽快处理。应该是漏电了</t>
  </si>
  <si>
    <t>一开始后轮胎吃胎，去4S店检查完准备给换胎呢最后不知道为什么又说是人为的，自己花钱做了个四轮定位。然后就是减震器坏了我就没有再去找4S店自己还花钱修好了，再后来就是方向管柱和发动机故障灯一系列的各种问题头疼。</t>
  </si>
  <si>
    <t>卷黄沙</t>
  </si>
  <si>
    <t>2020/02/05 09:25:00</t>
  </si>
  <si>
    <t>保养的时候发现变速箱漏油严重,过夜后油液还会滴在地下。而且这个变速箱没有油尺，都不知道什么时候会把油漏光都不知道，存在安全隐患。在美国这个问题都是厂家召回的，在中国就是要自己自费维修，要抬变速箱下来。</t>
  </si>
  <si>
    <t>之前车开到4万多公里的时候加油一顿一顿的，停车检查发现变速箱油管爆裂漏油，换好后行驶途中有嗡嗡声，多次到汽车园奇瑞4s店反映问题，得到回复是正常情况，其实这个时候变速箱已经有问题了，前几天又因为水箱里面坏了导致变速箱油进到水箱，水箱的水进到变速箱，由于刚过保所以提前询问客服这样的问题4s保修不，得到</t>
  </si>
  <si>
    <t>御魂笑光辉</t>
  </si>
  <si>
    <t>东风风神AX7转向系统与发动机故障灯报警一开始后轮胎吃胎，去4S店检查完准备给换胎呢最后不知道为什么又说是人为的，自己花钱做了个四轮定位。然后就是减震器坏了我就没有再去找4S店自己还花钱修好了，再后来就是方向管柱和发动机故障灯一系列的各种问题头疼。</t>
  </si>
  <si>
    <t>奇瑞艾瑞泽5变速箱油管破损怎么办之前车开到4万多公里的时候加油一顿一顿的，停车检查发现变速箱油管爆裂漏油，换好后行驶途中有嗡嗡声，多次到汽车园奇瑞4s店反映问题，得到回复是正常情况，其实这个时候变速箱已经有问题了，前几天又因为水箱里面坏了导致变速箱油进到水箱，水箱的水进到变速箱，由于刚过保所以提前询</t>
  </si>
  <si>
    <t>斯巴鲁森林人保养的时候发现变速箱漏油了保养的时候发现变速箱漏油严重,过夜后油液还会滴在地下。而且这个变速箱没有油尺，都不知道什么时候会把油漏光都不知道，存在安全隐患。在美国这个问题都是厂家召回的，在中国就是要自己自费维修，要抬变速箱下来。</t>
  </si>
  <si>
    <t>从长城汽车独立出来的动力电池企业蜂巢能源又将获得一笔大单。2月4日，知情人士透露，蜂巢能源科技有限公司已经获得欧洲某大型汽车集团动力电池产品的采购定点。该车企计划从蜂巢能源采购动力电池产品，用以匹配旗下全球版的纯电动平台，项目全生命周期内采购量预计超过7gwh。    何谓采购定点？据行业专业人士介</t>
  </si>
  <si>
    <t>2020/02/05 09:24:00</t>
  </si>
  <si>
    <t>　　从长城汽车独立出来的动力电池企业蜂巢能源又将获得一笔大单。2月4日，知情人士透露，蜂巢能源科技有限公司已经获得欧洲某大型汽车集团动力电池产品的采购定点。该车企计划从蜂巢能源采购动力电池产品，用以匹配旗下全球版的纯电动平台，项目全生命周期内采购量预计超过7gwh。　　何谓采购定点？据行业专业人士介</t>
  </si>
  <si>
    <t>投诉事实如下：1、将短发动机代替发动机总成，与协议不符车主2016年9月18日在对方处购买一汽大众“新宝来”白色1.6自动挡时尚型车辆一台，于数月后出现发动机异响问题，经对方确认是发动机1缸和4缸缸体出现问题，经多次协商，2017年8月18日4S店同意更换发动机总成，并与之签订“更换发动机总成”的协</t>
  </si>
  <si>
    <t>2020/02/05 09:23:00</t>
  </si>
  <si>
    <t>一汽大众宝来将短发动机代替发动机总成投诉事实如下：1、将短发动机代替发动机总成，与协议不符车主2016年9月18日在对方处购买一汽大众“新宝来”白色1.6自动挡时尚型车辆一台，于数月后出现发动机异响问题，经对方确认是发动机1缸和4缸缸体出现问题，经多次协商，2017年8月18日4S店同意更换发动机总</t>
  </si>
  <si>
    <t>　　开车上路，道路噪音通常十分影响人们的驾驶体验。日前，音响制造商哈曼国际发布了可供量产车型使用的道路噪音主动降噪技术（ranc)，可有效降低车辆行驶时接收到的道路噪音。据悉，这项技术是由哈曼国际与现代汽车共同研发而成，因此也将率先在现代汽车子品牌捷尼赛思车型上实现量产。　　捷尼赛思将ranc技术搭</t>
  </si>
  <si>
    <t>2020/02/05 09:22:00</t>
  </si>
  <si>
    <t>开车上路，道路噪音通常十分影响人们的驾驶体验。日前，音响制造商哈曼国际发布了可供量产车型使用的道路噪音主动降噪技术（ranc)，可有效降低车辆行驶时接收到的道路噪音。据悉，这项技术是由哈曼国际与现代汽车共同研发而成，因此也将率先在现代汽车子品牌捷尼赛思车型上实现量产。    捷尼赛思将ranc技术搭</t>
  </si>
  <si>
    <t>　　2月3日，道奇官方发布了新款durango srt车型的官图，并宣布该车将于美国当地时间2月6日开幕的2020芝加哥车展亮相。日前又有外媒报道称，新款durango srt还将衍生更加强劲的hellcat（地狱猫）版本，其将在今年4月8日开幕的2020纽约车展发布。新款durango srt　　</t>
  </si>
  <si>
    <t>2020/02/05 09:19:00</t>
  </si>
  <si>
    <t xml:space="preserve">2月3日，道奇官方发布了新款durango srt车型的官图，并宣布该车将于美国当地时间2月6日开幕的2020芝加哥车展亮相。日前又有外媒报道称，新款durango srt还将衍生更加强劲的hellcat（地狱猫）版本，其将在今年4月8日开幕的2020纽约车展发布。新款durango srt    </t>
  </si>
  <si>
    <t>　　面对疫情，捷豹路虎中国和奇瑞捷豹路虎调整了企业战略部署，针对经销商与消费者实施了一系列举措，以减轻经销商的部分压力，并保障消费者人身安全。这是继捐赠800万元用于当前疫情防控支援后，捷豹路虎中国和奇瑞捷豹路虎采取的又一举措。　　在经销商支持方面，捷豹路虎中国和奇瑞捷豹路虎实施了“减压政策”，通过</t>
  </si>
  <si>
    <t>2020/02/05 09:17:00</t>
  </si>
  <si>
    <t>面对疫情，捷豹路虎中国和奇瑞捷豹路虎调整了企业战略部署，针对经销商与消费者实施了一系列举措，以减轻经销商的部分压力，并保障消费者人身安全。这是继捐赠800万元用于当前疫情防控支援后，捷豹路虎中国和奇瑞捷豹路虎采取的又一举措。    在经销商支持方面，捷豹路虎中国和奇瑞捷豹路虎实施了“减压政策”，通过</t>
  </si>
  <si>
    <t>　　近日，据海外媒体报道，现款奔驰s级敞篷版及其轿跑版车型将于2022年正式停产，同时下一代s级轿车仅会推出轿车版本。而奔驰旗下的豪华轿跑车将由下一代采用2 2座椅布局的sl级正式“继承”。之前曝光的全新s级无伪装谍照　　全新s级将于今年正式亮相，并于2021年正式上市。新车将采用梅赛德斯-奔驰最新</t>
  </si>
  <si>
    <t>2020/02/05 09:15:00</t>
  </si>
  <si>
    <t>近日，据海外媒体报道，现款奔驰s级敞篷版及其轿跑版车型将于2022年正式停产，同时下一代s级轿车仅会推出轿车版本。而奔驰旗下的豪华轿跑车将由下一代采用2 2座椅布局的sl级正式“继承”。之前曝光的全新s级无伪装谍照    全新s级将于今年正式亮相，并于2021年正式上市。新车将采用梅赛德斯-奔驰最新</t>
  </si>
  <si>
    <t>2015年3月在高速行驶中突然发动机故障灯亮报警发动机故障，4S检测后提示三元催化器老化，4S店人员解释说是油品问题，从此后加油一直在中石化和中石油，但只要高速行驶发动机故障灯就亮！出保前最后一次检测4S不给换三元催化器！2018年5月保养时发现机油偏少，经过一段时间后确认烧机油，19年大概10月份</t>
  </si>
  <si>
    <t>2020/02/05 09:12:00</t>
  </si>
  <si>
    <t>雪铁龙C4L三元催化器老化 发动机烧机油2015年3月在高速行驶中突然发动机故障灯亮报警发动机故障，4S检测后提示三元催化器老化，4S店人员解释说是油品问题，从此后加油一直在中石化和中石油，但只要高速行驶发动机故障灯就亮！出保前最后一次检测4S不给换三元催化器！2018年5月保养时发现机油偏少，经过</t>
  </si>
  <si>
    <t>　　日前，有海外媒体曝光了一组现代皮卡：santa cruz量产版车型谍照。新车此次展示了更多细节，整体延续概念车硬朗凶悍的设计风格。此外，新车将在2021年量产，发布时间可能会在2020年年底。概念车　　从前脸来看，新车与概念车还是有不少区别，比如用交错且粗壮的镀铬条构成的中网，要比概念车的网格状</t>
  </si>
  <si>
    <t>2020/02/05 09:11:00</t>
  </si>
  <si>
    <t>低速行驶，通过不平整路段，频繁出现转向助力低的问题，去4s店检测不出问题</t>
  </si>
  <si>
    <t>1.新车半个月出现刹车系统异常导致无法点火，无法换挡行驶，行驶时异响滴滴声音很大。2.电池异常，续航里程极低，满电理论续航301km，实际跑了134km。电池异常属于电车的重大问题，要求退车。行驶中电池突然没电失去动力，安全无法保证，要求退车！</t>
  </si>
  <si>
    <t>一汽丰田奕泽频繁出现转向故障提示低速行驶，通过不平整路段，频繁出现转向助力低的问题，去4s店检测不出问题</t>
  </si>
  <si>
    <t>新特SITECH DEV 1刹车系统异常 电池没电1.新车半个月出现刹车系统异常导致无法点火，无法换挡行驶，行驶时异响滴滴声音很大。2.电池异常，续航里程极低，满电理论续航301km，实际跑了134km。电池异常属于电车的重大问题，要求退车。行驶中电池突然没电失去动力，安全无法保证，要求退车！</t>
  </si>
  <si>
    <t>日前，有海外媒体曝光了一组现代皮卡：santa cruz量产版车型谍照。新车此次展示了更多细节，整体延续概念车硬朗凶悍的设计风格。此外，新车将在2021年量产，发布时间可能会在2020年年底。概念车    从前脸来看，新车与概念车还是有不少区别，比如用交错且粗壮的镀铬条构成的中网，要比概念车的网格状</t>
  </si>
  <si>
    <t>于2019年11月13日购入一汽大众探歌一辆，2020年1月26日发现前左侧轮胎出现裂缝，刚刚两个月，2500公里，没有任何碰撞和摩擦！严重怀疑一汽大众品质存在问题，希望问题尽快得到解决！</t>
  </si>
  <si>
    <t>2020/02/05 09:10:00</t>
  </si>
  <si>
    <t>大众探歌邓禄普轮胎出现裂缝于2019年11月13日购入一汽大众探歌一辆，2020年1月26日发现前左侧轮胎出现裂缝，刚刚两个月，2500公里，没有任何碰撞和摩擦！严重怀疑一汽大众品质存在问题，希望问题尽快得到解决！</t>
  </si>
  <si>
    <t>　　新手司机开车上路，有时会因为紧张、焦虑等情绪，而在遭遇突发事件时误将油门踏板当成刹车踏板，踩下后酿成无可挽回的交通事故。日前，丰田汽车发布了一款应急安全系统，作为安全感知套件升级内容的一部分。该系统采用大数据技术，当判断驾驶员是在无意中踩下油门踏板时，系统将忽略油门操作，避免交通事故。　　自20</t>
  </si>
  <si>
    <t>2020/02/05 09:09:00</t>
  </si>
  <si>
    <t>新手司机开车上路，有时会因为紧张、焦虑等情绪，而在遭遇突发事件时误将油门踏板当成刹车踏板，踩下后酿成无可挽回的交通事故。日前，丰田汽车发布了一款应急安全系统，作为安全感知套件升级内容的一部分。该系统采用大数据技术，当判断驾驶员是在无意中踩下油门踏板时，系统将忽略油门操作，避免交通事故。    自20</t>
  </si>
  <si>
    <t>后备箱尾门生锈严重，里面也生锈，希望厂家尽快解决。</t>
  </si>
  <si>
    <t>奇瑞瑞虎7后备箱尾门生锈后备箱尾门生锈严重，里面也生锈，希望厂家尽快解决。</t>
  </si>
  <si>
    <t>汽车在高速路上正常行驶，引擎盖突然上下晃动，后驶出高速下车查看发现引擎盖露出大缝，不存在误操作，引擎盖第一道锁自动打开，就怕引擎盖全部打开，那是非常危险！开车回售后检修发现不了问题！</t>
  </si>
  <si>
    <t>2020/02/05 09:08:00</t>
  </si>
  <si>
    <t>一汽丰田卡罗拉引擎盖锁自动开启汽车在高速路上正常行驶，引擎盖突然上下晃动，后驶出高速下车查看发现引擎盖露出大缝，不存在误操作，引擎盖第一道锁自动打开，就怕引擎盖全部打开，那是非常危险！开车回售后检修发现不了问题！</t>
  </si>
  <si>
    <t>　　2019年全球新能源汽车格局再变，霸占4年销冠的比亚迪首次失守，特斯拉以较大优势稳坐全球销量冠军。ev sales最新数据显示，2019年全球销售新能源汽车约221万辆，同比增长10%。　　就动力类型来看，纯电动汽车仍占据主力，占比新能源汽车整体销量的74%；插电式混合动力占比26%，市场份额从</t>
  </si>
  <si>
    <t>2020/02/05 09:07:00</t>
  </si>
  <si>
    <t>2019年全球新能源汽车格局再变，霸占4年销冠的比亚迪首次失守，特斯拉以较大优势稳坐全球销量冠军。ev sales最新数据显示，2019年全球销售新能源汽车约221万辆，同比增长10%。    就动力类型来看，纯电动汽车仍占据主力，占比新能源汽车整体销量的74%；插电式混合动力占比26%，市场份额从</t>
  </si>
  <si>
    <t>投诉两个问题：1.副驾驶前的手套箱无法关闭。很早就发现副驾驶手套箱有不好关闭的情况，最开始只是偶尔觉得没什么，多关两次也能关上，时间越久发现问题越严重，到现在已经彻底关不上了，即便关上，行驶过程中发生轻微颠簸也会自动打开，现在经常停车后手套箱自动打开照明灯会自动点亮，时间一长导致电瓶亏电无法启动，已</t>
  </si>
  <si>
    <t>提车不到10天，发现新车右后轮胎气压一直在不断的缓慢下降，2.5的气压大概10天左右就只剩1.7左右并报警，已经补气两次都是这样！买台新车有这种问题，担心安全问题，无比郁闷中！</t>
  </si>
  <si>
    <t>哈弗M6朝阳轮胎缓慢漏气提车不到10天，发现新车右后轮胎气压一直在不断的缓慢下降，2.5的气压大概10天左右就只剩1.7左右并报警，已经补气两次都是这样！买台新车有这种问题，担心安全问题，无比郁闷中！没有外伤吧</t>
  </si>
  <si>
    <t>斯柯达Yeti手套箱无法关闭 后雨刮器故障投诉两个问题：1.副驾驶前的手套箱无法关闭。很早就发现副驾驶手套箱有不好关闭的情况，最开始只是偶尔觉得没什么，多关两次也能关上，时间越久发现问题越严重，到现在已经彻底关不上了，即便关上，行驶过程中发生轻微颠簸也会自动打开，现在经常停车后手套箱自动打开照明灯会</t>
  </si>
  <si>
    <t>一汽大众探岳大灯亮度不足影响行车安全大灯亮度不够，夜间行车视野严重不足，严重影响行车安全。</t>
  </si>
  <si>
    <t>2020/02/05 09:06:00</t>
  </si>
  <si>
    <t>大灯亮度不够，夜间行车视野严重不足，严重影响行车安全。</t>
  </si>
  <si>
    <t>吉利博越挂入高速挡 踩油门发动机没反应挂入高速挡5/6行驶途中，油门没反应。有时还掉速，车速转速无变化。空挡油门正常。</t>
  </si>
  <si>
    <t>2020/02/05 09:03:00</t>
  </si>
  <si>
    <t>挂入高速挡5/6行驶途中，油门没反应。有时还掉速，车速转速无变化。空挡油门正常。</t>
  </si>
  <si>
    <t>　　工厂翻新已经成为众多车企深化业务的重要举措。日前，通用汽车计划再投入22亿美元（约合人民币154亿元），对美国底特律一家资源未能充分利用的汽车工厂进行翻新，翻新后的工厂主要用于生产电动车与自动驾驶汽车。cruise origin　　通用汽车在声明中指出，底特律工厂将于2021年晚些时候制造旗下首</t>
  </si>
  <si>
    <t>2020/02/05 09:02:00</t>
  </si>
  <si>
    <t>工厂翻新已经成为众多车企深化业务的重要举措。日前，通用汽车计划再投入22亿美元（约合人民币154亿元），对美国底特律一家资源未能充分利用的汽车工厂进行翻新，翻新后的工厂主要用于生产电动车与自动驾驶汽车。cruise origin    通用汽车在声明中指出，底特律工厂将于2021年晚些时候制造旗下首</t>
  </si>
  <si>
    <t>　　一般来说，大多数的低配车型往往会先从安全配置下手，像是思域、轩逸的最低配车型只有前方两个气囊。我们这次介绍的卡罗拉1.2t s-cvt gl先锋版虽然是最低配车型，但是在安全配置上却是非常到位，甚至比某些高配车型还完善。当然了，安全配置只是决定购买的其中一个环节，我们今天就来看看卡罗拉的低配车型</t>
  </si>
  <si>
    <t>张立祥</t>
  </si>
  <si>
    <t>2020/02/05 09:01:00</t>
  </si>
  <si>
    <t>斯宾特柴油四驱越野底盘搭载一台V6柴油发动机斯宾特柴油四驱越野底盘搭载一台V6柴油发动机，3.0T的超强马力，配合四轮驱动。即使面对崎岖的山路也能展现出优秀的越野能力。     5926*1995*2758的车身尺寸也能很方便的被改造成房车，车内配置的7速自变速箱。     这款车搭载的是一台柴油发</t>
  </si>
  <si>
    <t>原地往右打方向后半程有呜呜异响，声音很大，是从方向机传来的，往左打没有，更换了一次助力油，半个月之内没有响，之后又响了，又更换方向机，助力泵，还是有同样的声音，请问是哪里的问题呢？</t>
  </si>
  <si>
    <t>2020/02/05 08:30:06</t>
  </si>
  <si>
    <t>汽车驾驶室内前挡风玻璃结冰怎么办？是什么原因？</t>
  </si>
  <si>
    <t>投诉编号：【446367】  投诉时间： 2020-02-05 08:29  投诉品牌： 一汽-大众  投诉车系： 宝来  投诉车型： 2016款 1.6L 自动 时尚型        投诉内容  投诉事实如下：1、将短发动机代替发动机总成，与协议不符车主2016年9月18日在对方处购买一汽大众“新</t>
  </si>
  <si>
    <t>2020/02/05 08:29:00</t>
  </si>
  <si>
    <t>制动系统故障、ABS故障灯常亮、发动机故障灯亮、喇叭时响时不响怎么办？</t>
  </si>
  <si>
    <t>2020/02/05 08:26:54</t>
  </si>
  <si>
    <t>链接蓝牙，播放音乐总是自动跳歌，声音自动忽大忽小然后又自动跳到收音机或者自动拨打电话，请问这是什么原因？我的车是吉利帝豪GL。</t>
  </si>
  <si>
    <t>购置税钱给了4S店给多了现在已经过去一个月了还能要回来吗？刚刚才看到的发票。</t>
  </si>
  <si>
    <t>2020/02/05 08:23:08</t>
  </si>
  <si>
    <t>名爵锐腾1.5T发动机进气管有机油，就是空滤下边那个管子，怎么办？</t>
  </si>
  <si>
    <t>2020/02/05 08:02:46</t>
  </si>
  <si>
    <t>撞了一下底盘，接下来就没有暖风，发动机温度特别高，风扇声音很大。</t>
  </si>
  <si>
    <t>2017年8月份长安逸动手动挡的，开了5万多公里，第一天还好的，今晚开挂不上挡，几个挡位都试了，发动好就挂不上挡。</t>
  </si>
  <si>
    <t>一辆汽车去野外游玩，第二天突然无法起动，如果是一位旁边小镇的维修师傅，你应该如何去维修？需要带什么工具，什么配件？检修思路分别是什么？</t>
  </si>
  <si>
    <t>2020/02/05 07:57:48</t>
  </si>
  <si>
    <t>我的车左前轮异响，用换零部件的排除方式修了十多次找不到原因，能换车或退车吗？</t>
  </si>
  <si>
    <t>2020/02/05 07:53:17</t>
  </si>
  <si>
    <t>十代雅阁精英版原地调头，慢速行驶倒车入库快速打方向有呼呼摩擦声是什么原因？</t>
  </si>
  <si>
    <t>2020/02/05 07:48:53</t>
  </si>
  <si>
    <t>　　据国内领先的缺陷汽车产品信息收集平台车质网统计，2020年开年首月共接到车主有效投诉信息5,636宗，受春节假期影响，投诉量同比、环比均出现一定下降。数据显示，本月车质网接到的有效投诉信息共涉及631款车型，其中投诉达两位数（含）以上的车型111款。此外，本月车质网共接到车企针对投诉的回复5,1</t>
  </si>
  <si>
    <t>2020/02/05 07:10:00</t>
  </si>
  <si>
    <t>据国内领先的缺陷汽车产品信息收集平台车质网统计，2020年开年首月共接到车主有效投诉信息5,636宗，受春节假期影响，投诉量同比、环比均出现一定下降。数据显示，本月车质网接到的有效投诉信息共涉及631款车型，其中投诉达两位数（含）以上的车型111款。此外，本月车质网共接到车企针对投诉的回复5,124</t>
  </si>
  <si>
    <t>2020/02/05 03:14:19</t>
  </si>
  <si>
    <t>投诉编号：【446364】
投诉时间： 2020-02-05 03:14
投诉品牌： 广汽乘用车
投诉车系： 传祺GS8
投诉车型： 2017款 320T 两驱 豪华智联版（七座）</t>
  </si>
  <si>
    <t>2020/02/05 03:13:31</t>
  </si>
  <si>
    <t>投诉编号：【446363】
投诉时间： 2020-02-05 01:56
投诉品牌： 奇瑞汽车
投诉车系： 艾瑞泽5
投诉车型： 2016款 1.5L 自动 领跑版</t>
  </si>
  <si>
    <t>2020/02/05 01:46:07</t>
  </si>
  <si>
    <t>投诉编号：【446362】
投诉时间： 2020-02-05 00:44
投诉品牌： 斯巴鲁
投诉车系： 森林人
投诉车型： 2013款 2.0T CVT XT尊贵导航版</t>
  </si>
  <si>
    <t>2020/02/04 23:59:59</t>
  </si>
  <si>
    <t>投诉编号：【446360】
投诉时间： 2020-02-04 23:47
投诉品牌： 广汽三菱
投诉车系： 奕歌
投诉车型： 2018款 1.5T CVT 两驱 无畏版</t>
  </si>
  <si>
    <t>投诉编号：【446361】  投诉时间： 2020-02-04 23:51  投诉品牌： 东风乘用车  投诉车系： 风神AX7  投诉车型： 2015款 2.0L 手动 智悦型 5座        投诉内容  一开始后轮胎吃胎，去4S店检查完准备给换胎呢最后不知道为什么又说是人为的，自己花钱做了个四</t>
  </si>
  <si>
    <t>2020/02/04 23:51:00</t>
  </si>
  <si>
    <t>投诉编号：【446358】  投诉时间： 2020-02-04 23:28  投诉品牌： 奇瑞汽车  投诉车系： 艾瑞泽7e  投诉车型： 2016款 1.6L e 致尊版        投诉内容  在车速每小时10公里左右正常低速行进时突然顿挫后车就动不了了，见图片显示的两个故障灯亮(保养灯除外)</t>
  </si>
  <si>
    <t>2020/02/04 23:28:00</t>
  </si>
  <si>
    <t>投诉编号：【446357】  投诉时间： 2020-02-04 23:28  投诉品牌： 一汽大众  投诉车系： 捷达VA3  投诉车型： 2019款 1.5L 自动 悦享版        投诉内容  一汽大众捷达VA3天窗无法打开希望处理，严重影响正常使用。      投诉回复  车质网已将您的投</t>
  </si>
  <si>
    <t>2020/02/04 23:05:04</t>
  </si>
  <si>
    <t>投诉编号：【446351】
投诉时间： 2020-02-04 22:16
投诉品牌： 上汽通用别克
投诉车系： 昂科威
投诉车型： 2017款 20T 双离合 两驱领先型</t>
  </si>
  <si>
    <t>投诉编号：【446356】  投诉时间： 2020-02-04 23:03  投诉品牌： 北京越野  投诉车系： 北京BJ40  投诉车型： 2019款 2.3T 自动 四驱 城市猎人版 尊享型 国VI        投诉内容  转速1800左右发动机舱共振，油门踏板上震动明显，时间久了脚都是麻的，</t>
  </si>
  <si>
    <t>2020/02/04 23:03:00</t>
  </si>
  <si>
    <t>投诉编号：【446354】  投诉时间： 2020-02-04 22:52  投诉品牌： 猎豹汽车  投诉车系： 猎豹CS10  投诉车型： 2015款 2.0T 手动 卓越版        投诉内容  五个车门生锈腐蚀严重，投诉多次厂家就这样爱搭不理的处理。      投诉回复  车质网已将您的投</t>
  </si>
  <si>
    <t>2020/02/04 22:52:00</t>
  </si>
  <si>
    <t>进气管有机油，就是空滤下面那个管子，这是什么情况</t>
  </si>
  <si>
    <t>wangjianqiu</t>
  </si>
  <si>
    <t>2020/02/04 22:04:00</t>
  </si>
  <si>
    <t>锐腾1.5T手超版进气管出现机油进气管有机油，就是空滤下面那个管子，这是什么情况</t>
  </si>
  <si>
    <t>2020/02/04 21:44:30</t>
  </si>
  <si>
    <t>投诉编号：【446348】
投诉时间： 2020-02-04 21:09
投诉品牌： 长安跨越
投诉车系： 跨越者D5
投诉车型： 2019款 1.8L PLUS标准型 排半后双轮 标准货箱</t>
  </si>
  <si>
    <t>投诉编号：【446350】  投诉时间： 2020-02-04 21:35  投诉品牌： 吉利汽车  投诉车系： 博越  投诉车型： 2016款 2.0L 手动 两驱 智尚型        投诉内容  挂入高速挡5/6行驶途中，油门没反应。有时还掉速，车速转速无变化。空挡油门正常。      投诉回</t>
  </si>
  <si>
    <t>2020/02/04 21:35:00</t>
  </si>
  <si>
    <t>投诉编号：【446345】  投诉时间： 2020-02-04 19:31  投诉品牌： 一汽-大众  投诉车系： 探岳  投诉车型： 2019款 330TSI 两驱 豪华型 国Ⅵ        投诉内容  大灯亮度不够，夜间行车视野严重不足，严重影响行车安全。      投诉回复  车质网已将您的</t>
  </si>
  <si>
    <t>2020/02/04 19:31:00</t>
  </si>
  <si>
    <t>2020/02/04 18:54:52</t>
  </si>
  <si>
    <t>投诉编号：【446344】
投诉时间： 2020-02-04 18:46
投诉品牌： 长城汽车
投诉车系： 哈弗M6
投诉车型： 2019款 1.5T DCT 两驱 超值版 国VI</t>
  </si>
  <si>
    <t>2020/02/04 18:42:07</t>
  </si>
  <si>
    <t>投诉编号：【446343】
投诉时间： 2020-02-04 18:25
投诉品牌： 长城汽车
投诉车系： 哈弗F7
投诉车型： 2019款 2.0T 四驱 i悦 国VI</t>
  </si>
  <si>
    <t>2020/02/04 18:36:09</t>
  </si>
  <si>
    <t>投诉编号：【446337】
投诉时间： 2020-02-04 17:35
投诉品牌： 比亚迪
投诉车系： 宋
投诉车型： 2019款 1.5TI 手动 智联越动型</t>
  </si>
  <si>
    <t>2020/02/04 18:30:26</t>
  </si>
  <si>
    <t>投诉编号：【446342】
投诉时间： 2020-02-04 18:14
投诉品牌： 上汽斯柯达
投诉车系： Yeti
投诉车型： 2016款 1.4TSI DSG 前行版</t>
  </si>
  <si>
    <t>投诉编号：【446340】  投诉时间： 2020-02-04 17:56  投诉品牌： 上汽集团  投诉车系： 名爵HS  投诉车型： 2019款 20T 自动 两驱 Trophy超跑版 国VI        投诉内容  起步低速有异响，刹车减速有异响。车子变速箱从两千公里开始有异响到现在有三个月</t>
  </si>
  <si>
    <t>2020/02/04 17:56:00</t>
  </si>
  <si>
    <t>2020/02/04 17:25:13</t>
  </si>
  <si>
    <t>投诉编号：【446332】
投诉时间： 2020-02-04 17:06
投诉品牌： 上汽集团
投诉车系： 名爵HS
投诉车型： 2018款 20T 自动 两驱 荷尔蒙激情版 国V</t>
  </si>
  <si>
    <t>投诉编号：【446333】投诉时间：2020-02-0417:20投诉品牌：上汽大众投诉车系：途岳投诉车型：2020款280TSI两驱旗舰版国VI投诉内容2020年1月11日升降后门窗户时两边都有咯噔咯噔的异响，去4s店售后人员说估计是摇窗机有问题，得拆开检修更换摇窗机，4s店工作人员说介于是新车，</t>
  </si>
  <si>
    <t>2020/02/04 17:20:00</t>
  </si>
  <si>
    <t>开车瞌睡打盹 神仙也难关照开车瞌睡打盹，神仙也难关照❶❷❸❹❺❻❼❽❾</t>
  </si>
  <si>
    <t>2020/02/04 17:07:00</t>
  </si>
  <si>
    <t>开车瞌睡打盹，神仙也难关照❶❷❸❹❺❻❼❽❾</t>
  </si>
  <si>
    <t>XC90起步时感觉差力，要加大油后，重新起步就正常，请问一下什么问题？</t>
  </si>
  <si>
    <t>2020/02/04 17:06:54</t>
  </si>
  <si>
    <t>为何现在汽车失窃越来越少见为何现在汽车失窃越来越少见？不是因为看不上，小偷：太难盗了不知道大家有没有发现，近几年偷车贼越来越少了，之所以偷车贼越来越少，因为现在很多车主在买车险的时候都精明了许多，除此之外还有这几个原因，让小偷不敢猖狂。一、高清摄像头如今高清摄像头在我国遍地都是，几乎每一个角落都有它</t>
  </si>
  <si>
    <t>2020/02/04 17:06:00</t>
  </si>
  <si>
    <t>你不知道的汽车冷知识相信大家都汽车天线都很熟悉，但是很多人对它的功能却并不了解，很多人以为汽车天线只是用来传输信号的，这就有点片面了。第一个作用就是大家普遍认识的，接受信号。第二个作用是防止追尾。有些天线上也安装了LED灯，有些甚至利用了太阳能原理，到了晚上就会交替闪烁，能够起到提醒后方车辆的注意，</t>
  </si>
  <si>
    <t>为何现在汽车失窃越来越少见？不是因为看不上，小偷：太难盗了不知道大家有没有发现，近几年偷车贼越来越少了，之所以偷车贼越来越少，因为现在很多车主在买车险的时候都精明了许多，除此之外还有这几个原因，让小偷不敢猖狂。一、高清摄像头如今高清摄像头在我国遍地都是，几乎每一个角落都有它的身影，高清摄像头第一个优</t>
  </si>
  <si>
    <t>没车的人考了驾照有啥用现在有一些朋友，考驾照完全就是盲目和跟风了。《青年科学期刊》有论文《驾照热的微观经济学分析》上面讲。人都有一种赶潮流的欲望，想拥有一件几乎所有人都已经拥有了的商品，并且形成攀比效应，驾照就是其中之一。说人话，身边的朋友都说驾照有用，都去考了驾照，我们为了赶潮流，自己也会去考驾照</t>
  </si>
  <si>
    <t>2020/02/04 17:05:00</t>
  </si>
  <si>
    <t>疫情期间开车外出要注意什么小编是初六从老家出发回长沙的，当时虽然疫情爆发，但是还不严重，不过因为我婶婶是医生，所以我也听从了我婶婶的意见，做好了这几项准备。　　出发前量体温　　出发前量下体温，如果体温高于37.3摄氏度，或者有感冒，不建议出行，高速出口都有检测站，为了你和他人着想，体温不正常还是推迟</t>
  </si>
  <si>
    <t>现在有一些朋友，考驾照完全就是盲目和跟风了。《青年科学期刊》有论文《驾照热的微观经济学分析》上面讲。人都有一种赶潮流的欲望，想拥有一件几乎所有人都已经拥有了的商品，并且形成攀比效应，驾照就是其中之一。说人话，身边的朋友都说驾照有用，都去考了驾照，我们为了赶潮流，自己也会去考驾照。除了跟风之外，也有不</t>
  </si>
  <si>
    <t>小编是初六从老家出发回长沙的，当时虽然疫情爆发，但是还不严重，不过因为我婶婶是医生，所以我也听从了我婶婶的意见，做好了这几项准备。　　出发前量体温　　出发前量下体温，如果体温高于37.3摄氏度，或者有感冒，不建议出行，高速出口都有检测站，为了你和他人着想，体温不正常还是推迟出发。出发前量体温　　另外</t>
  </si>
  <si>
    <t>副驾驶不系安全带怎么处罚我国交通法明确规定，开车一定要系安全带，开车不系安全带是对自己和他人人身安全不负责任的一种行为。那若是副驾驶位置不系安全带，会有怎样的后果呢？副驾驶不系安全带怎么处罚的呢？下文将带来副驾驶不系安全带会被拍吗，以及副驾驶不系安全带扣几分等内容的介绍，以供驾驶员朋友们参考。一、副</t>
  </si>
  <si>
    <t>2020/02/04 17:04:00</t>
  </si>
  <si>
    <t>15城暂停限号对部分上班族来说，今天是正式复工的第一天。为了减少人员聚集和交叉感染，阻断疫情传播，北京、天津、石家庄、雄安新区、邢台、秦皇岛、邯郸、保定、焦作、开封、洛阳、许昌、晋城、成都、兰州共15城发布了暂停机动车尾号限行的措施，减少民众乘坐地铁、公交等公共交通出行。注意：如果是没有私家车的朋友</t>
  </si>
  <si>
    <t>我国交通法明确规定，开车一定要系安全带，开车不系安全带是对自己和他人人身安全不负责任的一种行为。那若是副驾驶位置不系安全带，会有怎样的后果呢？副驾驶不系安全带怎么处罚的呢？下文将带来副驾驶不系安全带会被拍吗，以及副驾驶不系安全带扣几分等内容的介绍，以供驾驶员朋友们参考。一、副驾驶不系安全带怎么处罚1</t>
  </si>
  <si>
    <t>对部分上班族来说，今天是正式复工的第一天。为了减少人员聚集和交叉感染，阻断疫情传播，北京、天津、石家庄、雄安新区、邢台、秦皇岛、邯郸、保定、焦作、开封、洛阳、许昌、晋城、成都、兰州共15城发布了暂停机动车尾号限行的措施，减少民众乘坐地铁、公交等公共交通出行。注意：如果是没有私家车的朋友，也尽量不选择</t>
  </si>
  <si>
    <t>厂家说车辆原本就没有后拖车的地方，当我问对方如果前轮被困，如何救援时，厂家表示那没有办法，还坚决的不承认是设计缺陷。</t>
  </si>
  <si>
    <t>2020/02/04 17:03:14</t>
  </si>
  <si>
    <t>交警叔叔教你如何进入可变车道不被扣6分罚200这天有位小伙伴打我电话讲，这汽车就买回几天而已，开在马路上就被扣分还罚款两百元。原来它在开车时路上没注意，在通过可变车道的时候跑错了。可变车道又名为潮汐车道，其关键作用用于高峰时间段车流拥挤，可是马路又少的地方。可变车道经常使用于交叉地段，能够结合不同的</t>
  </si>
  <si>
    <t>2020/02/04 17:03:00</t>
  </si>
  <si>
    <t>随着部分省市春节假期陆续完结，许多车友们是不是驾驶着自己的爱车上班了呢？值得注意的是，疫情还没有完全过去，在日常生活中，我们依旧需要做好防护措施，戴好口罩，勤洗手，多通风。但说到用车，一些车友就犯迷糊了，我们给人做好了防护措施，车呢？别着急，现在就跟着车叔，一起了解下如何科学用车，尽量避免新型冠状病</t>
  </si>
  <si>
    <t>这天有位小伙伴打我电话讲，这汽车就买回几天而已，开在马路上就被扣分还罚款两百元。原来它在开车时路上没注意，在通过可变车道的时候跑错了。可变车道又名为潮汐车道，其关键作用用于高峰时间段车流拥挤，可是马路又少的地方。可变车道经常使用于交叉地段，能够结合不同的时刻，车流量的流向特点，使用更改车道的行驶方位</t>
  </si>
  <si>
    <t>疫情期间如何安全用车随着部分省市春节假期陆续完结，许多车友们是不是驾驶着自己的爱车上班了呢？值得注意的是，疫情还没有完全过去，在日常生活中，我们依旧需要做好防护措施，戴好口罩，勤洗手，多通风。但说到用车，一些车友就犯迷糊了，我们给人做好了防护措施，车呢？别着急，现在就跟着车叔，一起了解下如何科学用车</t>
  </si>
  <si>
    <t>投诉编号：【446328】投诉时间：2020-02-0416:43投诉品牌：吉利汽车投诉车系：远景投诉车型：2016款1.5L自动幸福版投诉内容16年底卖的远景自动挡汽车，3年多点，7万多公里，行驶中突然没有动力了，差点被追尾，4S店检查后说变速箱有问题要换。在网上和车质网发现这款车变速箱同样的问题</t>
  </si>
  <si>
    <t>2020/02/04 16:43:00</t>
  </si>
  <si>
    <t>投诉编号：【446327】投诉时间：2020-02-0416:40投诉品牌：众泰汽车投诉车系：众泰T600投诉车型：2016款1.5T手动尊贵型投诉内容投诉众泰厂家，生产垃圾车出来。老是有问题、买众泰汽车，我换的差不多了，发动机换了、水温过高、再也不要买众泰的垃圾车。生产一个汽车老是有问题。投诉回复</t>
  </si>
  <si>
    <t>2020/02/04 16:40:00</t>
  </si>
  <si>
    <t>投诉编号：【446323】投诉时间：2020-02-0416:17投诉品牌：上汽大众投诉车系：途观L投诉车型：2018款330TSI自动两驱豪华版投诉内容上汽大众途观L主驾驶座椅皮革破裂露白，希望厂家可以安排工作人员尽快解决。投诉回复车质网已将您的投诉转给生产企业以及国家市场监督管理总局缺陷产品管理</t>
  </si>
  <si>
    <t>2020/02/04 16:17:00</t>
  </si>
  <si>
    <t>大众朗逸通电后无法启动是什么原因？</t>
  </si>
  <si>
    <t>2020/02/04 16:09:49</t>
  </si>
  <si>
    <t>东南V6 4A91的发动机和东南DX3 4A91T的发动机所配备的发电机能通用吗？</t>
  </si>
  <si>
    <t>2020/02/04 16:09:48</t>
  </si>
  <si>
    <t>投诉编号：【446320】投诉时间：2020-02-0416:00投诉品牌：吉利汽车投诉车系：帝豪投诉车型：2016款1.5LCVT向上版三厢投诉内容发动机噪音大加速车身震动，高油耗不开空调200块钱油就能跑260公里，变速箱异响加速唧唧响，中控台车门也是不管好的沥青路面货差的路面都各总响，和售后反</t>
  </si>
  <si>
    <t>2020/02/04 16:00:00</t>
  </si>
  <si>
    <t xml:space="preserve">投诉编号：【446319】  投诉时间： 2020-02-04 15:58  投诉品牌： 北京现代  投诉车系： 途胜  投诉车型： 2015款 1.6T   双离合 两驱 智能型        投诉内容  变速箱换挡异响发动机抖正常行驶，发动机故障灯亮起，车辆抖动车辆动力丢失功率不足。      </t>
  </si>
  <si>
    <t>2020/02/04 15:58:00</t>
  </si>
  <si>
    <t>投诉编号：【446315】投诉时间：2020-02-0415:42投诉品牌：广汽本田投诉车系：凌派投诉车型：2017款1.8LCVT豪华特装版投诉内容后轮有滋滋的声音，这个问题不是普遍存在的，偶发性的故障，经过检查是刹车片已经磨平，怀疑是分泵抱死导致的，还有就是打开油箱盖有明显的气压，4S店告知是正</t>
  </si>
  <si>
    <t>2020/02/04 15:42:00</t>
  </si>
  <si>
    <t>2020/02/04 15:33:48</t>
  </si>
  <si>
    <t>投诉编号：【446310】
投诉时间： 2020-02-04 15:13
投诉品牌： 上汽大众
投诉车系： 帕萨特
投诉车型： 2019款 330TSI 豪华版 国V</t>
  </si>
  <si>
    <t>投诉编号：【446314】  投诉时间： 2020-02-04 15:27  投诉品牌： 江淮汽车  投诉车系： 瑞风S3  投诉车型： 2018款 1.5L 手动 互联版        投诉内容  车才用了一年无意间发现排气管严重生锈，由于我在的地方没有江淮4s店我通过微信加了，4s店的工作人员把</t>
  </si>
  <si>
    <t>2020/02/04 15:27:00</t>
  </si>
  <si>
    <t>投诉编号：【446311】  投诉时间： 2020-02-04 15:23  投诉品牌： 上汽大众  投诉车系： 凌渡  投诉车型： 2019款 230TSI DSG 风尚版 国VI        投诉内容  新车行驶2000公里，变速箱报故障。当时车子在掉头的过程中突然停了下来，加速踏板没有反应，</t>
  </si>
  <si>
    <t>2020/02/04 15:23:00</t>
  </si>
  <si>
    <t>车子自从17年购买，左前门放音乐。像捅破了一张窗户纸一样。杂音很大。在4s店维修了十多次。更换了左前门内饰板。更换了扬声器。结果嘈杂的声音越来越大。门板都快拆烂了。还是没搞好问题。真佩服4s店维修人员的技术。</t>
  </si>
  <si>
    <t>2020/02/04 15:16:00</t>
  </si>
  <si>
    <t>雷诺科雷嘉左前门播放音乐时共振明显车子自从17年购买，左前门放音乐。像捅破了一张窗户纸一样。杂音很大。在4s店维修了十多次。更换了左前门内饰板。更换了扬声器。结果嘈杂的声音越来越大。门板都快拆烂了。还是没搞好问题。真佩服4s店维修人员的技术。</t>
  </si>
  <si>
    <t>奇瑞艾瑞泽5电瓶电量不足导致无法启动，停车一天早上打不着火，全车电量不足，希望厂家可以安排工作人员尽快解决。</t>
  </si>
  <si>
    <t>2020/02/04 15:15:00</t>
  </si>
  <si>
    <t>艾瑞泽5电瓶电量不足导致无法启动奇瑞艾瑞泽5电瓶电量不足导致无法启动，停车一天早上打不着火，全车电量不足，希望厂家可以安排工作人员尽快解决。</t>
  </si>
  <si>
    <t>缤越原先定于19年七月更新的，服务到2020年迟迟不更新。</t>
  </si>
  <si>
    <t>2020/02/04 15:14:00</t>
  </si>
  <si>
    <t>车身好多地方出现生锈的情况，小黄点。没有剐蹭最近突然发现有很多小锈点。</t>
  </si>
  <si>
    <t>缤越车机系统无法更新希望尽快处理缤越原先定于19年七月更新的，服务到2020年迟迟不更新。</t>
  </si>
  <si>
    <t>现代领动车身多处车漆出现生锈车身好多地方出现生锈的情况，小黄点。没有剐蹭最近突然发现有很多小锈点。</t>
  </si>
  <si>
    <t>底盘异响及轮胎异响，及方向盘跑偏，(新车提出来就是这样)在路上开着哒哒哒响，在好路还好一点，经过烂路的时候直接响的无法接受。去了4S店不下于10次，都没有解决，查不出原因，去4S店来回150公里不说还处理不好，真心累希望给与解决。</t>
  </si>
  <si>
    <t>2020/02/04 15:12:00</t>
  </si>
  <si>
    <t>中华H3底盘异响前轮异响离合器沉重底盘异响及轮胎异响，及方向盘跑偏，(新车提出来就是这样)在路上开着哒哒哒响，在好路还好一点，经过烂路的时候直接响的无法接受。去了4S店不下于10次，都没有解决，查不出原因，去4S店来回150公里不说还处理不好，真心累希望给与解决。</t>
  </si>
  <si>
    <t>中控台异响，变速箱换挡顿挫。去找过4S店中控给我修过，当时修好了，现在又出现异响。变速箱顿挫问题他们干脆就不承认。</t>
  </si>
  <si>
    <t>2020/02/04 15:11:00</t>
  </si>
  <si>
    <t>丰田凯美瑞中控台异响变速箱换挡顿挫中控台异响，变速箱换挡顿挫。去找过4S店中控给我修过，当时修好了，现在又出现异响。变速箱顿挫问题他们干脆就不承认。</t>
  </si>
  <si>
    <t>车内异味严重，真皮座椅跟后备箱都有很严重的异味，一开车门跟后备箱都可以闻到。</t>
  </si>
  <si>
    <t>2020/02/04 15:10:00</t>
  </si>
  <si>
    <t>日产轩逸车内以及后备箱异味严重车内异味严重，真皮座椅跟后备箱都有很严重的异味，一开车门跟后备箱都可以闻到。</t>
  </si>
  <si>
    <t>投诉编号：【446309】  投诉时间： 2020-02-04 15:08  投诉品牌： 上汽集团  投诉车系： 锐腾  投诉车型： 2015款 1.5TGI 手动 精英版        投诉内容  1、5万公里后变速箱很难挂入1挡，不顺畅，生涩；2、车内有一种很难闻很刺鼻的味道，怀疑上车上隔音棉等</t>
  </si>
  <si>
    <t>2020/02/04 15:08:00</t>
  </si>
  <si>
    <t>车是18年10月份刚出来买的，19年10月末到11月份具体时间记不清了出现电瓶亏电，当时买了一条搭电线，启动之后开了一个多小时这样，第二天一早醒来还是亏电，然后这样前前后后搭了4.5次，抽出时间去4s店检查，售后说就是亏电，别的没什么毛病，我让他们检查有没有什么地方漏电，说检查过没有漏电的地方，因为</t>
  </si>
  <si>
    <t>哈弗F5电瓶亏电 4S店查不到原因车是18年10月份刚出来买的，19年10月末到11月份具体时间记不清了出现电瓶亏电，当时买了一条搭电线，启动之后开了一个多小时这样，第二天一早醒来还是亏电，然后这样前前后后搭了4.5次，抽出时间去4s店检查，售后说就是亏电，别的没什么毛病，我让他们检查有没有什么地方</t>
  </si>
  <si>
    <t>2020/02/04 15:07:00</t>
  </si>
  <si>
    <t>2015年购车至今已行驶10.6万公里【4年了刚过质保】！2019年底开始，车子冷车启动后，仪表盘出现齿轮黄色变速箱故障灯。挂挡无反应，车子不能动！熄火再重新打火，就可以走了，然后一天都不会亮故障灯【可正常行驶】。有时候要反复熄火启动3-5次故障灯才消失车子可以走！最近发现这个情况越来越严重！打火后</t>
  </si>
  <si>
    <t>2020/02/04 15:06:00</t>
  </si>
  <si>
    <t>帝豪冷启动变速箱故障灯亮无法行驶2015年购车至今已行驶10.6万公里【4年了刚过质保】！2019年底开始，车子冷车启动后，仪表盘出现齿轮黄色变速箱故障灯。挂挡无反应，车子不能动！熄火再重新打火，就可以走了，然后一天都不会亮故障灯【可正常行驶】。有时候要反复熄火启动3-5次故障灯才消失车子可以走！最</t>
  </si>
  <si>
    <t>2020/02/04 15:04:35</t>
  </si>
  <si>
    <t>投诉编号：【446306】
投诉时间： 2020-02-04 14:44
投诉品牌： 长城汽车
投诉车系： 哈弗H6
投诉车型： 2020款 1.5GDIT 自动 铂金豪华版</t>
  </si>
  <si>
    <t>请提供一下专业质量鉴定的单位，我想一查究竟！我住在天津市南开区，多谢！</t>
  </si>
  <si>
    <t>2020/02/04 14:45:56</t>
  </si>
  <si>
    <t>Jeep大指挥官能买吗质量怎么样？</t>
  </si>
  <si>
    <t>投诉编号：【446305】
投诉时间： 2020-02-04 14:24
投诉品牌： 吉利汽车
投诉车系： 帝豪
投诉车型： 2015款 1.5L CVT 向上版 三厢</t>
  </si>
  <si>
    <t>投诉编号：【446308】投诉时间：2020-02-0414:45投诉品牌：一汽-大众奥迪投诉车系：奥迪A4L投诉车型：2016款Sline2.0TCVT舒适型典藏版投诉内容本人于2016年4月7日在成都兴三和奥迪4S店购买2016款A4L舒适典藏版，在质保期内在广安奥迪4S店保养的时候，我自己发现</t>
  </si>
  <si>
    <t>2020/02/04 14:45:00</t>
  </si>
  <si>
    <t>　　当前，抗击新型冠状病毒感染的肺炎疫情，成为举国上下的头等大事，各个企业都在尽力驰援“战疫”。吉利控股集团决定，由吉利汽车先期投入3.7亿元人民币，启动具备病毒防范功能的“全方位健康汽车”的研发工作。此举不仅意味着吉利对“驾乘者安全”的重视增加了新维度、上升到新高度，也代表着当前汽车的研发领域将出</t>
  </si>
  <si>
    <t>2020/02/04 14:32:00</t>
  </si>
  <si>
    <t>投诉编号：【446304】  投诉时间： 2020-02-04 14:19  投诉品牌： 广汽乘用车  投诉车系： 传祺GS5  投诉车型： 2019款 270T 自动 豪华版        投诉内容  19年1月提车上牌，一直正常使用按照要求4S店保养。在2020年1月16日从北京开往黑龙江虎林市</t>
  </si>
  <si>
    <t>2020/02/04 14:19:00</t>
  </si>
  <si>
    <t>方向盘向右跑偏，七万公里异响严重怎么解决？</t>
  </si>
  <si>
    <t>2020/02/04 13:41:31</t>
  </si>
  <si>
    <t>投诉编号：【446301】  投诉时间： 2020-02-04 13:31  投诉品牌： 北汽新能源  投诉车系： 北汽新能源EX  投诉车型： 2018款 EX360 新尚版        投诉内容  慢充满显示312公里，第二天开启直接掉电，显示262公里，而且再次充电只到263公里就自动停止充</t>
  </si>
  <si>
    <t>2020/02/04 13:31:00</t>
  </si>
  <si>
    <t>你开车时有这4个坏毛病吗如今越来越多的人考到驾照以后，可能真正开车上路的人并不是很多，很多原因是我们在驾校的时候教练教给我们的开车方式，但是这些开车方式都是为了通过考试而学习的，许多的操作方式对于大家日常开车来说根本就不适用，甚至还有一些压根就是错误操作，它们不仅会给我们带来危险，而且还会损伤到我们</t>
  </si>
  <si>
    <t>你会倒车吗？以下4点值得你去看你开车时有这4个坏毛病吗如今越来越多的人考到驾照以后，可能真正开车上路的人并不是很多，很多原因是我们在驾校的时候教练教给我们的开车方式，但是这些开车方式都是为了通过考试而学习的，许多的操作方式对于大家日常开车来说根本就不适用，甚至还有一些压根就是错误操作，它们不仅会给我</t>
  </si>
  <si>
    <t>手刹在日常用车时的使用频率非常高，但它很少会被车友们重视到。殊不知，良好的使用习惯能够增加使用寿命，同时能够保障安全。接下来，我们聊聊在停车时，机械手刹和电子手刹的注意事项。手刹不能拉的太紧机械手刹在日常使用中切记不要拉的太紧，因为金属拉线过度拉伸或者长时间保持拉伸会加速其变形老化，导致手刹变松或者</t>
  </si>
  <si>
    <t>2020/02/04 13:30:00</t>
  </si>
  <si>
    <t>绝大多数人停车时都会习惯性把方向盘回正，因为不回正的话根据转向程度不同车辆的轮胎、悬挂系统、转向系统都会比回正状态下多承受额外的应力。特别是方向打死的状态下这个应力会达到最大。上图就是没有回正的前轮，可以清楚地看到转向时轮胎并不是垂直于地面的，而是向外倾斜，这时候轮胎受力面为外侧。这是由于悬挂系统几</t>
  </si>
  <si>
    <t>手刹该怎么拉？一不小心可能毁车手刹在日常用车时的使用频率非常高，但它很少会被车友们重视到。殊不知，良好的使用习惯能够增加使用寿命，同时能够保障安全。接下来，我们聊聊在停车时，机械手刹和电子手刹的注意事项。手刹不能拉的太紧机械手刹在日常使用中切记不要拉的太紧，因为金属拉线过度拉伸或者长时间保持拉伸会加</t>
  </si>
  <si>
    <t>简单几招 轻松判断方向盘是否回正绝大多数人停车时都会习惯性把方向盘回正，因为不回正的话根据转向程度不同车辆的轮胎、悬挂系统、转向系统都会比回正状态下多承受额外的应力。特别是方向打死的状态下这个应力会达到最大。上图就是没有回正的前轮，可以清楚地看到转向时轮胎并不是垂直于地面的，而是向外倾斜，这时候轮胎</t>
  </si>
  <si>
    <t>三招教你过窄道 基本保证不蹭车日常行车中，经常会遇到一些狭窄的道路、窄门、隔离墩等路段，尤其是停车场、小区、花园、加油站进出口处的那些水泥墩，搞不好就很容易把车给蹭了。尤其是新手，十次有八次都会碰到。因为在进出路口处的那些水泥墩都比较矮小，而且宽度也不大。随着车辆的靠近，这些低矮的水泥墩就会进入视觉</t>
  </si>
  <si>
    <t>2020/02/04 13:29:00</t>
  </si>
  <si>
    <t>后视镜妙用 除了看车距还能干这些对于很多人来说，开车都是一件技术活，特别是把车子开到公路上的时候，我们总会遇到很多不同的复杂的路况。在面临这些复杂路况的时候，有的司机就会感到手忙脚乱，而有的司机则能从容应对。每个人在成为一名合格的司机之前，都需要经过驾照的学习和考试。虽然驾照交给我们了很多必要的知识</t>
  </si>
  <si>
    <t>对于很多人来说，开车都是一件技术活，特别是把车子开到公路上的时候，我们总会遇到很多不同的复杂的路况。在面临这些复杂路况的时候，有的司机就会感到手忙脚乱，而有的司机则能从容应对。每个人在成为一名合格的司机之前，都需要经过驾照的学习和考试。虽然驾照交给我们了很多必要的知识，让我们牢记了上路之前和上路时要</t>
  </si>
  <si>
    <t>日常行车中，经常会遇到一些狭窄的道路、窄门、隔离墩等路段，尤其是停车场、小区、花园、加油站进出口处的那些水泥墩，搞不好就很容易把车给蹭了。尤其是新手，十次有八次都会碰到。因为在进出路口处的那些水泥墩都比较矮小，而且宽度也不大。随着车辆的靠近，这些低矮的水泥墩就会进入视觉盲区。那怎样才能减少这类意外的</t>
  </si>
  <si>
    <t>手刹天天用 我敢说你一定没用对起手刹，开车的朋友对它肯定是熟得不能再熟了。可这手刹不就是一拉一放的事吗，这还有啥好说的？其实，随着科技的发展，今天的手刹已经不仅限于传统机械手刹了，脚刹、电子手刹等新式的手刹也逐渐走进了我们的生活。虽然这手刹几乎天天都用，可您还真不一定用对了！对号入座 你用的是哪种手</t>
  </si>
  <si>
    <t>2020/02/04 13:28:00</t>
  </si>
  <si>
    <t>行驶中转向助力消失具体是什么原因车子在超过40公里每小时紧急变道或15公里每小时急调头时候出现。（同款车型已发现2位车主反应，未包括本人）车子在超过40公里每小时紧急变道或15公里每小时急调头时候，出现方向盘回打时短时间丧失转向助力，出现方向盘卡顿、没有助力的明显现象。极大影响车辆在行驶当中的安全问</t>
  </si>
  <si>
    <t>起手刹，开车的朋友对它肯定是熟得不能再熟了。可这手刹不就是一拉一放的事吗，这还有啥好说的？其实，随着科技的发展，今天的手刹已经不仅限于传统机械手刹了，脚刹、电子手刹等新式的手刹也逐渐走进了我们的生活。虽然这手刹几乎天天都用，可您还真不一定用对了！对号入座 你用的是哪种手刹？⒈传统式目前，大部分车主用</t>
  </si>
  <si>
    <t>车子在超过40公里每小时紧急变道或15公里每小时急调头时候出现。（同款车型已发现2位车主反应，未包括本人）车子在超过40公里每小时紧急变道或15公里每小时急调头时候，出现方向盘回打时短时间丧失转向助力，出现方向盘卡顿、没有助力的明显现象。极大影响车辆在行驶当中的安全问题。特别是在高速公路上行驶将有重</t>
  </si>
  <si>
    <t>1)汽车后备箱无法正常开启，需手动费力抬起或压下。开到售后服务站兴达汽贸检测说是后备箱液压拉杆损坏，需要定配件。2)汽车左后视镜无法自动收回，启动时伴随类似于齿轮打滑的异响。服务站说里面电力齿轮有问题，需要更换后视镜。目前致电兴达售后服务站，回复是他们不做SR9系列的配件，做不了。之前两三个月打电话</t>
  </si>
  <si>
    <t>液压杆损坏者问题真的是太多了1)汽车后备箱无法正常开启，需手动费力抬起或压下。开到售后服务站兴达汽贸检测说是后备箱液压拉杆损坏，需要定配件。2)汽车左后视镜无法自动收回，启动时伴随类似于齿轮打滑的异响。服务站说里面电力齿轮有问题，需要更换后视镜。目前致电兴达售后服务站，回复是他们不做SR9系列的配件</t>
  </si>
  <si>
    <t>球笼套漏油还可以享受质保吗？9月底在4S店换了凸轮轴信号盘后没多久，在一次急刹车中发现刹车异常，后经4S店检查，确定ABS泵故障，并称走三包程序要等货，自费不用等货，11月份因ABS泵故障导致追尾，同月又发现右前轮球笼套漏油严重。从出现故障到现在数月，多次致电4S店催促维修，4S店只说没有配件无法维</t>
  </si>
  <si>
    <t>2020/02/04 13:27:00</t>
  </si>
  <si>
    <t>9月底在4S店换了凸轮轴信号盘后没多久，在一次急刹车中发现刹车异常，后经4S店检查，确定ABS泵故障，并称走三包程序要等货，自费不用等货，11月份因ABS泵故障导致追尾，同月又发现右前轮球笼套漏油严重。从出现故障到现在数月，多次致电4S店催促维修，4S店只说没有配件无法维修，请厂家积极配合处理！多次</t>
  </si>
  <si>
    <t>发动机及变速箱漏油怎么处理？新车在3000公里发现发动机轰鸣感觉异常，在1500转速一下加油方向盘抖动，于是去4s检查时发现发动机漏油，变速箱漏油，但4s店只说是装配油于是不放心，换了家4s店判断出发动机漏油，至于变速箱还没得出结论变速箱换挡之后给油车身闯动一窜一窜的，车身还伴随着异响方向机还卡顿简</t>
  </si>
  <si>
    <t>2020/02/04 13:26:00</t>
  </si>
  <si>
    <t>投诉编号：【446300】  投诉时间： 2020-02-04 13:26  投诉品牌： 长城汽车  投诉车系： 哈弗H9  投诉车型： 2017款 2.0T 四驱 豪华型 7座 汽油        投诉内容  你好我反应的是车子还在质保期，并且还购买了延保。车子发生严重烧机油，发动机损伤厂家拒保。</t>
  </si>
  <si>
    <t>排气管都冻住了这还怎么使用？新车提回来排气管冻了3次，分别是1月24日，1月31日，2月3日，第一次冻给4s店打电话让拖车过去打孔打完孔依然冻，4s店反馈就是拖车，我就不懂我买台车回来不是为了开是为了拖的吗？？？</t>
  </si>
  <si>
    <t>新车在3000公里发现发动机轰鸣感觉异常，在1500转速一下加油方向盘抖动，于是去4s检查时发现发动机漏油，变速箱漏油，但4s店只说是装配油于是不放心，换了家4s店判断出发动机漏油，至于变速箱还没得出结论变速箱换挡之后给油车身闯动一窜一窜的，车身还伴随着异响方向机还卡顿简直失望透顶。</t>
  </si>
  <si>
    <t>新车提回来排气管冻了3次，分别是1月24日，1月31日，2月3日，第一次冻给4s店打电话让拖车过去打孔打完孔依然冻，4s店反馈就是拖车，我就不懂我买台车回来不是为了开是为了拖的吗？？？</t>
  </si>
  <si>
    <t>荣威的发动机抖动问题应该怎么去解决？上汽荣威RX3发动机抖动！一加油就抖动！去年处理了两三次也没有解决，发动机抖动！加不去油来！现在都不敢开了！</t>
  </si>
  <si>
    <t>2020/02/04 13:25:00</t>
  </si>
  <si>
    <t>上汽荣威RX3发动机抖动！一加油就抖动！去年处理了两三次也没有解决，发动机抖动！加不去油来！现在都不敢开了！</t>
  </si>
  <si>
    <t>前轮异响问题严重不严重到了冬天经过减速带或者非铺装路面前轮会发出非常大的异响声音。希望厂家可以安排工作人员尽快解决。</t>
  </si>
  <si>
    <t>2020/02/04 13:24:00</t>
  </si>
  <si>
    <t>到了冬天经过减速带或者非铺装路面前轮会发出非常大的异响声音。希望厂家可以安排工作人员尽快解决。</t>
  </si>
  <si>
    <t>方向盘松动应该怎么解决？东风雪铁龙C4L方向盘松动影响驾驶，方向盘松动，影响驾驶，长途驾驶风险很高。希望厂家可以安排工作人员尽快解决。</t>
  </si>
  <si>
    <t>2020/02/04 13:23:00</t>
  </si>
  <si>
    <t>东风雪铁龙C4L方向盘松动影响驾驶，方向盘松动，影响驾驶，长途驾驶风险很高。希望厂家可以安排工作人员尽快解决。</t>
  </si>
  <si>
    <t>播放音乐时共振应该如何处理？车子自从17年购买，左前门放音乐。像捅破了一张窗户纸一样。杂音很大。在4s店维修了十多次。更换了左前门内饰板。更换了扬声器。结果嘈杂的声音越来越大。门板都快拆烂了。还是没搞好问题。真佩服4s店维修人员的技术。</t>
  </si>
  <si>
    <t>2020/02/04 13:22:00</t>
  </si>
  <si>
    <t>电瓶亏电怎么才能解决？奇瑞艾瑞泽5电瓶电量不足导致无法启动，停车一天早上打不着火，全车电量不足，希望厂家可以安排工作人员尽快解决。</t>
  </si>
  <si>
    <t>2020/02/04 13:21:00</t>
  </si>
  <si>
    <t>挂挡后无动力应该如何解决？我们在2018年8月7日购买此车，2019年3月10日车辆出现挂挡不走问题，4s店售后经理拖车拖走，说变速箱坏了，在保修期内，换一个，当时我们觉得车坏了在保修期，也没在意，但是之前车辆就有挂挡不走的问题，但是从新启动一次就可以使用了，所以我们没有想过跟厂家跟销售追究，因为才</t>
  </si>
  <si>
    <t>下雨天了怎么办             初级技工</t>
  </si>
  <si>
    <t>2020/02/04 13:20:00</t>
  </si>
  <si>
    <t>投诉编号：【446299】  投诉时间： 2020-02-04 13:06  投诉品牌： 长城汽车  投诉车系： 哈弗F5  投诉车型： 2018款 1.5T i潮版        投诉内容  车是18年10月份刚出来买的，19年10月末到11月份具体时间记不清了出现电瓶亏电，当时买了一条搭电线，启</t>
  </si>
  <si>
    <t>2020/02/04 13:06:00</t>
  </si>
  <si>
    <t>　　日前，我们从外媒获悉，雷克萨斯正在对LC F车型进行相关测试，并为这款新车配备了一台全新4.0T V8发动机。据此前消息，雷克萨斯计划在2020年将这款全新发动机率先应用到纽博格林北环24小时耐力赛的LC赛车上，并在之后推出LC F量产车型。　　据外媒报道，作为雷克萨斯LC车系的高性能版本，雷克</t>
  </si>
  <si>
    <t>2020/02/04 13:05:00</t>
  </si>
  <si>
    <t>日前，我们从外媒获悉，雷克萨斯正在对LC F车型进行相关测试，并为这款新车配备了一台全新4.0T V8发动机。据此前消息，雷克萨斯计划在2020年将这款全新发动机率先应用到纽博格林北环24小时耐力赛的LC赛车上，并在之后推出LC F量产车型。    据外媒报道，作为雷克萨斯LC车系的高性能版本，雷克</t>
  </si>
  <si>
    <t>　　随着石化能源的减少，以及新能源汽车技术与配套设备的不断完善，购买新能源车成为越来越多人的选择。福特作为传统能源车企的大佬，也在不断扩大新能源产品阵营。此前已经曝出了福特去年向电动车企Rivian投资5亿美元，将联合开发野马Mach-E还有电动F-150的相关信息。　　今日我们从外媒获悉，福特旗下</t>
  </si>
  <si>
    <t>2020/02/04 13:03:00</t>
  </si>
  <si>
    <t>随着石化能源的减少，以及新能源汽车技术与配套设备的不断完善，购买新能源车成为越来越多人的选择。福特作为传统能源车企的大佬，也在不断扩大新能源产品阵营。此前已经曝出了福特去年向电动车企Rivian投资5亿美元，将联合开发野马Mach-E还有电动F-150的相关信息。    今日我们从外媒获悉，福特旗下</t>
  </si>
  <si>
    <t>1月31日，英国正式“脱欧”，英国与欧盟进入“脱欧”过渡期。近日，我们从外媒获悉，受英国脱欧所带来的贸易关系不确定性影响以及削减成本考虑，宝马将推迟旗下新一代MINI车型的开发。意味着现款MINI生命周期将被延长，该车型于2014年投放市场。    目前MINI由英国牛津以及尼德兰伯恩生产，新一代车</t>
  </si>
  <si>
    <t>2020/02/04 13:00:00</t>
  </si>
  <si>
    <t>　　1月31日，英国正式“脱欧”，英国与欧盟进入“脱欧”过渡期。近日，我们从外媒获悉，受英国脱欧所带来的贸易关系不确定性影响以及削减成本考虑，宝马将推迟旗下新一代MINI车型的开发。意味着现款MINI生命周期将被延长，该车型于2014年投放市场。　　目前MINI由英国牛津以及尼德兰伯恩生产，新一代车</t>
  </si>
  <si>
    <t>　　雷克萨斯在中大型车领域布局了ES和GS两款车型，前者更加舒适，后者则更倾向运动。日前，我们从海外媒体获悉，雷克萨斯旗下中大型轿车GS或于今年9月停产。该车主要竞争对手为宝马5系和奔驰E Class等车型 ，不过GS在推出之后销售成绩不尽人意，长期以来一直被同门的ES远远甩开，最佳年销量也仅仅为3</t>
  </si>
  <si>
    <t>2020/02/04 12:56:00</t>
  </si>
  <si>
    <t>雷克萨斯在中大型车领域布局了ES和GS两款车型，前者更加舒适，后者则更倾向运动。日前，我们从海外媒体获悉，雷克萨斯旗下中大型轿车GS或于今年9月停产。该车主要竞争对手为宝马5系和奔驰E Class等车型 ，不过GS在推出之后销售成绩不尽人意，长期以来一直被同门的ES远远甩开，最佳年销量也仅仅为33,</t>
  </si>
  <si>
    <t>　　宝马此前发布了名为iNext的全新旗舰概念SUV，并将于2021年实现量产。近日，我们从海外媒体了解到，未来量产版的iNext有望采用iX5的命名，并将提供L3级自动驾驶系统。　　从外观设计来说，虽然目前测试车辆有着严密的伪装，但从头灯等细节处可以发现，新车将大量保留iNext的设计元素。同时据</t>
  </si>
  <si>
    <t>2020/02/04 12:53:00</t>
  </si>
  <si>
    <t>宝马此前发布了名为iNext的全新旗舰概念SUV，并将于2021年实现量产。近日，我们从海外媒体了解到，未来量产版的iNext有望采用iX5的命名，并将提供L3级自动驾驶系统。    从外观设计来说，虽然目前测试车辆有着严密的伪装，但从头灯等细节处可以发现，新车将大量保留iNext的设计元素。同时据</t>
  </si>
  <si>
    <t>2020/02/04 12:50:26</t>
  </si>
  <si>
    <t>投诉编号：【446296】
投诉时间： 2020-02-04 12:34
投诉品牌： 长城汽车
投诉车系： 哈弗F7
投诉车型： 2019款 1.5T 两驱 i潮</t>
  </si>
  <si>
    <t xml:space="preserve">投诉编号：【446297】  投诉时间： 2020-02-04 12:49  投诉品牌： 东风日产  投诉车系： 轩逸  投诉车型： 2018款 1.6XV CVT 尊享版        投诉内容  车内异味严重，真皮座椅跟后备箱都有很严重的异味，一开车门跟后备箱都可以闻到。      投诉回复  </t>
  </si>
  <si>
    <t>2020/02/04 12:49:00</t>
  </si>
  <si>
    <t>　　日前有外媒报道称，有大众汽车内部人士透露，大众即将推出的性能版本的ID.3 R。新车将利用从ID.R赛车项目中获得的经验打造其动力系统，并设计一种适用于高性能公路车的动力电池。『配图为大众ID.3 R效果图』　　大众R部门的负责人Jost Capito在奥地利举行的GP Ice Race赛事中，</t>
  </si>
  <si>
    <t>2020/02/04 12:48:00</t>
  </si>
  <si>
    <t>日前有外媒报道称，有大众汽车内部人士透露，大众即将推出的性能版本的ID.3 R。新车将利用从ID.R赛车项目中获得的经验打造其动力系统，并设计一种适用于高性能公路车的动力电池。『配图为大众ID.3 R效果图』    大众R部门的负责人Jost Capito在奥地利举行的GP Ice Race赛事中，</t>
  </si>
  <si>
    <t>　　日前，在印度举办的新德里汽车博览会上，斯柯达VISION IN概念车正式亮相。该车定位为小型SUV，基于大众MQB A0平台打造。该车型的量产版将会在2020年底推出，未来还将针对亚洲不同地区的需求对车辆进行调整。『斯柯达VISION IN概念车预告图』　　外观来看，新车新车采用了斯柯达最新的家</t>
  </si>
  <si>
    <t>2020/02/04 12:46:00</t>
  </si>
  <si>
    <t>日前，在印度举办的新德里汽车博览会上，斯柯达VISION IN概念车正式亮相。该车定位为小型SUV，基于大众MQB A0平台打造。该车型的量产版将会在2020年底推出，未来还将针对亚洲不同地区的需求对车辆进行调整。『斯柯达VISION IN概念车预告图』    外观来看，新车新车采用了斯柯达最新的家</t>
  </si>
  <si>
    <t>　　日前，雪佛兰全新科尔维特（C8）在通用汽车肯塔基州的鲍灵格林工厂正式量产，外媒称新车的交付将会在本月下旬或者三月初正式开始。　　新科尔维特的正式量产原定于2019年12月正式开始，不过由于美国汽车工人的罢工活动，雪佛兰不得不推迟了该车的量产计划。该车已经于去年年中开始预定，基础版本的起步价低于6</t>
  </si>
  <si>
    <t>2020/02/04 12:44:00</t>
  </si>
  <si>
    <t>日前，雪佛兰全新科尔维特（C8）在通用汽车肯塔基州的鲍灵格林工厂正式量产，外媒称新车的交付将会在本月下旬或者三月初正式开始。    新科尔维特的正式量产原定于2019年12月正式开始，不过由于美国汽车工人的罢工活动，雪佛兰不得不推迟了该车的量产计划。该车已经于去年年中开始预定，基础版本的起步价低于6</t>
  </si>
  <si>
    <t>日前有消息曝出疑似威马EVOLVE(参数|询价)概念车量产版车型的专利图，该车与此前曝光的一款威马全新车型有着很高的相似度，根据此前消息，新车或将于2020年底量产上市。『新车专利图』    在2020年1月初的湖北星晖新能源智造工厂竣工投产仪式中，威马汽车曾展示了一款试制车，这也是该品牌旗下的首款</t>
  </si>
  <si>
    <t>2020/02/04 12:42:00</t>
  </si>
  <si>
    <t>　　日前有消息曝出疑似威马EVOLVE(参数|询价)概念车量产版车型的专利图，该车与此前曝光的一款威马全新车型有着很高的相似度，根据此前消息，新车或将于2020年底量产上市。『新车专利图』　　在2020年1月初的湖北星晖新能源智造工厂竣工投产仪式中，威马汽车曾展示了一款试制车，这也是该品牌旗下的首款</t>
  </si>
  <si>
    <t>　　早在2013年1月23日，英国首相卡梅伦首次正式提出公投发起脱欧计划。经过一系列法案及投票表决，直至2020年1月30日，欧盟正式批准了英国脱欧。英国脱欧对汽车产业将造成一定的影响，主要将体现在商贸、关税、运输以及人员等方面。对此，宝马、捷豹路虎及日产纷纷做出紧急回应，或将考虑推迟研发计划以及大</t>
  </si>
  <si>
    <t>2020/02/04 12:39:00</t>
  </si>
  <si>
    <t>早在2013年1月23日，英国首相卡梅伦首次正式提出公投发起脱欧计划。经过一系列法案及投票表决，直至2020年1月30日，欧盟正式批准了英国脱欧。英国脱欧对汽车产业将造成一定的影响，主要将体现在商贸、关税、运输以及人员等方面。对此，宝马、捷豹路虎及日产纷纷做出紧急回应，或将考虑推迟研发计划以及大规模</t>
  </si>
  <si>
    <t>在汽贸城买车靠谱吗可以购买吗？</t>
  </si>
  <si>
    <t>2020/02/04 12:37:47</t>
  </si>
  <si>
    <t>左前门放音乐存在异响。在我当地4s店维修不下十多次。更换了左前门内饰板。更换了扬声器。车子自从购入没多久就出现这问题。到快过保修期了还是没有解决。不知道要怎样才能够解决这个问题。</t>
  </si>
  <si>
    <t>　　ix25是现代旗下的一款小型SUV（海外称Creta），该车在2014年北京车展上正式发布，后续登陆国内市场，同时去年在国内市场现代ix25车型累计销量突破4万台。近日海外媒体曝光了一组现代新款ix25车型渲染图，新车将2天后正式在海外市场上市。后续将继续与本田缤智、丰田C-HR、大众途铠等同级</t>
  </si>
  <si>
    <t>2020/02/04 12:36:00</t>
  </si>
  <si>
    <t>ix25是现代旗下的一款小型SUV（海外称Creta），该车在2014年北京车展上正式发布，后续登陆国内市场，同时去年在国内市场现代ix25车型累计销量突破4万台。近日海外媒体曝光了一组现代新款ix25车型渲染图，新车将2天后正式在海外市场上市。后续将继续与本田缤智、丰田C-HR、大众途铠等同级别车</t>
  </si>
  <si>
    <t>在汽贸城够车如发生严重质量问题该怎么维权？</t>
  </si>
  <si>
    <t>2020/02/04 12:35:00</t>
  </si>
  <si>
    <t>提及Jeep大切诺基想必大家早已遗忘了它，该款车型为品牌旗下的一款中大型SUV，早于2007年以进口形式引入国内市场开售。近日海外媒体曝光了一组Jeep全新大切诺基路试谍照图，新车预计将于今年年底正式亮相，并于2021年内上市开售。    动力方面，新车或将延用现款3.0L自然吸气、3.0T涡轮增压</t>
  </si>
  <si>
    <t>2020/02/04 12:34:00</t>
  </si>
  <si>
    <t>　　提及Jeep大切诺基想必大家早已遗忘了它，该款车型为品牌旗下的一款中大型SUV，早于2007年以进口形式引入国内市场开售。近日海外媒体曝光了一组Jeep全新大切诺基路试谍照图，新车预计将于今年年底正式亮相，并于2021年内上市开售。　　动力方面，新车或将延用现款3.0L自然吸气、3.0T涡轮增压</t>
  </si>
  <si>
    <t xml:space="preserve">提及MPV车型，大多数人首先想到的肯定是别克GL8和本田奥德赛，而起亚旗下也有一款MPV车型，嘉华作为起亚旗下的一款经典MPV车型，该车集商务和休闲与一体，整体更具有稳重的气派。近日海外媒体曝光了起亚新款嘉华车型部分信息，新车预计在两个月后的纽约国际车展上正式首发，并计划在今年年中正式上市销售。  </t>
  </si>
  <si>
    <t>2020/02/04 12:32:00</t>
  </si>
  <si>
    <t>　　提及MPV车型，大多数人首先想到的肯定是别克GL8和本田奥德赛，而起亚旗下也有一款MPV车型，嘉华作为起亚旗下的一款经典MPV车型，该车集商务和休闲与一体，整体更具有稳重的气派。近日海外媒体曝光了起亚新款嘉华车型部分信息，新车预计在两个月后的纽约国际车展上正式首发，并计划在今年年中正式上市销售。</t>
  </si>
  <si>
    <t xml:space="preserve">目前宝马家族已在华布局了X1、X2、X3、X4、X5、X6、X7七款SUV车型，覆盖紧凑级到大型市场，而去年刚刚上市的宝马X7也受到了消费者们的广泛关注，其豪华程度不亚于奔驰GLS等同级车型。近日海外媒体曝光了一组宝马X7 xDrive 50海外实拍图片，新车目前已在海外以及国内市场陆续开售。   </t>
  </si>
  <si>
    <t>2020/02/04 12:31:00</t>
  </si>
  <si>
    <t>　　目前宝马家族已在华布局了X1、X2、X3、X4、X5、X6、X7七款SUV车型，覆盖紧凑级到大型市场，而去年刚刚上市的宝马X7也受到了消费者们的广泛关注，其豪华程度不亚于奔驰GLS等同级车型。近日海外媒体曝光了一组宝马X7 xDrive 50海外实拍图片，新车目前已在海外以及国内市场陆续开售。　</t>
  </si>
  <si>
    <t>　　福特一直致力于生产电动皮卡，电动F-150原型机也于去年7月份亮相，展示了电动F-150的强大性能，但真正量产车的造型却始终不为人知。近日，有外媒发布了一张电动F-150的渲染图，渲染图中的电动F-150前脸采用了和福特野马Mach-E相似的封闭式格栅，新能源气息更浓烈。　　此次发布的渲染图中，</t>
  </si>
  <si>
    <t>2020/02/04 12:29:00</t>
  </si>
  <si>
    <t>福特一直致力于生产电动皮卡，电动F-150原型机也于去年7月份亮相，展示了电动F-150的强大性能，但真正量产车的造型却始终不为人知。近日，有外媒发布了一张电动F-150的渲染图，渲染图中的电动F-150前脸采用了和福特野马Mach-E相似的封闭式格栅，新能源气息更浓烈。    此次发布的渲染图中，</t>
  </si>
  <si>
    <t>投诉编号：【446295】投诉时间：2020-02-0412:27投诉品牌：广汽丰田投诉车系：凯美瑞投诉车型：2019款2.5G豪华版国VI投诉内容中控台异响，变速箱换挡顿挫。去找过4S店中控给我修过，当时修好了，现在又出现异响。变速箱顿挫问题他们干脆就不承认。投诉回复车质网已将您的投诉转给生产企业</t>
  </si>
  <si>
    <t>2020/02/04 12:27:00</t>
  </si>
  <si>
    <t>投诉编号：【446294】投诉时间：2020-02-0411:51投诉品牌：华晨中华投诉车系：中华H3投诉车型：2017款1.5L手动豪华型投诉内容底盘异响及轮胎异响，及方向盘跑偏，(新车提出来就是这样)在路上开着哒哒哒响，在好路还好一点，经过烂路的时候直接响的无法接受。去了4S店不下于10次，都没</t>
  </si>
  <si>
    <t>2020/02/04 11:51:00</t>
  </si>
  <si>
    <t>投诉编号：【446292】  投诉时间： 2020-02-04 11:38  投诉品牌： 吉利汽车  投诉车系： 缤越  投诉车型： 2019款 260T DCT 游侠 运动款 国V        投诉内容  缤越原先定于19年七月更新的，服务到2020年迟迟不更新。      投诉回复  车质网已</t>
  </si>
  <si>
    <t>2020/02/04 11:38:00</t>
  </si>
  <si>
    <t>你好，尊敬师傅，请问我都五菱荣光单排小卡，尾气排气筒排水，不在排气筒口排水，而在排气筒中间一处焊接部位排水，请问排水的位置正常吗？是新车。</t>
  </si>
  <si>
    <t>2020/02/04 11:31:42</t>
  </si>
  <si>
    <t>RS6 Avant是奥迪旗下的一款高性能中大型轿车，该车型在2016年正式引入国内市场销售，迄今已在华销售4年时间。近日海外媒体曝光了奥迪全新RS6 Avant车型部分信息，新车在去年洛杉矶车展正式亮相，并计划在今年第一季度率先在海外市场上市，起售价为117,500欧元（约为91万人民币）。后续将继</t>
  </si>
  <si>
    <t>2020/02/04 11:29:00</t>
  </si>
  <si>
    <t>　　RS6 Avant是奥迪旗下的一款高性能中大型轿车，该车型在2016年正式引入国内市场销售，迄今已在华销售4年时间。近日海外媒体曝光了奥迪全新RS6 Avant车型部分信息，新车在去年洛杉矶车展正式亮相，并计划在今年第一季度率先在海外市场上市，起售价为117,500欧元（约为91万人民币）。后续</t>
  </si>
  <si>
    <t>一周前在4s店常规保养车子，回来开了60公里不到提示制动液没有了，开车上高速车子方向盘有点飘，不知道什么原因！</t>
  </si>
  <si>
    <t>2020/02/04 11:28:05</t>
  </si>
  <si>
    <t>共享汽车在中国市场已经成为司空见惯的出行方式，也给人们出行带来了更多样化的选择。然而在拉丁美洲，电动车共享车队还是一种新生事物。日前，滴滴出行就通过手机App在墨西哥推出了拉丁美洲第一支电动车共享车队。未来，滴滴还将加大对该地区的技术投资，并深入推进可持续交通创新计划。    早在2018年4月，滴</t>
  </si>
  <si>
    <t>2020/02/04 11:28:00</t>
  </si>
  <si>
    <t>　　共享汽车在中国市场已经成为司空见惯的出行方式，也给人们出行带来了更多样化的选择。然而在拉丁美洲，电动车共享车队还是一种新生事物。日前，滴滴出行就通过手机App在墨西哥推出了拉丁美洲第一支电动车共享车队。未来，滴滴还将加大对该地区的技术投资，并深入推进可持续交通创新计划。　　早在2018年4月，滴</t>
  </si>
  <si>
    <t>日前，我们从官方获得了新款斯柯达昕锐、昕动部分配置信息。新车配置水平符合其定位，其中昕动更是提供外观套件供消费者选择。    我们从细节来看，两款车均配备双炮筒式仪表盘、8英寸液晶显示屏、斑马智行互联系统（支持OTA升级）、支持Apple CarPlay以及Android Auto、倒车影像以及标配</t>
  </si>
  <si>
    <t>2020/02/04 11:26:00</t>
  </si>
  <si>
    <t>　　日前，我们从官方获得了新款斯柯达昕锐、昕动部分配置信息。新车配置水平符合其定位，其中昕动更是提供外观套件供消费者选择。　　我们从细节来看，两款车均配备双炮筒式仪表盘、8英寸液晶显示屏、斑马智行互联系统（支持OTA升级）、支持Apple CarPlay以及Android Auto、倒车影像以及标配</t>
  </si>
  <si>
    <t>　　日前，有海外媒体曝光了一组全新一代大众Transporter（以下简称大众T7）最新路试谍照。新车卸下了部分伪装，可以看到新车在前后灯组以及车窗上的一些设计变化。　　从前脸来看，可以看到新车采用全新的大灯组，并疑似融入LED光源。另外一个比较明显的变化是新车挡风玻璃更加倾斜，有助于降低风阻和风噪</t>
  </si>
  <si>
    <t>2020/02/04 11:23:00</t>
  </si>
  <si>
    <t>日前，有海外媒体曝光了一组全新一代大众Transporter（以下简称大众T7）最新路试谍照。新车卸下了部分伪装，可以看到新车在前后灯组以及车窗上的一些设计变化。    从前脸来看，可以看到新车采用全新的大灯组，并疑似融入LED光源。另外一个比较明显的变化是新车挡风玻璃更加倾斜，有助于降低风阻和风噪</t>
  </si>
  <si>
    <t>　　2017年之时，荷兰、挪威、德国、法国等透露禁止销售燃油车之后，英国也宣布2040年起全面禁售燃油车，以应对伦敦等城市日益恶化的空气污染问题。如今，这一计划又要提前5年。据外媒报道，英国首相约翰逊2月4日宣布，2035年起禁止销售新的汽油和柴油车辆，并将制定2050年净零排放目标。　　相比欧洲其</t>
  </si>
  <si>
    <t>2020/02/04 11:22:00</t>
  </si>
  <si>
    <t>2017年之时，荷兰、挪威、德国、法国等透露禁止销售燃油车之后，英国也宣布2040年起全面禁售燃油车，以应对伦敦等城市日益恶化的空气污染问题。如今，这一计划又要提前5年。据外媒报道，英国首相约翰逊2月4日宣布，2035年起禁止销售新的汽油和柴油车辆，并将制定2050年净零排放目标。    相比欧洲其</t>
  </si>
  <si>
    <t>我是16买的东风风神AX7，买回来不到一个月就出现系统故障，去4S店检测，消除故障灯，过两天故障灯又出来了，反反复复，车都三年多了，故障灯一直都在。</t>
  </si>
  <si>
    <t>2020/02/04 11:21:27</t>
  </si>
  <si>
    <t>　　日前，现代宣布将于2020年2月6日开幕的芝加哥车展发布全新一代现代索纳塔混动版车型。区别于时下流行的插电式混动车型，全新索纳塔混动版将配备传统形式的混合动力系统，同时在车顶增加一块太阳能电池板，以提供部分额外电力。　　全新现代索纳塔混动版的亮点在于其全新的混合动力系统，这套混动系统基于一台2.</t>
  </si>
  <si>
    <t>2020/02/04 11:20:00</t>
  </si>
  <si>
    <t>日前，现代宣布将于2020年2月6日开幕的芝加哥车展发布全新一代现代索纳塔混动版车型。区别于时下流行的插电式混动车型，全新索纳塔混动版将配备传统形式的混合动力系统，同时在车顶增加一块太阳能电池板，以提供部分额外电力。    全新现代索纳塔混动版的亮点在于其全新的混合动力系统，这套混动系统基于一台2.</t>
  </si>
  <si>
    <t>　　日前，我们从外媒获得了一组起亚全新索兰托的无伪装谍照。相比此前的伪装车，此次的照片已经把全新索兰托的外形设计展露无遗。据悉新车将于2月17日在海外正式亮相。　　相比此前曝光的谍照来看，此次路试的全新索兰托已经接近“裸奔”状态，新车采用了全新样式的虎啸式前中网，两侧LED大灯灯组与中网相连，一道镀</t>
  </si>
  <si>
    <t>2020/02/04 11:19:00</t>
  </si>
  <si>
    <t>日前，我们从外媒获得了一组起亚全新索兰托的无伪装谍照。相比此前的伪装车，此次的照片已经把全新索兰托的外形设计展露无遗。据悉新车将于2月17日在海外正式亮相。    相比此前曝光的谍照来看，此次路试的全新索兰托已经接近“裸奔”状态，新车采用了全新样式的虎啸式前中网，两侧LED大灯灯组与中网相连，一道镀</t>
  </si>
  <si>
    <t>投诉编号：【446290】投诉时间：2020-02-0411:19投诉品牌：上汽通用五菱投诉车系：宝骏560投诉车型：2017款1.5TDCT尊享型投诉内容我们在2018年8月7日购买此车，2019年3月10日车辆出现挂挡不走问题，4s店售后经理拖车拖走，说变速箱坏了，在保修期内，换一个，当时我们觉</t>
  </si>
  <si>
    <t>日产骊威汽车变速箱电磁阀故障问题怎样解决，谢谢各位高人的指点。</t>
  </si>
  <si>
    <t>2020/02/04 11:17:03</t>
  </si>
  <si>
    <t>当一百多万的豪车已经无法满足土豪们的时候怎么办？超豪华品牌身先士卒，以生产赛车和运动跑车闻名的兰博基尼、宾利和阿斯顿·马丁品牌陆续推出了Urus、添越和DBX这类SUV车型，无论是品牌实力还是定位格调都绝对符合大佬们的需求。看着对手们纷纷涉足SUV细分市场，同样“激进”的法拉利也坐不住了，据海外汽车</t>
  </si>
  <si>
    <t>2020/02/04 11:13:00</t>
  </si>
  <si>
    <t>　　日前，塔塔汽车集团公布了旗下豪华品牌捷豹路虎的财务数据。2019/20财年第三季度（2019年10月-12月）数据显示，捷豹路虎全球营收64亿英镑（约合人民币584亿元），同比增长2.8%；税前利润达3.18亿英镑（约合人民币29亿元），在2018年同期，当时的财务状况为亏损2.73亿英镑。　　</t>
  </si>
  <si>
    <t xml:space="preserve">日前，塔塔汽车集团公布了旗下豪华品牌捷豹路虎的财务数据。2019/20财年第三季度（2019年10月-12月）数据显示，捷豹路虎全球营收64亿英镑（约合人民币584亿元），同比增长2.8%；税前利润达3.18亿英镑（约合人民币29亿元），在2018年同期，当时的财务状况为亏损2.73亿英镑。    </t>
  </si>
  <si>
    <t>法拉利首款SUV渲染图当一百多万的豪车已经无法满足土豪们的时候怎么办？超豪华品牌身先士卒，以生产赛车和运动跑车闻名的兰博基尼、宾利和阿斯顿·马丁品牌陆续推出了Urus、添越和DBX这类SUV车型，无论是品牌实力还是定位格调都绝对符合大佬们的需求。看着对手们纷纷涉足SUV细分市场，同样“激进”的法拉利</t>
  </si>
  <si>
    <t>2020/02/04 11:12:00</t>
  </si>
  <si>
    <t>近日，有网友在保时捷Tycan的宣传片中，无意发现了全新保时捷911 GT3（代号992） 的身影。（图为视频截图 画质不佳请谅解）从广告片中仅知全新一代911 GT3的侧面轮廓，大尺寸尾翼尤为吸睛，光看侧颜已经极具诱惑力。结合此前路试谍照图来看，全新一代911 GT3的前包围、车头盖、后部引擎盖的</t>
  </si>
  <si>
    <t>全新保时捷911 GT3低调曝光近日，有网友在保时捷Tycan的宣传片中，无意发现了全新保时捷911 GT3（代号992） 的身影。（图为视频截图 画质不佳请谅解）从广告片中仅知全新一代911 GT3的侧面轮廓，大尺寸尾翼尤为吸睛，光看侧颜已经极具诱惑力。结合此前路试谍照图来看，全新一代911 GT</t>
  </si>
  <si>
    <t>这才是真正的马自达马自达在所有汽车品牌中都是十分特立独行的，比如一门心思研发转子发动机，独一份的“魂动”设计，注重操控性而轻视空间等，这一些都让它成为了与整个汽车圈格格不入的先锋分子。日前，网上曝光了全新一代马自达6的技术专利，包括纵置直列6缸发动机、纵置8AT变速箱、后轮驱动等，相比现款马自达6阿</t>
  </si>
  <si>
    <t>启辰1.6L排量跑120转速4000正常吗？谢谢。</t>
  </si>
  <si>
    <t>2020/02/04 11:11:04</t>
  </si>
  <si>
    <t>公升级的超级摩托一直以来都是各大摩托车厂家主力旗舰车型，一般的超跑的排量大多都是在1000cc~1300cc，而排量更大的一些车型还有本田1800cc的金翼以及凯旋2300cc火箭等，近日却是有一款3000cc的超级摩托将上市~这款3000cc的EV8是由来自英国的 Zef Eisenberg用平面</t>
  </si>
  <si>
    <t>2020/02/04 11:11:00</t>
  </si>
  <si>
    <t>在新德里汽车博览会前夕，大众旗下的小型SUV——Taigun正式发布，该车即国内已经上市的上汽大众途铠的海外版车型。新车将基于MQB A0平台打造，计划于2021年正式投产。同时据官方表示，新车将首先在印度市场推出，未来还有可能将其出口到巴西及南美市场。    外观方面，新车车头采用与上汽大众途铠基</t>
  </si>
  <si>
    <t>　　在新德里汽车博览会前夕，大众旗下的小型SUV――Taigun正式发布，该车即国内已经上市的上汽大众途铠的海外版车型。新车将基于MQB A0平台打造，计划于2021年正式投产。同时据官方表示，新车将首先在印度市场推出，未来还有可能将其出口到巴西及南美市场。　　外观方面，新车车头采用与上汽大众途铠基</t>
  </si>
  <si>
    <t>480匹马力 搭载V型8缸新机车即将来袭公升级的超级摩托一直以来都是各大摩托车厂家主力旗舰车型，一般的超跑的排量大多都是在1000cc~1300cc，而排量更大的一些车型还有本田1800cc的金翼以及凯旋2300cc火箭等，近日却是有一款3000cc的超级摩托将上市~这款3000cc的EV8是由来自</t>
  </si>
  <si>
    <t>斯巴鲁（Subaru）正在开发下一代Levorg旅行车，斯巴鲁Levorg STI Sport紧凑级旅行车，预计售价约32,218美元。全新一代斯巴鲁Levorg STI Sport旅行车基于斯巴鲁LEVORG原型车打造，外观采用更加攻击性的外装套件，看起来运动感更强，以匹配STI标识。斯巴鲁LEV</t>
  </si>
  <si>
    <t>2020/02/04 11:10:00</t>
  </si>
  <si>
    <t>全新斯巴鲁Levorg STI Sport旅行车亮相斯巴鲁（Subaru）正在开发下一代Levorg旅行车，斯巴鲁Levorg STI Sport紧凑级旅行车，预计售价约32,218美元。全新一代斯巴鲁Levorg STI Sport旅行车基于斯巴鲁LEVORG原型车打造，外观采用更加攻击性的外装套</t>
  </si>
  <si>
    <t>日前，福特旗下巴西汽车品牌Troller发布了最新车型Troller TX4。这款新车基于第二代Troller T4打造，采用了更加具有越野风格的外观组件和配置，动力上继续搭载来自福特的3.2T直列五缸柴油发动机，配合6AT变速箱、双速分动箱和四驱系统。    相比在售的基础车型Troller T4</t>
  </si>
  <si>
    <t>2020/02/04 11:09:00</t>
  </si>
  <si>
    <t>　　日前，福特旗下巴西汽车品牌Troller发布了最新车型Troller TX4。这款新车基于第二代Troller T4打造，采用了更加具有越野风格的外观组件和配置，动力上继续搭载来自福特的3.2T直列五缸柴油发动机，配合6AT变速箱、双速分动箱和四驱系统。　　相比在售的基础车型Troller T4</t>
  </si>
  <si>
    <t>随着汽车市场的变化，国内的消费者对于MPV这类型的车型有了一定的改观。现在很多消费者不管是用于商务还是家庭，都会选择乘坐比较舒服，空间宽敞，乘坐人数多的MPV。开始意识到，如果家庭成员比较多，MPV相比其他类型的车型要实用很多。因此，在今年会有不少的MPV车型上市，今天车行哥就带打来看看，2020年</t>
  </si>
  <si>
    <t>2020/02/04 11:08:00</t>
  </si>
  <si>
    <t>2020年上市的3款MPV 一款刷新MPV豪华程度随着汽车市场的变化，国内的消费者对于MPV这类型的车型有了一定的改观。现在很多消费者不管是用于商务还是家庭，都会选择乘坐比较舒服，空间宽敞，乘坐人数多的MPV。开始意识到，如果家庭成员比较多，MPV相比其他类型的车型要实用很多。因此，在今年会有不少的</t>
  </si>
  <si>
    <t>虽说现在自主品牌发展速度飞快，很多新车产品接连上市，但中国作为全球最大的汽车销售市场，自然也吸引不少外国品牌前来寻求合作。目前国内合资车市场发展得也很不错，像日系车和德系车等品牌，在华市场都有很高吸引力，销量口碑也很高。目前日系车在国内市场里有很高影响力，像丰田、本田和日产就被誉为“日系三杰”，销量</t>
  </si>
  <si>
    <t>2020/02/04 11:07:00</t>
  </si>
  <si>
    <t>铃木真的崛起了 全新高档7座MPV虽说现在自主品牌发展速度飞快，很多新车产品接连上市，但中国作为全球最大的汽车销售市场，自然也吸引不少外国品牌前来寻求合作。目前国内合资车市场发展得也很不错，像日系车和德系车等品牌，在华市场都有很高吸引力，销量口碑也很高。目前日系车在国内市场里有很高影响力，像丰田、本</t>
  </si>
  <si>
    <t>　　日前，滴滴出行宣布与智能操作系统技术和产品供应商中科创达签署战略合作协议。双方将结合中科创达操作系统技术和滴滴在AI方面的专业知识，为主机厂和Tier 1供应商提供智能汽车操作系统产品服务。　　双方建立合作的出发点是因为他们认为，主机厂和Tier 1供应商对智能操作系统、DMS（驾驶安全检测系统</t>
  </si>
  <si>
    <t>2020/02/04 11:06:00</t>
  </si>
  <si>
    <t>日前，我们从外媒对Jeep高管的专访中获悉，Jeep汽车将在未来专注并大力发展新能源汽车，其中在2021年，自由侠、指南者和牧马人三款插电混动版车型将率先上市，2022年之后，所有Jeep品牌旗下车型都将衍生纯电或插电混动版车型。Jeep新能源系列车型的全新标识“4xe”。尽管Jeep牧马人PHEV</t>
  </si>
  <si>
    <t>开一辆新能源牧马人是什么体验 Jeep表示它将在2021年上市日前，我们从外媒对Jeep高管的专访中获悉，Jeep汽车将在未来专注并大力发展新能源汽车，其中在2021年，自由侠、指南者和牧马人三款插电混动版车型将率先上市，2022年之后，所有Jeep品牌旗下车型都将衍生纯电或插电混动版车型。Jeep</t>
  </si>
  <si>
    <t>日前，滴滴出行宣布与智能操作系统技术和产品供应商中科创达签署战略合作协议。双方将结合中科创达操作系统技术和滴滴在AI方面的专业知识，为主机厂和Tier 1供应商提供智能汽车操作系统产品服务。    双方建立合作的出发点是因为他们认为，主机厂和Tier 1供应商对智能操作系统、DMS（驾驶安全检测系统</t>
  </si>
  <si>
    <t>不少人将车市寒冬归根于SUV市场的下滑，其实在2019年混得最有模有样的就是SUV车型；在不久前关于2019年全新上市的SUV盘点中（文末附链接），我就通过相关数据的搜集，得出SUV市场仍是目前车企重点发力的市场。尤其在年轻消费群体中，大多数年轻人在购车时首选的车型都会是SUV车型；一方面是因为SU</t>
  </si>
  <si>
    <t>2020/02/04 11:05:00</t>
  </si>
  <si>
    <t>这三款车挑起自主小型SUV的大梁 每款都是精品不少人将车市寒冬归根于SUV市场的下滑，其实在2019年混得最有模有样的就是SUV车型；在不久前关于2019年全新上市的SUV盘点中（文末附链接），我就通过相关数据的搜集，得出SUV市场仍是目前车企重点发力的市场。尤其在年轻消费群体中，大多数年轻人在购车</t>
  </si>
  <si>
    <t>　　论奥迪在2019年国内的销售成绩，用平淡来形容更为合适，其中奥迪a4l作为冲量车型其销量在同级别中比较靠前，很大程度归功于优惠后的价格优势。2020年已经到来，开年起始就迎来了全国疫情势必影响经济，这无疑让车市寒冬再加一层厚霜，虽然奥迪在新车型做出了部分改变升级，但站在用户角度看，在未来经济走势</t>
  </si>
  <si>
    <t>2020/02/04 11:04:00</t>
  </si>
  <si>
    <t>2019年3月，特斯拉在位于加州的设计工作室揭开了全新Model Y的面纱，并宣布提供四种车型，最早于2020年秋天开始交付用户。但按照特斯拉过往的历史，Model S、Model X、Model 3都未能如期准时交付。由于激进的产品策略，特斯拉往往需要更长的时间去解决技术和生产问题。所以对于Mod</t>
  </si>
  <si>
    <t>　　随着动力电池报废潮来临，动力电池梯次利用的价值正在被越来越多企业关注挖掘。近日，化工央企中化国际宣布，与宝马集团在新能源动力系统领域进一步开展合作，双方将充分发挥各自优势，在动力电池制造、储能系统研发及退役电池梯次利用等领域展开合作。　　行业专家从企业质保期限、电池循环寿命、车辆使用工况等方面综</t>
  </si>
  <si>
    <t>随着动力电池报废潮来临，动力电池梯次利用的价值正在被越来越多企业关注挖掘。近日，化工央企中化国际宣布，与宝马集团在新能源动力系统领域进一步开展合作，双方将充分发挥各自优势，在动力电池制造、储能系统研发及退役电池梯次利用等领域展开合作。    行业专家从企业质保期限、电池循环寿命、车辆使用工况等方面综</t>
  </si>
  <si>
    <t>续航增加 交付提前 特斯拉Model Y又传利好消息2019年3月，特斯拉在位于加州的设计工作室揭开了全新Model Y的面纱，并宣布提供四种车型，最早于2020年秋天开始交付用户。但按照特斯拉过往的历史，Model S、Model X、Model 3都未能如期准时交付。由于激进的产品策略，特斯拉往</t>
  </si>
  <si>
    <t>　　2020年的春节绝对会成为我们这一代人记忆最深刻的假期，面对来势汹汹的新型肺炎，名正言顺的宅在家里成了最正确的选择。网上铺天盖地都是小伙伴们在家被憋疯的恶搞图片，但这是不是也让你成功攒下了无数红包和还没有来得及花出去的年终奖呢？　　千万不要告诉我，你把这些钱都拿去买双黄连了～～～　　所以为了让你</t>
  </si>
  <si>
    <t>2020/02/04 11:01:00</t>
  </si>
  <si>
    <t>电子手刹和机械手刹谁更安全随着汽车电子技术的发展，如今配备电子手刹的车已经越来越多了，许多车已经用电子手刹替代掉了传统的机械手刹。但很多老司机表示不习惯，用了几十年的机械手刹，一到红绿灯习惯性就挂空挡，拉手刹。而且很多老司机表示信不过电子手刹的稳定性，怕他失灵，觉得还是机械手刹靠谱一点！所以今天测试</t>
  </si>
  <si>
    <t>2020/02/04 10:57:00</t>
  </si>
  <si>
    <t>换轮胎是件大事，不少车主在还轮胎的时候都比较困惑，到底该换什么型号？哪些型号是适合自己的车的？自己换来的轮胎值这个价格吗？由于对这些问题不了解，大家在换胎的时候只能是听修车师傅的，人家说换什么车胎就换什么车胎，说多少钱就是多少钱。如果对方拿一个质量不太好的车胎以很高的价格卖给你，你也只能是吃哑巴亏。</t>
  </si>
  <si>
    <t>随着汽车电子技术的发展，如今配备电子手刹的车已经越来越多了，许多车已经用电子手刹替代掉了传统的机械手刹。但很多老司机表示不习惯，用了几十年的机械手刹，一到红绿灯习惯性就挂空挡，拉手刹。而且很多老司机表示信不过电子手刹的稳定性，怕他失灵，觉得还是机械手刹靠谱一点！所以今天测试结果让你意想不到。首先机械</t>
  </si>
  <si>
    <t>轮胎上的数字分别代表什么 你搞懂了吗换轮胎是件大事，不少车主在还轮胎的时候都比较困惑，到底该换什么型号？哪些型号是适合自己的车的？自己换来的轮胎值这个价格吗？由于对这些问题不了解，大家在换胎的时候只能是听修车师傅的，人家说换什么车胎就换什么车胎，说多少钱就是多少钱。如果对方拿一个质量不太好的车胎以很</t>
  </si>
  <si>
    <t>改装圈里一直受到热议的话题应该是刷ECU了。刷ECU这件事听起来还是挺黑科技的，不少车迷都很热衷于刷刷ECU。那么什么是刷ECU呢？简单来说，类似于我们给手机、电脑进行刷机，来提升手机电脑的性能。汽车的ECU就相当于手机和电脑的主板，它控制着车辆运行的各个方面，可以说是汽车的“中央”。刷ECU就是要</t>
  </si>
  <si>
    <t>2020/02/04 10:56:00</t>
  </si>
  <si>
    <t>刷ECU是什么黑科技 别把车毁了改装圈里一直受到热议的话题应该是刷ECU了。刷ECU这件事听起来还是挺黑科技的，不少车迷都很热衷于刷刷ECU。那么什么是刷ECU呢？简单来说，类似于我们给手机、电脑进行刷机，来提升手机电脑的性能。汽车的ECU就相当于手机和电脑的主板，它控制着车辆运行的各个方面，可以说</t>
  </si>
  <si>
    <t>　　创新BMW X2是一款充满了个性风格的车型，而奥迪Q3在换代后也更加注重个性化和风格化。人们在选车时难免要面临取舍这两款虽然风格截然不同、但售价非常接近的车型，那么究竟谁才是更个性、更有性价比的选择？我们这就来分析一下。　　价格对比：　　创新BMW X2和奥迪Q3的售价区间基本重合，其中奥迪Q3</t>
  </si>
  <si>
    <t>2020/02/04 10:55:00</t>
  </si>
  <si>
    <t>疫情的第一道急救保障 啥是负压救护车如果不是这次新冠病毒的疫情，我可能并没有机会如此迫切的去了解一辆我们大家这辈子都不想坐上的一辆车，那就是救护车。而面对这种高传染性的疾病，我们常见的救护车可能并不能胜任对这类病人的转运以及急救。此时我们就需要了解一种比普通救护车防护等级更高的救护车——负压式救护车</t>
  </si>
  <si>
    <t>如果不是这次新冠病毒的疫情，我可能并没有机会如此迫切的去了解一辆我们大家这辈子都不想坐上的一辆车，那就是救护车。而面对这种高传染性的疾病，我们常见的救护车可能并不能胜任对这类病人的转运以及急救。此时我们就需要了解一种比普通救护车防护等级更高的救护车——负压式救护车。如何理解负压救护车？负压、救护车，</t>
  </si>
  <si>
    <t>当下，消费升级成为国内汽车市场的主旋律，一方面，由于豪车价格下探，消费者有了花更少前拥有豪车的可能；另一方面，中国经济高速发展，收入的增长也刺激了消费者愿意购买豪华车，但对于豪车上经常出现的主动式进气格栅，有些人还是搞不太明白。究竟它有什么用呢？今天就跟大家分析一下。首先现在已经到了冬天最冷的时候，</t>
  </si>
  <si>
    <t>2020/02/04 10:54:00</t>
  </si>
  <si>
    <t>买过车的朋友们都应该知道，交强险是一种国家强制性需要大家购买的汽车保险，大家买了保险之后就会得到一张交强险的标志贴，这个标志贴并不是拿到之后放在家里就可以了，而是要按规定贴到车子的前挡风玻璃上，这样才算是合规的操作。如果汽车上没有张贴交强险标志会受到什么处罚呢？如果丢失了交强险标志的话，会根据不同的</t>
  </si>
  <si>
    <t>近两年汽车圈里关于新能源汽车讨论的比较火热的话题氢能源汽车是其中一个，并且很多国家已经开始布局这一类型汽车的推出，希望可以在以快速的时间抢在别人前面占领市场。那么究竟什么是氢能源汽车？又为什么这么受关注呢？目前是全球汽车行业急需要转型到下一个十年发展的阶段，氢能源汽车这时候变成了大家关注的焦点，在电</t>
  </si>
  <si>
    <t>氢能源汽车为什么受热议 竟然有这么多好处近两年汽车圈里关于新能源汽车讨论的比较火热的话题氢能源汽车是其中一个，并且很多国家已经开始布局这一类型汽车的推出，希望可以在以快速的时间抢在别人前面占领市场。那么究竟什么是氢能源汽车？又为什么这么受关注呢？目前是全球汽车行业急需要转型到下一个十年发展的阶段，氢</t>
  </si>
  <si>
    <t>未张贴交强险标志怎么处罚 遗失能否补办买过车的朋友们都应该知道，交强险是一种国家强制性需要大家购买的汽车保险，大家买了保险之后就会得到一张交强险的标志贴，这个标志贴并不是拿到之后放在家里就可以了，而是要按规定贴到车子的前挡风玻璃上，这样才算是合规的操作。如果汽车上没有张贴交强险标志会受到什么处罚呢？</t>
  </si>
  <si>
    <t>豪车常用的主动式进气格栅究竟有什么用当下，消费升级成为国内汽车市场的主旋律，一方面，由于豪车价格下探，消费者有了花更少前拥有豪车的可能；另一方面，中国经济高速发展，收入的增长也刺激了消费者愿意购买豪华车，但对于豪车上经常出现的主动式进气格栅，有些人还是搞不太明白。究竟它有什么用呢？今天就跟大家分析一</t>
  </si>
  <si>
    <t>SUV现在无疑是国内非常火爆的车型，新年也快到了，就给大家介绍一下这个新年最值得期待的三款SUV，给那些想要在过年期间买车的人一个建议，看看这三款车里有没有你的菜。入围车型：林肯冒险家传祺GS4 coupe捷达VS7。外观对比：首先来看一下林肯冒险家的外观部分，可以看到全新的冒险家采用了家族最新设计</t>
  </si>
  <si>
    <t>2020/02/04 10:53:00</t>
  </si>
  <si>
    <t>新年最值得期待的三款SUV 有你的菜吗SUV现在无疑是国内非常火爆的车型，新年也快到了，就给大家介绍一下这个新年最值得期待的三款SUV，给那些想要在过年期间买车的人一个建议，看看这三款车里有没有你的菜。入围车型：林肯冒险家传祺GS4 coupe捷达VS7。外观对比：首先来看一下林肯冒险家的外观部分，</t>
  </si>
  <si>
    <t>近日，我们从外媒获悉，特斯拉首席执行官埃隆.马斯克（elon musk）在公布2019年第四季度业绩报告之后的电话会议上透露，特斯拉model s在未来会采用特斯拉model 3所使用的新款电池，并表示model s的续航里程很快会达到约400英里。    目前，特斯拉model s和model x</t>
  </si>
  <si>
    <t>　　近日，我们从外媒获悉，特斯拉首席执行官埃隆.马斯克（elon musk）在公布2019年第四季度业绩报告之后的电话会议上透露，特斯拉model s在未来会采用特斯拉model 3所使用的新款电池，并表示model s的续航里程很快会达到约400英里。　　目前，特斯拉model s和model x</t>
  </si>
  <si>
    <t>大家在买车的时候，比较关心的一个问题就是车的变速箱的类型的问题。现在为了满足不同的消费者的需求，车的变速箱也分为手动、自动、手自一体、无极变速和双离合变速。就连不懂车的人也知道，自动变速省心省力，比较适合新手。有一些“老司机”更偏爱手动变速，觉得驾驶感比较好。在这几种变速箱类型中，很多人不喜欢的就是</t>
  </si>
  <si>
    <t>2020/02/04 10:52:00</t>
  </si>
  <si>
    <t>别让爱车受染 你可以这样给内饰消毒目前现在正在疫情严重的时期，如何控制住疫情是全民都在关注的事情。很多人都只注重家里消毒，但是忽视了爱车消毒。如果常常使用车辆的话，车子的消毒也是十分关键的问题。每天进进出出车子，车内的内饰其实是最脏的。有的车主没有什么经验，认为只要刷刷车就可以了。但其实要想达到理想</t>
  </si>
  <si>
    <t>这么多车用双离合 但为什么总有人不喜欢大家在买车的时候，比较关心的一个问题就是车的变速箱的类型的问题。现在为了满足不同的消费者的需求，车的变速箱也分为手动、自动、手自一体、无极变速和双离合变速。就连不懂车的人也知道，自动变速省心省力，比较适合新手。有一些“老司机”更偏爱手动变速，觉得驾驶感比较好。在</t>
  </si>
  <si>
    <t>目前现在正在疫情严重的时期，如何控制住疫情是全民都在关注的事情。很多人都只注重家里消毒，但是忽视了爱车消毒。如果常常使用车辆的话，车子的消毒也是十分关键的问题。每天进进出出车子，车内的内饰其实是最脏的。有的车主没有什么经验，认为只要刷刷车就可以了。但其实要想达到理想的消毒效果，大家需要从下面这些方法</t>
  </si>
  <si>
    <t>近日，我们从外媒获悉一组全新宝马m440i xdrive的渲染图。此次渲染图中最为显眼的，无疑就是新车型尺寸超大的纵向贯通式双肾格栅。之前，宝马设计总监domagoj dukec对此表示：“新的双肾格栅还不是宝马的一项战略决策，这是一种如何让汽车能够自信地延续下去的思路和方法。这就是我们的工作方式，</t>
  </si>
  <si>
    <t>2020/02/04 10:51:00</t>
  </si>
  <si>
    <t>　　近日，我们从外媒获悉一组全新宝马m440i xdrive的渲染图。此次渲染图中最为显眼的，无疑就是新车型尺寸超大的纵向贯通式双肾格栅。之前，宝马设计总监domagoj dukec对此表示：“新的双肾格栅还不是宝马的一项战略决策，这是一种如何让汽车能够自信地延续下去的思路和方法。这就是我们的工作方</t>
  </si>
  <si>
    <t>　　紧凑级suv一直以来在国内都是各品牌的兵家必争之地，旺盛的市场需求也带来了大量新车迭代。而作为国内合资品牌第一梯队的本田和大众，则分别基于自家的“双车战略”推出广汽本田皓影和上汽大众途岳，这两款车目前在同级可谓非常热门，前者16.98万-25.28万元与后者16.58万-22.38万元的价格也十</t>
  </si>
  <si>
    <t>2020/02/04 10:49:00</t>
  </si>
  <si>
    <t>2020/02/04 10:46:16</t>
  </si>
  <si>
    <t>投诉编号：【446283】
投诉时间： 2020-02-04 09:50
投诉品牌： 奇瑞汽车
投诉车系： 艾瑞泽5
投诉车型： 2018款 1.5L CVT 致敬青春版</t>
  </si>
  <si>
    <t>近日，国外媒体发布了2021款起亚seltos官图，虽然这是一款相对简单的suv，但却为消费者提供了丰富配置。    标准版起亚seltos的配置包括18英寸的轮毂、兼容apple carplay的8.0英寸触摸屏。动力方面，新车搭载2.0l自然吸气发动机，最大功率可达146马力，峰值扭矩132牛米</t>
  </si>
  <si>
    <t>2020/02/04 10:46:00</t>
  </si>
  <si>
    <t>　　近日，国外媒体发布了2021款起亚seltos官图，虽然这是一款相对简单的suv，但却为消费者提供了丰富配置。　　标准版起亚seltos的配置包括18英寸的轮毂、兼容apple carplay的8.0英寸触摸屏。动力方面，新车搭载2.0l自然吸气发动机，最大功率可达146马力，峰值扭矩132牛米</t>
  </si>
  <si>
    <t>究竟还有多少“血统纯正的美系车”，是个值得讨论的问题，以普遍眼光来看，纯正的美式风情总是令北美以外的市场不太容易接受。然而，如今的各大美国汽车品牌依旧在市场上混的风生水起，就连“前卫的代表”——特斯拉，也还是要依靠美国人来缔造。“美式”的前世今生可能是个无限大的话题，而今天，我们就把目光聚焦到那些重</t>
  </si>
  <si>
    <t>2020/02/04 10:44:00</t>
  </si>
  <si>
    <t>　　究竟还有多少“血统纯正的美系车”，是个值得讨论的问题，以普遍眼光来看，纯正的美式风情总是令北美以外的市场不太容易接受。然而，如今的各大美国汽车品牌依旧在市场上混的风生水起，就连“前卫的代表”――特斯拉，也还是要依靠美国人来缔造。“美式”的前世今生可能是个无限大的话题，而今天，我们就把目光聚焦到那</t>
  </si>
  <si>
    <t>　　据彭博社报道，丰田汽车公司旗下豪华车品牌雷克萨斯2019年在全球的销量实现了两位数的销售增长，其中中国和欧洲市场强劲增长，抵消了北美市场需求停滞的影响。　　丰田在一份声明中称，去年雷克萨斯品牌在全球销量增长10%，至765，330辆，这主要得益于其ux超小型跨界车和rx运动型多用途车（suv）的</t>
  </si>
  <si>
    <t>2020/02/04 10:41:00</t>
  </si>
  <si>
    <t>据彭博社报道，丰田汽车公司旗下豪华车品牌雷克萨斯2019年在全球的销量实现了两位数的销售增长，其中中国和欧洲市场强劲增长，抵消了北美市场需求停滞的影响。    丰田在一份声明中称，去年雷克萨斯品牌在全球销量增长10%，至765，330辆，这主要得益于其ux超小型跨界车和rx运动型多用途车（suv）的</t>
  </si>
  <si>
    <t>　　据美国汽车新闻网报道，林肯汽车残值率超过德国三大豪华品牌abb，成为美国汽车历史的重要里程碑，这一切源自于林肯持续耐心的产品策略以及在销售与市场运营中注入更多的分析手段。　　考克斯汽车公司（coxautomotive，美国领先汽车生态公司，在华拥有易车、精真估等控股品牌）的数据表明，2020年1</t>
  </si>
  <si>
    <t>2020/02/04 10:40:00</t>
  </si>
  <si>
    <t>据美国汽车新闻网报道，林肯汽车残值率超过德国三大豪华品牌abb，成为美国汽车历史的重要里程碑，这一切源自于林肯持续耐心的产品策略以及在销售与市场运营中注入更多的分析手段。    考克斯汽车公司（coxautomotive，美国领先汽车生态公司，在华拥有易车、精真估等控股品牌）的数据表明，2020年1</t>
  </si>
  <si>
    <t>　　据autocar报道，梅赛德斯-奔驰已经敲定了全新的产品计划，计划在2022年底前推出32款全新车型。　　奔驰高层官员证实，这项范围广泛的新车型计划的主要内容包括替换现有的c级、s级和sl车型。　　根据这些计划，全新sl将回归其根源，在20多年来首次采用传统的面料引擎盖，于2021年初作为全新的</t>
  </si>
  <si>
    <t>2020/02/04 10:38:00</t>
  </si>
  <si>
    <t>据autocar报道，梅赛德斯-奔驰已经敲定了全新的产品计划，计划在2022年底前推出32款全新车型。    奔驰高层官员证实，这项范围广泛的新车型计划的主要内容包括替换现有的c级、s级和sl车型。    根据这些计划，全新sl将回归其根源，在20多年来首次采用传统的面料引擎盖，于2021年初作为全</t>
  </si>
  <si>
    <t>　　由于近期疫情影响，人来疯的圆圆姐也过上了足不出户的生活。好不容易有了这么长的“假期生活”，圆圆姐又再次重温了速度与激情等多部电影，对于影片内众多“真香预警”再次舔屏。但是今天圆圆姐想跟大家聊的绝对不是那些国内买不到的“激情之王”，在我们身边也有很多绝对能称得上是性能车的代表之作，首当其冲的就是热</t>
  </si>
  <si>
    <t>2020/02/04 10:37:00</t>
  </si>
  <si>
    <t>　　在b级豪华车市场中，始终进行着“你死我活”的较量，让宝马3系、奔驰c级和奥迪a4l成为了很多人心中绕不开的选项，因此，与其说它们三者是激烈争斗的敌人，倒不如说是形影不离的朋友。那么对于众多消费者而言，现阶段该如何在这场老朋友之间的“相爱相杀”中进行选择呢？一起来看看。　　宝马3系　　宝马3系全系</t>
  </si>
  <si>
    <t>2020/02/04 10:34:00</t>
  </si>
  <si>
    <t>自奇瑞推出1.6tgdi发动机以后，三代发动机的规划就初见端倪，在1.6tgdi发动机的基础上，还将衍生出1.5tgdi、及排量更大的2.0tgdi发动机。这其中1.5t发动机将与混动版车型挂靠，而2.0t则完全照顾到消费者对于强劲动力的需求。近日2.0tgdi发动机的样机实拍图曝光，预计已经进入道</t>
  </si>
  <si>
    <t>2020/02/04 10:32:00</t>
  </si>
  <si>
    <t>　　自奇瑞推出1.6tgdi发动机以后，三代发动机的规划就初见端倪，在1.6tgdi发动机的基础上，还将衍生出1.5tgdi、及排量更大的2.0tgdi发动机。这其中1.5t发动机将与混动版车型挂靠，而2.0t则完全照顾到消费者对于强劲动力的需求。近日2.0tgdi发动机的样机实拍图曝光，预计已经进</t>
  </si>
  <si>
    <t>广汽本田在2019年销量成功突破77万辆，并逆势实现4%的正增长。进入2020年，广汽本田制定了不低于5%的增长目标，除了现有车型不断发力外，还需要更多新产品加入。我们通过梳理后发现，广汽本田在2020年至少推出新款冠道（中期改款）、凌派混动版以及全新飞度三款重点新车。其中，全新飞度是本田粉丝非常期</t>
  </si>
  <si>
    <t>2020/02/04 10:30:00</t>
  </si>
  <si>
    <t>　　广汽本田在2019年销量成功突破77万辆，并逆势实现4%的正增长。进入2020年，广汽本田制定了不低于5%的增长目标，除了现有车型不断发力外，还需要更多新产品加入。我们通过梳理后发现，广汽本田在2020年至少推出新款冠道（中期改款）、凌派混动版以及全新飞度三款重点新车。其中，全新飞度是本田粉丝非</t>
  </si>
  <si>
    <t>lc是雷克萨斯旗下的一款跑车，新车于2018年以进口形式正式引入到国内市场开售，并与宝马m8、奔驰amg gt、玛莎拉蒂gt等同级别车型展开竞争。近日雷克萨斯在海外市场上市了新款lc 500h车型，新车起售价1.96千万卢比（约190万人民币）。新车尺寸方面，长宽高分别为4,770×1,920×13</t>
  </si>
  <si>
    <t>2020/02/04 10:28:00</t>
  </si>
  <si>
    <t>　　lc是雷克萨斯旗下的一款跑车，新车于2018年以进口形式正式引入到国内市场开售，并与宝马m8、奔驰amg gt、玛莎拉蒂gt等同级别车型展开竞争。近日雷克萨斯在海外市场上市了新款lc 500h车型，新车起售价1.96千万卢比（约190万人民币）。新车尺寸方面，长宽高分别为4,770×1,920×</t>
  </si>
  <si>
    <t>目前阿尔法·罗密欧已在华推出了giulia与stelvio两款车型，而其中giulia也受到了国内诸多性能车迷们的关注，但高昂的维修费用也让更多潜在消费者们望而却步。目前阿尔法·罗密欧tonale官图已正式发布，据海外媒体猜测，新车预计将于今年3月开幕的日内瓦车展上正式亮相。    外观方面，新车前</t>
  </si>
  <si>
    <t>2020/02/04 10:26:00</t>
  </si>
  <si>
    <t>　　目前阿尔法・罗密欧已在华推出了giulia与stelvio两款车型，而其中giulia也受到了国内诸多性能车迷们的关注，但高昂的维修费用也让更多潜在消费者们望而却步。目前阿尔法・罗密欧tonale官图已正式发布，据海外媒体猜测，新车预计将于今年3月开幕的日内瓦车展上正式亮相。　　外观方面，新车前</t>
  </si>
  <si>
    <t>面对疫情的发生，不管是对汽车行业还是各行各业都有着不同程度的影响，不过广大车企并没有自暴自弃，他们一边纷纷以实际行动给“一线战士”送去粮草弹药，一边积极制定应对之策，面对计划要上市的新车有些车企择了延迟上市，有些选择了线上上市，据了解长城风骏5国六版本就即将采用线上上市的方式。    根据此前我们从</t>
  </si>
  <si>
    <t>2020/02/04 10:25:00</t>
  </si>
  <si>
    <t>　　面对疫情的发生，不管是对汽车行业还是各行各业都有着不同程度的影响，不过广大车企并没有自暴自弃，他们一边纷纷以实际行动给“一线战士”送去粮草弹药，一边积极制定应对之策，面对计划要上市的新车有些车企择了延迟上市，有些选择了线上上市，据了解长城风骏5国六版本就即将采用线上上市的方式。　　根据此前我们从</t>
  </si>
  <si>
    <t>　　冬天是对电动车最不有好的季节，更何况赶上疫情爆发的大环境，大部分电动车主都已经好几天没有开车了，于是就考虑自己的车是不是应该尽快保养了。今天我们就来说说电动车保养的那些事儿~　　对于新能源汽车来说，尽管其不依靠发动机作为动力输出，但有着动力传动部件也是需要进行保养的，根据新能源汽车而言在常规的保</t>
  </si>
  <si>
    <t>2020/02/04 10:22:00</t>
  </si>
  <si>
    <t>冬天是对电动车最不有好的季节，更何况赶上疫情爆发的大环境，大部分电动车主都已经好几天没有开车了，于是就考虑自己的车是不是应该尽快保养了。今天我们就来说说电动车保养的那些事儿~    对于新能源汽车来说，尽管其不依靠发动机作为动力输出，但有着动力传动部件也是需要进行保养的，根据新能源汽车而言在常规的保</t>
  </si>
  <si>
    <t>　　疫情期间政府鼓励大家减少外出活动，少去人员密集的场所，所以绝大部分朋友都选择在家宅着。可是宅了一个多礼拜，有不少人开始憋不住了，想出门活动一下，便想起了一直没有开的爱车。小编在这里给大家提个醒，这几点养车误区可千万要注意了！　　过度洗车打蜡　　在使用的过程中，车漆确实要呵护好，不然就会出现氧化的</t>
  </si>
  <si>
    <t>2020/02/04 10:21:00</t>
  </si>
  <si>
    <t>疫情期间政府鼓励大家减少外出活动，少去人员密集的场所，所以绝大部分朋友都选择在家宅着。可是宅了一个多礼拜，有不少人开始憋不住了，想出门活动一下，便想起了一直没有开的爱车。小编在这里给大家提个醒，这几点养车误区可千万要注意了！    过度洗车打蜡    在使用的过程中，车漆确实要呵护好，不然就会出现氧</t>
  </si>
  <si>
    <t xml:space="preserve">经过2019年下半年的逆势反攻后，东风风光将在2020年释放更多具有市场竞争力的新产品。我们从东风风光官方获悉：公司计划于今年推出5款新车（乘用车型），其中轿跑suv风光ix5将增搭2.0t动力，以满足对动力有更高要求的消费者。     东风风光s560 2020款     主要竞品：宝骏530  </t>
  </si>
  <si>
    <t>2020/02/04 10:16:00</t>
  </si>
  <si>
    <t>　　经过2019年下半年的逆势反攻后，东风风光将在2020年释放更多具有市场竞争力的新产品。我们从东风风光官方获悉：公司计划于今年推出5款新车（乘用车型），其中轿跑suv风光ix5将增搭2.0t动力，以满足对动力有更高要求的消费者。　　 东风风光s560 2020款　　 主要竞品：宝骏530　　目前</t>
  </si>
  <si>
    <t>2019年，吉利汽车累计销量达到1,361,560辆，超额完成全年136万辆销量目标，市场占有率稳步增长。2020年，吉利汽车继续保持“战略定力”，将销量目标提升至141万辆。在此目标下，吉利将继续扩大产品矩阵，单吉利品牌就将推出icon、豪越和一款全新中型轿车。其中中型suv豪越在车身尺寸方面领先</t>
  </si>
  <si>
    <t>2020/02/04 10:15:00</t>
  </si>
  <si>
    <t>　　2019年，吉利汽车累计销量达到1,361,560辆，超额完成全年136万辆销量目标，市场占有率稳步增长。2020年，吉利汽车继续保持“战略定力”，将销量目标提升至141万辆。在此目标下，吉利将继续扩大产品矩阵，单吉利品牌就将推出icon、豪越和一款全新中型轿车。其中中型suv豪越在车身尺寸方面</t>
  </si>
  <si>
    <t>作为豪华中大型轿车市场中的姣姣者，奔驰e级于2005年在华国产上市开售，很快便在国内中收到了广泛关注，同时其市场销量也要领先于同级宝马5系、奥迪a6l等车型。近日海外媒体曝光了一组全新奔驰e级工厂实拍图片，新车将于下月开幕的日内瓦车展上正式发布。    动力方面，新车将继续沿用现款1.5t轻混版以及</t>
  </si>
  <si>
    <t>2020/02/04 10:13:00</t>
  </si>
  <si>
    <t>　　作为豪华中大型轿车市场中的姣姣者，奔驰e级于2005年在华国产上市开售，很快便在国内中收到了广泛关注，同时其市场销量也要领先于同级宝马5系、奥迪a6l等车型。近日海外媒体曝光了一组全新奔驰e级工厂实拍图片，新车将于下月开幕的日内瓦车展上正式发布。　　动力方面，新车将继续沿用现款1.5t轻混版以及</t>
  </si>
  <si>
    <t xml:space="preserve">gv80是现代高端子品牌捷尼赛思推出的一款中大型suv，并与奔驰gle、宝马x5、奥迪q7共同隶属于豪华品牌车型，新车已于今年年初在韩国本土正式亮相，而捷尼赛思也已国内商标局进行注册，未来该款车型也有望在华国产开售。近日海外媒体曝光了一组捷尼赛思gv80实拍图片，并将于今年年内陆续销往全球市场中。 </t>
  </si>
  <si>
    <t>2020/02/04 10:10:00</t>
  </si>
  <si>
    <t>　　gv80是现代高端子品牌捷尼赛思推出的一款中大型suv，并与奔驰gle、宝马x5、奥迪q7共同隶属于豪华品牌车型，新车已于今年年初在韩国本土正式亮相，而捷尼赛思也已国内商标局进行注册，未来该款车型也有望在华国产开售。近日海外媒体曝光了一组捷尼赛思gv80实拍图片，并将于今年年内陆续销往全球市场中</t>
  </si>
  <si>
    <t>我们在选购电动车的时候，厂家都会标注官方nedc续航，但nedc数值是我们平时真实可用的续航里程吗？换句话说，我们可以直接参考这个数值安排我们的出行吗？今天小编就来给大家说说nedc是怎么回事~    nedc全名叫做“new european driving cycle” 翻译成中文就是“新欧洲驾</t>
  </si>
  <si>
    <t>2020/02/04 10:08:00</t>
  </si>
  <si>
    <t>　　我们在选购电动车的时候，厂家都会标注官方nedc续航，但nedc数值是我们平时真实可用的续航里程吗？换句话说，我们可以直接参考这个数值安排我们的出行吗？今天小编就来给大家说说nedc是怎么回事~　　nedc全名叫做“new european driving cycle” 翻译成中文就是“新欧洲驾</t>
  </si>
  <si>
    <t>发现神行是路虎旗下的一款中型suv，并提供7座布局，于2015年实现了国产。在2019年的广州车展上中期改款车型正式发布，更名为发现运动版。今年1月1日新车启动了预售，预售价格为35.98-45.98万元，并将于2月21日正式上市。我们从捷豹路虎官方了解到：新车的上市并不会受到新冠状肺炎疫情的影响，</t>
  </si>
  <si>
    <t>2020/02/04 10:06:00</t>
  </si>
  <si>
    <t>　　发现神行是路虎旗下的一款中型suv，并提供7座布局，于2015年实现了国产。在2019年的广州车展上中期改款车型正式发布，更名为发现运动版。今年1月1日新车启动了预售，预售价格为35.98-45.98万元，并将于2月21日正式上市。我们从捷豹路虎官方了解到：新车的上市并不会受到新冠状肺炎疫情的影</t>
  </si>
  <si>
    <t>提及克莱斯勒大捷龙相比大家对它并不陌生，该款车型为品牌旗下的一款mpv车型，一直以进口形式引入国内市场销售，其市场反响不亚于别克gl8、本田奥德赛、丰田埃尔法等车型。近日海外媒体曝光了一组克莱斯克全新大捷龙路试谍照图，新车预计将于今年年内正式亮相。    动力方面，新车将搭载一台3.6l v6自然吸</t>
  </si>
  <si>
    <t>2020/02/04 10:05:00</t>
  </si>
  <si>
    <t>　　提及克莱斯勒大捷龙相比大家对它并不陌生，该款车型为品牌旗下的一款mpv车型，一直以进口形式引入国内市场销售，其市场反响不亚于别克gl8、本田奥德赛、丰田埃尔法等车型。近日海外媒体曝光了一组克莱斯克全新大捷龙路试谍照图，新车预计将于今年年内正式亮相。　　动力方面，新车将搭载一台3.6l v6自然吸</t>
  </si>
  <si>
    <t>作为大众旗下的一款经典车型，旗下高尔夫于2004年正式在华国产开售，很快便在国内市场收到了诸多年轻消费群体以及改装车迷们的热捧，而今年其纯电版车型也已在在华实现国产。近日海外媒体曝光了一组大众全新高尔夫r-line车型实拍图片，其全新一代车型也已在海外市场陆续开售。    动力方面，新车将搭载1.5</t>
  </si>
  <si>
    <t>2020/02/04 10:04:00</t>
  </si>
  <si>
    <t>　　作为大众旗下的一款经典车型，旗下高尔夫于2004年正式在华国产开售，很快便在国内市场收到了诸多年轻消费群体以及改装车迷们的热捧，而今年其纯电版车型也已在在华实现国产。近日海外媒体曝光了一组大众全新高尔夫r-line车型实拍图片，其全新一代车型也已在海外市场陆续开售。　　动力方面，新车将搭载1.5</t>
  </si>
  <si>
    <t>提及欧蓝德想必大家对它都不陌生，该款车型为三菱旗下的一款紧凑级suv车型，于2016年正式在华国产开售，凭借着“2047战略”（20万 4驱 7座）畅销于国内紧凑级suv市场。近日海外媒体曝光了三菱全新欧蓝德车型渲染图，新车预计将于今年4月纽约车展上正式亮相。    动力方面，新车将搭载一台1.5t</t>
  </si>
  <si>
    <t>2020/02/04 10:02:00</t>
  </si>
  <si>
    <t>　　提及欧蓝德想必大家对它都不陌生，该款车型为三菱旗下的一款紧凑级suv车型，于2016年正式在华国产开售，凭借着“2047战略”（20万 4驱 7座）畅销于国内紧凑级suv市场。近日海外媒体曝光了三菱全新欧蓝德车型渲染图，新车预计将于今年4月纽约车展上正式亮相。　　动力方面，新车将搭载一台1.5t</t>
  </si>
  <si>
    <t>一汽丰田目前在售奕泽、rav4以及普拉多三款suv，涵盖小型、紧凑型以及中大型suv市场。但普拉多由于排放原因，会在今年中旬停产，rav4即将成为一汽丰田旗下最大的suv，中型以上细分市场将没有产品在售。一汽丰田汽车销售有限公司总经理田青久曾表示，一汽丰田将规划b级suv（中型）实现产品族群化。从丰</t>
  </si>
  <si>
    <t>2020/02/04 10:01:00</t>
  </si>
  <si>
    <t>　　一汽丰田目前在售奕泽、rav4以及普拉多三款suv，涵盖小型、紧凑型以及中大型suv市场。但普拉多由于排放原因，会在今年中旬停产，rav4即将成为一汽丰田旗下最大的suv，中型以上细分市场将没有产品在售。一汽丰田汽车销售有限公司总经理田青久曾表示，一汽丰田将规划b级suv（中型）实现产品族群化。</t>
  </si>
  <si>
    <t xml:space="preserve">目前梅赛德斯-奔驰已推出了旗下首款纯电suv车型eqc，该款车型已于今年在华正式上市开售。而而eqa、eqb、eqe、eqs及eqv五款纯电动车型，已在国内商标局进行了信息注册，未来均有望在华实现国产。近日据海外媒体曝光，奔驰全新eqs预计将于今年年内正式亮相，并与全新s级同于明年正式上市开售。  </t>
  </si>
  <si>
    <t>2020/02/04 09:59:00</t>
  </si>
  <si>
    <t>　　目前梅赛德斯-奔驰已推出了旗下首款纯电suv车型eqc，该款车型已于今年在华正式上市开售。而而eqa、eqb、eqe、eqs及eqv五款纯电动车型，已在国内商标局进行了信息注册，未来均有望在华实现国产。近日据海外媒体曝光，奔驰全新eqs预计将于今年年内正式亮相，并与全新s级同于明年正式上市开售。</t>
  </si>
  <si>
    <t>新型冠状肺炎疫情仍在蔓延，为了更好的防控疫情，全国已有29省（市区）发布了延迟复工和学校开学相关通知。广汽菲克推出延保、免费道路救援、免费上门取送车等多项服务，为广大车主在疫情期间提供保障。    1、即日起至3月底，jeep品牌经销商将向参与到湖北省抗击“新冠疫情”的医务工作者提供免费上门取送车服</t>
  </si>
  <si>
    <t>2020/02/04 09:58:00</t>
  </si>
  <si>
    <t>　　新型冠状肺炎疫情仍在蔓延，为了更好的防控疫情，全国已有29省（市区）发布了延迟复工和学校开学相关通知。广汽菲克推出延保、免费道路救援、免费上门取送车等多项服务，为广大车主在疫情期间提供保障。　　1、即日起至3月底，jeep品牌经销商将向参与到湖北省抗击“新冠疫情”的医务工作者提供免费上门取送车服</t>
  </si>
  <si>
    <t>翼豹是斯巴鲁旗下的一款紧凑型轿车，与日产轩逸、大众朗逸、丰田卡罗拉等车同级别。翼豹车型在1992年诞生并后续引入国内市场，受到国内斯巴鲁车迷的喜爱，而遗憾的是在2014年时退出国内市场，仅在海外销售，而国内的高性能wrx sti车型也必须依赖进口形式销售。近日海外媒体曝光了斯巴鲁新款翼豹部分信息，新</t>
  </si>
  <si>
    <t>2020/02/04 09:56:00</t>
  </si>
  <si>
    <t>　　翼豹是斯巴鲁旗下的一款紧凑型轿车，与日产轩逸、大众朗逸、丰田卡罗拉等车同级别。翼豹车型在1992年诞生并后续引入国内市场，受到国内斯巴鲁车迷的喜爱，而遗憾的是在2014年时退出国内市场，仅在海外销售，而国内的高性能wrx sti车型也必须依赖进口形式销售。近日海外媒体曝光了斯巴鲁新款翼豹部分信息</t>
  </si>
  <si>
    <t>taycan是保时捷旗下的一款中大型纯电轿车，新车于2019年正式在华上市开售，并推出了4s、turbo以及turbo s三款车型供消费者选择。近日据海外媒体曝光，新车将开启独家定制计划，并对taycan车型推出了90种特殊选件的清单，而提供的配置选项均在常规车型配置之外。    据悉，90多项选装</t>
  </si>
  <si>
    <t>2020/02/04 09:55:00</t>
  </si>
  <si>
    <t>　　taycan是保时捷旗下的一款中大型纯电轿车，新车于2019年正式在华上市开售，并推出了4s、turbo以及turbo s三款车型供消费者选择。近日据海外媒体曝光，新车将开启独家定制计划，并对taycan车型推出了90种特殊选件的清单，而提供的配置选项均在常规车型配置之外。　　据悉，90多项选装</t>
  </si>
  <si>
    <t>　　levorg是斯巴鲁旗下的一款中型轿车，与本田雅阁、大众帕萨特、丰田凯美瑞等车同级别。levorg首款量产车型在2015年首次亮相，其第二代车型和levorgsti运动原型车，分别在之前的东京车展和东京改装车展上展出。近日海外媒体曝光了斯巴鲁全新一代levorg车型部分信息，新车计划今年10月份</t>
  </si>
  <si>
    <t>2020/02/04 09:53:00</t>
  </si>
  <si>
    <t>levorg是斯巴鲁旗下的一款中型轿车，与本田雅阁、大众帕萨特、丰田凯美瑞等车同级别。levorg首款量产车型在2015年首次亮相，其第二代车型和levorgsti运动原型车，分别在之前的东京车展和东京改装车展上展出。近日海外媒体曝光了斯巴鲁全新一代levorg车型部分信息，新车计划今年10月份在日</t>
  </si>
  <si>
    <t>　　在2006年雷克萨斯es车型便引入国内市场，迄今已有14年时间，作为一款豪华中大型轿车，在国内市场与奥迪a6l、宝马5系、奔驰e级等同级别车型展开竞争。近日雷克萨斯在海外上市了新款es车型，新车海外起售价519万卢比（约50.3万人民币）。此外，新车还对首度加入apple carplay以及an</t>
  </si>
  <si>
    <t>2020/02/04 09:52:00</t>
  </si>
  <si>
    <t>在2006年雷克萨斯es车型便引入国内市场，迄今已有14年时间，作为一款豪华中大型轿车，在国内市场与奥迪a6l、宝马5系、奔驰e级等同级别车型展开竞争。近日雷克萨斯在海外上市了新款es车型，新车海外起售价519万卢比（约50.3万人民币）。此外，新车还对首度加入apple carplay以及andr</t>
  </si>
  <si>
    <t>　　沃尔沃xc40是品牌旗下的一款紧凑级suv，该款车型曾在前期以进口形式引入国内市场销售，而亚太版车型也已在后期上市开售。近日海外媒体曝光了沃尔沃xc40 t2版车型新车售价，新车共计推出10款车型，海外市场起售价格为30,950欧元（约为24万人民币），并已在西班牙市场上市开售。　　动力方面，新</t>
  </si>
  <si>
    <t>2020/02/04 09:51:00</t>
  </si>
  <si>
    <t>沃尔沃xc40是品牌旗下的一款紧凑级suv，该款车型曾在前期以进口形式引入国内市场销售，而亚太版车型也已在后期上市开售。近日海外媒体曝光了沃尔沃xc40 t2版车型新车售价，新车共计推出10款车型，海外市场起售价格为30,950欧元（约为24万人民币），并已在西班牙市场上市开售。    动力方面，新</t>
  </si>
  <si>
    <t>投诉编号：【446285】  投诉时间： 2020-02-04 09:51  投诉品牌： 广汽乘用车  投诉车系： 传祺GA6  投诉车型： 2015款 1.6T 手动 精英版        投诉内容  ?15年购车，于18年6月21晚上，正常行驶中，突然熄火，方向盘锁死，刹车锁死。三年内的车，行驶</t>
  </si>
  <si>
    <t>　　卫士（defender）是路虎旗下的一款中型suv，与宝马x3、奥迪q5l、奔驰glc等车同级别，与同级别车型相比路虎卫士设计更偏向越野方面，深受越野车迷的喜爱。为满足不同用户的需求，同时丰富越野车型产品，路虎未来将推出入门版卫士车型。近日海外媒体曝光了一组路虎baby defender车型渲染</t>
  </si>
  <si>
    <t>2020/02/04 09:50:00</t>
  </si>
  <si>
    <t>卫士（defender）是路虎旗下的一款中型suv，与宝马x3、奥迪q5l、奔驰glc等车同级别，与同级别车型相比路虎卫士设计更偏向越野方面，深受越野车迷的喜爱。为满足不同用户的需求，同时丰富越野车型产品，路虎未来将推出入门版卫士车型。近日海外媒体曝光了一组路虎baby defender车型渲染图，</t>
  </si>
  <si>
    <t>　　近日海外媒体曝光了斯柯达旗下柯米克与scala两款新车售价，其中柯米克车型起售价为23,305英镑（约为22万人民币），而scala车型起售价为22,680英镑（约为21万人民币），并已在英国市场开启预定，且将于今年春季正式交付。待新车正式上市后，也将继续与本田缤智、大众朗逸等车型展开竞争。　　</t>
  </si>
  <si>
    <t>2020/02/04 09:49:00</t>
  </si>
  <si>
    <t xml:space="preserve">近日海外媒体曝光了斯柯达旗下柯米克与scala两款新车售价，其中柯米克车型起售价为23,305英镑（约为22万人民币），而scala车型起售价为22,680英镑（约为21万人民币），并已在英国市场开启预定，且将于今年春季正式交付。待新车正式上市后，也将继续与本田缤智、大众朗逸等车型展开竞争。    </t>
  </si>
  <si>
    <t>投诉编号：【446282】  投诉时间： 2020-02-04 09:49  投诉品牌： 东风雷诺  投诉车系： 科雷嘉  投诉车型： 2016款 2.0L 两驱领先版        投诉内容  车子自从17年购买，左前门放音乐。像捅破了一张窗户纸一样。杂音很大。在4s店维修了十多次。更换了左前门内</t>
  </si>
  <si>
    <t>　　近日据外媒报道，上汽名爵旗下的纯电动小型suv――ezs纯电动在印度市场一经推出即受到热捧，仅仅27天获得了超过2800台的订单，也创下了当地市场的多项纪录，目前该车型在当地已停止接受预订。　　凭借超高的人气，ezs纯电动也成为印度市场首个在还未公布车型售价就关闭预订通道的车型，并且超过2800</t>
  </si>
  <si>
    <t>2020/02/04 09:47:00</t>
  </si>
  <si>
    <t>近日据外媒报道，上汽名爵旗下的纯电动小型suv——ezs纯电动在印度市场一经推出即受到热捧，仅仅27天获得了超过2800台的订单，也创下了当地市场的多项纪录，目前该车型在当地已停止接受预订。    凭借超高的人气，ezs纯电动也成为印度市场首个在还未公布车型售价就关闭预订通道的车型，并且超过2800</t>
  </si>
  <si>
    <t>日前，我们从相关渠道获得了一组奥迪a8l phev车型在国内的路试谍照，其外观及内饰整体维持现款车型的设计风格，仅是在车身两侧分别加入油箱盖以及充电口。同时，随着该谍照的曝光，也将预示它或将进入中国市场。    通过此次拍摄到的无伪谍照来看，新车整体延续了现款车型的设计风格，仅是在其左右后轮上方加入</t>
  </si>
  <si>
    <t>2020/02/04 09:45:00</t>
  </si>
  <si>
    <t>　　日前，我们从相关渠道获得了一组奥迪a8l phev车型在国内的路试谍照，其外观及内饰整体维持现款车型的设计风格，仅是在车身两侧分别加入油箱盖以及充电口。同时，随着该谍照的曝光，也将预示它或将进入中国市场。　　通过此次拍摄到的无伪谍照来看，新车整体延续了现款车型的设计风格，仅是在其左右后轮上方加入</t>
  </si>
  <si>
    <t>投诉编号：【446281】  投诉时间： 2020-02-04 09:44  投诉品牌： 东风雪铁龙  投诉车系： 雪铁龙C4L  投诉车型： 2013款 1.8L 自动 劲享版        投诉内容  东风雪铁龙C4L方向盘松动影响驾驶，方向盘松动，影响驾驶，长途驾驶风险很高。希望厂家可以安排工</t>
  </si>
  <si>
    <t>2020/02/04 09:44:00</t>
  </si>
  <si>
    <t>我们从相关渠道获取到了新宝骏rs-7(参数|询价)车型的内饰谍照。此前我们已经曝光了这款新车的申报信息，其轴距达2900mm，定位于一款6座/7座中大型suv。动力上则搭载一台最大功率177马力的1.5t发动机。『新宝骏rs-7内饰谍照』    此次曝光的谍照比较完整地展示了新宝骏rs-7的内饰设计</t>
  </si>
  <si>
    <t>　　我们从相关渠道获取到了新宝骏rs-7(参数|询价)车型的内饰谍照。此前我们已经曝光了这款新车的申报信息，其轴距达2900mm，定位于一款6座/7座中大型suv。动力上则搭载一台最大功率177马力的1.5t发动机。『新宝骏rs-7内饰谍照』　　此次曝光的谍照比较完整地展示了新宝骏rs-7的内饰设计</t>
  </si>
  <si>
    <t>　　近日，安波福公布2019年全年财务报告。公司全年的营业额为144亿美元（约合999亿元人民币），同比下降1%，全年净收入为9.9亿美元（约合69亿元人民币），同比下降7%。　　事实上，德尔福于2017年拆分为安波福和德尔福科技两家公司，其中，安波福致力于安全系统及自动驾驶车载软件等新技术，德尔福</t>
  </si>
  <si>
    <t>2020/02/04 09:41:00</t>
  </si>
  <si>
    <t>近日，安波福公布2019年全年财务报告。公司全年的营业额为144亿美元（约合999亿元人民币），同比下降1%，全年净收入为9.9亿美元（约合69亿元人民币），同比下降7%。    事实上，德尔福于2017年拆分为安波福和德尔福科技两家公司，其中，安波福致力于安全系统及自动驾驶车载软件等新技术，德尔福</t>
  </si>
  <si>
    <t>　　随着电动车的日益普及，不仅仅是车企，各家汽车零部件企业也开始纷纷押注电动车，一方面紧跟汽车行业的发展潮流，另一方面也希望借助电动车提升公司收益。日前，零部件企业日本电产就推出了未来五年规划，其中提到公司将专注于研发电动车动力系统以及并购电机技术领域的专业公司。日本电产希望在未来五年内，将公司收益</t>
  </si>
  <si>
    <t>2020/02/04 09:40:00</t>
  </si>
  <si>
    <t>随着电动车的日益普及，不仅仅是车企，各家汽车零部件企业也开始纷纷押注电动车，一方面紧跟汽车行业的发展潮流，另一方面也希望借助电动车提升公司收益。日前，零部件企业日本电产就推出了未来五年规划，其中提到公司将专注于研发电动车动力系统以及并购电机技术领域的专业公司。日本电产希望在未来五年内，将公司收益提高</t>
  </si>
  <si>
    <t>　　近日据外媒报道，荷兰埃因霍温科技大学正在研发一款以生物基复合材料和海洋塑料垃圾为主要材质的全新纯电动概念车，该车型被命名为luca。　　luca的底盘采用“三明治”结构，并由复合材料制成，表层为亚麻材质，内层则由涤纶树脂组成，具备高耐耗性和轻量化的优势；而车体框架则与以色列初创公司ubq合作开发</t>
  </si>
  <si>
    <t>2020/02/04 09:39:00</t>
  </si>
  <si>
    <t>近日据外媒报道，荷兰埃因霍温科技大学正在研发一款以生物基复合材料和海洋塑料垃圾为主要材质的全新纯电动概念车，该车型被命名为luca。    luca的底盘采用“三明治”结构，并由复合材料制成，表层为亚麻材质，内层则由涤纶树脂组成，具备高耐耗性和轻量化的优势；而车体框架则与以色列初创公司ubq合作开发</t>
  </si>
  <si>
    <t>　　中国最大的综合性零部件集团完成了一次股权交易。2月2日晚间，华域汽车系统股份有限公司（简称“华域汽车”）发布公告，旗下全资子公司延锋汽车饰件系统有限公司（简称“延锋公司”）拟出资3.79亿美元（约合人民币26亿元），收购adient interior hong kong limited（简称“安</t>
  </si>
  <si>
    <t>2020/02/04 09:38:00</t>
  </si>
  <si>
    <t>中国最大的综合性零部件集团完成了一次股权交易。2月2日晚间，华域汽车系统股份有限公司（简称“华域汽车”）发布公告，旗下全资子公司延锋汽车饰件系统有限公司（简称“延锋公司”）拟出资3.79亿美元（约合人民币26亿元），收购adient interior hong kong limited（简称“安道拓</t>
  </si>
  <si>
    <t>　　日前据外媒报道，psa集团将与法国电池制造商saft（帅福得）公司联合建立两个汽车动力电池工厂。两者将共计投资50亿欧元建立一家合资企业，名称为automotive cell company（acc），公司股权最初为50:50，而随后将有psa集团所控制。消息表示，到2030年，两家工厂的电池年</t>
  </si>
  <si>
    <t>2020/02/04 09:36:00</t>
  </si>
  <si>
    <t>日前据外媒报道，psa集团将与法国电池制造商saft（帅福得）公司联合建立两个汽车动力电池工厂。两者将共计投资50亿欧元建立一家合资企业，名称为automotive cell company（acc），公司股权最初为50:50，而随后将有psa集团所控制。消息表示，到2030年，两家工厂的电池年总产</t>
  </si>
  <si>
    <t>　　日前，日产发布了欧规版纳瓦拉的off-roader at32越野版车型。在标准版纳瓦拉基础上，新车增加了包括全地形轮胎、涉水喉等配件在内的越野套装和全铝底盘护板等，同时采用了专属涂装。据悉，新车将于2020年2月起在欧洲市场上市。　　纳瓦拉off-roader at32由日产官方与著名的越野车改</t>
  </si>
  <si>
    <t>2020/02/04 09:35:00</t>
  </si>
  <si>
    <t>日前，日产发布了欧规版纳瓦拉的off-roader at32越野版车型。在标准版纳瓦拉基础上，新车增加了包括全地形轮胎、涉水喉等配件在内的越野套装和全铝底盘护板等，同时采用了专属涂装。据悉，新车将于2020年2月起在欧洲市场上市。    纳瓦拉off-roader at32由日产官方与著名的越野车改</t>
  </si>
  <si>
    <t>有海外媒体报道奔驰新gla phev、cla phev以及新款e级phev车型将于3月份开幕的2020日内瓦车展中首发。三款车型均搭载eq power系统，进一步丰富奔驰新能源产品阵容。    新gla phev    北京时间2019年12月11日晚，梅赛德斯-奔驰发布了全新一代gla。新车相比现</t>
  </si>
  <si>
    <t>2020/02/04 09:33:00</t>
  </si>
  <si>
    <t>　　有海外媒体报道奔驰新gla phev、cla phev以及新款e级phev车型将于3月份开幕的2020日内瓦车展中首发。三款车型均搭载eq power系统，进一步丰富奔驰新能源产品阵容。　　新gla phev　　北京时间2019年12月11日晚，梅赛德斯-奔驰发布了全新一代gla。新车相比现款车</t>
  </si>
  <si>
    <t>2020/02/04 09:32:51</t>
  </si>
  <si>
    <t>投诉编号：【446279】
投诉时间： 2020-02-04 09:10
投诉品牌： 上汽大众
投诉车系： 途观L
投诉车型： 2017款 330TSI 两驱 豪华版</t>
  </si>
  <si>
    <t>实现汽车产业零排放，一直是各个国家车企孜孜不倦追求的目标，欧盟、中国、美国等全球众多国家纷纷加强了针对机动车污染和温室气体排放的管控力度。日前，英国就推出了一款电动车租赁平台ufodrive，将在整个伦敦市内提供100辆零排放车辆（电动车）供用户出行使用。    目前，ufodrive租赁服务可供用</t>
  </si>
  <si>
    <t>2020/02/04 09:32:00</t>
  </si>
  <si>
    <t>　　实现汽车产业零排放，一直是各个国家车企孜孜不倦追求的目标，欧盟、中国、美国等全球众多国家纷纷加强了针对机动车污染和温室气体排放的管控力度。日前，英国就推出了一款电动车租赁平台ufodrive，将在整个伦敦市内提供100辆零排放车辆（电动车）供用户出行使用。　　目前，ufodrive租赁服务可供用</t>
  </si>
  <si>
    <t>2月3日，理想汽车发布公告称，受疫情影响，原计划预计交付时间为2、3月份的理想one用户将受到延迟，但官方会努力将延期交付时间控制在一个月以内。而已生产完但未交付的车辆，官方将于2月10日起根据各地区复工安排陆续开启交付。    以下为理想汽车公告全文：    尊敬的理想one预定车主，根据全国及各</t>
  </si>
  <si>
    <t>2020/02/04 09:30:00</t>
  </si>
  <si>
    <t>　　2月3日，理想汽车发布公告称，受疫情影响，原计划预计交付时间为2、3月份的理想one用户将受到延迟，但官方会努力将延期交付时间控制在一个月以内。而已生产完但未交付的车辆，官方将于2月10日起根据各地区复工安排陆续开启交付。　　 以下为理想汽车公告全文：　　尊敬的理想one预定车主，根据全国及各地</t>
  </si>
  <si>
    <t>2020/02/04 09:29:29</t>
  </si>
  <si>
    <t>投诉编号：【446277】
投诉时间： 2020-02-04 08:19
投诉品牌： 广汽本田
投诉车系： 飞度
投诉车型： 2014款 1.5L CVT SE时尚型</t>
  </si>
  <si>
    <t>丰田正式踏足动力电池领域。2月3日，丰田汽车宣布将与松下成立一家合资公司，专门生产电动车所使用的动力电池。    合资公司名称为“泰星能源解决方案有限公司”，该公司拟定2020年4月1日成立，总部设在日本东京都。其中丰田汽车持股51%，松下持股49%，员工人数约5100人（含中国子公司2400人）。</t>
  </si>
  <si>
    <t>2020/02/04 09:28:00</t>
  </si>
  <si>
    <t>　　丰田正式踏足动力电池领域。2月3日，丰田汽车宣布将与松下成立一家合资公司，专门生产电动车所使用的动力电池。　　合资公司名称为“泰星能源解决方案有限公司”，该公司拟定2020年4月1日成立，总部设在日本东京都。其中丰田汽车持股51%，松下持股49%，员工人数约5100人（含中国子公司2400人）。</t>
  </si>
  <si>
    <t>　　为有效防控疫情，江苏省出台了一系列交通、车管政策，其中包括部分高速口关闭、部分客运暂停等。　　1、部分高速口关闭：　　江苏省高速公路联网运营管理中心获悉，全路网因配合地方政府开展防疫检疫工作，临时对相关收费站采取管制措施32起，关闭收费站总数165个。以下为关闭的高速口：　　g2京沪高速八桥、江</t>
  </si>
  <si>
    <t>2020/02/04 09:27:00</t>
  </si>
  <si>
    <t>为有效防控疫情，江苏省出台了一系列交通、车管政策，其中包括部分高速口关闭、部分客运暂停等。    1、部分高速口关闭：    江苏省高速公路联网运营管理中心获悉，全路网因配合地方政府开展防疫检疫工作，临时对相关收费站采取管制措施32起，关闭收费站总数165个。以下为关闭的高速口：    g2京沪高速</t>
  </si>
  <si>
    <t>　　为有效防控疫情，浙江省出台了一系列交通、车管政策，其中包括部分高速口关闭、部分客运暂停等。　　 1、部分高速口封闭：　　1月29日起，浙江省多地疫情防控指挥部发布通告，临时关闭部分高速出口：　　 温州市：　　g15沈海高速蒲岐、七都、萧江出口；　　g1513温丽高速桥头出口；　　g1523甬莞高</t>
  </si>
  <si>
    <t>2020/02/04 09:26:00</t>
  </si>
  <si>
    <t xml:space="preserve">为有效防控疫情，浙江省出台了一系列交通、车管政策，其中包括部分高速口关闭、部分客运暂停等。     1、部分高速口封闭：    1月29日起，浙江省多地疫情防控指挥部发布通告，临时关闭部分高速出口：     温州市：    g15沈海高速蒲岐、七都、萧江出口；    g1513温丽高速桥头出口；  </t>
  </si>
  <si>
    <t>　　尽管面临来自诸如名爵ezs、雷诺 e诺等一众强劲对手的挑战，但比亚迪元ev依然可以说是小型纯电动suv细分市场的标杆车型之一，凭借较出色的续航能力和丰富的配置，这款小车着实获得了不少消费者的青睐。今天我们就来看看这款人气小车的养车成本究竟几何。　　结语：尽管比亚迪元ev的常规检查工时费相比同级车</t>
  </si>
  <si>
    <t>2020/02/04 09:25:00</t>
  </si>
  <si>
    <t>尽管面临来自诸如名爵ezs、雷诺 e诺等一众强劲对手的挑战，但比亚迪元ev依然可以说是小型纯电动suv细分市场的标杆车型之一，凭借较出色的续航能力和丰富的配置，这款小车着实获得了不少消费者的青睐。今天我们就来看看这款人气小车的养车成本究竟几何。</t>
  </si>
  <si>
    <t>　　雷诺官方发布了新款梅甘娜的官图，新车外观设计调整，配置提升，增加了插电式混动版本，300马力的1.8t发动机进一步下放。『梅甘娜两厢版和旅行版』　　此次发布的是第四代梅甘娜的中期改款版本，它在老款基础上针对前后包围、格栅细节等多处都进行了调整。新车的配置进一步提升，led灯组成为标配，相比上一代</t>
  </si>
  <si>
    <t>2020/02/04 09:22:00</t>
  </si>
  <si>
    <t>雷诺官方发布了新款梅甘娜的官图，新车外观设计调整，配置提升，增加了插电式混动版本，300马力的1.8t发动机进一步下放。『梅甘娜两厢版和旅行版』    此次发布的是第四代梅甘娜的中期改款版本，它在老款基础上针对前后包围、格栅细节等多处都进行了调整。新车的配置进一步提升，led灯组成为标配，相比上一代</t>
  </si>
  <si>
    <t>　　两年前，长安汽车在北京工厂内展示了两款概念车――极流（轿车）和御岳（suv），在当时，它们被看作未来长安全新家族化设计语言的雏形，而现在，我们到“未来”了，长安发布了uni-t，一款不太家族化的产品。　　当今，无论是欧美还是日韩的汽车企业依旧在走家族化的设计道路，像宝马的“双肾”、奥迪的“大嘴”</t>
  </si>
  <si>
    <t>2020/02/04 09:20:00</t>
  </si>
  <si>
    <t>两年前，长安汽车在北京工厂内展示了两款概念车——极流（轿车）和御岳（suv），在当时，它们被看作未来长安全新家族化设计语言的雏形，而现在，我们到“未来”了，长安发布了uni-t，一款不太家族化的产品。    当今，无论是欧美还是日韩的汽车企业依旧在走家族化的设计道路，像宝马的“双肾”、奥迪的“大嘴”</t>
  </si>
  <si>
    <t>　　从2019年12月8日，官方通报首例不明原因肺炎患者发病，到1月9日专家确定病原体为新型冠状病毒，再到今天，已经过去近两个月的时间。在这两个月的时间里，全国人民一起经历了一场没有硝烟的战争，默契的隔离使大街小巷呈现出与以往春节假期不同的清净景象。　　截至2月3日下午2点，全国累计报告确诊病例17</t>
  </si>
  <si>
    <t>2020/02/04 09:17:00</t>
  </si>
  <si>
    <t>从2019年12月8日，官方通报首例不明原因肺炎患者发病，到1月9日专家确定病原体为新型冠状病毒，再到今天，已经过去近两个月的时间。在这两个月的时间里，全国人民一起经历了一场没有硝烟的战争，默契的隔离使大街小巷呈现出与以往春节假期不同的清净景象。    截至2月3日下午2点，全国累计报告确诊病例17</t>
  </si>
  <si>
    <t>　　随着新型冠状病毒确诊人数的不断增加，疫情防控工作也在日益升级。眼看着今年春节返程高峰即将到来，高密度的人口流动势必将带来更大的交叉感染隐患。当严重疫情遇上了春节返程，出行之路上该如何保护好自己和家人，回家后又该如何做好清洗和消毒工作，今天我们特别整理了一期用车小知识，希望能够在这个特殊的时期给予</t>
  </si>
  <si>
    <t>黄正桥黄正桥张��</t>
  </si>
  <si>
    <t>2020/02/04 09:16:00</t>
  </si>
  <si>
    <t>随着新型冠状病毒确诊人数的不断增加，疫情防控工作也在日益升级。眼看着今年春节返程高峰即将到来，高密度的人口流动势必将带来更大的交叉感染隐患。当严重疫情遇上了春节返程，出行之路上该如何保护好自己和家人，回家后又该如何做好清洗和消毒工作，今天我们特别整理了一期用车小知识，希望能够在这个特殊的时期给予大家</t>
  </si>
  <si>
    <t>　　仅仅因为赴德国培训之前曾短暂停留武汉，一位伟巴斯特的员工就无意中将新型冠状病毒传染给了同事们。截至发稿前夕，伟巴斯特已有7名员工罹患新型冠状病毒肺炎（5位德国人和2位中国人）。目前，该公司已将其位于德国斯多克道夫的工厂暂时关闭。　　海外受此次疫情影响还是小范围，而国内是全面性的。伟巴斯特也只是众</t>
  </si>
  <si>
    <t>2020/02/04 09:14:00</t>
  </si>
  <si>
    <t>仅仅因为赴德国培训之前曾短暂停留武汉，一位伟巴斯特的员工就无意中将新型冠状病毒传染给了同事们。截至发稿前夕，伟巴斯特已有7名员工罹患新型冠状病毒肺炎（5位德国人和2位中国人）。目前，该公司已将其位于德国斯多克道夫的工厂暂时关闭。    海外受此次疫情影响还是小范围，而国内是全面性的。伟巴斯特也只是众</t>
  </si>
  <si>
    <t>　　随着越来越多的车企推出电动化战略，新款电动车也开始层出不穷。日前，起亚汽车就准备打造一款纯电动车型，预计2021年上市。这也是起亚汽车全球战略“s计划”中的重要一环。根据战略内容，到2025年起亚汽车将发布11款电动车型。　　据悉，起亚于2019年在日内瓦车展上曾展示了这款电动概念车imagin</t>
  </si>
  <si>
    <t>2020/02/04 09:13:00</t>
  </si>
  <si>
    <t>随着越来越多的车企推出电动化战略，新款电动车也开始层出不穷。日前，起亚汽车就准备打造一款纯电动车型，预计2021年上市。这也是起亚汽车全球战略“s计划”中的重要一环。根据战略内容，到2025年起亚汽车将发布11款电动车型。    据悉，起亚于2019年在日内瓦车展上曾展示了这款电动概念车imagin</t>
  </si>
  <si>
    <t>随着政策对皮卡市场的逐渐解禁，皮卡乘用化趋势也逐渐显现，2019年由长安汽车与psa集团合作打造的凯程f70正式上市。日前，我们从相关渠道获悉，长安凯程f70将推出长轴版车型，长安凯程f70长轴版的外观与凯程f70保持一致，针对轴距进行加长，更加凸显皮卡的优势。     看了以下要点，本文算读完一半</t>
  </si>
  <si>
    <t>2020/02/04 09:11:00</t>
  </si>
  <si>
    <t>　　随着政策对皮卡市场的逐渐解禁，皮卡乘用化趋势也逐渐显现，2019年由长安汽车与psa集团合作打造的凯程f70正式上市。日前，我们从相关渠道获悉，长安凯程f70将推出长轴版车型，长安凯程f70长轴版的外观与凯程f70保持一致，针对轴距进行加长，更加凸显皮卡的优势。　　 看了以下要点，本文算读完一半</t>
  </si>
  <si>
    <t>投诉编号：【446278】  投诉时间： 2020-02-04 09:09  投诉品牌： 上汽集团  投诉车系： 荣威RX3  投诉车型： 2018款 1.6L 手动 旗舰版        投诉内容  上汽荣威RX3发动机抖动！一加油就抖动！去年处理了两三次也没有解决，发动机抖动！加不去油来！现在都</t>
  </si>
  <si>
    <t>2020/02/04 09:09:00</t>
  </si>
  <si>
    <t>在奥地利日前举行的gp ice race赛事上，纯电动高尔夫r概念车（内部命名为er1）正式亮相。这款概念车基于上一代高尔夫r车型打造，搭载电动四驱系统，主要专注于赛事使用，不会应用在量产车型上。    从外形来看，这款概念车主要基于上一代高尔夫r车型打造，但由于其赛车的本性，所以针对外观多处细节进</t>
  </si>
  <si>
    <t>　　在奥地利日前举行的gp ice race赛事上，纯电动高尔夫r概念车（内部命名为er1）正式亮相。这款概念车基于上一代高尔夫r车型打造，搭载电动四驱系统，主要专注于赛事使用，不会应用在量产车型上。　　从外形来看，这款概念车主要基于上一代高尔夫r车型打造，但由于其赛车的本性，所以针对外观多处细节进</t>
  </si>
  <si>
    <t>受新型冠状病毒感染肺炎疫情的持续影响，交通运输部2月2日发布公告称，为深入贯彻落实中央应对新型冠状病毒感染肺炎疫情工作领导小组会议精神，扎实做好错峰返程和疫情防控工作，经国务院同意，将2020年春节假期收费公路免收小型客车通行费截止时间延长至2020年2月8日24时。    各省级交通运输主管部门要</t>
  </si>
  <si>
    <t>2020/02/04 09:08:00</t>
  </si>
  <si>
    <t>　　受新型冠状病毒感染肺炎疫情的持续影响，交通运输部2月2日发布公告称，为深入贯彻落实中央应对新型冠状病毒感染肺炎疫情工作领导小组会议精神，扎实做好错峰返程和疫情防控工作，经国务院同意，将2020年春节假期收费公路免收小型客车通行费截止时间延长至2020年2月8日24时。　　各省级交通运输主管部门要</t>
  </si>
  <si>
    <t>近日我们从沃尔沃汽车官方获悉，面对新型冠状病毒肺炎疫情的严峻形势，为减轻经销商伙伴的压力，沃尔沃汽车启动了包括不设2月销售目标、直接为经销商员工发放人员补贴、诸多业务项目专项支持等多项经销商关怀政策。    新冠状病毒不仅带来了巨大的健康威胁，并给短期的经济形势造成了冲击。疫情对车市影响也逐渐显现，</t>
  </si>
  <si>
    <t>2020/02/04 09:06:00</t>
  </si>
  <si>
    <t>　　近日我们从沃尔沃汽车官方获悉，面对新型冠状病毒肺炎疫情的严峻形势，为减轻经销商伙伴的压力，沃尔沃汽车启动了包括不设2月销售目标、直接为经销商员工发放人员补贴、诸多业务项目专项支持等多项经销商关怀政策。　　新冠状病毒不仅带来了巨大的健康威胁，并给短期的经济形势造成了冲击。疫情对车市影响也逐渐显现，</t>
  </si>
  <si>
    <t>beijing汽车日前宣布，为了防御新型冠状病毒肺炎疫情的扩散，将联合东方时尚驾驶学校股份有限公司（以下简称东方时尚）共同开发vr沉浸式驾驶培训座舱和智能驾驶培训系统，并于近期向东方时尚投放首批4000台beijing-eu300纯电动智能驾培车，全部用于一对一智能驾培。    那么，vr沉浸式驾驶</t>
  </si>
  <si>
    <t>2020/02/04 09:04:00</t>
  </si>
  <si>
    <t>　　beijing汽车日前宣布，为了防御新型冠状病毒肺炎疫情的扩散，将联合东方时尚驾驶学校股份有限公司（以下简称东方时尚）共同开发vr沉浸式驾驶培训座舱和智能驾驶培训系统，并于近期向东方时尚投放首批4000台beijing-eu300纯电动智能驾培车，全部用于一对一智能驾培。　　那么，vr沉浸式驾驶</t>
  </si>
  <si>
    <t xml:space="preserve">目前，新型冠状病毒感染肺炎疫情正在蔓延，我国正处在防控疫情的严峻斗争中。为驰援一线抗击疫情，日前，中国汽车技术研究中心有限公司（“中汽中心”）召开党委会，决定向湖北省捐款500万元，以实际行动贯彻落实党中央和国务院国资委党委关于疫情防控的决策部署，投身疫情防控阻击战，履行中央企业的社会责任。    </t>
  </si>
  <si>
    <t>2020/02/04 09:03:00</t>
  </si>
  <si>
    <t>　　目前，新型冠状病毒感染肺炎疫情正在蔓延，我国正处在防控疫情的严峻斗争中。为驰援一线抗击疫情，日前，中国汽车技术研究中心有限公司（“中汽中心”）召开党委会，决定向湖北省捐款500万元，以实际行动贯彻落实党中央和国务院国资委党委关于疫情防控的决策部署，投身疫情防控阻击战，履行中央企业的社会责任。　　</t>
  </si>
  <si>
    <t>　　新型冠状病毒感染肺炎疫情的防控与救治工作，牵动着每一个国人的心，在大家众志成城，抗击疫情的同时，长城汽车已经向湖北省慈善总会捐赠500万元人民币，该笔款项用于支援武汉、黄冈、潜江等十余个城市购买急需的疫情防控物资，以及防控指挥部统一调配使用。2月3日，长城汽车决定将10辆总价值115万元的长城炮</t>
  </si>
  <si>
    <t>2020/02/04 09:02:00</t>
  </si>
  <si>
    <t>新型冠状病毒感染肺炎疫情的防控与救治工作，牵动着每一个国人的心，在大家众志成城，抗击疫情的同时，长城汽车已经向湖北省慈善总会捐赠500万元人民币，该笔款项用于支援武汉、黄冈、潜江等十余个城市购买急需的疫情防控物资，以及防控指挥部统一调配使用。2月3日，长城汽车决定将10辆总价值115万元的长城炮皮卡</t>
  </si>
  <si>
    <t>　　面对新型冠状病毒感染的肺炎疫情，社会各界纷纷伸出了援助之手，这里不乏汽车企业的身影。日前，丰田汽车公司与丰田汽车（中国）投资有限公司携手一汽丰田汽车有限公司和广汽丰田汽车有限公司，通过中国红十字基金会等机构捐助资金1000万元，用于购买医疗用品，支援武汉等地区抗击新型冠状病毒肺炎疫情。　　对于此</t>
  </si>
  <si>
    <t>2020/02/04 09:01:00</t>
  </si>
  <si>
    <t>面对新型冠状病毒感染的肺炎疫情，社会各界纷纷伸出了援助之手，这里不乏汽车企业的身影。日前，丰田汽车公司与丰田汽车（中国）投资有限公司携手一汽丰田汽车有限公司和广汽丰田汽车有限公司，通过中国红十字基金会等机构捐助资金1000万元，用于购买医疗用品，支援武汉等地区抗击新型冠状病毒肺炎疫情。    对于此</t>
  </si>
  <si>
    <t>　　面对新型冠状病毒感染的肺炎疫情，社会各界纷纷伸出了援助之手，这里不乏汽车企业的身影。比亚迪股份有限公司于1月28日通过比亚迪慈善基金会向湖北省慈善总会捐赠爱心资金人民币1000万元，用于支持防控新型冠状病毒感染肺炎疫情。此次捐赠资金主要用于为湖北省采购防疫物资，支持湖北省开展疫情防控工作，帮扶在</t>
  </si>
  <si>
    <t>2020/02/04 09:00:00</t>
  </si>
  <si>
    <t>面对新型冠状病毒感染的肺炎疫情，社会各界纷纷伸出了援助之手，这里不乏汽车企业的身影。比亚迪股份有限公司于1月28日通过比亚迪慈善基金会向湖北省慈善总会捐赠爱心资金人民币1000万元，用于支持防控新型冠状病毒感染肺炎疫情。此次捐赠资金主要用于为湖北省采购防疫物资，支持湖北省开展疫情防控工作，帮扶在疫情</t>
  </si>
  <si>
    <t>　　为有效防控疫情，上海市公安局交警总队发布公告称，加强新型冠状病毒感染的肺炎疫情防控工作，将从2020年1月31日起，暂停组织机动车驾驶人考试及“两个教育”。详细内容请见下文。　　一、机动车驾驶人考试包括初学（增驾）驾驶人科目一、科目二、科目三及科目三安全文明常识考试的各科目考试，满分驾驶人各科目</t>
  </si>
  <si>
    <t>2020/02/04 08:59:00</t>
  </si>
  <si>
    <t>　　面对新型冠状病毒感染的肺炎疫情，社会各界纷纷伸出了援助之手，这里不乏汽车企业的身影。其中大众汽车集团（中国）携手合资企业，共同捐资1.2亿元人民币，用于支持新型冠状病毒的相关防治工作。捐款将主要用于湖北及其他疫情严重的省市地区购置防护用品、医疗器械、医药等物资，并支持相关疫情防控及抗击工作。该款</t>
  </si>
  <si>
    <t>为有效防控疫情，上海市公安局交警总队发布公告称，加强新型冠状病毒感染的肺炎疫情防控工作，将从2020年1月31日起，暂停组织机动车驾驶人考试及“两个教育”。详细内容请见下文。    一、机动车驾驶人考试包括初学（增驾）驾驶人科目一、科目二、科目三及科目三安全文明常识考试的各科目考试，满分驾驶人各科目</t>
  </si>
  <si>
    <t>面对新型冠状病毒感染的肺炎疫情，社会各界纷纷伸出了援助之手，这里不乏汽车企业的身影。其中大众汽车集团（中国）携手合资企业，共同捐资1.2亿元人民币，用于支持新型冠状病毒的相关防治工作。捐款将主要用于湖北及其他疫情严重的省市地区购置防护用品、医疗器械、医药等物资，并支持相关疫情防控及抗击工作。该款项由</t>
  </si>
  <si>
    <t>　　东风悦达起亚官方日前宣布，为了积极配合国家疫情防控部署，决议将旗下4s店延长至2020年2月10日复工。同时，考虑到在疫情防护期间消费者的购车及售后需求，东风悦达起亚还提出多项关怀政策。　　据东风悦达起亚官方表示，虽然决议将旗下4s店延长至2020年2月10日复工，但同步启动了线上vr看车和网络</t>
  </si>
  <si>
    <t>2020/02/04 08:58:00</t>
  </si>
  <si>
    <t>东风悦达起亚官方日前宣布，为了积极配合国家疫情防控部署，决议将旗下4s店延长至2020年2月10日复工。同时，考虑到在疫情防护期间消费者的购车及售后需求，东风悦达起亚还提出多项关怀政策。    据东风悦达起亚官方表示，虽然决议将旗下4s店延长至2020年2月10日复工，但同步启动了线上vr看车和网络</t>
  </si>
  <si>
    <t>尽管前段时间大众因为一些原因已经多少失去了一些支持者，但是对于多数消费者来说，大众依旧是购车时候的首选，在消费者有20多万元预算的时候，很多人会第一时间考虑大众车型。但是大众旗下车型很多，有不少消费者也会在轿车和SUV车型当中犹豫，我们今天就来聊聊在迈腾和探岳这两台车当中应该如何选择。在轿车和SUV</t>
  </si>
  <si>
    <t>2020/02/04 08:45:00</t>
  </si>
  <si>
    <t>迈腾和探岳 选轿车还是SUV尽管前段时间大众因为一些原因已经多少失去了一些支持者，但是对于多数消费者来说，大众依旧是购车时候的首选，在消费者有20多万元预算的时候，很多人会第一时间考虑大众车型。但是大众旗下车型很多，有不少消费者也会在轿车和SUV车型当中犹豫，我们今天就来聊聊在迈腾和探岳这两台车当中</t>
  </si>
  <si>
    <t>2020/02/04 08:43:27</t>
  </si>
  <si>
    <t>投诉编号：【446276】
投诉时间： 2020-02-04 07:45
投诉品牌： 广汽本田
投诉车系： 雅阁
投诉车型： 2018款 260TURBO 精英版 国VI</t>
  </si>
  <si>
    <t>30万左右的预算想买一台豪华品牌的车型，该怎么选呢？相信这是一个困扰很多消费者的问题。随着豪华品牌产品售价门槛的降低，购买豪华品牌的车型也开始让人眼花缭乱。以下，我们将带来三款热门豪华紧凑型SUV的导购。凯迪拉克XT4指导价：25.97-39.17万元在多数消费的豪华品牌选购清单之中，BBA这三大品</t>
  </si>
  <si>
    <t>2020/02/04 08:43:00</t>
  </si>
  <si>
    <t>节后购车 三款豪华紧凑型SUV导购30万左右的预算想买一台豪华品牌的车型，该怎么选呢？相信这是一个困扰很多消费者的问题。随着豪华品牌产品售价门槛的降低，购买豪华品牌的车型也开始让人眼花缭乱。以下，我们将带来三款热门豪华紧凑型SUV的导购。凯迪拉克XT4指导价：25.97-39.17万元在多数消费的豪</t>
  </si>
  <si>
    <t>手握30万买7座家用车 这三款有料很多人买车预算在20-30万之间，想买一台空间大、舒适性高的车，不妨看看下面三款各方面表现均衡的7座家用车，你想要的都可以满足你。第一款 丰田 汉兰达厂家指导价:23.98-32.58万元汉兰达作为丰田旗下主流中型SUV ，自从上市以来，凭借可靠耐用的品质，曾一度加</t>
  </si>
  <si>
    <t>2020/02/04 08:42:00</t>
  </si>
  <si>
    <t>很多人买车预算在20-30万之间，想买一台空间大、舒适性高的车，不妨看看下面三款各方面表现均衡的7座家用车，你想要的都可以满足你。第一款 丰田 汉兰达厂家指导价:23.98-32.58万元汉兰达作为丰田旗下主流中型SUV ，自从上市以来，凭借可靠耐用的品质，曾一度加价提车。【外观方面】第三代中期改款</t>
  </si>
  <si>
    <t>在春节里买车多数人都会考虑选择SUV车型，走亲访友SUV相比轿车有着更好的空间表现和更好的通透性，就算是对于长途而言也有着不错的舒适性。今天小编就给大家介绍三款8-12万元之间有着不错的表现的SUV车型。长安CS75 PLUS改款之后的长安CS75 PLUS在外观上更加大胆前卫，越来越有国际范，前脸</t>
  </si>
  <si>
    <t>2020/02/04 08:41:00</t>
  </si>
  <si>
    <t>选SUV 这三款一定不会吃亏在春节里买车多数人都会考虑选择SUV车型，走亲访友SUV相比轿车有着更好的空间表现和更好的通透性，就算是对于长途而言也有着不错的舒适性。今天小编就给大家介绍三款8-12万元之间有着不错的表现的SUV车型。长安CS75 PLUS改款之后的长安CS75 PLUS在外观上更加大</t>
  </si>
  <si>
    <t>2020/02/04 08:22:52</t>
  </si>
  <si>
    <t>投诉编号：【446275】
投诉时间： 2020-02-04 07:19
投诉品牌： 长城汽车
投诉车系： 哈弗F7
投诉车型： 2019款 1.5T 两驱 i潮</t>
  </si>
  <si>
    <t>2020/02/04 07:27:48</t>
  </si>
  <si>
    <t>投诉编号：【446274】
投诉时间： 2020-02-04 06:05
投诉品牌： 北京奔驰
投诉车系： 奔驰A级
投诉车型： 2019款 A 200 L 运动轿车</t>
  </si>
  <si>
    <t>2020/02/04 07:10:00</t>
  </si>
  <si>
    <t>2020/02/04 06:18:02</t>
  </si>
  <si>
    <t>投诉编号：【446272】
投诉时间： 2020-02-04 04:10
投诉品牌： 众泰汽车
投诉车系： 众泰SR9
投诉车型： 2017款 2.0T 自动 极致之心版</t>
  </si>
  <si>
    <t>投诉编号：【446273】  投诉时间： 2020-02-04 05:09  投诉品牌： 北汽银翔  投诉车系： 幻速S5  投诉车型： 2017款 1.3T 手动 尊贵型        投诉内容  9月底在4S店换了凸轮轴信号盘后没多久，在一次急刹车中发现刹车异常，后经4S店检查，确定ABS泵故障</t>
  </si>
  <si>
    <t>2020/02/04 05:09:00</t>
  </si>
  <si>
    <t>投诉编号：【446271】  投诉时间： 2020-02-04 02:41  投诉品牌： 奇瑞汽车  投诉车系： 艾瑞泽GX  投诉车型： 2018款 1.5T 手动 型色版        投诉内容  车子在超过40公里每小时紧急变道或15公里每小时急调头时候出现。（同款车型已发现2位车主反应，未包</t>
  </si>
  <si>
    <t>2020/02/04 02:41:00</t>
  </si>
  <si>
    <t xml:space="preserve">投诉编号：【446268】  投诉时间： 2020-02-04 01:10  投诉品牌： 一汽-大众奥迪  投诉车系： 奥迪A6L  投诉车型： 2019款 45 TFSI quattro 臻选动感型        投诉内容  起步撞挡，撞熄火四回，转弯时变速箱吭吭响，下坡路是感觉像踩刹车一样。  </t>
  </si>
  <si>
    <t>2020/02/04 01:10:00</t>
  </si>
  <si>
    <t>投诉编号：【446267】  投诉时间： 2020-02-04 01:04  投诉品牌： 上汽集团  投诉车系： 名爵ZS  投诉车型： 2019款 1.5L 自动 全球豪华版 国VI        投诉内容  发动机怠速抖动挂挡起步有时会卡一下一样，方向盘有时候会自己跑偏，转弯时方向盘回正车子还在</t>
  </si>
  <si>
    <t>2020/02/04 01:04:00</t>
  </si>
  <si>
    <t>投诉编号：【446265】  投诉时间： 2020-02-04 00:30  投诉品牌： 长安铃木  投诉车系： 雨燕  投诉车型： 2014款 1.3L  手动 标准型        投诉内容  发动机故障灯常亮，在4s换过传感器，问题没给解决在2018年初，4门和轮胎眉开始漆面起泡，！本地四s店</t>
  </si>
  <si>
    <t>2020/02/04 00:30:00</t>
  </si>
  <si>
    <t>投诉编号：【446262】  投诉时间： 2020-02-03 22:49  投诉品牌： 东风雪铁龙  投诉车系： 雪铁龙C4L  投诉车型： 2014款 1.8L 手动 车载互联劲智型        投诉内容  车辆在行使到8万公里时就有烧机油现象，现在更厉害了，保养后跑了两千公里就报警了，让修车</t>
  </si>
  <si>
    <t>2020/02/03 22:49:00</t>
  </si>
  <si>
    <t>2020/02/03 22:36:54</t>
  </si>
  <si>
    <t>投诉编号：【446260】
投诉时间： 2020-02-03 21:36
投诉品牌： 长城汽车
投诉车系： 哈弗F7
投诉车型： 2020款 2.0T 两驱 i动</t>
  </si>
  <si>
    <t>投诉编号：【446259】  投诉时间： 2020-02-03 21:28  投诉品牌： 东风本田  投诉车系： 本田XR-V  投诉车型： 2019款 1.5L CVT 舒适版 国VI        投诉内容  刚刚提车时天气还比较热，现在1二三度启动车，仪表盘水温过低显示，D挡松刹车就出现异响，</t>
  </si>
  <si>
    <t>2020/02/03 21:28:00</t>
  </si>
  <si>
    <t>2020/02/03 20:58:28</t>
  </si>
  <si>
    <t>投诉编号：【446255】
投诉时间： 2020-02-03 20:07
投诉品牌： 众泰汽车
投诉车系： 众泰T600 Coupe
投诉车型： 2017款 1.5T 自动 豪华型</t>
  </si>
  <si>
    <t>麻烦大家给我说说12年手动挡骊威汽车的优，缺点。</t>
  </si>
  <si>
    <t>2020/02/03 20:42:44</t>
  </si>
  <si>
    <t>早晨汽车前挡风玻璃里面结冰怎么回事？</t>
  </si>
  <si>
    <t>2020/02/03 20:38:54</t>
  </si>
  <si>
    <t>发动机黄灯闪烁伴防侧滑灯常亮，汽车抖动加速无力，求解答。</t>
  </si>
  <si>
    <t>2020/02/03 20:30:51</t>
  </si>
  <si>
    <t>车是迈腾2017款尊贵版，1月15日在4S店保养换了变速箱油，过年开回家又回北京。从做完保养到出现问题不到1000公里，就出现变速器故障，估计是机电单元坏了，因为疫情4S不上班还没去检测。</t>
  </si>
  <si>
    <t>2020/02/03 20:03:37</t>
  </si>
  <si>
    <t>K3前轮右边转弯和过减速带有异响怎么办？</t>
  </si>
  <si>
    <t>2020/02/03 19:57:37</t>
  </si>
  <si>
    <t>投诉编号：【446251】
投诉时间： 2020-02-03 18:27
投诉品牌： 广汽乘用车
投诉车系： 传祺GA4
投诉车型： 2018款 150N 手动 豪华版</t>
  </si>
  <si>
    <t>10左右后驱SUV有哪些，哪个性价比最高？</t>
  </si>
  <si>
    <t>2020/02/03 19:55:18</t>
  </si>
  <si>
    <t>2019款1.4t朗逸才刚刚买跑1000公里今天发动机故障黄灯亮起，车子不抖，开起来和平时没什么区别，请问这种情况有人遇到过吗？一般是什么问题？</t>
  </si>
  <si>
    <t>2020/02/03 19:53:34</t>
  </si>
  <si>
    <t>投诉编号：【446253】  投诉时间： 2020-02-03 19:34  投诉品牌： 众泰汽车  投诉车系： 众泰T600  投诉车型： 2016款 1.5T 手动 豪华型        投诉内容  之前在店里修理过，但没有解决问题还是吃胎！发动机进气管爆裂，自费换过一次。涡轮增压介入发动机有是</t>
  </si>
  <si>
    <t>2020/02/03 19:34:00</t>
  </si>
  <si>
    <t>2020/02/03 18:33:24</t>
  </si>
  <si>
    <t>投诉编号：【446250】
投诉时间： 2020-02-03 18:00
投诉品牌： 上汽大众
投诉车系： 帕萨特
投诉车型： 2017款 330TSI 尊荣版</t>
  </si>
  <si>
    <t>2020款VV7带行车记录仪吗？</t>
  </si>
  <si>
    <t>2020/02/03 18:06:28</t>
  </si>
  <si>
    <t>你好！请问车在晚上气温低车内会起霜吗？</t>
  </si>
  <si>
    <t>2020/02/03 18:02:02</t>
  </si>
  <si>
    <t>我的标致308出现p0106和p0103故障码解释为进气压力传感器坏了或者线路问题 我换了传感器怎么故障依旧呢？</t>
  </si>
  <si>
    <t>途观L新能源车充电器在民用电充电时，充电器上红色错误灯亮起，之前充电没都有发生过，请问是什么情况？</t>
  </si>
  <si>
    <t>2020/02/03 18:02:01</t>
  </si>
  <si>
    <t>自排挡，突然挡位都没有显示，重新启动后发现仪表盘上有黄色发动机符号长亮。</t>
  </si>
  <si>
    <t>宝骏510仪表安全气囊灯亮是怎么回事？</t>
  </si>
  <si>
    <t>老师您好，要是长远来看，威驰2017 1.5L手动与自动。家用选择哪个？家属喜欢自动，但我觉得十万一下的自动挡故障率会大，不知道我说的对不对。请老师给个意见，谢谢您！</t>
  </si>
  <si>
    <t>发动机高温以后，换完水泵以后水温正常了，发动机好像有点抖动。</t>
  </si>
  <si>
    <t>2020/02/03 18:02:00</t>
  </si>
  <si>
    <t>左前减震器更换以后，出现咚咚声响，一开始怀疑轮胎螺丝松了，后来又换了左侧下支臂，换完还是响，又换了平衡杆胶套，最终没能解决问题，可是换减震之前没有这种响声，我怀疑就是减震器的事，请专家分析是哪里的故障？？</t>
  </si>
  <si>
    <t>2020/02/03 17:58:02</t>
  </si>
  <si>
    <t>车子放几天就没有电了怎么回事？</t>
  </si>
  <si>
    <t>我比较喜欢广汽传祺19款2.0TGS7和哈佛F7，但是双离合可靠性怎么样？这我媳妇看上荣威RX5MAX，这几款车辆那个可靠性更高呢或者还有什么推荐的车型。</t>
  </si>
  <si>
    <t>2020款vv5新车加完油后发动机故障灯亮了为什么？</t>
  </si>
  <si>
    <t>19款逍客中控屏故障，每次中控屏黑屏死机，4s店无法解决，已经影响正常使用了。</t>
  </si>
  <si>
    <t>2020/02/03 17:58:01</t>
  </si>
  <si>
    <t>2020/02/03 17:46:31</t>
  </si>
  <si>
    <t>投诉编号：【446248】
投诉时间： 2020-02-03 17:35
投诉品牌： 奇瑞汽车
投诉车系： 瑞虎5x
投诉车型： 2019款 HERO 1.5L CVT 豪华版</t>
  </si>
  <si>
    <t>2020/02/03 17:45:03</t>
  </si>
  <si>
    <t>投诉编号：【446247】
投诉时间： 2020-02-03 17:24
投诉品牌： 广汽菲克Jeep
投诉车系： 指南者
投诉车型： 2017款 200T 自动 家享版</t>
  </si>
  <si>
    <t>2月5日，全亚洲规模最大的汽车展览会之一，第15届印度德里国际车展即将开幕。    作为仅次于中国、美国、日本之后的全球第四大汽车市场，印度汽车市场方兴未艾，潜力巨大，此次德里国际车展，必将吸引来自世界各地的众多汽车企业参展。    这其中，志在逐鹿全球市场的长城汽车也将实力登场，与全球一流汽车企业</t>
  </si>
  <si>
    <t>2020/02/03 17:23:00</t>
  </si>
  <si>
    <t>　　2月5日，全亚洲规模最大的汽车展览会之一，第15届印度德里国际车展即将开幕。　　作为仅次于中国、美国、日本之后的全球第四大汽车市场，印度汽车市场方兴未艾，潜力巨大，此次德里国际车展，必将吸引来自世界各地的众多汽车企业参展。　　这其中，志在逐鹿全球市场的长城汽车也将实力登场，与全球一流汽车企业竞相</t>
  </si>
  <si>
    <t>2020/02/03 17:20:40</t>
  </si>
  <si>
    <t>投诉编号：【446246】
投诉时间： 2020-02-03 17:05
投诉品牌： 北京越野
投诉车系： 北京BJ20
投诉车型： 2018款 1.5T CVT 豪华型</t>
  </si>
  <si>
    <t>2020/02/03 17:16:09</t>
  </si>
  <si>
    <t>投诉编号：【446245】
投诉时间： 2020-02-03 16:59
投诉品牌： 奇瑞汽车
投诉车系： 艾瑞泽5
投诉车型： 2017款 1.5L 手动 豪华版</t>
  </si>
  <si>
    <t>2020/02/03 17:05:08</t>
  </si>
  <si>
    <t>投诉编号：【446244】
投诉时间： 2020-02-03 16:48
投诉品牌： 众泰汽车
投诉车系： 众泰T700
投诉车型： 2017款 1.8T 双离合 尊享型</t>
  </si>
  <si>
    <t>19年2月发现半轴有点渗油，后来保养4s店说车子没有问题。今天无意发现半轴漏油严重，看另一边也一样漏。身边朋友一问，发现丰田凯美瑞，雷凌多数有这个问题。网上一搜多起问题基本相同。普遍现象厂家为何不召回维修？全程南京丰田4s店保养为什么不提醒，等着过保收钱维修？</t>
  </si>
  <si>
    <t>2020/02/03 16:47:00</t>
  </si>
  <si>
    <t>广汽丰田凯美瑞半轴漏油存在安全隐患19年2月发现半轴有点渗油，后来保养4s店说车子没有问题。今天无意发现半轴漏油严重，看另一边也一样漏。身边朋友一问，发现丰田凯美瑞，雷凌多数有这个问题。网上一搜多起问题基本相同。普遍现象厂家为何不召回维修？全程南京丰田4s店保养为什么不提醒，等着过保收钱维修？</t>
  </si>
  <si>
    <t>2020/02/03 16:46:00</t>
  </si>
  <si>
    <t>东风悦达起亚KXCROSS车门怎么都变形了买的是新车价格，行驶不到3000公里，2个月不到。发现主驾驶车门B柱焊点开裂，变形，车门关不平。前后车门不在一条平行线。行驶中车内和车外有各种异响，变速箱换挡卡顿严重，在3挡的位置会一冲一冲的。怠速抖动厉害。准新车会是这样的吗？买车给我带来了诸多不便，请贵厂</t>
  </si>
  <si>
    <t>高速行驶中突然听到有东西打出来，故障灯全亮，靠边停车，拖到修理厂检查发现爆缸了。斯巴鲁的质量就是这么差的吗！？开着车发动机缸体就破损了？这是什么质量？</t>
  </si>
  <si>
    <t>2020/02/03 16:45:00</t>
  </si>
  <si>
    <t>斯巴鲁森林人发动机行驶爆缸真的太危险了高速行驶中突然听到有东西打出来，故障灯全亮，靠边停车，拖到修理厂检查发现爆缸了。斯巴鲁的质量就是这么差的吗！？开着车发动机缸体就破损了？这是什么质量？</t>
  </si>
  <si>
    <t>2020/02/03 16:42:27</t>
  </si>
  <si>
    <t>投诉编号：【446232】
投诉时间： 2020-02-03 16:13
投诉品牌： 广汽丰田
投诉车系： 凯美瑞
投诉车型： 2015款 2.0G 自动 领先版</t>
  </si>
  <si>
    <t>原车轮胎基本都是市区走出现坑坑洼洼越来越大还出现开裂问题，同系列车友都有同样问题。已经影响安全行驶了，何时才能得到解决？</t>
  </si>
  <si>
    <t>2020/02/03 16:42:00</t>
  </si>
  <si>
    <t>东风本田思域优科豪马轮胎开裂太严重了原车轮胎基本都是市区走出现坑坑洼洼越来越大还出现开裂问题，同系列车友都有同样问题。已经影响安全行驶了，何时才能得到解决？</t>
  </si>
  <si>
    <t>一汽大众探岳大灯透镜发白影响安全大灯雾化严重，有路灯路面看不到灯光,无路灯路面看不清前方，危机安全，多次险些碰到路障。多次沟通厂家，厂家推卸责任到4S店，因灯表明无脏迹，4S店不认为灯有问题。</t>
  </si>
  <si>
    <t>投诉编号：【446242】  投诉时间： 2020-02-03 16:41  投诉品牌： 广汽菲克菲亚特  投诉车系： 菲翔  投诉车型： 2015款 1.4T 自动 劲享版        投诉内容  上一次变速箱失效是在2018年，这次失效把电瓶负极断开从新上去又能开一段时间，过段时间又失效了，这</t>
  </si>
  <si>
    <t>2020/02/03 16:41:00</t>
  </si>
  <si>
    <t>2020/02/03 16:40:00</t>
  </si>
  <si>
    <t>广汽菲亚特菲翔蓝牙控制模块连接不上啊广汽菲亚特菲翔蓝牙控制模块故障，现在根本无法连接蓝牙。要求厂家解决好车辆的问题。</t>
  </si>
  <si>
    <t>投诉编号：【446237】  投诉时间： 2020-02-03 16:30  投诉品牌： 一汽-大众  投诉车系： 探岳  投诉车型： 2019款 330TSI 四驱 豪华型 国Ⅵ        投诉内容  晚上大灯远光灯及近光灯看不清楚不明亮通透，极易发生事故，是严重质量问题强烈要求厂家召回更换大</t>
  </si>
  <si>
    <t>2020/02/03 16:30:00</t>
  </si>
  <si>
    <t>投诉编号：【446235】  投诉时间： 2020-02-03 16:23  投诉品牌： 东风日产  投诉车系： 奇骏  投诉车型： 2017款 2.0L CVT 舒适版 5座 2WD        投诉内容  去4S店涂了黄油，开始没声，后来越来越越严重，烦死了。      投诉回复  车质网已将</t>
  </si>
  <si>
    <t>2020/02/03 16:23:00</t>
  </si>
  <si>
    <t>投诉编号：【446233】  投诉时间： 2020-02-03 16:19  投诉品牌： 长安汽车  投诉车系： 长安CS75 PLUS  投诉车型： 2020款 1.5T 自动 尊贵型        投诉内容  经常自动熄火！熄火后打不着，去4S店检查了3次都没查出原因。      投诉回复  车</t>
  </si>
  <si>
    <t>2020/02/03 16:19:00</t>
  </si>
  <si>
    <t>投诉编号：【446227】  投诉时间： 2020-02-03 15:33  投诉品牌： 奥迪（进口）  投诉车系： 奥迪A6（进口）  投诉车型： 2018款 3.0T allroad quattro        投诉内容  我想向车质网反应一个问题。刚买的新车没到首保就烧机油、最后机油称重高达</t>
  </si>
  <si>
    <t>2020/02/03 15:33:00</t>
  </si>
  <si>
    <t>投诉编号：【446223】  投诉时间： 2020-02-03 14:34  投诉品牌： 上汽斯柯达  投诉车系： 速派  投诉车型： 2016款 TSI330 DSG 智行版        投诉内容  速派16款330智行版，出保半年才37000多公里机电单元损坏。像我这种情况的车友还有很多，自费</t>
  </si>
  <si>
    <t>2020/02/03 14:34:00</t>
  </si>
  <si>
    <t>投诉编号：【446222】  投诉时间： 2020-02-03 14:14  投诉品牌： 上汽斯柯达  投诉车系： 速派  投诉车型： 2018款 TSI330 DSG 舒适版 国V        投诉内容  发动机油底壳鼓包问题，是在我们这边还没有发生猪温前就出现问题，再说一个月滴时间怎么可能是石</t>
  </si>
  <si>
    <t>2020/02/03 14:14:00</t>
  </si>
  <si>
    <t>投诉编号：【446220】  投诉时间： 2020-02-03 14:08  投诉品牌： 吉利汽车  投诉车系： 经典帝豪  投诉车型： 2013款 1.5L 手动 精英型 三厢        投诉内容  所有车门焊接缝地方都有不同的锈迹，迎宾踏板很是锈蚀的很严重，右前门下边特别严重，右后门简直惨不</t>
  </si>
  <si>
    <t>2020/02/03 14:08:00</t>
  </si>
  <si>
    <t>投诉编号：【446218】  投诉时间： 2020-02-03 14:06  投诉品牌： 北京现代  投诉车系： 菲斯塔  投诉车型： 2019款 240TGDi 运动版 国V        投诉内容  1、早上出门倒车时无倒车影像，半个小时后去找了另一把锁匙过来，又可以了，不知道是锁匙问题还是其他</t>
  </si>
  <si>
    <t>2020/02/03 14:06:00</t>
  </si>
  <si>
    <t>2020/02/03 13:52:31</t>
  </si>
  <si>
    <t>投诉编号：【446213】
投诉时间： 2020-02-03 13:37
投诉品牌： 上汽通用别克
投诉车系： 凯越
投诉车型： 2011款 1.6 手动 LE</t>
  </si>
  <si>
    <t>2020/02/03 13:51:23</t>
  </si>
  <si>
    <t>投诉编号：【446214】
投诉时间： 2020-02-03 13:48
投诉品牌： 上汽集团
投诉车系： 荣威RX5
投诉车型： 2019款 20T 自动 两驱 4G互联铂金版</t>
  </si>
  <si>
    <t>汽车的每一个组成部件都是非常重要的，今天我们要说就是汽车的轮胎。大家可别小看轮胎，最好不要以为它就只是一个单纯的轮子。轮胎这里面的东西还是很多的，需要我们去挖掘了解它。那今天我们就粗略的去了解一下那四个滚圆的车轱辘。汽车轮胎它的作用就像我们人的脚板一样，主要负责和地面接触产生摩擦，使我们可以往前往后</t>
  </si>
  <si>
    <t>2020/02/03 13:49:00</t>
  </si>
  <si>
    <t>汽车的四个大轱辘 您究竟了解多少？汽车的每一个组成部件都是非常重要的，今天我们要说就是汽车的轮胎。大家可别小看轮胎，最好不要以为它就只是一个单纯的轮子。轮胎这里面的东西还是很多的，需要我们去挖掘了解它。那今天我们就粗略的去了解一下那四个滚圆的车轱辘。汽车轮胎它的作用就像我们人的脚板一样，主要负责和地</t>
  </si>
  <si>
    <t>首先，我们讲述一下什么是热车。热车简单的说就是启动汽车之后，发动机低速运行一段时间以后再正常行驶那为什么说开车前需要热车呢？1.因为汽车在长时间静止的状态下，发动机内的机油会沉积在发动机底部，在启动发动机之后先给汽车热车可以使机油温度升高，机油温度如果较低，就是变得比较粘稠，机油温度升高以后能更好的</t>
  </si>
  <si>
    <t>2020/02/03 13:48:00</t>
  </si>
  <si>
    <t>有的人买了车以后停着不开，认为平时停车反而比公交、打车更麻烦，自以为保养省了、发生事故的概率小了。殊不知，不常开的车反而比经常开的车更容易老化。今天就来说一说，有关车辆长时间停放的种种误区。NO.1电瓶亏电，影响寿命汽车长期停放，防盗系统和一些设备会产生休眠电流，每天大概消耗0.5%到0.8%的电量</t>
  </si>
  <si>
    <t>开车前热车 车子更耐用更省油首先，我们讲述一下什么是热车。热车简单的说就是启动汽车之后，发动机低速运行一段时间以后再正常行驶那为什么说开车前需要热车呢？1.因为汽车在长时间静止的状态下，发动机内的机油会沉积在发动机底部，在启动发动机之后先给汽车热车可以使机油温度升高，机油温度如果较低，就是变得比较粘</t>
  </si>
  <si>
    <t>汽车久停更容易坏？原来是这样有的人买了车以后停着不开，认为平时停车反而比公交、打车更麻烦，自以为保养省了、发生事故的概率小了。殊不知，不常开的车反而比经常开的车更容易老化。今天就来说一说，有关车辆长时间停放的种种误区。NO.1电瓶亏电，影响寿命汽车长期停放，防盗系统和一些设备会产生休眠电流，每天大概</t>
  </si>
  <si>
    <t>近年来，陆续有由于车主没有锁好车门被偷车贼光顾的新闻见报。开车出行是为了方便、快捷，但如果未能成功锁车，由此造成的丢失财物，重则影响人身安全，那就真的是得不偿失了。车主的各种锁车陋习可能会导致车辆被盗甚至危及生命安全，下面就跟小易一起细数下锁车陋习，看看你中招了没。陋习1：遥控锁车后，没有手动检查随</t>
  </si>
  <si>
    <t>2020/02/03 13:47:00</t>
  </si>
  <si>
    <t>汽车前大灯作为汽车的眼睛，在汽车行驶过程中发挥重要的作用，但在经过长时间的行驶之后免不了变得模糊。当你大灯的塑料外壳变得模糊和氧化发黄时，它们会分散光线，而且大灯照射出来的光线亮度会大大降低，影响行车安全。在这里教大家一个方法，让你的汽车大灯立马崭新如初，一起来了解一下吧。汽车大灯灯罩发黄主要原因是</t>
  </si>
  <si>
    <t>4大锁车陋习 你看看中招了吗？近年来，陆续有由于车主没有锁好车门被偷车贼光顾的新闻见报。开车出行是为了方便、快捷，但如果未能成功锁车，由此造成的丢失财物，重则影响人身安全，那就真的是得不偿失了。车主的各种锁车陋习可能会导致车辆被盗甚至危及生命安全，下面就跟小易一起细数下锁车陋习，看看你中招了没。陋习</t>
  </si>
  <si>
    <t>汽车大灯发黄怎么办？千万别着急换汽车前大灯作为汽车的眼睛，在汽车行驶过程中发挥重要的作用，但在经过长时间的行驶之后免不了变得模糊。当你大灯的塑料外壳变得模糊和氧化发黄时，它们会分散光线，而且大灯照射出来的光线亮度会大大降低，影响行车安全。在这里教大家一个方法，让你的汽车大灯立马崭新如初，一起来了解一</t>
  </si>
  <si>
    <t>汽车长时间跑高速能不能承受得住？那先说答案：在不考虑驾驶员受不受得了的情况下，汽车当然是没问题的，而且很轻松。你也是千万不要小看工业制品的强度，首先呢，从发动机来看。举一个例子塞斯纳172飞机，在上个世纪1958年的时候，就已经完成了持续在天上运行64天不落地的壮举，这当然也不是一件简单的事了，由于</t>
  </si>
  <si>
    <t>2020/02/03 13:46:00</t>
  </si>
  <si>
    <t>汽车长时间跑高速能不能承受得住？汽车长时间跑高速能不能承受得住？那先说答案：在不考虑驾驶员受不受得了的情况下，汽车当然是没问题的，而且很轻松。你也是千万不要小看工业制品的强度，首先呢，从发动机来看。举一个例子塞斯纳172飞机，在上个世纪1958年的时候，就已经完成了持续在天上运行64天不落地的壮举，</t>
  </si>
  <si>
    <t>　　日前，斯巴鲁发布了一款全新的纯电动跨界车型，但除了外观以外，斯巴鲁官方并没有披露太多关于新车的信息，这款全新的纯电动车型也还没有正式的名称。据悉，新车的发布是为了展示斯巴鲁品牌将在2030年完成产品全面电动化的愿景，而此次展示的新车也有望于2025年实现与丰田同平台量产。　　外观方面，这款全新的</t>
  </si>
  <si>
    <t>2020/02/03 13:37:00</t>
  </si>
  <si>
    <t>日前，斯巴鲁发布了一款全新的纯电动跨界车型，但除了外观以外，斯巴鲁官方并没有披露太多关于新车的信息，这款全新的纯电动车型也还没有正式的名称。据悉，新车的发布是为了展示斯巴鲁品牌将在2030年完成产品全面电动化的愿景，而此次展示的新车也有望于2025年实现与丰田同平台量产。    外观方面，这款全新的</t>
  </si>
  <si>
    <t>电动车车主日常用车担忧之一就是电池衰减过快，为打消疑虑，特斯拉提出了更有诚意的电池保修方案。据外媒报道，特斯拉日前更新了电池保修政策，不过Model S/Model X和Model 3/Model Y执行的保修方案有所不同。    其中，Model S和Model X两款车型的电池保修条款变更为8年</t>
  </si>
  <si>
    <t>2020/02/03 13:35:00</t>
  </si>
  <si>
    <t>　　电动车车主日常用车担忧之一就是电池衰减过快，为打消疑虑，特斯拉提出了更有诚意的电池保修方案。据外媒报道，特斯拉日前更新了电池保修政策，不过Model S/Model X和Model 3/Model Y执行的保修方案有所不同。　　其中，Model S和Model X两款车型的电池保修条款变更为8年</t>
  </si>
  <si>
    <t>2020/02/03 13:33:57</t>
  </si>
  <si>
    <t>投诉编号：【446211】
投诉时间： 2020-02-03 13:05
投诉品牌： 广汽本田
投诉车系： 雅阁
投诉车型： 2018款 260TURBO 豪华版 国V</t>
  </si>
  <si>
    <t>我们从官方获悉，今年上半年将推出东风标致408 十周年纪念版车型。东风标致408自2010年初上市以来，10年来历经两次换代、两次改款，赢得了52万幸福家庭的信赖和喜爱。此次推出的十周年纪念版一方面是继续保持其市场热度，另一方面也将通过车型配置的调整，提升产品力。    全新408是psa亚太设计中</t>
  </si>
  <si>
    <t>2020/02/03 13:33:00</t>
  </si>
  <si>
    <t>　　我们从官方获悉，今年上半年将推出东风标致408 十周年纪念版车型。东风标致408自2010年初上市以来，10年来历经两次换代、两次改款，赢得了52万幸福家庭的信赖和喜爱。此次推出的十周年纪念版一方面是继续保持其市场热度，另一方面也将通过车型配置的调整，提升产品力。　　全新408是psa亚太设计中</t>
  </si>
  <si>
    <t>　　插电式混合动力车型兼顾了动力和油耗，在大部分城市能够享受到优惠政策，同时在续航里程方面不会受到过多的限制，作为家庭新的代步选择是不错的。这一期我们挑选了4款热门的插电混动SUV，他们分别是大众途观L PHEV、比亚迪唐DM、荣威RX5 eMAX、长安CS75 PHEV，希望对您的购车计划有帮助。</t>
  </si>
  <si>
    <t>2020/02/03 13:27:00</t>
  </si>
  <si>
    <t>　　2月3日，来自路透社的的消息称，日本汽车制造商本田汽车在本周日的一份声明中表示，其计划于2月14日恢复武汉工厂的汽车生产，该工厂属于本田与东风汽车共同拥有。　　1月30日，本田汽车公司表示将暂停武汉工厂运行至2月13日。期间，湖北省政府宣布将该省春假假期延长数天以有效应对应潜在风险。　　上周，全</t>
  </si>
  <si>
    <t>2020/02/03 13:26:00</t>
  </si>
  <si>
    <t>2月3日，来自路透社的的消息称，日本汽车制造商本田汽车在本周日的一份声明中表示，其计划于2月14日恢复武汉工厂的汽车生产，该工厂属于本田与东风汽车共同拥有。    1月30日，本田汽车公司表示将暂停武汉工厂运行至2月13日。期间，湖北省政府宣布将该省春假假期延长数天以有效应对应潜在风险。    上周</t>
  </si>
  <si>
    <t>　　据彭博新能源财经网站报道，英国《金融时报》援引两名参与讨论的人士的话报导称，日本汽车制造商日产汽车公司已起草一份应急计划，其中重点关注日产设在英国桑德兰的工厂。按照这一应急计划，如果英国“硬脱欧”导致欧盟其他国家针对日产由英国出口的汽车征收关税的话，日产将削减其在欧洲地区的汽车产量。　　这一计划</t>
  </si>
  <si>
    <t>2020/02/03 13:25:00</t>
  </si>
  <si>
    <t>据彭博新能源财经网站报道，英国《金融时报》援引两名参与讨论的人士的话报导称，日本汽车制造商日产汽车公司已起草一份应急计划，其中重点关注日产设在英国桑德兰的工厂。按照这一应急计划，如果英国“硬脱欧”导致欧盟其他国家针对日产由英国出口的汽车征收关税的话，日产将削减其在欧洲地区的汽车产量。    这一计划</t>
  </si>
  <si>
    <t>2020/02/03 13:14:58</t>
  </si>
  <si>
    <t>投诉编号：【446205】
投诉时间： 2020-02-03 12:39
投诉品牌： 北京现代
投诉车系： 名图
投诉车型： 2016款 1.8L 自动 智能型GLS</t>
  </si>
  <si>
    <t>2020/02/03 13:14:53</t>
  </si>
  <si>
    <t>投诉编号：【446204】
投诉时间： 2020-02-03 12:39
投诉品牌： 广汽乘用车
投诉车系： 传祺GS8
投诉车型： 2017款 320T 两驱 豪华智联版（七座）</t>
  </si>
  <si>
    <t>2020/02/03 13:14:43</t>
  </si>
  <si>
    <t>投诉编号：【446201】
投诉时间： 2020-02-03 12:27
投诉品牌： 广汽乘用车
投诉车系： 传祺GM6
投诉车型： 2019款 270T 自动 豪华版（六座）国VI</t>
  </si>
  <si>
    <t>2月3日， 宁德时代发布公告称，目前，宁德时代、Tesla, Inc.已签署协议，但尚需特斯拉(上海)有限公司签署，协议中约定，宁德时代将向特斯拉供应锂离子动力电池产品。    告称，双方协议约定的供货期限为2020年7月1日至2022年6月30日。在此期限内，特斯拉将向宁德时代采购锂离子动力电池，</t>
  </si>
  <si>
    <t>2020/02/03 13:07:00</t>
  </si>
  <si>
    <t>　　2月3日， 宁德时代发布公告称，目前，宁德时代、Tesla, Inc.已签署协议，但尚需特斯拉(上海)有限公司签署，协议中约定，宁德时代将向特斯拉供应锂离子动力电池产品。　　告称，双方协议约定的供货期限为2020年7月1日至2022年6月30日。在此期限内，特斯拉将向宁德时代采购锂离子动力电池，</t>
  </si>
  <si>
    <t>近日获悉，捷途x70 coupe将于3月上市发售。作为捷途产品序列推出的全新车型，定位于中型轿跑suv的捷途x70 coupe分别搭载1.5t及1.6t发动机，此前官方公布的预售价格为9.10-12.90万元。    捷途x70 coupe延续了捷途家族式的“徽城翘楚”设计语言，点阵式进气格栅搭配熏</t>
  </si>
  <si>
    <t>2020/02/03 13:04:00</t>
  </si>
  <si>
    <t>　　近日获悉，捷途x70 coupe将于3月上市发售。作为捷途产品序列推出的全新车型，定位于中型轿跑suv的捷途x70 coupe分别搭载1.5t及1.6t发动机，此前官方公布的预售价格为9.10-12.90万元。　　捷途x70 coupe延续了捷途家族式的“徽城翘楚”设计语言，点阵式进气格栅搭配熏</t>
  </si>
  <si>
    <t xml:space="preserve">我们从相关渠道获悉，奥迪全新s7将在2020年3月正式上市。作为一款性能轿跑车型，奥迪全新s7采用了最新的家族式设计语言，不仅外观更加运动，科技感也有所提升。奥迪全新s7将搭载2.9t v6发动机，并配备48v轻混系统。    看了以下要点，本文算读完一半    全新奥迪s7采用最新家族设计语言； </t>
  </si>
  <si>
    <t>2020/02/03 13:02:00</t>
  </si>
  <si>
    <t>我们从相关渠道获悉，海马7x将于今年4月份开启预售，并在上半年上市。海马7x定位于一款mpv车型，采用了家族最新的“海洋元素”设计语言，座椅布局提供6座和7座两种选择，动力方面搭载1.6t发动机。    看了以下要点，本文算读完一半    海马7x定位一款mpv车型；    采用了“海洋元素”设计语</t>
  </si>
  <si>
    <t>　　我们从相关渠道获悉，海马7x将于今年4月份开启预售，并在上半年上市。海马7x定位于一款mpv车型，采用了家族最新的“海洋元素”设计语言，座椅布局提供6座和7座两种选择，动力方面搭载1.6t发动机。　　看了以下要点，本文算读完一半　　海马7x定位一款mpv车型；　　采用了“海洋元素”设计语言；　　</t>
  </si>
  <si>
    <t>　　我们从相关渠道获悉，奥迪全新s7将在2020年3月正式上市。作为一款性能轿跑车型，奥迪全新s7采用了最新的家族式设计语言，不仅外观更加运动，科技感也有所提升。奥迪全新s7将搭载2.9t v6发动机，并配备48v轻混系统。　　看了以下要点，本文算读完一半　　全新奥迪s7采用最新家族设计语言；　　搭</t>
  </si>
  <si>
    <t>　　我们从相关渠道获悉，广汽传祺新款ga8将在今年上半年正式上市。新款ga8的外观采用了全新设计语言，更加有质感，内饰采用了展翼式布局，动力部分搭载广汽第三代2.0t发动机。　　广汽传祺新款ga8在外观方面采用了最新的设计，与现款车型相比变化较大，大嘴式进气格栅内部采用多条横向镀铬装饰条，前脸的整体</t>
  </si>
  <si>
    <t>2020/02/03 12:58:00</t>
  </si>
  <si>
    <t>我们从相关渠道获悉，广汽传祺新款ga8将在今年上半年正式上市。新款ga8的外观采用了全新设计语言，更加有质感，内饰采用了展翼式布局，动力部分搭载广汽第三代2.0t发动机。    广汽传祺新款ga8在外观方面采用了最新的设计，与现款车型相比变化较大，大嘴式进气格栅内部采用多条横向镀铬装饰条，前脸的整体</t>
  </si>
  <si>
    <t>　　我们从相关渠道获悉，吉利preface的量产版车型将在2020年内上市。吉利preface是cma平台下首款轿车――fs11的概念版车型，代表了未来fs11量产版车型的整体设计。据悉，该车的定位介于帝豪gl与博瑞之间。　　外观方面，吉利preface采用了全新的设计风格，前脸的盾形格栅非常醒目，</t>
  </si>
  <si>
    <t>2020/02/03 12:57:00</t>
  </si>
  <si>
    <t>我们从相关渠道获悉，吉利preface的量产版车型将在2020年内上市。吉利preface是cma平台下首款轿车——fs11的概念版车型，代表了未来fs11量产版车型的整体设计。据悉，该车的定位介于帝豪gl与博瑞之间。    外观方面，吉利preface采用了全新的设计风格，前脸的盾形格栅非常醒目，</t>
  </si>
  <si>
    <t>　　近日获悉，exeed星途vx有望于4月上市发售。作为家族旗舰suv，exeed星途vx定位于中大型suv，并采用了“智・感美学”家族式设计语言。在去年的广州车展上，官方发布了exeed星途vx概念车。EXEED星途VX概念车　　exeed星途vx概念车采用了“智・感美学”家族式设计语言，带有品牌</t>
  </si>
  <si>
    <t>2020/02/03 12:56:00</t>
  </si>
  <si>
    <t>近日获悉，exeed星途vx有望于4月上市发售。作为家族旗舰suv，exeed星途vx定位于中大型suv，并采用了“智·感美学”家族式设计语言。在去年的广州车展上，官方发布了exeed星途vx概念车。EXEED星途VX概念车    exeed星途vx概念车采用了“智·感美学”家族式设计语言，带有品牌</t>
  </si>
  <si>
    <t>　　2019年的中国汽车市场不是很乐观，为了给消费者提供更多的选择，各大车企不遗余力的推出了多款新车，相较于轿车，suv车型依旧更受欢迎，如果您打算在近期购买一款中大型suv，那么不妨继续往下读，笔者为您总结了2019年里热门的中大型suv，其中包括气场更强的全新一代奔驰gle、轿跑suv的标杆车型</t>
  </si>
  <si>
    <t>2020/02/03 12:53:00</t>
  </si>
  <si>
    <t xml:space="preserve">我们获悉，宝马全新x5 m将于北京车展正式在国内亮相并上市，宝马全新x5 m预售价区间为150—160万元。全新bmw x5 m进一步丰富了m家族产品阵容，进一步强化bmw m在高性能细分市场的地位。    看了以下要点，本文算读完一半    宝马全新x5 m将于北京车展正式在国内亮相并上市；   </t>
  </si>
  <si>
    <t>2020/02/03 12:48:00</t>
  </si>
  <si>
    <t>　　我们获悉，宝马全新x5 m将于北京车展正式在国内亮相并上市，宝马全新x5 m预售价区间为150―160万元。全新bmw x5 m进一步丰富了m家族产品阵容，进一步强化bmw m在高性能细分市场的地位。　　看了以下要点，本文算读完一半　　宝马全新x5 m将于北京车展正式在国内亮相并上市；　　宝马全</t>
  </si>
  <si>
    <t>我们从相关渠道获悉，全新一代路虎defender（卫士）有望于今年4月底正式在国内上市，并且会在2020年北京车展中国内首发。路虎卫士推出了defender 90和defender 110两款车身设计，基于全新极限全地形平台d7x 架构打造。据了解，路虎全新一代defender 90系列在英国地区的</t>
  </si>
  <si>
    <t>2020/02/03 12:47:00</t>
  </si>
  <si>
    <t>　　我们从相关渠道获悉，全新一代路虎defender（卫士）有望于今年4月底正式在国内上市，并且会在2020年北京车展中国内首发。路虎卫士推出了defender 90和defender 110两款车身设计，基于全新极限全地形平台d7x 架构打造。据了解，路虎全新一代defender 90系列在英国地</t>
  </si>
  <si>
    <t>凯迪拉克ats-l的继承者——ct4首次于2019年10月20日亮相，近日爱卡汽车获悉，凯迪拉克ct4将在今年第一季度正式上市，未来将与宝马3系/奔驰c级的标轴版车型展开竞争。据悉，ct4将全系搭载lsy型号的2.0t发动机，并且每款车型都将提供全轮驱动版本，此外还将提供11种车身颜色及8种内饰配色</t>
  </si>
  <si>
    <t>2020/02/03 12:45:00</t>
  </si>
  <si>
    <t>　　凯迪拉克ats-l的继承者――ct4首次于2019年10月20日亮相，近日爱卡汽车获悉，凯迪拉克ct4将在今年第一季度正式上市，未来将与宝马3系/奔驰c级的标轴版车型展开竞争。据悉，ct4将全系搭载lsy型号的2.0t发动机，并且每款车型都将提供全轮驱动版本，此外还将提供11种车身颜色及8种内饰</t>
  </si>
  <si>
    <t>近日，几何汽车第二款车型已进入工信部企业申报目录，新车定位为紧凑型跨界suv，照片中新车车尾拥有“c”、“b”、“x”多种标识可选，官方尚未公布该车正式命名。工信部信息显示，新车将搭载最大功率150kw的电机，配备来自于宁德时代的动力电池组，但续航里程未公布。    在外观设计上，新车千灯组设计与几</t>
  </si>
  <si>
    <t>2020/02/03 12:43:00</t>
  </si>
  <si>
    <t>　　近日，几何汽车第二款车型已进入工信部企业申报目录，新车定位为紧凑型跨界suv，照片中新车车尾拥有“c”、“b”、“x”多种标识可选，官方尚未公布该车正式命名。工信部信息显示，新车将搭载最大功率150kw的电机，配备来自于宁德时代的动力电池组，但续航里程未公布。　　在外观设计上，新车千灯组设计与几</t>
  </si>
  <si>
    <t>Mustang是福特旗下的一款双门跑车，同时也是美式肌肉跑车最具代表性的车型。日前，网通社从海外媒体获得了一组福特Mustang全新车型的路试谍照，这款车或将取代即将退出市场的Bullitt车型，命名为Mustang Mach 1。    尽管新车经过了重度伪装，但我们仍然能够从中发现一些端倪。外观</t>
  </si>
  <si>
    <t>2020/02/03 12:39:00</t>
  </si>
  <si>
    <t>　　Mustang是福特旗下的一款双门跑车，同时也是美式肌肉跑车最具代表性的车型。日前，网通社从海外媒体获得了一组福特Mustang全新车型的路试谍照，这款车或将取代即将退出市场的Bullitt车型，命名为Mustang Mach 1。　　尽管新车经过了重度伪装，但我们仍然能够从中发现一些端倪。外观</t>
  </si>
  <si>
    <t>　　近日，有国外媒体提供了本田e路试视频，从外观上看，该车延续了原型概念车的整体风格，外形圆润小巧。内饰方面采用了双联屏设计，由两组12.3英寸液晶屏组成的交互界面在中控面板横向展开。但新车车身较短，行李厢容积非常小，仅为169升，将后排座椅放倒可扩大到962.7升。　　本田e自重1.5吨，比老款菲</t>
  </si>
  <si>
    <t>2020/02/03 12:30:00</t>
  </si>
  <si>
    <t>近日，有国外媒体提供了本田e路试视频，从外观上看，该车延续了原型概念车的整体风格，外形圆润小巧。内饰方面采用了双联屏设计，由两组12.3英寸液晶屏组成的交互界面在中控面板横向展开。但新车车身较短，行李厢容积非常小，仅为169升，将后排座椅放倒可扩大到962.7升。    本田e自重1.5吨，比老款菲</t>
  </si>
  <si>
    <t>　　近日，国外媒体曝光了全新路虎小卫士车型的照片。据悉，全新路虎小卫士车型有望在明年发布，预计其售价为25000英镑（折合人民币22.5万元）。　　全新路虎小卫士车型将作为路虎公司的入门级车型销售。该全新车型的造型设计与新路虎卫士车型的造型设计较为相像，均将此前卫士车型的方正设计过度为更加圆润的曲线</t>
  </si>
  <si>
    <t>Sylvia</t>
  </si>
  <si>
    <t>2020/02/03 12:28:00</t>
  </si>
  <si>
    <t>近日，国外媒体曝光了全新路虎小卫士车型的照片。据悉，全新路虎小卫士车型有望在明年发布，预计其售价为25000英镑（折合人民币22.5万元）。    全新路虎小卫士车型将作为路虎公司的入门级车型销售。该全新车型的造型设计与新路虎卫士车型的造型设计较为相像，均将此前卫士车型的方正设计过度为更加圆润的曲线</t>
  </si>
  <si>
    <t>近日，国外媒体曝光了全新奥迪rs3车型的测试谍照。据悉，全新奥迪s3车型有望在今年年末发布上市。    奥迪a3系列车型将在今年迎来升级换代，目前奥迪的工程人员正在对包括rs3在内的新a3车型进行测试。在已经曝光的测试谍照中，全新rs3车型使用了更大的车身包围，前部保险杠设计更具攻击性。该全新车型的</t>
  </si>
  <si>
    <t>2020/02/03 12:27:00</t>
  </si>
  <si>
    <t>　　近日，国外媒体曝光了全新奥迪rs3车型的测试谍照。据悉，全新奥迪s3车型有望在今年年末发布上市。　　奥迪a3系列车型将在今年迎来升级换代，目前奥迪的工程人员正在对包括rs3在内的新a3车型进行测试。在已经曝光的测试谍照中，全新rs3车型使用了更大的车身包围，前部保险杠设计更具攻击性。该全新车型的</t>
  </si>
  <si>
    <t>朱玉翔</t>
  </si>
  <si>
    <t>近日，有国外媒体提供了奔驰vision eqs量产版路试谍照。该车是奔驰在2019年法兰克福车展上主推的概念车，命名为eqs原因是该车预计为奔驰eq电动系列中的s级。    虽然大众期待s级能继续保持克制的设计和比例，但显然设计师采取了更大胆的方向。从照片上来看，奔驰vision eqs的特点是超长</t>
  </si>
  <si>
    <t>2020/02/03 12:26:00</t>
  </si>
  <si>
    <t>　　近日，有国外媒体提供了奔驰vision eqs量产版路试谍照。该车是奔驰在2019年法兰克福车展上主推的概念车，命名为eqs原因是该车预计为奔驰eq电动系列中的s级。　　虽然大众期待s级能继续保持克制的设计和比例，但显然设计师采取了更大胆的方向。从照片上来看，奔驰vision eqs的特点是超长</t>
  </si>
  <si>
    <t>近日，据国外媒体报道，从2021款凯迪拉克ct5和ct4以及全新款2021凯迪拉克escalade车型开始，增强版super cruise驾驶辅助功能将进入使用。新版super cruise增加了一项自动变道功能，可以让汽车在适当条件下换道。    super cruise辅助功能于2017年推出，</t>
  </si>
  <si>
    <t>2020/02/03 12:25:00</t>
  </si>
  <si>
    <t>　　近日，据国外媒体报道，从2021款凯迪拉克ct5和ct4以及全新款2021凯迪拉克escalade车型开始，增强版super cruise驾驶辅助功能将进入使用。新版super cruise增加了一项自动变道功能，可以让汽车在适当条件下换道。　　super cruise辅助功能于2017年推出，</t>
  </si>
  <si>
    <t>2020/02/03 12:18:00</t>
  </si>
  <si>
    <t>为什么现在汽车寿命越来越短曲轴是汽车发动机的关键部件之一，其性能好坏直接影响汽车的寿命。曲轴工作时承受着大负荷和不断变化的弯矩及扭矩作用，常见的失效形式为弯曲疲劳断裂及轴颈磨损，因此要求曲轴材质具有较高的刚性和疲劳强度以及良好的耐磨性能。曲轴的工作原理：　　曲轴是发动机中最典型、最重要的零件之一，其</t>
  </si>
  <si>
    <t>“宽轮胎”和“窄轮胎”的差距有多大汽车行驶在路上最重要的就是轮胎，没有它的助力就没有汽车的诞生。因此许多车企推出“宽轮胎”和“窄轮胎”两种轮胎形状，但很多车主只为满足个人喜好而买，并没有过多的考量。接下来，内行人将为你阐述“宽轮胎”“窄轮胎”的差距究竟有多大？也看一看被坑过的车主怎么说的。一辆车好不</t>
  </si>
  <si>
    <t>2020/02/03 12:17:00</t>
  </si>
  <si>
    <t>汽车行驶在路上最重要的就是轮胎，没有它的助力就没有汽车的诞生。因此许多车企推出“宽轮胎”和“窄轮胎”两种轮胎形状，但很多车主只为满足个人喜好而买，并没有过多的考量。接下来，内行人将为你阐述“宽轮胎”“窄轮胎”的差距究竟有多大？也看一看被坑过的车主怎么说的。一辆车好不好的关键在于汽车的发动机，但很多人</t>
  </si>
  <si>
    <t>如今，我国汽车数量是非常多的，但是说起汽车，很多人更多的会关注汽车的发动机，很少有人会关注轮胎，其实轮胎不仅仅承载了车身的重量，还保证了我们的生命财产安全，轮胎一旦出问题，应该立刻更换，但是有些车主会有疑问：出租车轮胎十几万公里不用换，为啥私家车几万公里就废？1.轮胎的选择不一样出租车司机都知道，为</t>
  </si>
  <si>
    <t>为什么出租车十几万公里不换胎如今，我国汽车数量是非常多的，但是说起汽车，很多人更多的会关注汽车的发动机，很少有人会关注轮胎，其实轮胎不仅仅承载了车身的重量，还保证了我们的生命财产安全，轮胎一旦出问题，应该立刻更换，但是有些车主会有疑问：出租车轮胎十几万公里不用换，为啥私家车几万公里就废？1.轮胎的选</t>
  </si>
  <si>
    <t>2020/02/03 12:16:00</t>
  </si>
  <si>
    <t>偷工减料？日系车不再把行车落锁当标配众所周知，随着汽车产业越来越发达。日系车与德系车发展的速度，早已远超我们国家汽车发展速度。在国际上盛有名声。但车主们往往发现，德系车及其它一系列车型在配有行车落锁时，日系车却默默取消了这一装置。日系车不配行车落锁是为了偷工减料吗？据了解，行车自动落锁是为了避免车内</t>
  </si>
  <si>
    <t>“倒车雷达”与“倒车影像”哪个好倒车是每个司机都需要必备的技能，应该没有多少人敢保证，自己在开车的时候不需要倒车吧？其实很多的司机对于倒车并不是很熟悉，毕竟这对于我们的方向感还要驾驶技术是有一定的挑战性的。很多人在倒车的时候，为了更为安全和便捷，所以就会借助一些外在的工具，在现在的市场上，除了自动停</t>
  </si>
  <si>
    <t>路口争分抢秒 祸事立马就来一定要注意行车安全，另外就是要控制车速，安全第一！</t>
  </si>
  <si>
    <t>2020/02/03 12:15:00</t>
  </si>
  <si>
    <t>汽车年检本质上对于道路的行车安全还是有很大的帮助，像一些违法改装以及一些老旧的性能不好的汽车得到了很好的抑制，从而改善行车安全，但是近几年来听到的都是大家怨声载道，对年检非常的反感，为什么会出现这样的情况，个人总结出有以下几点。1、年检已经越来越脱离了本质，许多私人年检机构都是以创收为目的，监管不力</t>
  </si>
  <si>
    <t>一定要注意行车安全，另外就是要控制车速，安全第一！</t>
  </si>
  <si>
    <t>取消汽车年检呼声越来越高，为何车主如此反感年检，请理性看待汽车年检本质上对于道路的行车安全还是有很大的帮助，像一些违法改装以及一些老旧的性能不好的汽车得到了很好的抑制，从而改善行车安全，但是近几年来听到的都是大家怨声载道，对年检非常的反感，为什么会出现这样的情况，个人总结出有以下几点。1、年检已经越</t>
  </si>
  <si>
    <t>买车的人都知道我们买车就买交强险，这个是必须要买的，不买这个是没办法开车上路的。而且开车的人都清楚，交强险赔偿也是比较麻烦，而且赔偿也是比较低的，尤其是你如果是无责任的一方，那赔偿就更低了。还有不少人的车被撞了，不知道是先报警好还是先打电话叫来车险工作人员好，正是因为搞不清楚这个问题，不少开车的人都</t>
  </si>
  <si>
    <t>2020/02/03 12:14:00</t>
  </si>
  <si>
    <t>你开过共享汽车吗？共享汽车要出事儿，保险公司会赔吗？一个真实案例共享汽车撞人，平安拒赔，看法院怎么判2017年的一天，北京的尚某，因为下班比较晚，打车比较难就通过手机APP，在街边租赁途歌共享汽车一部谁曾想，驾驶途歌共享汽车途中，撞上了骑三轮车的刘某，造成刘某十级伤残，赔偿决定经交管部门认定，责任非</t>
  </si>
  <si>
    <t>车被撞了是先报车险还是先报警? 搞不清楚顺序, 一分钱也拿不到买车的人都知道我们买车就买交强险，这个是必须要买的，不买这个是没办法开车上路的。而且开车的人都清楚，交强险赔偿也是比较麻烦，而且赔偿也是比较低的，尤其是你如果是无责任的一方，那赔偿就更低了。还有不少人的车被撞了，不知道是先报警好还是先打电</t>
  </si>
  <si>
    <t>共享汽车撞人，平安车险拒赔，法院两次判决“水落石出”你开过共享汽车吗？共享汽车要出事儿，保险公司会赔吗？一个真实案例共享汽车撞人，平安拒赔，看法院怎么判2017年的一天，北京的尚某，因为下班比较晚，打车比较难就通过手机APP，在街边租赁途歌共享汽车一部谁曾想，驾驶途歌共享汽车途中，撞上了骑三轮车的刘</t>
  </si>
  <si>
    <t>今年过年，和以往都都不一样，今年鼠年可能多年以后大家都不会忘记今年的情形，我们都因为新型肺炎对朋友甚至家人避而不见，可以说今年的春节大家都过得人心惶惶的，听见谁有咳嗽或感冒情况我们更是会远离他，还有带有“鄂”字牌照的车，都会很严格的检查，甚至部分地区开通了“鄂A”牌照专用通道，主要就是为了防止肺炎病</t>
  </si>
  <si>
    <t>2020/02/03 12:13:00</t>
  </si>
  <si>
    <t>鄂A牌照这次火了，被逼无奈车尾贴子，内容让人哭笑不得今年过年，和以往都都不一样，今年鼠年可能多年以后大家都不会忘记今年的情形，我们都因为新型肺炎对朋友甚至家人避而不见，可以说今年的春节大家都过得人心惶惶的，听见谁有咳嗽或感冒情况我们更是会远离他，还有带有“鄂”字牌照的车，都会很严格的检查，甚至部分地</t>
  </si>
  <si>
    <t>纯电动汽车没有发动机还需要更换机油和保养吗对于车辆而言离不开保养，根据车辆的结构来看，传统的车辆的有发动机需要进行更换机油，而更换机油也就成了保养汽车离不开的一个话题，随着纯电动汽车的增长，越来越多的纯电动汽车进入到市场里面，在保养上面纯电动汽车需要更换机油吗？从纯电动汽车的结构上面来看，纯电动汽车</t>
  </si>
  <si>
    <t>阳光刚刚好</t>
  </si>
  <si>
    <t>2020/02/03 11:34:00</t>
  </si>
  <si>
    <t>智能化配置是你选车必选项吗随着汽车电动化进程的不断加快，除了新能源汽车的保有量在逐步增加之外。车辆的配置也是越来越丰富，比如车联网、自动驾驶、主动刹车系统、Ai智能语音系统等等。智能化的配置提升了驾乘体验，那么在购买新能源汽车的时候，智能化配置是你选择的必选项吗？文青认为智能化配置虽然提升了驾乘体验</t>
  </si>
  <si>
    <t>对于车辆而言离不开保养，根据车辆的结构来看，传统的车辆的有发动机需要进行更换机油，而更换机油也就成了保养汽车离不开的一个话题，随着纯电动汽车的增长，越来越多的纯电动汽车进入到市场里面，在保养上面纯电动汽车需要更换机油吗？从纯电动汽车的结构上面来看，纯电动汽车是不需要更换机油的，纯电动汽车是由三电，电</t>
  </si>
  <si>
    <t>随着汽车电动化进程的不断加快，除了新能源汽车的保有量在逐步增加之外。车辆的配置也是越来越丰富，比如车联网、自动驾驶、主动刹车系统、Ai智能语音系统等等。智能化的配置提升了驾乘体验，那么在购买新能源汽车的时候，智能化配置是你选择的必选项吗？文青认为智能化配置虽然提升了驾乘体验，但并不是必选项。首先需要</t>
  </si>
  <si>
    <t>新能源汽车的保有量持续增多，随着车辆的保有量增加，对于车辆的保养需求也是越来越高，对于车辆而言在使用过程中都会有难免的损耗，那么，新能源车常需保养的部件有哪些？对于新能源汽车来说，尽管其不依靠发动机作为动力输出，但有着动力传动部件也是需要进行保养的，根据新能源汽车而言在常规的保养来看，需要保养车辆的</t>
  </si>
  <si>
    <t>新能源车常需保养的部件有哪些新能源汽车的保有量持续增多，随着车辆的保有量增加，对于车辆的保养需求也是越来越高，对于车辆而言在使用过程中都会有难免的损耗，那么，新能源车常需保养的部件有哪些？对于新能源汽车来说，尽管其不依靠发动机作为动力输出，但有着动力传动部件也是需要进行保养的，根据新能源汽车而言在常</t>
  </si>
  <si>
    <t>刚买的纯电动新车有哪些注意事项随着纯电动汽车保有量的增加，优惠政策层出不穷，很多人买车的时候也多了一种选择，但是大多数消费者以前接触到的一般都是传统的燃油汽车，在买车的时候都会对于车辆有一个初步的了解，但纯电动车可能都是第一回使用，但既然买了纯电动汽车，新车有哪些注意事项？纯电动汽车新车的使用需要注</t>
  </si>
  <si>
    <t>2020/02/03 11:33:00</t>
  </si>
  <si>
    <t>国产电动车为何世界知名度低在如今的新能源汽车浪潮当中，国产电动汽车可谓是占据了半壁的江山，在口碑和人气上面占据了风头，表现是要远远逊色于特斯拉等国际品牌,尽管快速发展的国产电动汽车，为何世界知名度低？国产电动车世界知名度低和国内电动汽车企业自身市场布局，以及车企自身市场定位等各方面因素有关，首先在国</t>
  </si>
  <si>
    <t>在如今的新能源汽车浪潮当中，国产电动汽车可谓是占据了半壁的江山，在口碑和人气上面占据了风头，表现是要远远逊色于特斯拉等国际品牌,尽管快速发展的国产电动汽车，为何世界知名度低？国产电动车世界知名度低和国内电动汽车企业自身市场布局，以及车企自身市场定位等各方面因素有关，首先在国内车企在国内的补贴条件下，</t>
  </si>
  <si>
    <t>随着纯电动汽车保有量的增加，优惠政策层出不穷，很多人买车的时候也多了一种选择，但是大多数消费者以前接触到的一般都是传统的燃油汽车，在买车的时候都会对于车辆有一个初步的了解，但纯电动车可能都是第一回使用，但既然买了纯电动汽车，新车有哪些注意事项？纯电动汽车新车的使用需要注意以下几个方面，在车辆充电方面</t>
  </si>
  <si>
    <t>卡车松开刹车踏板后刹车回位很慢是怎么回事有网友反映说自己开的是卡车，最近一段时间在松开刹车踏板后总感觉刹车回位很慢，问这是怎么回事。其实他说的这种现象学名叫做“制动拖滞”。所谓的制动拖滞，是指驾驶员在完全放松制动踏板以后，汽车的制动不能立即解除或不能完全解除，仍然具有相当强度的制动力的现象。在汽车的</t>
  </si>
  <si>
    <t>2020/02/03 11:32:00</t>
  </si>
  <si>
    <t>说说发动机冷却系统有网友咨询，说汽车真是一个神奇的东西，冷车启动后几分钟时间，水温就达到正常了，暖风也热了，但是之后你不管怎么开，温度始终都能保持不变，这究竟是怎么做到的？这个问题挺有趣的，相信有很多网友也想知道，下面我来详细的给大家说一说发动机的热量是如何来的，又是如何去的，冷却系统是如何工作的，</t>
  </si>
  <si>
    <t>有网友咨询，说汽车真是一个神奇的东西，冷车启动后几分钟时间，水温就达到正常了，暖风也热了，但是之后你不管怎么开，温度始终都能保持不变，这究竟是怎么做到的？这个问题挺有趣的，相信有很多网友也想知道，下面我来详细的给大家说一说发动机的热量是如何来的，又是如何去的，冷却系统是如何工作的，是如何让发动机既能</t>
  </si>
  <si>
    <t>有网友反映说自己开的是卡车，最近一段时间在松开刹车踏板后总感觉刹车回位很慢，问这是怎么回事。其实他说的这种现象学名叫做“制动拖滞”。所谓的制动拖滞，是指驾驶员在完全放松制动踏板以后，汽车的制动不能立即解除或不能完全解除，仍然具有相当强度的制动力的现象。在汽车的制动过程中，最后一段时间称为“制动解除时</t>
  </si>
  <si>
    <t>福特领界以4.3万辆的成绩领衔品牌suv家族，从2019年1月上市后，福特领界受到很多关注，定位于翼博与翼虎之间，10-16万元的售价。顶配车型还带有48v轻混技术，更好的满足不同消费者的需求。</t>
  </si>
  <si>
    <t>2020/02/03 11:31:00</t>
  </si>
  <si>
    <t>　　福特领界以4.3万辆的成绩领衔品牌suv家族，从2019年1月上市后，福特领界受到很多关注，定位于翼博与翼虎之间，10-16万元的售价。顶配车型还带有48v轻混技术，更好的满足不同消费者的需求。　　总结　　福特领界上市后，让福特suv的产品线更加丰富，售价区间刚好在翼博和翼虎之间。无论是驾驶感受</t>
  </si>
  <si>
    <t>教你如何判断起动机是否正常前几天有个哥们告诉我，他的车在路上突然打不着了，然后他就打了4s店的救援电话，申请维修。但是4s店来人后，并没有现场维修，而是直接拖回4s店了。一番检查后告诉他，起动机坏了，需要更换。这款车是一辆豪华轿车，一个起动机就要大几千块钱，他当时也没办法，就同意更换了。事后想想，总</t>
  </si>
  <si>
    <t>2020/02/03 11:30:00</t>
  </si>
  <si>
    <t>前几天有个哥们告诉我，他的车在路上突然打不着了，然后他就打了4s店的救援电话，申请维修。但是4s店来人后，并没有现场维修，而是直接拖回4s店了。一番检查后告诉他，起动机坏了，需要更换。这款车是一辆豪华轿车，一个起动机就要大几千块钱，他当时也没办法，就同意更换了。事后想想，总觉得被人坑了。就问我汽车的</t>
  </si>
  <si>
    <t>汽车的轮胎螺丝无疑是非常坚固的，那么这个螺丝反复多次拆装（比如说拆装100次），它还能这样紧固吗？会不会疲劳老化呢？其实汽车的轮胎螺丝不要说拆装100次，只要拆装10次以上，就必须更换了。我们单位的大型自卸车，轮胎螺丝最多能使用3~4次，然后就再也紧不住了，必须更换成新的才可以，否则钢圈就会松旷，导</t>
  </si>
  <si>
    <t>汽车的轮胎螺丝可以反复多次拆装吗汽车的轮胎螺丝无疑是非常坚固的，那么这个螺丝反复多次拆装（比如说拆装100次），它还能这样紧固吗？会不会疲劳老化呢？其实汽车的轮胎螺丝不要说拆装100次，只要拆装10次以上，就必须更换了。我们单位的大型自卸车，轮胎螺丝最多能使用3~4次，然后就再也紧不住了，必须更换成</t>
  </si>
  <si>
    <t>大家在买车时，经常会有人告诉你，日系车质量可靠，小毛病少，油耗低，用着省心；国产车现在质量也不错，价格低配置高，性价比好；而德系车就是顶着一个豪华的车标，质量较差，后期故障率高，特别是桑塔纳和捷达，就是两个拉皮车，配置又很低，不值得买......等等。可是你发现没有，驾校的教练车和城市出租车很大一部</t>
  </si>
  <si>
    <t>2020/02/03 11:29:00</t>
  </si>
  <si>
    <t>为什么教练车大多数是桑塔纳和捷达大家在买车时，经常会有人告诉你，日系车质量可靠，小毛病少，油耗低，用着省心；国产车现在质量也不错，价格低配置高，性价比好；而德系车就是顶着一个豪华的车标，质量较差，后期故障率高，特别是桑塔纳和捷达，就是两个拉皮车，配置又很低，不值得买......等等。可是你发现没有，</t>
  </si>
  <si>
    <t>　　一次春节长途自驾，有幸更长时间的体验了广汽本田全新suv车型――皓影，作为当下20万预算区间炙手可热的suv车型，不仅整体更加年轻化，还拥有诸多科技新装备，看看皓影的表现如何。　　广汽本田的皓影实际上是东风本田cr-v的兄弟车型，刚刚上市不久销售火爆，据悉上市头一个月就累计了超过1万5千台的订单</t>
  </si>
  <si>
    <t>2020/02/03 11:28:00</t>
  </si>
  <si>
    <t>一次春节长途自驾，有幸更长时间的体验了广汽本田全新suv车型——皓影，作为当下20万预算区间炙手可热的suv车型，不仅整体更加年轻化，还拥有诸多科技新装备，看看皓影的表现如何。    广汽本田的皓影实际上是东风本田cr-v的兄弟车型，刚刚上市不久销售火爆，据悉上市头一个月就累计了超过1万5千台的订单</t>
  </si>
  <si>
    <t>　　近日，据海外媒体报道，2020款沃尔沃s60 t8插电混动车型定于今夏在南卡罗来纳州亮相。新车搭载t8插电混合动力总成，以及一套电动四驱系统，同时可以选装4c自适应底盘系统。　　与每一辆60和90系列的沃尔沃汽车一样，s60和其他60、90系列基于相同的平台打造，因此外观上非常相似，但s60的车</t>
  </si>
  <si>
    <t>2020/02/03 11:25:00</t>
  </si>
  <si>
    <t>近日，据海外媒体报道，2020款沃尔沃s60 t8插电混动车型定于今夏在南卡罗来纳州亮相。新车搭载t8插电混合动力总成，以及一套电动四驱系统，同时可以选装4c自适应底盘系统。    与每一辆60和90系列的沃尔沃汽车一样，s60和其他60、90系列基于相同的平台打造，因此外观上非常相似，但s60的车</t>
  </si>
  <si>
    <t>　　从过年前，新型肺炎就进入了大家的视线，它的出现也让今年的春节过得有些冷清，少出门、少串门、戴口罩、勤洗手成为大家最多的叮嘱。最近，正直返程高峰，与乘坐公共交通工具出行相比，自驾车或许更为安全一些的选择。　　对于自驾车时的防护大家可以注意以下几点：　　除了做好自身注意外，最近大家还是尽量避免外出。</t>
  </si>
  <si>
    <t>2020/02/03 11:22:00</t>
  </si>
  <si>
    <t>随着武汉疫情的扩散，这个春节显得无比的漫长，很多计划要买车的朋友可能也不得不推迟购车时间了。不过塞翁失马焉知非福，您在等一段时间又会有不少新车上市，您的选择面又能扩大不少。下面就来看一看近期会推向市场的各种欧系suv，它们中间也许就有你的菜。    标致全新2008    预计上市时间：2020年3</t>
  </si>
  <si>
    <t>2020/02/03 11:19:00</t>
  </si>
  <si>
    <t>　　随着武汉疫情的扩散，这个春节显得无比的漫长，很多计划要买车的朋友可能也不得不推迟购车时间了。不过塞翁失马焉知非福，您在等一段时间又会有不少新车上市，您的选择面又能扩大不少。下面就来看一看近期会推向市场的各种欧系suv，它们中间也许就有你的菜。　　标致全新2008　　预计上市时间：2020年3月　</t>
  </si>
  <si>
    <t>　　这个春节因为新型冠状病毒导致人心惶惶，大部分防范意识较强的国人都取消了走亲访友，减少户外出行。国务院更是颁布了延长春节假期的全国性通知，并且大部分企业也决定让员工在2月10之前于家办公，为的就是避免节后出现感染高峰，在这里向奋斗在一线的医护、运输、施工、后勤等人员致敬。而回归到本篇文章，我们将聚</t>
  </si>
  <si>
    <t>2020/02/03 11:14:00</t>
  </si>
  <si>
    <t>这个春节因为新型冠状病毒导致人心惶惶，大部分防范意识较强的国人都取消了走亲访友，减少户外出行。国务院更是颁布了延长春节假期的全国性通知，并且大部分企业也决定让员工在2月10之前于家办公，为的就是避免节后出现感染高峰，在这里向奋斗在一线的医护、运输、施工、后勤等人员致敬。而回归到本篇文章，我们将聚焦2</t>
  </si>
  <si>
    <t>　　站在2月的起点来纵观全年suv市场，日韩系品牌，尤其是日系品牌，在经历了去年的产品大年之后，今年的新产品节奏趋于放缓。当然，这在某种意义上来说，它能让用户在选择的时候，有充足的决断时间和最理性的决定。踏踏实实在家选车系列文章，今天我们来说说日韩系的suv。　　1、荣放/威兰达　　在去年的很多期视</t>
  </si>
  <si>
    <t>2020/02/03 11:12:00</t>
  </si>
  <si>
    <t xml:space="preserve">日韩系轿车一直以耐用、皮实、经济性好和高颜值、高配置、高性价比著称。回顾2019年的销量排行，日韩系品牌的排名依然被大众通用系压制，新的一年如何争取更多的消费者，推出新车型绝对是一剂良药。虽然suv车型日渐增多，但消费主力依然是家用轿车。足不出户，来看看2020年值得购买的日韩系家轿有哪些。    </t>
  </si>
  <si>
    <t>2020/02/03 11:10:00</t>
  </si>
  <si>
    <t>　　日韩系轿车一直以耐用、皮实、经济性好和高颜值、高配置、高性价比著称。回顾2019年的销量排行，日韩系品牌的排名依然被大众通用系压制，新的一年如何争取更多的消费者，推出新车型绝对是一剂良药。虽然suv车型日渐增多，但消费主力依然是家用轿车。足不出户，来看看2020年值得购买的日韩系家轿有哪些。　　</t>
  </si>
  <si>
    <t>2020/02/03 11:09:36</t>
  </si>
  <si>
    <t>投诉编号：【446196】
投诉时间： 2020-02-03 10:46
投诉品牌： 上汽通用别克
投诉车系： 英朗
投诉车型： 2014款 1.6L 手动 进取型 XT</t>
  </si>
  <si>
    <t>广汽新能源aion s（以下简称为aion s）上市于2019年4月，定位为一款纯电动紧凑级车型，是基于广汽新能源第二代纯电专属平台gep（gac electric platform）的首款车型。该车一经上市，就以其时尚、个性的外观受到了不少消费者的关注，但这只是它最外在的一个方面，今天我们就从用车</t>
  </si>
  <si>
    <t>2020/02/03 11:06:00</t>
  </si>
  <si>
    <t>　　广汽新能源aion s（以下简称为aion s）上市于2019年4月，定位为一款纯电动紧凑级车型，是基于广汽新能源第二代纯电专属平台gep（gac electric platform）的首款车型。该车一经上市，就以其时尚、个性的外观受到了不少消费者的关注，但这只是它最外在的一个方面，今天我们就从</t>
  </si>
  <si>
    <t>　　宝马x2于2018年以进口的方式引入中国，新车仅推出m越野套装，且价格方面略贵（28.98-37.98万元）。去年10月份，国产华晨宝马x2正式上市，售价为26.68-32.98万元，除了m越野套装外，还新增了m运动套装车型，相比进口版车型售价下调不少。今天我们就来看看华晨宝马x2最低配车型--</t>
  </si>
  <si>
    <t>2020/02/03 11:02:00</t>
  </si>
  <si>
    <t>　　据外媒报道，斯柯达汽车在印度普纳市建立了一家数字实验室，该实验室将为斯柯达汽车大众印度私人有限公司（koda auto volkswagen india private limited）研发数字化移动出行方案，为该公司的核心业务提供支持。此次印度的斯柯达汽车数字实验室（koda auto dig</t>
  </si>
  <si>
    <t>2020/02/03 10:57:00</t>
  </si>
  <si>
    <t>据外媒报道，斯柯达汽车在印度普纳市建立了一家数字实验室，该实验室将为斯柯达汽车大众印度私人有限公司（koda auto volkswagen india private limited）研发数字化移动出行方案，为该公司的核心业务提供支持。此次印度的斯柯达汽车数字实验室（koda auto digil</t>
  </si>
  <si>
    <t xml:space="preserve">　　近日，大众官方正式发布了新款ea288 evo柴油发动机（tdi），大众官方称其为有史以来最清洁的柴油发动机。自大众排放门之后，不少媒体推测大众会放弃柴油发动机研发转而投向纯电动动力总成研发，但就目前来看，大众依旧希望旗下产品能够提供更多动力总成，从而满足消费者的需求。　　这款最新的ea288 </t>
  </si>
  <si>
    <t>2020/02/03 10:56:00</t>
  </si>
  <si>
    <t xml:space="preserve">近日，大众官方正式发布了新款ea288 evo柴油发动机（tdi），大众官方称其为有史以来最清洁的柴油发动机。自大众排放门之后，不少媒体推测大众会放弃柴油发动机研发转而投向纯电动动力总成研发，但就目前来看，大众依旧希望旗下产品能够提供更多动力总成，从而满足消费者的需求。    这款最新的ea288 </t>
  </si>
  <si>
    <t>前些日子，gmc发布了一张名为hummer ev的纯电动皮卡预告图，这将是gmc品牌首款纯电动产品，也是通用集团第一辆纯电动皮卡。日前，有外媒根据这张预告图创作了一份hummer ev的假想图，我们来一睹为快。    从最终假想图的外观来看，hummer ev的身形十分彪悍，较多的横向以及竖向线条强</t>
  </si>
  <si>
    <t>2020/02/03 10:53:00</t>
  </si>
  <si>
    <t>　　前些日子，gmc发布了一张名为hummer ev的纯电动皮卡预告图，这将是gmc品牌首款纯电动产品，也是通用集团第一辆纯电动皮卡。日前，有外媒根据这张预告图创作了一份hummer ev的假想图，我们来一睹为快。　　从最终假想图的外观来看，hummer ev的身形十分彪悍，较多的横向以及竖向线条强</t>
  </si>
  <si>
    <t>据外媒报道，中国作为全球最大的汽车市场，在经历了长达两年的下滑之后，短期之内很难迎来复苏。2020年伊始，武汉的新型肺炎疫情突如其来，业内机构对接下来中国车市的预期不太乐观。全球重要信息、分析和解决方案供应商ihs markit预计，2020年第一季度，中国汽车产量降幅将达到10%。    如今，i</t>
  </si>
  <si>
    <t>2020/02/03 10:52:00</t>
  </si>
  <si>
    <t>　　据外媒报道，中国作为全球最大的汽车市场，在经历了长达两年的下滑之后，短期之内很难迎来复苏。2020年伊始，武汉的新型肺炎疫情突如其来，业内机构对接下来中国车市的预期不太乐观。全球重要信息、分析和解决方案供应商ihs markit预计，2020年第一季度，中国汽车产量降幅将达到10%。　　如今，i</t>
  </si>
  <si>
    <t>路特斯正式发布了新款evora gt410，新车定位低于目前在售的evora gt410 sport，但配置方面进行了大幅提升。新车型在英国本土售价为8.29万英镑，约合人民币75.90万元。    新款evora gt410在外观方面采用了与evora gt430相同的前包围设计，相比之下尾部采用</t>
  </si>
  <si>
    <t>2020/02/03 10:51:00</t>
  </si>
  <si>
    <t>　　路特斯正式发布了新款evora gt410，新车定位低于目前在售的evora gt410 sport，但配置方面进行了大幅提升。新车型在英国本土售价为8.29万英镑，约合人民币75.90万元。　　新款evora gt410在外观方面采用了与evora gt430相同的前包围设计，相比之下尾部采用</t>
  </si>
  <si>
    <t>在lawrence stroll以1.82亿英镑收购阿斯顿·马丁拉共达（aston martin lagonda，以下简称阿斯顿·马丁）16.7%的股份之后，阿斯顿·马丁向伦敦证券交易所提供的文件当中揭示了该品牌在2020年年内的新车计划，其中v8 vantage roadster和战神（valky</t>
  </si>
  <si>
    <t>2020/02/03 10:49:00</t>
  </si>
  <si>
    <t>　　在lawrence stroll以1.82亿英镑收购阿斯顿・马丁拉共达（aston martin lagonda，以下简称阿斯顿・马丁）16.7%的股份之后，阿斯顿・马丁向伦敦证券交易所提供的文件当中揭示了该品牌在2020年年内的新车计划，其中v8 vantage roadster和战神（val</t>
  </si>
  <si>
    <t>　　奔驰gle作为豪华中大型suv阵营中一款重要车型，在外观和内饰设计上在同级车型中有较为突出的表现，尤其是内饰的豪华感是最大的竞争力。而价格上它的指导价也下探到70万元附近，今天我们就一起看看这台全系最低配车型有着怎样表现。　　总结：　　全新奔驰gle的入门车型从配置和外观来看也有不错的表现，可以</t>
  </si>
  <si>
    <t>曹昊�</t>
  </si>
  <si>
    <t>2020/02/03 10:48:00</t>
  </si>
  <si>
    <t>坎坷不凡的2019年虽已过去，但其余波给2020年掀起了更大的波澜。面对波云诡谲的国际局势、复杂多变的市场环境以及不测风云的无常命运，中国汽车产业如何稳步前行？为了把脉行业发展方向，春节前夕汽车之家采访了多位企业高层、资深行业专家，并结合行业报告及公开信息等，针对2020年销量、新能源、智能网联、核</t>
  </si>
  <si>
    <t>2020/02/03 10:44:00</t>
  </si>
  <si>
    <t>　　坎坷不凡的2019年虽已过去，但其余波给2020年掀起了更大的波澜。面对波云诡谲的国际局势、复杂多变的市场环境以及不测风云的无常命运，中国汽车产业如何稳步前行？为了把脉行业发展方向，春节前夕汽车之家采访了多位企业高层、资深行业专家，并结合行业报告及公开信息等，针对2020年销量、新能源、智能网联</t>
  </si>
  <si>
    <t>有海外媒体发布了一组新一代梅赛德斯-奔驰c级（代号w206）的谍照，可以看出目前路试的测试车已经采用了接近量产的车身和灯组进行伪装，据悉新一代奔驰c级最早有望于2020年11月举办的洛杉矶车展进行首发，不过也有业内人士表示，新车要等到2021年才会正式发布。    本次曝光的新一代梅赛德斯-奔驰c级</t>
  </si>
  <si>
    <t>2020/02/03 10:37:00</t>
  </si>
  <si>
    <t>　　有海外媒体发布了一组新一代梅赛德斯-奔驰c级（代号w206）的谍照，可以看出目前路试的测试车已经采用了接近量产的车身和灯组进行伪装，据悉新一代奔驰c级最早有望于2020年11月举办的洛杉矶车展进行首发，不过也有业内人士表示，新车要等到2021年才会正式发布。　　本次曝光的新一代梅赛德斯-奔驰c级</t>
  </si>
  <si>
    <t>2月2日，交通运输部发布公告称，为深入贯彻落实中央应对新型冠状病毒感染肺炎疫情工作领导小组会议精神，扎实做好错峰返程和疫情防控工作，经国务院同意，将2020年春节假期收费公路免收小型客车通行费截止时间延长至2020年2月8日24时。    这是交通部在此次疫情期间第二次延长小客车免收高速公路通行费截</t>
  </si>
  <si>
    <t>2020/02/03 10:36:00</t>
  </si>
  <si>
    <t>　　2月2日，交通运输部发布公告称，为深入贯彻落实中央应对新型冠状病毒感染肺炎疫情工作领导小组会议精神，扎实做好错峰返程和疫情防控工作，经国务院同意，将2020年春节假期收费公路免收小型客车通行费截止时间延长至2020年2月8日24时。　　这是交通部在此次疫情期间第二次延长小客车免收高速公路通行费截</t>
  </si>
  <si>
    <t>时代不断发展，汽车领域不断创新，车上的配置和功能越来越多，越来越高科技化。对比之前汽车只是一个出行工具来说，现在很多10万元起步的车型都拥有了很多高端配置，之前买车是为了方便，而现在买车是为了享受。汽车上的功能多自然有它的好处，但是也有一些功能却没有任何的用处，而且看上去还非常的弱智，下面了解一下车</t>
  </si>
  <si>
    <t>2020/02/03 10:34:00</t>
  </si>
  <si>
    <t>按照北京市交通委员会、河北省交通运输厅联合制定的《关于跨京冀公交线路恢复运营工作的指导方案》（简称《方案》），为做好两地城际客运（公交）出行服务保障，自2月3日起，北京市、河北省将在认真组织落实好公共交通疫情防控措施的基础上，逐步恢复跨京冀公交线路运营。    根据国务院2020年春节放假及错峰返程</t>
  </si>
  <si>
    <t>车上不合理的3个设计时代不断发展，汽车领域不断创新，车上的配置和功能越来越多，越来越高科技化。对比之前汽车只是一个出行工具来说，现在很多10万元起步的车型都拥有了很多高端配置，之前买车是为了方便，而现在买车是为了享受。汽车上的功能多自然有它的好处，但是也有一些功能却没有任何的用处，而且看上去还非常的</t>
  </si>
  <si>
    <t>　　按照北京市交通委员会、河北省交通运输厅联合制定的《关于跨京冀公交线路恢复运营工作的指导方案》（简称《方案》），为做好两地城际客运（公交）出行服务保障，自2月3日起，北京市、河北省将在认真组织落实好公共交通疫情防控措施的基础上，逐步恢复跨京冀公交线路运营。　　根据国务院2020年春节放假及错峰返程</t>
  </si>
  <si>
    <t>在中国最值得信赖的是哪一款车，很多人都会说是帕萨特，因为帕萨特这款车在中国历史相当悠久，可以说是大众旗下的一款当红车型。很多人都觉得买一个帕萨特特别有面子，觉得它的质量可靠，其实不然，自从这次中保研测试出来以后，大众帕萨特是彻底翻车了。很多人都觉得这个车是真心不行，这不怪中国的消费者也不怪中保研，谁</t>
  </si>
  <si>
    <t>2020/02/03 10:33:00</t>
  </si>
  <si>
    <t>豪车界里“第一惨” 材料强过帕萨特N倍却卖不动在中国最值得信赖的是哪一款车，很多人都会说是帕萨特，因为帕萨特这款车在中国历史相当悠久，可以说是大众旗下的一款当红车型。很多人都觉得买一个帕萨特特别有面子，觉得它的质量可靠，其实不然，自从这次中保研测试出来以后，大众帕萨特是彻底翻车了。很多人都觉得这个车</t>
  </si>
  <si>
    <t>2020/02/03 10:32:00</t>
  </si>
  <si>
    <t>春节结束，各大城市也迎来了返程的高峰。不少开车的朋友都知道，在高速公路上行驶，前风挡难免会被前车压到的小石子击中形成裂痕。但是随着科技的进步，一般小的裂痕是可以修复的，并不用更换玻璃。那么究竟是如何做到的呢？请随小编一起来看~    因为前挡玻璃不是钢化玻璃，根据规定车辆的前风挡玻璃必须是热弯夹层玻</t>
  </si>
  <si>
    <t>　　春节结束，各大城市也迎来了返程的高峰。不少开车的朋友都知道，在高速公路上行驶，前风挡难免会被前车压到的小石子击中形成裂痕。但是随着科技的进步，一般小的裂痕是可以修复的，并不用更换玻璃。那么究竟是如何做到的呢？请随小编一起来看~　　因为前挡玻璃不是钢化玻璃，根据规定车辆的前风挡玻璃必须是热弯夹层玻</t>
  </si>
  <si>
    <t>2020/02/03 10:31:45</t>
  </si>
  <si>
    <t>投诉编号：【446193】
投诉时间： 2020-02-03 10:07
投诉品牌： 上汽通用别克
投诉车系： 凯越
投诉车型： 2013款 1.5L 手动 经典型</t>
  </si>
  <si>
    <t>2020/02/03 10:31:00</t>
  </si>
  <si>
    <t>长安蓝鲸1.4T和铃木1.4T发动机对比 看看国产发动机真实水平如今汽车似乎已经进入了涡轮时代，相比自然吸气，小排量的涡轮增压也能实现动力更强，油耗更低的需求。说到小排量的涡轮增压发动机，相信大家也想到铃木的1.4T发动机。不过虽然大众这款发动机比较实用，但是由于也是有一定的年限了，在油耗、平顺、动</t>
  </si>
  <si>
    <t>提及qx80想必大家对这款车型都比较陌生，该车为日产高端子品牌英菲尼迪旗下的一款大型suv，其市场定位与雷克萨斯lx、宝马x7、奔驰gls保持一致，同时也被诸多消费者们称之为“豪华版”日产途乐。近日海外媒体曝光了英菲尼迪新款qx80车型信息，新车海外市场起售价为66,750美元（约为47万人民币），</t>
  </si>
  <si>
    <t>2020/02/03 10:30:00</t>
  </si>
  <si>
    <t>　　提及qx80想必大家对这款车型都比较陌生，该车为日产高端子品牌英菲尼迪旗下的一款大型suv，其市场定位与雷克萨斯lx、宝马x7、奔驰gls保持一致，同时也被诸多消费者们称之为“豪华版”日产途乐。近日海外媒体曝光了英菲尼迪新款qx80车型信息，新车海外市场起售价为66,750美元（约为47万人民币</t>
  </si>
  <si>
    <t>市面上150万元左右的裸车价，轿车类能有什么选择？像保时捷帕拉梅拉、宝马7系、奔驰S级、玛莎拉蒂总裁，这几款车型都是位列高档豪华轿车的阵营，可以商务、也可小家用，此外，这个价位还有"性能范"兼顾家用的新选择，它就是来自奥迪集团旗下的全新奥迪RS7，也被不少网友称为"超强买菜车"。全新奥迪RS7虽然定</t>
  </si>
  <si>
    <t>2020/02/03 10:29:00</t>
  </si>
  <si>
    <t>2020款奥迪RS7要选白色的 高端大气上档次市面上150万元左右的裸车价，轿车类能有什么选择？像保时捷帕拉梅拉、宝马7系、奔驰S级、玛莎拉蒂总裁，这几款车型都是位列高档豪华轿车的阵营，可以商务、也可小家用，此外，这个价位还有"性能范"兼顾家用的新选择，它就是来自奥迪集团旗下的全新奥迪RS7，也被不</t>
  </si>
  <si>
    <t>　　一直以来，买车都是一件令人纠结的事情。市面上琳琅满目的各类新车，眼花缭乱，让人不知该如何选择？是买新，还是买旧？自然也成了摆在大多数人面前的第一道选择题。最近一段时间，各家车企都在忙于公布自家的2020年新车计划，其中我发现了不少经典车型将于今年迎来“大换代”或者“停产退市”，那么今天我就和大家</t>
  </si>
  <si>
    <t>2020/02/03 10:28:00</t>
  </si>
  <si>
    <t>全新一代沃尔沃S60正式上市销售。本代车型采用全球统一轴距，提供T3、T4、T5和T8四种动力，共推出7款车型可选，售价区间为28.69-46.19万元。S60延续了沃尔沃家族标志性的设计语言，原汁原味的保留了海外版设计，整体看上去年轻运动不少。标志性的雷神之锤大灯相较S90在细节的设计上显得更为细</t>
  </si>
  <si>
    <t>2020/02/03 10:27:00</t>
  </si>
  <si>
    <t>每月工资5000元 完全养得起沃尔沃S60全新一代沃尔沃S60正式上市销售。本代车型采用全球统一轴距，提供T3、T4、T5和T8四种动力，共推出7款车型可选，售价区间为28.69-46.19万元。S60延续了沃尔沃家族标志性的设计语言，原汁原味的保留了海外版设计，整体看上去年轻运动不少。标志性的雷神</t>
  </si>
  <si>
    <t>　　提及abt想必大家对它都比较陌生，该品牌主要致力于奥迪旗下型高性能系列车型改装工作。而近日奥迪abt改装厂也对奥迪旗下rs6、rs7 sportback以及rs q8三款车型进行了更新，并对外观以及动力方面进行了诸多调整，且预计将于今年年底正式开售。　　动力方面，三款新车均将搭载一台升级后的4.</t>
  </si>
  <si>
    <t>2020/02/03 10:26:00</t>
  </si>
  <si>
    <t>提及abt想必大家对它都比较陌生，该品牌主要致力于奥迪旗下型高性能系列车型改装工作。而近日奥迪abt改装厂也对奥迪旗下rs6、rs7 sportback以及rs q8三款车型进行了更新，并对外观以及动力方面进行了诸多调整，且预计将于今年年底正式开售。    动力方面，三款新车均将搭载一台升级后的4.</t>
  </si>
  <si>
    <t>　　提及道奇汽车品牌想必大家都有所耳闻，旗下酷威车型于2009年以进口形式正式引入国内市场开售，同时也是道奇品牌在华布局的唯一一款suv车型。近日海外媒体曝光了一组道奇新款durango srt套件车型信息，新车将于本月8日开幕的芝加哥车展上正式亮相，并推出两款不同样式的车型选装包。　　动力方面，新</t>
  </si>
  <si>
    <t>2020/02/03 10:24:00</t>
  </si>
  <si>
    <t>提及道奇汽车品牌想必大家都有所耳闻，旗下酷威车型于2009年以进口形式正式引入国内市场开售，同时也是道奇品牌在华布局的唯一一款suv车型。近日海外媒体曝光了一组道奇新款durango srt套件车型信息，新车将于本月8日开幕的芝加哥车展上正式亮相，并推出两款不同样式的车型选装包。    动力方面，新</t>
  </si>
  <si>
    <t>　　gla是奔驰旗下的一款跨界车型，定位为紧凑型suv，与宝马x1、奥迪q3 sportback等车同级别。gla车型自2015年开始入华国产销售，其车身运动气息十足，适合日常代步出行，并受到诸多消费者的青睐。近日海外媒体曝光了奔驰新款gla车型部分信息，新车将在11天后率先在欧洲市场正式上市，并到</t>
  </si>
  <si>
    <t>2020/02/03 10:23:00</t>
  </si>
  <si>
    <t>gla是奔驰旗下的一款跨界车型，定位为紧凑型suv，与宝马x1、奥迪q3 sportback等车同级别。gla车型自2015年开始入华国产销售，其车身运动气息十足，适合日常代步出行，并受到诸多消费者的青睐。近日海外媒体曝光了奔驰新款gla车型部分信息，新车将在11天后率先在欧洲市场正式上市，并到达经</t>
  </si>
  <si>
    <t>　　作为国内豪华轿车市场中的领军人物，奔驰s级早于2004年以进口形式引入国内市场销售，期间其销量数据也要领先于同级宝马7系、奥迪a8等车型。近日海外媒体曝光了一组奔驰全新s级方向盘图片，新车预计将于今年3月日内瓦车展上与大家正式见面，并有望在今年年底在国内正式亮相。　　内饰方面，新车对方向盘进行了</t>
  </si>
  <si>
    <t>2020/02/03 10:21:00</t>
  </si>
  <si>
    <t>作为国内豪华轿车市场中的领军人物，奔驰s级早于2004年以进口形式引入国内市场销售，期间其销量数据也要领先于同级宝马7系、奥迪a8等车型。近日海外媒体曝光了一组奔驰全新s级方向盘图片，新车预计将于今年3月日内瓦车展上与大家正式见面，并有望在今年年底在国内正式亮相。    内饰方面，新车对方向盘进行了</t>
  </si>
  <si>
    <t>　　大众为满足不同的消费者需求，大众推出了up！车型，该车定位为微型轿车，是大众全新一代蓝驱版车型的代表，并替代了原有的lupo车型。大众up！设计理念在于方面人民的都市生活，一定程度上缓解交通压力。近日海外媒体曝光了大众新款up！车型部分信息，新车海外起售价25,630美元（约17.8万人民币）。</t>
  </si>
  <si>
    <t>2020/02/03 10:19:00</t>
  </si>
  <si>
    <t xml:space="preserve">大众为满足不同的消费者需求，大众推出了up！车型，该车定位为微型轿车，是大众全新一代蓝驱版车型的代表，并替代了原有的lupo车型。大众up！设计理念在于方面人民的都市生活，一定程度上缓解交通压力。近日海外媒体曝光了大众新款up！车型部分信息，新车海外起售价25,630美元（约17.8万人民币）。  </t>
  </si>
  <si>
    <t>　　c级是梅赛德斯-奔驰旗下的一款中型轿车，同时也是国产豪华中型轿车中的佼佼者，凭借着较高的性价比以及时尚的外观设计，吸引了国内诸多年轻消费者为其买单，同时市场销量也要优于同级宝马3系、奥迪a4、沃尔沃s60等车型。　　近日海外媒体曝光了梅赛德斯-奔驰全新c级最新路试谍照图片。据海外媒体透露，新车预</t>
  </si>
  <si>
    <t>2020/02/03 10:17:00</t>
  </si>
  <si>
    <t>c级是梅赛德斯-奔驰旗下的一款中型轿车，同时也是国产豪华中型轿车中的佼佼者，凭借着较高的性价比以及时尚的外观设计，吸引了国内诸多年轻消费者为其买单，同时市场销量也要优于同级宝马3系、奥迪a4、沃尔沃s60等车型。    近日海外媒体曝光了梅赛德斯-奔驰全新c级最新路试谍照图片。据海外媒体透露，新车预</t>
  </si>
  <si>
    <t>捷豹品牌在1935年诞生，在豪华品牌的影响力不及奔驰、宝马、奥迪，但其悠久的历史底蕴却丝毫不亚于bba车企。f-type车型是捷豹旗下的一款跑车，该车型的设计，主要针对力量、速度与美感方面的追求。近日海外媒体曝光了捷豹新款f-type车型部分信息，新车预计在10天后的芝加哥车展上亮相，并计划在今年3</t>
  </si>
  <si>
    <t>2020/02/03 10:15:00</t>
  </si>
  <si>
    <t>　　捷豹品牌在1935年诞生，在豪华品牌的影响力不及奔驰、宝马、奥迪，但其悠久的历史底蕴却丝毫不亚于bba车企。f-type车型是捷豹旗下的一款跑车，该车型的设计，主要针对力量、速度与美感方面的追求。近日海外媒体曝光了捷豹新款f-type车型部分信息，新车预计在10天后的芝加哥车展上亮相，并计划在今</t>
  </si>
  <si>
    <t>在看到昂科旗Avenir的时候，一个想法冒出在我的脑海里：我们在说道别克是一个主打豪华的品牌的时候，似乎终于显得心安理得，而不再需要重复去提及别克的美国往事，去描述那些难以被中国人所理解的情感。试驾会现场，昂科旗Avenir的优点被迫不及待地介绍。“细节至美”、“ 6座奢享空间”，以及“以客为尊”的</t>
  </si>
  <si>
    <t>40万的昂科旗Avenir 能不能让别克成为豪华品牌在看到昂科旗Avenir的时候，一个想法冒出在我的脑海里：我们在说道别克是一个主打豪华的品牌的时候，似乎终于显得心安理得，而不再需要重复去提及别克的美国往事，去描述那些难以被中国人所理解的情感。试驾会现场，昂科旗Avenir的优点被迫不及待地介绍。</t>
  </si>
  <si>
    <t>　　目前，新型冠状病毒感染的肺炎疫情防控正处于关键时期。　　全国齐心，阻击新型冠状病毒肺炎。数十家车企捐款、捐物，社会各界都在以不同的形式投入到这场疫情防控阻击战中。那么，皮卡车企（经销商）除了捐钱赠物之外，还在做些什么？　　在天津这座城市里，一列皮卡队伍正在紧锣密鼓地运送消毒水。这些皮卡载着5吨重</t>
  </si>
  <si>
    <t>2020/02/03 10:14:00</t>
  </si>
  <si>
    <t>目前，新型冠状病毒感染的肺炎疫情防控正处于关键时期。    全国齐心，阻击新型冠状病毒肺炎。数十家车企捐款、捐物，社会各界都在以不同的形式投入到这场疫情防控阻击战中。那么，皮卡车企（经销商）除了捐钱赠物之外，还在做些什么？    在天津这座城市里，一列皮卡队伍正在紧锣密鼓地运送消毒水。这些皮卡载着5</t>
  </si>
  <si>
    <t>　　gle是梅赛德斯-奔驰旗下的一款中大型suv，同时也是品牌旗下的主力热销车型之一，并与宝马x5、奥迪q7为同级车型。近日海外媒体曝光了梅赛德斯-奔驰 gle 350插混版车型售价，新车海外市场售价为77,100欧元（约为60万人民币），并将于明年5月率先登陆西班牙市场开售。　　动力方面，新车将搭</t>
  </si>
  <si>
    <t>2020/02/03 10:13:00</t>
  </si>
  <si>
    <t>跑车，因其有着炫酷的外形，超高的性能以及爆炸的动力而受到众多年轻人的喜爱。但很多跑车的价格都相当的昂贵，随便一辆都得上百万，对于大部分消费者来说，只能望而却步。今天就给大家推荐4款价格相对“平民”的跑车，面子性能不输顶级豪车，照样深得年轻人的青睐。斯巴鲁BRZ售价：27.38-28.38万在2017</t>
  </si>
  <si>
    <t>这4款平民跑车 回头率不输百万豪车跑车，因其有着炫酷的外形，超高的性能以及爆炸的动力而受到众多年轻人的喜爱。但很多跑车的价格都相当的昂贵，随便一辆都得上百万，对于大部分消费者来说，只能望而却步。今天就给大家推荐4款价格相对“平民”的跑车，面子性能不输顶级豪车，照样深得年轻人的青睐。斯巴鲁BRZ售价：</t>
  </si>
  <si>
    <t>gle是梅赛德斯-奔驰旗下的一款中大型suv，同时也是品牌旗下的主力热销车型之一，并与宝马x5、奥迪q7为同级车型。近日海外媒体曝光了梅赛德斯-奔驰 gle 350插混版车型售价，新车海外市场售价为77,100欧元（约为60万人民币），并将于明年5月率先登陆西班牙市场开售。    动力方面，新车将搭</t>
  </si>
  <si>
    <t>rs是奥迪旗下的高性能系列车型，并在原来基础款车型上进行了外观以及动力升级，并将强大的运动气息展现的淋漓尽致。近日海外媒体曝光了一组奥迪全新rs3路试谍照图片，据海外媒体猜测，新车预计将于今年下半年正式亮相，并有望在今年年底或明年年初上市开售。    动力方面，新车将继续搭载一台2.5t五缸涡轮增压</t>
  </si>
  <si>
    <t>2020/02/03 10:12:00</t>
  </si>
  <si>
    <t>　　rs是奥迪旗下的高性能系列车型，并在原来基础款车型上进行了外观以及动力升级，并将强大的运动气息展现的淋漓尽致。近日海外媒体曝光了一组奥迪全新rs3路试谍照图片，据海外媒体猜测，新车预计将于今年下半年正式亮相，并有望在今年年底或明年年初上市开售。　　动力方面，新车将继续搭载一台2.5t五缸涡轮增压</t>
  </si>
  <si>
    <t>转子发动机消失在我们视野里已经很多年了，上一次听说转子发动机的消息，还是2015年的东京车展，当时马自达发布了新的转子动力总成SkyActiv-R。不过在这套动力总成里转子发动机仅仅是作为增程器使用，简单来说就是电动车的发电机，而不是真正用转子发动机来驱动车辆。显然全世界的车迷都希望马自达能推出一款</t>
  </si>
  <si>
    <t>马自达RX-7渲染图曝光 转子发动机重回市场转子发动机消失在我们视野里已经很多年了，上一次听说转子发动机的消息，还是2015年的东京车展，当时马自达发布了新的转子动力总成SkyActiv-R。不过在这套动力总成里转子发动机仅仅是作为增程器使用，简单来说就是电动车的发电机，而不是真正用转子发动机来驱动</t>
  </si>
  <si>
    <t>新型冠状病毒毫无疑问是这个春节全国的头号话题……本来是喜庆热闹的新春佳节，在这病毒带来的疫情下，显得格外冷清。这一点，在流动人口较大的一线城市尤为明显。以车行哥所在的广州为例，在春节和疫情的双重DEBUFF下，平日里繁忙的新白云国际机场、广州东站等交通枢纽空空荡荡，各大商场、超市也跟热闹没有丝毫关系</t>
  </si>
  <si>
    <t>2020/02/03 10:11:00</t>
  </si>
  <si>
    <t>新型冠状病毒过后 汽车行业会怎样新型冠状病毒毫无疑问是这个春节全国的头号话题……本来是喜庆热闹的新春佳节，在这病毒带来的疫情下，显得格外冷清。这一点，在流动人口较大的一线城市尤为明显。以车行哥所在的广州为例，在春节和疫情的双重DEBUFF下，平日里繁忙的新白云国际机场、广州东站等交通枢纽空空荡荡，各</t>
  </si>
  <si>
    <t>作为大众旗下的冠军销量车型之一，大众高尔夫凭借着个性的外观以及安全性斩获了诸多消费者的芳心，而后期国产的gti车型也受到了诸多年轻消费者们的青睐。近日海外媒体曝光了大众全新高尔夫车型配置，新车海外市场售价为34,150欧元（约为27万人民币）。    动力方面，新车将搭载一台1.5t涡轮增压发动机，</t>
  </si>
  <si>
    <t>2020/02/03 10:10:00</t>
  </si>
  <si>
    <t>　　作为大众旗下的冠军销量车型之一，大众高尔夫凭借着个性的外观以及安全性斩获了诸多消费者的芳心，而后期国产的gti车型也受到了诸多年轻消费者们的青睐。近日海外媒体曝光了大众全新高尔夫车型配置，新车海外市场售价为34,150欧元（约为27万人民币）。　　动力方面，新车将搭载一台1.5t涡轮增压发动机，</t>
  </si>
  <si>
    <t>吉利已经成功打造出远景系列、缤越、星越、博越等爆款车型，在suv领域的占有率有所提升。但纵观吉利在suv市场的布局，都是小型和紧凑型产品，尚未推出尺寸更大的七座中型suv。而在今年初，吉利用一段摩斯密码揭开了旗下全新中型suv——豪越的面纱。该车预计会提升5/6/7三种座椅布局，尺寸方面也领先同级标</t>
  </si>
  <si>
    <t>2020/02/03 10:09:00</t>
  </si>
  <si>
    <t>　　吉利已经成功打造出远景系列、缤越、星越、博越等爆款车型，在suv领域的占有率有所提升。但纵观吉利在suv市场的布局，都是小型和紧凑型产品，尚未推出尺寸更大的七座中型suv。而在今年初，吉利用一段摩斯密码揭开了旗下全新中型suv――豪越的面纱。该车预计会提升5/6/7三种座椅布局，尺寸方面也领先同</t>
  </si>
  <si>
    <t>今年初，比亚迪正式曝光了全新旗舰轿车——汉的官方渲染图片，新车将会推出dm（插电混动）和ev（纯电动）两个版本。根据此前公布的消息来看，比亚迪汉ev/dm未来有望于2020年第二季度末/第三季度初（6月份左右）上市，目前已经完成申报。近日，我们获得了该车的实拍图片。ev版车型采用了大量源自e-see</t>
  </si>
  <si>
    <t>2020/02/03 10:07:00</t>
  </si>
  <si>
    <t>　　今年初，比亚迪正式曝光了全新旗舰轿车――汉的官方渲染图片，新车将会推出dm（插电混动）和ev（纯电动）两个版本。根据此前公布的消息来看，比亚迪汉ev/dm未来有望于2020年第二季度末/第三季度初（6月份左右）上市，目前已经完成申报。近日，我们获得了该车的实拍图片。ev版车型采用了大量源自e-s</t>
  </si>
  <si>
    <t>广汽传祺曾在去年初推出了一款入门级mpv gm6，该车定位低于gm8，并且没有采用侧滑门形式，动力上全系搭载1.5t发动机。近日了解到，广汽传祺将在2020年3月建成发动机扩建项目，其中包括2.0t发动机。根据环评信息显示，gm6也将搭载该工厂生产的2.0t发动机，这也意味着gm6的动力表现将大幅提</t>
  </si>
  <si>
    <t>2020/02/03 10:06:00</t>
  </si>
  <si>
    <t>　　广汽传祺曾在去年初推出了一款入门级mpv gm6，该车定位低于gm8，并且没有采用侧滑门形式，动力上全系搭载1.5t发动机。近日了解到，广汽传祺将在2020年3月建成发动机扩建项目，其中包括2.0t发动机。根据环评信息显示，gm6也将搭载该工厂生产的2.0t发动机，这也意味着gm6的动力表现将大</t>
  </si>
  <si>
    <t>有不少开了七八年往上的老车，前大灯的灯罩逐渐开始发黄，照明效果极度下降，不仅仅影响了美观，还降低了行车的安全性，这是一个不容小觑的问题。今天小编就来教您如何自己动手解决这个问题~    美容蜡抛光处理    这也是一种解决汽车车灯灯罩长时间发黄的好办法，效果比其原先发黄的来说还是相当不错的。选用专门</t>
  </si>
  <si>
    <t>2020/02/03 10:04:00</t>
  </si>
  <si>
    <t>　　有不少开了七八年往上的老车，前大灯的灯罩逐渐开始发黄，照明效果极度下降，不仅仅影响了美观，还降低了行车的安全性，这是一个不容小觑的问题。今天小编就来教您如何自己动手解决这个问题~　　美容蜡抛光处理　　这也是一种解决汽车车灯灯罩长时间发黄的好办法，效果比其原先发黄的来说还是相当不错的。选用专门的美</t>
  </si>
  <si>
    <t>sedona是起亚旗下的一款mpv车型，而遗憾的是新车仅在海外市场销售。而国内市场方面，新车曾在2015-2017年间将起亚旗下嘉华车型引入国内市场销售。近日海外媒体曝光了一组起亚全新sedona车型渲染图，同时新车也对外观方面进行了全面升级，未来也将于别克gl8、本田奥德赛、克莱斯勒大捷龙等车型竞</t>
  </si>
  <si>
    <t>2020/02/03 10:03:00</t>
  </si>
  <si>
    <t>　　sedona是起亚旗下的一款mpv车型，而遗憾的是新车仅在海外市场销售。而国内市场方面，新车曾在2015-2017年间将起亚旗下嘉华车型引入国内市场销售。近日海外媒体曝光了一组起亚全新sedona车型渲染图，同时新车也对外观方面进行了全面升级，未来也将于别克gl8、本田奥德赛、克莱斯勒大捷龙等车</t>
  </si>
  <si>
    <t>2020年1月，是不平凡的一个月。春节及疫情的双重影响给我国汽车产业的发展带来了重磅一击。在如此恶劣的外部市场环境下，1月份实际上只有春节前20天左右的时间销售。对于本来就属于小众车型的皮卡来说，销量方面更是面临着巨大的挑战。同时，这也到了考验企业真正实力的时刻。    日前，2020年1月份各皮卡</t>
  </si>
  <si>
    <t>2020/02/03 10:02:00</t>
  </si>
  <si>
    <t>　　2020年1月，是不平凡的一个月。春节及疫情的双重影响给我国汽车产业的发展带来了重磅一击。在如此恶劣的外部市场环境下，1月份实际上只有春节前20天左右的时间销售。对于本来就属于小众车型的皮卡来说，销量方面更是面临着巨大的挑战。同时，这也到了考验企业真正实力的时刻。　　日前，2020年1月份各皮卡</t>
  </si>
  <si>
    <t>投诉编号：【446192】  投诉时间： 2020-02-03 10:01  投诉品牌： 东风日产  投诉车系： 轩逸  投诉车型： 2016款 1.6XL CVT 尊享版        投诉内容  轩逸变速箱30到40直接提不上速呜一声有顿挫感，提速到80在踩油门车速上不去，多少转都是这样，120</t>
  </si>
  <si>
    <t>2020/02/03 10:01:00</t>
  </si>
  <si>
    <t>提及保时捷macan想必大家对它并不陌生，虽然其市场销量不如品牌旗下卡宴车型，但其小巧的外观设计还是受到了诸多女性车主们的喜爱。近日海外媒体曝光了保时捷全新macan纯电版车型渲染图，据海外媒体猜测，新车预计将于2021年正式上市开售。（部分配图为保时捷macan gts车型）    动力方面，新车</t>
  </si>
  <si>
    <t>2020/02/03 09:59:00</t>
  </si>
  <si>
    <t>　　提及保时捷macan想必大家对它并不陌生，虽然其市场销量不如品牌旗下卡宴车型，但其小巧的外观设计还是受到了诸多女性车主们的喜爱。近日海外媒体曝光了保时捷全新macan纯电版车型渲染图，据海外媒体猜测，新车预计将于2021年正式上市开售。（部分配图为保时捷macan gts车型）　　动力方面，新车</t>
  </si>
  <si>
    <t>最近小编发现在某小视频软件中，一个前大灯清洗探头的视频得到了极高的点赞。然而小编想说这并不是一个高级功能，甚至十几二十年前就已经存在了。那么怎么看自己的车上有没有这个功能呢？这个功能真的有用吗？    汽车在夜晚或光线较暗的行驶过程中，雨水和尘埃会将前大灯的照明度减少90%，驾驶员的视线受到严重影响</t>
  </si>
  <si>
    <t>2020/02/03 09:58:00</t>
  </si>
  <si>
    <t>　　最近小编发现在某小视频软件中，一个前大灯清洗探头的视频得到了极高的点赞。然而小编想说这并不是一个高级功能，甚至十几二十年前就已经存在了。那么怎么看自己的车上有没有这个功能呢？这个功能真的有用吗？　　汽车在夜晚或光线较暗的行驶过程中，雨水和尘埃会将前大灯的照明度减少90%，驾驶员的视线受到严重影响</t>
  </si>
  <si>
    <t>　　我们从广汽传祺官方获悉：第二代传祺gs4 coupe（轿跑版）将于今年4月底正式上市。新车在动力方面沿用了普通版车型的1.5t发动机，价格预计不会发生大的变化，购买门槛有望在9万元上下。其主要竞争对手是领克02和将于今年晚些时候上市的长安uni-t。　　gs4 coupe在第二代传祺gs4的基础</t>
  </si>
  <si>
    <t>2020/02/03 09:57:00</t>
  </si>
  <si>
    <t>我们从广汽传祺官方获悉：第二代传祺gs4 coupe（轿跑版）将于今年4月底正式上市。新车在动力方面沿用了普通版车型的1.5t发动机，价格预计不会发生大的变化，购买门槛有望在9万元上下。其主要竞争对手是领克02和将于今年晚些时候上市的长安uni-t。    gs4 coupe在第二代传祺gs4的基础</t>
  </si>
  <si>
    <t>　　t-roc探歌是大众旗下的一款紧凑级suv，该款车型于2018年正式在华国产开售，在2019年1-12月累计销量达到了126,859台，并紧随日产奇峻、本田cr-v、大众途岳等车型。近日海外媒体曝光了大众探歌敞篷版车型售价，新车海外市场其售价为26,750英镑（约为25万人民币），并已在英国市场</t>
  </si>
  <si>
    <t>2020/02/03 09:56:00</t>
  </si>
  <si>
    <t>t-roc探歌是大众旗下的一款紧凑级suv，该款车型于2018年正式在华国产开售，在2019年1-12月累计销量达到了126,859台，并紧随日产奇峻、本田cr-v、大众途岳等车型。近日海外媒体曝光了大众探歌敞篷版车型售价，新车海外市场其售价为26,750英镑（约为25万人民币），并已在英国市场正式</t>
  </si>
  <si>
    <t>　　eclipse cross是三菱旗下的一款紧凑级suv车型，国内市场称之为奕歌。虽然其市场销量不及品牌旗下欧兰德车型优秀，但其跨界车身设计还是吸引了诸多年轻消费群体前来买单。近日海外媒体曝光了一组三菱全新eclipse cross车型渲染图，并有望在今年晚些时候正式亮相。　　以下配图均为现款车型</t>
  </si>
  <si>
    <t>2020/02/03 09:55:00</t>
  </si>
  <si>
    <t>eclipse cross是三菱旗下的一款紧凑级suv车型，国内市场称之为奕歌。虽然其市场销量不及品牌旗下欧兰德车型优秀，但其跨界车身设计还是吸引了诸多年轻消费群体前来买单。近日海外媒体曝光了一组三菱全新eclipse cross车型渲染图，并有望在今年晚些时候正式亮相。    以下配图均为现款车型</t>
  </si>
  <si>
    <t>　　通用汽车正式确认“复活”悍马汽车。尽管如今悍马不再是通用汽车旗下的一个独立品牌，而是隶属于gmc的一个子品牌，但悍马复活的消息仍然吸引了很多人的关注。　　10年前，在将悍马产品线扩大到包括h2和h3运动型多用途车(suv)和皮卡之后，通用汽车停止了悍马车型的生产，虽然新悍马以gmc的身份进入市场</t>
  </si>
  <si>
    <t>2020/02/03 09:53:00</t>
  </si>
  <si>
    <t>通用汽车正式确认“复活”悍马汽车。尽管如今悍马不再是通用汽车旗下的一个独立品牌，而是隶属于gmc的一个子品牌，但悍马复活的消息仍然吸引了很多人的关注。    10年前，在将悍马产品线扩大到包括h2和h3运动型多用途车(suv)和皮卡之后，通用汽车停止了悍马车型的生产，虽然新悍马以gmc的身份进入市场</t>
  </si>
  <si>
    <t>　　今年是马自达品牌成立100周年，意义非凡，在早些时候就有传言表示马自达将在今年“复活”rx系列部分产品。马自达车迷对rx车型相比不会陌生，该系列为跑车车型，车身均搭载马自达专属的转子发动机。近日海外媒体曝光了马自达全新一代rx-7车型部分信息，新车将基于rx-vision 概念车打造（2015年</t>
  </si>
  <si>
    <t>2020/02/03 09:52:00</t>
  </si>
  <si>
    <t>今年是马自达品牌成立100周年，意义非凡，在早些时候就有传言表示马自达将在今年“复活”rx系列部分产品。马自达车迷对rx车型相比不会陌生，该系列为跑车车型，车身均搭载马自达专属的转子发动机。近日海外媒体曝光了马自达全新一代rx-7车型部分信息，新车将基于rx-vision 概念车打造（2015年北京</t>
  </si>
  <si>
    <t>　　mdx是讴歌旗下的一款中大型suv，与雷克萨斯rx、奔驰gle、宝马x5、奥迪q7为同级车型，该款车型于2007年以进口形式引入国内市场开售，同时也在细分市场中拥有着不错的销量表现。近日海外媒体曝光了一组讴歌mdx pmc特别版车型售价，新车海外市场售价为63,745美元（约为45万人民币），并</t>
  </si>
  <si>
    <t>2020/02/03 09:51:00</t>
  </si>
  <si>
    <t>mdx是讴歌旗下的一款中大型suv，与雷克萨斯rx、奔驰gle、宝马x5、奥迪q7为同级车型，该款车型于2007年以进口形式引入国内市场开售，同时也在细分市场中拥有着不错的销量表现。近日海外媒体曝光了一组讴歌mdx pmc特别版车型售价，新车海外市场售价为63,745美元（约为45万人民币），并已在</t>
  </si>
  <si>
    <t>　　疫情防控期间，公安交管业务实行“网上办、自助办、延期办”，为群众提供基本出行和生活物资运输服务便利。我们为您简单总结一下这次新政策的主要内容~　　1.延期办理驾驶人考试、满分教育、审验教育等有时限要求的业务　　对已在网上申请预约办理的，群众可以自主选择取消预约，取消考试预约不计入考试次数，也不影</t>
  </si>
  <si>
    <t>2020/02/03 09:50:00</t>
  </si>
  <si>
    <t>疫情防控期间，公安交管业务实行“网上办、自助办、延期办”，为群众提供基本出行和生活物资运输服务便利。我们为您简单总结一下这次新政策的主要内容~    1.延期办理驾驶人考试、满分教育、审验教育等有时限要求的业务    对已在网上申请预约办理的，群众可以自主选择取消预约，取消考试预约不计入考试次数，也</t>
  </si>
  <si>
    <t>　　bronco是福特旗下的一款中型suv，遗憾的是该款车型仅在海外市场进行销售，并与丰田汉兰达、别克昂科威、大众探岳途观l、jeep牧马人为同级车型。近日海外媒体曝光了一组福特全新bronco最新渲染图片，据海外媒体猜测，新车预计将于今年晚些时候正式上市开售。　　外观方面，新车整体设计与jeep牧</t>
  </si>
  <si>
    <t>2020/02/03 09:48:00</t>
  </si>
  <si>
    <t>bronco是福特旗下的一款中型suv，遗憾的是该款车型仅在海外市场进行销售，并与丰田汉兰达、别克昂科威、大众探岳途观l、jeep牧马人为同级车型。近日海外媒体曝光了一组福特全新bronco最新渲染图片，据海外媒体猜测，新车预计将于今年晚些时候正式上市开售。    外观方面，新车整体设计与jeep牧</t>
  </si>
  <si>
    <t>　　凭借旗下suv矩阵的强势发挥，长安系中国品牌汽车在2019年销量突破128万辆，连续5年超百万。2020年，长安系中国品牌还将推出更多全新suv产品，以满足时下年轻一代消费者的需要。我们从长安汽车官方获悉：长安uni-t最快将于今年6月上市。新车定位于紧凑型轿跑suv，前脸造型与雷克萨斯nx颇为</t>
  </si>
  <si>
    <t>2020/02/03 09:47:00</t>
  </si>
  <si>
    <t>凭借旗下suv矩阵的强势发挥，长安系中国品牌汽车在2019年销量突破128万辆，连续5年超百万。2020年，长安系中国品牌还将推出更多全新suv产品，以满足时下年轻一代消费者的需要。我们从长安汽车官方获悉：长安uni-t最快将于今年6月上市。新车定位于紧凑型轿跑suv，前脸造型与雷克萨斯nx颇为相似</t>
  </si>
  <si>
    <t>　　mdx是讴歌旗下的一款中大型suv（本田子品牌），初代mdx车型在2001年推出，并与宝马x5、英菲尼迪qx60、雷克萨斯rx车型展开竞争。近日讴歌在海外市场上市了mdx pmc特别版车型，新车在去年洛杉矶车展正式亮相，诞生于讴歌nsx车型专属工厂――美国俄亥俄州pmc性能制造中心，并经过手工组</t>
  </si>
  <si>
    <t>2020/02/03 09:44:00</t>
  </si>
  <si>
    <t>mdx是讴歌旗下的一款中大型suv（本田子品牌），初代mdx车型在2001年推出，并与宝马x5、英菲尼迪qx60、雷克萨斯rx车型展开竞争。近日讴歌在海外市场上市了mdx pmc特别版车型，新车在去年洛杉矶车展正式亮相，诞生于讴歌nsx车型专属工厂——美国俄亥俄州pmc性能制造中心，并经过手工组装。</t>
  </si>
  <si>
    <t>model y是特斯拉旗下即将推出的一款中型纯电suv，该款车型的推出也预示着未来将与豪华品牌奥迪e-tron、奔驰eqc、宝马ix3等纯电动suv车型展开竞争。近日据海外媒体曝光，特斯拉model y现已正式投产，并将于今年3月交付首批样车。    据特斯拉（tesla）首席执行官埃隆·马斯克（e</t>
  </si>
  <si>
    <t>2020/02/03 09:42:00</t>
  </si>
  <si>
    <t>　　model y是特斯拉旗下即将推出的一款中型纯电suv，该款车型的推出也预示着未来将与豪华品牌奥迪e-tron、奔驰eqc、宝马ix3等纯电动suv车型展开竞争。近日据海外媒体曝光，特斯拉model y现已正式投产，并将于今年3月交付首批样车。　　据特斯拉（tesla）首席执行官埃隆・马斯克（e</t>
  </si>
  <si>
    <t>e63是梅赛德斯-amg旗下的一款中大型性能车，与宝马m5、奥迪rs6为同级性能车型，凭着个性的外观以及强大的动力性能在国内细分市场中，拥有着不错的销量成绩。近日海外媒体曝光了一组梅赛德斯-全新amg e63车型渲染图片，新车预计将于今年年底正式亮相。    以下配图为现款车型    动力方面，新车</t>
  </si>
  <si>
    <t>2020/02/03 09:41:00</t>
  </si>
  <si>
    <t>　　e63是梅赛德斯-amg旗下的一款中大型性能车，与宝马m5、奥迪rs6为同级性能车型，凭着个性的外观以及强大的动力性能在国内细分市场中，拥有着不错的销量成绩。近日海外媒体曝光了一组梅赛德斯-全新amg e63车型渲染图片，新车预计将于今年年底正式亮相。　　 以下配图为现款车型　　动力方面，新车将</t>
  </si>
  <si>
    <t>　　索兰托是起亚旗下的一款中型suv，该款车型曾以进口形式引入国内市场销售，而其当年市场销量并不亚于丰田汉兰达、别克昂科威等车型。近日海外媒体曝光了一组起亚全新索兰托实车图片，据海外媒体宣称，此外报道的2月17日首次亮相并非属实，而该款车型也有望将在3月日内瓦车展上首次亮相。　　动力方面，新车将搭载</t>
  </si>
  <si>
    <t>2020/02/03 09:39:00</t>
  </si>
  <si>
    <t>索兰托是起亚旗下的一款中型suv，该款车型曾以进口形式引入国内市场销售，而其当年市场销量并不亚于丰田汉兰达、别克昂科威等车型。近日海外媒体曝光了一组起亚全新索兰托实车图片，据海外媒体宣称，此外报道的2月17日首次亮相并非属实，而该款车型也有望将在3月日内瓦车展上首次亮相。    动力方面，新车将搭载</t>
  </si>
  <si>
    <t>　　特斯拉官方宣布，为方便车主疫情期间的出行，在需要时高效顺利补能，即日起暂时开放了全系车辆超充免费服务，直至疫情解除。话是这么说，但是真实行起来之后呢？　　 特斯拉通知全文内容如下：　　为方便您在本次疫情出现期间的出行，从即日起，我们将暂时开放tesla全系车辆在超级充电站免费充电，直至此次疫情解</t>
  </si>
  <si>
    <t>2020/02/03 09:37:00</t>
  </si>
  <si>
    <t>特斯拉官方宣布，为方便车主疫情期间的出行，在需要时高效顺利补能，即日起暂时开放了全系车辆超充免费服务，直至疫情解除。话是这么说，但是真实行起来之后呢？    特斯拉通知全文内容如下：    为方便您在本次疫情出现期间的出行，从即日起，我们将暂时开放tesla全系车辆在超级充电站免费充电，直至此次疫情</t>
  </si>
  <si>
    <t>　　提及悍马汽车品牌想必大家并不陌生，该品牌车型最早应用在军事行动的战场上，后期也逐渐演变成为普通民用车辆。近日海外媒体曝光了悍马纯电版车型预告图，新车将于今年5月20日正式亮相，并将于明年秋季上市开售。　　动力方面，新车将采用纯电形式进行驱动，最大功率可达746kw，峰值扭矩也将大于1000n.m</t>
  </si>
  <si>
    <t>2020/02/03 09:36:00</t>
  </si>
  <si>
    <t>提及悍马汽车品牌想必大家并不陌生，该品牌车型最早应用在军事行动的战场上，后期也逐渐演变成为普通民用车辆。近日海外媒体曝光了悍马纯电版车型预告图，新车将于今年5月20日正式亮相，并将于明年秋季上市开售。    动力方面，新车将采用纯电形式进行驱动，最大功率可达746kw，峰值扭矩也将大于1000n.m</t>
  </si>
  <si>
    <t>　　2020年的新型冠状肺炎疫情的蔓延牵动着全国人民的心，在汽车行业，神龙汽车、东风本田、上汽通用、东风日产在内的多家车企受疫情影响而延迟复工，广汇汽车、永达汽车集团等汽车经销商集团，也先后发布了各店暂停营业的公告。　　“以人为尊”是沃尔沃汽车一直秉承的理念，致力于以先进的车内健康技术为所有驾乘者营</t>
  </si>
  <si>
    <t>2020/02/03 09:34:00</t>
  </si>
  <si>
    <t>2020年的新型冠状肺炎疫情的蔓延牵动着全国人民的心，在汽车行业，神龙汽车、东风本田、上汽通用、东风日产在内的多家车企受疫情影响而延迟复工，广汇汽车、永达汽车集团等汽车经销商集团，也先后发布了各店暂停营业的公告。    “以人为尊”是沃尔沃汽车一直秉承的理念，致力于以先进的车内健康技术为所有驾乘者营</t>
  </si>
  <si>
    <t>　　xf是捷豹旗下的一款中大型轿车，其进口版车型于2008年引入国内市场进行销售，而国产长轴版车型也于2017年正式在华国产开售。近日海外媒体曝光了一组捷豹全新xf路试谍照图片，新车将于今年下半年正式亮相，并有望在今年年底或明年年初上市开售。　　动力方面，新车将搭载一台3.0t v6涡轮增压发动机，</t>
  </si>
  <si>
    <t>2020/02/03 09:33:00</t>
  </si>
  <si>
    <t>xf是捷豹旗下的一款中大型轿车，其进口版车型于2008年引入国内市场进行销售，而国产长轴版车型也于2017年正式在华国产开售。近日海外媒体曝光了一组捷豹全新xf路试谍照图片，新车将于今年下半年正式亮相，并有望在今年年底或明年年初上市开售。    动力方面，新车将搭载一台3.0t v6涡轮增压发动机，</t>
  </si>
  <si>
    <t>　　近期，新型冠状病毒感染肺炎对全国各地的施虐牵动了亿万国人的心，尤其是湖北武汉疫情更是让人着急，而在这样的情况下，我们看到了各行各业都纷纷伸出了援助之手，其中北汽福田早早就行动了起来，为重点疫情爆发区提供了25辆“负压救护车”，而这些“负压救护车”就如同一台台移动“空气净化器”，能为疫情患者的治疗</t>
  </si>
  <si>
    <t>2020/02/03 09:32:00</t>
  </si>
  <si>
    <t>近期，新型冠状病毒感染肺炎对全国各地的施虐牵动了亿万国人的心，尤其是湖北武汉疫情更是让人着急，而在这样的情况下，我们看到了各行各业都纷纷伸出了援助之手，其中北汽福田早早就行动了起来，为重点疫情爆发区提供了25辆“负压救护车”，而这些“负压救护车”就如同一台台移动“空气净化器”，能为疫情患者的治疗提供</t>
  </si>
  <si>
    <t>2020/02/03 09:30:10</t>
  </si>
  <si>
    <t>投诉编号：【446187】
投诉时间： 2020-02-03 08:49
投诉品牌： 一汽-大众奥迪
投诉车系： 奥迪Q5
投诉车型： 2011款 2.0TFSI 自动 舒适型</t>
  </si>
  <si>
    <t>　　本期的家电冬令营我们找来了国产新势力--小鹏g3，和传统燃油车将油耗作为选车的一大考虑因素相同，新能源车型的能耗以及续航表现也是权衡车辆品质的重中之重，反观本期主角小鹏g3 520长续航版车型的官标nedc续航为520km，在冬季实际使用中，它的续航能力究竟缩水了多少？废话少说，我们直接看看干货</t>
  </si>
  <si>
    <t>2020/02/03 09:30:00</t>
  </si>
  <si>
    <t xml:space="preserve">本期的家电冬令营我们找来了国产新势力--小鹏g3，和传统燃油车将油耗作为选车的一大考虑因素相同，新能源车型的能耗以及续航表现也是权衡车辆品质的重中之重，反观本期主角小鹏g3 520长续航版车型的官标nedc续航为520km，在冬季实际使用中，它的续航能力究竟缩水了多少？废话少说，我们直接看看干货。 </t>
  </si>
  <si>
    <t>　　现在出行要说没个车还真不方便，硕大的城市无论是上班通勤还是周末郊游，有一辆属于自己的车还是十分便捷的，但现在的汽车市场上能选择的车型多如牛毛，低至三五万高至几百万，让消费者挑花了眼有些无从下手。而车型多了，消费者也将面对一个问题，那就是该如何花最合适的价钱选择性价比最高的车。那么，接下来就为各位</t>
  </si>
  <si>
    <t>2020/02/03 09:27:00</t>
  </si>
  <si>
    <t>　　从2018年开始，中国汽车市场就开始首次出现了负增长，直至2019年，情况更是明显。但就是这种情况之下，一汽丰田全年热销73.75万辆，全新的亚洲龙车型更是脱胎于tnga架构下的崭新产品，在2019年末已经连续两个月销量超9千台，月销破万指日可待。热销的背后其实不难分析出一个现象，消费者偏爱亚洲</t>
  </si>
  <si>
    <t>2020/02/03 09:25:00</t>
  </si>
  <si>
    <t>我们从日产中国官方获悉，2019年东风启辰的累计销量为12.3万辆，同比下降8.6%。虽然整体销量有所下滑，但从下半年开始，东风启辰的单月销量已经实现了连续环比增长。按规划，2020年东风启辰将推出多款suv产品，其中率先上市的将是启辰星。    销量不佳，车市整体环境不理想有部分影响，另一方面也与</t>
  </si>
  <si>
    <t>2020/02/03 09:22:00</t>
  </si>
  <si>
    <t>　　我们从日产中国官方获悉，2019年东风启辰的累计销量为12.3万辆，同比下降8.6%。虽然整体销量有所下滑，但从下半年开始，东风启辰的单月销量已经实现了连续环比增长。按规划，2020年东风启辰将推出多款suv产品，其中率先上市的将是启辰星。　　销量不佳，车市整体环境不理想有部分影响，另一方面也与</t>
  </si>
  <si>
    <t>2019年东风英菲尼迪在华全年销售3.5万辆，实现21.36%的同比增长。据了解，东风英菲尼迪官方公布了2020年销量目标，今年东风英菲尼迪将挑战3.36万辆的销量目标，将继续加深在华的本土化战略和电气化战略。    2013年英菲尼迪在华销售新车1.7万辆，2013年英菲尼迪对综艺节目的赞助使其国</t>
  </si>
  <si>
    <t>2020/02/03 09:21:00</t>
  </si>
  <si>
    <t>　　2019年东风英菲尼迪在华全年销售3.5万辆，实现21.36%的同比增长。据了解，东风英菲尼迪官方公布了2020年销量目标，今年东风英菲尼迪将挑战3.36万辆的销量目标，将继续加深在华的本土化战略和电气化战略。　　2013年英菲尼迪在华销售新车1.7万辆，2013年英菲尼迪对综艺节目的赞助使其国</t>
  </si>
  <si>
    <t>有海外媒体报道称，标致汽车将缺席今年3月开幕的日内瓦车展。这也意味着同属psa集团下的雪铁龙和欧宝品牌，也将错过这届汽车展览会。    标致并非头一家缺席日内瓦车展的汽车制造商。此前，兰博基尼、玛莎拉蒂、通用系、日产、mini、三菱等品牌纷纷表示不参加2020日内瓦车展。据了解，车展展示的费用十分昂</t>
  </si>
  <si>
    <t>2020/02/03 09:20:00</t>
  </si>
  <si>
    <t>　　有海外媒体报道称，标致汽车将缺席今年3月开幕的日内瓦车展。这也意味着同属psa集团下的雪铁龙和欧宝品牌，也将错过这届汽车展览会。　　标致并非头一家缺席日内瓦车展的汽车制造商。此前，兰博基尼、玛莎拉蒂、通用系、日产、mini、三菱等品牌纷纷表示不参加2020日内瓦车展。据了解，车展展示的费用十分昂</t>
  </si>
  <si>
    <t>从各品牌车企召回情况来看，德系和日系品牌成为去年召回数量最大的两个车系，虽说德系和日系车辆占据国内汽车市场销量的绝大多数，但仍不及70%的召回份额。其中，宝马、奔驰、大众在内的德系5品牌累计发布57次公告，共召回汽车332.6万辆，占比近一半。而日系累计召回汽车139.3万辆，占比两成左右；美系车型</t>
  </si>
  <si>
    <t>2020/02/03 09:19:00</t>
  </si>
  <si>
    <t>　　从各品牌车企召回情况来看，德系和日系品牌成为去年召回数量最大的两个车系，虽说德系和日系车辆占据国内汽车市场销量的绝大多数，但仍不及70%的召回份额。其中，宝马、奔驰、大众在内的德系5品牌累计发布57次公告，共召回汽车332.6万辆，占比近一半。而日系累计召回汽车139.3万辆，占比两成左右；美系</t>
  </si>
  <si>
    <t>谢嵩</t>
  </si>
  <si>
    <t>我们从长安马自达官方获悉，其2019年全年销量为13.6万辆，同比下滑16.5%。不过，在12月长安马自达的主要产品马自达3 axela昂克赛拉和马自达cx-5的销量都实现了增长。另据了解，今年长安马自达将国产小型suv cx-30，并将为马自达3 axela昂克赛拉换装应用“skyactiv-x”</t>
  </si>
  <si>
    <t>2020/02/03 09:17:00</t>
  </si>
  <si>
    <t>　　我们从长安马自达官方获悉，其2019年全年销量为13.6万辆，同比下滑16.5%。不过，在12月长安马自达的主要产品马自达3 axela昂克赛拉和马自达cx-5的销量都实现了增长。另据了解，今年长安马自达将国产小型suv cx-30，并将为马自达3 axela昂克赛拉换装应用“skyactiv-</t>
  </si>
  <si>
    <t>我们从官方了解到，东风本田全年终端累计销量为788,916辆，同比增长13.2%。考虑到车市整体下行的背景，东风本田获得此成绩实属不易。在2020年，东风本田将推更多新车型以促进销量增长，其中最为引人关注的或许就是两厢版思域了。    不过，在东风本田全年生产的车辆已超过了80万辆，但即便算上了新投</t>
  </si>
  <si>
    <t>2020/02/03 09:15:00</t>
  </si>
  <si>
    <t>　　我们从官方了解到，东风本田全年终端累计销量为788,916辆，同比增长13.2%。考虑到车市整体下行的背景，东风本田获得此成绩实属不易。在2020年，东风本田将推更多新车型以促进销量增长，其中最为引人关注的或许就是两厢版思域了。　　不过，在东风本田全年生产的车辆已超过了80万辆，但即便算上了新投</t>
  </si>
  <si>
    <t>我们从一汽马自达官方获悉，一汽马自达2019年累计销量为9.1万辆，同比2018年下降16.1%。不过，在第四季度一汽马自达的销量已恢复增长，其中12月销量达到了1.0万辆。    具体到各车型来看，阿特兹车型12月销量为4,724辆，同比增长32.5%，全年累计销量则达到了4.2万辆。考虑到市场下</t>
  </si>
  <si>
    <t>2020/02/03 09:13:00</t>
  </si>
  <si>
    <t>　　我们从一汽马自达官方获悉，一汽马自达2019年累计销量为9.1万辆，同比2018年下降16.1%。不过，在第四季度一汽马自达的销量已恢复增长，其中12月销量达到了1.0万辆。　　具体到各车型来看，阿特兹车型12月销量为4,724辆，同比增长32.5%，全年累计销量则达到了4.2万辆。考虑到市场下</t>
  </si>
  <si>
    <t>随着新型冠状病毒疫情的不断蔓延，全国各大企业积极响应并履行起企业社会责任。据悉，目前已有多家车企向武汉疫区捐款捐物，其中包括华晨雷诺金杯、北汽福田、上汽maxus等企业更是在加班加点的生产负压式救护车。驰援抗疫前线，汽车人在行动，他们在这场没有硝烟的战争中，正在付出哪些努力？负压式救护车生产有何难度</t>
  </si>
  <si>
    <t>2020/02/03 09:11:00</t>
  </si>
  <si>
    <t>　　随着新型冠状病毒疫情的不断蔓延，全国各大企业积极响应并履行起企业社会责任。据悉，目前已有多家车企向武汉疫区捐款捐物，其中包括华晨雷诺金杯、北汽福田、上汽maxus等企业更是在加班加点的生产负压式救护车。驰援抗疫前线，汽车人在行动，他们在这场没有硝烟的战争中，正在付出哪些努力？负压式救护车生产有何</t>
  </si>
  <si>
    <t>投诉编号：【446189】  投诉时间： 2020-02-03 09:09  投诉品牌： 广汽本田  投诉车系： 飞度  投诉车型： 2014款 1.5L CVT LX舒适型        投诉内容  车一直保养的很好，没碰过，可是到处都生锈！最怀疑人生的是车机盖不存水的地方都生锈！而且一到冬天每天</t>
  </si>
  <si>
    <t>2020/02/03 09:09:00</t>
  </si>
  <si>
    <t xml:space="preserve">随着新型冠状病毒感染的肺炎疫情不断蔓延，刚需出行成为人们十分关注的话题。对于私家车而言，虽然属于私人空间，但也会遇到往返公共场所，搭载非确定感染人员的情况。那么私家车该如何做好清洁，让这一特殊时期的出行无忧呢？近日，中国疾控中心发布的相关预防指南做出详细解读。     1、私家车日常如何预防?   </t>
  </si>
  <si>
    <t>　　随着新型冠状病毒感染的肺炎疫情不断蔓延，刚需出行成为人们十分关注的话题。对于私家车而言，虽然属于私人空间，但也会遇到往返公共场所，搭载非确定感染人员的情况。那么私家车该如何做好清洁，让这一特殊时期的出行无忧呢？近日，中国疾控中心发布的相关预防指南做出详细解读。　　 1、私家车日常如何预防?　　一</t>
  </si>
  <si>
    <t>2020年2月2日，北京市交通委员会发布公告，鉴于本市采取学校延期开学、企业灵活安排工作等措施，预判近期城市路网不会出现严重拥堵。同时，为了方便因春节假期延长而推迟返京的自驾车市民顺利回城，经市政府同意，自2020年2月3日至2月9日（正月十六、星期日），继续按照节假日模式进行道路交通管理，延迟恢复</t>
  </si>
  <si>
    <t>2020/02/03 09:07:00</t>
  </si>
  <si>
    <t>　　2020年2月2日，北京市交通委员会发布公告，鉴于本市采取学校延期开学、企业灵活安排工作等措施，预判近期城市路网不会出现严重拥堵。同时，为了方便因春节假期延长而推迟返京的自驾车市民顺利回城，经市政府同意，自2020年2月3日至2月9日（正月十六、星期日），继续按照节假日模式进行道路交通管理，延迟</t>
  </si>
  <si>
    <t>2月1日，北京市小客车指标调控管理办公室发布《关于延期使用部分小客车指标的通告》（文中简称《通告》），根据目前本市新型冠状病毒疫情防控和市民生产、生活实际情况，为避免市民在防控疫情期间聚集办理车辆注册登记，防止因防控疫情原因导致小客车指标过期，保障小客车指标持有人的合法权益，经市政府同意，决定延长部</t>
  </si>
  <si>
    <t>2020/02/03 09:06:00</t>
  </si>
  <si>
    <t>　　2月1日，北京市小客车指标调控管理办公室发布《关于延期使用部分小客车指标的通告》（文中简称《通告》），根据目前本市新型冠状病毒疫情防控和市民生产、生活实际情况，为避免市民在防控疫情期间聚集办理车辆注册登记，防止因防控疫情原因导致小客车指标过期，保障小客车指标持有人的合法权益，经市政府同意，决定延</t>
  </si>
  <si>
    <t>据海外媒体透露，中国国际贸易促进委员会日前（文中简称贸促会）表示，将向受新型冠状病毒疫情影响的海内外合作业务受阻的外贸公司提供不可抗力证明，这份不可抗力证明将会使附带进出口业务的车企和零部件供应商减少因疫情导致的部分经济损失。    贸促会在一份声明中提到：“鉴于疫情传播，部分中国外贸公司在商品交易</t>
  </si>
  <si>
    <t>2020/02/03 09:05:00</t>
  </si>
  <si>
    <t>　　据海外媒体透露，中国国际贸易促进委员会日前（文中简称贸促会）表示，将向受新型冠状病毒疫情影响的海内外合作业务受阻的外贸公司提供不可抗力证明，这份不可抗力证明将会使附带进出口业务的车企和零部件供应商减少因疫情导致的部分经济损失。　　贸促会在一份声明中提到：“鉴于疫情传播，部分中国外贸公司在商品交易</t>
  </si>
  <si>
    <t>17、18万预算买辆个性的合资B级车，简直太简单不过！我们把日系三强、德系双雄排除了，太烂大街了！要个性，那颜值必须高，这里我们给大家推荐三款，马自达阿特兹、斯科达速派、东风标致508！说到个性，首先推荐马自达阿特兹，颜值与实力兼具的选项。阿特兹改款后外观、内饰更加精致，特别内饰在设计和选材上更加讲</t>
  </si>
  <si>
    <t>2020/02/03 08:44:00</t>
  </si>
  <si>
    <t>这三款车型高颜值非常适合年轻人17、18万预算买辆个性的合资B级车，简直太简单不过！我们把日系三强、德系双雄排除了，太烂大街了！要个性，那颜值必须高，这里我们给大家推荐三款，马自达阿特兹、斯科达速派、东风标致508！说到个性，首先推荐马自达阿特兹，颜值与实力兼具的选项。阿特兹改款后外观、内饰更加精致</t>
  </si>
  <si>
    <t>今天小编推荐几款跑高速贼舒服的几款车型，关键最低只要10万起，喜欢的小伙伴赶紧搞起来！东风日产-轩逸经典市场指导价：9.98-14.30优惠力度：2万元左右如果说奥迪造车只是它的副业，造灯才是它的主业，那么日产也同样，小编一度认为日产的主业是造沙发，副业才是造车，因为日产的车型沙发都太舒服了，宽大厚</t>
  </si>
  <si>
    <t>2020/02/03 08:43:00</t>
  </si>
  <si>
    <t>跑高速贼舒服 家庭自驾游必选车型今天小编推荐几款跑高速贼舒服的几款车型，关键最低只要10万起，喜欢的小伙伴赶紧搞起来！东风日产-轩逸经典市场指导价：9.98-14.30优惠力度：2万元左右如果说奥迪造车只是它的副业，造灯才是它的主业，那么日产也同样，小编一度认为日产的主业是造沙发，副业才是造车，因为</t>
  </si>
  <si>
    <t>2020/02/03 08:42:00</t>
  </si>
  <si>
    <t>国人买车一向以大为美，所以很多车型在进入中国市场之后都会变成“L”版。像小型车或者小型SUV给人的印象就是排量不大，动力相对偏弱。但是并不是所有小型车或者小型SUV都是这样的，小排量也能有大能量。雷诺科雷缤指导价：9.98-14.48万科雷缤是东风雷诺推出的第三款SUV，也是雷诺卡缤的国产版本。在外</t>
  </si>
  <si>
    <t>2020/02/03 08:41:00</t>
  </si>
  <si>
    <t>小排量也有大能量 这三款SUV值得拥有国人买车一向以大为美，所以很多车型在进入中国市场之后都会变成“L”版。像小型车或者小型SUV给人的印象就是排量不大，动力相对偏弱。但是并不是所有小型车或者小型SUV都是这样的，小排量也能有大能量。雷诺科雷缤指导价：9.98-14.48万科雷缤是东风雷诺推出的第三</t>
  </si>
  <si>
    <t>2020/02/03 08:17:31</t>
  </si>
  <si>
    <t>投诉编号：【446184】
投诉时间： 2020-02-03 06:21
投诉品牌： 东风悦达起亚
投诉车系： 起亚K3
投诉车型： 2019款 1.5L CVT 智享互联版</t>
  </si>
  <si>
    <t>2020/02/03 07:54:37</t>
  </si>
  <si>
    <t>投诉编号：【446183】
投诉时间： 2020-02-03 03:03
投诉品牌： 一汽-大众
投诉车系： 高尔夫
投诉车型： 2016款 1.6L 自动 舒适型</t>
  </si>
  <si>
    <t>　　吉利汽车近年来取得的成绩有目共睹，以缤瑞、博瑞、缤越以及博越等新生代车型组成的产品矩阵贡献了绝大多数的销量，逐渐成为吉利家族的顶梁柱。不过，吉利汽车也并没有忘记已经跟随自己打拼多年的“老臣们”，经常能听到这些车推出新款的消息，这些车型虽然技术没有那么先进，但稳定可靠的品质以及较高的性价比无疑是最</t>
  </si>
  <si>
    <t>2020/02/03 07:10:00</t>
  </si>
  <si>
    <t>　　作为一名车迷，无论是家里墙壁上张贴的海报，还是电脑桌面设置的壁纸，总少不了法拉利的身影。这个传奇跑车品牌，总能给人无尽的幻想。而法拉利全新车型Roma，却好像少了些暴躁与张狂，或许它确实不能带你一次次冲击最快的圈速，但能够让你“慢下来”细细品味人车共处的惬意。　　外观：感性且温和　　法拉利Rom</t>
  </si>
  <si>
    <t>作为一名车迷，无论是家里墙壁上张贴的海报，还是电脑桌面设置的壁纸，总少不了法拉利的身影。这个传奇跑车品牌，总能给人无尽的幻想。而法拉利全新车型Roma，却好像少了些暴躁与张狂，或许它确实不能带你一次次冲击最快的圈速，但能够让你“慢下来”细细品味人车共处的惬意。    外观：感性且温和    法拉利R</t>
  </si>
  <si>
    <t>2020/02/03 03:12:57</t>
  </si>
  <si>
    <t>投诉编号：【446181】
投诉时间： 2020-02-03 02:30
投诉品牌： 上汽集团
投诉车系： 荣威RX5
投诉车型： 2016款 1.5T 手动 两驱 旗舰版</t>
  </si>
  <si>
    <t>2020/02/03 02:38:18</t>
  </si>
  <si>
    <t>投诉编号：【446179】
投诉时间： 2020-02-03 00:58
投诉品牌： 上汽通用别克
投诉车系： 君越
投诉车型： 2019款 28T 豪华型</t>
  </si>
  <si>
    <t>2020/02/03 02:38:00</t>
  </si>
  <si>
    <t>投诉编号：【446180】
投诉时间： 2020-02-03 01:44
投诉品牌： 长安福特
投诉车系： 福克斯
投诉车型： 2012款 1.6 手动 舒适型 三厢</t>
  </si>
  <si>
    <t>2020/02/03 00:46:03</t>
  </si>
  <si>
    <t>投诉编号：【446178】
投诉时间： 2020-02-03 00:22
投诉品牌： 东南汽车
投诉车系： 东南DX3
投诉车型： 2018款 1.5L 手动 豪华型</t>
  </si>
  <si>
    <t>2020/02/03 00:45:26</t>
  </si>
  <si>
    <t>投诉编号：【446176】
投诉时间： 2020-02-03 00:12
投诉品牌： 北京奔驰
投诉车系： 奔驰C级
投诉车型： 2013款 260 优雅型 Grand Edition</t>
  </si>
  <si>
    <t>投诉编号：【446177】  投诉时间： 2020-02-03 00:13  投诉品牌： 吉利汽车  投诉车系： 博越  投诉车型： 2020款 1.8TD DCT 两驱 智联型4G互联版        投诉内容  我是19年12.8在沧州国提车，在沧州行驶930多公里一切正常，腊月二十九晚上，回甘</t>
  </si>
  <si>
    <t>2020/02/03 00:13:00</t>
  </si>
  <si>
    <t>2020/02/02 23:33:47</t>
  </si>
  <si>
    <t>投诉编号：【446174】
投诉时间： 2020-02-02 23:33
投诉品牌： 广汽三菱
投诉车系： 欧蓝德
投诉车型： 2019款 2.0L 两驱 畅享版 5座 国VI</t>
  </si>
  <si>
    <t>2020/02/02 23:21:24</t>
  </si>
  <si>
    <t>投诉编号：【446169】
投诉时间： 2020-02-02 22:46
投诉品牌： 上汽大众
投诉车系： 途观L
投诉车型： 2019款 330TSI 自动 两驱 智动豪华版 国V</t>
  </si>
  <si>
    <t>投诉编号：【446173】  投诉时间： 2020-02-02 23:16  投诉品牌： 长安马自达  投诉车系： 马自达3 昂克赛拉  投诉车型： 2019款 云控版 两厢 1.5L 自动 豪华型 国VI        投诉内容  长安马自达昂克赛拉电瓶亏电导致无法启动，新车3个月电瓶亏电车门都无</t>
  </si>
  <si>
    <t>2020/02/02 23:16:00</t>
  </si>
  <si>
    <t xml:space="preserve">投诉编号：【446172】  投诉时间： 2020-02-02 22:53  投诉品牌： 一汽-大众奥迪  投诉车系： 奥迪Q5L  投诉车型： 2018款 45 TFSI 尊享时尚型 国VI        投诉内容  一汽大众奥迪Q5L中控及后喇叭杂音严重，希望厂家可以安排工作人员尽快解决。   </t>
  </si>
  <si>
    <t>2020/02/02 22:53:00</t>
  </si>
  <si>
    <t>投诉编号：【446170】  投诉时间： 2020-02-02 22:48  投诉品牌： 长安汽车  投诉车系： 长安CS75 PLUS  投诉车型： 2020款 1.5T 自动 豪华型        投诉内容  汽车的4个轮毂出现不同程度的生锈，厂家似乎没有做防锈处理，如果锈蚀严重后，影响行车安全</t>
  </si>
  <si>
    <t>2020/02/02 22:48:00</t>
  </si>
  <si>
    <t>2020/02/02 22:33:40</t>
  </si>
  <si>
    <t>投诉编号：【446168】
投诉时间： 2020-02-02 22:03
投诉品牌： 广汽本田
投诉车系： 锋范
投诉车型： 2015款 1.5L CVT 豪华版</t>
  </si>
  <si>
    <t>2020/02/02 22:07:34</t>
  </si>
  <si>
    <t>投诉编号：【446167】
投诉时间： 2020-02-02 21:38
投诉品牌： 长安福特
投诉车系： 福克斯
投诉车型： 2015款 1.6L 自动 舒适型 三厢</t>
  </si>
  <si>
    <t>传祺GS4</t>
  </si>
  <si>
    <t>没法开修车的时间快赶上开车了。</t>
  </si>
  <si>
    <t>ABS123456</t>
  </si>
  <si>
    <t>2020/02/02 21:57:00</t>
  </si>
  <si>
    <t>传祺GS4论坛</t>
  </si>
  <si>
    <t>16年的gs41挡起步异响？求大神指点没法开修车的时间快赶上开车了。</t>
  </si>
  <si>
    <t>投诉编号：【446166】  投诉时间： 2020-02-02 21:29  投诉品牌： 吉利汽车  投诉车系： 博越  投诉车型： 2016款 1.8TD 手动 两驱 智尚型        投诉内容  吉利博越转向异响是通病，这个毋庸置疑，我去潍坊4s更换转向柱碰到别人也在换，更换一个带蜘蛛网，的</t>
  </si>
  <si>
    <t>2020/02/02 21:29:00</t>
  </si>
  <si>
    <t>投诉编号：【446164】  投诉时间： 2020-02-02 21:01  投诉品牌： 东风日产  投诉车系： 轩逸  投诉车型： 2019款 1.6XV CVT 智联尊享版 国V        投诉内容  18年12月14日购买的19款新轩逸，由于当时4s工作人员的疏忽当天没有办上牌照，12月2</t>
  </si>
  <si>
    <t>2020/02/02 21:01:00</t>
  </si>
  <si>
    <t>投诉编号：【446161】  投诉时间： 2020-02-02 20:24  投诉品牌： 一汽-大众奥迪  投诉车系： 奥迪A6L  投诉车型： 2018款 35 TFSI 双离合 时尚型        投诉内容  18年刚买回来没做首保就出现无法着车问题拖回4S店维修，之后又出现底盘异响更换胶套解</t>
  </si>
  <si>
    <t>2020/02/02 20:24:00</t>
  </si>
  <si>
    <t>2020/02/02 19:39:05</t>
  </si>
  <si>
    <t>投诉编号：【446158】
投诉时间： 2020-02-02 19:24
投诉品牌： 比亚迪
投诉车系： 比亚迪M6
投诉车型： 2015款 2.4L 尊贵版 7座</t>
  </si>
  <si>
    <t>投诉编号：【446159】  投诉时间： 2020-02-02 19:39  投诉品牌： 一汽-大众  投诉车系： 速腾  投诉车型： 2019款 200TSI DSG 舒适型 国VI        投诉内容  先重申一下本人不是新手！这辆车买过来不到2个月，转弯时底部咕噜咕噜响过三次，声音很大，今</t>
  </si>
  <si>
    <t>2020/02/02 19:39:00</t>
  </si>
  <si>
    <t>2020/02/02 19:38:26</t>
  </si>
  <si>
    <t>投诉编号：【446156】
投诉时间： 2020-02-02 18:52
投诉品牌： 沃尔沃亚太
投诉车系： 沃尔沃XC60
投诉车型： 2020款 T5 四驱 智逸豪华版</t>
  </si>
  <si>
    <t>2020/02/02 18:37:17</t>
  </si>
  <si>
    <t>投诉编号：【446154】
投诉时间： 2020-02-02 18:32
投诉品牌： 奇瑞汽车
投诉车系： 艾瑞泽GX
投诉车型： 2019款 Pro 1.5T CVT 型色版 国VI</t>
  </si>
  <si>
    <t xml:space="preserve">投诉编号：【446153】  投诉时间： 2020-02-02 18:22  投诉品牌： 上汽通用五菱  投诉车系： 五菱宏光  投诉车型： 2015款 1.5L 基本型 S 国IV        投诉内容  买车不到一年半换了两个转向总成，三年刚过就换了消声器排气管，四年刚过车身生锈穿孔。    </t>
  </si>
  <si>
    <t>2020/02/02 18:22:00</t>
  </si>
  <si>
    <t>投诉编号：【446151】  投诉时间： 2020-02-02 18:07  投诉品牌： 上汽大众  投诉车系： 朗逸  投诉车型： 2018款 1.5L 自动 风尚版 经典 国VI        投诉内容  车快半年了，跑了3800公里了，刹车异响问题一直存在，2020年2月2日，下雪天，刹车异响</t>
  </si>
  <si>
    <t>2020/02/02 18:07:00</t>
  </si>
  <si>
    <t>投诉编号：【446149】  投诉时间： 2020-02-02 17:54  投诉品牌： 领克汽车  投诉车系： 领克02  投诉车型： 2019款 1.5T DCT 两驱 劲Pro版 国VI        投诉内容  购车5个多月，1月31日下午停在小区车位，1日下午，发现后档风玻璃碎裂，沿玻璃底</t>
  </si>
  <si>
    <t>2020/02/02 17:54:00</t>
  </si>
  <si>
    <t>2020/02/02 17:21:40</t>
  </si>
  <si>
    <t>投诉编号：【446148】
投诉时间： 2020-02-02 17:17
投诉品牌： 上汽通用别克
投诉车系： 君越
投诉车型： 2018款 28T 自动 精英型</t>
  </si>
  <si>
    <t>投诉编号：【446147】  投诉时间： 2020-02-02 17:16  投诉品牌： 一汽丰田  投诉车系： 卡罗拉  投诉车型： 2017款 1.6L CVT GL        投诉内容  我是17年2月4日，在沈阳丰田汽车销售服务有限公司买的卡罗拉（1.6手自动一体车）。在2019年12月</t>
  </si>
  <si>
    <t>2020/02/02 17:16:00</t>
  </si>
  <si>
    <t>投诉编号：【446144】  投诉时间： 2020-02-02 17:01  投诉品牌： 奇瑞汽车  投诉车系： 艾瑞泽GX  投诉车型： 2019款 1.5T 自动 新型色版 国V        投诉内容  汽车开到400公里左右的时候就听到发动机舱传来咚咚的声音，特别是市区加速的时候声音特别明显</t>
  </si>
  <si>
    <t>2020/02/02 17:01:00</t>
  </si>
  <si>
    <t>2020/02/02 16:48:02</t>
  </si>
  <si>
    <t>投诉编号：【446142】
投诉时间： 2020-02-02 16:37
投诉品牌： 东风日产
投诉车系： 奇骏
投诉车型： 2019款 2.0L CVT 智联舒适版 5座 2WD</t>
  </si>
  <si>
    <t>2020/02/02 16:29:06</t>
  </si>
  <si>
    <t>投诉编号：【446140】
投诉时间： 2020-02-02 15:49
投诉品牌： 长安马自达
投诉车系： 马自达CX-5
投诉车型： 2015款 2.0L 自动 两驱 都市型</t>
  </si>
  <si>
    <t>投诉编号：【446139】  投诉时间： 2020-02-02 15:41  投诉品牌： 上汽集团  投诉车系： 名爵6  投诉车型： 2019款 20T 自动 Trophy 竞技版+运动尾排竞速套装        投诉内容  买不到一星期发现前后保险杠有严重色差严重发黄，还是肉眼看很明显得那种，4</t>
  </si>
  <si>
    <t>2020/02/02 15:41:00</t>
  </si>
  <si>
    <t>投诉编号：【446138】  投诉时间： 2020-02-02 15:33  投诉品牌： 一汽-大众  投诉车系： 宝来  投诉车型： 2017款 1.6L 自动 舒适型        投诉内容  2019-1月至2020-2月份时出现，正常行驶中收油门及等红绿灯挂空挡时怠速在1200转，(正常情况</t>
  </si>
  <si>
    <t>2020/02/02 15:33:00</t>
  </si>
  <si>
    <t>投诉编号：【446134】  投诉时间： 2020-02-02 15:15  投诉品牌： 一汽-大众  投诉车系： 迈腾  投诉车型： 2015款 1.8TSI 豪华型 改款        投诉内容  2015年4月买的迈腾1.8T豪华版，落地25万多，目前总共里程4.5万公里多一点。一直在4S店保</t>
  </si>
  <si>
    <t>2020/02/02 15:15:00</t>
  </si>
  <si>
    <t>2020/02/02 14:49:10</t>
  </si>
  <si>
    <t>投诉编号：【446130】
投诉时间： 2020-02-02 14:45
投诉品牌： 众泰汽车
投诉车系： 众泰T300
投诉车型： 2017款 1.5T CVT 尊享型</t>
  </si>
  <si>
    <t>投诉编号：【446127】  投诉时间： 2020-02-02 14:31  投诉品牌： 广汽菲克菲亚特  投诉车系： 菲翔  投诉车型： 2015款 1.4T 手动 畅享版        投诉内容  广汽菲亚特菲翔蓝牙控制模块故障，现在根本无法连接蓝牙。要求厂家解决好车辆的问题。      投诉回</t>
  </si>
  <si>
    <t>2020/02/02 14:31:00</t>
  </si>
  <si>
    <t>投诉编号：【446124】  投诉时间： 2020-02-02 14:26  投诉品牌： 一汽-大众  投诉车系： 迈腾  投诉车型： 2018款 330TSI DSG 豪华型 改款        投诉内容  平常清洁时发现蓄电池上有类似油污的痕迹，没有特别注意，二次保养时，4S店告知是蓄电池漏液，</t>
  </si>
  <si>
    <t>2020/02/02 14:26:00</t>
  </si>
  <si>
    <t>投诉编号：【446123】  投诉时间： 2020-02-02 14:16  投诉品牌： 一汽-大众奥迪  投诉车系： 奥迪A4L  投诉车型： 2019款 40 TFSI 时尚型 国V        投诉内容  本人于2019年2月19日在珠海利恒奥迪购入了一台A4L轿车，在提车后十来天一次洗车被</t>
  </si>
  <si>
    <t>2020/02/02 14:16:00</t>
  </si>
  <si>
    <t>2020/02/02 14:12:13</t>
  </si>
  <si>
    <t>投诉编号：【446119】
投诉时间： 2020-02-02 13:30
投诉品牌： 东风本田
投诉车系： 思域
投诉车型： 2016款 220TURBO 自动 豪华版</t>
  </si>
  <si>
    <t>投诉编号：【446120】  投诉时间： 2020-02-02 13:36  投诉品牌： 一汽-大众  投诉车系： 探岳  投诉车型： 2019款 330TSI 四驱 豪华型 国Ⅵ        投诉内容  大灯雾化严重，有路灯路面看不到灯光,无路灯路面看不清前方，危机安全，多次险些碰到路障。多次沟</t>
  </si>
  <si>
    <t>2020/02/02 13:36:00</t>
  </si>
  <si>
    <t>2020/02/02 12:43:37</t>
  </si>
  <si>
    <t>投诉编号：【446116】
投诉时间： 2020-02-02 12:37
投诉品牌： 长安汽车
投诉车系： 长安CS55
投诉车型： 2018款 1.5T 自动 炫色型 国V</t>
  </si>
  <si>
    <t>投诉编号：【446114】  投诉时间： 2020-02-02 12:34  投诉品牌： 奇瑞汽车  投诉车系： 艾瑞泽7e  投诉车型： 2016款 1.6L e 致尚版        投诉内容  我在2020年2.1日白天出现倒车前进无反应，关电源两次后重启好了，晚车在下坡时突然报高压故障熄火无</t>
  </si>
  <si>
    <t>2020/02/02 12:34:00</t>
  </si>
  <si>
    <t>2020/02/02 12:10:35</t>
  </si>
  <si>
    <t>投诉编号：【446112】
投诉时间： 2020-02-02 12:04
投诉品牌： 东南汽车
投诉车系： 东南A5翼舞
投诉车型： 2019款 1.5L 手动 豪华版 国VI</t>
  </si>
  <si>
    <t>2020/02/02 12:10:24</t>
  </si>
  <si>
    <t>投诉编号：【446111】
投诉时间： 2020-02-02 11:48
投诉品牌： 一汽丰田
投诉车系： RAV4荣放
投诉车型： 2016款 2.0L CVT 两驱 风尚版 国V</t>
  </si>
  <si>
    <t>如今，新型冠状病毒肺炎疫情正在蔓延，汽车产业受到一定程度的影响。    日前，福特汽车表示，其在华合资公司长安福特的工厂开工时间预计延迟至2月10日。据了解，长安福特目前在重庆、杭州和哈尔滨等地拥有多处生产基地。</t>
  </si>
  <si>
    <t>2020/02/02 11:10:00</t>
  </si>
  <si>
    <t>　　如今，新型冠状病毒肺炎疫情正在蔓延，汽车产业受到一定程度的影响。　　日前，福特汽车表示，其在华合资公司长安福特的工厂开工时间预计延迟至2月10日。据了解，长安福特目前在重庆、杭州和哈尔滨等地拥有多处生产基地。</t>
  </si>
  <si>
    <t>　　日前，新浪汽车从特斯拉官方获悉，受新型冠状病毒影响，特斯拉上海工厂响应中国政府要求已暂时关闭。　　特斯拉首次财务官Zach Kirkhorn表示，受此影响，国产Model 3的生产将推迟一周半的时间，但这次事件不会对特斯拉的财务造成打击。　　众所周知，特斯拉上海超级工厂2019年第四季度实现竣工</t>
  </si>
  <si>
    <t>2020/02/02 11:08:00</t>
  </si>
  <si>
    <t>日前，新浪汽车从特斯拉官方获悉，受新型冠状病毒影响，特斯拉上海工厂响应中国政府要求已暂时关闭。    特斯拉首次财务官Zach Kirkhorn表示，受此影响，国产Model 3的生产将推迟一周半的时间，但这次事件不会对特斯拉的财务造成打击。    众所周知，特斯拉上海超级工厂2019年第四季度实现</t>
  </si>
  <si>
    <t>　　据日本经济新闻报道，本田在1月30日宣布，受疫情蔓延影响，本田决定停止其在天津和苏州的摩托车生产以及在广州和武汉的汽车生产，摩托车和汽车业务的生产均暂停至2月9日。　　据报道，本田原计划2月3日恢复武汉工厂的生产工作，但因疫情持续蔓延，当前，本田尚没有明确指出在华工厂的具体开工时间。</t>
  </si>
  <si>
    <t>2020/02/02 11:06:00</t>
  </si>
  <si>
    <t>据日本经济新闻报道，本田在1月30日宣布，受疫情蔓延影响，本田决定停止其在天津和苏州的摩托车生产以及在广州和武汉的汽车生产，摩托车和汽车业务的生产均暂停至2月9日。    据报道，本田原计划2月3日恢复武汉工厂的生产工作，但因疫情持续蔓延，当前，本田尚没有明确指出在华工厂的具体开工时间。</t>
  </si>
  <si>
    <t>日前，新浪汽车从北汽集团官方获悉，为驰援前线抗击疫情，北汽集团携旗下10家单位再捐1700万元，这10家单位分别是福田汽车、北汽越野车、北京汽车、北汽新能源、福建奔驰、北汽昌河、北汽鹏龙、海纳川、北汽产业投资、北汽财务。    据了解，北汽集团及成员单位、关联单位目前已累计捐款捐物4300万元，全力</t>
  </si>
  <si>
    <t>2020/02/02 10:57:00</t>
  </si>
  <si>
    <t>　　日前，新浪汽车从北汽集团官方获悉，为驰援前线抗击疫情，北汽集团携旗下10家单位再捐1700万元，这10家单位分别是福田汽车、北汽越野车、北京汽车、北汽新能源、福建奔驰、北汽昌河、北汽鹏龙、海纳川、北汽产业投资、北汽财务。　　据了解，北汽集团及成员单位、关联单位目前已累计捐款捐物4300万元，全力</t>
  </si>
  <si>
    <t>2月1日，神龙公司发布通知称，根据国务院办公厅关于延长2020年春节假期的通知、湖北省防控指挥部关于全省各类企业复工时间的要求，经神龙公司疫情防控指挥部研究决定，神龙公司正式复工时间不早于2月13日24时，具体时间根据疫情形势变化和政府相关要求，另行通知。    以下为《关于神龙公司复工安排的重要通</t>
  </si>
  <si>
    <t>2020/02/02 10:54:00</t>
  </si>
  <si>
    <t>　　2月1日，神龙公司发布通知称，根据国务院办公厅关于延长2020年春节假期的通知、湖北省防控指挥部关于全省各类企业复工时间的要求，经神龙公司疫情防控指挥部研究决定，神龙公司正式复工时间不早于2月13日24时，具体时间根据疫情形势变化和政府相关要求，另行通知。　　以下为《关于神龙公司复工安排的重要通</t>
  </si>
  <si>
    <t>投诉编号：【446108】  投诉时间： 2020-02-02 10:53  投诉品牌： 一汽-大众奥迪  投诉车系： 奥迪A4L  投诉车型： 2019款 40 TFSI 进取型 国VI        投诉内容  打开空调，刚开3分钟内吹出浓烈塑料臭味，开制冷或3分钟后味道有所减轻，但是还是持续臭</t>
  </si>
  <si>
    <t>2020/02/02 10:53:00</t>
  </si>
  <si>
    <t>2月1日，新京报记者从阿斯顿·马丁官方获悉，阿斯顿·马丁和加拿大Lawrence Stroll所牵头的财团达成协议，Stroll财团入股阿斯顿·马丁，Lawrence Stroll将会加入阿斯顿·马丁董事会并担任执行董事长，现任执行董事长Penny Hughes即将卸任。    据悉，1月30日阿斯</t>
  </si>
  <si>
    <t>2020/02/02 10:50:00</t>
  </si>
  <si>
    <t>　　2月1日，新京报记者从阿斯顿・马丁官方获悉，阿斯顿・马丁和加拿大Lawrence Stroll所牵头的财团达成协议，Stroll财团入股阿斯顿・马丁，Lawrence Stroll将会加入阿斯顿・马丁董事会并担任执行董事长，现任执行董事长Penny Hughes即将卸任。　　据悉，1月30日阿斯</t>
  </si>
  <si>
    <t>2020/02/02 10:48:38</t>
  </si>
  <si>
    <t>投诉编号：【446105】
投诉时间： 2020-02-02 10:07
投诉品牌： 奇瑞汽车
投诉车系： 艾瑞泽5
投诉车型： 2017款 1.5L CVT 豪华版</t>
  </si>
  <si>
    <t>2月1日，北京市小客车指标调控管理办公室发布公告称，根据目前北京市新型冠状病毒疫情防控和市民生产、生活实际情况，为避免市民在防控疫情期间聚集办理车辆注册登记，防止因防控疫情原因导致小客车指标过期，保障小客车指标持有人的合法权益，经市政府同意，决定延长部分小客车指标的使用期限，具体通告如下：小客车指标</t>
  </si>
  <si>
    <t>2020/02/02 10:46:00</t>
  </si>
  <si>
    <t>　　2月1日，北京市小客车指标调控管理办公室发布公告称，根据目前北京市新型冠状病毒疫情防控和市民生产、生活实际情况，为避免市民在防控疫情期间聚集办理车辆注册登记，防止因防控疫情原因导致小客车指标过期，保障小客车指标持有人的合法权益，经市政府同意，决定延长部分小客车指标的使用期限，具体通告如下：小客车</t>
  </si>
  <si>
    <t>投诉编号：【446107】  投诉时间： 2020-02-02 10:43  投诉品牌： 上汽通用五菱  投诉车系： 宝骏730  投诉车型： 2016款 1.5L 手动 舒适版 7座 国V        投诉内容  2017年9月23日，在哈尔滨买车到现在，换过多次配件，汽车喇叭盘线，挡杆套，汽车</t>
  </si>
  <si>
    <t>2020/02/02 10:43:00</t>
  </si>
  <si>
    <t>投诉编号：【446106】  投诉时间： 2020-02-02 10:39  投诉品牌： 上汽大众  投诉车系： 帕萨特  投诉车型： 2017款 330TSI 尊荣版        投诉内容  枕头安装错位，无法更换，。此设计是有缺陷的反人类设计。一般人以及大众内部厂商工作人员销售人员，都不知道这</t>
  </si>
  <si>
    <t>2020/02/02 10:39:00</t>
  </si>
  <si>
    <t>近日，据海外媒体报道称，梅赛德斯-奔驰公布了全新插电式混合动力SUV——2020款奔驰GLC 300e在英国的售价，该车的起售价为49687英镑（约合人民币45.5万元）。该车还提供Coupe版本，起售价为52562英镑（约合人民币48.1万元）。    梅赛德斯-奔驰GLC 300e在外观方面，新</t>
  </si>
  <si>
    <t>2020/02/02 10:35:00</t>
  </si>
  <si>
    <t>　　近日，据海外媒体报道称，梅赛德斯-奔驰公布了全新插电式混合动力SUV――2020款奔驰GLC 300e在英国的售价，该车的起售价为49687英镑（约合人民币45.5万元）。该车还提供Coupe版本，起售价为52562英镑（约合人民币48.1万元）。　　梅赛德斯-奔驰GLC 300e在外观方面，新</t>
  </si>
  <si>
    <t>　　日前，外媒报道称宝马将推迟其下一代MINI车型的开发计划，原因是公司内部正在试图削减成本，由于英国“脱欧”带来的不确定性为长期投资决策带来困难。　　伦敦时间1月31日晚11点，英国正式“脱欧”，结束了其47年的欧盟成员国身份。从当晚11点起，英国与欧盟进入“脱欧”过渡期，英国失去欧盟成员国资格，</t>
  </si>
  <si>
    <t>2020/02/02 10:31:00</t>
  </si>
  <si>
    <t>日前，外媒报道称宝马将推迟其下一代MINI车型的开发计划，原因是公司内部正在试图削减成本，由于英国“脱欧”带来的不确定性为长期投资决策带来困难。    伦敦时间1月31日晚11点，英国正式“脱欧”，结束了其47年的欧盟成员国身份。从当晚11点起，英国与欧盟进入“脱欧”过渡期，英国失去欧盟成员国资格，</t>
  </si>
  <si>
    <t>　　鉴于近期新型冠状病毒疫情影响，宝马集团已采取一定措施抑制病毒扩散传播。相关消息表示，宝马位于中国沈阳的大东工厂与铁西工厂将延长假期至2月9日，后期是否进一步延长假期将取决于疫情发展与政府规定等因素。　　宝马相关发言人表示，假期延长政策主要针对车间生产工人，白领工作人员将于2月3日恢复工作，员工将</t>
  </si>
  <si>
    <t>2020/02/02 10:30:00</t>
  </si>
  <si>
    <t>鉴于近期新型冠状病毒疫情影响，宝马集团已采取一定措施抑制病毒扩散传播。相关消息表示，宝马位于中国沈阳的大东工厂与铁西工厂将延长假期至2月9日，后期是否进一步延长假期将取决于疫情发展与政府规定等因素。    宝马相关发言人表示，假期延长政策主要针对车间生产工人，白领工作人员将于2月3日恢复工作，员工将</t>
  </si>
  <si>
    <t>凯美瑞论坛</t>
  </si>
  <si>
    <t>丰田凯美瑞2.5S新车出现生锈2019年7月份提的车 12月份发现的吧也不知道什么时候发现了 开始没在意 今天一看感觉不对劲有点越来越严重的意思 图1是右边门对比 就左后面门算大面积锈斑吧 这个怎么办 完全不懂 感觉这油漆不是很细腻 车没修过的 新车？？？</t>
  </si>
  <si>
    <t>这车有问题</t>
  </si>
  <si>
    <t>2020/02/02 10:29:00</t>
  </si>
  <si>
    <t>2019年7月份提的车 12月份发现的吧也不知道什么时候发现了 开始没在意 今天一看感觉不对劲有点越来越严重的意思 图1是右边门对比 就左后面门算大面积锈斑吧 这个怎么办 完全不懂 感觉这油漆不是很细腻 车没修过的 新车</t>
  </si>
  <si>
    <t>　　据外媒报道，由于2019年法兰克福车展观众数量骤降，德国汽车工业协会（简称VDA）决定将车展举办地改至德国其他城市。下一届法兰克福车展举办时间为2021年9月，目前德国柏林、汉堡与慕尼黑三个城市在申请举办权，VDA将从中选出新的车展举办城市。　　法兰克福车展拥有近70年的历史，会期两年一届，可以</t>
  </si>
  <si>
    <t>2020/02/02 10:21:00</t>
  </si>
  <si>
    <t>据外媒报道，由于2019年法兰克福车展观众数量骤降，德国汽车工业协会（简称VDA）决定将车展举办地改至德国其他城市。下一届法兰克福车展举办时间为2021年9月，目前德国柏林、汉堡与慕尼黑三个城市在申请举办权，VDA将从中选出新的车展举办城市。    法兰克福车展拥有近70年的历史，会期两年一届，可以</t>
  </si>
  <si>
    <t>　　日前林肯官方宣布，林肯MKZ车型今年将会在墨西哥的埃莫西约工厂正式停产，该工厂将会为生产新的福特车型做准备。虽然官方没有提及关于MKZ的换代计划，但是根据去年初曝光的消息，林肯很有可能复活Zephyr的名字，打造一款后驱车型来替代MKZ。现款林肯MKZ　　林肯MKZ是2014年登陆中国市场的，这</t>
  </si>
  <si>
    <t>2020/02/02 10:15:00</t>
  </si>
  <si>
    <t>日前林肯官方宣布，林肯MKZ车型今年将会在墨西哥的埃莫西约工厂正式停产，该工厂将会为生产新的福特车型做准备。虽然官方没有提及关于MKZ的换代计划，但是根据去年初曝光的消息，林肯很有可能复活Zephyr的名字，打造一款后驱车型来替代MKZ。现款林肯MKZ    林肯MKZ是2014年登陆中国市场的，这</t>
  </si>
  <si>
    <t>日前，我们从社交媒体获得一组比亚迪汉的内饰谍照。从曝光的图片能够看出，该车内饰设计延续了比亚迪最新的家族设计，不过在豪华氛围营造方面有了明显提升，整体造型与之前曝出的设计图非常接近。配图为比亚迪汉内饰谍照配图为比亚迪汉内饰设计图    从曝光的图片能够看出，该车内饰采用黑色与棕色作为主色调，并配以哑</t>
  </si>
  <si>
    <t>2020/02/02 10:10:00</t>
  </si>
  <si>
    <t>　　日前，我们从社交媒体获得一组比亚迪汉的内饰谍照。从曝光的图片能够看出，该车内饰设计延续了比亚迪最新的家族设计，不过在豪华氛围营造方面有了明显提升，整体造型与之前曝出的设计图非常接近。配图为比亚迪汉内饰谍照配图为比亚迪汉内饰设计图　　从曝光的图片能够看出，该车内饰采用黑色与棕色作为主色调，并配以哑</t>
  </si>
  <si>
    <t>　　据外媒报道，受疫情影响，车企和零部件企业纷纷推迟了生产工作，并暂停国内外员工的中国差旅安排。在华大部分整车及零部件工厂关闭，对中国汽车市场而言，企业的销量和利润也受到不利影响。　　本次的新型冠状病毒肺炎疫情感染人数过万，各国对准备前往中国的民众发出了警告。目前已经有七家国际航空公司暂时性停止了飞</t>
  </si>
  <si>
    <t>2020/02/02 10:05:00</t>
  </si>
  <si>
    <t>据外媒报道，受疫情影响，车企和零部件企业纷纷推迟了生产工作，并暂停国内外员工的中国差旅安排。在华大部分整车及零部件工厂关闭，对中国汽车市场而言，企业的销量和利润也受到不利影响。    本次的新型冠状病毒肺炎疫情感染人数过万，各国对准备前往中国的民众发出了警告。目前已经有七家国际航空公司暂时性停止了飞</t>
  </si>
  <si>
    <t>1月30日，据外媒报道，大众旗下的商用卡车事业部Traton宣称，将以29亿美元（约合人民币201.16亿元）的总价收购美国卡车制造商Navistar。    在Traton发布收购消息后的数小时内，Navistar的股价蹿升了50%，其交易价逾36美元/股（约合人民币249.71元/股），这表明实</t>
  </si>
  <si>
    <t>2020/02/02 10:02:00</t>
  </si>
  <si>
    <t>　　1月30日，据外媒报道，大众旗下的商用卡车事业部Traton宣称，将以29亿美元（约合人民币201.16亿元）的总价收购美国卡车制造商Navistar。　　在Traton发布收购消息后的数小时内，Navistar的股价蹿升了50%，其交易价逾36美元/股（约合人民币249.71元/股），这表明实</t>
  </si>
  <si>
    <t>投诉编号：【446104】  投诉时间： 2020-02-02 10:00  投诉品牌： 一汽丰田  投诉车系： 威驰  投诉车型： 2017款 1.5L CVT 创行版        投诉内容  车子开着正常，鸣笛喇叭不响了，自己检查一看，铜线折了，这玩意也不是易损件吧，这就是质量问题啊，我去一趟</t>
  </si>
  <si>
    <t>2020/02/02 10:00:00</t>
  </si>
  <si>
    <t>2020/02/02 09:59:00</t>
  </si>
  <si>
    <t>投诉编号：【446102】  投诉时间： 2020-02-02 09:50  投诉品牌： 一汽丰田  投诉车系： 卡罗拉  投诉车型： 2019款 1.2T S-CVT GL先锋版        投诉内容  汽车在高速路上正常行驶，引擎盖突然上下晃动，后驶出高速下车查看发现引擎盖露出大缝，不存在误操</t>
  </si>
  <si>
    <t>2020/02/02 09:50:00</t>
  </si>
  <si>
    <t>大众汽车宣布将会在即将于奥地利举行的GP Ice Race赛事上，正式发布纯电动高尔夫R概念车。    目前关于这款概念车的技术细节尚未公布，大众仅仅表示这款车是未来大众R系列高性能车的“大使”。外媒表示，这款概念车所搭载的电动四驱系统或专注于赛车，不会应用在量产车型上。不过我们知道，大众目前已经着</t>
  </si>
  <si>
    <t>2020/02/02 09:49:00</t>
  </si>
  <si>
    <t>　　大众汽车宣布将会在即将于奥地利举行的GP Ice Race赛事上，正式发布纯电动高尔夫R概念车。　　目前关于这款概念车的技术细节尚未公布，大众仅仅表示这款车是未来大众R系列高性能车的“大使”。外媒表示，这款概念车所搭载的电动四驱系统或专注于赛车，不会应用在量产车型上。不过我们知道，大众目前已经着</t>
  </si>
  <si>
    <t>据路透社报道，中国国际贸易促进委员会（CCPIT，文中简称贸促会）表示，将向那些受新型冠状病毒疫情影响的，海内外合作业务受阻的外贸公司提供不可抗力证明，这一举措将让附带进出口业务的车企以及零部件供应商减少一定的经济损失。    中国贸促会的这项政策于1月30日周四晚正式宣布，该举措已获得商务部的正式</t>
  </si>
  <si>
    <t>2020/02/02 09:47:00</t>
  </si>
  <si>
    <t>　　据路透社报道，中国国际贸易促进委员会（CCPIT，文中简称贸促会）表示，将向那些受新型冠状病毒疫情影响的，海内外合作业务受阻的外贸公司提供不可抗力证明，这一举措将让附带进出口业务的车企以及零部件供应商减少一定的经济损失。　　中国贸促会的这项政策于1月30日周四晚正式宣布，该举措已获得商务部的正式</t>
  </si>
  <si>
    <t>上周我们给大家解读了沃尔沃V60低配车的表现，不过旅行车在国内毕竟是小众的选择，再加上33.99万的指导价，离普通消费者还是远了一些。今天解读的S60就不一样了，国产、豪华品牌中型车、指导价28.69万，感兴趣的朋友可要看仔细了。    综合来看这台最低配的S60整体表现还可以，唯一的短板就是动力。</t>
  </si>
  <si>
    <t>2020/02/02 09:38:00</t>
  </si>
  <si>
    <t>　　上周我们给大家解读了沃尔沃V60低配车的表现，不过旅行车在国内毕竟是小众的选择，再加上33.99万的指导价，离普通消费者还是远了一些。今天解读的S60就不一样了，国产、豪华品牌中型车、指导价28.69万，感兴趣的朋友可要看仔细了。　　综合来看这台最低配的S60整体表现还可以，唯一的短板就是动力。</t>
  </si>
  <si>
    <t>投诉编号：【446100】  投诉时间： 2020-02-02 09:29  投诉品牌： 奇瑞汽车  投诉车系： 瑞虎7  投诉车型： 2016款 2.0L CVT 耀目版        投诉内容  后备箱尾门生锈严重，里面也生锈，希望厂家尽快解决。      投诉回复  车质网已将您的投诉转给生产</t>
  </si>
  <si>
    <t>2020/02/02 09:29:00</t>
  </si>
  <si>
    <t>2020年1月的最后一周，全国依旧笼罩在新型冠状病毒疫情带来的阴霾中，而全球汽车产业链上下游企业都在尽己所能，纷纷捐资捐物为疫情防控贡献一份力量。在捐款的同时，特斯拉也发布了2019年第四季度财报信息，数据显示特斯拉2019年第四季度自由现金流为10.1亿美元，远高于市场预估，这使得财报公布后，特斯</t>
  </si>
  <si>
    <t>2020/02/02 09:07:00</t>
  </si>
  <si>
    <t>　　2020年1月的最后一周，全国依旧笼罩在新型冠状病毒疫情带来的阴霾中，而全球汽车产业链上下游企业都在尽己所能，纷纷捐资捐物为疫情防控贡献一份力量。在捐款的同时，特斯拉也发布了2019年第四季度财报信息，数据显示特斯拉2019年第四季度自由现金流为10.1亿美元，远高于市场预估，这使得财报公布后，</t>
  </si>
  <si>
    <t>日前，日产正式公布了一款全新小型SUV车型的预告图，这款全新SUV定位要低于劲客，它将于2020年第三季度首先在印度市场推出。    新车基于CMF-A小型车平台进行打造，它的车身长度将会保持在4米以内。从预告图来看，这款车会同劲客一样使用悬浮式的车顶效果，线条硬朗，前后轮拱的设计展示出一丝肌肉感。</t>
  </si>
  <si>
    <t>2020/02/02 09:05:00</t>
  </si>
  <si>
    <t>　　日前，日产正式公布了一款全新小型SUV车型的预告图，这款全新SUV定位要低于劲客，它将于2020年第三季度首先在印度市场推出。　　新车基于CMF-A小型车平台进行打造，它的车身长度将会保持在4米以内。从预告图来看，这款车会同劲客一样使用悬浮式的车顶效果，线条硬朗，前后轮拱的设计展示出一丝肌肉感。</t>
  </si>
  <si>
    <t>法拉利首款SUV Purosangue原定于2021年正式推出，据悉Purosangue将在改进后的前置模块化平台上生产，这款法拉利SUV将提供燃油版和混动版车型，混动车型并不会采用V12发动机，而是使用排量较小的发动机。    今天并不是想介绍法拉利即将问世的首款SUV车型，而是这款车可能没法叫P</t>
  </si>
  <si>
    <t>2020/02/02 09:03:00</t>
  </si>
  <si>
    <t>　　法拉利首款SUV Purosangue原定于2021年正式推出，据悉Purosangue将在改进后的前置模块化平台上生产，这款法拉利SUV将提供燃油版和混动版车型，混动车型并不会采用V12发动机，而是使用排量较小的发动机。　　今天并不是想介绍法拉利即将问世的首款SUV车型，而是这款车可能没法叫P</t>
  </si>
  <si>
    <t>　　外媒从大众官方证实，大众ID.4 GTX车型将会在今年年底发布，该车是紧凑型纯电动SUV ID.4的高性能版本。ID.初见，预计未来一汽-大众投产上汽大众ID.，即ID.4上汽大众版本　　大众ID.4定位一款紧凑型SUV车型，这款车在国内将由一汽-大众和上汽大众国产，双方将推出两种版本。此前已经</t>
  </si>
  <si>
    <t>2020/02/02 08:59:00</t>
  </si>
  <si>
    <t>外媒从大众官方证实，大众ID.4 GTX车型将会在今年年底发布，该车是紧凑型纯电动SUV ID.4的高性能版本。ID.初见，预计未来一汽-大众投产上汽大众ID.，即ID.4上汽大众版本    大众ID.4定位一款紧凑型SUV车型，这款车在国内将由一汽-大众和上汽大众国产，双方将推出两种版本。此前已经</t>
  </si>
  <si>
    <t>据外媒报道，博世集团董事会主席兼CEO沃尔克马尔·邓纳尔（Volkmar Denner）表示，目前全球汽车产量已达到峰值，博世计划投入10亿欧元（约合人民币76.95亿元），用于电动车、自动驾驶及智能网联技术的研发。沃尔克马尔·邓纳尔    2019年，博世集团的税前利润跌至30亿欧元（约合人民币2</t>
  </si>
  <si>
    <t>2020/02/02 08:57:00</t>
  </si>
  <si>
    <t>　　据外媒报道，博世集团董事会主席兼CEO沃尔克马尔・邓纳尔（Volkmar Denner）表示，目前全球汽车产量已达到峰值，博世计划投入10亿欧元（约合人民币76.95亿元），用于电动车、自动驾驶及智能网联技术的研发。沃尔克马尔・邓纳尔　　2019年，博世集团的税前利润跌至30亿欧元（约合人民币2</t>
  </si>
  <si>
    <t>　　据外媒报道，明年发布的宝马iNext将成为搭载宝马最新技术的旗舰车型。iNext将提供自动驾驶等许多新的技术和功能，同时，这些技术也将应用于宝马的其他车型。在一系列新技术当中，大陆的智能玻璃控制（Intelligent Glass Control）功能自2017年起就被应用到其他车型中，但宝马表</t>
  </si>
  <si>
    <t>2020/02/02 08:53:00</t>
  </si>
  <si>
    <t>据外媒报道，明年发布的宝马iNext将成为搭载宝马最新技术的旗舰车型。iNext将提供自动驾驶等许多新的技术和功能，同时，这些技术也将应用于宝马的其他车型。在一系列新技术当中，大陆的智能玻璃控制（Intelligent Glass Control）功能自2017年起就被应用到其他车型中，但宝马表示，</t>
  </si>
  <si>
    <t>随着人民生活水平的提高，大部分家庭都已经拥有了私家车，而车辆的增多，路面上不仅变得拥堵不堪，就连验车也需要提前预约。而对于大部分首次购车的用户来说，车辆第一次年检，根本不知道需要提前准备什么材料，最终导致在检测场内跑上跑下，把自己累个半死。下面，小编就结合自己此前的验车经历，教各位如何轻轻松松过年检</t>
  </si>
  <si>
    <t>2020/02/02 07:10:00</t>
  </si>
  <si>
    <t>如果说哪个车企最了解中国消费者的喜好，那大众品牌自然首当其中，多年深耕中国市场，使其为消费者“把脉”异常精准。就如一汽-大众探岳，并非全球化车型的它专为中国市场定制，其亮眼的市场表现，再度验证了大众品牌独到的眼光以及市场判断力。在此前一汽-大众探岳的“百名车主评新车”调查中，大部车主对其外观设计以及</t>
  </si>
  <si>
    <t>　　如果说哪个车企最了解中国消费者的喜好，那大众品牌自然首当其中，多年深耕中国市场，使其为消费者“把脉”异常精准。就如一汽-大众探岳，并非全球化车型的它专为中国市场定制，其亮眼的市场表现，再度验证了大众品牌独到的眼光以及市场判断力。在此前一汽-大众探岳的“百名车主评新车”调查中，大部车主对其外观设计</t>
  </si>
  <si>
    <t>　　随着人民生活水平的提高，大部分家庭都已经拥有了私家车，而车辆的增多，路面上不仅变得拥堵不堪，就连验车也需要提前预约。而对于大部分首次购车的用户来说，车辆第一次年检，根本不知道需要提前准备什么材料，最终导致在检测场内跑上跑下，把自己累个半死。下面，小编就结合自己此前的验车经历，教各位如何轻轻松松过</t>
  </si>
  <si>
    <t>2020/02/02 02:23:22</t>
  </si>
  <si>
    <t>投诉编号：【446092】
投诉时间： 2020-02-02 00:14
投诉品牌： 江铃汽车
投诉车系： 驭胜S350
投诉车型： 2016款 2.0T 自动 四驱 汽油 豪华版 5座</t>
  </si>
  <si>
    <t>投诉编号：【446096】  投诉时间： 2020-02-02 00:31  投诉品牌： 一汽-大众  投诉车系： T-ROC探歌  投诉车型： 2020款 280TSI DSG 两驱 舒适型        投诉内容  于2019年11月13日购入一汽大众探歌一辆，2020年1月26日发现前左侧轮胎</t>
  </si>
  <si>
    <t>2020/02/02 00:31:00</t>
  </si>
  <si>
    <t>投诉编号：【446095】  投诉时间： 2020-02-02 00:25  投诉品牌： 新特汽车  投诉车系： SITECH DEV 1  投诉车型： 2018款 创智版        投诉内容  1.新车半个月出现刹车系统异常导致无法点火，无法换挡行驶，行驶时异响滴滴声音很大。2.电池异常，续航</t>
  </si>
  <si>
    <t>2020/02/02 00:25:00</t>
  </si>
  <si>
    <t>投诉编号：【446094】  投诉时间： 2020-02-02 00:23  投诉品牌： 一汽丰田  投诉车系： 卡罗拉  投诉车型： 2019款 1.2T S-CVT GL-i豪华版        投诉内容  提车两三个星期就有异响，大概位置是在副驾驶室的车窗和中控台附近。主驾驶也有，但不明显。已</t>
  </si>
  <si>
    <t>2020/02/02 00:23:00</t>
  </si>
  <si>
    <t>2020/02/01 23:19:50</t>
  </si>
  <si>
    <t>投诉编号：【446090】
投诉时间： 2020-02-01 22:20
投诉品牌： 一汽丰田
投诉车系： 卡罗拉
投诉车型： 2019款 1.2T S-CVT GL先锋版</t>
  </si>
  <si>
    <t>2020/02/01 23:15:20</t>
  </si>
  <si>
    <t>投诉编号：【446091】
投诉时间： 2020-02-01 23:09
投诉品牌： 一汽丰田
投诉车系： 奕泽IZOA
投诉车型： 2018款 2.0L 奕驰版 国V</t>
  </si>
  <si>
    <t>2020/02/01 22:23:10</t>
  </si>
  <si>
    <t>投诉编号：【446089】
投诉时间： 2020-02-01 22:20
投诉品牌： 吉利汽车
投诉车系： 远景X6
投诉车型： 2016款 1.8L 手动 尊贵型</t>
  </si>
  <si>
    <t>2020/02/01 21:55:36</t>
  </si>
  <si>
    <t>投诉编号：【446086】
投诉时间： 2020-02-01 21:55
投诉品牌： 一汽-大众
投诉车系： 高尔夫·嘉旅
投诉车型： 2018款 230TSI 自动 进取型</t>
  </si>
  <si>
    <t>2020/02/01 20:52:06</t>
  </si>
  <si>
    <t>投诉编号：【446084】
投诉时间： 2020-02-01 20:35
投诉品牌： 长城汽车
投诉车系： 哈弗F7
投诉车型： 2019款 2.0T 四驱 i悦</t>
  </si>
  <si>
    <t>2020/02/01 20:51:59</t>
  </si>
  <si>
    <t>投诉编号：【446083】
投诉时间： 2020-02-01 20:30
投诉品牌： 华晨宝马
投诉车系： 宝马3系
投诉车型： 2020款 325Li M运动套装</t>
  </si>
  <si>
    <t>2020/02/01 19:51:20</t>
  </si>
  <si>
    <t>投诉编号：【446080】
投诉时间： 2020-02-01 19:42
投诉品牌： 一汽-大众
投诉车系： 迈腾
投诉车型： 2018款 330TSI DSG 豪华型 改款</t>
  </si>
  <si>
    <t>2020/02/01 19:41:25</t>
  </si>
  <si>
    <t>投诉编号：【446077】
投诉时间： 2020-02-01 18:34
投诉品牌： 长城汽车
投诉车系： 哈弗H6
投诉车型： 2017款 2.0T 自动 两驱 智尚型 换代 红标</t>
  </si>
  <si>
    <t>2020/02/01 17:48:57</t>
  </si>
  <si>
    <t>投诉编号：【446074】
投诉时间： 2020-02-01 17:39
投诉品牌： 众泰汽车
投诉车系： 众泰Z700
投诉车型： 2016款 1.8T DCT 典雅型</t>
  </si>
  <si>
    <t>投诉编号：【446073】  投诉时间： 2020-02-01 17:34  投诉品牌： 东风标致  投诉车系： 标致508  投诉车型： 2019款 508L 400THP PureTech 驾控版 国VI        投诉内容  后备箱后保险杠与车身漆不一样，车下边梁两边都变形，像举升机顶的，</t>
  </si>
  <si>
    <t>2020/02/01 17:34:00</t>
  </si>
  <si>
    <t>发动机排放故障灯常提车了20多天了，操控、油耗还能接受。缺点：就是发动机排放故障灯常亮，不知什么原因，提车第三天亮了到四s店说是加油后盖子没盖好，给升级一下就好了。第二次是有漏气，检查半天没有，把故障码消了，今天又亮了(提车的第25天)，请问什么原因</t>
  </si>
  <si>
    <t>我的车小三</t>
  </si>
  <si>
    <t>2020/02/01 17:31:00</t>
  </si>
  <si>
    <t>提车了20多天了，操控、油耗还能接受。缺点：就是发动机排放故障灯常亮，不知什么原因，提车第三天亮了到四s店说是加油后盖子没盖好，给升级一下就好了。第二次是有漏气，检查半天没有，把故障码消了，今天又亮了(提车的第25天)，请问什么原因</t>
  </si>
  <si>
    <t>投诉编号：【446069】  投诉时间： 2020-02-01 17:10  投诉品牌： 上汽集团  投诉车系： 名爵HS  投诉车型： 2018款 20T 自动 两驱 荷尔蒙劲取版 国V        投诉内容  三四天不开电瓶就亏电，跟销售人员反应，爱理不理的。      投诉回复  车质网已将</t>
  </si>
  <si>
    <t>2020/02/01 17:10:00</t>
  </si>
  <si>
    <t>投诉编号：【446068】  投诉时间： 2020-02-01 16:58  投诉品牌： 广汽丰田  投诉车系： 凯美瑞  投诉车型： 2018款 2.5G 自动 豪华版        投诉内容  广汽丰田第八代凯美瑞2.5L汽油豪华版购车至今车载手机互联无法正常使用！多次打电话给厂家也没有解决问题</t>
  </si>
  <si>
    <t>2020/02/01 16:58:00</t>
  </si>
  <si>
    <t>投诉编号：【446067】  投诉时间： 2020-02-01 16:51  投诉品牌： 奇瑞汽车  投诉车系： 瑞虎3  投诉车型： 2018款 1.6L 手动 舒适型 经典版        投诉内容  方向机液压油管漏油，发动机与变速箱壳体链接处漏油。      投诉回复  车质网已将您的投诉转</t>
  </si>
  <si>
    <t>2020/02/01 16:51:00</t>
  </si>
  <si>
    <t>2020/02/01 16:21:10</t>
  </si>
  <si>
    <t>投诉编号：【446064】
投诉时间： 2020-02-01 16:11
投诉品牌： 长安汽车
投诉车系： 长安欧尚CX70
投诉车型： 2017款 1.6L 手动 精英型</t>
  </si>
  <si>
    <t>2020/02/01 16:08:34</t>
  </si>
  <si>
    <t>投诉编号：【446061】
投诉时间： 2020-02-01 15:47
投诉品牌： 猎豹汽车
投诉车系： 猎豹CS9
投诉车型： 2018款 1.5T CVT 劲锐型</t>
  </si>
  <si>
    <t>2020/02/01 16:04:39</t>
  </si>
  <si>
    <t>投诉编号：【446062】
投诉时间： 2020-02-01 15:53
投诉品牌： 比亚迪
投诉车系： 宋MAX
投诉车型： 2017款 1.5T 自动 互联精英型</t>
  </si>
  <si>
    <t>2020/02/01 15:46:47</t>
  </si>
  <si>
    <t>投诉编号：【446060】
投诉时间： 2020-02-01 15:39
投诉品牌： 东风悦达起亚
投诉车系： 智跑
投诉车型： 2018款 2.0L 自动 智享豪华版</t>
  </si>
  <si>
    <t>2020/02/01 15:40:37</t>
  </si>
  <si>
    <t>投诉编号：【446056】
投诉时间： 2020-02-01 15:28
投诉品牌： 比亚迪
投诉车系： 元
投诉车型： 2017款 1.5L 自动 酷炫互联型</t>
  </si>
  <si>
    <t>投诉编号：【446059】  投诉时间： 2020-02-01 15:37  投诉品牌： 吉利汽车  投诉车系： 远景  投诉车型： 2016款 1.5L 自动 幸福版        投诉内容  一六年十一月三十日买车，一七年八月份出现过一次加油门车无力不走现象，后到4S店维修好，二零年一月十五下午</t>
  </si>
  <si>
    <t>2020/02/01 15:37:00</t>
  </si>
  <si>
    <t>投诉编号：【446055】  投诉时间： 2020-02-01 15:18  投诉品牌： 一汽-大众  投诉车系： 探岳  投诉车型： 2019款 330TSI 两驱 尊贵型 国V        投诉内容  汽车买了半年，里程不到5000公里。1月17日早上发动之后，提示防冻液液面过低。我以为需要加</t>
  </si>
  <si>
    <t>2020/02/01 15:18:00</t>
  </si>
  <si>
    <t>投诉编号：【446054】  投诉时间： 2020-02-01 15:17  投诉品牌： 一汽-大众奥迪  投诉车系： 奥迪A6L  投诉车型： 2019款 45 TFSI quattro 臻选动感型        投诉内容  车辆启动涨紧轮处传出刺耳的金属噪音，显示屏经常出现中控锁故障提示，车辆起</t>
  </si>
  <si>
    <t>2020/02/01 15:17:00</t>
  </si>
  <si>
    <t xml:space="preserve">投诉编号：【446049】  投诉时间： 2020-02-01 14:29  投诉品牌： 广汽本田  投诉车系： 雅阁  投诉车型： 2018款 2.0L 锐智版 锐·混动 国VI        投诉内容  只在高速行驶时，转向有严重卡顿现象，动方向盘先要卡顿一下，去4S店检查说是正常现象。    </t>
  </si>
  <si>
    <t>2020/02/01 14:29:00</t>
  </si>
  <si>
    <t>2020/02/01 13:52:08</t>
  </si>
  <si>
    <t>投诉编号：【446042】
投诉时间： 2020-02-01 13:12
投诉品牌： 东风雪铁龙
投诉车系： 雪铁龙C4L
投诉车型： 2014款 1.8L 自动 车载互联劲智型</t>
  </si>
  <si>
    <t>2020/02/01 13:52:00</t>
  </si>
  <si>
    <t>投诉编号：【446046】
投诉时间： 2020-02-01 13:40
投诉品牌： 一汽丰田
投诉车系： RAV4荣放
投诉车型： 2016款 2.0L CVT 两驱 风尚版 国V</t>
  </si>
  <si>
    <t>2020/02/01 13:50:42</t>
  </si>
  <si>
    <t>投诉编号：【446043】
投诉时间： 2020-02-01 13:23
投诉品牌： 广汽本田
投诉车系： 广汽本田VE-1
投诉车型： 2020款 豪华版</t>
  </si>
  <si>
    <t>投诉编号：【446041】  投诉时间： 2020-02-01 13:01  投诉品牌： 东风乘用车  投诉车系： 风神AX7  投诉车型： 2020款 1.6T 自动 AI领航型 国VI        投诉内容  才跑了1250公里就发动机故障灯亮，要求厂家给予处理。      投诉回复  车质网</t>
  </si>
  <si>
    <t>2020/02/01 13:01:00</t>
  </si>
  <si>
    <t>2020/02/01 12:25:14</t>
  </si>
  <si>
    <t>投诉编号：【446038】
投诉时间： 2020-02-01 12:03
投诉品牌： 一汽奔腾
投诉车系： 奔腾B30
投诉车型： 2016款 1.6L 自动 豪华型</t>
  </si>
  <si>
    <t>投诉编号：【446039】  投诉时间： 2020-02-01 12:20  投诉品牌： 上汽大众  投诉车系： 朗逸  投诉车型： 2018款 280TSI DSG 豪华版 国V        投诉内容  新车半年出现四个轮毂严重氧化，已经投诉一个多月，厂家始终不给解决，之前4s店前打电话说厂家说</t>
  </si>
  <si>
    <t>2020/02/01 12:20:00</t>
  </si>
  <si>
    <t>2020/02/01 12:05:01</t>
  </si>
  <si>
    <t>投诉编号：【446030】
投诉时间： 2020-02-01 10:51
投诉品牌： 上汽集团
投诉车系： 荣威350
投诉车型： 2014款 1.5L 手动 迅驰版 350S</t>
  </si>
  <si>
    <t>投诉编号：【446037】  投诉时间： 2020-02-01 11:58  投诉品牌： 北京现代  投诉车系： 菲斯塔  投诉车型： 2019款 280TGDi 智速版 国V        投诉内容  走粗糙的路面副驾驶中控台空调那一块会有异响。      投诉回复  车质网已将您的投诉转给生产企</t>
  </si>
  <si>
    <t>2020/02/01 11:58:00</t>
  </si>
  <si>
    <t>2020/02/01 11:56:39</t>
  </si>
  <si>
    <t>投诉编号：【446034】
投诉时间： 2020-02-01 11:51
投诉品牌： 长安福特
投诉车系： 福睿斯
投诉车型： 2017款 1.5L 手动 时尚型 幸福版</t>
  </si>
  <si>
    <t>投诉编号：【446035】  投诉时间： 2020-02-01 11:54  投诉品牌： 上汽通用五菱  投诉车系： 新宝骏RC-6  投诉车型： 2019款 1.5T CVT 24小时在线精英型        投诉内容  才三个月的车中控台就异响，一打火就响，减震硬。      投诉回复  车质网</t>
  </si>
  <si>
    <t>2020/02/01 11:54:00</t>
  </si>
  <si>
    <t>投诉编号：【446033】  投诉时间： 2020-02-01 11:26  投诉品牌： 长安汽车  投诉车系： 长安CS55  投诉车型： 2019款 1.5T 自动 炫色型 国VI        投诉内容  服务差，主要车质量问题，维修了两次还没好。给我消除过故障码还是不行，店里我也去过，都没解</t>
  </si>
  <si>
    <t>2020/02/01 11:26:00</t>
  </si>
  <si>
    <t>投诉编号：【446032】  投诉时间： 2020-02-01 11:25  投诉品牌： 吉利汽车  投诉车系： 博越  投诉车型： 2016款 1.8TD 自动 两驱 智联型        投诉内容  连续三年一到冬天就打不着，按厂家的要求换电瓶机油，还是打不着，如今给厂家4s店打电话，还是推脱，</t>
  </si>
  <si>
    <t>2020/02/01 11:25:00</t>
  </si>
  <si>
    <t>投诉编号：【446031】  投诉时间： 2020-02-01 11:07  投诉品牌： 一汽-大众  投诉车系： T-ROC探歌  投诉车型： 2018款 280TSI DSG 两驱 舒适型 国V        投诉内容  车子刚买没有任何问题，到4300公里就提示我保养，保养之后不久就开始有这种</t>
  </si>
  <si>
    <t>2020/02/01 11:07:00</t>
  </si>
  <si>
    <t>2020/02/01 10:50:11</t>
  </si>
  <si>
    <t>投诉编号：【446029】
投诉时间： 2020-02-01 10:36
投诉品牌： 上汽集团
投诉车系： 名爵3
投诉车型： 2014款 1.5L 自动 精英版</t>
  </si>
  <si>
    <t>投诉编号：【446025】  投诉时间： 2020-02-01 10:13  投诉品牌： 猎豹汽车  投诉车系： 猎豹CS10  投诉车型： 2017款 2.0T 手动 卓越型        投诉内容  刹车刹不住，打方向像是撞到铁上，开了空调躁音更大还跑不动，阅读灯没用过，发现是坏的，车窗玻璃升降</t>
  </si>
  <si>
    <t>2020/02/01 10:13:00</t>
  </si>
  <si>
    <t>投诉编号：【446024】  投诉时间： 2020-02-01 10:08  投诉品牌： 上汽大众  投诉车系： 朗逸  投诉车型： 2017款 1.6L 自动 舒适版        投诉内容  方向盘有轻微卡顿，车子在低速行驶及高速行驶均存在此类情况。2019年11月初开始至今，方向盘在行车过程中</t>
  </si>
  <si>
    <t>2020/02/01 10:08:00</t>
  </si>
  <si>
    <t>2020/02/01 09:54:53</t>
  </si>
  <si>
    <t>投诉编号：【446022】
投诉时间： 2020-02-01 09:48
投诉品牌： 广汽丰田
投诉车系： 雷凌
投诉车型： 2019款 185T CVT 进取版 国VI</t>
  </si>
  <si>
    <t>2020/02/01 09:32:02</t>
  </si>
  <si>
    <t>投诉编号：【446021】
投诉时间： 2020-02-01 09:30
投诉品牌： 江淮汽车
投诉车系： 和悦
投诉车型： 2010款 1.5L 手动 优雅型</t>
  </si>
  <si>
    <t>现在很多偏向运动型的车都会配备ESP功能关闭按钮，但是很多车主买车以来也一直没有用过。那么这个按钮究竟有着什么作用呢？今天我们一起来探寻一下ESP功能关闭按钮的作用。    ESP系统是指电子稳定程序系统，是英文Electronic Stability Program的缩写，中文译成“电子稳定程序”</t>
  </si>
  <si>
    <t>2020/02/01 08:49:00</t>
  </si>
  <si>
    <t>　　现在很多偏向运动型的车都会配备ESP功能关闭按钮，但是很多车主买车以来也一直没有用过。那么这个按钮究竟有着什么作用呢？今天我们一起来探寻一下ESP功能关闭按钮的作用。　　ESP系统是指电子稳定程序系统，是英文Electronic Stability Program的缩写，中文译成“电子稳定程序”</t>
  </si>
  <si>
    <t>　　自新型冠状病毒疫情发生以来，各地均不同程度地出现医用口罩、防护服等防疫物资短缺现象。尤其是处在“抗疫”前线的武汉，口罩、防护服等医疗物资更是奇缺，甚至出现了医护人员简单用雨衣往身上一裹就冲上前线的报道。　　这一切，和疫情一样，无时无刻不在牵动着全球华人的心。我们从上汽MAXUS官方了解到，考虑到</t>
  </si>
  <si>
    <t>2020/02/01 08:46:00</t>
  </si>
  <si>
    <t>自新型冠状病毒疫情发生以来，各地均不同程度地出现医用口罩、防护服等防疫物资短缺现象。尤其是处在“抗疫”前线的武汉，口罩、防护服等医疗物资更是奇缺，甚至出现了医护人员简单用雨衣往身上一裹就冲上前线的报道。    这一切，和疫情一样，无时无刻不在牵动着全球华人的心。我们从上汽MAXUS官方了解到，考虑到</t>
  </si>
  <si>
    <t>　　正值新年之际，在此先给世界各地的易车网友们拜个年！祝大家在新的一年里都能买到自己喜欢的车型！这一期新年档的盘点选题，我们一起来看一看在过去一年里上市的小型SUV。在年轻化、科技感作为新车主打元素的时代里，如今上市的小型SUV也纷纷都具备了高颜值的标签，对于年轻用户的吸引力极强。本文向大家推荐的这</t>
  </si>
  <si>
    <t>2020/02/01 08:36:00</t>
  </si>
  <si>
    <t>继2019年实现高达33%的同比增长后，一汽奔腾又在新年迎来了开门红。网上车市从中国一汽官方获悉：截止1月22日，旗下奔腾品牌本月累计实现销售新车13,858辆，同比大增60.4%，也为正处于低迷期的中国车市注入了一剂强心针。    奔腾品牌现有轿车和SUV两大产品矩阵，其中轿车阵营拥有B30、B5</t>
  </si>
  <si>
    <t>2020/02/01 08:34:00</t>
  </si>
  <si>
    <t>　　继2019年实现高达33%的同比增长后，一汽奔腾又在新年迎来了开门红。网上车市从中国一汽官方获悉：截止1月22日，旗下奔腾品牌本月累计实现销售新车13,858辆，同比大增60.4%，也为正处于低迷期的中国车市注入了一剂强心针。　　奔腾品牌现有轿车和SUV两大产品矩阵，其中轿车阵营拥有B30、B5</t>
  </si>
  <si>
    <t>2020/02/01 08:32:34</t>
  </si>
  <si>
    <t>投诉编号：【446019】
投诉时间： 2020-02-01 08:21
投诉品牌： 众泰汽车
投诉车系： 众泰T700
投诉车型： 2017款 1.8T 双离合 旗舰型</t>
  </si>
  <si>
    <t>通过“卖房保壳”实现业绩扭亏的海马汽车，将顺应汽车市场“新四化”发展趋势，在电气化方面投入更多精力。我们从海马汽车官方获悉：公司旗下首个代号为YP112的插电式混动项目（二代S5 PHEV）将于2020年投放市场。    二代海马S5（汽油版）定位紧凑型SUV，与哈弗H6、吉利博越、长安CS75、长</t>
  </si>
  <si>
    <t>2020/02/01 08:32:00</t>
  </si>
  <si>
    <t>　　通过“卖房保壳”实现业绩扭亏的海马汽车，将顺应汽车市场“新四化”发展趋势，在电气化方面投入更多精力。我们从海马汽车官方获悉：公司旗下首个代号为YP112的插电式混动项目（二代S5 PHEV）将于2020年投放市场。　　二代海马S5（汽油版）定位紧凑型SUV，与哈弗H6、吉利博越、长安CS75、长</t>
  </si>
  <si>
    <t>　　有好多人都认为汽油标号越高，质量就越好，所以觉得给车加标号高的汽油就是对车好。这你就错了，根本不是这么一回事的。那么汽油标号到底是什么意思呢？标号不同的汽油有哪些区别？　　汽油标号和汽油的纯净度以及质量标准几乎是没什么关系的，汽油标号可以把它简单地理解为这代表着汽油中的辛烷值。辛烷值代表着燃料的</t>
  </si>
  <si>
    <t>2020/02/01 08:31:00</t>
  </si>
  <si>
    <t>有好多人都认为汽油标号越高，质量就越好，所以觉得给车加标号高的汽油就是对车好。这你就错了，根本不是这么一回事的。那么汽油标号到底是什么意思呢？标号不同的汽油有哪些区别？    汽油标号和汽油的纯净度以及质量标准几乎是没什么关系的，汽油标号可以把它简单地理解为这代表着汽油中的辛烷值。辛烷值代表着燃料的</t>
  </si>
  <si>
    <t>　　现在越来越多的车都搭载涡轮增压发动机了，但是这种发动机的原理究竟是什么呢？很多买车的朋友并不明白，今天小编就来给大家解读一下吧~　　涡轮增压发动机指的是配备涡轮增压器的发动机。涡轮增压器实际上是一种空气压缩机，通过压缩空气来增加进气量。它是利用发动机排出的废气惯性冲力来推动涡轮室内的涡轮，涡轮又</t>
  </si>
  <si>
    <t>2020/02/01 08:30:00</t>
  </si>
  <si>
    <t>现在越来越多的车都搭载涡轮增压发动机了，但是这种发动机的原理究竟是什么呢？很多买车的朋友并不明白，今天小编就来给大家解读一下吧~    涡轮增压发动机指的是配备涡轮增压器的发动机。涡轮增压器实际上是一种空气压缩机，通过压缩空气来增加进气量。它是利用发动机排出的废气惯性冲力来推动涡轮室内的涡轮，涡轮又</t>
  </si>
  <si>
    <t>　　在经历了一个异常寒冷的2019年后，众泰汽车准备通过推进新产品的方式重新出发。我们从众泰汽车官方获悉：全新SUV众泰TS5将于今年第一季度正式上市。从实拍图来看，该车的尾部造型与豪华SUV保时捷卡宴较为相似。　　众泰TS5定位城市紧凑型SUV，动力方面预计将搭载1.5T涡轮增压发动机。从所处的细</t>
  </si>
  <si>
    <t>2020/02/01 08:28:00</t>
  </si>
  <si>
    <t>在经历了一个异常寒冷的2019年后，众泰汽车准备通过推进新产品的方式重新出发。我们从众泰汽车官方获悉：全新SUV众泰TS5将于今年第一季度正式上市。从实拍图来看，该车的尾部造型与豪华SUV保时捷卡宴较为相似。    众泰TS5定位城市紧凑型SUV，动力方面预计将搭载1.5T涡轮增压发动机。从所处的细</t>
  </si>
  <si>
    <t>　　我们从北京汽车研究总院有限公司获得了一组疑似新款北京20越野车的图片，该车在外观方面变化明显，并将更名BJ30，计划于今年第4季度正式上市。　　BJ30将采用承载式车身结构，定位紧凑型硬派SUV。以目前在售的BJ20（全系1.5T）官方售价9.68万-13.98万元为参考，新车的购买门槛预计在1</t>
  </si>
  <si>
    <t>2020/02/01 08:25:00</t>
  </si>
  <si>
    <t>我们从北京汽车研究总院有限公司获得了一组疑似新款北京20越野车的图片，该车在外观方面变化明显，并将更名BJ30，计划于今年第4季度正式上市。    BJ30将采用承载式车身结构，定位紧凑型硬派SUV。以目前在售的BJ20（全系1.5T）官方售价9.68万-13.98万元为参考，新车的购买门槛预计在1</t>
  </si>
  <si>
    <t>　　从外媒获悉，中期改款AMG E63在国外社交媒体上曝光实拍图，图片中可以看出新车采用了近似三角形的扁平细长尾灯，其他部分根据此前的谍照和官图，新车换装了更加犀利的多边形大灯以及更加扁平的大嘴格栅等细节。　　作为AMG车型，新款E63采用了标志性的Panamericana中网，而尾灯之间采用了略带</t>
  </si>
  <si>
    <t>2020/02/01 08:22:00</t>
  </si>
  <si>
    <t>从外媒获悉，中期改款AMG E63在国外社交媒体上曝光实拍图，图片中可以看出新车采用了近似三角形的扁平细长尾灯，其他部分根据此前的谍照和官图，新车换装了更加犀利的多边形大灯以及更加扁平的大嘴格栅等细节。    作为AMG车型，新款E63采用了标志性的Panamericana中网，而尾灯之间采用了略带</t>
  </si>
  <si>
    <t>　　新型冠状病毒肺炎疫情事态严峻，牵动着所有人的心。我们从官方获悉，在宣布了支持抗击疫情后，由梅赛德斯-奔驰管理层、中国青少年发展基金会、经销商合作伙伴代表组成的星愿基金管委会迅速启动重大疫情应对机制，在三天内与各大有关单位落实了1000万捐赠资金的分配与使用，并且已完成了第一批资助项目的800万元</t>
  </si>
  <si>
    <t>2020/02/01 08:20:00</t>
  </si>
  <si>
    <t>新型冠状病毒肺炎疫情事态严峻，牵动着所有人的心。我们从官方获悉，在宣布了支持抗击疫情后，由梅赛德斯-奔驰管理层、中国青少年发展基金会、经销商合作伙伴代表组成的星愿基金管委会迅速启动重大疫情应对机制，在三天内与各大有关单位落实了1000万捐赠资金的分配与使用，并且已完成了第一批资助项目的800万元善款</t>
  </si>
  <si>
    <t>　　新型冠状病毒肺炎疫情事态严峻，牵动着每一个人的心。1月31日，网通社从本田官方获悉，本田技研工业株式会社与本田技研工业（中国）投资有限公司将向湖北省红十字会捐款1000万元，用于抗击新冠病毒肺炎疫情。　　与此同时，Honda常务执行董事兼中国本部长水野泰秀表示，新冠病毒肺炎疫情使中国多地区遭受严</t>
  </si>
  <si>
    <t>2020/02/01 08:18:00</t>
  </si>
  <si>
    <t>新型冠状病毒肺炎疫情事态严峻，牵动着每一个人的心。1月31日，网通社从本田官方获悉，本田技研工业株式会社与本田技研工业（中国）投资有限公司将向湖北省红十字会捐款1000万元，用于抗击新冠病毒肺炎疫情。    与此同时，Honda常务执行董事兼中国本部长水野泰秀表示，新冠病毒肺炎疫情使中国多地区遭受严</t>
  </si>
  <si>
    <t>　　春节期间车的后备箱使用率特别高，车内经常也是满员的状态，这个时候大空间能装的SUV车型就能体现不少优势了，本次导购给大家推荐4款主流热销20万元左右的大空间SUV，过完年想换车的朋友不要错过。　　 东风日产奇骏    推荐车型：2020款 2.0L CVT两驱 智联舒适版 5座    官方售价：</t>
  </si>
  <si>
    <t>2020/02/01 08:15:00</t>
  </si>
  <si>
    <t>　　在豪华中型SUV中，奔驰长轴距GLC在同级竞品中的性价比优势十分明显，尤其是在与Q5L和X3的直接较量中，长轴距GLC在内部空间和舒适性上更是有着不小的优势。如果让我们来推荐一款适合在假期长途出行的豪华中型SUV的话，奔驰的长轴距GLC绝对是同级产品中舒适度最高的。　　通过来自易车APP销量排行</t>
  </si>
  <si>
    <t>2020/02/01 08:10:00</t>
  </si>
  <si>
    <t>据英国《金融时报》报道，捷豹路虎首席执行官施韦德（Ralf Speth）将于2020年9月合同到期时辞职，辞职后仍将在捷豹路虎担任顾问。据了解，除了顾问职位外，施韦德将专注于他在塔塔汽车的控股公司塔塔之子（Tata Sons）的董事会职位。在施韦德离职后，捷豹路虎将选择集装箱运输业务巨头马士基（Ma</t>
  </si>
  <si>
    <t>2020/02/01 08:08:00</t>
  </si>
  <si>
    <t>　　据英国《金融时报》报道，捷豹路虎首席执行官施韦德（Ralf Speth）将于2020年9月合同到期时辞职，辞职后仍将在捷豹路虎担任顾问。据了解，除了顾问职位外，施韦德将专注于他在塔塔汽车的控股公司塔塔之子（Tata Sons）的董事会职位。在施韦德离职后，捷豹路虎将选择集装箱运输业务巨头马士基（</t>
  </si>
  <si>
    <t>近日，有网友曝出领克全新纯电动车型的谍照；新车内部代号DC1E，将出自PMA纯电动平台，据悉，DC1E的轴距长达三米左右，而续航里程有望达到700km左右，预计新车最早将于今年发布。    从谍照来看，新车或为一款跨界造型的纯电动轿车，爆料网友透露称，新车DC1E代号意为D-segment+Cros</t>
  </si>
  <si>
    <t>2020/02/01 08:06:00</t>
  </si>
  <si>
    <t>　　近日，有网友曝出领克全新纯电动车型的谍照；新车内部代号DC1E，将出自PMA纯电动平台，据悉，DC1E的轴距长达三米左右，而续航里程有望达到700km左右，预计新车最早将于今年发布。　　从谍照来看，新车或为一款跨界造型的纯电动轿车，爆料网友透露称，新车DC1E代号意为D-segment+Cros</t>
  </si>
  <si>
    <t>　　流言蜚语了许久，悍马这次真的要回归了。根据早前GMC发布的一份官方新闻稿显示，GMC将发布一款名为HUMMER EV的纯电动皮卡，这将是GMC品牌首款纯电动产品，也是通用集团第一辆纯电动皮卡。　　根据GMC本次发布的新车预告图来看，HUMMER EV的前脸设计依然宽阔，扁长型的中网设计带有纵向装</t>
  </si>
  <si>
    <t>丁伯骏</t>
  </si>
  <si>
    <t>2020/02/01 08:05:00</t>
  </si>
  <si>
    <t>流言蜚语了许久，悍马这次真的要回归了。根据早前GMC发布的一份官方新闻稿显示，GMC将发布一款名为HUMMER EV的纯电动皮卡，这将是GMC品牌首款纯电动产品，也是通用集团第一辆纯电动皮卡。    根据GMC本次发布的新车预告图来看，HUMMER EV的前脸设计依然宽阔，扁长型的中网设计带有纵向装</t>
  </si>
  <si>
    <t>2020/02/01 08:03:00</t>
  </si>
  <si>
    <t>　　在近日举行的巴黎国际汽车节上，Alpine带来了一款名为A110 Sports X的概念车。新车基于Alpine A110打造，运用宽体与升高的车体以及更大尺寸的轮胎营造出了一种跨界的风格。　　很早之前就有流言显示Alpine正在打造一款注重运动性能的SUV产品，不过在这个流言被证实之前，Alp</t>
  </si>
  <si>
    <t>2020/02/01 08:02:00</t>
  </si>
  <si>
    <t>在近日举行的巴黎国际汽车节上，Alpine带来了一款名为A110 Sports X的概念车。新车基于Alpine A110打造，运用宽体与升高的车体以及更大尺寸的轮胎营造出了一种跨界的风格。    很早之前就有流言显示Alpine正在打造一款注重运动性能的SUV产品，不过在这个流言被证实之前，Alp</t>
  </si>
  <si>
    <t>　　有消息人士向媒体透露，全新一代奥迪A3将在3月3日正式亮相。作为奥迪紧凑型两厢掀背车型，A3即将迎来自己的第四代车型，其基础架构与此前发布的第八代高尔夫、西雅特LEON相同，但作为豪华品牌，奥迪为全新A3带来的巨大改变也能从之前曝出的谍照中一窥究竟。　　需要注意的是，将在3月3日发布的全新A3只</t>
  </si>
  <si>
    <t>2020/02/01 08:00:00</t>
  </si>
  <si>
    <t>有消息人士向媒体透露，全新一代奥迪A3将在3月3日正式亮相。作为奥迪紧凑型两厢掀背车型，A3即将迎来自己的第四代车型，其基础架构与此前发布的第八代高尔夫、西雅特LEON相同，但作为豪华品牌，奥迪为全新A3带来的巨大改变也能从之前曝出的谍照中一窥究竟。    需要注意的是，将在3月3日发布的全新A3只</t>
  </si>
  <si>
    <t>长安汽车发布了2019年度业绩预告，根据数据，2019年长安汽车归属于上市公司股东的净利润预计亏损24-29亿元，相比2018年同期盈利6.8亿元的数据下滑452.56%-526.01%。在公告中，长安汽车将财务业绩下滑的原因归结为“销量下滑”。『长安CS95』    根据该企业此前公布的数据，20</t>
  </si>
  <si>
    <t>2020/02/01 07:58:00</t>
  </si>
  <si>
    <t>　　长安汽车发布了2019年度业绩预告，根据数据，2019年长安汽车归属于上市公司股东的净利润预计亏损24-29亿元，相比2018年同期盈利6.8亿元的数据下滑452.56%-526.01%。在公告中，长安汽车将财务业绩下滑的原因归结为“销量下滑”。『长安CS95』　　根据该企业此前公布的数据，20</t>
  </si>
  <si>
    <t>2020/02/01 07:56:00</t>
  </si>
  <si>
    <t>近日，一位梅塞德斯-奔驰的发言人在接受采访时向媒体透露，奔驰方面决定在5月终止X级皮卡的生产。这款以日产纳瓦拉为基础的皮卡产品自2017年底问世以来一直瞄准高端皮卡市场，不过在奔驰近期的评估当中，市场的萎缩与销量的持续低迷最终导致了这款车型的终止。    3年前，奔驰确定要用X级皮卡来吸引部分市场上</t>
  </si>
  <si>
    <t>2020/02/01 07:54:00</t>
  </si>
  <si>
    <t>　　近日，一位梅塞德斯-奔驰的发言人在接受采访时向媒体透露，奔驰方面决定在5月终止X级皮卡的生产。这款以日产纳瓦拉为基础的皮卡产品自2017年底问世以来一直瞄准高端皮卡市场，不过在奔驰近期的评估当中，市场的萎缩与销量的持续低迷最终导致了这款车型的终止。　　3年前，奔驰确定要用X级皮卡来吸引部分市场上</t>
  </si>
  <si>
    <t>　　在经历了前两年声势浩大的新能源“造车热”的浪潮后，如今的国内新能源市场逐渐回归冷静与理智，孰强孰弱，也已经初见端倪。而爱驰这个品牌在国内消费者中的认知度还比较低，或许你会问，中国新能源汽车市场还需要一个新品牌么？别急着给出答案，本期《购车指南》就来对这台陌生的爱驰U5进行详细解读，相信之后您心中</t>
  </si>
  <si>
    <t>2020/02/01 07:10:00</t>
  </si>
  <si>
    <t>2020/02/01 07:06:10</t>
  </si>
  <si>
    <t>投诉编号：【446017】
投诉时间： 2020-02-01 07:06
投诉品牌： 上汽斯柯达
投诉车系： 明锐
投诉车型： 2017款 1.6L 自动 智行版</t>
  </si>
  <si>
    <t>2020/02/01 05:06:58</t>
  </si>
  <si>
    <t>投诉编号：【446016】
投诉时间： 2020-02-01 04:48
投诉品牌： 一汽马自达
投诉车系： 马自达CX-4
投诉车型： 2018款 2.5L 自动 四驱 蓝天运动版 国V</t>
  </si>
  <si>
    <t>2020/02/01 03:54:02</t>
  </si>
  <si>
    <t>投诉编号：【446013】
投诉时间： 2020-02-01 01:51
投诉品牌： 上汽大众
投诉车系： 朗逸
投诉车型： 2017款 1.6L 自动 舒适版</t>
  </si>
  <si>
    <t>2020/02/01 01:38:11</t>
  </si>
  <si>
    <t>投诉编号：【446011】
投诉时间： 2020-02-01 01:26
投诉品牌： 上汽通用别克
投诉车系： 凯越
投诉车型： 2011款 1.6 手动 LX</t>
  </si>
  <si>
    <t>投诉编号：【446010】  投诉时间： 2020-02-01 01:13  投诉品牌： 比亚迪  投诉车系： 比亚迪G3  投诉车型： 2011款 1.5 手动 数智版豪雅型        投诉内容  比亚迪G3天窗两边侧裙生锈腐烂严重，发动机烧机油，超过十万公里就开始生锈，烧机油。      投</t>
  </si>
  <si>
    <t>2020/02/01 01:13:00</t>
  </si>
  <si>
    <t>投诉编号：【447557】投诉时间： 2020-02-17 18:56投诉品牌： 郑州日产投诉车系： 途达投诉车型： 2020款 2.5L 自动 四驱 旗舰版</t>
  </si>
  <si>
    <t>投诉编号：【447556】投诉时间： 2020-02-17 18:56投诉品牌： 上汽大众投诉车系： 途观L投诉车型： 2019款 330TSI 自动 两驱 全景舒适版 国</t>
  </si>
  <si>
    <t>投诉编号：【447503】投诉时间： 2020-02-17 11:49投诉品牌： 华晨宝马投诉车系： 宝马X1投诉车型： 2020款 xDrive25Li 尊享型</t>
  </si>
  <si>
    <t>投诉编号：【447496】投诉时间： 2020-02-17 11:12投诉品牌： 东风本田投诉车系： 思域投诉车型： 2019款 220TURBO CVT 劲动版 国VI</t>
  </si>
  <si>
    <t>投诉编号：【447500】投诉时间： 2020-02-17 11:28投诉品牌： 上汽集团投诉车系： 荣威i6投诉车型： 2020款 PLUS 1.6L CVT 4G互联荣耀旗舰</t>
  </si>
  <si>
    <t>1月SUV榜单：哈弗H6销冠差点丢了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</si>
</sst>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indexed="8"/>
      <name val="等线"/>
      <family val="2"/>
      <scheme val="minor"/>
    </font>
    <font>
      <b/>
      <sz val="11"/>
      <color indexed="9"/>
      <name val="宋体"/>
      <family val="3"/>
      <charset val="134"/>
    </font>
    <font>
      <sz val="11"/>
      <color indexed="8"/>
      <name val="宋体"/>
      <family val="3"/>
      <charset val="134"/>
    </font>
    <font>
      <u/>
      <sz val="11"/>
      <color theme="10"/>
      <name val="等线"/>
      <family val="2"/>
      <scheme val="minor"/>
    </font>
    <font>
      <sz val="9"/>
      <name val="等线"/>
      <family val="3"/>
      <charset val="134"/>
      <scheme val="minor"/>
    </font>
    <font>
      <sz val="11"/>
      <color indexed="8"/>
      <name val="宋体"/>
      <family val="3"/>
      <charset val="134"/>
    </font>
  </fonts>
  <fills count="3">
    <fill>
      <patternFill patternType="none"/>
    </fill>
    <fill>
      <patternFill patternType="gray125"/>
    </fill>
    <fill>
      <patternFill patternType="solid">
        <fgColor indexed="30"/>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3" fillId="0" borderId="0">
      <alignment vertical="center"/>
    </xf>
  </cellStyleXfs>
  <cellXfs count="8">
    <xf numFmtId="0" fontId="0" fillId="0" borderId="0" xfId="0" applyAlignment="1">
      <alignment vertical="center"/>
    </xf>
    <xf numFmtId="0" fontId="1" fillId="2" borderId="1" xfId="0" applyFont="1" applyFill="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0" fontId="3" fillId="0" borderId="1" xfId="1" applyBorder="1" applyAlignment="1">
      <alignment horizontal="center" vertical="center" wrapText="1"/>
    </xf>
    <xf numFmtId="0" fontId="5" fillId="0" borderId="1" xfId="0" applyFont="1" applyBorder="1" applyAlignment="1">
      <alignment horizontal="center" vertical="center"/>
    </xf>
    <xf numFmtId="0" fontId="5" fillId="0" borderId="1" xfId="0" applyFont="1" applyBorder="1" applyAlignment="1">
      <alignment horizontal="left" vertical="center"/>
    </xf>
    <xf numFmtId="0" fontId="0" fillId="0" borderId="0" xfId="0" applyAlignme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209"/>
  <sheetViews>
    <sheetView tabSelected="1" topLeftCell="F1" workbookViewId="0">
      <selection activeCell="J6" sqref="J6"/>
    </sheetView>
  </sheetViews>
  <sheetFormatPr baseColWidth="10" defaultColWidth="8.83203125" defaultRowHeight="15"/>
  <cols>
    <col min="1" max="1" width="21" style="7" customWidth="1"/>
    <col min="2" max="2" width="41" style="7" customWidth="1"/>
    <col min="3" max="3" width="11" style="7" customWidth="1"/>
    <col min="4" max="5" width="16" style="7" customWidth="1"/>
    <col min="6" max="6" width="41" style="7" customWidth="1"/>
    <col min="7" max="7" width="21" style="7" customWidth="1"/>
    <col min="8" max="8" width="41" style="7" customWidth="1"/>
    <col min="9" max="10" width="16" style="7" customWidth="1"/>
    <col min="11" max="11" width="21" style="7" customWidth="1"/>
    <col min="12" max="12" width="11" style="7" customWidth="1"/>
  </cols>
  <sheetData>
    <row r="1" spans="1:12" ht="30" customHeight="1">
      <c r="A1" s="1" t="s">
        <v>0</v>
      </c>
      <c r="B1" s="1" t="s">
        <v>1</v>
      </c>
      <c r="C1" s="1" t="s">
        <v>2</v>
      </c>
      <c r="D1" s="1" t="s">
        <v>3</v>
      </c>
      <c r="E1" s="1" t="s">
        <v>4</v>
      </c>
      <c r="F1" s="1" t="s">
        <v>5</v>
      </c>
      <c r="G1" s="1" t="s">
        <v>6</v>
      </c>
      <c r="H1" s="1" t="s">
        <v>7</v>
      </c>
      <c r="I1" s="1" t="s">
        <v>8</v>
      </c>
      <c r="J1" s="1" t="s">
        <v>9</v>
      </c>
      <c r="K1" s="1" t="s">
        <v>10</v>
      </c>
      <c r="L1" s="1" t="s">
        <v>11</v>
      </c>
    </row>
    <row r="2" spans="1:12" ht="25" customHeight="1">
      <c r="A2" s="2" t="s">
        <v>12</v>
      </c>
      <c r="B2" s="2" t="str">
        <f>HYPERLINK("http://www.12365auto.com/zlts/20200229/449458.shtml","发动机滋滋啦啦的声音")</f>
        <v>发动机滋滋啦啦的声音</v>
      </c>
      <c r="C2" s="2" t="s">
        <v>13</v>
      </c>
      <c r="D2" s="2" t="s">
        <v>12</v>
      </c>
      <c r="E2" s="2"/>
      <c r="F2" s="4" t="str">
        <f>HYPERLINK("http://www.12365auto.com/zlts/20200229/449458.shtml","http://www.12365auto.com/zlts/20200229/449458.shtml")</f>
        <v>http://www.12365auto.com/zlts/20200229/449458.shtml</v>
      </c>
      <c r="G2" s="2"/>
      <c r="H2" s="3" t="s">
        <v>14</v>
      </c>
      <c r="I2" s="2" t="s">
        <v>15</v>
      </c>
      <c r="J2" s="2" t="s">
        <v>12</v>
      </c>
      <c r="K2" s="2" t="s">
        <v>16</v>
      </c>
      <c r="L2" s="2">
        <f>LEN(H2)</f>
        <v>115</v>
      </c>
    </row>
    <row r="3" spans="1:12" ht="25" customHeight="1">
      <c r="A3" s="2" t="s">
        <v>12</v>
      </c>
      <c r="B3" s="2" t="str">
        <f>HYPERLINK("http://www.12365auto.com/zlts/20200229/449466.shtml","上汽大众途观L 40-60km/h时车身共振")</f>
        <v>上汽大众途观L 40-60km/h时车身共振</v>
      </c>
      <c r="C3" s="2" t="s">
        <v>13</v>
      </c>
      <c r="D3" s="2" t="s">
        <v>12</v>
      </c>
      <c r="E3" s="2" t="s">
        <v>17</v>
      </c>
      <c r="F3" s="2" t="str">
        <f>HYPERLINK("http://www.12365auto.com/zlts/20200229/449466.shtml","http://www.12365auto.com/zlts/20200229/449466.shtml")</f>
        <v>http://www.12365auto.com/zlts/20200229/449466.shtml</v>
      </c>
      <c r="G3" s="2"/>
      <c r="H3" s="2" t="s">
        <v>18</v>
      </c>
      <c r="I3" s="2" t="s">
        <v>19</v>
      </c>
      <c r="J3" s="2" t="s">
        <v>12</v>
      </c>
      <c r="K3" s="2" t="s">
        <v>20</v>
      </c>
      <c r="L3" s="2">
        <f t="shared" ref="L3:L66" si="0">LEN(H3)</f>
        <v>150</v>
      </c>
    </row>
    <row r="4" spans="1:12" ht="25" customHeight="1">
      <c r="A4" s="2" t="s">
        <v>12</v>
      </c>
      <c r="B4" s="2" t="str">
        <f>HYPERLINK("http://www.12365auto.com/zlts/20200229/449462.shtml","雷克萨斯ES驻车系统和发动机故障灯亮")</f>
        <v>雷克萨斯ES驻车系统和发动机故障灯亮</v>
      </c>
      <c r="C4" s="2" t="s">
        <v>13</v>
      </c>
      <c r="D4" s="2" t="s">
        <v>12</v>
      </c>
      <c r="E4" s="2" t="s">
        <v>17</v>
      </c>
      <c r="F4" s="2" t="str">
        <f>HYPERLINK("http://www.12365auto.com/zlts/20200229/449462.shtml","http://www.12365auto.com/zlts/20200229/449462.shtml")</f>
        <v>http://www.12365auto.com/zlts/20200229/449462.shtml</v>
      </c>
      <c r="G4" s="2"/>
      <c r="H4" s="2" t="s">
        <v>21</v>
      </c>
      <c r="I4" s="2" t="s">
        <v>19</v>
      </c>
      <c r="J4" s="2" t="s">
        <v>12</v>
      </c>
      <c r="K4" s="2" t="s">
        <v>22</v>
      </c>
      <c r="L4" s="2">
        <f t="shared" si="0"/>
        <v>150</v>
      </c>
    </row>
    <row r="5" spans="1:12" ht="25" customHeight="1">
      <c r="A5" s="2" t="s">
        <v>12</v>
      </c>
      <c r="B5" s="2" t="str">
        <f>HYPERLINK("http://m.12365auto.com/bbs/postcontent.aspx?tID=195581","新车不到一万公里轮胎起包  跑高速爆胎发生交通事故")</f>
        <v>新车不到一万公里轮胎起包  跑高速爆胎发生交通事故</v>
      </c>
      <c r="C5" s="2" t="s">
        <v>13</v>
      </c>
      <c r="D5" s="2" t="s">
        <v>23</v>
      </c>
      <c r="E5" s="2"/>
      <c r="F5" s="2" t="str">
        <f>HYPERLINK("http://m.12365auto.com/bbs/postcontent.aspx?tID=195581","http://m.12365auto.com/bbs/postcontent.aspx?tID=195581")</f>
        <v>http://m.12365auto.com/bbs/postcontent.aspx?tID=195581</v>
      </c>
      <c r="G5" s="2"/>
      <c r="H5" s="2" t="s">
        <v>24</v>
      </c>
      <c r="I5" s="2" t="s">
        <v>15</v>
      </c>
      <c r="J5" s="2" t="s">
        <v>25</v>
      </c>
      <c r="K5" s="2" t="s">
        <v>26</v>
      </c>
      <c r="L5" s="2">
        <f t="shared" si="0"/>
        <v>83</v>
      </c>
    </row>
    <row r="6" spans="1:12" ht="25" customHeight="1">
      <c r="A6" s="2" t="s">
        <v>12</v>
      </c>
      <c r="B6" s="2" t="str">
        <f>HYPERLINK("http://bbs.12365auto.com/postcontent.aspx?tId=195581","新车不到一万公里轮胎起包  跑高速爆胎发生交通事故")</f>
        <v>新车不到一万公里轮胎起包  跑高速爆胎发生交通事故</v>
      </c>
      <c r="C6" s="2" t="s">
        <v>13</v>
      </c>
      <c r="D6" s="2" t="s">
        <v>12</v>
      </c>
      <c r="E6" s="2" t="s">
        <v>27</v>
      </c>
      <c r="F6" s="2" t="str">
        <f>HYPERLINK("http://bbs.12365auto.com/postcontent.aspx?tId=195581","http://bbs.12365auto.com/postcontent.aspx?tId=195581")</f>
        <v>http://bbs.12365auto.com/postcontent.aspx?tId=195581</v>
      </c>
      <c r="G6" s="2"/>
      <c r="H6" s="2" t="s">
        <v>24</v>
      </c>
      <c r="I6" s="2" t="s">
        <v>15</v>
      </c>
      <c r="J6" s="2" t="s">
        <v>25</v>
      </c>
      <c r="K6" s="2" t="s">
        <v>26</v>
      </c>
      <c r="L6" s="2">
        <f t="shared" si="0"/>
        <v>83</v>
      </c>
    </row>
    <row r="7" spans="1:12" ht="25" customHeight="1">
      <c r="A7" s="2" t="s">
        <v>12</v>
      </c>
      <c r="B7" s="2" t="str">
        <f>HYPERLINK("http://bbs.12365auto.com/postcontent.aspx?tID=195581","新车不到一万公里轮胎起包  跑高速爆胎发生交通事故")</f>
        <v>新车不到一万公里轮胎起包  跑高速爆胎发生交通事故</v>
      </c>
      <c r="C7" s="2" t="s">
        <v>13</v>
      </c>
      <c r="D7" s="2" t="s">
        <v>12</v>
      </c>
      <c r="E7" s="2" t="s">
        <v>28</v>
      </c>
      <c r="F7" s="2" t="str">
        <f>HYPERLINK("http://bbs.12365auto.com/postcontent.aspx?tID=195581","http://bbs.12365auto.com/postcontent.aspx?tID=195581")</f>
        <v>http://bbs.12365auto.com/postcontent.aspx?tID=195581</v>
      </c>
      <c r="G7" s="2"/>
      <c r="H7" s="2" t="s">
        <v>29</v>
      </c>
      <c r="I7" s="2" t="s">
        <v>15</v>
      </c>
      <c r="J7" s="2" t="s">
        <v>25</v>
      </c>
      <c r="K7" s="2" t="s">
        <v>26</v>
      </c>
      <c r="L7" s="2">
        <f t="shared" si="0"/>
        <v>109</v>
      </c>
    </row>
    <row r="8" spans="1:12" ht="25" customHeight="1">
      <c r="A8" s="2" t="s">
        <v>12</v>
      </c>
      <c r="B8" s="2" t="str">
        <f>HYPERLINK("http://www.12365auto.com/zlts/20200229/449459.shtml","吉利博瑞变速箱四挡换五挡顿挫 倒车打滑")</f>
        <v>吉利博瑞变速箱四挡换五挡顿挫 倒车打滑</v>
      </c>
      <c r="C8" s="2" t="s">
        <v>13</v>
      </c>
      <c r="D8" s="2" t="s">
        <v>12</v>
      </c>
      <c r="E8" s="2" t="s">
        <v>17</v>
      </c>
      <c r="F8" s="2" t="str">
        <f>HYPERLINK("http://www.12365auto.com/zlts/20200229/449459.shtml","http://www.12365auto.com/zlts/20200229/449459.shtml")</f>
        <v>http://www.12365auto.com/zlts/20200229/449459.shtml</v>
      </c>
      <c r="G8" s="2"/>
      <c r="H8" s="2" t="s">
        <v>30</v>
      </c>
      <c r="I8" s="2" t="s">
        <v>19</v>
      </c>
      <c r="J8" s="2" t="s">
        <v>12</v>
      </c>
      <c r="K8" s="2" t="s">
        <v>31</v>
      </c>
      <c r="L8" s="2">
        <f t="shared" si="0"/>
        <v>150</v>
      </c>
    </row>
    <row r="9" spans="1:12" ht="25" customHeight="1">
      <c r="A9" s="2" t="s">
        <v>12</v>
      </c>
      <c r="B9" s="2" t="str">
        <f>HYPERLINK("http://www.12365auto.com/zlts/20200229/449456.shtml#404","离合器泵漏油频发")</f>
        <v>离合器泵漏油频发</v>
      </c>
      <c r="C9" s="2" t="s">
        <v>13</v>
      </c>
      <c r="D9" s="2" t="s">
        <v>12</v>
      </c>
      <c r="E9" s="2"/>
      <c r="F9" s="2" t="str">
        <f>HYPERLINK("http://www.12365auto.com/zlts/20200229/449456.shtml#404","http://www.12365auto.com/zlts/20200229/449456.shtml#404")</f>
        <v>http://www.12365auto.com/zlts/20200229/449456.shtml#404</v>
      </c>
      <c r="G9" s="2"/>
      <c r="H9" s="3" t="s">
        <v>32</v>
      </c>
      <c r="I9" s="2" t="s">
        <v>15</v>
      </c>
      <c r="J9" s="2" t="s">
        <v>12</v>
      </c>
      <c r="K9" s="2" t="s">
        <v>33</v>
      </c>
      <c r="L9" s="2">
        <f t="shared" si="0"/>
        <v>96</v>
      </c>
    </row>
    <row r="10" spans="1:12" ht="25" customHeight="1">
      <c r="A10" s="2" t="s">
        <v>12</v>
      </c>
      <c r="B10" s="2" t="str">
        <f>HYPERLINK("http://www.12365auto.com/zlts/20200229/449457.shtml","海马S5变速箱挂倒车挡时车辆无法行驶")</f>
        <v>海马S5变速箱挂倒车挡时车辆无法行驶</v>
      </c>
      <c r="C10" s="2" t="s">
        <v>13</v>
      </c>
      <c r="D10" s="2" t="s">
        <v>12</v>
      </c>
      <c r="E10" s="2" t="s">
        <v>17</v>
      </c>
      <c r="F10" s="2" t="str">
        <f>HYPERLINK("http://www.12365auto.com/zlts/20200229/449457.shtml","http://www.12365auto.com/zlts/20200229/449457.shtml")</f>
        <v>http://www.12365auto.com/zlts/20200229/449457.shtml</v>
      </c>
      <c r="G10" s="2"/>
      <c r="H10" s="2" t="s">
        <v>34</v>
      </c>
      <c r="I10" s="2" t="s">
        <v>19</v>
      </c>
      <c r="J10" s="2" t="s">
        <v>12</v>
      </c>
      <c r="K10" s="2" t="s">
        <v>35</v>
      </c>
      <c r="L10" s="2">
        <f t="shared" si="0"/>
        <v>150</v>
      </c>
    </row>
    <row r="11" spans="1:12" ht="25" customHeight="1">
      <c r="A11" s="2" t="s">
        <v>12</v>
      </c>
      <c r="B11" s="2" t="str">
        <f>HYPERLINK("http://www.12365auto.com/zlts/20200229/449456.shtml","北京现代瑞纳离合器泵漏油存在安全隐患")</f>
        <v>北京现代瑞纳离合器泵漏油存在安全隐患</v>
      </c>
      <c r="C11" s="2" t="s">
        <v>13</v>
      </c>
      <c r="D11" s="2" t="s">
        <v>12</v>
      </c>
      <c r="E11" s="2" t="s">
        <v>17</v>
      </c>
      <c r="F11" s="2" t="str">
        <f>HYPERLINK("http://www.12365auto.com/zlts/20200229/449456.shtml","http://www.12365auto.com/zlts/20200229/449456.shtml")</f>
        <v>http://www.12365auto.com/zlts/20200229/449456.shtml</v>
      </c>
      <c r="G11" s="2"/>
      <c r="H11" s="2" t="s">
        <v>36</v>
      </c>
      <c r="I11" s="2" t="s">
        <v>19</v>
      </c>
      <c r="J11" s="2" t="s">
        <v>12</v>
      </c>
      <c r="K11" s="2" t="s">
        <v>37</v>
      </c>
      <c r="L11" s="2">
        <f t="shared" si="0"/>
        <v>150</v>
      </c>
    </row>
    <row r="12" spans="1:12" ht="25" customHeight="1">
      <c r="A12" s="2" t="s">
        <v>12</v>
      </c>
      <c r="B12" s="2" t="str">
        <f>HYPERLINK("http://www.12365auto.com/zlts/20200229/449455.shtml","东风雷诺科雷傲方向盘抖动 变速箱顿挫")</f>
        <v>东风雷诺科雷傲方向盘抖动 变速箱顿挫</v>
      </c>
      <c r="C12" s="2" t="s">
        <v>13</v>
      </c>
      <c r="D12" s="2" t="s">
        <v>12</v>
      </c>
      <c r="E12" s="2" t="s">
        <v>17</v>
      </c>
      <c r="F12" s="2" t="str">
        <f>HYPERLINK("http://www.12365auto.com/zlts/20200229/449455.shtml","http://www.12365auto.com/zlts/20200229/449455.shtml")</f>
        <v>http://www.12365auto.com/zlts/20200229/449455.shtml</v>
      </c>
      <c r="G12" s="2"/>
      <c r="H12" s="2" t="s">
        <v>38</v>
      </c>
      <c r="I12" s="2" t="s">
        <v>19</v>
      </c>
      <c r="J12" s="2" t="s">
        <v>12</v>
      </c>
      <c r="K12" s="2" t="s">
        <v>39</v>
      </c>
      <c r="L12" s="2">
        <f t="shared" si="0"/>
        <v>150</v>
      </c>
    </row>
    <row r="13" spans="1:12" ht="25" customHeight="1">
      <c r="A13" s="2" t="s">
        <v>12</v>
      </c>
      <c r="B13" s="2" t="str">
        <f>HYPERLINK("http://www.12365auto.com/zlts/20200229/449454.shtml","一汽大众宝来漆面开裂 厂家一直没有解决")</f>
        <v>一汽大众宝来漆面开裂 厂家一直没有解决</v>
      </c>
      <c r="C13" s="2" t="s">
        <v>13</v>
      </c>
      <c r="D13" s="2" t="s">
        <v>12</v>
      </c>
      <c r="E13" s="2" t="s">
        <v>17</v>
      </c>
      <c r="F13" s="2" t="str">
        <f>HYPERLINK("http://www.12365auto.com/zlts/20200229/449454.shtml","http://www.12365auto.com/zlts/20200229/449454.shtml")</f>
        <v>http://www.12365auto.com/zlts/20200229/449454.shtml</v>
      </c>
      <c r="G13" s="2"/>
      <c r="H13" s="2" t="s">
        <v>40</v>
      </c>
      <c r="I13" s="2" t="s">
        <v>19</v>
      </c>
      <c r="J13" s="2" t="s">
        <v>12</v>
      </c>
      <c r="K13" s="2" t="s">
        <v>41</v>
      </c>
      <c r="L13" s="2">
        <f t="shared" si="0"/>
        <v>150</v>
      </c>
    </row>
    <row r="14" spans="1:12" ht="25" customHeight="1">
      <c r="A14" s="2" t="s">
        <v>12</v>
      </c>
      <c r="B14" s="2" t="str">
        <f>HYPERLINK("http://www.12365auto.com/zlts/20200229/449453.shtml","上汽大众朗逸胎压监测故障灯亮 刹车有异响")</f>
        <v>上汽大众朗逸胎压监测故障灯亮 刹车有异响</v>
      </c>
      <c r="C14" s="2" t="s">
        <v>13</v>
      </c>
      <c r="D14" s="2" t="s">
        <v>12</v>
      </c>
      <c r="E14" s="2" t="s">
        <v>17</v>
      </c>
      <c r="F14" s="2" t="str">
        <f>HYPERLINK("http://www.12365auto.com/zlts/20200229/449453.shtml","http://www.12365auto.com/zlts/20200229/449453.shtml")</f>
        <v>http://www.12365auto.com/zlts/20200229/449453.shtml</v>
      </c>
      <c r="G14" s="2"/>
      <c r="H14" s="2" t="s">
        <v>42</v>
      </c>
      <c r="I14" s="2" t="s">
        <v>19</v>
      </c>
      <c r="J14" s="2" t="s">
        <v>12</v>
      </c>
      <c r="K14" s="2" t="s">
        <v>43</v>
      </c>
      <c r="L14" s="2">
        <f t="shared" si="0"/>
        <v>150</v>
      </c>
    </row>
    <row r="15" spans="1:12" ht="25" customHeight="1">
      <c r="A15" s="2" t="s">
        <v>12</v>
      </c>
      <c r="B15" s="2" t="str">
        <f>HYPERLINK("http://m.12365auto.com/zjdy/20200229/121785.shtml","大众朗逸油箱排气系统故障是什么原因？")</f>
        <v>大众朗逸油箱排气系统故障是什么原因？</v>
      </c>
      <c r="C15" s="2" t="s">
        <v>13</v>
      </c>
      <c r="D15" s="2" t="s">
        <v>12</v>
      </c>
      <c r="E15" s="2"/>
      <c r="F15" s="2" t="str">
        <f>HYPERLINK("http://m.12365auto.com/zjdy/20200229/121785.shtml","http://m.12365auto.com/zjdy/20200229/121785.shtml")</f>
        <v>http://m.12365auto.com/zjdy/20200229/121785.shtml</v>
      </c>
      <c r="G15" s="2"/>
      <c r="H15" s="2" t="s">
        <v>44</v>
      </c>
      <c r="I15" s="2" t="s">
        <v>19</v>
      </c>
      <c r="J15" s="2" t="s">
        <v>12</v>
      </c>
      <c r="K15" s="2" t="s">
        <v>45</v>
      </c>
      <c r="L15" s="2">
        <f t="shared" si="0"/>
        <v>70</v>
      </c>
    </row>
    <row r="16" spans="1:12" ht="25" customHeight="1">
      <c r="A16" s="2" t="s">
        <v>12</v>
      </c>
      <c r="B16" s="2" t="str">
        <f>HYPERLINK("http://m.12365auto.com/zjdy/20200229/121784.shtml","雪佛兰科鲁泽挂入R挡抖动异响怎么处理？")</f>
        <v>雪佛兰科鲁泽挂入R挡抖动异响怎么处理？</v>
      </c>
      <c r="C16" s="2" t="s">
        <v>13</v>
      </c>
      <c r="D16" s="2" t="s">
        <v>12</v>
      </c>
      <c r="E16" s="2"/>
      <c r="F16" s="2" t="str">
        <f>HYPERLINK("http://m.12365auto.com/zjdy/20200229/121784.shtml","http://m.12365auto.com/zjdy/20200229/121784.shtml")</f>
        <v>http://m.12365auto.com/zjdy/20200229/121784.shtml</v>
      </c>
      <c r="G16" s="2"/>
      <c r="H16" s="2" t="s">
        <v>46</v>
      </c>
      <c r="I16" s="2" t="s">
        <v>19</v>
      </c>
      <c r="J16" s="2" t="s">
        <v>12</v>
      </c>
      <c r="K16" s="2" t="s">
        <v>47</v>
      </c>
      <c r="L16" s="2">
        <f t="shared" si="0"/>
        <v>29</v>
      </c>
    </row>
    <row r="17" spans="1:12" ht="25" customHeight="1">
      <c r="A17" s="2" t="s">
        <v>12</v>
      </c>
      <c r="B17" s="2" t="str">
        <f>HYPERLINK("http://m.12365auto.com/zjdy/20200229/121783.shtml","雷克萨斯RX这款车质量如何值得购买吗？")</f>
        <v>雷克萨斯RX这款车质量如何值得购买吗？</v>
      </c>
      <c r="C17" s="2" t="s">
        <v>13</v>
      </c>
      <c r="D17" s="2" t="s">
        <v>12</v>
      </c>
      <c r="E17" s="2"/>
      <c r="F17" s="2" t="str">
        <f>HYPERLINK("http://m.12365auto.com/zjdy/20200229/121783.shtml","http://m.12365auto.com/zjdy/20200229/121783.shtml")</f>
        <v>http://m.12365auto.com/zjdy/20200229/121783.shtml</v>
      </c>
      <c r="G17" s="2"/>
      <c r="H17" s="2" t="s">
        <v>48</v>
      </c>
      <c r="I17" s="2" t="s">
        <v>19</v>
      </c>
      <c r="J17" s="2" t="s">
        <v>12</v>
      </c>
      <c r="K17" s="2" t="s">
        <v>49</v>
      </c>
      <c r="L17" s="2">
        <f t="shared" si="0"/>
        <v>36</v>
      </c>
    </row>
    <row r="18" spans="1:12" ht="25" customHeight="1">
      <c r="A18" s="2" t="s">
        <v>12</v>
      </c>
      <c r="B18" s="2" t="str">
        <f>HYPERLINK("http://m.12365auto.com/zjdy/20200229/121782.shtml","领克01轮胎装反了对车辆有什么影响吗？")</f>
        <v>领克01轮胎装反了对车辆有什么影响吗？</v>
      </c>
      <c r="C18" s="2" t="s">
        <v>13</v>
      </c>
      <c r="D18" s="2" t="s">
        <v>12</v>
      </c>
      <c r="E18" s="2"/>
      <c r="F18" s="2" t="str">
        <f>HYPERLINK("http://m.12365auto.com/zjdy/20200229/121782.shtml","http://m.12365auto.com/zjdy/20200229/121782.shtml")</f>
        <v>http://m.12365auto.com/zjdy/20200229/121782.shtml</v>
      </c>
      <c r="G18" s="2"/>
      <c r="H18" s="2" t="s">
        <v>50</v>
      </c>
      <c r="I18" s="2" t="s">
        <v>19</v>
      </c>
      <c r="J18" s="2" t="s">
        <v>12</v>
      </c>
      <c r="K18" s="2" t="s">
        <v>49</v>
      </c>
      <c r="L18" s="2">
        <f t="shared" si="0"/>
        <v>41</v>
      </c>
    </row>
    <row r="19" spans="1:12" ht="25" customHeight="1">
      <c r="A19" s="2" t="s">
        <v>12</v>
      </c>
      <c r="B19" s="2" t="str">
        <f>HYPERLINK("http://www.12365auto.com/zlts/20200229/449440.shtml","车灯好似“白内障”，照明效果差")</f>
        <v>车灯好似“白内障”，照明效果差</v>
      </c>
      <c r="C19" s="2" t="s">
        <v>13</v>
      </c>
      <c r="D19" s="2" t="s">
        <v>12</v>
      </c>
      <c r="E19" s="2"/>
      <c r="F19" s="2" t="str">
        <f>HYPERLINK("http://www.12365auto.com/zlts/20200229/449440.shtml","http://www.12365auto.com/zlts/20200229/449440.shtml")</f>
        <v>http://www.12365auto.com/zlts/20200229/449440.shtml</v>
      </c>
      <c r="G19" s="2"/>
      <c r="H19" s="3" t="s">
        <v>51</v>
      </c>
      <c r="I19" s="2" t="s">
        <v>15</v>
      </c>
      <c r="J19" s="2" t="s">
        <v>12</v>
      </c>
      <c r="K19" s="2" t="s">
        <v>52</v>
      </c>
      <c r="L19" s="2">
        <f t="shared" si="0"/>
        <v>107</v>
      </c>
    </row>
    <row r="20" spans="1:12" ht="25" customHeight="1">
      <c r="A20" s="2" t="s">
        <v>12</v>
      </c>
      <c r="B20" s="2" t="str">
        <f>HYPERLINK("http://www.12365auto.com/zlts/20200229/449441.shtml","大灯远光灯不亮，曾经维修过整个大灯换掉，  前几")</f>
        <v>大灯远光灯不亮，曾经维修过整个大灯换掉，  前几</v>
      </c>
      <c r="C20" s="2" t="s">
        <v>13</v>
      </c>
      <c r="D20" s="2" t="s">
        <v>12</v>
      </c>
      <c r="E20" s="2"/>
      <c r="F20" s="2" t="str">
        <f>HYPERLINK("http://www.12365auto.com/zlts/20200229/449441.shtml","http://www.12365auto.com/zlts/20200229/449441.shtml")</f>
        <v>http://www.12365auto.com/zlts/20200229/449441.shtml</v>
      </c>
      <c r="G20" s="2"/>
      <c r="H20" s="3" t="s">
        <v>53</v>
      </c>
      <c r="I20" s="2" t="s">
        <v>15</v>
      </c>
      <c r="J20" s="2" t="s">
        <v>12</v>
      </c>
      <c r="K20" s="2" t="s">
        <v>54</v>
      </c>
      <c r="L20" s="2">
        <f t="shared" si="0"/>
        <v>110</v>
      </c>
    </row>
    <row r="21" spans="1:12" ht="25" customHeight="1">
      <c r="A21" s="2" t="s">
        <v>12</v>
      </c>
      <c r="B21" s="2" t="str">
        <f>HYPERLINK("http://www.12365auto.com/zlts/20200229/449443.shtml","三元催化器坏")</f>
        <v>三元催化器坏</v>
      </c>
      <c r="C21" s="2" t="s">
        <v>13</v>
      </c>
      <c r="D21" s="2" t="s">
        <v>12</v>
      </c>
      <c r="E21" s="2"/>
      <c r="F21" s="2" t="str">
        <f>HYPERLINK("http://www.12365auto.com/zlts/20200229/449443.shtml","http://www.12365auto.com/zlts/20200229/449443.shtml")</f>
        <v>http://www.12365auto.com/zlts/20200229/449443.shtml</v>
      </c>
      <c r="G21" s="2"/>
      <c r="H21" s="3" t="s">
        <v>55</v>
      </c>
      <c r="I21" s="2" t="s">
        <v>15</v>
      </c>
      <c r="J21" s="2" t="s">
        <v>12</v>
      </c>
      <c r="K21" s="2" t="s">
        <v>56</v>
      </c>
      <c r="L21" s="2">
        <f t="shared" si="0"/>
        <v>88</v>
      </c>
    </row>
    <row r="22" spans="1:12" ht="25" customHeight="1">
      <c r="A22" s="2" t="s">
        <v>12</v>
      </c>
      <c r="B22" s="2" t="str">
        <f>HYPERLINK("http://www.12365auto.com/zlts/20200229/449447.shtml","东风标致4008熄火后打不着 故障灯亮")</f>
        <v>东风标致4008熄火后打不着 故障灯亮</v>
      </c>
      <c r="C22" s="2" t="s">
        <v>13</v>
      </c>
      <c r="D22" s="2" t="s">
        <v>12</v>
      </c>
      <c r="E22" s="2" t="s">
        <v>17</v>
      </c>
      <c r="F22" s="2" t="str">
        <f>HYPERLINK("http://www.12365auto.com/zlts/20200229/449447.shtml","http://www.12365auto.com/zlts/20200229/449447.shtml")</f>
        <v>http://www.12365auto.com/zlts/20200229/449447.shtml</v>
      </c>
      <c r="G22" s="2"/>
      <c r="H22" s="2" t="s">
        <v>57</v>
      </c>
      <c r="I22" s="2" t="s">
        <v>19</v>
      </c>
      <c r="J22" s="2" t="s">
        <v>12</v>
      </c>
      <c r="K22" s="2" t="s">
        <v>58</v>
      </c>
      <c r="L22" s="2">
        <f t="shared" si="0"/>
        <v>150</v>
      </c>
    </row>
    <row r="23" spans="1:12" ht="25" customHeight="1">
      <c r="A23" s="2" t="s">
        <v>12</v>
      </c>
      <c r="B23" s="2" t="str">
        <f>HYPERLINK("http://www.12365auto.com/zlts/20200229/449434.shtml","空调鼓风机有电流声")</f>
        <v>空调鼓风机有电流声</v>
      </c>
      <c r="C23" s="2" t="s">
        <v>13</v>
      </c>
      <c r="D23" s="2" t="s">
        <v>12</v>
      </c>
      <c r="E23" s="2"/>
      <c r="F23" s="2" t="str">
        <f>HYPERLINK("http://www.12365auto.com/zlts/20200229/449434.shtml","http://www.12365auto.com/zlts/20200229/449434.shtml")</f>
        <v>http://www.12365auto.com/zlts/20200229/449434.shtml</v>
      </c>
      <c r="G23" s="2"/>
      <c r="H23" s="3" t="s">
        <v>59</v>
      </c>
      <c r="I23" s="2" t="s">
        <v>15</v>
      </c>
      <c r="J23" s="2" t="s">
        <v>12</v>
      </c>
      <c r="K23" s="2" t="s">
        <v>60</v>
      </c>
      <c r="L23" s="2">
        <f t="shared" si="0"/>
        <v>94</v>
      </c>
    </row>
    <row r="24" spans="1:12" ht="25" customHeight="1">
      <c r="A24" s="2" t="s">
        <v>12</v>
      </c>
      <c r="B24" s="2" t="str">
        <f>HYPERLINK("http://www.12365auto.com/zlts/20200229/449446.shtml","一汽大众速腾行驶过程中发动机转速自动升高")</f>
        <v>一汽大众速腾行驶过程中发动机转速自动升高</v>
      </c>
      <c r="C24" s="2" t="s">
        <v>13</v>
      </c>
      <c r="D24" s="2" t="s">
        <v>12</v>
      </c>
      <c r="E24" s="2" t="s">
        <v>17</v>
      </c>
      <c r="F24" s="2" t="str">
        <f>HYPERLINK("http://www.12365auto.com/zlts/20200229/449446.shtml","http://www.12365auto.com/zlts/20200229/449446.shtml")</f>
        <v>http://www.12365auto.com/zlts/20200229/449446.shtml</v>
      </c>
      <c r="G24" s="2"/>
      <c r="H24" s="2" t="s">
        <v>61</v>
      </c>
      <c r="I24" s="2" t="s">
        <v>19</v>
      </c>
      <c r="J24" s="2" t="s">
        <v>12</v>
      </c>
      <c r="K24" s="2" t="s">
        <v>62</v>
      </c>
      <c r="L24" s="2">
        <f t="shared" si="0"/>
        <v>150</v>
      </c>
    </row>
    <row r="25" spans="1:12" ht="25" customHeight="1">
      <c r="A25" s="2" t="s">
        <v>12</v>
      </c>
      <c r="B25" s="2" t="str">
        <f>HYPERLINK("http://m.12365auto.com/bbs/postcontent.aspx?tID=195580","北汽幻速异响/漏油/油耗高/仪表失灵 跑着突然没有助力")</f>
        <v>北汽幻速异响/漏油/油耗高/仪表失灵 跑着突然没有助力</v>
      </c>
      <c r="C25" s="2" t="s">
        <v>13</v>
      </c>
      <c r="D25" s="2" t="s">
        <v>23</v>
      </c>
      <c r="E25" s="2"/>
      <c r="F25" s="2" t="str">
        <f>HYPERLINK("http://m.12365auto.com/bbs/postcontent.aspx?tID=195580","http://m.12365auto.com/bbs/postcontent.aspx?tID=195580")</f>
        <v>http://m.12365auto.com/bbs/postcontent.aspx?tID=195580</v>
      </c>
      <c r="G25" s="2"/>
      <c r="H25" s="2" t="s">
        <v>63</v>
      </c>
      <c r="I25" s="2" t="s">
        <v>15</v>
      </c>
      <c r="J25" s="2" t="s">
        <v>64</v>
      </c>
      <c r="K25" s="2" t="s">
        <v>65</v>
      </c>
      <c r="L25" s="2">
        <f t="shared" si="0"/>
        <v>75</v>
      </c>
    </row>
    <row r="26" spans="1:12" ht="25" customHeight="1">
      <c r="A26" s="2" t="s">
        <v>12</v>
      </c>
      <c r="B26" s="2" t="str">
        <f>HYPERLINK("http://bbs.12365auto.com/postcontent.aspx?tId=195580","北汽幻速异响/漏油/油耗高/仪表失灵 跑着突然没有助力")</f>
        <v>北汽幻速异响/漏油/油耗高/仪表失灵 跑着突然没有助力</v>
      </c>
      <c r="C26" s="2" t="s">
        <v>13</v>
      </c>
      <c r="D26" s="2" t="s">
        <v>12</v>
      </c>
      <c r="E26" s="2" t="s">
        <v>66</v>
      </c>
      <c r="F26" s="2" t="str">
        <f>HYPERLINK("http://bbs.12365auto.com/postcontent.aspx?tId=195580","http://bbs.12365auto.com/postcontent.aspx?tId=195580")</f>
        <v>http://bbs.12365auto.com/postcontent.aspx?tId=195580</v>
      </c>
      <c r="G26" s="2"/>
      <c r="H26" s="2" t="s">
        <v>63</v>
      </c>
      <c r="I26" s="2" t="s">
        <v>15</v>
      </c>
      <c r="J26" s="2" t="s">
        <v>64</v>
      </c>
      <c r="K26" s="2" t="s">
        <v>65</v>
      </c>
      <c r="L26" s="2">
        <f t="shared" si="0"/>
        <v>75</v>
      </c>
    </row>
    <row r="27" spans="1:12" ht="25" customHeight="1">
      <c r="A27" s="2" t="s">
        <v>12</v>
      </c>
      <c r="B27" s="2" t="str">
        <f>HYPERLINK("http://bbs.12365auto.com/postcontent.aspx?tID=195580","北汽幻速异响/漏油/油耗高/仪表失灵 跑着突然没有助力")</f>
        <v>北汽幻速异响/漏油/油耗高/仪表失灵 跑着突然没有助力</v>
      </c>
      <c r="C27" s="2" t="s">
        <v>13</v>
      </c>
      <c r="D27" s="2" t="s">
        <v>12</v>
      </c>
      <c r="E27" s="2" t="s">
        <v>67</v>
      </c>
      <c r="F27" s="2" t="str">
        <f>HYPERLINK("http://bbs.12365auto.com/postcontent.aspx?tID=195580","http://bbs.12365auto.com/postcontent.aspx?tID=195580")</f>
        <v>http://bbs.12365auto.com/postcontent.aspx?tID=195580</v>
      </c>
      <c r="G27" s="2"/>
      <c r="H27" s="2" t="s">
        <v>68</v>
      </c>
      <c r="I27" s="2" t="s">
        <v>15</v>
      </c>
      <c r="J27" s="2" t="s">
        <v>64</v>
      </c>
      <c r="K27" s="2" t="s">
        <v>65</v>
      </c>
      <c r="L27" s="2">
        <f t="shared" si="0"/>
        <v>102</v>
      </c>
    </row>
    <row r="28" spans="1:12" ht="25" customHeight="1">
      <c r="A28" s="2" t="s">
        <v>12</v>
      </c>
      <c r="B28" s="2" t="str">
        <f>HYPERLINK("http://www.12365auto.com/zlts/20200229/449433.shtml","机油异常增多、伴有较浓的汽油味")</f>
        <v>机油异常增多、伴有较浓的汽油味</v>
      </c>
      <c r="C28" s="2" t="s">
        <v>13</v>
      </c>
      <c r="D28" s="2" t="s">
        <v>12</v>
      </c>
      <c r="E28" s="2"/>
      <c r="F28" s="2" t="str">
        <f>HYPERLINK("http://www.12365auto.com/zlts/20200229/449433.shtml","http://www.12365auto.com/zlts/20200229/449433.shtml")</f>
        <v>http://www.12365auto.com/zlts/20200229/449433.shtml</v>
      </c>
      <c r="G28" s="2"/>
      <c r="H28" s="3" t="s">
        <v>69</v>
      </c>
      <c r="I28" s="2" t="s">
        <v>15</v>
      </c>
      <c r="J28" s="2" t="s">
        <v>12</v>
      </c>
      <c r="K28" s="2" t="s">
        <v>70</v>
      </c>
      <c r="L28" s="2">
        <f t="shared" si="0"/>
        <v>106</v>
      </c>
    </row>
    <row r="29" spans="1:12" ht="25" customHeight="1">
      <c r="A29" s="2" t="s">
        <v>12</v>
      </c>
      <c r="B29" s="2" t="str">
        <f>HYPERLINK("http://www.12365auto.com/zlts/20200229/449438.shtml","进口奥迪A7仪表盘上显示车灯系统出现故障")</f>
        <v>进口奥迪A7仪表盘上显示车灯系统出现故障</v>
      </c>
      <c r="C29" s="2" t="s">
        <v>13</v>
      </c>
      <c r="D29" s="2" t="s">
        <v>12</v>
      </c>
      <c r="E29" s="2" t="s">
        <v>17</v>
      </c>
      <c r="F29" s="2" t="str">
        <f>HYPERLINK("http://www.12365auto.com/zlts/20200229/449438.shtml","http://www.12365auto.com/zlts/20200229/449438.shtml")</f>
        <v>http://www.12365auto.com/zlts/20200229/449438.shtml</v>
      </c>
      <c r="G29" s="2"/>
      <c r="H29" s="2" t="s">
        <v>71</v>
      </c>
      <c r="I29" s="2" t="s">
        <v>19</v>
      </c>
      <c r="J29" s="2" t="s">
        <v>12</v>
      </c>
      <c r="K29" s="2" t="s">
        <v>72</v>
      </c>
      <c r="L29" s="2">
        <f t="shared" si="0"/>
        <v>150</v>
      </c>
    </row>
    <row r="30" spans="1:12" ht="25" customHeight="1">
      <c r="A30" s="2" t="s">
        <v>12</v>
      </c>
      <c r="B30" s="2" t="str">
        <f>HYPERLINK("http://www.12365auto.com/zlts/20200229/449437.shtml","广汽三菱劲炫ASX经销商销售问题车")</f>
        <v>广汽三菱劲炫ASX经销商销售问题车</v>
      </c>
      <c r="C30" s="2" t="s">
        <v>13</v>
      </c>
      <c r="D30" s="2" t="s">
        <v>12</v>
      </c>
      <c r="E30" s="2" t="s">
        <v>17</v>
      </c>
      <c r="F30" s="2" t="str">
        <f>HYPERLINK("http://www.12365auto.com/zlts/20200229/449437.shtml","http://www.12365auto.com/zlts/20200229/449437.shtml")</f>
        <v>http://www.12365auto.com/zlts/20200229/449437.shtml</v>
      </c>
      <c r="G30" s="2"/>
      <c r="H30" s="2" t="s">
        <v>73</v>
      </c>
      <c r="I30" s="2" t="s">
        <v>19</v>
      </c>
      <c r="J30" s="2" t="s">
        <v>12</v>
      </c>
      <c r="K30" s="2" t="s">
        <v>74</v>
      </c>
      <c r="L30" s="2">
        <f t="shared" si="0"/>
        <v>150</v>
      </c>
    </row>
    <row r="31" spans="1:12" ht="25" customHeight="1">
      <c r="A31" s="2" t="s">
        <v>12</v>
      </c>
      <c r="B31" s="2" t="str">
        <f>HYPERLINK("http://www.12365auto.com/zlts/20200229/449436.shtml","一汽大众探岳大灯亮度不足影响行车安全")</f>
        <v>一汽大众探岳大灯亮度不足影响行车安全</v>
      </c>
      <c r="C31" s="2" t="s">
        <v>13</v>
      </c>
      <c r="D31" s="2" t="s">
        <v>12</v>
      </c>
      <c r="E31" s="2" t="s">
        <v>17</v>
      </c>
      <c r="F31" s="2" t="str">
        <f>HYPERLINK("http://www.12365auto.com/zlts/20200229/449436.shtml","http://www.12365auto.com/zlts/20200229/449436.shtml")</f>
        <v>http://www.12365auto.com/zlts/20200229/449436.shtml</v>
      </c>
      <c r="G31" s="2"/>
      <c r="H31" s="2" t="s">
        <v>75</v>
      </c>
      <c r="I31" s="2" t="s">
        <v>19</v>
      </c>
      <c r="J31" s="2" t="s">
        <v>12</v>
      </c>
      <c r="K31" s="2" t="s">
        <v>76</v>
      </c>
      <c r="L31" s="2">
        <f t="shared" si="0"/>
        <v>150</v>
      </c>
    </row>
    <row r="32" spans="1:12" ht="25" customHeight="1">
      <c r="A32" s="2" t="s">
        <v>12</v>
      </c>
      <c r="B32" s="2" t="str">
        <f>HYPERLINK("http://www.12365auto.com/zlts/20200229/449435.shtml","长安悦翔V3行驶过程中转向系统卡顿")</f>
        <v>长安悦翔V3行驶过程中转向系统卡顿</v>
      </c>
      <c r="C32" s="2" t="s">
        <v>13</v>
      </c>
      <c r="D32" s="2" t="s">
        <v>12</v>
      </c>
      <c r="E32" s="2" t="s">
        <v>17</v>
      </c>
      <c r="F32" s="2" t="str">
        <f>HYPERLINK("http://www.12365auto.com/zlts/20200229/449435.shtml","http://www.12365auto.com/zlts/20200229/449435.shtml")</f>
        <v>http://www.12365auto.com/zlts/20200229/449435.shtml</v>
      </c>
      <c r="G32" s="2"/>
      <c r="H32" s="2" t="s">
        <v>77</v>
      </c>
      <c r="I32" s="2" t="s">
        <v>19</v>
      </c>
      <c r="J32" s="2" t="s">
        <v>12</v>
      </c>
      <c r="K32" s="2" t="s">
        <v>78</v>
      </c>
      <c r="L32" s="2">
        <f t="shared" si="0"/>
        <v>150</v>
      </c>
    </row>
    <row r="33" spans="1:12" ht="25" customHeight="1">
      <c r="A33" s="2" t="s">
        <v>12</v>
      </c>
      <c r="B33" s="2" t="str">
        <f>HYPERLINK("http://www.12365auto.com/zlts/20200229/449429.shtml","发动机突然熄火故障灯常亮、轮胎开裂、车窗升降故障")</f>
        <v>发动机突然熄火故障灯常亮、轮胎开裂、车窗升降故障</v>
      </c>
      <c r="C33" s="2" t="s">
        <v>13</v>
      </c>
      <c r="D33" s="2" t="s">
        <v>12</v>
      </c>
      <c r="E33" s="2"/>
      <c r="F33" s="2" t="str">
        <f>HYPERLINK("http://www.12365auto.com/zlts/20200229/449429.shtml","http://www.12365auto.com/zlts/20200229/449429.shtml")</f>
        <v>http://www.12365auto.com/zlts/20200229/449429.shtml</v>
      </c>
      <c r="G33" s="2"/>
      <c r="H33" s="3" t="s">
        <v>79</v>
      </c>
      <c r="I33" s="2" t="s">
        <v>15</v>
      </c>
      <c r="J33" s="2" t="s">
        <v>12</v>
      </c>
      <c r="K33" s="2" t="s">
        <v>80</v>
      </c>
      <c r="L33" s="2">
        <f t="shared" si="0"/>
        <v>112</v>
      </c>
    </row>
    <row r="34" spans="1:12" ht="25" customHeight="1">
      <c r="A34" s="2" t="s">
        <v>12</v>
      </c>
      <c r="B34" s="2" t="str">
        <f>HYPERLINK("http://www.12365auto.com/zlts/20200229/449432.shtml","上汽荣威RX3全车玻璃有裂纹要求尽快处理")</f>
        <v>上汽荣威RX3全车玻璃有裂纹要求尽快处理</v>
      </c>
      <c r="C34" s="2" t="s">
        <v>13</v>
      </c>
      <c r="D34" s="2" t="s">
        <v>12</v>
      </c>
      <c r="E34" s="2" t="s">
        <v>17</v>
      </c>
      <c r="F34" s="2" t="str">
        <f>HYPERLINK("http://www.12365auto.com/zlts/20200229/449432.shtml","http://www.12365auto.com/zlts/20200229/449432.shtml")</f>
        <v>http://www.12365auto.com/zlts/20200229/449432.shtml</v>
      </c>
      <c r="G34" s="2"/>
      <c r="H34" s="2" t="s">
        <v>81</v>
      </c>
      <c r="I34" s="2" t="s">
        <v>19</v>
      </c>
      <c r="J34" s="2" t="s">
        <v>12</v>
      </c>
      <c r="K34" s="2" t="s">
        <v>82</v>
      </c>
      <c r="L34" s="2">
        <f t="shared" si="0"/>
        <v>150</v>
      </c>
    </row>
    <row r="35" spans="1:12" ht="25" customHeight="1">
      <c r="A35" s="2" t="s">
        <v>12</v>
      </c>
      <c r="B35" s="2" t="str">
        <f>HYPERLINK("http://m.12365auto.com/zjdy/20200229/121781.shtml","大众朗逸发动机故障灯亮是什么原因？")</f>
        <v>大众朗逸发动机故障灯亮是什么原因？</v>
      </c>
      <c r="C35" s="2" t="s">
        <v>13</v>
      </c>
      <c r="D35" s="2" t="s">
        <v>12</v>
      </c>
      <c r="E35" s="2"/>
      <c r="F35" s="2" t="str">
        <f>HYPERLINK("http://m.12365auto.com/zjdy/20200229/121781.shtml","http://m.12365auto.com/zjdy/20200229/121781.shtml")</f>
        <v>http://m.12365auto.com/zjdy/20200229/121781.shtml</v>
      </c>
      <c r="G35" s="2"/>
      <c r="H35" s="2" t="s">
        <v>83</v>
      </c>
      <c r="I35" s="2" t="s">
        <v>19</v>
      </c>
      <c r="J35" s="2" t="s">
        <v>12</v>
      </c>
      <c r="K35" s="2" t="s">
        <v>84</v>
      </c>
      <c r="L35" s="2">
        <f t="shared" si="0"/>
        <v>121</v>
      </c>
    </row>
    <row r="36" spans="1:12" ht="25" customHeight="1">
      <c r="A36" s="2" t="s">
        <v>12</v>
      </c>
      <c r="B36" s="2" t="str">
        <f>HYPERLINK("http://m.12365auto.com/zjdy/20200229/121780.shtml","车辆行驶时发动机熄火是什么原因导致的？")</f>
        <v>车辆行驶时发动机熄火是什么原因导致的？</v>
      </c>
      <c r="C36" s="2" t="s">
        <v>13</v>
      </c>
      <c r="D36" s="2" t="s">
        <v>12</v>
      </c>
      <c r="E36" s="2"/>
      <c r="F36" s="2" t="str">
        <f>HYPERLINK("http://m.12365auto.com/zjdy/20200229/121780.shtml","http://m.12365auto.com/zjdy/20200229/121780.shtml")</f>
        <v>http://m.12365auto.com/zjdy/20200229/121780.shtml</v>
      </c>
      <c r="G36" s="2"/>
      <c r="H36" s="2" t="s">
        <v>85</v>
      </c>
      <c r="I36" s="2" t="s">
        <v>19</v>
      </c>
      <c r="J36" s="2" t="s">
        <v>12</v>
      </c>
      <c r="K36" s="2" t="s">
        <v>86</v>
      </c>
      <c r="L36" s="2">
        <f t="shared" si="0"/>
        <v>35</v>
      </c>
    </row>
    <row r="37" spans="1:12" ht="25" customHeight="1">
      <c r="A37" s="2" t="s">
        <v>12</v>
      </c>
      <c r="B37" s="2" t="str">
        <f>HYPERLINK("http://www.12365auto.com/zlts/20200229/449423.shtml","发动机正时链条拉长，正时系统故障。")</f>
        <v>发动机正时链条拉长，正时系统故障。</v>
      </c>
      <c r="C37" s="2" t="s">
        <v>13</v>
      </c>
      <c r="D37" s="2" t="s">
        <v>12</v>
      </c>
      <c r="E37" s="2"/>
      <c r="F37" s="2" t="str">
        <f>HYPERLINK("http://www.12365auto.com/zlts/20200229/449423.shtml","http://www.12365auto.com/zlts/20200229/449423.shtml")</f>
        <v>http://www.12365auto.com/zlts/20200229/449423.shtml</v>
      </c>
      <c r="G37" s="2"/>
      <c r="H37" s="3" t="s">
        <v>87</v>
      </c>
      <c r="I37" s="2" t="s">
        <v>15</v>
      </c>
      <c r="J37" s="2" t="s">
        <v>12</v>
      </c>
      <c r="K37" s="2" t="s">
        <v>88</v>
      </c>
      <c r="L37" s="2">
        <f t="shared" si="0"/>
        <v>109</v>
      </c>
    </row>
    <row r="38" spans="1:12" ht="25" customHeight="1">
      <c r="A38" s="2" t="s">
        <v>12</v>
      </c>
      <c r="B38" s="2" t="str">
        <f>HYPERLINK("http://www.12365auto.com/zlts/20200229/449419.shtml","刹车前进 倒车异响严重")</f>
        <v>刹车前进 倒车异响严重</v>
      </c>
      <c r="C38" s="2" t="s">
        <v>13</v>
      </c>
      <c r="D38" s="2" t="s">
        <v>12</v>
      </c>
      <c r="E38" s="2"/>
      <c r="F38" s="2" t="str">
        <f>HYPERLINK("http://www.12365auto.com/zlts/20200229/449419.shtml","http://www.12365auto.com/zlts/20200229/449419.shtml")</f>
        <v>http://www.12365auto.com/zlts/20200229/449419.shtml</v>
      </c>
      <c r="G38" s="2"/>
      <c r="H38" s="3" t="s">
        <v>89</v>
      </c>
      <c r="I38" s="2" t="s">
        <v>15</v>
      </c>
      <c r="J38" s="2" t="s">
        <v>12</v>
      </c>
      <c r="K38" s="2" t="s">
        <v>90</v>
      </c>
      <c r="L38" s="2">
        <f t="shared" si="0"/>
        <v>98</v>
      </c>
    </row>
    <row r="39" spans="1:12" ht="25" customHeight="1">
      <c r="A39" s="2" t="s">
        <v>12</v>
      </c>
      <c r="B39" s="2" t="str">
        <f>HYPERLINK("http://www.12365auto.com/zlts/20200229/449424.shtml","一汽丰田亚洲龙机油增多 车内异响 天窗异响")</f>
        <v>一汽丰田亚洲龙机油增多 车内异响 天窗异响</v>
      </c>
      <c r="C39" s="2" t="s">
        <v>13</v>
      </c>
      <c r="D39" s="2" t="s">
        <v>12</v>
      </c>
      <c r="E39" s="2" t="s">
        <v>17</v>
      </c>
      <c r="F39" s="2" t="str">
        <f>HYPERLINK("http://www.12365auto.com/zlts/20200229/449424.shtml","http://www.12365auto.com/zlts/20200229/449424.shtml")</f>
        <v>http://www.12365auto.com/zlts/20200229/449424.shtml</v>
      </c>
      <c r="G39" s="2"/>
      <c r="H39" s="2" t="s">
        <v>91</v>
      </c>
      <c r="I39" s="2" t="s">
        <v>19</v>
      </c>
      <c r="J39" s="2" t="s">
        <v>12</v>
      </c>
      <c r="K39" s="2" t="s">
        <v>92</v>
      </c>
      <c r="L39" s="2">
        <f t="shared" si="0"/>
        <v>150</v>
      </c>
    </row>
    <row r="40" spans="1:12" ht="25" customHeight="1">
      <c r="A40" s="2" t="s">
        <v>12</v>
      </c>
      <c r="B40" s="2" t="str">
        <f>HYPERLINK("http://www.12365auto.com/zlts/20200229/449422.shtml","众泰T300减震器过硬乘坐舒适性过差")</f>
        <v>众泰T300减震器过硬乘坐舒适性过差</v>
      </c>
      <c r="C40" s="2" t="s">
        <v>13</v>
      </c>
      <c r="D40" s="2" t="s">
        <v>12</v>
      </c>
      <c r="E40" s="2" t="s">
        <v>17</v>
      </c>
      <c r="F40" s="2" t="str">
        <f>HYPERLINK("http://www.12365auto.com/zlts/20200229/449422.shtml","http://www.12365auto.com/zlts/20200229/449422.shtml")</f>
        <v>http://www.12365auto.com/zlts/20200229/449422.shtml</v>
      </c>
      <c r="G40" s="2"/>
      <c r="H40" s="2" t="s">
        <v>93</v>
      </c>
      <c r="I40" s="2" t="s">
        <v>19</v>
      </c>
      <c r="J40" s="2" t="s">
        <v>12</v>
      </c>
      <c r="K40" s="2" t="s">
        <v>94</v>
      </c>
      <c r="L40" s="2">
        <f t="shared" si="0"/>
        <v>150</v>
      </c>
    </row>
    <row r="41" spans="1:12" ht="25" customHeight="1">
      <c r="A41" s="2" t="s">
        <v>12</v>
      </c>
      <c r="B41" s="2" t="str">
        <f>HYPERLINK("http://www.12365auto.com/zlts/20200229/449418.shtml","华晨宝马X1高速行驶向右打方向盘时有异响")</f>
        <v>华晨宝马X1高速行驶向右打方向盘时有异响</v>
      </c>
      <c r="C41" s="2" t="s">
        <v>13</v>
      </c>
      <c r="D41" s="2" t="s">
        <v>12</v>
      </c>
      <c r="E41" s="2" t="s">
        <v>17</v>
      </c>
      <c r="F41" s="2" t="str">
        <f>HYPERLINK("http://www.12365auto.com/zlts/20200229/449418.shtml","http://www.12365auto.com/zlts/20200229/449418.shtml")</f>
        <v>http://www.12365auto.com/zlts/20200229/449418.shtml</v>
      </c>
      <c r="G41" s="2"/>
      <c r="H41" s="2" t="s">
        <v>95</v>
      </c>
      <c r="I41" s="2" t="s">
        <v>19</v>
      </c>
      <c r="J41" s="2" t="s">
        <v>12</v>
      </c>
      <c r="K41" s="2" t="s">
        <v>96</v>
      </c>
      <c r="L41" s="2">
        <f t="shared" si="0"/>
        <v>150</v>
      </c>
    </row>
    <row r="42" spans="1:12" ht="25" customHeight="1">
      <c r="A42" s="2" t="s">
        <v>12</v>
      </c>
      <c r="B42" s="2" t="str">
        <f>HYPERLINK("http://www.12365auto.com/zlpl/20200229/419904.shtml","后疫情时代 “健康汽车”或成汽车行业新风口")</f>
        <v>后疫情时代 “健康汽车”或成汽车行业新风口</v>
      </c>
      <c r="C42" s="2" t="s">
        <v>13</v>
      </c>
      <c r="D42" s="2" t="s">
        <v>12</v>
      </c>
      <c r="E42" s="2" t="s">
        <v>97</v>
      </c>
      <c r="F42" s="2" t="str">
        <f>HYPERLINK("http://www.12365auto.com/zlpl/20200229/419904.shtml","http://www.12365auto.com/zlpl/20200229/419904.shtml")</f>
        <v>http://www.12365auto.com/zlpl/20200229/419904.shtml</v>
      </c>
      <c r="G42" s="2"/>
      <c r="H42" s="2" t="s">
        <v>98</v>
      </c>
      <c r="I42" s="2" t="s">
        <v>15</v>
      </c>
      <c r="J42" s="2" t="s">
        <v>12</v>
      </c>
      <c r="K42" s="2" t="s">
        <v>99</v>
      </c>
      <c r="L42" s="2">
        <f t="shared" si="0"/>
        <v>150</v>
      </c>
    </row>
    <row r="43" spans="1:12" ht="25" customHeight="1">
      <c r="A43" s="2" t="s">
        <v>12</v>
      </c>
      <c r="B43" s="2" t="str">
        <f>HYPERLINK("http://m.12365auto.com/zlpl/20200229/419904.shtml","后疫情时代 “健康汽车”或成汽车行业新风口")</f>
        <v>后疫情时代 “健康汽车”或成汽车行业新风口</v>
      </c>
      <c r="C43" s="2" t="s">
        <v>13</v>
      </c>
      <c r="D43" s="2" t="s">
        <v>12</v>
      </c>
      <c r="E43" s="2"/>
      <c r="F43" s="2" t="str">
        <f>HYPERLINK("http://m.12365auto.com/zlpl/20200229/419904.shtml","http://m.12365auto.com/zlpl/20200229/419904.shtml")</f>
        <v>http://m.12365auto.com/zlpl/20200229/419904.shtml</v>
      </c>
      <c r="G43" s="2"/>
      <c r="H43" s="2" t="s">
        <v>100</v>
      </c>
      <c r="I43" s="2" t="s">
        <v>19</v>
      </c>
      <c r="J43" s="2" t="s">
        <v>101</v>
      </c>
      <c r="K43" s="2" t="s">
        <v>99</v>
      </c>
      <c r="L43" s="2">
        <f t="shared" si="0"/>
        <v>150</v>
      </c>
    </row>
    <row r="44" spans="1:12" ht="25" customHeight="1">
      <c r="A44" s="2" t="s">
        <v>12</v>
      </c>
      <c r="B44" s="2" t="str">
        <f>HYPERLINK("http://m.12365auto.com/zjdy/20200229/121779.shtml","福特锐界方向助力泵皮带如何安装？")</f>
        <v>福特锐界方向助力泵皮带如何安装？</v>
      </c>
      <c r="C44" s="2" t="s">
        <v>13</v>
      </c>
      <c r="D44" s="2" t="s">
        <v>12</v>
      </c>
      <c r="E44" s="2"/>
      <c r="F44" s="2" t="str">
        <f>HYPERLINK("http://m.12365auto.com/zjdy/20200229/121779.shtml","http://m.12365auto.com/zjdy/20200229/121779.shtml")</f>
        <v>http://m.12365auto.com/zjdy/20200229/121779.shtml</v>
      </c>
      <c r="G44" s="2"/>
      <c r="H44" s="2" t="s">
        <v>102</v>
      </c>
      <c r="I44" s="2" t="s">
        <v>19</v>
      </c>
      <c r="J44" s="2" t="s">
        <v>12</v>
      </c>
      <c r="K44" s="2" t="s">
        <v>103</v>
      </c>
      <c r="L44" s="2">
        <f t="shared" si="0"/>
        <v>17</v>
      </c>
    </row>
    <row r="45" spans="1:12" ht="25" customHeight="1">
      <c r="A45" s="2" t="s">
        <v>12</v>
      </c>
      <c r="B45" s="2" t="str">
        <f>HYPERLINK("http://m.12365auto.com/zjdy/20200229/121778.shtml","现代名图自动启停故障灯亮该怎么办？")</f>
        <v>现代名图自动启停故障灯亮该怎么办？</v>
      </c>
      <c r="C45" s="2" t="s">
        <v>13</v>
      </c>
      <c r="D45" s="2" t="s">
        <v>12</v>
      </c>
      <c r="E45" s="2"/>
      <c r="F45" s="2" t="str">
        <f>HYPERLINK("http://m.12365auto.com/zjdy/20200229/121778.shtml","http://m.12365auto.com/zjdy/20200229/121778.shtml")</f>
        <v>http://m.12365auto.com/zjdy/20200229/121778.shtml</v>
      </c>
      <c r="G45" s="2"/>
      <c r="H45" s="2" t="s">
        <v>104</v>
      </c>
      <c r="I45" s="2" t="s">
        <v>19</v>
      </c>
      <c r="J45" s="2" t="s">
        <v>12</v>
      </c>
      <c r="K45" s="2" t="s">
        <v>103</v>
      </c>
      <c r="L45" s="2">
        <f t="shared" si="0"/>
        <v>150</v>
      </c>
    </row>
    <row r="46" spans="1:12" ht="25" customHeight="1">
      <c r="A46" s="2" t="s">
        <v>12</v>
      </c>
      <c r="B46" s="2" t="str">
        <f>HYPERLINK("http://m.12365auto.com/zjdy/20200229/121777.shtml","上汽大众途观L质量如何值得购买吗？")</f>
        <v>上汽大众途观L质量如何值得购买吗？</v>
      </c>
      <c r="C46" s="2" t="s">
        <v>13</v>
      </c>
      <c r="D46" s="2" t="s">
        <v>12</v>
      </c>
      <c r="E46" s="2"/>
      <c r="F46" s="2" t="str">
        <f>HYPERLINK("http://m.12365auto.com/zjdy/20200229/121777.shtml","http://m.12365auto.com/zjdy/20200229/121777.shtml")</f>
        <v>http://m.12365auto.com/zjdy/20200229/121777.shtml</v>
      </c>
      <c r="G46" s="2"/>
      <c r="H46" s="2" t="s">
        <v>105</v>
      </c>
      <c r="I46" s="2" t="s">
        <v>19</v>
      </c>
      <c r="J46" s="2" t="s">
        <v>12</v>
      </c>
      <c r="K46" s="2" t="s">
        <v>106</v>
      </c>
      <c r="L46" s="2">
        <f t="shared" si="0"/>
        <v>27</v>
      </c>
    </row>
    <row r="47" spans="1:12" ht="25" customHeight="1">
      <c r="A47" s="2" t="s">
        <v>12</v>
      </c>
      <c r="B47" s="2" t="str">
        <f>HYPERLINK("http://www.12365auto.com/zlts/20200229/449414.shtml","海马8S底盘生锈和螺丝有拧过痕迹售后未解决")</f>
        <v>海马8S底盘生锈和螺丝有拧过痕迹售后未解决</v>
      </c>
      <c r="C47" s="2" t="s">
        <v>13</v>
      </c>
      <c r="D47" s="2" t="s">
        <v>12</v>
      </c>
      <c r="E47" s="2" t="s">
        <v>17</v>
      </c>
      <c r="F47" s="2" t="str">
        <f>HYPERLINK("http://www.12365auto.com/zlts/20200229/449414.shtml","http://www.12365auto.com/zlts/20200229/449414.shtml")</f>
        <v>http://www.12365auto.com/zlts/20200229/449414.shtml</v>
      </c>
      <c r="G47" s="2"/>
      <c r="H47" s="2" t="s">
        <v>107</v>
      </c>
      <c r="I47" s="2" t="s">
        <v>15</v>
      </c>
      <c r="J47" s="2" t="s">
        <v>12</v>
      </c>
      <c r="K47" s="2" t="s">
        <v>108</v>
      </c>
      <c r="L47" s="2">
        <f t="shared" si="0"/>
        <v>150</v>
      </c>
    </row>
    <row r="48" spans="1:12" ht="25" customHeight="1">
      <c r="A48" s="2" t="s">
        <v>12</v>
      </c>
      <c r="B48" s="2" t="str">
        <f>HYPERLINK("http://www.12365auto.com/zlts/20200229/449413.shtml","上汽大众辉昂倒车时车身抖动希望厂家处理")</f>
        <v>上汽大众辉昂倒车时车身抖动希望厂家处理</v>
      </c>
      <c r="C48" s="2" t="s">
        <v>13</v>
      </c>
      <c r="D48" s="2" t="s">
        <v>12</v>
      </c>
      <c r="E48" s="2" t="s">
        <v>17</v>
      </c>
      <c r="F48" s="2" t="str">
        <f>HYPERLINK("http://www.12365auto.com/zlts/20200229/449413.shtml","http://www.12365auto.com/zlts/20200229/449413.shtml")</f>
        <v>http://www.12365auto.com/zlts/20200229/449413.shtml</v>
      </c>
      <c r="G48" s="2"/>
      <c r="H48" s="2" t="s">
        <v>109</v>
      </c>
      <c r="I48" s="2" t="s">
        <v>19</v>
      </c>
      <c r="J48" s="2" t="s">
        <v>12</v>
      </c>
      <c r="K48" s="2" t="s">
        <v>110</v>
      </c>
      <c r="L48" s="2">
        <f t="shared" si="0"/>
        <v>150</v>
      </c>
    </row>
    <row r="49" spans="1:12" ht="25" customHeight="1">
      <c r="A49" s="2" t="s">
        <v>12</v>
      </c>
      <c r="B49" s="2" t="str">
        <f>HYPERLINK("http://www.12365auto.com/zlts/20200229/449410.shtml","北京现代ix35发动机异响拉缸希望厂家处理")</f>
        <v>北京现代ix35发动机异响拉缸希望厂家处理</v>
      </c>
      <c r="C49" s="2" t="s">
        <v>13</v>
      </c>
      <c r="D49" s="2" t="s">
        <v>12</v>
      </c>
      <c r="E49" s="2" t="s">
        <v>17</v>
      </c>
      <c r="F49" s="2" t="str">
        <f>HYPERLINK("http://www.12365auto.com/zlts/20200229/449410.shtml","http://www.12365auto.com/zlts/20200229/449410.shtml")</f>
        <v>http://www.12365auto.com/zlts/20200229/449410.shtml</v>
      </c>
      <c r="G49" s="2"/>
      <c r="H49" s="2" t="s">
        <v>111</v>
      </c>
      <c r="I49" s="2" t="s">
        <v>19</v>
      </c>
      <c r="J49" s="2" t="s">
        <v>12</v>
      </c>
      <c r="K49" s="2" t="s">
        <v>112</v>
      </c>
      <c r="L49" s="2">
        <f t="shared" si="0"/>
        <v>150</v>
      </c>
    </row>
    <row r="50" spans="1:12" ht="25" customHeight="1">
      <c r="A50" s="2" t="s">
        <v>12</v>
      </c>
      <c r="B50" s="2" t="str">
        <f>HYPERLINK("http://www.12365auto.com/zlts/20200229/449409.shtml","领克01动力弱油耗偏高变速箱顿挫升级未解决")</f>
        <v>领克01动力弱油耗偏高变速箱顿挫升级未解决</v>
      </c>
      <c r="C50" s="2" t="s">
        <v>13</v>
      </c>
      <c r="D50" s="2" t="s">
        <v>12</v>
      </c>
      <c r="E50" s="2" t="s">
        <v>17</v>
      </c>
      <c r="F50" s="2" t="str">
        <f>HYPERLINK("http://www.12365auto.com/zlts/20200229/449409.shtml","http://www.12365auto.com/zlts/20200229/449409.shtml")</f>
        <v>http://www.12365auto.com/zlts/20200229/449409.shtml</v>
      </c>
      <c r="G50" s="2"/>
      <c r="H50" s="2" t="s">
        <v>113</v>
      </c>
      <c r="I50" s="2" t="s">
        <v>19</v>
      </c>
      <c r="J50" s="2" t="s">
        <v>12</v>
      </c>
      <c r="K50" s="2" t="s">
        <v>112</v>
      </c>
      <c r="L50" s="2">
        <f t="shared" si="0"/>
        <v>150</v>
      </c>
    </row>
    <row r="51" spans="1:12" ht="25" customHeight="1">
      <c r="A51" s="2" t="s">
        <v>12</v>
      </c>
      <c r="B51" s="2" t="str">
        <f>HYPERLINK("http://www.12365auto.com/zlts/20200229/449408.shtml","华晨宝马X1刹车分泵故障导致刹车片偏磨严重")</f>
        <v>华晨宝马X1刹车分泵故障导致刹车片偏磨严重</v>
      </c>
      <c r="C51" s="2" t="s">
        <v>13</v>
      </c>
      <c r="D51" s="2" t="s">
        <v>12</v>
      </c>
      <c r="E51" s="2" t="s">
        <v>17</v>
      </c>
      <c r="F51" s="2" t="str">
        <f>HYPERLINK("http://www.12365auto.com/zlts/20200229/449408.shtml","http://www.12365auto.com/zlts/20200229/449408.shtml")</f>
        <v>http://www.12365auto.com/zlts/20200229/449408.shtml</v>
      </c>
      <c r="G51" s="2"/>
      <c r="H51" s="2" t="s">
        <v>114</v>
      </c>
      <c r="I51" s="2" t="s">
        <v>15</v>
      </c>
      <c r="J51" s="2" t="s">
        <v>12</v>
      </c>
      <c r="K51" s="2" t="s">
        <v>115</v>
      </c>
      <c r="L51" s="2">
        <f t="shared" si="0"/>
        <v>150</v>
      </c>
    </row>
    <row r="52" spans="1:12" ht="25" customHeight="1">
      <c r="A52" s="2" t="s">
        <v>12</v>
      </c>
      <c r="B52" s="2" t="str">
        <f>HYPERLINK("http://www.12365auto.com/zlts/20200229/449405.shtml","北京现代悦动后轮吃胎多次维修未解决")</f>
        <v>北京现代悦动后轮吃胎多次维修未解决</v>
      </c>
      <c r="C52" s="2" t="s">
        <v>13</v>
      </c>
      <c r="D52" s="2" t="s">
        <v>12</v>
      </c>
      <c r="E52" s="2" t="s">
        <v>17</v>
      </c>
      <c r="F52" s="2" t="str">
        <f>HYPERLINK("http://www.12365auto.com/zlts/20200229/449405.shtml","http://www.12365auto.com/zlts/20200229/449405.shtml")</f>
        <v>http://www.12365auto.com/zlts/20200229/449405.shtml</v>
      </c>
      <c r="G52" s="2"/>
      <c r="H52" s="2" t="s">
        <v>116</v>
      </c>
      <c r="I52" s="2" t="s">
        <v>19</v>
      </c>
      <c r="J52" s="2" t="s">
        <v>12</v>
      </c>
      <c r="K52" s="2" t="s">
        <v>117</v>
      </c>
      <c r="L52" s="2">
        <f t="shared" si="0"/>
        <v>150</v>
      </c>
    </row>
    <row r="53" spans="1:12" ht="25" customHeight="1">
      <c r="A53" s="2" t="s">
        <v>12</v>
      </c>
      <c r="B53" s="2" t="str">
        <f>HYPERLINK("http://www.12365auto.com/zlts/20200229/449402.shtml","广汽丰田凯美瑞球笼套漏油存在质量问题")</f>
        <v>广汽丰田凯美瑞球笼套漏油存在质量问题</v>
      </c>
      <c r="C53" s="2" t="s">
        <v>13</v>
      </c>
      <c r="D53" s="2" t="s">
        <v>12</v>
      </c>
      <c r="E53" s="2" t="s">
        <v>17</v>
      </c>
      <c r="F53" s="2" t="str">
        <f>HYPERLINK("http://www.12365auto.com/zlts/20200229/449402.shtml","http://www.12365auto.com/zlts/20200229/449402.shtml")</f>
        <v>http://www.12365auto.com/zlts/20200229/449402.shtml</v>
      </c>
      <c r="G53" s="2"/>
      <c r="H53" s="2" t="s">
        <v>118</v>
      </c>
      <c r="I53" s="2" t="s">
        <v>19</v>
      </c>
      <c r="J53" s="2" t="s">
        <v>12</v>
      </c>
      <c r="K53" s="2" t="s">
        <v>119</v>
      </c>
      <c r="L53" s="2">
        <f t="shared" si="0"/>
        <v>150</v>
      </c>
    </row>
    <row r="54" spans="1:12" ht="25" customHeight="1">
      <c r="A54" s="2" t="s">
        <v>12</v>
      </c>
      <c r="B54" s="2" t="str">
        <f>HYPERLINK("http://www.12365auto.com/zlts/20200229/449401.shtml","上汽大众凌渡轮胎吃胎偏磨希望厂家处理")</f>
        <v>上汽大众凌渡轮胎吃胎偏磨希望厂家处理</v>
      </c>
      <c r="C54" s="2" t="s">
        <v>13</v>
      </c>
      <c r="D54" s="2" t="s">
        <v>12</v>
      </c>
      <c r="E54" s="2" t="s">
        <v>17</v>
      </c>
      <c r="F54" s="2" t="str">
        <f>HYPERLINK("http://www.12365auto.com/zlts/20200229/449401.shtml","http://www.12365auto.com/zlts/20200229/449401.shtml")</f>
        <v>http://www.12365auto.com/zlts/20200229/449401.shtml</v>
      </c>
      <c r="G54" s="2"/>
      <c r="H54" s="2" t="s">
        <v>120</v>
      </c>
      <c r="I54" s="2" t="s">
        <v>19</v>
      </c>
      <c r="J54" s="2" t="s">
        <v>12</v>
      </c>
      <c r="K54" s="2" t="s">
        <v>121</v>
      </c>
      <c r="L54" s="2">
        <f t="shared" si="0"/>
        <v>150</v>
      </c>
    </row>
    <row r="55" spans="1:12" ht="25" customHeight="1">
      <c r="A55" s="2" t="s">
        <v>12</v>
      </c>
      <c r="B55" s="2" t="str">
        <f>HYPERLINK("http://www.12365auto.com/zlts/20200229/449399.shtml","东风本田艾力绅天窗生锈希望厂家处理")</f>
        <v>东风本田艾力绅天窗生锈希望厂家处理</v>
      </c>
      <c r="C55" s="2" t="s">
        <v>13</v>
      </c>
      <c r="D55" s="2" t="s">
        <v>12</v>
      </c>
      <c r="E55" s="2" t="s">
        <v>17</v>
      </c>
      <c r="F55" s="2" t="str">
        <f>HYPERLINK("http://www.12365auto.com/zlts/20200229/449399.shtml","http://www.12365auto.com/zlts/20200229/449399.shtml")</f>
        <v>http://www.12365auto.com/zlts/20200229/449399.shtml</v>
      </c>
      <c r="G55" s="2"/>
      <c r="H55" s="2" t="s">
        <v>122</v>
      </c>
      <c r="I55" s="2" t="s">
        <v>19</v>
      </c>
      <c r="J55" s="2" t="s">
        <v>12</v>
      </c>
      <c r="K55" s="2" t="s">
        <v>123</v>
      </c>
      <c r="L55" s="2">
        <f t="shared" si="0"/>
        <v>150</v>
      </c>
    </row>
    <row r="56" spans="1:12" ht="25" customHeight="1">
      <c r="A56" s="2" t="s">
        <v>12</v>
      </c>
      <c r="B56" s="2" t="str">
        <f>HYPERLINK("http://www.12365auto.com/zlts/20200229/449398.shtml","一汽大众速腾做完动平衡及定位后方向盘抖动")</f>
        <v>一汽大众速腾做完动平衡及定位后方向盘抖动</v>
      </c>
      <c r="C56" s="2" t="s">
        <v>13</v>
      </c>
      <c r="D56" s="2" t="s">
        <v>12</v>
      </c>
      <c r="E56" s="2" t="s">
        <v>17</v>
      </c>
      <c r="F56" s="2" t="str">
        <f>HYPERLINK("http://www.12365auto.com/zlts/20200229/449398.shtml","http://www.12365auto.com/zlts/20200229/449398.shtml")</f>
        <v>http://www.12365auto.com/zlts/20200229/449398.shtml</v>
      </c>
      <c r="G56" s="2"/>
      <c r="H56" s="2" t="s">
        <v>124</v>
      </c>
      <c r="I56" s="2" t="s">
        <v>15</v>
      </c>
      <c r="J56" s="2" t="s">
        <v>12</v>
      </c>
      <c r="K56" s="2" t="s">
        <v>125</v>
      </c>
      <c r="L56" s="2">
        <f t="shared" si="0"/>
        <v>150</v>
      </c>
    </row>
    <row r="57" spans="1:12" ht="25" customHeight="1">
      <c r="A57" s="2" t="s">
        <v>12</v>
      </c>
      <c r="B57" s="2" t="str">
        <f>HYPERLINK("http://www.12365auto.com/zlts/20200229/449397.shtml","宝骏560漆面生锈 主驾驶座椅边缘凹陷")</f>
        <v>宝骏560漆面生锈 主驾驶座椅边缘凹陷</v>
      </c>
      <c r="C57" s="2" t="s">
        <v>13</v>
      </c>
      <c r="D57" s="2" t="s">
        <v>12</v>
      </c>
      <c r="E57" s="2" t="s">
        <v>17</v>
      </c>
      <c r="F57" s="2" t="str">
        <f>HYPERLINK("http://www.12365auto.com/zlts/20200229/449397.shtml","http://www.12365auto.com/zlts/20200229/449397.shtml")</f>
        <v>http://www.12365auto.com/zlts/20200229/449397.shtml</v>
      </c>
      <c r="G57" s="2"/>
      <c r="H57" s="2" t="s">
        <v>126</v>
      </c>
      <c r="I57" s="2" t="s">
        <v>19</v>
      </c>
      <c r="J57" s="2" t="s">
        <v>12</v>
      </c>
      <c r="K57" s="2" t="s">
        <v>127</v>
      </c>
      <c r="L57" s="2">
        <f t="shared" si="0"/>
        <v>150</v>
      </c>
    </row>
    <row r="58" spans="1:12" ht="25" customHeight="1">
      <c r="A58" s="2" t="s">
        <v>12</v>
      </c>
      <c r="B58" s="2" t="str">
        <f>HYPERLINK("http://m.12365auto.com/bbs/postcontent.aspx?tID=195575","客观说说众多车企掉坑的25%偏置碰撞测试")</f>
        <v>客观说说众多车企掉坑的25%偏置碰撞测试</v>
      </c>
      <c r="C58" s="2" t="s">
        <v>13</v>
      </c>
      <c r="D58" s="2" t="s">
        <v>23</v>
      </c>
      <c r="E58" s="2"/>
      <c r="F58" s="2" t="str">
        <f>HYPERLINK("http://m.12365auto.com/bbs/postcontent.aspx?tID=195575","http://m.12365auto.com/bbs/postcontent.aspx?tID=195575")</f>
        <v>http://m.12365auto.com/bbs/postcontent.aspx?tID=195575</v>
      </c>
      <c r="G58" s="2"/>
      <c r="H58" s="2" t="s">
        <v>128</v>
      </c>
      <c r="I58" s="2" t="s">
        <v>15</v>
      </c>
      <c r="J58" s="2" t="s">
        <v>129</v>
      </c>
      <c r="K58" s="2" t="s">
        <v>130</v>
      </c>
      <c r="L58" s="2">
        <f t="shared" si="0"/>
        <v>150</v>
      </c>
    </row>
    <row r="59" spans="1:12" ht="25" customHeight="1">
      <c r="A59" s="2" t="s">
        <v>12</v>
      </c>
      <c r="B59" s="2" t="str">
        <f>HYPERLINK("http://bbs.12365auto.com/postcontent.aspx?tId=195575","客观说说众多车企掉坑的25%偏置碰撞测试")</f>
        <v>客观说说众多车企掉坑的25%偏置碰撞测试</v>
      </c>
      <c r="C59" s="2" t="s">
        <v>13</v>
      </c>
      <c r="D59" s="2" t="s">
        <v>12</v>
      </c>
      <c r="E59" s="2" t="s">
        <v>27</v>
      </c>
      <c r="F59" s="2" t="str">
        <f>HYPERLINK("http://bbs.12365auto.com/postcontent.aspx?tId=195575","http://bbs.12365auto.com/postcontent.aspx?tId=195575")</f>
        <v>http://bbs.12365auto.com/postcontent.aspx?tId=195575</v>
      </c>
      <c r="G59" s="2"/>
      <c r="H59" s="2" t="s">
        <v>128</v>
      </c>
      <c r="I59" s="2" t="s">
        <v>15</v>
      </c>
      <c r="J59" s="2" t="s">
        <v>129</v>
      </c>
      <c r="K59" s="2" t="s">
        <v>130</v>
      </c>
      <c r="L59" s="2">
        <f t="shared" si="0"/>
        <v>150</v>
      </c>
    </row>
    <row r="60" spans="1:12" ht="25" customHeight="1">
      <c r="A60" s="2" t="s">
        <v>12</v>
      </c>
      <c r="B60" s="2" t="str">
        <f>HYPERLINK("http://bbs.12365auto.com/postcontent.aspx?tID=195575","客观说说众多车企掉坑的25%偏置碰撞测试")</f>
        <v>客观说说众多车企掉坑的25%偏置碰撞测试</v>
      </c>
      <c r="C60" s="2" t="s">
        <v>13</v>
      </c>
      <c r="D60" s="2" t="s">
        <v>12</v>
      </c>
      <c r="E60" s="2" t="s">
        <v>28</v>
      </c>
      <c r="F60" s="2" t="str">
        <f>HYPERLINK("http://bbs.12365auto.com/postcontent.aspx?tID=195575","http://bbs.12365auto.com/postcontent.aspx?tID=195575")</f>
        <v>http://bbs.12365auto.com/postcontent.aspx?tID=195575</v>
      </c>
      <c r="G60" s="2"/>
      <c r="H60" s="2" t="s">
        <v>131</v>
      </c>
      <c r="I60" s="2" t="s">
        <v>15</v>
      </c>
      <c r="J60" s="2" t="s">
        <v>129</v>
      </c>
      <c r="K60" s="2" t="s">
        <v>130</v>
      </c>
      <c r="L60" s="2">
        <f t="shared" si="0"/>
        <v>150</v>
      </c>
    </row>
    <row r="61" spans="1:12" ht="25" customHeight="1">
      <c r="A61" s="2" t="s">
        <v>12</v>
      </c>
      <c r="B61" s="2" t="str">
        <f>HYPERLINK("http://m.12365auto.com/zjdy/20200229/121776.shtml","吉利新远景发动机舱内是一根皮带吗？")</f>
        <v>吉利新远景发动机舱内是一根皮带吗？</v>
      </c>
      <c r="C61" s="2" t="s">
        <v>13</v>
      </c>
      <c r="D61" s="2" t="s">
        <v>12</v>
      </c>
      <c r="E61" s="2"/>
      <c r="F61" s="2" t="str">
        <f>HYPERLINK("http://m.12365auto.com/zjdy/20200229/121776.shtml","http://m.12365auto.com/zjdy/20200229/121776.shtml")</f>
        <v>http://m.12365auto.com/zjdy/20200229/121776.shtml</v>
      </c>
      <c r="G61" s="2"/>
      <c r="H61" s="2" t="s">
        <v>132</v>
      </c>
      <c r="I61" s="2" t="s">
        <v>19</v>
      </c>
      <c r="J61" s="2" t="s">
        <v>12</v>
      </c>
      <c r="K61" s="2" t="s">
        <v>133</v>
      </c>
      <c r="L61" s="2">
        <f t="shared" si="0"/>
        <v>26</v>
      </c>
    </row>
    <row r="62" spans="1:12" ht="25" customHeight="1">
      <c r="A62" s="2" t="s">
        <v>12</v>
      </c>
      <c r="B62" s="2" t="str">
        <f>HYPERLINK("http://www.12365auto.com/zlts/20200229/449390.shtml","众泰Z700售后更换座椅与原车不一致")</f>
        <v>众泰Z700售后更换座椅与原车不一致</v>
      </c>
      <c r="C62" s="2" t="s">
        <v>13</v>
      </c>
      <c r="D62" s="2" t="s">
        <v>12</v>
      </c>
      <c r="E62" s="2" t="s">
        <v>17</v>
      </c>
      <c r="F62" s="2" t="str">
        <f>HYPERLINK("http://www.12365auto.com/zlts/20200229/449390.shtml","http://www.12365auto.com/zlts/20200229/449390.shtml")</f>
        <v>http://www.12365auto.com/zlts/20200229/449390.shtml</v>
      </c>
      <c r="G62" s="2"/>
      <c r="H62" s="2" t="s">
        <v>134</v>
      </c>
      <c r="I62" s="2" t="s">
        <v>19</v>
      </c>
      <c r="J62" s="2" t="s">
        <v>12</v>
      </c>
      <c r="K62" s="2" t="s">
        <v>135</v>
      </c>
      <c r="L62" s="2">
        <f t="shared" si="0"/>
        <v>150</v>
      </c>
    </row>
    <row r="63" spans="1:12" ht="25" customHeight="1">
      <c r="A63" s="2" t="s">
        <v>12</v>
      </c>
      <c r="B63" s="2" t="str">
        <f>HYPERLINK("http://www.12365auto.com/zlts/20200229/449389.shtml","一汽丰田亚洲龙机油增多超过标尺线刻度")</f>
        <v>一汽丰田亚洲龙机油增多超过标尺线刻度</v>
      </c>
      <c r="C63" s="2" t="s">
        <v>13</v>
      </c>
      <c r="D63" s="2" t="s">
        <v>12</v>
      </c>
      <c r="E63" s="2" t="s">
        <v>17</v>
      </c>
      <c r="F63" s="2" t="str">
        <f>HYPERLINK("http://www.12365auto.com/zlts/20200229/449389.shtml","http://www.12365auto.com/zlts/20200229/449389.shtml")</f>
        <v>http://www.12365auto.com/zlts/20200229/449389.shtml</v>
      </c>
      <c r="G63" s="2"/>
      <c r="H63" s="2" t="s">
        <v>136</v>
      </c>
      <c r="I63" s="2" t="s">
        <v>19</v>
      </c>
      <c r="J63" s="2" t="s">
        <v>12</v>
      </c>
      <c r="K63" s="2" t="s">
        <v>137</v>
      </c>
      <c r="L63" s="2">
        <f t="shared" si="0"/>
        <v>150</v>
      </c>
    </row>
    <row r="64" spans="1:12" ht="25" customHeight="1">
      <c r="A64" s="2" t="s">
        <v>12</v>
      </c>
      <c r="B64" s="2" t="str">
        <f>HYPERLINK("http://www.12365auto.com/zlts/20200229/449387.shtml","吉利帝豪车身多处生锈希望厂家质保处理")</f>
        <v>吉利帝豪车身多处生锈希望厂家质保处理</v>
      </c>
      <c r="C64" s="2" t="s">
        <v>13</v>
      </c>
      <c r="D64" s="2" t="s">
        <v>12</v>
      </c>
      <c r="E64" s="2" t="s">
        <v>17</v>
      </c>
      <c r="F64" s="2" t="str">
        <f>HYPERLINK("http://www.12365auto.com/zlts/20200229/449387.shtml","http://www.12365auto.com/zlts/20200229/449387.shtml")</f>
        <v>http://www.12365auto.com/zlts/20200229/449387.shtml</v>
      </c>
      <c r="G64" s="2"/>
      <c r="H64" s="2" t="s">
        <v>138</v>
      </c>
      <c r="I64" s="2" t="s">
        <v>15</v>
      </c>
      <c r="J64" s="2" t="s">
        <v>12</v>
      </c>
      <c r="K64" s="2" t="s">
        <v>139</v>
      </c>
      <c r="L64" s="2">
        <f t="shared" si="0"/>
        <v>150</v>
      </c>
    </row>
    <row r="65" spans="1:12" ht="25" customHeight="1">
      <c r="A65" s="2" t="s">
        <v>12</v>
      </c>
      <c r="B65" s="2" t="str">
        <f>HYPERLINK("http://www.12365auto.com/zlts/20200229/449386.shtml","一汽大众探岳大灯模糊透镜表面有油污")</f>
        <v>一汽大众探岳大灯模糊透镜表面有油污</v>
      </c>
      <c r="C65" s="2" t="s">
        <v>13</v>
      </c>
      <c r="D65" s="2" t="s">
        <v>12</v>
      </c>
      <c r="E65" s="2" t="s">
        <v>17</v>
      </c>
      <c r="F65" s="2" t="str">
        <f>HYPERLINK("http://www.12365auto.com/zlts/20200229/449386.shtml","http://www.12365auto.com/zlts/20200229/449386.shtml")</f>
        <v>http://www.12365auto.com/zlts/20200229/449386.shtml</v>
      </c>
      <c r="G65" s="2"/>
      <c r="H65" s="2" t="s">
        <v>140</v>
      </c>
      <c r="I65" s="2" t="s">
        <v>19</v>
      </c>
      <c r="J65" s="2" t="s">
        <v>12</v>
      </c>
      <c r="K65" s="2" t="s">
        <v>141</v>
      </c>
      <c r="L65" s="2">
        <f t="shared" si="0"/>
        <v>150</v>
      </c>
    </row>
    <row r="66" spans="1:12" ht="25" customHeight="1">
      <c r="A66" s="2" t="s">
        <v>12</v>
      </c>
      <c r="B66" s="2" t="str">
        <f>HYPERLINK("http://m.12365auto.com/zjdy/20200229/121775.shtml","刹车踏板和雨刮器同时震动怎么办？")</f>
        <v>刹车踏板和雨刮器同时震动怎么办？</v>
      </c>
      <c r="C66" s="2" t="s">
        <v>13</v>
      </c>
      <c r="D66" s="2" t="s">
        <v>12</v>
      </c>
      <c r="E66" s="2"/>
      <c r="F66" s="2" t="str">
        <f>HYPERLINK("http://m.12365auto.com/zjdy/20200229/121775.shtml","http://m.12365auto.com/zjdy/20200229/121775.shtml")</f>
        <v>http://m.12365auto.com/zjdy/20200229/121775.shtml</v>
      </c>
      <c r="G66" s="2"/>
      <c r="H66" s="2" t="s">
        <v>142</v>
      </c>
      <c r="I66" s="2" t="s">
        <v>19</v>
      </c>
      <c r="J66" s="2" t="s">
        <v>12</v>
      </c>
      <c r="K66" s="2" t="s">
        <v>143</v>
      </c>
      <c r="L66" s="2">
        <f t="shared" si="0"/>
        <v>42</v>
      </c>
    </row>
    <row r="67" spans="1:12" ht="25" customHeight="1">
      <c r="A67" s="2" t="s">
        <v>12</v>
      </c>
      <c r="B67" s="2" t="str">
        <f>HYPERLINK("http://bbs.12365auto.com/postcontent.aspx?tId=195573","埃尔法改装WALD 你喜欢吗")</f>
        <v>埃尔法改装WALD 你喜欢吗</v>
      </c>
      <c r="C67" s="2" t="s">
        <v>13</v>
      </c>
      <c r="D67" s="2" t="s">
        <v>12</v>
      </c>
      <c r="E67" s="2" t="s">
        <v>27</v>
      </c>
      <c r="F67" s="2" t="str">
        <f>HYPERLINK("http://bbs.12365auto.com/postcontent.aspx?tId=195573","http://bbs.12365auto.com/postcontent.aspx?tId=195573")</f>
        <v>http://bbs.12365auto.com/postcontent.aspx?tId=195573</v>
      </c>
      <c r="G67" s="2"/>
      <c r="H67" s="2" t="s">
        <v>144</v>
      </c>
      <c r="I67" s="2" t="s">
        <v>15</v>
      </c>
      <c r="J67" s="2" t="s">
        <v>145</v>
      </c>
      <c r="K67" s="2" t="s">
        <v>146</v>
      </c>
      <c r="L67" s="2">
        <f t="shared" ref="L67:L130" si="1">LEN(H67)</f>
        <v>9</v>
      </c>
    </row>
    <row r="68" spans="1:12" ht="25" customHeight="1">
      <c r="A68" s="2" t="s">
        <v>12</v>
      </c>
      <c r="B68" s="2" t="str">
        <f>HYPERLINK("http://m.12365auto.com/bbs/postcontent.aspx?tID=195573","埃尔法改装WALD 你喜欢吗")</f>
        <v>埃尔法改装WALD 你喜欢吗</v>
      </c>
      <c r="C68" s="2" t="s">
        <v>13</v>
      </c>
      <c r="D68" s="2" t="s">
        <v>23</v>
      </c>
      <c r="E68" s="2"/>
      <c r="F68" s="2" t="str">
        <f>HYPERLINK("http://m.12365auto.com/bbs/postcontent.aspx?tID=195573","http://m.12365auto.com/bbs/postcontent.aspx?tID=195573")</f>
        <v>http://m.12365auto.com/bbs/postcontent.aspx?tID=195573</v>
      </c>
      <c r="G68" s="2"/>
      <c r="H68" s="2" t="s">
        <v>144</v>
      </c>
      <c r="I68" s="2" t="s">
        <v>15</v>
      </c>
      <c r="J68" s="2" t="s">
        <v>145</v>
      </c>
      <c r="K68" s="2" t="s">
        <v>146</v>
      </c>
      <c r="L68" s="2">
        <f t="shared" si="1"/>
        <v>9</v>
      </c>
    </row>
    <row r="69" spans="1:12" ht="25" customHeight="1">
      <c r="A69" s="2" t="s">
        <v>12</v>
      </c>
      <c r="B69" s="2" t="str">
        <f>HYPERLINK("http://bbs.12365auto.com/postcontent.aspx?tID=195573","埃尔法改装WALD 你喜欢吗")</f>
        <v>埃尔法改装WALD 你喜欢吗</v>
      </c>
      <c r="C69" s="2" t="s">
        <v>13</v>
      </c>
      <c r="D69" s="2" t="s">
        <v>12</v>
      </c>
      <c r="E69" s="2" t="s">
        <v>28</v>
      </c>
      <c r="F69" s="2" t="str">
        <f>HYPERLINK("http://bbs.12365auto.com/postcontent.aspx?tID=195573","http://bbs.12365auto.com/postcontent.aspx?tID=195573")</f>
        <v>http://bbs.12365auto.com/postcontent.aspx?tID=195573</v>
      </c>
      <c r="G69" s="2"/>
      <c r="H69" s="2" t="s">
        <v>147</v>
      </c>
      <c r="I69" s="2" t="s">
        <v>15</v>
      </c>
      <c r="J69" s="2" t="s">
        <v>145</v>
      </c>
      <c r="K69" s="2" t="s">
        <v>146</v>
      </c>
      <c r="L69" s="2">
        <f t="shared" si="1"/>
        <v>23</v>
      </c>
    </row>
    <row r="70" spans="1:12" ht="25" customHeight="1">
      <c r="A70" s="2" t="s">
        <v>12</v>
      </c>
      <c r="B70" s="2" t="str">
        <f>HYPERLINK("http://www.12365auto.com/zlts/20200229/449382.shtml","东风雪铁龙世嘉保养后4S店未添加变速箱油")</f>
        <v>东风雪铁龙世嘉保养后4S店未添加变速箱油</v>
      </c>
      <c r="C70" s="2" t="s">
        <v>13</v>
      </c>
      <c r="D70" s="2" t="s">
        <v>12</v>
      </c>
      <c r="E70" s="2" t="s">
        <v>17</v>
      </c>
      <c r="F70" s="2" t="str">
        <f>HYPERLINK("http://www.12365auto.com/zlts/20200229/449382.shtml","http://www.12365auto.com/zlts/20200229/449382.shtml")</f>
        <v>http://www.12365auto.com/zlts/20200229/449382.shtml</v>
      </c>
      <c r="G70" s="2"/>
      <c r="H70" s="2" t="s">
        <v>148</v>
      </c>
      <c r="I70" s="2" t="s">
        <v>15</v>
      </c>
      <c r="J70" s="2" t="s">
        <v>12</v>
      </c>
      <c r="K70" s="2" t="s">
        <v>149</v>
      </c>
      <c r="L70" s="2">
        <f t="shared" si="1"/>
        <v>150</v>
      </c>
    </row>
    <row r="71" spans="1:12" ht="25" customHeight="1">
      <c r="A71" s="2" t="s">
        <v>12</v>
      </c>
      <c r="B71" s="2" t="str">
        <f>HYPERLINK("http://www.12365auto.com/zlts/20200229/449381.shtml","吉利帝豪GL副驾驶座椅缝线开裂海绵漏出")</f>
        <v>吉利帝豪GL副驾驶座椅缝线开裂海绵漏出</v>
      </c>
      <c r="C71" s="2" t="s">
        <v>13</v>
      </c>
      <c r="D71" s="2" t="s">
        <v>12</v>
      </c>
      <c r="E71" s="2" t="s">
        <v>17</v>
      </c>
      <c r="F71" s="2" t="str">
        <f>HYPERLINK("http://www.12365auto.com/zlts/20200229/449381.shtml","http://www.12365auto.com/zlts/20200229/449381.shtml")</f>
        <v>http://www.12365auto.com/zlts/20200229/449381.shtml</v>
      </c>
      <c r="G71" s="2"/>
      <c r="H71" s="2" t="s">
        <v>150</v>
      </c>
      <c r="I71" s="2" t="s">
        <v>19</v>
      </c>
      <c r="J71" s="2" t="s">
        <v>12</v>
      </c>
      <c r="K71" s="2" t="s">
        <v>151</v>
      </c>
      <c r="L71" s="2">
        <f t="shared" si="1"/>
        <v>150</v>
      </c>
    </row>
    <row r="72" spans="1:12" ht="25" customHeight="1">
      <c r="A72" s="2" t="s">
        <v>12</v>
      </c>
      <c r="B72" s="2" t="str">
        <f>HYPERLINK("http://www.12365auto.com/zlts/20200229/449380.shtml","上汽大众途岳发动机 变速箱 刹车异响")</f>
        <v>上汽大众途岳发动机 变速箱 刹车异响</v>
      </c>
      <c r="C72" s="2" t="s">
        <v>13</v>
      </c>
      <c r="D72" s="2" t="s">
        <v>12</v>
      </c>
      <c r="E72" s="2" t="s">
        <v>17</v>
      </c>
      <c r="F72" s="2" t="str">
        <f>HYPERLINK("http://www.12365auto.com/zlts/20200229/449380.shtml","http://www.12365auto.com/zlts/20200229/449380.shtml")</f>
        <v>http://www.12365auto.com/zlts/20200229/449380.shtml</v>
      </c>
      <c r="G72" s="2"/>
      <c r="H72" s="2" t="s">
        <v>152</v>
      </c>
      <c r="I72" s="2" t="s">
        <v>15</v>
      </c>
      <c r="J72" s="2" t="s">
        <v>12</v>
      </c>
      <c r="K72" s="2" t="s">
        <v>153</v>
      </c>
      <c r="L72" s="2">
        <f t="shared" si="1"/>
        <v>150</v>
      </c>
    </row>
    <row r="73" spans="1:12" ht="25" customHeight="1">
      <c r="A73" s="2" t="s">
        <v>12</v>
      </c>
      <c r="B73" s="2" t="str">
        <f>HYPERLINK("http://m.12365auto.com/zjdy/20200229/121774.shtml","大众探岳质量如何主要会有哪些问题？")</f>
        <v>大众探岳质量如何主要会有哪些问题？</v>
      </c>
      <c r="C73" s="2" t="s">
        <v>13</v>
      </c>
      <c r="D73" s="2" t="s">
        <v>12</v>
      </c>
      <c r="E73" s="2"/>
      <c r="F73" s="2" t="str">
        <f>HYPERLINK("http://m.12365auto.com/zjdy/20200229/121774.shtml","http://m.12365auto.com/zjdy/20200229/121774.shtml")</f>
        <v>http://m.12365auto.com/zjdy/20200229/121774.shtml</v>
      </c>
      <c r="G73" s="2"/>
      <c r="H73" s="2" t="s">
        <v>154</v>
      </c>
      <c r="I73" s="2" t="s">
        <v>19</v>
      </c>
      <c r="J73" s="2" t="s">
        <v>12</v>
      </c>
      <c r="K73" s="2" t="s">
        <v>155</v>
      </c>
      <c r="L73" s="2">
        <f t="shared" si="1"/>
        <v>57</v>
      </c>
    </row>
    <row r="74" spans="1:12" ht="25" customHeight="1">
      <c r="A74" s="2" t="s">
        <v>12</v>
      </c>
      <c r="B74" s="2" t="str">
        <f>HYPERLINK("http://m.12365auto.com/zjdy/20200229/121773.shtml","购买新车指南者收到召回通知该如何维权？")</f>
        <v>购买新车指南者收到召回通知该如何维权？</v>
      </c>
      <c r="C74" s="2" t="s">
        <v>13</v>
      </c>
      <c r="D74" s="2" t="s">
        <v>12</v>
      </c>
      <c r="E74" s="2"/>
      <c r="F74" s="2" t="str">
        <f>HYPERLINK("http://m.12365auto.com/zjdy/20200229/121773.shtml","http://m.12365auto.com/zjdy/20200229/121773.shtml")</f>
        <v>http://m.12365auto.com/zjdy/20200229/121773.shtml</v>
      </c>
      <c r="G74" s="2"/>
      <c r="H74" s="2" t="s">
        <v>156</v>
      </c>
      <c r="I74" s="2" t="s">
        <v>19</v>
      </c>
      <c r="J74" s="2" t="s">
        <v>12</v>
      </c>
      <c r="K74" s="2" t="s">
        <v>157</v>
      </c>
      <c r="L74" s="2">
        <f t="shared" si="1"/>
        <v>28</v>
      </c>
    </row>
    <row r="75" spans="1:12" ht="25" customHeight="1">
      <c r="A75" s="2" t="s">
        <v>12</v>
      </c>
      <c r="B75" s="2" t="str">
        <f>HYPERLINK("http://www.12365auto.com/zlts/20200229/449375.shtml","广汽丰田凯美瑞机油增多希望厂家处理")</f>
        <v>广汽丰田凯美瑞机油增多希望厂家处理</v>
      </c>
      <c r="C75" s="2" t="s">
        <v>13</v>
      </c>
      <c r="D75" s="2" t="s">
        <v>12</v>
      </c>
      <c r="E75" s="2" t="s">
        <v>17</v>
      </c>
      <c r="F75" s="2" t="str">
        <f>HYPERLINK("http://www.12365auto.com/zlts/20200229/449375.shtml","http://www.12365auto.com/zlts/20200229/449375.shtml")</f>
        <v>http://www.12365auto.com/zlts/20200229/449375.shtml</v>
      </c>
      <c r="G75" s="2"/>
      <c r="H75" s="2" t="s">
        <v>158</v>
      </c>
      <c r="I75" s="2" t="s">
        <v>19</v>
      </c>
      <c r="J75" s="2" t="s">
        <v>12</v>
      </c>
      <c r="K75" s="2" t="s">
        <v>159</v>
      </c>
      <c r="L75" s="2">
        <f t="shared" si="1"/>
        <v>150</v>
      </c>
    </row>
    <row r="76" spans="1:12" ht="25" customHeight="1">
      <c r="A76" s="2" t="s">
        <v>12</v>
      </c>
      <c r="B76" s="2" t="str">
        <f>HYPERLINK("http://www.12365auto.com/zlts/20200229/449373.shtml","广汽丰田凯美瑞发动机进水维修后噪音大")</f>
        <v>广汽丰田凯美瑞发动机进水维修后噪音大</v>
      </c>
      <c r="C76" s="2" t="s">
        <v>13</v>
      </c>
      <c r="D76" s="2" t="s">
        <v>12</v>
      </c>
      <c r="E76" s="2" t="s">
        <v>17</v>
      </c>
      <c r="F76" s="2" t="str">
        <f>HYPERLINK("http://www.12365auto.com/zlts/20200229/449373.shtml","http://www.12365auto.com/zlts/20200229/449373.shtml")</f>
        <v>http://www.12365auto.com/zlts/20200229/449373.shtml</v>
      </c>
      <c r="G76" s="2"/>
      <c r="H76" s="2" t="s">
        <v>160</v>
      </c>
      <c r="I76" s="2" t="s">
        <v>15</v>
      </c>
      <c r="J76" s="2" t="s">
        <v>12</v>
      </c>
      <c r="K76" s="2" t="s">
        <v>161</v>
      </c>
      <c r="L76" s="2">
        <f t="shared" si="1"/>
        <v>150</v>
      </c>
    </row>
    <row r="77" spans="1:12" ht="25" customHeight="1">
      <c r="A77" s="2" t="s">
        <v>12</v>
      </c>
      <c r="B77" s="2" t="str">
        <f>HYPERLINK("http://www.12365auto.com/zlts/20200229/449372.shtml","广汽丰田凯美瑞机油增多并伴有汽油味")</f>
        <v>广汽丰田凯美瑞机油增多并伴有汽油味</v>
      </c>
      <c r="C77" s="2" t="s">
        <v>13</v>
      </c>
      <c r="D77" s="2" t="s">
        <v>12</v>
      </c>
      <c r="E77" s="2" t="s">
        <v>17</v>
      </c>
      <c r="F77" s="2" t="str">
        <f>HYPERLINK("http://www.12365auto.com/zlts/20200229/449372.shtml","http://www.12365auto.com/zlts/20200229/449372.shtml")</f>
        <v>http://www.12365auto.com/zlts/20200229/449372.shtml</v>
      </c>
      <c r="G77" s="2"/>
      <c r="H77" s="2" t="s">
        <v>162</v>
      </c>
      <c r="I77" s="2" t="s">
        <v>19</v>
      </c>
      <c r="J77" s="2" t="s">
        <v>12</v>
      </c>
      <c r="K77" s="2" t="s">
        <v>163</v>
      </c>
      <c r="L77" s="2">
        <f t="shared" si="1"/>
        <v>150</v>
      </c>
    </row>
    <row r="78" spans="1:12" ht="25" customHeight="1">
      <c r="A78" s="2" t="s">
        <v>12</v>
      </c>
      <c r="B78" s="2" t="str">
        <f>HYPERLINK("http://www.12365auto.com/zlts/20200229/449370.shtml","一汽奔腾X40发动机异响希望厂家处理")</f>
        <v>一汽奔腾X40发动机异响希望厂家处理</v>
      </c>
      <c r="C78" s="2" t="s">
        <v>13</v>
      </c>
      <c r="D78" s="2" t="s">
        <v>12</v>
      </c>
      <c r="E78" s="2" t="s">
        <v>17</v>
      </c>
      <c r="F78" s="2" t="str">
        <f>HYPERLINK("http://www.12365auto.com/zlts/20200229/449370.shtml","http://www.12365auto.com/zlts/20200229/449370.shtml")</f>
        <v>http://www.12365auto.com/zlts/20200229/449370.shtml</v>
      </c>
      <c r="G78" s="2"/>
      <c r="H78" s="2" t="s">
        <v>164</v>
      </c>
      <c r="I78" s="2" t="s">
        <v>19</v>
      </c>
      <c r="J78" s="2" t="s">
        <v>12</v>
      </c>
      <c r="K78" s="2" t="s">
        <v>165</v>
      </c>
      <c r="L78" s="2">
        <f t="shared" si="1"/>
        <v>150</v>
      </c>
    </row>
    <row r="79" spans="1:12" ht="25" customHeight="1">
      <c r="A79" s="2" t="s">
        <v>12</v>
      </c>
      <c r="B79" s="2" t="str">
        <f>HYPERLINK("http://www.12365auto.com/zlts/20200229/449369.shtml","东风日产逍客后备箱漏水希望厂家处理")</f>
        <v>东风日产逍客后备箱漏水希望厂家处理</v>
      </c>
      <c r="C79" s="2" t="s">
        <v>13</v>
      </c>
      <c r="D79" s="2" t="s">
        <v>12</v>
      </c>
      <c r="E79" s="2" t="s">
        <v>17</v>
      </c>
      <c r="F79" s="2" t="str">
        <f>HYPERLINK("http://www.12365auto.com/zlts/20200229/449369.shtml","http://www.12365auto.com/zlts/20200229/449369.shtml")</f>
        <v>http://www.12365auto.com/zlts/20200229/449369.shtml</v>
      </c>
      <c r="G79" s="2"/>
      <c r="H79" s="2" t="s">
        <v>166</v>
      </c>
      <c r="I79" s="2" t="s">
        <v>19</v>
      </c>
      <c r="J79" s="2" t="s">
        <v>12</v>
      </c>
      <c r="K79" s="2" t="s">
        <v>167</v>
      </c>
      <c r="L79" s="2">
        <f t="shared" si="1"/>
        <v>150</v>
      </c>
    </row>
    <row r="80" spans="1:12" ht="25" customHeight="1">
      <c r="A80" s="2" t="s">
        <v>12</v>
      </c>
      <c r="B80" s="2" t="str">
        <f>HYPERLINK("http://bbs.12365auto.com/postcontent.aspx?tId=195572","兰德酷路泽改装WALD宽体大包围")</f>
        <v>兰德酷路泽改装WALD宽体大包围</v>
      </c>
      <c r="C80" s="2" t="s">
        <v>13</v>
      </c>
      <c r="D80" s="2" t="s">
        <v>12</v>
      </c>
      <c r="E80" s="2" t="s">
        <v>27</v>
      </c>
      <c r="F80" s="2" t="str">
        <f>HYPERLINK("http://bbs.12365auto.com/postcontent.aspx?tId=195572","http://bbs.12365auto.com/postcontent.aspx?tId=195572")</f>
        <v>http://bbs.12365auto.com/postcontent.aspx?tId=195572</v>
      </c>
      <c r="G80" s="2"/>
      <c r="H80" s="3" t="s">
        <v>168</v>
      </c>
      <c r="I80" s="2" t="s">
        <v>15</v>
      </c>
      <c r="J80" s="2" t="s">
        <v>145</v>
      </c>
      <c r="K80" s="2" t="s">
        <v>169</v>
      </c>
      <c r="L80" s="2">
        <f t="shared" si="1"/>
        <v>16</v>
      </c>
    </row>
    <row r="81" spans="1:12" ht="25" customHeight="1">
      <c r="A81" s="2" t="s">
        <v>12</v>
      </c>
      <c r="B81" s="2" t="str">
        <f>HYPERLINK("http://m.12365auto.com/bbs/postcontent.aspx?tID=195572","兰德酷路泽改装WALD宽体大包围")</f>
        <v>兰德酷路泽改装WALD宽体大包围</v>
      </c>
      <c r="C81" s="2" t="s">
        <v>13</v>
      </c>
      <c r="D81" s="2" t="s">
        <v>23</v>
      </c>
      <c r="E81" s="2"/>
      <c r="F81" s="2" t="str">
        <f>HYPERLINK("http://m.12365auto.com/bbs/postcontent.aspx?tID=195572","http://m.12365auto.com/bbs/postcontent.aspx?tID=195572")</f>
        <v>http://m.12365auto.com/bbs/postcontent.aspx?tID=195572</v>
      </c>
      <c r="G81" s="2"/>
      <c r="H81" s="3" t="s">
        <v>168</v>
      </c>
      <c r="I81" s="2" t="s">
        <v>15</v>
      </c>
      <c r="J81" s="2" t="s">
        <v>145</v>
      </c>
      <c r="K81" s="2" t="s">
        <v>169</v>
      </c>
      <c r="L81" s="2">
        <f t="shared" si="1"/>
        <v>16</v>
      </c>
    </row>
    <row r="82" spans="1:12" ht="25" customHeight="1">
      <c r="A82" s="2" t="s">
        <v>12</v>
      </c>
      <c r="B82" s="2" t="str">
        <f>HYPERLINK("http://bbs.12365auto.com/postcontent.aspx?tID=195572","兰德酷路泽改装WALD宽体大包围")</f>
        <v>兰德酷路泽改装WALD宽体大包围</v>
      </c>
      <c r="C82" s="2" t="s">
        <v>13</v>
      </c>
      <c r="D82" s="2" t="s">
        <v>12</v>
      </c>
      <c r="E82" s="2" t="s">
        <v>28</v>
      </c>
      <c r="F82" s="2" t="str">
        <f>HYPERLINK("http://bbs.12365auto.com/postcontent.aspx?tID=195572","http://bbs.12365auto.com/postcontent.aspx?tID=195572")</f>
        <v>http://bbs.12365auto.com/postcontent.aspx?tID=195572</v>
      </c>
      <c r="G82" s="2"/>
      <c r="H82" s="2" t="s">
        <v>170</v>
      </c>
      <c r="I82" s="2" t="s">
        <v>15</v>
      </c>
      <c r="J82" s="2" t="s">
        <v>145</v>
      </c>
      <c r="K82" s="2" t="s">
        <v>169</v>
      </c>
      <c r="L82" s="2">
        <f t="shared" si="1"/>
        <v>23</v>
      </c>
    </row>
    <row r="83" spans="1:12" ht="25" customHeight="1">
      <c r="A83" s="2" t="s">
        <v>12</v>
      </c>
      <c r="B83" s="2" t="str">
        <f>HYPERLINK("http://www.12365auto.com/zlts/20200229/449368.shtml","东风风行景逸X5前后桥及悬挂生锈严重")</f>
        <v>东风风行景逸X5前后桥及悬挂生锈严重</v>
      </c>
      <c r="C83" s="2" t="s">
        <v>13</v>
      </c>
      <c r="D83" s="2" t="s">
        <v>12</v>
      </c>
      <c r="E83" s="2" t="s">
        <v>17</v>
      </c>
      <c r="F83" s="2" t="str">
        <f>HYPERLINK("http://www.12365auto.com/zlts/20200229/449368.shtml","http://www.12365auto.com/zlts/20200229/449368.shtml")</f>
        <v>http://www.12365auto.com/zlts/20200229/449368.shtml</v>
      </c>
      <c r="G83" s="2"/>
      <c r="H83" s="2" t="s">
        <v>171</v>
      </c>
      <c r="I83" s="2" t="s">
        <v>15</v>
      </c>
      <c r="J83" s="2" t="s">
        <v>12</v>
      </c>
      <c r="K83" s="2" t="s">
        <v>172</v>
      </c>
      <c r="L83" s="2">
        <f t="shared" si="1"/>
        <v>150</v>
      </c>
    </row>
    <row r="84" spans="1:12" ht="25" customHeight="1">
      <c r="A84" s="2" t="s">
        <v>12</v>
      </c>
      <c r="B84" s="2" t="str">
        <f>HYPERLINK("http://www.12365auto.com/zlts/20200229/449367.shtml","广汽传祺GA8发动机和天窗异响严重")</f>
        <v>广汽传祺GA8发动机和天窗异响严重</v>
      </c>
      <c r="C84" s="2" t="s">
        <v>13</v>
      </c>
      <c r="D84" s="2" t="s">
        <v>12</v>
      </c>
      <c r="E84" s="2" t="s">
        <v>17</v>
      </c>
      <c r="F84" s="2" t="str">
        <f>HYPERLINK("http://www.12365auto.com/zlts/20200229/449367.shtml","http://www.12365auto.com/zlts/20200229/449367.shtml")</f>
        <v>http://www.12365auto.com/zlts/20200229/449367.shtml</v>
      </c>
      <c r="G84" s="2"/>
      <c r="H84" s="2" t="s">
        <v>173</v>
      </c>
      <c r="I84" s="2" t="s">
        <v>19</v>
      </c>
      <c r="J84" s="2" t="s">
        <v>12</v>
      </c>
      <c r="K84" s="2" t="s">
        <v>174</v>
      </c>
      <c r="L84" s="2">
        <f t="shared" si="1"/>
        <v>150</v>
      </c>
    </row>
    <row r="85" spans="1:12" ht="25" customHeight="1">
      <c r="A85" s="2" t="s">
        <v>12</v>
      </c>
      <c r="B85" s="2" t="str">
        <f>HYPERLINK("http://www.12365auto.com/zlts/20200229/449365.shtml","吉利博越前挡风玻璃开裂存在质量问题")</f>
        <v>吉利博越前挡风玻璃开裂存在质量问题</v>
      </c>
      <c r="C85" s="2" t="s">
        <v>13</v>
      </c>
      <c r="D85" s="2" t="s">
        <v>12</v>
      </c>
      <c r="E85" s="2" t="s">
        <v>17</v>
      </c>
      <c r="F85" s="2" t="str">
        <f>HYPERLINK("http://www.12365auto.com/zlts/20200229/449365.shtml","http://www.12365auto.com/zlts/20200229/449365.shtml")</f>
        <v>http://www.12365auto.com/zlts/20200229/449365.shtml</v>
      </c>
      <c r="G85" s="2"/>
      <c r="H85" s="2" t="s">
        <v>175</v>
      </c>
      <c r="I85" s="2" t="s">
        <v>15</v>
      </c>
      <c r="J85" s="2" t="s">
        <v>12</v>
      </c>
      <c r="K85" s="2" t="s">
        <v>176</v>
      </c>
      <c r="L85" s="2">
        <f t="shared" si="1"/>
        <v>150</v>
      </c>
    </row>
    <row r="86" spans="1:12" ht="25" customHeight="1">
      <c r="A86" s="2" t="s">
        <v>12</v>
      </c>
      <c r="B86" s="2" t="str">
        <f>HYPERLINK("http://www.12365auto.com/zlts/20200229/449366.shtml","一汽丰田卡罗拉低速时变速箱顿挫严重")</f>
        <v>一汽丰田卡罗拉低速时变速箱顿挫严重</v>
      </c>
      <c r="C86" s="2" t="s">
        <v>13</v>
      </c>
      <c r="D86" s="2" t="s">
        <v>12</v>
      </c>
      <c r="E86" s="2" t="s">
        <v>17</v>
      </c>
      <c r="F86" s="2" t="str">
        <f>HYPERLINK("http://www.12365auto.com/zlts/20200229/449366.shtml","http://www.12365auto.com/zlts/20200229/449366.shtml")</f>
        <v>http://www.12365auto.com/zlts/20200229/449366.shtml</v>
      </c>
      <c r="G86" s="2"/>
      <c r="H86" s="2" t="s">
        <v>177</v>
      </c>
      <c r="I86" s="2" t="s">
        <v>19</v>
      </c>
      <c r="J86" s="2" t="s">
        <v>12</v>
      </c>
      <c r="K86" s="2" t="s">
        <v>176</v>
      </c>
      <c r="L86" s="2">
        <f t="shared" si="1"/>
        <v>150</v>
      </c>
    </row>
    <row r="87" spans="1:12" ht="25" customHeight="1">
      <c r="A87" s="2" t="s">
        <v>12</v>
      </c>
      <c r="B87" s="2" t="str">
        <f>HYPERLINK("http://www.12365auto.com/zlts/20200229/449363.shtml","东风标致3008发动机烧机油怠速不稳")</f>
        <v>东风标致3008发动机烧机油怠速不稳</v>
      </c>
      <c r="C87" s="2" t="s">
        <v>13</v>
      </c>
      <c r="D87" s="2" t="s">
        <v>12</v>
      </c>
      <c r="E87" s="2" t="s">
        <v>17</v>
      </c>
      <c r="F87" s="2" t="str">
        <f>HYPERLINK("http://www.12365auto.com/zlts/20200229/449363.shtml","http://www.12365auto.com/zlts/20200229/449363.shtml")</f>
        <v>http://www.12365auto.com/zlts/20200229/449363.shtml</v>
      </c>
      <c r="G87" s="2"/>
      <c r="H87" s="2" t="s">
        <v>178</v>
      </c>
      <c r="I87" s="2" t="s">
        <v>19</v>
      </c>
      <c r="J87" s="2" t="s">
        <v>12</v>
      </c>
      <c r="K87" s="2" t="s">
        <v>179</v>
      </c>
      <c r="L87" s="2">
        <f t="shared" si="1"/>
        <v>150</v>
      </c>
    </row>
    <row r="88" spans="1:12" ht="25" customHeight="1">
      <c r="A88" s="2" t="s">
        <v>12</v>
      </c>
      <c r="B88" s="2" t="str">
        <f>HYPERLINK("http://www.12365auto.com/zlts/20200229/449361.shtml","华晨宝马X1大灯进灰起雾希望厂家处理")</f>
        <v>华晨宝马X1大灯进灰起雾希望厂家处理</v>
      </c>
      <c r="C88" s="2" t="s">
        <v>13</v>
      </c>
      <c r="D88" s="2" t="s">
        <v>12</v>
      </c>
      <c r="E88" s="2" t="s">
        <v>17</v>
      </c>
      <c r="F88" s="2" t="str">
        <f>HYPERLINK("http://www.12365auto.com/zlts/20200229/449361.shtml","http://www.12365auto.com/zlts/20200229/449361.shtml")</f>
        <v>http://www.12365auto.com/zlts/20200229/449361.shtml</v>
      </c>
      <c r="G88" s="2"/>
      <c r="H88" s="2" t="s">
        <v>180</v>
      </c>
      <c r="I88" s="2" t="s">
        <v>19</v>
      </c>
      <c r="J88" s="2" t="s">
        <v>12</v>
      </c>
      <c r="K88" s="2" t="s">
        <v>181</v>
      </c>
      <c r="L88" s="2">
        <f t="shared" si="1"/>
        <v>150</v>
      </c>
    </row>
    <row r="89" spans="1:12" ht="25" customHeight="1">
      <c r="A89" s="2" t="s">
        <v>12</v>
      </c>
      <c r="B89" s="2" t="str">
        <f>HYPERLINK("http://www.12365auto.com/zlts/20200229/449357.shtml","长安福特翼虎转向机异响行驶时跑偏水泵漏水")</f>
        <v>长安福特翼虎转向机异响行驶时跑偏水泵漏水</v>
      </c>
      <c r="C89" s="2" t="s">
        <v>13</v>
      </c>
      <c r="D89" s="2" t="s">
        <v>12</v>
      </c>
      <c r="E89" s="2"/>
      <c r="F89" s="2" t="str">
        <f>HYPERLINK("http://www.12365auto.com/zlts/20200229/449357.shtml","http://www.12365auto.com/zlts/20200229/449357.shtml")</f>
        <v>http://www.12365auto.com/zlts/20200229/449357.shtml</v>
      </c>
      <c r="G89" s="2"/>
      <c r="H89" s="3" t="s">
        <v>182</v>
      </c>
      <c r="I89" s="2" t="s">
        <v>15</v>
      </c>
      <c r="J89" s="2" t="s">
        <v>12</v>
      </c>
      <c r="K89" s="2" t="s">
        <v>183</v>
      </c>
      <c r="L89" s="2">
        <f t="shared" si="1"/>
        <v>113</v>
      </c>
    </row>
    <row r="90" spans="1:12" ht="25" customHeight="1">
      <c r="A90" s="2" t="s">
        <v>12</v>
      </c>
      <c r="B90" s="2" t="str">
        <f>HYPERLINK("http://m.12365auto.com/zjdy/20200229/121771.shtml","五菱之光发动机启动困难是什么原因？")</f>
        <v>五菱之光发动机启动困难是什么原因？</v>
      </c>
      <c r="C90" s="2" t="s">
        <v>13</v>
      </c>
      <c r="D90" s="2" t="s">
        <v>12</v>
      </c>
      <c r="E90" s="2"/>
      <c r="F90" s="2" t="str">
        <f>HYPERLINK("http://m.12365auto.com/zjdy/20200229/121771.shtml","http://m.12365auto.com/zjdy/20200229/121771.shtml")</f>
        <v>http://m.12365auto.com/zjdy/20200229/121771.shtml</v>
      </c>
      <c r="G90" s="2"/>
      <c r="H90" s="2" t="s">
        <v>184</v>
      </c>
      <c r="I90" s="2" t="s">
        <v>19</v>
      </c>
      <c r="J90" s="2" t="s">
        <v>12</v>
      </c>
      <c r="K90" s="2" t="s">
        <v>185</v>
      </c>
      <c r="L90" s="2">
        <f t="shared" si="1"/>
        <v>80</v>
      </c>
    </row>
    <row r="91" spans="1:12" ht="25" customHeight="1">
      <c r="A91" s="2" t="s">
        <v>12</v>
      </c>
      <c r="B91" s="2" t="str">
        <f>HYPERLINK("http://m.12365auto.com/zjdy/20200229/121770.shtml","通过售后保养导致变速箱损坏该如何维权？")</f>
        <v>通过售后保养导致变速箱损坏该如何维权？</v>
      </c>
      <c r="C91" s="2" t="s">
        <v>13</v>
      </c>
      <c r="D91" s="2" t="s">
        <v>12</v>
      </c>
      <c r="E91" s="2"/>
      <c r="F91" s="2" t="str">
        <f>HYPERLINK("http://m.12365auto.com/zjdy/20200229/121770.shtml","http://m.12365auto.com/zjdy/20200229/121770.shtml")</f>
        <v>http://m.12365auto.com/zjdy/20200229/121770.shtml</v>
      </c>
      <c r="G91" s="2"/>
      <c r="H91" s="2" t="s">
        <v>186</v>
      </c>
      <c r="I91" s="2" t="s">
        <v>19</v>
      </c>
      <c r="J91" s="2" t="s">
        <v>12</v>
      </c>
      <c r="K91" s="2" t="s">
        <v>187</v>
      </c>
      <c r="L91" s="2">
        <f t="shared" si="1"/>
        <v>150</v>
      </c>
    </row>
    <row r="92" spans="1:12" ht="25" customHeight="1">
      <c r="A92" s="2" t="s">
        <v>12</v>
      </c>
      <c r="B92" s="2" t="str">
        <f>HYPERLINK("http://m.12365auto.com/zjdy/20200229/121772.shtml","09款奔腾B50变速箱使用的是什么品牌？")</f>
        <v>09款奔腾B50变速箱使用的是什么品牌？</v>
      </c>
      <c r="C92" s="2" t="s">
        <v>13</v>
      </c>
      <c r="D92" s="2" t="s">
        <v>12</v>
      </c>
      <c r="E92" s="2"/>
      <c r="F92" s="2" t="str">
        <f>HYPERLINK("http://m.12365auto.com/zjdy/20200229/121772.shtml","http://m.12365auto.com/zjdy/20200229/121772.shtml")</f>
        <v>http://m.12365auto.com/zjdy/20200229/121772.shtml</v>
      </c>
      <c r="G92" s="2"/>
      <c r="H92" s="2" t="s">
        <v>188</v>
      </c>
      <c r="I92" s="2" t="s">
        <v>19</v>
      </c>
      <c r="J92" s="2" t="s">
        <v>12</v>
      </c>
      <c r="K92" s="2" t="s">
        <v>187</v>
      </c>
      <c r="L92" s="2">
        <f t="shared" si="1"/>
        <v>40</v>
      </c>
    </row>
    <row r="93" spans="1:12" ht="25" customHeight="1">
      <c r="A93" s="2" t="s">
        <v>12</v>
      </c>
      <c r="B93" s="2" t="str">
        <f>HYPERLINK("http://m.12365auto.com/zjdy/20200229/121768.shtml","江淮瑞风S7语音功能故障应该怎么办？")</f>
        <v>江淮瑞风S7语音功能故障应该怎么办？</v>
      </c>
      <c r="C93" s="2" t="s">
        <v>13</v>
      </c>
      <c r="D93" s="2" t="s">
        <v>12</v>
      </c>
      <c r="E93" s="2"/>
      <c r="F93" s="2" t="str">
        <f>HYPERLINK("http://m.12365auto.com/zjdy/20200229/121768.shtml","http://m.12365auto.com/zjdy/20200229/121768.shtml")</f>
        <v>http://m.12365auto.com/zjdy/20200229/121768.shtml</v>
      </c>
      <c r="G93" s="2"/>
      <c r="H93" s="2" t="s">
        <v>189</v>
      </c>
      <c r="I93" s="2" t="s">
        <v>19</v>
      </c>
      <c r="J93" s="2" t="s">
        <v>12</v>
      </c>
      <c r="K93" s="2" t="s">
        <v>190</v>
      </c>
      <c r="L93" s="2">
        <f t="shared" si="1"/>
        <v>48</v>
      </c>
    </row>
    <row r="94" spans="1:12" ht="25" customHeight="1">
      <c r="A94" s="2" t="s">
        <v>12</v>
      </c>
      <c r="B94" s="2" t="str">
        <f>HYPERLINK("http://m.12365auto.com/zjdy/20200229/121767.shtml","别克昂科威冷车启动时抖动是否正常？")</f>
        <v>别克昂科威冷车启动时抖动是否正常？</v>
      </c>
      <c r="C94" s="2" t="s">
        <v>13</v>
      </c>
      <c r="D94" s="2" t="s">
        <v>12</v>
      </c>
      <c r="E94" s="2"/>
      <c r="F94" s="2" t="str">
        <f>HYPERLINK("http://m.12365auto.com/zjdy/20200229/121767.shtml","http://m.12365auto.com/zjdy/20200229/121767.shtml")</f>
        <v>http://m.12365auto.com/zjdy/20200229/121767.shtml</v>
      </c>
      <c r="G94" s="2"/>
      <c r="H94" s="2" t="s">
        <v>191</v>
      </c>
      <c r="I94" s="2" t="s">
        <v>19</v>
      </c>
      <c r="J94" s="2" t="s">
        <v>12</v>
      </c>
      <c r="K94" s="2" t="s">
        <v>192</v>
      </c>
      <c r="L94" s="2">
        <f t="shared" si="1"/>
        <v>41</v>
      </c>
    </row>
    <row r="95" spans="1:12" ht="25" customHeight="1">
      <c r="A95" s="2" t="s">
        <v>12</v>
      </c>
      <c r="B95" s="2" t="str">
        <f>HYPERLINK("http://www.12365auto.com/zlts/20200229/449355.shtml","一汽大众奥迪Q5刹车异响更换刹车片未解决")</f>
        <v>一汽大众奥迪Q5刹车异响更换刹车片未解决</v>
      </c>
      <c r="C95" s="2" t="s">
        <v>13</v>
      </c>
      <c r="D95" s="2" t="s">
        <v>12</v>
      </c>
      <c r="E95" s="2"/>
      <c r="F95" s="2" t="str">
        <f>HYPERLINK("http://www.12365auto.com/zlts/20200229/449355.shtml","http://www.12365auto.com/zlts/20200229/449355.shtml")</f>
        <v>http://www.12365auto.com/zlts/20200229/449355.shtml</v>
      </c>
      <c r="G95" s="2"/>
      <c r="H95" s="3" t="s">
        <v>193</v>
      </c>
      <c r="I95" s="2" t="s">
        <v>15</v>
      </c>
      <c r="J95" s="2" t="s">
        <v>12</v>
      </c>
      <c r="K95" s="2" t="s">
        <v>194</v>
      </c>
      <c r="L95" s="2">
        <f t="shared" si="1"/>
        <v>115</v>
      </c>
    </row>
    <row r="96" spans="1:12" ht="25" customHeight="1">
      <c r="A96" s="2" t="s">
        <v>12</v>
      </c>
      <c r="B96" s="2" t="str">
        <f>HYPERLINK("http://m.12365auto.com/zjdy/20200229/121765.shtml","大众途岳和福特锐际哪款车值得入手？")</f>
        <v>大众途岳和福特锐际哪款车值得入手？</v>
      </c>
      <c r="C96" s="2" t="s">
        <v>13</v>
      </c>
      <c r="D96" s="2" t="s">
        <v>12</v>
      </c>
      <c r="E96" s="2"/>
      <c r="F96" s="2" t="str">
        <f>HYPERLINK("http://m.12365auto.com/zjdy/20200229/121765.shtml","http://m.12365auto.com/zjdy/20200229/121765.shtml")</f>
        <v>http://m.12365auto.com/zjdy/20200229/121765.shtml</v>
      </c>
      <c r="G96" s="2"/>
      <c r="H96" s="2" t="s">
        <v>195</v>
      </c>
      <c r="I96" s="2" t="s">
        <v>19</v>
      </c>
      <c r="J96" s="2" t="s">
        <v>12</v>
      </c>
      <c r="K96" s="2" t="s">
        <v>196</v>
      </c>
      <c r="L96" s="2">
        <f t="shared" si="1"/>
        <v>94</v>
      </c>
    </row>
    <row r="97" spans="1:12" ht="25" customHeight="1">
      <c r="A97" s="2" t="s">
        <v>12</v>
      </c>
      <c r="B97" s="2" t="str">
        <f>HYPERLINK("http://m.12365auto.com/zjdy/20200229/121764.shtml","丰田雷凌前轮位置有异响到底是什么原因？")</f>
        <v>丰田雷凌前轮位置有异响到底是什么原因？</v>
      </c>
      <c r="C97" s="2" t="s">
        <v>13</v>
      </c>
      <c r="D97" s="2" t="s">
        <v>12</v>
      </c>
      <c r="E97" s="2"/>
      <c r="F97" s="2" t="str">
        <f>HYPERLINK("http://m.12365auto.com/zjdy/20200229/121764.shtml","http://m.12365auto.com/zjdy/20200229/121764.shtml")</f>
        <v>http://m.12365auto.com/zjdy/20200229/121764.shtml</v>
      </c>
      <c r="G97" s="2"/>
      <c r="H97" s="2" t="s">
        <v>197</v>
      </c>
      <c r="I97" s="2" t="s">
        <v>19</v>
      </c>
      <c r="J97" s="2" t="s">
        <v>12</v>
      </c>
      <c r="K97" s="2" t="s">
        <v>196</v>
      </c>
      <c r="L97" s="2">
        <f t="shared" si="1"/>
        <v>49</v>
      </c>
    </row>
    <row r="98" spans="1:12" ht="25" customHeight="1">
      <c r="A98" s="2" t="s">
        <v>12</v>
      </c>
      <c r="B98" s="2" t="str">
        <f>HYPERLINK("http://www.12365auto.com/zlts/20200229/449354.shtml","长安睿骋CC中控触摸屏花屏更换主机未解决")</f>
        <v>长安睿骋CC中控触摸屏花屏更换主机未解决</v>
      </c>
      <c r="C98" s="2" t="s">
        <v>13</v>
      </c>
      <c r="D98" s="2" t="s">
        <v>12</v>
      </c>
      <c r="E98" s="2" t="s">
        <v>17</v>
      </c>
      <c r="F98" s="2" t="str">
        <f>HYPERLINK("http://www.12365auto.com/zlts/20200229/449354.shtml","http://www.12365auto.com/zlts/20200229/449354.shtml")</f>
        <v>http://www.12365auto.com/zlts/20200229/449354.shtml</v>
      </c>
      <c r="G98" s="2"/>
      <c r="H98" s="2" t="s">
        <v>198</v>
      </c>
      <c r="I98" s="2" t="s">
        <v>19</v>
      </c>
      <c r="J98" s="2" t="s">
        <v>12</v>
      </c>
      <c r="K98" s="2" t="s">
        <v>199</v>
      </c>
      <c r="L98" s="2">
        <f t="shared" si="1"/>
        <v>150</v>
      </c>
    </row>
    <row r="99" spans="1:12" ht="25" customHeight="1">
      <c r="A99" s="2" t="s">
        <v>12</v>
      </c>
      <c r="B99" s="2" t="str">
        <f>HYPERLINK("http://www.12365auto.com/zlts/20200229/449349.shtml","郑州日产途达电瓶亏电导致发动机启动困难")</f>
        <v>郑州日产途达电瓶亏电导致发动机启动困难</v>
      </c>
      <c r="C99" s="2" t="s">
        <v>13</v>
      </c>
      <c r="D99" s="2" t="s">
        <v>12</v>
      </c>
      <c r="E99" s="2" t="s">
        <v>17</v>
      </c>
      <c r="F99" s="2" t="str">
        <f>HYPERLINK("http://www.12365auto.com/zlts/20200229/449349.shtml","http://www.12365auto.com/zlts/20200229/449349.shtml")</f>
        <v>http://www.12365auto.com/zlts/20200229/449349.shtml</v>
      </c>
      <c r="G99" s="2"/>
      <c r="H99" s="2" t="s">
        <v>200</v>
      </c>
      <c r="I99" s="2" t="s">
        <v>19</v>
      </c>
      <c r="J99" s="2" t="s">
        <v>12</v>
      </c>
      <c r="K99" s="2" t="s">
        <v>201</v>
      </c>
      <c r="L99" s="2">
        <f t="shared" si="1"/>
        <v>150</v>
      </c>
    </row>
    <row r="100" spans="1:12" ht="25" customHeight="1">
      <c r="A100" s="2" t="s">
        <v>12</v>
      </c>
      <c r="B100" s="2" t="str">
        <f>HYPERLINK("http://www.12365auto.com/zlts/20200229/449348.shtml","斯柯达速派动态大灯故障厂家无配件")</f>
        <v>斯柯达速派动态大灯故障厂家无配件</v>
      </c>
      <c r="C100" s="2" t="s">
        <v>13</v>
      </c>
      <c r="D100" s="2" t="s">
        <v>12</v>
      </c>
      <c r="E100" s="2" t="s">
        <v>17</v>
      </c>
      <c r="F100" s="2" t="str">
        <f>HYPERLINK("http://www.12365auto.com/zlts/20200229/449348.shtml","http://www.12365auto.com/zlts/20200229/449348.shtml")</f>
        <v>http://www.12365auto.com/zlts/20200229/449348.shtml</v>
      </c>
      <c r="G100" s="2"/>
      <c r="H100" s="2" t="s">
        <v>202</v>
      </c>
      <c r="I100" s="2" t="s">
        <v>19</v>
      </c>
      <c r="J100" s="2" t="s">
        <v>12</v>
      </c>
      <c r="K100" s="2" t="s">
        <v>203</v>
      </c>
      <c r="L100" s="2">
        <f t="shared" si="1"/>
        <v>150</v>
      </c>
    </row>
    <row r="101" spans="1:12" ht="25" customHeight="1">
      <c r="A101" s="2" t="s">
        <v>12</v>
      </c>
      <c r="B101" s="2" t="str">
        <f>HYPERLINK("http://www.12365auto.com/zlts/20200229/449346.shtml","斯柯达昕动中控仪表外壳厂家未回复")</f>
        <v>斯柯达昕动中控仪表外壳厂家未回复</v>
      </c>
      <c r="C101" s="2" t="s">
        <v>13</v>
      </c>
      <c r="D101" s="2" t="s">
        <v>12</v>
      </c>
      <c r="E101" s="2" t="s">
        <v>17</v>
      </c>
      <c r="F101" s="2" t="str">
        <f>HYPERLINK("http://www.12365auto.com/zlts/20200229/449346.shtml","http://www.12365auto.com/zlts/20200229/449346.shtml")</f>
        <v>http://www.12365auto.com/zlts/20200229/449346.shtml</v>
      </c>
      <c r="G101" s="2"/>
      <c r="H101" s="2" t="s">
        <v>204</v>
      </c>
      <c r="I101" s="2" t="s">
        <v>19</v>
      </c>
      <c r="J101" s="2" t="s">
        <v>12</v>
      </c>
      <c r="K101" s="2" t="s">
        <v>205</v>
      </c>
      <c r="L101" s="2">
        <f t="shared" si="1"/>
        <v>150</v>
      </c>
    </row>
    <row r="102" spans="1:12" ht="25" customHeight="1">
      <c r="A102" s="2" t="s">
        <v>12</v>
      </c>
      <c r="B102" s="2" t="str">
        <f>HYPERLINK("http://www.12365auto.com/zlts/20200229/449345.shtml","领克03车联网和远程APP无法使用 中控异响")</f>
        <v>领克03车联网和远程APP无法使用 中控异响</v>
      </c>
      <c r="C102" s="2" t="s">
        <v>13</v>
      </c>
      <c r="D102" s="2" t="s">
        <v>12</v>
      </c>
      <c r="E102" s="2" t="s">
        <v>17</v>
      </c>
      <c r="F102" s="2" t="str">
        <f>HYPERLINK("http://www.12365auto.com/zlts/20200229/449345.shtml","http://www.12365auto.com/zlts/20200229/449345.shtml")</f>
        <v>http://www.12365auto.com/zlts/20200229/449345.shtml</v>
      </c>
      <c r="G102" s="2"/>
      <c r="H102" s="2" t="s">
        <v>206</v>
      </c>
      <c r="I102" s="2" t="s">
        <v>19</v>
      </c>
      <c r="J102" s="2" t="s">
        <v>12</v>
      </c>
      <c r="K102" s="2" t="s">
        <v>207</v>
      </c>
      <c r="L102" s="2">
        <f t="shared" si="1"/>
        <v>150</v>
      </c>
    </row>
    <row r="103" spans="1:12" ht="25" customHeight="1">
      <c r="A103" s="2" t="s">
        <v>12</v>
      </c>
      <c r="B103" s="2" t="str">
        <f>HYPERLINK("http://www.12365auto.com/zlts/20200229/449343.shtml","上汽大众朗逸变速箱挡位灯闪烁 失去动力")</f>
        <v>上汽大众朗逸变速箱挡位灯闪烁 失去动力</v>
      </c>
      <c r="C103" s="2" t="s">
        <v>13</v>
      </c>
      <c r="D103" s="2" t="s">
        <v>12</v>
      </c>
      <c r="E103" s="2" t="s">
        <v>17</v>
      </c>
      <c r="F103" s="2" t="str">
        <f>HYPERLINK("http://www.12365auto.com/zlts/20200229/449343.shtml","http://www.12365auto.com/zlts/20200229/449343.shtml")</f>
        <v>http://www.12365auto.com/zlts/20200229/449343.shtml</v>
      </c>
      <c r="G103" s="2"/>
      <c r="H103" s="2" t="s">
        <v>208</v>
      </c>
      <c r="I103" s="2" t="s">
        <v>19</v>
      </c>
      <c r="J103" s="2" t="s">
        <v>12</v>
      </c>
      <c r="K103" s="2" t="s">
        <v>209</v>
      </c>
      <c r="L103" s="2">
        <f t="shared" si="1"/>
        <v>150</v>
      </c>
    </row>
    <row r="104" spans="1:12" ht="25" customHeight="1">
      <c r="A104" s="2" t="s">
        <v>12</v>
      </c>
      <c r="B104" s="2" t="str">
        <f>HYPERLINK("http://bbs.12365auto.com/postcontent.aspx?tId=195571","葡萄牙冷知识：古香古色的有轨电车")</f>
        <v>葡萄牙冷知识：古香古色的有轨电车</v>
      </c>
      <c r="C104" s="2" t="s">
        <v>13</v>
      </c>
      <c r="D104" s="2" t="s">
        <v>12</v>
      </c>
      <c r="E104" s="2" t="s">
        <v>210</v>
      </c>
      <c r="F104" s="2" t="str">
        <f>HYPERLINK("http://bbs.12365auto.com/postcontent.aspx?tId=195571","http://bbs.12365auto.com/postcontent.aspx?tId=195571")</f>
        <v>http://bbs.12365auto.com/postcontent.aspx?tId=195571</v>
      </c>
      <c r="G104" s="2"/>
      <c r="H104" s="2" t="s">
        <v>211</v>
      </c>
      <c r="I104" s="2" t="s">
        <v>15</v>
      </c>
      <c r="J104" s="2" t="s">
        <v>212</v>
      </c>
      <c r="K104" s="2" t="s">
        <v>213</v>
      </c>
      <c r="L104" s="2">
        <f t="shared" si="1"/>
        <v>150</v>
      </c>
    </row>
    <row r="105" spans="1:12" ht="25" customHeight="1">
      <c r="A105" s="2" t="s">
        <v>12</v>
      </c>
      <c r="B105" s="2" t="str">
        <f>HYPERLINK("http://m.12365auto.com/bbs/postcontent.aspx?tID=195571","葡萄牙冷知识：古香古色的有轨电车")</f>
        <v>葡萄牙冷知识：古香古色的有轨电车</v>
      </c>
      <c r="C105" s="2" t="s">
        <v>13</v>
      </c>
      <c r="D105" s="2" t="s">
        <v>23</v>
      </c>
      <c r="E105" s="2"/>
      <c r="F105" s="2" t="str">
        <f>HYPERLINK("http://m.12365auto.com/bbs/postcontent.aspx?tID=195571","http://m.12365auto.com/bbs/postcontent.aspx?tID=195571")</f>
        <v>http://m.12365auto.com/bbs/postcontent.aspx?tID=195571</v>
      </c>
      <c r="G105" s="2"/>
      <c r="H105" s="2" t="s">
        <v>211</v>
      </c>
      <c r="I105" s="2" t="s">
        <v>15</v>
      </c>
      <c r="J105" s="2" t="s">
        <v>212</v>
      </c>
      <c r="K105" s="2" t="s">
        <v>213</v>
      </c>
      <c r="L105" s="2">
        <f t="shared" si="1"/>
        <v>150</v>
      </c>
    </row>
    <row r="106" spans="1:12" ht="25" customHeight="1">
      <c r="A106" s="2" t="s">
        <v>12</v>
      </c>
      <c r="B106" s="2" t="str">
        <f>HYPERLINK("http://bbs.12365auto.com/postcontent.aspx?tID=195571","葡萄牙冷知识：古香古色的有轨电车")</f>
        <v>葡萄牙冷知识：古香古色的有轨电车</v>
      </c>
      <c r="C106" s="2" t="s">
        <v>13</v>
      </c>
      <c r="D106" s="2" t="s">
        <v>12</v>
      </c>
      <c r="E106" s="2" t="s">
        <v>214</v>
      </c>
      <c r="F106" s="2" t="str">
        <f>HYPERLINK("http://bbs.12365auto.com/postcontent.aspx?tID=195571","http://bbs.12365auto.com/postcontent.aspx?tID=195571")</f>
        <v>http://bbs.12365auto.com/postcontent.aspx?tID=195571</v>
      </c>
      <c r="G106" s="2"/>
      <c r="H106" s="2" t="s">
        <v>215</v>
      </c>
      <c r="I106" s="2" t="s">
        <v>15</v>
      </c>
      <c r="J106" s="2" t="s">
        <v>212</v>
      </c>
      <c r="K106" s="2" t="s">
        <v>213</v>
      </c>
      <c r="L106" s="2">
        <f t="shared" si="1"/>
        <v>150</v>
      </c>
    </row>
    <row r="107" spans="1:12" ht="25" customHeight="1">
      <c r="A107" s="2" t="s">
        <v>12</v>
      </c>
      <c r="B107" s="2" t="str">
        <f>HYPERLINK("http://www.12365auto.com/xcdg/20200229/419903.shtml","奥迪新款SQ7售价公布 动力提升/重点是选配")</f>
        <v>奥迪新款SQ7售价公布 动力提升/重点是选配</v>
      </c>
      <c r="C107" s="2" t="s">
        <v>13</v>
      </c>
      <c r="D107" s="2" t="s">
        <v>12</v>
      </c>
      <c r="E107" s="2" t="s">
        <v>216</v>
      </c>
      <c r="F107" s="2" t="str">
        <f>HYPERLINK("http://www.12365auto.com/xcdg/20200229/419903.shtml","http://www.12365auto.com/xcdg/20200229/419903.shtml")</f>
        <v>http://www.12365auto.com/xcdg/20200229/419903.shtml</v>
      </c>
      <c r="G107" s="2"/>
      <c r="H107" s="2" t="s">
        <v>217</v>
      </c>
      <c r="I107" s="2" t="s">
        <v>15</v>
      </c>
      <c r="J107" s="2" t="s">
        <v>12</v>
      </c>
      <c r="K107" s="2" t="s">
        <v>218</v>
      </c>
      <c r="L107" s="2">
        <f t="shared" si="1"/>
        <v>150</v>
      </c>
    </row>
    <row r="108" spans="1:12" ht="25" customHeight="1">
      <c r="A108" s="2" t="s">
        <v>12</v>
      </c>
      <c r="B108" s="2" t="str">
        <f>HYPERLINK("http://m.12365auto.com/xcdg/20200229/419903.shtml","奥迪新款SQ7售价公布 动力提升/重点是选配")</f>
        <v>奥迪新款SQ7售价公布 动力提升/重点是选配</v>
      </c>
      <c r="C108" s="2" t="s">
        <v>13</v>
      </c>
      <c r="D108" s="2" t="s">
        <v>12</v>
      </c>
      <c r="E108" s="2"/>
      <c r="F108" s="2" t="str">
        <f>HYPERLINK("http://m.12365auto.com/xcdg/20200229/419903.shtml","http://m.12365auto.com/xcdg/20200229/419903.shtml")</f>
        <v>http://m.12365auto.com/xcdg/20200229/419903.shtml</v>
      </c>
      <c r="G108" s="2"/>
      <c r="H108" s="2" t="s">
        <v>219</v>
      </c>
      <c r="I108" s="2" t="s">
        <v>19</v>
      </c>
      <c r="J108" s="2" t="s">
        <v>220</v>
      </c>
      <c r="K108" s="2" t="s">
        <v>218</v>
      </c>
      <c r="L108" s="2">
        <f t="shared" si="1"/>
        <v>150</v>
      </c>
    </row>
    <row r="109" spans="1:12" ht="25" customHeight="1">
      <c r="A109" s="2" t="s">
        <v>12</v>
      </c>
      <c r="B109" s="2" t="str">
        <f>HYPERLINK("http://m.12365auto.com/xcdg/20200229/419902.shtml","保时捷卡宴Coupe GT实拍 搭4.0T发动机")</f>
        <v>保时捷卡宴Coupe GT实拍 搭4.0T发动机</v>
      </c>
      <c r="C109" s="2" t="s">
        <v>13</v>
      </c>
      <c r="D109" s="2" t="s">
        <v>12</v>
      </c>
      <c r="E109" s="2"/>
      <c r="F109" s="2" t="str">
        <f>HYPERLINK("http://m.12365auto.com/xcdg/20200229/419902.shtml","http://m.12365auto.com/xcdg/20200229/419902.shtml")</f>
        <v>http://m.12365auto.com/xcdg/20200229/419902.shtml</v>
      </c>
      <c r="G109" s="2"/>
      <c r="H109" s="2" t="s">
        <v>221</v>
      </c>
      <c r="I109" s="2" t="s">
        <v>19</v>
      </c>
      <c r="J109" s="2" t="s">
        <v>222</v>
      </c>
      <c r="K109" s="2" t="s">
        <v>223</v>
      </c>
      <c r="L109" s="2">
        <f t="shared" si="1"/>
        <v>150</v>
      </c>
    </row>
    <row r="110" spans="1:12" ht="25" customHeight="1">
      <c r="A110" s="2" t="s">
        <v>12</v>
      </c>
      <c r="B110" s="2" t="str">
        <f>HYPERLINK("http://www.12365auto.com/xcdg/20200229/419902.shtml","保时捷卡宴Coupe GT实拍 搭4.0T发动机")</f>
        <v>保时捷卡宴Coupe GT实拍 搭4.0T发动机</v>
      </c>
      <c r="C110" s="2" t="s">
        <v>13</v>
      </c>
      <c r="D110" s="2" t="s">
        <v>12</v>
      </c>
      <c r="E110" s="2" t="s">
        <v>224</v>
      </c>
      <c r="F110" s="2" t="str">
        <f>HYPERLINK("http://www.12365auto.com/xcdg/20200229/419902.shtml","http://www.12365auto.com/xcdg/20200229/419902.shtml")</f>
        <v>http://www.12365auto.com/xcdg/20200229/419902.shtml</v>
      </c>
      <c r="G110" s="2"/>
      <c r="H110" s="2" t="s">
        <v>225</v>
      </c>
      <c r="I110" s="2" t="s">
        <v>15</v>
      </c>
      <c r="J110" s="2" t="s">
        <v>12</v>
      </c>
      <c r="K110" s="2" t="s">
        <v>223</v>
      </c>
      <c r="L110" s="2">
        <f t="shared" si="1"/>
        <v>150</v>
      </c>
    </row>
    <row r="111" spans="1:12" ht="25" customHeight="1">
      <c r="A111" s="2" t="s">
        <v>12</v>
      </c>
      <c r="B111" s="2" t="str">
        <f>HYPERLINK("http://m.12365auto.com/xcdg/20200229/419901.shtml","斯巴鲁新款XV信息曝光 增搭新动力/年内开售")</f>
        <v>斯巴鲁新款XV信息曝光 增搭新动力/年内开售</v>
      </c>
      <c r="C111" s="2" t="s">
        <v>13</v>
      </c>
      <c r="D111" s="2" t="s">
        <v>12</v>
      </c>
      <c r="E111" s="2"/>
      <c r="F111" s="2" t="str">
        <f>HYPERLINK("http://m.12365auto.com/xcdg/20200229/419901.shtml","http://m.12365auto.com/xcdg/20200229/419901.shtml")</f>
        <v>http://m.12365auto.com/xcdg/20200229/419901.shtml</v>
      </c>
      <c r="G111" s="2"/>
      <c r="H111" s="2" t="s">
        <v>226</v>
      </c>
      <c r="I111" s="2" t="s">
        <v>19</v>
      </c>
      <c r="J111" s="2" t="s">
        <v>220</v>
      </c>
      <c r="K111" s="2" t="s">
        <v>227</v>
      </c>
      <c r="L111" s="2">
        <f t="shared" si="1"/>
        <v>150</v>
      </c>
    </row>
    <row r="112" spans="1:12" ht="25" customHeight="1">
      <c r="A112" s="2" t="s">
        <v>12</v>
      </c>
      <c r="B112" s="2" t="str">
        <f>HYPERLINK("http://www.12365auto.com/xcdg/20200229/419901.shtml","斯巴鲁新款XV信息曝光 增搭新动力/年内开售")</f>
        <v>斯巴鲁新款XV信息曝光 增搭新动力/年内开售</v>
      </c>
      <c r="C112" s="2" t="s">
        <v>13</v>
      </c>
      <c r="D112" s="2" t="s">
        <v>12</v>
      </c>
      <c r="E112" s="2" t="s">
        <v>216</v>
      </c>
      <c r="F112" s="2" t="str">
        <f>HYPERLINK("http://www.12365auto.com/xcdg/20200229/419901.shtml","http://www.12365auto.com/xcdg/20200229/419901.shtml")</f>
        <v>http://www.12365auto.com/xcdg/20200229/419901.shtml</v>
      </c>
      <c r="G112" s="2"/>
      <c r="H112" s="2" t="s">
        <v>228</v>
      </c>
      <c r="I112" s="2" t="s">
        <v>15</v>
      </c>
      <c r="J112" s="2" t="s">
        <v>12</v>
      </c>
      <c r="K112" s="2" t="s">
        <v>227</v>
      </c>
      <c r="L112" s="2">
        <f t="shared" si="1"/>
        <v>150</v>
      </c>
    </row>
    <row r="113" spans="1:12" ht="25" customHeight="1">
      <c r="A113" s="2" t="s">
        <v>12</v>
      </c>
      <c r="B113" s="2" t="str">
        <f>HYPERLINK("http://m.12365auto.com/xcdg/20200229/419900.shtml","一汽丰田将导入全新SUV海利亚 定位高于RAV4荣放")</f>
        <v>一汽丰田将导入全新SUV海利亚 定位高于RAV4荣放</v>
      </c>
      <c r="C113" s="2" t="s">
        <v>13</v>
      </c>
      <c r="D113" s="2" t="s">
        <v>12</v>
      </c>
      <c r="E113" s="2"/>
      <c r="F113" s="2" t="str">
        <f>HYPERLINK("http://m.12365auto.com/xcdg/20200229/419900.shtml","http://m.12365auto.com/xcdg/20200229/419900.shtml")</f>
        <v>http://m.12365auto.com/xcdg/20200229/419900.shtml</v>
      </c>
      <c r="G113" s="2"/>
      <c r="H113" s="2" t="s">
        <v>229</v>
      </c>
      <c r="I113" s="2" t="s">
        <v>19</v>
      </c>
      <c r="J113" s="2" t="s">
        <v>230</v>
      </c>
      <c r="K113" s="2" t="s">
        <v>231</v>
      </c>
      <c r="L113" s="2">
        <f t="shared" si="1"/>
        <v>150</v>
      </c>
    </row>
    <row r="114" spans="1:12" ht="25" customHeight="1">
      <c r="A114" s="2" t="s">
        <v>12</v>
      </c>
      <c r="B114" s="2" t="str">
        <f>HYPERLINK("http://www.12365auto.com/xcdg/20200229/419900.shtml","一汽丰田将导入全新SUV海利亚 定位高于RAV4荣放")</f>
        <v>一汽丰田将导入全新SUV海利亚 定位高于RAV4荣放</v>
      </c>
      <c r="C114" s="2" t="s">
        <v>13</v>
      </c>
      <c r="D114" s="2" t="s">
        <v>12</v>
      </c>
      <c r="E114" s="2" t="s">
        <v>216</v>
      </c>
      <c r="F114" s="2" t="str">
        <f>HYPERLINK("http://www.12365auto.com/xcdg/20200229/419900.shtml","http://www.12365auto.com/xcdg/20200229/419900.shtml")</f>
        <v>http://www.12365auto.com/xcdg/20200229/419900.shtml</v>
      </c>
      <c r="G114" s="2"/>
      <c r="H114" s="2" t="s">
        <v>232</v>
      </c>
      <c r="I114" s="2" t="s">
        <v>15</v>
      </c>
      <c r="J114" s="2" t="s">
        <v>12</v>
      </c>
      <c r="K114" s="2" t="s">
        <v>231</v>
      </c>
      <c r="L114" s="2">
        <f t="shared" si="1"/>
        <v>150</v>
      </c>
    </row>
    <row r="115" spans="1:12" ht="25" customHeight="1">
      <c r="A115" s="2" t="s">
        <v>12</v>
      </c>
      <c r="B115" s="2" t="str">
        <f>HYPERLINK("http://www.12365auto.com/xcdg/20200229/419899.shtml","曝斯柯达柯米克越野版 3月亮相/6月欧洲交付")</f>
        <v>曝斯柯达柯米克越野版 3月亮相/6月欧洲交付</v>
      </c>
      <c r="C115" s="2" t="s">
        <v>13</v>
      </c>
      <c r="D115" s="2" t="s">
        <v>12</v>
      </c>
      <c r="E115" s="2" t="s">
        <v>216</v>
      </c>
      <c r="F115" s="2" t="str">
        <f>HYPERLINK("http://www.12365auto.com/xcdg/20200229/419899.shtml","http://www.12365auto.com/xcdg/20200229/419899.shtml")</f>
        <v>http://www.12365auto.com/xcdg/20200229/419899.shtml</v>
      </c>
      <c r="G115" s="2"/>
      <c r="H115" s="2" t="s">
        <v>233</v>
      </c>
      <c r="I115" s="2" t="s">
        <v>15</v>
      </c>
      <c r="J115" s="2" t="s">
        <v>12</v>
      </c>
      <c r="K115" s="2" t="s">
        <v>234</v>
      </c>
      <c r="L115" s="2">
        <f t="shared" si="1"/>
        <v>150</v>
      </c>
    </row>
    <row r="116" spans="1:12" ht="25" customHeight="1">
      <c r="A116" s="2" t="s">
        <v>12</v>
      </c>
      <c r="B116" s="2" t="str">
        <f>HYPERLINK("http://m.12365auto.com/xcdg/20200229/419899.shtml","曝斯柯达柯米克越野版 3月亮相/6月欧洲交付")</f>
        <v>曝斯柯达柯米克越野版 3月亮相/6月欧洲交付</v>
      </c>
      <c r="C116" s="2" t="s">
        <v>13</v>
      </c>
      <c r="D116" s="2" t="s">
        <v>12</v>
      </c>
      <c r="E116" s="2"/>
      <c r="F116" s="2" t="str">
        <f>HYPERLINK("http://m.12365auto.com/xcdg/20200229/419899.shtml","http://m.12365auto.com/xcdg/20200229/419899.shtml")</f>
        <v>http://m.12365auto.com/xcdg/20200229/419899.shtml</v>
      </c>
      <c r="G116" s="2"/>
      <c r="H116" s="2" t="s">
        <v>235</v>
      </c>
      <c r="I116" s="2" t="s">
        <v>19</v>
      </c>
      <c r="J116" s="2" t="s">
        <v>236</v>
      </c>
      <c r="K116" s="2" t="s">
        <v>234</v>
      </c>
      <c r="L116" s="2">
        <f t="shared" si="1"/>
        <v>150</v>
      </c>
    </row>
    <row r="117" spans="1:12" ht="25" customHeight="1">
      <c r="A117" s="2" t="s">
        <v>12</v>
      </c>
      <c r="B117" s="2" t="str">
        <f>HYPERLINK("http://m.12365auto.com/parts/20200229/419898.shtml","特斯拉或推新电池 成本控制在100美元/kWh")</f>
        <v>特斯拉或推新电池 成本控制在100美元/kWh</v>
      </c>
      <c r="C117" s="2" t="s">
        <v>13</v>
      </c>
      <c r="D117" s="2" t="s">
        <v>12</v>
      </c>
      <c r="E117" s="2"/>
      <c r="F117" s="2" t="str">
        <f>HYPERLINK("http://m.12365auto.com/parts/20200229/419898.shtml","http://m.12365auto.com/parts/20200229/419898.shtml")</f>
        <v>http://m.12365auto.com/parts/20200229/419898.shtml</v>
      </c>
      <c r="G117" s="2"/>
      <c r="H117" s="2" t="s">
        <v>237</v>
      </c>
      <c r="I117" s="2" t="s">
        <v>19</v>
      </c>
      <c r="J117" s="2" t="s">
        <v>238</v>
      </c>
      <c r="K117" s="2" t="s">
        <v>239</v>
      </c>
      <c r="L117" s="2">
        <f t="shared" si="1"/>
        <v>150</v>
      </c>
    </row>
    <row r="118" spans="1:12" ht="25" customHeight="1">
      <c r="A118" s="2" t="s">
        <v>12</v>
      </c>
      <c r="B118" s="2" t="str">
        <f>HYPERLINK("http://www.12365auto.com/parts/20200229/419898.shtml","特斯拉或推新电池 成本控制在100美元/kWh")</f>
        <v>特斯拉或推新电池 成本控制在100美元/kWh</v>
      </c>
      <c r="C118" s="2" t="s">
        <v>13</v>
      </c>
      <c r="D118" s="2" t="s">
        <v>12</v>
      </c>
      <c r="E118" s="2" t="s">
        <v>240</v>
      </c>
      <c r="F118" s="2" t="str">
        <f>HYPERLINK("http://www.12365auto.com/parts/20200229/419898.shtml","http://www.12365auto.com/parts/20200229/419898.shtml")</f>
        <v>http://www.12365auto.com/parts/20200229/419898.shtml</v>
      </c>
      <c r="G118" s="2"/>
      <c r="H118" s="2" t="s">
        <v>241</v>
      </c>
      <c r="I118" s="2" t="s">
        <v>15</v>
      </c>
      <c r="J118" s="2" t="s">
        <v>12</v>
      </c>
      <c r="K118" s="2" t="s">
        <v>239</v>
      </c>
      <c r="L118" s="2">
        <f t="shared" si="1"/>
        <v>150</v>
      </c>
    </row>
    <row r="119" spans="1:12" ht="25" customHeight="1">
      <c r="A119" s="2" t="s">
        <v>12</v>
      </c>
      <c r="B119" s="2" t="str">
        <f>HYPERLINK("http://www.12365auto.com/xcdg/20200229/419897.shtml","路虎全新卫士售价公布 一季度交付/内饰豪华")</f>
        <v>路虎全新卫士售价公布 一季度交付/内饰豪华</v>
      </c>
      <c r="C119" s="2" t="s">
        <v>13</v>
      </c>
      <c r="D119" s="2" t="s">
        <v>12</v>
      </c>
      <c r="E119" s="2" t="s">
        <v>216</v>
      </c>
      <c r="F119" s="2" t="str">
        <f>HYPERLINK("http://www.12365auto.com/xcdg/20200229/419897.shtml","http://www.12365auto.com/xcdg/20200229/419897.shtml")</f>
        <v>http://www.12365auto.com/xcdg/20200229/419897.shtml</v>
      </c>
      <c r="G119" s="2"/>
      <c r="H119" s="2" t="s">
        <v>242</v>
      </c>
      <c r="I119" s="2" t="s">
        <v>15</v>
      </c>
      <c r="J119" s="2" t="s">
        <v>12</v>
      </c>
      <c r="K119" s="2" t="s">
        <v>243</v>
      </c>
      <c r="L119" s="2">
        <f t="shared" si="1"/>
        <v>150</v>
      </c>
    </row>
    <row r="120" spans="1:12" ht="25" customHeight="1">
      <c r="A120" s="2" t="s">
        <v>12</v>
      </c>
      <c r="B120" s="2" t="str">
        <f>HYPERLINK("http://m.12365auto.com/xcdg/20200229/419897.shtml","路虎全新卫士售价公布 一季度交付/内饰豪华")</f>
        <v>路虎全新卫士售价公布 一季度交付/内饰豪华</v>
      </c>
      <c r="C120" s="2" t="s">
        <v>13</v>
      </c>
      <c r="D120" s="2" t="s">
        <v>12</v>
      </c>
      <c r="E120" s="2"/>
      <c r="F120" s="2" t="str">
        <f>HYPERLINK("http://m.12365auto.com/xcdg/20200229/419897.shtml","http://m.12365auto.com/xcdg/20200229/419897.shtml")</f>
        <v>http://m.12365auto.com/xcdg/20200229/419897.shtml</v>
      </c>
      <c r="G120" s="2"/>
      <c r="H120" s="2" t="s">
        <v>244</v>
      </c>
      <c r="I120" s="2" t="s">
        <v>19</v>
      </c>
      <c r="J120" s="2" t="s">
        <v>222</v>
      </c>
      <c r="K120" s="2" t="s">
        <v>243</v>
      </c>
      <c r="L120" s="2">
        <f t="shared" si="1"/>
        <v>150</v>
      </c>
    </row>
    <row r="121" spans="1:12" ht="25" customHeight="1">
      <c r="A121" s="2" t="s">
        <v>12</v>
      </c>
      <c r="B121" s="2" t="str">
        <f>HYPERLINK("http://www.12365auto.com/xcdg/20200229/419896.shtml","皮卡中的牛魔王 丰田打造海拉克斯GR版车型")</f>
        <v>皮卡中的牛魔王 丰田打造海拉克斯GR版车型</v>
      </c>
      <c r="C121" s="2" t="s">
        <v>13</v>
      </c>
      <c r="D121" s="2" t="s">
        <v>12</v>
      </c>
      <c r="E121" s="2" t="s">
        <v>245</v>
      </c>
      <c r="F121" s="2" t="str">
        <f>HYPERLINK("http://www.12365auto.com/xcdg/20200229/419896.shtml","http://www.12365auto.com/xcdg/20200229/419896.shtml")</f>
        <v>http://www.12365auto.com/xcdg/20200229/419896.shtml</v>
      </c>
      <c r="G121" s="2"/>
      <c r="H121" s="2" t="s">
        <v>246</v>
      </c>
      <c r="I121" s="2" t="s">
        <v>19</v>
      </c>
      <c r="J121" s="2" t="s">
        <v>12</v>
      </c>
      <c r="K121" s="2" t="s">
        <v>247</v>
      </c>
      <c r="L121" s="2">
        <f t="shared" si="1"/>
        <v>150</v>
      </c>
    </row>
    <row r="122" spans="1:12" ht="25" customHeight="1">
      <c r="A122" s="2" t="s">
        <v>12</v>
      </c>
      <c r="B122" s="2" t="str">
        <f>HYPERLINK("http://m.12365auto.com/xcdg/20200229/419896.shtml","皮卡中的牛魔王 丰田打造海拉克斯GR版车型")</f>
        <v>皮卡中的牛魔王 丰田打造海拉克斯GR版车型</v>
      </c>
      <c r="C122" s="2" t="s">
        <v>13</v>
      </c>
      <c r="D122" s="2" t="s">
        <v>12</v>
      </c>
      <c r="E122" s="2"/>
      <c r="F122" s="2" t="str">
        <f>HYPERLINK("http://m.12365auto.com/xcdg/20200229/419896.shtml","http://m.12365auto.com/xcdg/20200229/419896.shtml")</f>
        <v>http://m.12365auto.com/xcdg/20200229/419896.shtml</v>
      </c>
      <c r="G122" s="2"/>
      <c r="H122" s="2" t="s">
        <v>248</v>
      </c>
      <c r="I122" s="2" t="s">
        <v>19</v>
      </c>
      <c r="J122" s="2" t="s">
        <v>249</v>
      </c>
      <c r="K122" s="2" t="s">
        <v>247</v>
      </c>
      <c r="L122" s="2">
        <f t="shared" si="1"/>
        <v>150</v>
      </c>
    </row>
    <row r="123" spans="1:12" ht="25" customHeight="1">
      <c r="A123" s="2" t="s">
        <v>12</v>
      </c>
      <c r="B123" s="2" t="str">
        <f>HYPERLINK("http://www.12365auto.com/xcdg/20200229/419895.shtml","本田CR-V混动版售价曝光 换LED头灯/配四驱")</f>
        <v>本田CR-V混动版售价曝光 换LED头灯/配四驱</v>
      </c>
      <c r="C123" s="2" t="s">
        <v>13</v>
      </c>
      <c r="D123" s="2" t="s">
        <v>12</v>
      </c>
      <c r="E123" s="2" t="s">
        <v>245</v>
      </c>
      <c r="F123" s="2" t="str">
        <f>HYPERLINK("http://www.12365auto.com/xcdg/20200229/419895.shtml","http://www.12365auto.com/xcdg/20200229/419895.shtml")</f>
        <v>http://www.12365auto.com/xcdg/20200229/419895.shtml</v>
      </c>
      <c r="G123" s="2"/>
      <c r="H123" s="2" t="s">
        <v>250</v>
      </c>
      <c r="I123" s="2" t="s">
        <v>19</v>
      </c>
      <c r="J123" s="2" t="s">
        <v>12</v>
      </c>
      <c r="K123" s="2" t="s">
        <v>251</v>
      </c>
      <c r="L123" s="2">
        <f t="shared" si="1"/>
        <v>150</v>
      </c>
    </row>
    <row r="124" spans="1:12" ht="25" customHeight="1">
      <c r="A124" s="2" t="s">
        <v>12</v>
      </c>
      <c r="B124" s="2" t="str">
        <f>HYPERLINK("http://m.12365auto.com/xcdg/20200229/419895.shtml","本田CR-V混动版售价曝光 换LED头灯/配四驱")</f>
        <v>本田CR-V混动版售价曝光 换LED头灯/配四驱</v>
      </c>
      <c r="C124" s="2" t="s">
        <v>13</v>
      </c>
      <c r="D124" s="2" t="s">
        <v>12</v>
      </c>
      <c r="E124" s="2"/>
      <c r="F124" s="2" t="str">
        <f>HYPERLINK("http://m.12365auto.com/xcdg/20200229/419895.shtml","http://m.12365auto.com/xcdg/20200229/419895.shtml")</f>
        <v>http://m.12365auto.com/xcdg/20200229/419895.shtml</v>
      </c>
      <c r="G124" s="2"/>
      <c r="H124" s="2" t="s">
        <v>252</v>
      </c>
      <c r="I124" s="2" t="s">
        <v>19</v>
      </c>
      <c r="J124" s="2" t="s">
        <v>220</v>
      </c>
      <c r="K124" s="2" t="s">
        <v>251</v>
      </c>
      <c r="L124" s="2">
        <f t="shared" si="1"/>
        <v>150</v>
      </c>
    </row>
    <row r="125" spans="1:12" ht="25" customHeight="1">
      <c r="A125" s="2" t="s">
        <v>12</v>
      </c>
      <c r="B125" s="2" t="str">
        <f>HYPERLINK("http://www.12365auto.com/zlts/20200229/449334.shtml","郑州日产途达电瓶亏电希望厂家处理")</f>
        <v>郑州日产途达电瓶亏电希望厂家处理</v>
      </c>
      <c r="C125" s="2" t="s">
        <v>13</v>
      </c>
      <c r="D125" s="2" t="s">
        <v>12</v>
      </c>
      <c r="E125" s="2" t="s">
        <v>17</v>
      </c>
      <c r="F125" s="2" t="str">
        <f>HYPERLINK("http://www.12365auto.com/zlts/20200229/449334.shtml","http://www.12365auto.com/zlts/20200229/449334.shtml")</f>
        <v>http://www.12365auto.com/zlts/20200229/449334.shtml</v>
      </c>
      <c r="G125" s="2"/>
      <c r="H125" s="2" t="s">
        <v>253</v>
      </c>
      <c r="I125" s="2" t="s">
        <v>19</v>
      </c>
      <c r="J125" s="2" t="s">
        <v>12</v>
      </c>
      <c r="K125" s="2" t="s">
        <v>254</v>
      </c>
      <c r="L125" s="2">
        <f t="shared" si="1"/>
        <v>150</v>
      </c>
    </row>
    <row r="126" spans="1:12" ht="25" customHeight="1">
      <c r="A126" s="2" t="s">
        <v>12</v>
      </c>
      <c r="B126" s="2" t="str">
        <f>HYPERLINK("http://www.12365auto.com/xcdg/20200229/419894.shtml","长安新奔奔纯电动版改名  预售价贵3千")</f>
        <v>长安新奔奔纯电动版改名  预售价贵3千</v>
      </c>
      <c r="C126" s="2" t="s">
        <v>13</v>
      </c>
      <c r="D126" s="2" t="s">
        <v>12</v>
      </c>
      <c r="E126" s="2" t="s">
        <v>216</v>
      </c>
      <c r="F126" s="2" t="str">
        <f>HYPERLINK("http://www.12365auto.com/xcdg/20200229/419894.shtml","http://www.12365auto.com/xcdg/20200229/419894.shtml")</f>
        <v>http://www.12365auto.com/xcdg/20200229/419894.shtml</v>
      </c>
      <c r="G126" s="2"/>
      <c r="H126" s="2" t="s">
        <v>255</v>
      </c>
      <c r="I126" s="2" t="s">
        <v>15</v>
      </c>
      <c r="J126" s="2" t="s">
        <v>12</v>
      </c>
      <c r="K126" s="2" t="s">
        <v>254</v>
      </c>
      <c r="L126" s="2">
        <f t="shared" si="1"/>
        <v>150</v>
      </c>
    </row>
    <row r="127" spans="1:12" ht="25" customHeight="1">
      <c r="A127" s="2" t="s">
        <v>12</v>
      </c>
      <c r="B127" s="2" t="str">
        <f>HYPERLINK("http://m.12365auto.com/xcdg/20200229/419894.shtml","长安新奔奔纯电动版改名  预售价贵3千")</f>
        <v>长安新奔奔纯电动版改名  预售价贵3千</v>
      </c>
      <c r="C127" s="2" t="s">
        <v>13</v>
      </c>
      <c r="D127" s="2" t="s">
        <v>12</v>
      </c>
      <c r="E127" s="2"/>
      <c r="F127" s="2" t="str">
        <f>HYPERLINK("http://m.12365auto.com/xcdg/20200229/419894.shtml","http://m.12365auto.com/xcdg/20200229/419894.shtml")</f>
        <v>http://m.12365auto.com/xcdg/20200229/419894.shtml</v>
      </c>
      <c r="G127" s="2"/>
      <c r="H127" s="2" t="s">
        <v>256</v>
      </c>
      <c r="I127" s="2" t="s">
        <v>19</v>
      </c>
      <c r="J127" s="2" t="s">
        <v>257</v>
      </c>
      <c r="K127" s="2" t="s">
        <v>254</v>
      </c>
      <c r="L127" s="2">
        <f t="shared" si="1"/>
        <v>150</v>
      </c>
    </row>
    <row r="128" spans="1:12" ht="25" customHeight="1">
      <c r="A128" s="2" t="s">
        <v>12</v>
      </c>
      <c r="B128" s="2" t="str">
        <f>HYPERLINK("http://www.12365auto.com/zlts/20200229/449310.shtml","吉利帝豪GS发生自燃要求厂家处理问题")</f>
        <v>吉利帝豪GS发生自燃要求厂家处理问题</v>
      </c>
      <c r="C128" s="2" t="s">
        <v>13</v>
      </c>
      <c r="D128" s="2" t="s">
        <v>12</v>
      </c>
      <c r="E128" s="2" t="s">
        <v>17</v>
      </c>
      <c r="F128" s="2" t="str">
        <f>HYPERLINK("http://www.12365auto.com/zlts/20200229/449310.shtml","http://www.12365auto.com/zlts/20200229/449310.shtml")</f>
        <v>http://www.12365auto.com/zlts/20200229/449310.shtml</v>
      </c>
      <c r="G128" s="2"/>
      <c r="H128" s="2" t="s">
        <v>258</v>
      </c>
      <c r="I128" s="2" t="s">
        <v>19</v>
      </c>
      <c r="J128" s="2" t="s">
        <v>12</v>
      </c>
      <c r="K128" s="2" t="s">
        <v>259</v>
      </c>
      <c r="L128" s="2">
        <f t="shared" si="1"/>
        <v>150</v>
      </c>
    </row>
    <row r="129" spans="1:12" ht="25" customHeight="1">
      <c r="A129" s="2" t="s">
        <v>12</v>
      </c>
      <c r="B129" s="2" t="str">
        <f>HYPERLINK("http://www.12365auto.com/zlts/20200229/449333.shtml","上汽荣威550电瓶亏电 刹车故障灯亮")</f>
        <v>上汽荣威550电瓶亏电 刹车故障灯亮</v>
      </c>
      <c r="C129" s="2" t="s">
        <v>13</v>
      </c>
      <c r="D129" s="2" t="s">
        <v>12</v>
      </c>
      <c r="E129" s="2" t="s">
        <v>17</v>
      </c>
      <c r="F129" s="2" t="str">
        <f>HYPERLINK("http://www.12365auto.com/zlts/20200229/449333.shtml","http://www.12365auto.com/zlts/20200229/449333.shtml")</f>
        <v>http://www.12365auto.com/zlts/20200229/449333.shtml</v>
      </c>
      <c r="G129" s="2"/>
      <c r="H129" s="2" t="s">
        <v>260</v>
      </c>
      <c r="I129" s="2" t="s">
        <v>19</v>
      </c>
      <c r="J129" s="2" t="s">
        <v>12</v>
      </c>
      <c r="K129" s="2" t="s">
        <v>261</v>
      </c>
      <c r="L129" s="2">
        <f t="shared" si="1"/>
        <v>150</v>
      </c>
    </row>
    <row r="130" spans="1:12" ht="25" customHeight="1">
      <c r="A130" s="2" t="s">
        <v>12</v>
      </c>
      <c r="B130" s="2" t="str">
        <f>HYPERLINK("http://www.12365auto.com/xcdg/20200229/419892.shtml","日系8款轿车将上市 思域领衔/马自达3换引擎")</f>
        <v>日系8款轿车将上市 思域领衔/马自达3换引擎</v>
      </c>
      <c r="C130" s="2" t="s">
        <v>13</v>
      </c>
      <c r="D130" s="2" t="s">
        <v>12</v>
      </c>
      <c r="E130" s="2" t="s">
        <v>216</v>
      </c>
      <c r="F130" s="2" t="str">
        <f>HYPERLINK("http://www.12365auto.com/xcdg/20200229/419892.shtml","http://www.12365auto.com/xcdg/20200229/419892.shtml")</f>
        <v>http://www.12365auto.com/xcdg/20200229/419892.shtml</v>
      </c>
      <c r="G130" s="2"/>
      <c r="H130" s="2" t="s">
        <v>262</v>
      </c>
      <c r="I130" s="2" t="s">
        <v>15</v>
      </c>
      <c r="J130" s="2" t="s">
        <v>12</v>
      </c>
      <c r="K130" s="2" t="s">
        <v>263</v>
      </c>
      <c r="L130" s="2">
        <f t="shared" si="1"/>
        <v>150</v>
      </c>
    </row>
    <row r="131" spans="1:12" ht="25" customHeight="1">
      <c r="A131" s="2" t="s">
        <v>12</v>
      </c>
      <c r="B131" s="2" t="str">
        <f>HYPERLINK("http://m.12365auto.com/xcdg/20200229/419892.shtml","日系8款轿车将上市 思域领衔/马自达3换引擎")</f>
        <v>日系8款轿车将上市 思域领衔/马自达3换引擎</v>
      </c>
      <c r="C131" s="2" t="s">
        <v>13</v>
      </c>
      <c r="D131" s="2" t="s">
        <v>12</v>
      </c>
      <c r="E131" s="2"/>
      <c r="F131" s="2" t="str">
        <f>HYPERLINK("http://m.12365auto.com/xcdg/20200229/419892.shtml","http://m.12365auto.com/xcdg/20200229/419892.shtml")</f>
        <v>http://m.12365auto.com/xcdg/20200229/419892.shtml</v>
      </c>
      <c r="G131" s="2"/>
      <c r="H131" s="2" t="s">
        <v>264</v>
      </c>
      <c r="I131" s="2" t="s">
        <v>19</v>
      </c>
      <c r="J131" s="2" t="s">
        <v>265</v>
      </c>
      <c r="K131" s="2" t="s">
        <v>263</v>
      </c>
      <c r="L131" s="2">
        <f t="shared" ref="L131:L194" si="2">LEN(H131)</f>
        <v>150</v>
      </c>
    </row>
    <row r="132" spans="1:12" ht="25" customHeight="1">
      <c r="A132" s="2" t="s">
        <v>12</v>
      </c>
      <c r="B132" s="2" t="str">
        <f>HYPERLINK("http://m.12365auto.com/xcdg/20200229/419893.shtml","现代新SUV谍照图 宾利车尾+路虎内饰够豪华")</f>
        <v>现代新SUV谍照图 宾利车尾+路虎内饰够豪华</v>
      </c>
      <c r="C132" s="2" t="s">
        <v>13</v>
      </c>
      <c r="D132" s="2" t="s">
        <v>12</v>
      </c>
      <c r="E132" s="2"/>
      <c r="F132" s="2" t="str">
        <f>HYPERLINK("http://m.12365auto.com/xcdg/20200229/419893.shtml","http://m.12365auto.com/xcdg/20200229/419893.shtml")</f>
        <v>http://m.12365auto.com/xcdg/20200229/419893.shtml</v>
      </c>
      <c r="G132" s="2"/>
      <c r="H132" s="2" t="s">
        <v>266</v>
      </c>
      <c r="I132" s="2" t="s">
        <v>19</v>
      </c>
      <c r="J132" s="2" t="s">
        <v>265</v>
      </c>
      <c r="K132" s="2" t="s">
        <v>267</v>
      </c>
      <c r="L132" s="2">
        <f t="shared" si="2"/>
        <v>150</v>
      </c>
    </row>
    <row r="133" spans="1:12" ht="25" customHeight="1">
      <c r="A133" s="2" t="s">
        <v>12</v>
      </c>
      <c r="B133" s="2" t="str">
        <f>HYPERLINK("http://www.12365auto.com/xcdg/20200229/419893.shtml","现代新SUV谍照图 宾利车尾+路虎内饰够豪华")</f>
        <v>现代新SUV谍照图 宾利车尾+路虎内饰够豪华</v>
      </c>
      <c r="C133" s="2" t="s">
        <v>13</v>
      </c>
      <c r="D133" s="2" t="s">
        <v>12</v>
      </c>
      <c r="E133" s="2" t="s">
        <v>224</v>
      </c>
      <c r="F133" s="2" t="str">
        <f>HYPERLINK("http://www.12365auto.com/xcdg/20200229/419893.shtml","http://www.12365auto.com/xcdg/20200229/419893.shtml")</f>
        <v>http://www.12365auto.com/xcdg/20200229/419893.shtml</v>
      </c>
      <c r="G133" s="2"/>
      <c r="H133" s="2" t="s">
        <v>268</v>
      </c>
      <c r="I133" s="2" t="s">
        <v>15</v>
      </c>
      <c r="J133" s="2" t="s">
        <v>12</v>
      </c>
      <c r="K133" s="2" t="s">
        <v>267</v>
      </c>
      <c r="L133" s="2">
        <f t="shared" si="2"/>
        <v>150</v>
      </c>
    </row>
    <row r="134" spans="1:12" ht="25" customHeight="1">
      <c r="A134" s="2" t="s">
        <v>12</v>
      </c>
      <c r="B134" s="2" t="str">
        <f>HYPERLINK("http://m.12365auto.com/xcdg/20200229/419891.shtml","设计总监透露Jeep全新大切诺基年底发布")</f>
        <v>设计总监透露Jeep全新大切诺基年底发布</v>
      </c>
      <c r="C134" s="2" t="s">
        <v>13</v>
      </c>
      <c r="D134" s="2" t="s">
        <v>12</v>
      </c>
      <c r="E134" s="2"/>
      <c r="F134" s="2" t="str">
        <f>HYPERLINK("http://m.12365auto.com/xcdg/20200229/419891.shtml","http://m.12365auto.com/xcdg/20200229/419891.shtml")</f>
        <v>http://m.12365auto.com/xcdg/20200229/419891.shtml</v>
      </c>
      <c r="G134" s="2"/>
      <c r="H134" s="2" t="s">
        <v>269</v>
      </c>
      <c r="I134" s="2" t="s">
        <v>19</v>
      </c>
      <c r="J134" s="2" t="s">
        <v>270</v>
      </c>
      <c r="K134" s="2" t="s">
        <v>271</v>
      </c>
      <c r="L134" s="2">
        <f t="shared" si="2"/>
        <v>150</v>
      </c>
    </row>
    <row r="135" spans="1:12" ht="25" customHeight="1">
      <c r="A135" s="2" t="s">
        <v>12</v>
      </c>
      <c r="B135" s="2" t="str">
        <f>HYPERLINK("http://www.12365auto.com/xcdg/20200229/419891.shtml","设计总监透露Jeep全新大切诺基年底发布")</f>
        <v>设计总监透露Jeep全新大切诺基年底发布</v>
      </c>
      <c r="C135" s="2" t="s">
        <v>13</v>
      </c>
      <c r="D135" s="2" t="s">
        <v>12</v>
      </c>
      <c r="E135" s="2" t="s">
        <v>224</v>
      </c>
      <c r="F135" s="2" t="str">
        <f>HYPERLINK("http://www.12365auto.com/xcdg/20200229/419891.shtml","http://www.12365auto.com/xcdg/20200229/419891.shtml")</f>
        <v>http://www.12365auto.com/xcdg/20200229/419891.shtml</v>
      </c>
      <c r="G135" s="2"/>
      <c r="H135" s="2" t="s">
        <v>272</v>
      </c>
      <c r="I135" s="2" t="s">
        <v>15</v>
      </c>
      <c r="J135" s="2" t="s">
        <v>12</v>
      </c>
      <c r="K135" s="2" t="s">
        <v>271</v>
      </c>
      <c r="L135" s="2">
        <f t="shared" si="2"/>
        <v>150</v>
      </c>
    </row>
    <row r="136" spans="1:12" ht="25" customHeight="1">
      <c r="A136" s="2" t="s">
        <v>12</v>
      </c>
      <c r="B136" s="2" t="str">
        <f>HYPERLINK("http://m.12365auto.com/news/20200229/419890.shtml","国家统计局：全国民用汽车保有量2.6亿辆")</f>
        <v>国家统计局：全国民用汽车保有量2.6亿辆</v>
      </c>
      <c r="C136" s="2" t="s">
        <v>13</v>
      </c>
      <c r="D136" s="2" t="s">
        <v>12</v>
      </c>
      <c r="E136" s="2"/>
      <c r="F136" s="2" t="str">
        <f>HYPERLINK("http://m.12365auto.com/news/20200229/419890.shtml","http://m.12365auto.com/news/20200229/419890.shtml")</f>
        <v>http://m.12365auto.com/news/20200229/419890.shtml</v>
      </c>
      <c r="G136" s="2"/>
      <c r="H136" s="2" t="s">
        <v>273</v>
      </c>
      <c r="I136" s="2" t="s">
        <v>19</v>
      </c>
      <c r="J136" s="2" t="s">
        <v>274</v>
      </c>
      <c r="K136" s="2" t="s">
        <v>275</v>
      </c>
      <c r="L136" s="2">
        <f t="shared" si="2"/>
        <v>150</v>
      </c>
    </row>
    <row r="137" spans="1:12" ht="25" customHeight="1">
      <c r="A137" s="2" t="s">
        <v>12</v>
      </c>
      <c r="B137" s="2" t="str">
        <f>HYPERLINK("http://www.12365auto.com/news/20200229/419890.shtml","国家统计局：全国民用汽车保有量2.6亿辆")</f>
        <v>国家统计局：全国民用汽车保有量2.6亿辆</v>
      </c>
      <c r="C137" s="2" t="s">
        <v>13</v>
      </c>
      <c r="D137" s="2" t="s">
        <v>12</v>
      </c>
      <c r="E137" s="2" t="s">
        <v>276</v>
      </c>
      <c r="F137" s="2" t="str">
        <f>HYPERLINK("http://www.12365auto.com/news/20200229/419890.shtml","http://www.12365auto.com/news/20200229/419890.shtml")</f>
        <v>http://www.12365auto.com/news/20200229/419890.shtml</v>
      </c>
      <c r="G137" s="2"/>
      <c r="H137" s="2" t="s">
        <v>277</v>
      </c>
      <c r="I137" s="2" t="s">
        <v>15</v>
      </c>
      <c r="J137" s="2" t="s">
        <v>12</v>
      </c>
      <c r="K137" s="2" t="s">
        <v>275</v>
      </c>
      <c r="L137" s="2">
        <f t="shared" si="2"/>
        <v>150</v>
      </c>
    </row>
    <row r="138" spans="1:12" ht="25" customHeight="1">
      <c r="A138" s="2" t="s">
        <v>12</v>
      </c>
      <c r="B138" s="2" t="str">
        <f>HYPERLINK("http://www.12365auto.com/news/20200229/419889.shtml","官方声明：受疫情影响 日内瓦车展取消")</f>
        <v>官方声明：受疫情影响 日内瓦车展取消</v>
      </c>
      <c r="C138" s="2" t="s">
        <v>13</v>
      </c>
      <c r="D138" s="2" t="s">
        <v>12</v>
      </c>
      <c r="E138" s="2" t="s">
        <v>276</v>
      </c>
      <c r="F138" s="2" t="str">
        <f>HYPERLINK("http://www.12365auto.com/news/20200229/419889.shtml","http://www.12365auto.com/news/20200229/419889.shtml")</f>
        <v>http://www.12365auto.com/news/20200229/419889.shtml</v>
      </c>
      <c r="G138" s="2"/>
      <c r="H138" s="2" t="s">
        <v>278</v>
      </c>
      <c r="I138" s="2" t="s">
        <v>15</v>
      </c>
      <c r="J138" s="2" t="s">
        <v>12</v>
      </c>
      <c r="K138" s="2" t="s">
        <v>279</v>
      </c>
      <c r="L138" s="2">
        <f t="shared" si="2"/>
        <v>150</v>
      </c>
    </row>
    <row r="139" spans="1:12" ht="25" customHeight="1">
      <c r="A139" s="2" t="s">
        <v>12</v>
      </c>
      <c r="B139" s="2" t="str">
        <f>HYPERLINK("http://m.12365auto.com/news/20200229/419889.shtml","官方声明：受疫情影响 日内瓦车展取消")</f>
        <v>官方声明：受疫情影响 日内瓦车展取消</v>
      </c>
      <c r="C139" s="2" t="s">
        <v>13</v>
      </c>
      <c r="D139" s="2" t="s">
        <v>12</v>
      </c>
      <c r="E139" s="2"/>
      <c r="F139" s="2" t="str">
        <f>HYPERLINK("http://m.12365auto.com/news/20200229/419889.shtml","http://m.12365auto.com/news/20200229/419889.shtml")</f>
        <v>http://m.12365auto.com/news/20200229/419889.shtml</v>
      </c>
      <c r="G139" s="2"/>
      <c r="H139" s="2" t="s">
        <v>280</v>
      </c>
      <c r="I139" s="2" t="s">
        <v>19</v>
      </c>
      <c r="J139" s="2" t="s">
        <v>281</v>
      </c>
      <c r="K139" s="2" t="s">
        <v>279</v>
      </c>
      <c r="L139" s="2">
        <f t="shared" si="2"/>
        <v>150</v>
      </c>
    </row>
    <row r="140" spans="1:12" ht="25" customHeight="1">
      <c r="A140" s="2" t="s">
        <v>12</v>
      </c>
      <c r="B140" s="2" t="str">
        <f>HYPERLINK("http://www.12365auto.com/news/20200229/419888.shtml","天际汽车向东平离职 陈敏接棒出任CMO")</f>
        <v>天际汽车向东平离职 陈敏接棒出任CMO</v>
      </c>
      <c r="C140" s="2" t="s">
        <v>13</v>
      </c>
      <c r="D140" s="2" t="s">
        <v>12</v>
      </c>
      <c r="E140" s="2" t="s">
        <v>282</v>
      </c>
      <c r="F140" s="2" t="str">
        <f>HYPERLINK("http://www.12365auto.com/news/20200229/419888.shtml","http://www.12365auto.com/news/20200229/419888.shtml")</f>
        <v>http://www.12365auto.com/news/20200229/419888.shtml</v>
      </c>
      <c r="G140" s="2"/>
      <c r="H140" s="2" t="s">
        <v>283</v>
      </c>
      <c r="I140" s="2" t="s">
        <v>19</v>
      </c>
      <c r="J140" s="2" t="s">
        <v>12</v>
      </c>
      <c r="K140" s="2" t="s">
        <v>284</v>
      </c>
      <c r="L140" s="2">
        <f t="shared" si="2"/>
        <v>150</v>
      </c>
    </row>
    <row r="141" spans="1:12" ht="25" customHeight="1">
      <c r="A141" s="2" t="s">
        <v>12</v>
      </c>
      <c r="B141" s="2" t="str">
        <f>HYPERLINK("http://m.12365auto.com/news/20200229/419888.shtml","天际汽车向东平离职 陈敏接棒出任CMO")</f>
        <v>天际汽车向东平离职 陈敏接棒出任CMO</v>
      </c>
      <c r="C141" s="2" t="s">
        <v>13</v>
      </c>
      <c r="D141" s="2" t="s">
        <v>12</v>
      </c>
      <c r="E141" s="2"/>
      <c r="F141" s="2" t="str">
        <f>HYPERLINK("http://m.12365auto.com/news/20200229/419888.shtml","http://m.12365auto.com/news/20200229/419888.shtml")</f>
        <v>http://m.12365auto.com/news/20200229/419888.shtml</v>
      </c>
      <c r="G141" s="2"/>
      <c r="H141" s="2" t="s">
        <v>285</v>
      </c>
      <c r="I141" s="2" t="s">
        <v>19</v>
      </c>
      <c r="J141" s="2" t="s">
        <v>286</v>
      </c>
      <c r="K141" s="2" t="s">
        <v>284</v>
      </c>
      <c r="L141" s="2">
        <f t="shared" si="2"/>
        <v>150</v>
      </c>
    </row>
    <row r="142" spans="1:12" ht="25" customHeight="1">
      <c r="A142" s="2" t="s">
        <v>12</v>
      </c>
      <c r="B142" s="2" t="str">
        <f>HYPERLINK("http://www.12365auto.com/zlts/20200229/449331.shtml","猎豹CS10防抱死系统故障灯亮售后不予质保")</f>
        <v>猎豹CS10防抱死系统故障灯亮售后不予质保</v>
      </c>
      <c r="C142" s="2" t="s">
        <v>13</v>
      </c>
      <c r="D142" s="2" t="s">
        <v>12</v>
      </c>
      <c r="E142" s="2" t="s">
        <v>17</v>
      </c>
      <c r="F142" s="2" t="str">
        <f>HYPERLINK("http://www.12365auto.com/zlts/20200229/449331.shtml","http://www.12365auto.com/zlts/20200229/449331.shtml")</f>
        <v>http://www.12365auto.com/zlts/20200229/449331.shtml</v>
      </c>
      <c r="G142" s="2"/>
      <c r="H142" s="2" t="s">
        <v>287</v>
      </c>
      <c r="I142" s="2" t="s">
        <v>19</v>
      </c>
      <c r="J142" s="2" t="s">
        <v>12</v>
      </c>
      <c r="K142" s="2" t="s">
        <v>288</v>
      </c>
      <c r="L142" s="2">
        <f t="shared" si="2"/>
        <v>150</v>
      </c>
    </row>
    <row r="143" spans="1:12" ht="25" customHeight="1">
      <c r="A143" s="2" t="s">
        <v>12</v>
      </c>
      <c r="B143" s="2" t="str">
        <f>HYPERLINK("http://m.12365auto.com/xcdg/20200229/419887.shtml","主要权衡在人机交互 实拍明锐手动标准版")</f>
        <v>主要权衡在人机交互 实拍明锐手动标准版</v>
      </c>
      <c r="C143" s="2" t="s">
        <v>13</v>
      </c>
      <c r="D143" s="2" t="s">
        <v>12</v>
      </c>
      <c r="E143" s="2"/>
      <c r="F143" s="2" t="str">
        <f>HYPERLINK("http://m.12365auto.com/xcdg/20200229/419887.shtml","http://m.12365auto.com/xcdg/20200229/419887.shtml")</f>
        <v>http://m.12365auto.com/xcdg/20200229/419887.shtml</v>
      </c>
      <c r="G143" s="2"/>
      <c r="H143" s="2" t="s">
        <v>289</v>
      </c>
      <c r="I143" s="2" t="s">
        <v>19</v>
      </c>
      <c r="J143" s="2" t="s">
        <v>290</v>
      </c>
      <c r="K143" s="2" t="s">
        <v>291</v>
      </c>
      <c r="L143" s="2">
        <f t="shared" si="2"/>
        <v>150</v>
      </c>
    </row>
    <row r="144" spans="1:12" ht="25" customHeight="1">
      <c r="A144" s="2" t="s">
        <v>12</v>
      </c>
      <c r="B144" s="2" t="str">
        <f>HYPERLINK("http://www.12365auto.com/xcdg/20200229/419886.shtml","奔驰G级两款新车上市 售185.88万起")</f>
        <v>奔驰G级两款新车上市 售185.88万起</v>
      </c>
      <c r="C144" s="2" t="s">
        <v>13</v>
      </c>
      <c r="D144" s="2" t="s">
        <v>12</v>
      </c>
      <c r="E144" s="2" t="s">
        <v>216</v>
      </c>
      <c r="F144" s="2" t="str">
        <f>HYPERLINK("http://www.12365auto.com/xcdg/20200229/419886.shtml","http://www.12365auto.com/xcdg/20200229/419886.shtml")</f>
        <v>http://www.12365auto.com/xcdg/20200229/419886.shtml</v>
      </c>
      <c r="G144" s="2"/>
      <c r="H144" s="2" t="s">
        <v>292</v>
      </c>
      <c r="I144" s="2" t="s">
        <v>15</v>
      </c>
      <c r="J144" s="2" t="s">
        <v>12</v>
      </c>
      <c r="K144" s="2" t="s">
        <v>293</v>
      </c>
      <c r="L144" s="2">
        <f t="shared" si="2"/>
        <v>150</v>
      </c>
    </row>
    <row r="145" spans="1:12" ht="25" customHeight="1">
      <c r="A145" s="2" t="s">
        <v>12</v>
      </c>
      <c r="B145" s="2" t="str">
        <f>HYPERLINK("http://m.12365auto.com/xcdg/20200229/419886.shtml","奔驰G级两款新车上市 售185.88万起")</f>
        <v>奔驰G级两款新车上市 售185.88万起</v>
      </c>
      <c r="C145" s="2" t="s">
        <v>13</v>
      </c>
      <c r="D145" s="2" t="s">
        <v>12</v>
      </c>
      <c r="E145" s="2"/>
      <c r="F145" s="2" t="str">
        <f>HYPERLINK("http://m.12365auto.com/xcdg/20200229/419886.shtml","http://m.12365auto.com/xcdg/20200229/419886.shtml")</f>
        <v>http://m.12365auto.com/xcdg/20200229/419886.shtml</v>
      </c>
      <c r="G145" s="2"/>
      <c r="H145" s="2" t="s">
        <v>294</v>
      </c>
      <c r="I145" s="2" t="s">
        <v>19</v>
      </c>
      <c r="J145" s="2" t="s">
        <v>295</v>
      </c>
      <c r="K145" s="2" t="s">
        <v>293</v>
      </c>
      <c r="L145" s="2">
        <f t="shared" si="2"/>
        <v>150</v>
      </c>
    </row>
    <row r="146" spans="1:12" ht="25" customHeight="1">
      <c r="A146" s="2" t="s">
        <v>12</v>
      </c>
      <c r="B146" s="2" t="str">
        <f>HYPERLINK("http://m.12365auto.com/xcdg/20200229/419885.shtml","设计灵感源自东方 APEX AP-0最新预告图")</f>
        <v>设计灵感源自东方 APEX AP-0最新预告图</v>
      </c>
      <c r="C146" s="2" t="s">
        <v>13</v>
      </c>
      <c r="D146" s="2" t="s">
        <v>12</v>
      </c>
      <c r="E146" s="2"/>
      <c r="F146" s="2" t="str">
        <f>HYPERLINK("http://m.12365auto.com/xcdg/20200229/419885.shtml","http://m.12365auto.com/xcdg/20200229/419885.shtml")</f>
        <v>http://m.12365auto.com/xcdg/20200229/419885.shtml</v>
      </c>
      <c r="G146" s="2"/>
      <c r="H146" s="2" t="s">
        <v>296</v>
      </c>
      <c r="I146" s="2" t="s">
        <v>19</v>
      </c>
      <c r="J146" s="2" t="s">
        <v>297</v>
      </c>
      <c r="K146" s="2" t="s">
        <v>298</v>
      </c>
      <c r="L146" s="2">
        <f t="shared" si="2"/>
        <v>150</v>
      </c>
    </row>
    <row r="147" spans="1:12" ht="25" customHeight="1">
      <c r="A147" s="2" t="s">
        <v>12</v>
      </c>
      <c r="B147" s="2" t="str">
        <f>HYPERLINK("http://www.12365auto.com/xcdg/20200229/419885.shtml","设计灵感源自东方 APEX AP-0最新预告图")</f>
        <v>设计灵感源自东方 APEX AP-0最新预告图</v>
      </c>
      <c r="C147" s="2" t="s">
        <v>13</v>
      </c>
      <c r="D147" s="2" t="s">
        <v>12</v>
      </c>
      <c r="E147" s="2" t="s">
        <v>245</v>
      </c>
      <c r="F147" s="2" t="str">
        <f>HYPERLINK("http://www.12365auto.com/xcdg/20200229/419885.shtml","http://www.12365auto.com/xcdg/20200229/419885.shtml")</f>
        <v>http://www.12365auto.com/xcdg/20200229/419885.shtml</v>
      </c>
      <c r="G147" s="2"/>
      <c r="H147" s="2" t="s">
        <v>299</v>
      </c>
      <c r="I147" s="2" t="s">
        <v>19</v>
      </c>
      <c r="J147" s="2" t="s">
        <v>12</v>
      </c>
      <c r="K147" s="2" t="s">
        <v>298</v>
      </c>
      <c r="L147" s="2">
        <f t="shared" si="2"/>
        <v>150</v>
      </c>
    </row>
    <row r="148" spans="1:12" ht="25" customHeight="1">
      <c r="A148" s="2" t="s">
        <v>12</v>
      </c>
      <c r="B148" s="2" t="str">
        <f>HYPERLINK("http://www.12365auto.com/xcdg/20200229/419884.shtml","新款林肯领航员上市 售价109.80万起")</f>
        <v>新款林肯领航员上市 售价109.80万起</v>
      </c>
      <c r="C148" s="2" t="s">
        <v>13</v>
      </c>
      <c r="D148" s="2" t="s">
        <v>12</v>
      </c>
      <c r="E148" s="2" t="s">
        <v>216</v>
      </c>
      <c r="F148" s="2" t="str">
        <f>HYPERLINK("http://www.12365auto.com/xcdg/20200229/419884.shtml","http://www.12365auto.com/xcdg/20200229/419884.shtml")</f>
        <v>http://www.12365auto.com/xcdg/20200229/419884.shtml</v>
      </c>
      <c r="G148" s="2"/>
      <c r="H148" s="2" t="s">
        <v>300</v>
      </c>
      <c r="I148" s="2" t="s">
        <v>15</v>
      </c>
      <c r="J148" s="2" t="s">
        <v>12</v>
      </c>
      <c r="K148" s="2" t="s">
        <v>301</v>
      </c>
      <c r="L148" s="2">
        <f t="shared" si="2"/>
        <v>150</v>
      </c>
    </row>
    <row r="149" spans="1:12" ht="25" customHeight="1">
      <c r="A149" s="2" t="s">
        <v>12</v>
      </c>
      <c r="B149" s="2" t="str">
        <f>HYPERLINK("http://m.12365auto.com/xcdg/20200229/419884.shtml","新款林肯领航员上市 售价109.80万起")</f>
        <v>新款林肯领航员上市 售价109.80万起</v>
      </c>
      <c r="C149" s="2" t="s">
        <v>13</v>
      </c>
      <c r="D149" s="2" t="s">
        <v>12</v>
      </c>
      <c r="E149" s="2"/>
      <c r="F149" s="2" t="str">
        <f>HYPERLINK("http://m.12365auto.com/xcdg/20200229/419884.shtml","http://m.12365auto.com/xcdg/20200229/419884.shtml")</f>
        <v>http://m.12365auto.com/xcdg/20200229/419884.shtml</v>
      </c>
      <c r="G149" s="2"/>
      <c r="H149" s="2" t="s">
        <v>302</v>
      </c>
      <c r="I149" s="2" t="s">
        <v>19</v>
      </c>
      <c r="J149" s="2" t="s">
        <v>303</v>
      </c>
      <c r="K149" s="2" t="s">
        <v>301</v>
      </c>
      <c r="L149" s="2">
        <f t="shared" si="2"/>
        <v>150</v>
      </c>
    </row>
    <row r="150" spans="1:12" ht="25" customHeight="1">
      <c r="A150" s="2" t="s">
        <v>12</v>
      </c>
      <c r="B150" s="2" t="str">
        <f>HYPERLINK("http://www.12365auto.com/news/20200229/419883.shtml","提高市场效率 车险由审批制改为备案制")</f>
        <v>提高市场效率 车险由审批制改为备案制</v>
      </c>
      <c r="C150" s="2" t="s">
        <v>13</v>
      </c>
      <c r="D150" s="2" t="s">
        <v>12</v>
      </c>
      <c r="E150" s="2" t="s">
        <v>276</v>
      </c>
      <c r="F150" s="2" t="str">
        <f>HYPERLINK("http://www.12365auto.com/news/20200229/419883.shtml","http://www.12365auto.com/news/20200229/419883.shtml")</f>
        <v>http://www.12365auto.com/news/20200229/419883.shtml</v>
      </c>
      <c r="G150" s="2"/>
      <c r="H150" s="2" t="s">
        <v>304</v>
      </c>
      <c r="I150" s="2" t="s">
        <v>15</v>
      </c>
      <c r="J150" s="2" t="s">
        <v>12</v>
      </c>
      <c r="K150" s="2" t="s">
        <v>305</v>
      </c>
      <c r="L150" s="2">
        <f t="shared" si="2"/>
        <v>150</v>
      </c>
    </row>
    <row r="151" spans="1:12" ht="25" customHeight="1">
      <c r="A151" s="2" t="s">
        <v>12</v>
      </c>
      <c r="B151" s="2" t="str">
        <f>HYPERLINK("http://m.12365auto.com/news/20200229/419883.shtml","提高市场效率 车险由审批制改为备案制")</f>
        <v>提高市场效率 车险由审批制改为备案制</v>
      </c>
      <c r="C151" s="2" t="s">
        <v>13</v>
      </c>
      <c r="D151" s="2" t="s">
        <v>12</v>
      </c>
      <c r="E151" s="2"/>
      <c r="F151" s="2" t="str">
        <f>HYPERLINK("http://m.12365auto.com/news/20200229/419883.shtml","http://m.12365auto.com/news/20200229/419883.shtml")</f>
        <v>http://m.12365auto.com/news/20200229/419883.shtml</v>
      </c>
      <c r="G151" s="2"/>
      <c r="H151" s="2" t="s">
        <v>306</v>
      </c>
      <c r="I151" s="2" t="s">
        <v>19</v>
      </c>
      <c r="J151" s="2" t="s">
        <v>307</v>
      </c>
      <c r="K151" s="2" t="s">
        <v>305</v>
      </c>
      <c r="L151" s="2">
        <f t="shared" si="2"/>
        <v>150</v>
      </c>
    </row>
    <row r="152" spans="1:12" ht="25" customHeight="1">
      <c r="A152" s="2" t="s">
        <v>12</v>
      </c>
      <c r="B152" s="2" t="str">
        <f>HYPERLINK("http://m.12365auto.com/news/20200229/419882.shtml","62年历史或后继无人 雪佛兰Impala停产")</f>
        <v>62年历史或后继无人 雪佛兰Impala停产</v>
      </c>
      <c r="C152" s="2" t="s">
        <v>13</v>
      </c>
      <c r="D152" s="2" t="s">
        <v>12</v>
      </c>
      <c r="E152" s="2"/>
      <c r="F152" s="2" t="str">
        <f>HYPERLINK("http://m.12365auto.com/news/20200229/419882.shtml","http://m.12365auto.com/news/20200229/419882.shtml")</f>
        <v>http://m.12365auto.com/news/20200229/419882.shtml</v>
      </c>
      <c r="G152" s="2"/>
      <c r="H152" s="2" t="s">
        <v>308</v>
      </c>
      <c r="I152" s="2" t="s">
        <v>19</v>
      </c>
      <c r="J152" s="2" t="s">
        <v>295</v>
      </c>
      <c r="K152" s="2" t="s">
        <v>309</v>
      </c>
      <c r="L152" s="2">
        <f t="shared" si="2"/>
        <v>150</v>
      </c>
    </row>
    <row r="153" spans="1:12" ht="25" customHeight="1">
      <c r="A153" s="2" t="s">
        <v>12</v>
      </c>
      <c r="B153" s="2" t="str">
        <f>HYPERLINK("http://www.12365auto.com/news/20200229/419882.shtml","62年历史或后继无人 雪佛兰Impala停产")</f>
        <v>62年历史或后继无人 雪佛兰Impala停产</v>
      </c>
      <c r="C153" s="2" t="s">
        <v>13</v>
      </c>
      <c r="D153" s="2" t="s">
        <v>12</v>
      </c>
      <c r="E153" s="2" t="s">
        <v>276</v>
      </c>
      <c r="F153" s="2" t="str">
        <f>HYPERLINK("http://www.12365auto.com/news/20200229/419882.shtml","http://www.12365auto.com/news/20200229/419882.shtml")</f>
        <v>http://www.12365auto.com/news/20200229/419882.shtml</v>
      </c>
      <c r="G153" s="2"/>
      <c r="H153" s="2" t="s">
        <v>310</v>
      </c>
      <c r="I153" s="2" t="s">
        <v>15</v>
      </c>
      <c r="J153" s="2" t="s">
        <v>12</v>
      </c>
      <c r="K153" s="2" t="s">
        <v>309</v>
      </c>
      <c r="L153" s="2">
        <f t="shared" si="2"/>
        <v>150</v>
      </c>
    </row>
    <row r="154" spans="1:12" ht="25" customHeight="1">
      <c r="A154" s="2" t="s">
        <v>12</v>
      </c>
      <c r="B154" s="2" t="str">
        <f>HYPERLINK("http://www.12365auto.com/news/20200229/419881.shtml","微降1.4% 丰田汽车1月全球销售73.2万辆")</f>
        <v>微降1.4% 丰田汽车1月全球销售73.2万辆</v>
      </c>
      <c r="C154" s="2" t="s">
        <v>13</v>
      </c>
      <c r="D154" s="2" t="s">
        <v>12</v>
      </c>
      <c r="E154" s="2" t="s">
        <v>276</v>
      </c>
      <c r="F154" s="2" t="str">
        <f>HYPERLINK("http://www.12365auto.com/news/20200229/419881.shtml","http://www.12365auto.com/news/20200229/419881.shtml")</f>
        <v>http://www.12365auto.com/news/20200229/419881.shtml</v>
      </c>
      <c r="G154" s="2"/>
      <c r="H154" s="2" t="s">
        <v>311</v>
      </c>
      <c r="I154" s="2" t="s">
        <v>15</v>
      </c>
      <c r="J154" s="2" t="s">
        <v>12</v>
      </c>
      <c r="K154" s="2" t="s">
        <v>312</v>
      </c>
      <c r="L154" s="2">
        <f t="shared" si="2"/>
        <v>150</v>
      </c>
    </row>
    <row r="155" spans="1:12" ht="25" customHeight="1">
      <c r="A155" s="2" t="s">
        <v>12</v>
      </c>
      <c r="B155" s="2" t="str">
        <f>HYPERLINK("http://m.12365auto.com/news/20200229/419881.shtml","微降1.4% 丰田汽车1月全球销售73.2万辆")</f>
        <v>微降1.4% 丰田汽车1月全球销售73.2万辆</v>
      </c>
      <c r="C155" s="2" t="s">
        <v>13</v>
      </c>
      <c r="D155" s="2" t="s">
        <v>12</v>
      </c>
      <c r="E155" s="2"/>
      <c r="F155" s="2" t="str">
        <f>HYPERLINK("http://m.12365auto.com/news/20200229/419881.shtml","http://m.12365auto.com/news/20200229/419881.shtml")</f>
        <v>http://m.12365auto.com/news/20200229/419881.shtml</v>
      </c>
      <c r="G155" s="2"/>
      <c r="H155" s="2" t="s">
        <v>313</v>
      </c>
      <c r="I155" s="2" t="s">
        <v>19</v>
      </c>
      <c r="J155" s="2" t="s">
        <v>274</v>
      </c>
      <c r="K155" s="2" t="s">
        <v>312</v>
      </c>
      <c r="L155" s="2">
        <f t="shared" si="2"/>
        <v>150</v>
      </c>
    </row>
    <row r="156" spans="1:12" ht="25" customHeight="1">
      <c r="A156" s="2" t="s">
        <v>12</v>
      </c>
      <c r="B156" s="2" t="str">
        <f>HYPERLINK("http://www.12365auto.com/xcdg/20200229/419880.shtml","丰富选择 江淮瑞风M4新车型将于3月上市")</f>
        <v>丰富选择 江淮瑞风M4新车型将于3月上市</v>
      </c>
      <c r="C156" s="2" t="s">
        <v>13</v>
      </c>
      <c r="D156" s="2" t="s">
        <v>12</v>
      </c>
      <c r="E156" s="2" t="s">
        <v>216</v>
      </c>
      <c r="F156" s="2" t="str">
        <f>HYPERLINK("http://www.12365auto.com/xcdg/20200229/419880.shtml","http://www.12365auto.com/xcdg/20200229/419880.shtml")</f>
        <v>http://www.12365auto.com/xcdg/20200229/419880.shtml</v>
      </c>
      <c r="G156" s="2"/>
      <c r="H156" s="2" t="s">
        <v>314</v>
      </c>
      <c r="I156" s="2" t="s">
        <v>15</v>
      </c>
      <c r="J156" s="2" t="s">
        <v>12</v>
      </c>
      <c r="K156" s="2" t="s">
        <v>315</v>
      </c>
      <c r="L156" s="2">
        <f t="shared" si="2"/>
        <v>150</v>
      </c>
    </row>
    <row r="157" spans="1:12" ht="25" customHeight="1">
      <c r="A157" s="2" t="s">
        <v>12</v>
      </c>
      <c r="B157" s="2" t="str">
        <f>HYPERLINK("http://m.12365auto.com/xcdg/20200229/419880.shtml","丰富选择 江淮瑞风M4新车型将于3月上市")</f>
        <v>丰富选择 江淮瑞风M4新车型将于3月上市</v>
      </c>
      <c r="C157" s="2" t="s">
        <v>13</v>
      </c>
      <c r="D157" s="2" t="s">
        <v>12</v>
      </c>
      <c r="E157" s="2"/>
      <c r="F157" s="2" t="str">
        <f>HYPERLINK("http://m.12365auto.com/xcdg/20200229/419880.shtml","http://m.12365auto.com/xcdg/20200229/419880.shtml")</f>
        <v>http://m.12365auto.com/xcdg/20200229/419880.shtml</v>
      </c>
      <c r="G157" s="2"/>
      <c r="H157" s="2" t="s">
        <v>316</v>
      </c>
      <c r="I157" s="2" t="s">
        <v>19</v>
      </c>
      <c r="J157" s="2" t="s">
        <v>317</v>
      </c>
      <c r="K157" s="2" t="s">
        <v>315</v>
      </c>
      <c r="L157" s="2">
        <f t="shared" si="2"/>
        <v>150</v>
      </c>
    </row>
    <row r="158" spans="1:12" ht="25" customHeight="1">
      <c r="A158" s="2" t="s">
        <v>12</v>
      </c>
      <c r="B158" s="2" t="str">
        <f>HYPERLINK("http://www.12365auto.com/news/20200229/419879.shtml","创新销售模式 爱驰汽车发力欧洲市场")</f>
        <v>创新销售模式 爱驰汽车发力欧洲市场</v>
      </c>
      <c r="C158" s="2" t="s">
        <v>13</v>
      </c>
      <c r="D158" s="2" t="s">
        <v>12</v>
      </c>
      <c r="E158" s="2" t="s">
        <v>276</v>
      </c>
      <c r="F158" s="2" t="str">
        <f>HYPERLINK("http://www.12365auto.com/news/20200229/419879.shtml","http://www.12365auto.com/news/20200229/419879.shtml")</f>
        <v>http://www.12365auto.com/news/20200229/419879.shtml</v>
      </c>
      <c r="G158" s="2"/>
      <c r="H158" s="2" t="s">
        <v>318</v>
      </c>
      <c r="I158" s="2" t="s">
        <v>15</v>
      </c>
      <c r="J158" s="2" t="s">
        <v>12</v>
      </c>
      <c r="K158" s="2" t="s">
        <v>319</v>
      </c>
      <c r="L158" s="2">
        <f t="shared" si="2"/>
        <v>150</v>
      </c>
    </row>
    <row r="159" spans="1:12" ht="25" customHeight="1">
      <c r="A159" s="2" t="s">
        <v>12</v>
      </c>
      <c r="B159" s="2" t="str">
        <f>HYPERLINK("http://m.12365auto.com/news/20200229/419879.shtml","创新销售模式 爱驰汽车发力欧洲市场")</f>
        <v>创新销售模式 爱驰汽车发力欧洲市场</v>
      </c>
      <c r="C159" s="2" t="s">
        <v>13</v>
      </c>
      <c r="D159" s="2" t="s">
        <v>12</v>
      </c>
      <c r="E159" s="2"/>
      <c r="F159" s="2" t="str">
        <f>HYPERLINK("http://m.12365auto.com/news/20200229/419879.shtml","http://m.12365auto.com/news/20200229/419879.shtml")</f>
        <v>http://m.12365auto.com/news/20200229/419879.shtml</v>
      </c>
      <c r="G159" s="2"/>
      <c r="H159" s="2" t="s">
        <v>320</v>
      </c>
      <c r="I159" s="2" t="s">
        <v>19</v>
      </c>
      <c r="J159" s="2" t="s">
        <v>286</v>
      </c>
      <c r="K159" s="2" t="s">
        <v>319</v>
      </c>
      <c r="L159" s="2">
        <f t="shared" si="2"/>
        <v>150</v>
      </c>
    </row>
    <row r="160" spans="1:12" ht="25" customHeight="1">
      <c r="A160" s="2" t="s">
        <v>12</v>
      </c>
      <c r="B160" s="2" t="str">
        <f>HYPERLINK("http://www.12365auto.com/news/20200229/419878.shtml","理想汽车将推首任车主终身质保购买方案")</f>
        <v>理想汽车将推首任车主终身质保购买方案</v>
      </c>
      <c r="C160" s="2" t="s">
        <v>13</v>
      </c>
      <c r="D160" s="2" t="s">
        <v>12</v>
      </c>
      <c r="E160" s="2" t="s">
        <v>276</v>
      </c>
      <c r="F160" s="2" t="str">
        <f>HYPERLINK("http://www.12365auto.com/news/20200229/419878.shtml","http://www.12365auto.com/news/20200229/419878.shtml")</f>
        <v>http://www.12365auto.com/news/20200229/419878.shtml</v>
      </c>
      <c r="G160" s="2"/>
      <c r="H160" s="2" t="s">
        <v>321</v>
      </c>
      <c r="I160" s="2" t="s">
        <v>15</v>
      </c>
      <c r="J160" s="2" t="s">
        <v>12</v>
      </c>
      <c r="K160" s="2" t="s">
        <v>322</v>
      </c>
      <c r="L160" s="2">
        <f t="shared" si="2"/>
        <v>150</v>
      </c>
    </row>
    <row r="161" spans="1:12" ht="25" customHeight="1">
      <c r="A161" s="2" t="s">
        <v>12</v>
      </c>
      <c r="B161" s="2" t="str">
        <f>HYPERLINK("http://m.12365auto.com/news/20200229/419878.shtml","理想汽车将推首任车主终身质保购买方案")</f>
        <v>理想汽车将推首任车主终身质保购买方案</v>
      </c>
      <c r="C161" s="2" t="s">
        <v>13</v>
      </c>
      <c r="D161" s="2" t="s">
        <v>12</v>
      </c>
      <c r="E161" s="2"/>
      <c r="F161" s="2" t="str">
        <f>HYPERLINK("http://m.12365auto.com/news/20200229/419878.shtml","http://m.12365auto.com/news/20200229/419878.shtml")</f>
        <v>http://m.12365auto.com/news/20200229/419878.shtml</v>
      </c>
      <c r="G161" s="2"/>
      <c r="H161" s="2" t="s">
        <v>323</v>
      </c>
      <c r="I161" s="2" t="s">
        <v>19</v>
      </c>
      <c r="J161" s="2" t="s">
        <v>297</v>
      </c>
      <c r="K161" s="2" t="s">
        <v>322</v>
      </c>
      <c r="L161" s="2">
        <f t="shared" si="2"/>
        <v>150</v>
      </c>
    </row>
    <row r="162" spans="1:12" ht="25" customHeight="1">
      <c r="A162" s="2" t="s">
        <v>12</v>
      </c>
      <c r="B162" s="2" t="str">
        <f>HYPERLINK("http://m.12365auto.com/xcdg/20200229/419877.shtml","全新大灯造型 新款奔驰E级预告图发布")</f>
        <v>全新大灯造型 新款奔驰E级预告图发布</v>
      </c>
      <c r="C162" s="2" t="s">
        <v>13</v>
      </c>
      <c r="D162" s="2" t="s">
        <v>12</v>
      </c>
      <c r="E162" s="2"/>
      <c r="F162" s="2" t="str">
        <f>HYPERLINK("http://m.12365auto.com/xcdg/20200229/419877.shtml","http://m.12365auto.com/xcdg/20200229/419877.shtml")</f>
        <v>http://m.12365auto.com/xcdg/20200229/419877.shtml</v>
      </c>
      <c r="G162" s="2"/>
      <c r="H162" s="2" t="s">
        <v>324</v>
      </c>
      <c r="I162" s="2" t="s">
        <v>19</v>
      </c>
      <c r="J162" s="2" t="s">
        <v>317</v>
      </c>
      <c r="K162" s="2" t="s">
        <v>325</v>
      </c>
      <c r="L162" s="2">
        <f t="shared" si="2"/>
        <v>150</v>
      </c>
    </row>
    <row r="163" spans="1:12" ht="25" customHeight="1">
      <c r="A163" s="2" t="s">
        <v>12</v>
      </c>
      <c r="B163" s="2" t="str">
        <f>HYPERLINK("http://www.12365auto.com/xcdg/20200229/419877.shtml","全新大灯造型 新款奔驰E级预告图发布")</f>
        <v>全新大灯造型 新款奔驰E级预告图发布</v>
      </c>
      <c r="C163" s="2" t="s">
        <v>13</v>
      </c>
      <c r="D163" s="2" t="s">
        <v>12</v>
      </c>
      <c r="E163" s="2" t="s">
        <v>216</v>
      </c>
      <c r="F163" s="2" t="str">
        <f>HYPERLINK("http://www.12365auto.com/xcdg/20200229/419877.shtml","http://www.12365auto.com/xcdg/20200229/419877.shtml")</f>
        <v>http://www.12365auto.com/xcdg/20200229/419877.shtml</v>
      </c>
      <c r="G163" s="2"/>
      <c r="H163" s="2" t="s">
        <v>326</v>
      </c>
      <c r="I163" s="2" t="s">
        <v>15</v>
      </c>
      <c r="J163" s="2" t="s">
        <v>12</v>
      </c>
      <c r="K163" s="2" t="s">
        <v>325</v>
      </c>
      <c r="L163" s="2">
        <f t="shared" si="2"/>
        <v>150</v>
      </c>
    </row>
    <row r="164" spans="1:12" ht="25" customHeight="1">
      <c r="A164" s="2" t="s">
        <v>12</v>
      </c>
      <c r="B164" s="2" t="str">
        <f>HYPERLINK("http://www.12365auto.com/parts/20200229/419876.shtml","续航表现出色 麦格纳展示新电驱动系统")</f>
        <v>续航表现出色 麦格纳展示新电驱动系统</v>
      </c>
      <c r="C164" s="2" t="s">
        <v>13</v>
      </c>
      <c r="D164" s="2" t="s">
        <v>12</v>
      </c>
      <c r="E164" s="2" t="s">
        <v>240</v>
      </c>
      <c r="F164" s="2" t="str">
        <f>HYPERLINK("http://www.12365auto.com/parts/20200229/419876.shtml","http://www.12365auto.com/parts/20200229/419876.shtml")</f>
        <v>http://www.12365auto.com/parts/20200229/419876.shtml</v>
      </c>
      <c r="G164" s="2"/>
      <c r="H164" s="2" t="s">
        <v>327</v>
      </c>
      <c r="I164" s="2" t="s">
        <v>15</v>
      </c>
      <c r="J164" s="2" t="s">
        <v>12</v>
      </c>
      <c r="K164" s="2" t="s">
        <v>328</v>
      </c>
      <c r="L164" s="2">
        <f t="shared" si="2"/>
        <v>150</v>
      </c>
    </row>
    <row r="165" spans="1:12" ht="25" customHeight="1">
      <c r="A165" s="2" t="s">
        <v>12</v>
      </c>
      <c r="B165" s="2" t="str">
        <f>HYPERLINK("http://m.12365auto.com/parts/20200229/419876.shtml","续航表现出色 麦格纳展示新电驱动系统")</f>
        <v>续航表现出色 麦格纳展示新电驱动系统</v>
      </c>
      <c r="C165" s="2" t="s">
        <v>13</v>
      </c>
      <c r="D165" s="2" t="s">
        <v>12</v>
      </c>
      <c r="E165" s="2"/>
      <c r="F165" s="2" t="str">
        <f>HYPERLINK("http://m.12365auto.com/parts/20200229/419876.shtml","http://m.12365auto.com/parts/20200229/419876.shtml")</f>
        <v>http://m.12365auto.com/parts/20200229/419876.shtml</v>
      </c>
      <c r="G165" s="2"/>
      <c r="H165" s="2" t="s">
        <v>329</v>
      </c>
      <c r="I165" s="2" t="s">
        <v>19</v>
      </c>
      <c r="J165" s="2" t="s">
        <v>330</v>
      </c>
      <c r="K165" s="2" t="s">
        <v>328</v>
      </c>
      <c r="L165" s="2">
        <f t="shared" si="2"/>
        <v>150</v>
      </c>
    </row>
    <row r="166" spans="1:12" ht="25" customHeight="1">
      <c r="A166" s="2" t="s">
        <v>12</v>
      </c>
      <c r="B166" s="2" t="str">
        <f>HYPERLINK("http://m.12365auto.com/xcdg/20200229/419875.shtml","雪铁龙将推出量产版纯电动微型车ami")</f>
        <v>雪铁龙将推出量产版纯电动微型车ami</v>
      </c>
      <c r="C166" s="2" t="s">
        <v>13</v>
      </c>
      <c r="D166" s="2" t="s">
        <v>12</v>
      </c>
      <c r="E166" s="2"/>
      <c r="F166" s="2" t="str">
        <f>HYPERLINK("http://m.12365auto.com/xcdg/20200229/419875.shtml","http://m.12365auto.com/xcdg/20200229/419875.shtml")</f>
        <v>http://m.12365auto.com/xcdg/20200229/419875.shtml</v>
      </c>
      <c r="G166" s="2"/>
      <c r="H166" s="2" t="s">
        <v>331</v>
      </c>
      <c r="I166" s="2" t="s">
        <v>19</v>
      </c>
      <c r="J166" s="2" t="s">
        <v>332</v>
      </c>
      <c r="K166" s="2" t="s">
        <v>333</v>
      </c>
      <c r="L166" s="2">
        <f t="shared" si="2"/>
        <v>150</v>
      </c>
    </row>
    <row r="167" spans="1:12" ht="25" customHeight="1">
      <c r="A167" s="2" t="s">
        <v>12</v>
      </c>
      <c r="B167" s="2" t="str">
        <f>HYPERLINK("http://www.12365auto.com/xcdg/20200229/419875.shtml","雪铁龙将推出量产版纯电动微型车ami")</f>
        <v>雪铁龙将推出量产版纯电动微型车ami</v>
      </c>
      <c r="C167" s="2" t="s">
        <v>13</v>
      </c>
      <c r="D167" s="2" t="s">
        <v>12</v>
      </c>
      <c r="E167" s="2" t="s">
        <v>216</v>
      </c>
      <c r="F167" s="2" t="str">
        <f>HYPERLINK("http://www.12365auto.com/xcdg/20200229/419875.shtml","http://www.12365auto.com/xcdg/20200229/419875.shtml")</f>
        <v>http://www.12365auto.com/xcdg/20200229/419875.shtml</v>
      </c>
      <c r="G167" s="2"/>
      <c r="H167" s="2" t="s">
        <v>334</v>
      </c>
      <c r="I167" s="2" t="s">
        <v>15</v>
      </c>
      <c r="J167" s="2" t="s">
        <v>12</v>
      </c>
      <c r="K167" s="2" t="s">
        <v>333</v>
      </c>
      <c r="L167" s="2">
        <f t="shared" si="2"/>
        <v>150</v>
      </c>
    </row>
    <row r="168" spans="1:12" ht="25" customHeight="1">
      <c r="A168" s="2" t="s">
        <v>12</v>
      </c>
      <c r="B168" s="2" t="str">
        <f>HYPERLINK("http://www.12365auto.com/zlts/20200229/449329.shtml","一汽丰田RAV4荣放电瓶亏电存在质量问题")</f>
        <v>一汽丰田RAV4荣放电瓶亏电存在质量问题</v>
      </c>
      <c r="C168" s="2" t="s">
        <v>13</v>
      </c>
      <c r="D168" s="2" t="s">
        <v>12</v>
      </c>
      <c r="E168" s="2" t="s">
        <v>17</v>
      </c>
      <c r="F168" s="2" t="str">
        <f>HYPERLINK("http://www.12365auto.com/zlts/20200229/449329.shtml","http://www.12365auto.com/zlts/20200229/449329.shtml")</f>
        <v>http://www.12365auto.com/zlts/20200229/449329.shtml</v>
      </c>
      <c r="G168" s="2"/>
      <c r="H168" s="2" t="s">
        <v>335</v>
      </c>
      <c r="I168" s="2" t="s">
        <v>15</v>
      </c>
      <c r="J168" s="2" t="s">
        <v>12</v>
      </c>
      <c r="K168" s="2" t="s">
        <v>333</v>
      </c>
      <c r="L168" s="2">
        <f t="shared" si="2"/>
        <v>150</v>
      </c>
    </row>
    <row r="169" spans="1:12" ht="25" customHeight="1">
      <c r="A169" s="2" t="s">
        <v>12</v>
      </c>
      <c r="B169" s="2" t="str">
        <f>HYPERLINK("http://www.12365auto.com/zlts/20200229/449328.shtml","上汽名爵6起步时离合器异响希望厂家处理")</f>
        <v>上汽名爵6起步时离合器异响希望厂家处理</v>
      </c>
      <c r="C169" s="2" t="s">
        <v>13</v>
      </c>
      <c r="D169" s="2" t="s">
        <v>12</v>
      </c>
      <c r="E169" s="2" t="s">
        <v>17</v>
      </c>
      <c r="F169" s="2" t="str">
        <f>HYPERLINK("http://www.12365auto.com/zlts/20200229/449328.shtml","http://www.12365auto.com/zlts/20200229/449328.shtml")</f>
        <v>http://www.12365auto.com/zlts/20200229/449328.shtml</v>
      </c>
      <c r="G169" s="2"/>
      <c r="H169" s="2" t="s">
        <v>336</v>
      </c>
      <c r="I169" s="2" t="s">
        <v>15</v>
      </c>
      <c r="J169" s="2" t="s">
        <v>12</v>
      </c>
      <c r="K169" s="2" t="s">
        <v>333</v>
      </c>
      <c r="L169" s="2">
        <f t="shared" si="2"/>
        <v>150</v>
      </c>
    </row>
    <row r="170" spans="1:12" ht="25" customHeight="1">
      <c r="A170" s="2" t="s">
        <v>12</v>
      </c>
      <c r="B170" s="2" t="str">
        <f>HYPERLINK("http://m.12365auto.com/xcdg/20200229/419874.shtml","推7款电动化车型 雪铁龙新车计划曝光")</f>
        <v>推7款电动化车型 雪铁龙新车计划曝光</v>
      </c>
      <c r="C170" s="2" t="s">
        <v>13</v>
      </c>
      <c r="D170" s="2" t="s">
        <v>12</v>
      </c>
      <c r="E170" s="2"/>
      <c r="F170" s="2" t="str">
        <f>HYPERLINK("http://m.12365auto.com/xcdg/20200229/419874.shtml","http://m.12365auto.com/xcdg/20200229/419874.shtml")</f>
        <v>http://m.12365auto.com/xcdg/20200229/419874.shtml</v>
      </c>
      <c r="G170" s="2"/>
      <c r="H170" s="2" t="s">
        <v>337</v>
      </c>
      <c r="I170" s="2" t="s">
        <v>19</v>
      </c>
      <c r="J170" s="2" t="s">
        <v>338</v>
      </c>
      <c r="K170" s="2" t="s">
        <v>339</v>
      </c>
      <c r="L170" s="2">
        <f t="shared" si="2"/>
        <v>150</v>
      </c>
    </row>
    <row r="171" spans="1:12" ht="25" customHeight="1">
      <c r="A171" s="2" t="s">
        <v>12</v>
      </c>
      <c r="B171" s="2" t="str">
        <f>HYPERLINK("http://www.12365auto.com/xcdg/20200229/419874.shtml","推7款电动化车型 雪铁龙新车计划曝光")</f>
        <v>推7款电动化车型 雪铁龙新车计划曝光</v>
      </c>
      <c r="C171" s="2" t="s">
        <v>13</v>
      </c>
      <c r="D171" s="2" t="s">
        <v>12</v>
      </c>
      <c r="E171" s="2" t="s">
        <v>216</v>
      </c>
      <c r="F171" s="2" t="str">
        <f>HYPERLINK("http://www.12365auto.com/xcdg/20200229/419874.shtml","http://www.12365auto.com/xcdg/20200229/419874.shtml")</f>
        <v>http://www.12365auto.com/xcdg/20200229/419874.shtml</v>
      </c>
      <c r="G171" s="2"/>
      <c r="H171" s="2" t="s">
        <v>340</v>
      </c>
      <c r="I171" s="2" t="s">
        <v>15</v>
      </c>
      <c r="J171" s="2" t="s">
        <v>12</v>
      </c>
      <c r="K171" s="2" t="s">
        <v>339</v>
      </c>
      <c r="L171" s="2">
        <f t="shared" si="2"/>
        <v>150</v>
      </c>
    </row>
    <row r="172" spans="1:12" ht="25" customHeight="1">
      <c r="A172" s="2" t="s">
        <v>12</v>
      </c>
      <c r="B172" s="2" t="str">
        <f>HYPERLINK("http://www.12365auto.com/zlts/20200229/449326.shtml","上汽大众帕萨特雨刮器故障希望厂家处理")</f>
        <v>上汽大众帕萨特雨刮器故障希望厂家处理</v>
      </c>
      <c r="C172" s="2" t="s">
        <v>13</v>
      </c>
      <c r="D172" s="2" t="s">
        <v>12</v>
      </c>
      <c r="E172" s="2" t="s">
        <v>17</v>
      </c>
      <c r="F172" s="2" t="str">
        <f>HYPERLINK("http://www.12365auto.com/zlts/20200229/449326.shtml","http://www.12365auto.com/zlts/20200229/449326.shtml")</f>
        <v>http://www.12365auto.com/zlts/20200229/449326.shtml</v>
      </c>
      <c r="G172" s="2"/>
      <c r="H172" s="2" t="s">
        <v>341</v>
      </c>
      <c r="I172" s="2" t="s">
        <v>19</v>
      </c>
      <c r="J172" s="2" t="s">
        <v>12</v>
      </c>
      <c r="K172" s="2" t="s">
        <v>342</v>
      </c>
      <c r="L172" s="2">
        <f t="shared" si="2"/>
        <v>150</v>
      </c>
    </row>
    <row r="173" spans="1:12" ht="25" customHeight="1">
      <c r="A173" s="2" t="s">
        <v>12</v>
      </c>
      <c r="B173" s="2" t="str">
        <f>HYPERLINK("http://www.12365auto.com/zlts/20200229/449325.shtml","吉利帝豪玲珑轮胎鼓包4S店损坏轮毂")</f>
        <v>吉利帝豪玲珑轮胎鼓包4S店损坏轮毂</v>
      </c>
      <c r="C173" s="2" t="s">
        <v>13</v>
      </c>
      <c r="D173" s="2" t="s">
        <v>12</v>
      </c>
      <c r="E173" s="2" t="s">
        <v>17</v>
      </c>
      <c r="F173" s="2" t="str">
        <f>HYPERLINK("http://www.12365auto.com/zlts/20200229/449325.shtml","http://www.12365auto.com/zlts/20200229/449325.shtml")</f>
        <v>http://www.12365auto.com/zlts/20200229/449325.shtml</v>
      </c>
      <c r="G173" s="2"/>
      <c r="H173" s="2" t="s">
        <v>343</v>
      </c>
      <c r="I173" s="2" t="s">
        <v>15</v>
      </c>
      <c r="J173" s="2" t="s">
        <v>12</v>
      </c>
      <c r="K173" s="2" t="s">
        <v>344</v>
      </c>
      <c r="L173" s="2">
        <f t="shared" si="2"/>
        <v>150</v>
      </c>
    </row>
    <row r="174" spans="1:12" ht="25" customHeight="1">
      <c r="A174" s="2" t="s">
        <v>12</v>
      </c>
      <c r="B174" s="2" t="str">
        <f>HYPERLINK("http://www.12365auto.com/zlts/20200229/449323.shtml","中华V3车内异响电瓶亏电希望厂家处理")</f>
        <v>中华V3车内异响电瓶亏电希望厂家处理</v>
      </c>
      <c r="C174" s="2" t="s">
        <v>13</v>
      </c>
      <c r="D174" s="2" t="s">
        <v>12</v>
      </c>
      <c r="E174" s="2" t="s">
        <v>17</v>
      </c>
      <c r="F174" s="2" t="str">
        <f>HYPERLINK("http://www.12365auto.com/zlts/20200229/449323.shtml","http://www.12365auto.com/zlts/20200229/449323.shtml")</f>
        <v>http://www.12365auto.com/zlts/20200229/449323.shtml</v>
      </c>
      <c r="G174" s="2"/>
      <c r="H174" s="2" t="s">
        <v>345</v>
      </c>
      <c r="I174" s="2" t="s">
        <v>19</v>
      </c>
      <c r="J174" s="2" t="s">
        <v>12</v>
      </c>
      <c r="K174" s="2" t="s">
        <v>346</v>
      </c>
      <c r="L174" s="2">
        <f t="shared" si="2"/>
        <v>150</v>
      </c>
    </row>
    <row r="175" spans="1:12" ht="25" customHeight="1">
      <c r="A175" s="2" t="s">
        <v>12</v>
      </c>
      <c r="B175" s="2" t="str">
        <f>HYPERLINK("http://m.12365auto.com/zjdy/20200228/121751.shtml","三菱奕歌和长安CS75 PLUS哪款车值得买？")</f>
        <v>三菱奕歌和长安CS75 PLUS哪款车值得买？</v>
      </c>
      <c r="C175" s="2" t="s">
        <v>13</v>
      </c>
      <c r="D175" s="2" t="s">
        <v>12</v>
      </c>
      <c r="E175" s="2"/>
      <c r="F175" s="2" t="str">
        <f>HYPERLINK("http://m.12365auto.com/zjdy/20200228/121751.shtml","http://m.12365auto.com/zjdy/20200228/121751.shtml")</f>
        <v>http://m.12365auto.com/zjdy/20200228/121751.shtml</v>
      </c>
      <c r="G175" s="2"/>
      <c r="H175" s="2" t="s">
        <v>347</v>
      </c>
      <c r="I175" s="2" t="s">
        <v>19</v>
      </c>
      <c r="J175" s="2" t="s">
        <v>12</v>
      </c>
      <c r="K175" s="2" t="s">
        <v>348</v>
      </c>
      <c r="L175" s="2">
        <f t="shared" si="2"/>
        <v>39</v>
      </c>
    </row>
    <row r="176" spans="1:12" ht="25" customHeight="1">
      <c r="A176" s="2" t="s">
        <v>12</v>
      </c>
      <c r="B176" s="2" t="str">
        <f>HYPERLINK("http://m.12365auto.com/zjdy/20200229/121761.shtml","红旗H5和轩逸以及雷凌质量怎么样？")</f>
        <v>红旗H5和轩逸以及雷凌质量怎么样？</v>
      </c>
      <c r="C176" s="2" t="s">
        <v>13</v>
      </c>
      <c r="D176" s="2" t="s">
        <v>12</v>
      </c>
      <c r="E176" s="2"/>
      <c r="F176" s="2" t="str">
        <f>HYPERLINK("http://m.12365auto.com/zjdy/20200229/121761.shtml","http://m.12365auto.com/zjdy/20200229/121761.shtml")</f>
        <v>http://m.12365auto.com/zjdy/20200229/121761.shtml</v>
      </c>
      <c r="G176" s="2"/>
      <c r="H176" s="2" t="s">
        <v>349</v>
      </c>
      <c r="I176" s="2" t="s">
        <v>19</v>
      </c>
      <c r="J176" s="2" t="s">
        <v>12</v>
      </c>
      <c r="K176" s="2" t="s">
        <v>350</v>
      </c>
      <c r="L176" s="2">
        <f t="shared" si="2"/>
        <v>23</v>
      </c>
    </row>
    <row r="177" spans="1:12" ht="25" customHeight="1">
      <c r="A177" s="2" t="s">
        <v>12</v>
      </c>
      <c r="B177" s="2" t="str">
        <f>HYPERLINK("http://m.12365auto.com/zjdy/20200229/121759.shtml","比亚迪S7行驶中加油无力应该怎么办？")</f>
        <v>比亚迪S7行驶中加油无力应该怎么办？</v>
      </c>
      <c r="C177" s="2" t="s">
        <v>13</v>
      </c>
      <c r="D177" s="2" t="s">
        <v>12</v>
      </c>
      <c r="E177" s="2"/>
      <c r="F177" s="2" t="str">
        <f>HYPERLINK("http://m.12365auto.com/zjdy/20200229/121759.shtml","http://m.12365auto.com/zjdy/20200229/121759.shtml")</f>
        <v>http://m.12365auto.com/zjdy/20200229/121759.shtml</v>
      </c>
      <c r="G177" s="2"/>
      <c r="H177" s="2" t="s">
        <v>351</v>
      </c>
      <c r="I177" s="2" t="s">
        <v>19</v>
      </c>
      <c r="J177" s="2" t="s">
        <v>12</v>
      </c>
      <c r="K177" s="2" t="s">
        <v>352</v>
      </c>
      <c r="L177" s="2">
        <f t="shared" si="2"/>
        <v>79</v>
      </c>
    </row>
    <row r="178" spans="1:12" ht="25" customHeight="1">
      <c r="A178" s="2" t="s">
        <v>12</v>
      </c>
      <c r="B178" s="2" t="str">
        <f>HYPERLINK("http://m.12365auto.com/zjdy/20200229/121760.shtml","车辆出现发动机无法启动是什么原因？")</f>
        <v>车辆出现发动机无法启动是什么原因？</v>
      </c>
      <c r="C178" s="2" t="s">
        <v>13</v>
      </c>
      <c r="D178" s="2" t="s">
        <v>12</v>
      </c>
      <c r="E178" s="2"/>
      <c r="F178" s="2" t="str">
        <f>HYPERLINK("http://m.12365auto.com/zjdy/20200229/121760.shtml","http://m.12365auto.com/zjdy/20200229/121760.shtml")</f>
        <v>http://m.12365auto.com/zjdy/20200229/121760.shtml</v>
      </c>
      <c r="G178" s="2"/>
      <c r="H178" s="2" t="s">
        <v>353</v>
      </c>
      <c r="I178" s="2" t="s">
        <v>19</v>
      </c>
      <c r="J178" s="2" t="s">
        <v>12</v>
      </c>
      <c r="K178" s="2" t="s">
        <v>354</v>
      </c>
      <c r="L178" s="2">
        <f t="shared" si="2"/>
        <v>142</v>
      </c>
    </row>
    <row r="179" spans="1:12" ht="25" customHeight="1">
      <c r="A179" s="2" t="s">
        <v>12</v>
      </c>
      <c r="B179" s="2" t="str">
        <f>HYPERLINK("http://m.12365auto.com/zjdy/20200229/121757.shtml","大众桑塔纳打方向沉重是什么原因？")</f>
        <v>大众桑塔纳打方向沉重是什么原因？</v>
      </c>
      <c r="C179" s="2" t="s">
        <v>13</v>
      </c>
      <c r="D179" s="2" t="s">
        <v>12</v>
      </c>
      <c r="E179" s="2"/>
      <c r="F179" s="2" t="str">
        <f>HYPERLINK("http://m.12365auto.com/zjdy/20200229/121757.shtml","http://m.12365auto.com/zjdy/20200229/121757.shtml")</f>
        <v>http://m.12365auto.com/zjdy/20200229/121757.shtml</v>
      </c>
      <c r="G179" s="2"/>
      <c r="H179" s="2" t="s">
        <v>355</v>
      </c>
      <c r="I179" s="2" t="s">
        <v>19</v>
      </c>
      <c r="J179" s="2" t="s">
        <v>12</v>
      </c>
      <c r="K179" s="2" t="s">
        <v>356</v>
      </c>
      <c r="L179" s="2">
        <f t="shared" si="2"/>
        <v>36</v>
      </c>
    </row>
    <row r="180" spans="1:12" ht="25" customHeight="1">
      <c r="A180" s="2" t="s">
        <v>12</v>
      </c>
      <c r="B180" s="2" t="str">
        <f>HYPERLINK("http://m.12365auto.com/zjdy/20200229/121758.shtml","通过汽修店保养导致发动机损坏怎么办？")</f>
        <v>通过汽修店保养导致发动机损坏怎么办？</v>
      </c>
      <c r="C180" s="2" t="s">
        <v>13</v>
      </c>
      <c r="D180" s="2" t="s">
        <v>12</v>
      </c>
      <c r="E180" s="2"/>
      <c r="F180" s="2" t="str">
        <f>HYPERLINK("http://m.12365auto.com/zjdy/20200229/121758.shtml","http://m.12365auto.com/zjdy/20200229/121758.shtml")</f>
        <v>http://m.12365auto.com/zjdy/20200229/121758.shtml</v>
      </c>
      <c r="G180" s="2"/>
      <c r="H180" s="2" t="s">
        <v>357</v>
      </c>
      <c r="I180" s="2" t="s">
        <v>19</v>
      </c>
      <c r="J180" s="2" t="s">
        <v>12</v>
      </c>
      <c r="K180" s="2" t="s">
        <v>358</v>
      </c>
      <c r="L180" s="2">
        <f t="shared" si="2"/>
        <v>54</v>
      </c>
    </row>
    <row r="181" spans="1:12" ht="25" customHeight="1">
      <c r="A181" s="2" t="s">
        <v>12</v>
      </c>
      <c r="B181" s="2" t="str">
        <f>HYPERLINK("http://m.12365auto.com/zjdy/20200228/121755.shtml","别克凯越冷车踩离合有异响是什么原因？")</f>
        <v>别克凯越冷车踩离合有异响是什么原因？</v>
      </c>
      <c r="C181" s="2" t="s">
        <v>13</v>
      </c>
      <c r="D181" s="2" t="s">
        <v>12</v>
      </c>
      <c r="E181" s="2"/>
      <c r="F181" s="2" t="str">
        <f>HYPERLINK("http://m.12365auto.com/zjdy/20200228/121755.shtml","http://m.12365auto.com/zjdy/20200228/121755.shtml")</f>
        <v>http://m.12365auto.com/zjdy/20200228/121755.shtml</v>
      </c>
      <c r="G181" s="2"/>
      <c r="H181" s="2" t="s">
        <v>359</v>
      </c>
      <c r="I181" s="2" t="s">
        <v>19</v>
      </c>
      <c r="J181" s="2" t="s">
        <v>12</v>
      </c>
      <c r="K181" s="2" t="s">
        <v>360</v>
      </c>
      <c r="L181" s="2">
        <f t="shared" si="2"/>
        <v>67</v>
      </c>
    </row>
    <row r="182" spans="1:12" ht="25" customHeight="1">
      <c r="A182" s="2" t="s">
        <v>12</v>
      </c>
      <c r="B182" s="2" t="str">
        <f>HYPERLINK("http://m.12365auto.com/zjdy/20200228/121754.shtml","吉利远景变速箱油尺会在什么位置？")</f>
        <v>吉利远景变速箱油尺会在什么位置？</v>
      </c>
      <c r="C182" s="2" t="s">
        <v>13</v>
      </c>
      <c r="D182" s="2" t="s">
        <v>12</v>
      </c>
      <c r="E182" s="2"/>
      <c r="F182" s="2" t="str">
        <f>HYPERLINK("http://m.12365auto.com/zjdy/20200228/121754.shtml","http://m.12365auto.com/zjdy/20200228/121754.shtml")</f>
        <v>http://m.12365auto.com/zjdy/20200228/121754.shtml</v>
      </c>
      <c r="G182" s="2"/>
      <c r="H182" s="2" t="s">
        <v>361</v>
      </c>
      <c r="I182" s="2" t="s">
        <v>19</v>
      </c>
      <c r="J182" s="2" t="s">
        <v>12</v>
      </c>
      <c r="K182" s="2" t="s">
        <v>360</v>
      </c>
      <c r="L182" s="2">
        <f t="shared" si="2"/>
        <v>21</v>
      </c>
    </row>
    <row r="183" spans="1:12" ht="25" customHeight="1">
      <c r="A183" s="2" t="s">
        <v>12</v>
      </c>
      <c r="B183" s="2" t="str">
        <f>HYPERLINK("http://www.12365auto.com/zlts/20200229/449320.shtml","车机与宣传的不符，")</f>
        <v>车机与宣传的不符，</v>
      </c>
      <c r="C183" s="2" t="s">
        <v>13</v>
      </c>
      <c r="D183" s="2" t="s">
        <v>12</v>
      </c>
      <c r="E183" s="2"/>
      <c r="F183" s="2" t="str">
        <f>HYPERLINK("http://www.12365auto.com/zlts/20200229/449320.shtml","http://www.12365auto.com/zlts/20200229/449320.shtml")</f>
        <v>http://www.12365auto.com/zlts/20200229/449320.shtml</v>
      </c>
      <c r="G183" s="2"/>
      <c r="H183" s="3" t="s">
        <v>362</v>
      </c>
      <c r="I183" s="2" t="s">
        <v>15</v>
      </c>
      <c r="J183" s="2" t="s">
        <v>12</v>
      </c>
      <c r="K183" s="2" t="s">
        <v>363</v>
      </c>
      <c r="L183" s="2">
        <f t="shared" si="2"/>
        <v>86</v>
      </c>
    </row>
    <row r="184" spans="1:12" ht="25" customHeight="1">
      <c r="A184" s="2" t="s">
        <v>12</v>
      </c>
      <c r="B184" s="2" t="str">
        <f>HYPERLINK("http://m.12365auto.com/zjdy/20200228/121753.shtml","荣威RX5变速箱异响应该怎么处理？")</f>
        <v>荣威RX5变速箱异响应该怎么处理？</v>
      </c>
      <c r="C184" s="2" t="s">
        <v>13</v>
      </c>
      <c r="D184" s="2" t="s">
        <v>12</v>
      </c>
      <c r="E184" s="2"/>
      <c r="F184" s="2" t="str">
        <f>HYPERLINK("http://m.12365auto.com/zjdy/20200228/121753.shtml","http://m.12365auto.com/zjdy/20200228/121753.shtml")</f>
        <v>http://m.12365auto.com/zjdy/20200228/121753.shtml</v>
      </c>
      <c r="G184" s="2"/>
      <c r="H184" s="2" t="s">
        <v>364</v>
      </c>
      <c r="I184" s="2" t="s">
        <v>19</v>
      </c>
      <c r="J184" s="2" t="s">
        <v>12</v>
      </c>
      <c r="K184" s="2" t="s">
        <v>365</v>
      </c>
      <c r="L184" s="2">
        <f t="shared" si="2"/>
        <v>113</v>
      </c>
    </row>
    <row r="185" spans="1:12" ht="25" customHeight="1">
      <c r="A185" s="2" t="s">
        <v>12</v>
      </c>
      <c r="B185" s="2" t="str">
        <f>HYPERLINK("http://www.12365auto.com/xcdg/20200229/419871.shtml","性能更出众 实力更均衡 奥迪RS Q3新车图解")</f>
        <v>性能更出众 实力更均衡 奥迪RS Q3新车图解</v>
      </c>
      <c r="C185" s="2" t="s">
        <v>13</v>
      </c>
      <c r="D185" s="2" t="s">
        <v>12</v>
      </c>
      <c r="E185" s="2" t="s">
        <v>245</v>
      </c>
      <c r="F185" s="2" t="str">
        <f>HYPERLINK("http://www.12365auto.com/xcdg/20200229/419871.shtml","http://www.12365auto.com/xcdg/20200229/419871.shtml")</f>
        <v>http://www.12365auto.com/xcdg/20200229/419871.shtml</v>
      </c>
      <c r="G185" s="2"/>
      <c r="H185" s="2" t="s">
        <v>366</v>
      </c>
      <c r="I185" s="2" t="s">
        <v>19</v>
      </c>
      <c r="J185" s="2" t="s">
        <v>12</v>
      </c>
      <c r="K185" s="2" t="s">
        <v>367</v>
      </c>
      <c r="L185" s="2">
        <f t="shared" si="2"/>
        <v>150</v>
      </c>
    </row>
    <row r="186" spans="1:12" ht="25" customHeight="1">
      <c r="A186" s="2" t="s">
        <v>12</v>
      </c>
      <c r="B186" s="2" t="str">
        <f>HYPERLINK("http://www.12365auto.com/news/20200229/419873.shtml","后疫情时代 “健康汽车”或成汽车行业新风口")</f>
        <v>后疫情时代 “健康汽车”或成汽车行业新风口</v>
      </c>
      <c r="C186" s="2" t="s">
        <v>13</v>
      </c>
      <c r="D186" s="2" t="s">
        <v>12</v>
      </c>
      <c r="E186" s="2" t="s">
        <v>282</v>
      </c>
      <c r="F186" s="2" t="str">
        <f>HYPERLINK("http://www.12365auto.com/news/20200229/419873.shtml","http://www.12365auto.com/news/20200229/419873.shtml")</f>
        <v>http://www.12365auto.com/news/20200229/419873.shtml</v>
      </c>
      <c r="G186" s="2"/>
      <c r="H186" s="2" t="s">
        <v>98</v>
      </c>
      <c r="I186" s="2" t="s">
        <v>19</v>
      </c>
      <c r="J186" s="2" t="s">
        <v>12</v>
      </c>
      <c r="K186" s="2" t="s">
        <v>367</v>
      </c>
      <c r="L186" s="2">
        <f t="shared" si="2"/>
        <v>150</v>
      </c>
    </row>
    <row r="187" spans="1:12" ht="25" customHeight="1">
      <c r="A187" s="2" t="s">
        <v>12</v>
      </c>
      <c r="B187" s="2" t="str">
        <f>HYPERLINK("http://m.12365auto.com/news/20200229/419873.shtml","后疫情时代 “健康汽车”或成汽车行业新风口")</f>
        <v>后疫情时代 “健康汽车”或成汽车行业新风口</v>
      </c>
      <c r="C187" s="2" t="s">
        <v>13</v>
      </c>
      <c r="D187" s="2" t="s">
        <v>12</v>
      </c>
      <c r="E187" s="2"/>
      <c r="F187" s="2" t="str">
        <f>HYPERLINK("http://m.12365auto.com/news/20200229/419873.shtml","http://m.12365auto.com/news/20200229/419873.shtml")</f>
        <v>http://m.12365auto.com/news/20200229/419873.shtml</v>
      </c>
      <c r="G187" s="2"/>
      <c r="H187" s="2" t="s">
        <v>100</v>
      </c>
      <c r="I187" s="2" t="s">
        <v>19</v>
      </c>
      <c r="J187" s="2" t="s">
        <v>101</v>
      </c>
      <c r="K187" s="2" t="s">
        <v>367</v>
      </c>
      <c r="L187" s="2">
        <f t="shared" si="2"/>
        <v>150</v>
      </c>
    </row>
    <row r="188" spans="1:12" ht="25" customHeight="1">
      <c r="A188" s="2" t="s">
        <v>12</v>
      </c>
      <c r="B188" s="2" t="str">
        <f>HYPERLINK("http://m.12365auto.com/news/20200229/419872.shtml","见证科技发展 盘点汽车上逐渐消失的配置")</f>
        <v>见证科技发展 盘点汽车上逐渐消失的配置</v>
      </c>
      <c r="C188" s="2" t="s">
        <v>13</v>
      </c>
      <c r="D188" s="2" t="s">
        <v>12</v>
      </c>
      <c r="E188" s="2"/>
      <c r="F188" s="2" t="str">
        <f>HYPERLINK("http://m.12365auto.com/news/20200229/419872.shtml","http://m.12365auto.com/news/20200229/419872.shtml")</f>
        <v>http://m.12365auto.com/news/20200229/419872.shtml</v>
      </c>
      <c r="G188" s="2"/>
      <c r="H188" s="2" t="s">
        <v>368</v>
      </c>
      <c r="I188" s="2" t="s">
        <v>19</v>
      </c>
      <c r="J188" s="2" t="s">
        <v>369</v>
      </c>
      <c r="K188" s="2" t="s">
        <v>367</v>
      </c>
      <c r="L188" s="2">
        <f t="shared" si="2"/>
        <v>150</v>
      </c>
    </row>
    <row r="189" spans="1:12" ht="25" customHeight="1">
      <c r="A189" s="2" t="s">
        <v>12</v>
      </c>
      <c r="B189" s="2" t="str">
        <f>HYPERLINK("http://m.12365auto.com/xcdg/20200229/419871.shtml","性能更出众 实力更均衡 奥迪RS Q3新车图解")</f>
        <v>性能更出众 实力更均衡 奥迪RS Q3新车图解</v>
      </c>
      <c r="C189" s="2" t="s">
        <v>13</v>
      </c>
      <c r="D189" s="2" t="s">
        <v>12</v>
      </c>
      <c r="E189" s="2"/>
      <c r="F189" s="2" t="str">
        <f>HYPERLINK("http://m.12365auto.com/xcdg/20200229/419871.shtml","http://m.12365auto.com/xcdg/20200229/419871.shtml")</f>
        <v>http://m.12365auto.com/xcdg/20200229/419871.shtml</v>
      </c>
      <c r="G189" s="2"/>
      <c r="H189" s="2" t="s">
        <v>370</v>
      </c>
      <c r="I189" s="2" t="s">
        <v>19</v>
      </c>
      <c r="J189" s="2" t="s">
        <v>371</v>
      </c>
      <c r="K189" s="2" t="s">
        <v>367</v>
      </c>
      <c r="L189" s="2">
        <f t="shared" si="2"/>
        <v>150</v>
      </c>
    </row>
    <row r="190" spans="1:12" ht="25" customHeight="1">
      <c r="A190" s="2" t="s">
        <v>12</v>
      </c>
      <c r="B190" s="2" t="str">
        <f>HYPERLINK("http://www.12365auto.com/news/20200229/419872.shtml","见证科技发展 盘点汽车上逐渐消失的配置")</f>
        <v>见证科技发展 盘点汽车上逐渐消失的配置</v>
      </c>
      <c r="C190" s="2" t="s">
        <v>13</v>
      </c>
      <c r="D190" s="2" t="s">
        <v>12</v>
      </c>
      <c r="E190" s="2" t="s">
        <v>372</v>
      </c>
      <c r="F190" s="2" t="str">
        <f>HYPERLINK("http://www.12365auto.com/news/20200229/419872.shtml","http://www.12365auto.com/news/20200229/419872.shtml")</f>
        <v>http://www.12365auto.com/news/20200229/419872.shtml</v>
      </c>
      <c r="G190" s="2"/>
      <c r="H190" s="2" t="s">
        <v>373</v>
      </c>
      <c r="I190" s="2" t="s">
        <v>15</v>
      </c>
      <c r="J190" s="2" t="s">
        <v>12</v>
      </c>
      <c r="K190" s="2" t="s">
        <v>367</v>
      </c>
      <c r="L190" s="2">
        <f t="shared" si="2"/>
        <v>150</v>
      </c>
    </row>
    <row r="191" spans="1:12" ht="25" customHeight="1">
      <c r="A191" s="2" t="s">
        <v>12</v>
      </c>
      <c r="B191" s="2" t="str">
        <f>HYPERLINK("http://m.12365auto.com/zjdy/20200228/121752.shtml","雨天时刹车踏板震动是什么原因该怎么办？")</f>
        <v>雨天时刹车踏板震动是什么原因该怎么办？</v>
      </c>
      <c r="C191" s="2" t="s">
        <v>13</v>
      </c>
      <c r="D191" s="2" t="s">
        <v>12</v>
      </c>
      <c r="E191" s="2"/>
      <c r="F191" s="2" t="str">
        <f>HYPERLINK("http://m.12365auto.com/zjdy/20200228/121752.shtml","http://m.12365auto.com/zjdy/20200228/121752.shtml")</f>
        <v>http://m.12365auto.com/zjdy/20200228/121752.shtml</v>
      </c>
      <c r="G191" s="2"/>
      <c r="H191" s="2" t="s">
        <v>374</v>
      </c>
      <c r="I191" s="2" t="s">
        <v>19</v>
      </c>
      <c r="J191" s="2" t="s">
        <v>12</v>
      </c>
      <c r="K191" s="2" t="s">
        <v>375</v>
      </c>
      <c r="L191" s="2">
        <f t="shared" si="2"/>
        <v>29</v>
      </c>
    </row>
    <row r="192" spans="1:12" ht="25" customHeight="1">
      <c r="A192" s="2" t="s">
        <v>12</v>
      </c>
      <c r="B192" s="2" t="str">
        <f>HYPERLINK("http://www.12365auto.com/zlts/20200229/449322.shtml","广汽本田雅阁加速发动机异响倒车影像黑屏")</f>
        <v>广汽本田雅阁加速发动机异响倒车影像黑屏</v>
      </c>
      <c r="C192" s="2" t="s">
        <v>13</v>
      </c>
      <c r="D192" s="2" t="s">
        <v>12</v>
      </c>
      <c r="E192" s="2" t="s">
        <v>17</v>
      </c>
      <c r="F192" s="2" t="str">
        <f>HYPERLINK("http://www.12365auto.com/zlts/20200229/449322.shtml","http://www.12365auto.com/zlts/20200229/449322.shtml")</f>
        <v>http://www.12365auto.com/zlts/20200229/449322.shtml</v>
      </c>
      <c r="G192" s="2"/>
      <c r="H192" s="2" t="s">
        <v>376</v>
      </c>
      <c r="I192" s="2" t="s">
        <v>15</v>
      </c>
      <c r="J192" s="2" t="s">
        <v>12</v>
      </c>
      <c r="K192" s="2" t="s">
        <v>377</v>
      </c>
      <c r="L192" s="2">
        <f t="shared" si="2"/>
        <v>150</v>
      </c>
    </row>
    <row r="193" spans="1:12" ht="25" customHeight="1">
      <c r="A193" s="2" t="s">
        <v>12</v>
      </c>
      <c r="B193" s="2" t="str">
        <f>HYPERLINK("http://www.12365auto.com/zlts/20200229/449319.shtml","车辆中控屏出现半闪屏现像且显示屏亮度比较暗")</f>
        <v>车辆中控屏出现半闪屏现像且显示屏亮度比较暗</v>
      </c>
      <c r="C193" s="2" t="s">
        <v>13</v>
      </c>
      <c r="D193" s="2" t="s">
        <v>12</v>
      </c>
      <c r="E193" s="2"/>
      <c r="F193" s="2" t="str">
        <f>HYPERLINK("http://www.12365auto.com/zlts/20200229/449319.shtml","http://www.12365auto.com/zlts/20200229/449319.shtml")</f>
        <v>http://www.12365auto.com/zlts/20200229/449319.shtml</v>
      </c>
      <c r="G193" s="2"/>
      <c r="H193" s="3" t="s">
        <v>378</v>
      </c>
      <c r="I193" s="2" t="s">
        <v>15</v>
      </c>
      <c r="J193" s="2" t="s">
        <v>12</v>
      </c>
      <c r="K193" s="2" t="s">
        <v>379</v>
      </c>
      <c r="L193" s="2">
        <f t="shared" si="2"/>
        <v>107</v>
      </c>
    </row>
    <row r="194" spans="1:12" ht="25" customHeight="1">
      <c r="A194" s="2" t="s">
        <v>12</v>
      </c>
      <c r="B194" s="2" t="str">
        <f>HYPERLINK("http://www.12365auto.com/zlts/20200229/449316.shtml","冷车启动异响")</f>
        <v>冷车启动异响</v>
      </c>
      <c r="C194" s="2" t="s">
        <v>13</v>
      </c>
      <c r="D194" s="2" t="s">
        <v>12</v>
      </c>
      <c r="E194" s="2"/>
      <c r="F194" s="2" t="str">
        <f>HYPERLINK("http://www.12365auto.com/zlts/20200229/449316.shtml","http://www.12365auto.com/zlts/20200229/449316.shtml")</f>
        <v>http://www.12365auto.com/zlts/20200229/449316.shtml</v>
      </c>
      <c r="G194" s="2"/>
      <c r="H194" s="3" t="s">
        <v>380</v>
      </c>
      <c r="I194" s="2" t="s">
        <v>15</v>
      </c>
      <c r="J194" s="2" t="s">
        <v>12</v>
      </c>
      <c r="K194" s="2" t="s">
        <v>381</v>
      </c>
      <c r="L194" s="2">
        <f t="shared" si="2"/>
        <v>203</v>
      </c>
    </row>
    <row r="195" spans="1:12" ht="25" customHeight="1">
      <c r="A195" s="2" t="s">
        <v>12</v>
      </c>
      <c r="B195" s="2" t="str">
        <f>HYPERLINK("http://www.12365auto.com/zlts/20200229/449313.shtml","车有好多小毛病。")</f>
        <v>车有好多小毛病。</v>
      </c>
      <c r="C195" s="2" t="s">
        <v>13</v>
      </c>
      <c r="D195" s="2" t="s">
        <v>12</v>
      </c>
      <c r="E195" s="2"/>
      <c r="F195" s="2" t="str">
        <f>HYPERLINK("http://www.12365auto.com/zlts/20200229/449313.shtml","http://www.12365auto.com/zlts/20200229/449313.shtml")</f>
        <v>http://www.12365auto.com/zlts/20200229/449313.shtml</v>
      </c>
      <c r="G195" s="2"/>
      <c r="H195" s="3" t="s">
        <v>382</v>
      </c>
      <c r="I195" s="2" t="s">
        <v>15</v>
      </c>
      <c r="J195" s="2" t="s">
        <v>12</v>
      </c>
      <c r="K195" s="2" t="s">
        <v>383</v>
      </c>
      <c r="L195" s="2">
        <f t="shared" ref="L195:L258" si="3">LEN(H195)</f>
        <v>94</v>
      </c>
    </row>
    <row r="196" spans="1:12" ht="25" customHeight="1">
      <c r="A196" s="2" t="s">
        <v>12</v>
      </c>
      <c r="B196" s="2" t="str">
        <f>HYPERLINK("http://www.12365auto.com/zlts/20200229/449312.shtml","北京现代途胜升级后动力弱发动机噪音大")</f>
        <v>北京现代途胜升级后动力弱发动机噪音大</v>
      </c>
      <c r="C196" s="2" t="s">
        <v>13</v>
      </c>
      <c r="D196" s="2" t="s">
        <v>12</v>
      </c>
      <c r="E196" s="2" t="s">
        <v>17</v>
      </c>
      <c r="F196" s="2" t="str">
        <f>HYPERLINK("http://www.12365auto.com/zlts/20200229/449312.shtml","http://www.12365auto.com/zlts/20200229/449312.shtml")</f>
        <v>http://www.12365auto.com/zlts/20200229/449312.shtml</v>
      </c>
      <c r="G196" s="2"/>
      <c r="H196" s="2" t="s">
        <v>384</v>
      </c>
      <c r="I196" s="2" t="s">
        <v>19</v>
      </c>
      <c r="J196" s="2" t="s">
        <v>12</v>
      </c>
      <c r="K196" s="2" t="s">
        <v>385</v>
      </c>
      <c r="L196" s="2">
        <f t="shared" si="3"/>
        <v>150</v>
      </c>
    </row>
    <row r="197" spans="1:12" ht="25" customHeight="1">
      <c r="A197" s="2" t="s">
        <v>12</v>
      </c>
      <c r="B197" s="2" t="str">
        <f>HYPERLINK("http://www.12365auto.com/zlts/20200228/449308.shtml","车只要停2到3天 就无法启动")</f>
        <v>车只要停2到3天 就无法启动</v>
      </c>
      <c r="C197" s="2" t="s">
        <v>13</v>
      </c>
      <c r="D197" s="2" t="s">
        <v>12</v>
      </c>
      <c r="E197" s="2"/>
      <c r="F197" s="2" t="str">
        <f>HYPERLINK("http://www.12365auto.com/zlts/20200228/449308.shtml","http://www.12365auto.com/zlts/20200228/449308.shtml")</f>
        <v>http://www.12365auto.com/zlts/20200228/449308.shtml</v>
      </c>
      <c r="G197" s="2"/>
      <c r="H197" s="3" t="s">
        <v>386</v>
      </c>
      <c r="I197" s="2" t="s">
        <v>15</v>
      </c>
      <c r="J197" s="2" t="s">
        <v>12</v>
      </c>
      <c r="K197" s="2" t="s">
        <v>387</v>
      </c>
      <c r="L197" s="2">
        <f t="shared" si="3"/>
        <v>88</v>
      </c>
    </row>
    <row r="198" spans="1:12" ht="25" customHeight="1">
      <c r="A198" s="2" t="s">
        <v>12</v>
      </c>
      <c r="B198" s="2" t="str">
        <f>HYPERLINK("http://www.12365auto.com/zlts/20200228/449307.shtml","上汽大众途观转向沉转向异响4S店不解决")</f>
        <v>上汽大众途观转向沉转向异响4S店不解决</v>
      </c>
      <c r="C198" s="2" t="s">
        <v>13</v>
      </c>
      <c r="D198" s="2" t="s">
        <v>12</v>
      </c>
      <c r="E198" s="2" t="s">
        <v>17</v>
      </c>
      <c r="F198" s="2" t="str">
        <f>HYPERLINK("http://www.12365auto.com/zlts/20200228/449307.shtml","http://www.12365auto.com/zlts/20200228/449307.shtml")</f>
        <v>http://www.12365auto.com/zlts/20200228/449307.shtml</v>
      </c>
      <c r="G198" s="2"/>
      <c r="H198" s="2" t="s">
        <v>388</v>
      </c>
      <c r="I198" s="2" t="s">
        <v>19</v>
      </c>
      <c r="J198" s="2" t="s">
        <v>12</v>
      </c>
      <c r="K198" s="2" t="s">
        <v>389</v>
      </c>
      <c r="L198" s="2">
        <f t="shared" si="3"/>
        <v>150</v>
      </c>
    </row>
    <row r="199" spans="1:12" ht="25" customHeight="1">
      <c r="A199" s="2" t="s">
        <v>12</v>
      </c>
      <c r="B199" s="2" t="str">
        <f>HYPERLINK("http://www.12365auto.com/zlts/20200228/449306.shtml","上汽荣威550车身应急灯故障希望厂家处理")</f>
        <v>上汽荣威550车身应急灯故障希望厂家处理</v>
      </c>
      <c r="C199" s="2" t="s">
        <v>13</v>
      </c>
      <c r="D199" s="2" t="s">
        <v>12</v>
      </c>
      <c r="E199" s="2" t="s">
        <v>17</v>
      </c>
      <c r="F199" s="2" t="str">
        <f>HYPERLINK("http://www.12365auto.com/zlts/20200228/449306.shtml","http://www.12365auto.com/zlts/20200228/449306.shtml")</f>
        <v>http://www.12365auto.com/zlts/20200228/449306.shtml</v>
      </c>
      <c r="G199" s="2"/>
      <c r="H199" s="2" t="s">
        <v>390</v>
      </c>
      <c r="I199" s="2" t="s">
        <v>19</v>
      </c>
      <c r="J199" s="2" t="s">
        <v>12</v>
      </c>
      <c r="K199" s="2" t="s">
        <v>391</v>
      </c>
      <c r="L199" s="2">
        <f t="shared" si="3"/>
        <v>150</v>
      </c>
    </row>
    <row r="200" spans="1:12" ht="25" customHeight="1">
      <c r="A200" s="2" t="s">
        <v>12</v>
      </c>
      <c r="B200" s="2" t="str">
        <f>HYPERLINK("http://www.12365auto.com/zlts/20200228/449305.shtml","一汽大众速腾发动机异响希望厂家处理问题")</f>
        <v>一汽大众速腾发动机异响希望厂家处理问题</v>
      </c>
      <c r="C200" s="2" t="s">
        <v>13</v>
      </c>
      <c r="D200" s="2" t="s">
        <v>12</v>
      </c>
      <c r="E200" s="2" t="s">
        <v>17</v>
      </c>
      <c r="F200" s="2" t="str">
        <f>HYPERLINK("http://www.12365auto.com/zlts/20200228/449305.shtml","http://www.12365auto.com/zlts/20200228/449305.shtml")</f>
        <v>http://www.12365auto.com/zlts/20200228/449305.shtml</v>
      </c>
      <c r="G200" s="2"/>
      <c r="H200" s="2" t="s">
        <v>392</v>
      </c>
      <c r="I200" s="2" t="s">
        <v>19</v>
      </c>
      <c r="J200" s="2" t="s">
        <v>12</v>
      </c>
      <c r="K200" s="2" t="s">
        <v>393</v>
      </c>
      <c r="L200" s="2">
        <f t="shared" si="3"/>
        <v>150</v>
      </c>
    </row>
    <row r="201" spans="1:12" ht="25" customHeight="1">
      <c r="A201" s="2" t="s">
        <v>12</v>
      </c>
      <c r="B201" s="2" t="str">
        <f>HYPERLINK("http://bbs.12365auto.com/postcontent.aspx?tId=195569","雪佛兰科沃兹蓄电池漏液")</f>
        <v>雪佛兰科沃兹蓄电池漏液</v>
      </c>
      <c r="C201" s="2" t="s">
        <v>13</v>
      </c>
      <c r="D201" s="2" t="s">
        <v>12</v>
      </c>
      <c r="E201" s="2" t="s">
        <v>66</v>
      </c>
      <c r="F201" s="2" t="str">
        <f>HYPERLINK("http://bbs.12365auto.com/postcontent.aspx?tId=195569","http://bbs.12365auto.com/postcontent.aspx?tId=195569")</f>
        <v>http://bbs.12365auto.com/postcontent.aspx?tId=195569</v>
      </c>
      <c r="G201" s="2"/>
      <c r="H201" s="2" t="s">
        <v>394</v>
      </c>
      <c r="I201" s="2" t="s">
        <v>15</v>
      </c>
      <c r="J201" s="2" t="s">
        <v>395</v>
      </c>
      <c r="K201" s="2" t="s">
        <v>396</v>
      </c>
      <c r="L201" s="2">
        <f t="shared" si="3"/>
        <v>53</v>
      </c>
    </row>
    <row r="202" spans="1:12" ht="25" customHeight="1">
      <c r="A202" s="2" t="s">
        <v>12</v>
      </c>
      <c r="B202" s="2" t="str">
        <f>HYPERLINK("http://m.12365auto.com/bbs/postcontent.aspx?tID=195569","雪佛兰科沃兹蓄电池漏液")</f>
        <v>雪佛兰科沃兹蓄电池漏液</v>
      </c>
      <c r="C202" s="2" t="s">
        <v>13</v>
      </c>
      <c r="D202" s="2" t="s">
        <v>23</v>
      </c>
      <c r="E202" s="2"/>
      <c r="F202" s="2" t="str">
        <f>HYPERLINK("http://m.12365auto.com/bbs/postcontent.aspx?tID=195569","http://m.12365auto.com/bbs/postcontent.aspx?tID=195569")</f>
        <v>http://m.12365auto.com/bbs/postcontent.aspx?tID=195569</v>
      </c>
      <c r="G202" s="2"/>
      <c r="H202" s="2" t="s">
        <v>394</v>
      </c>
      <c r="I202" s="2" t="s">
        <v>15</v>
      </c>
      <c r="J202" s="2" t="s">
        <v>395</v>
      </c>
      <c r="K202" s="2" t="s">
        <v>396</v>
      </c>
      <c r="L202" s="2">
        <f t="shared" si="3"/>
        <v>53</v>
      </c>
    </row>
    <row r="203" spans="1:12" ht="25" customHeight="1">
      <c r="A203" s="2" t="s">
        <v>12</v>
      </c>
      <c r="B203" s="2" t="str">
        <f>HYPERLINK("http://bbs.12365auto.com/postcontent.aspx?tID=195569","雪佛兰科沃兹蓄电池漏液")</f>
        <v>雪佛兰科沃兹蓄电池漏液</v>
      </c>
      <c r="C203" s="2" t="s">
        <v>13</v>
      </c>
      <c r="D203" s="2" t="s">
        <v>12</v>
      </c>
      <c r="E203" s="2" t="s">
        <v>67</v>
      </c>
      <c r="F203" s="2" t="str">
        <f>HYPERLINK("http://bbs.12365auto.com/postcontent.aspx?tID=195569","http://bbs.12365auto.com/postcontent.aspx?tID=195569")</f>
        <v>http://bbs.12365auto.com/postcontent.aspx?tID=195569</v>
      </c>
      <c r="G203" s="2"/>
      <c r="H203" s="2" t="s">
        <v>397</v>
      </c>
      <c r="I203" s="2" t="s">
        <v>15</v>
      </c>
      <c r="J203" s="2" t="s">
        <v>395</v>
      </c>
      <c r="K203" s="2" t="s">
        <v>396</v>
      </c>
      <c r="L203" s="2">
        <f t="shared" si="3"/>
        <v>64</v>
      </c>
    </row>
    <row r="204" spans="1:12" ht="25" customHeight="1">
      <c r="A204" s="2" t="s">
        <v>12</v>
      </c>
      <c r="B204" s="2" t="str">
        <f>HYPERLINK("http://bbs.12365auto.com/postcontent.aspx?tId=195567","奇瑞应当对生锈问题做出统一的处理方案")</f>
        <v>奇瑞应当对生锈问题做出统一的处理方案</v>
      </c>
      <c r="C204" s="2" t="s">
        <v>13</v>
      </c>
      <c r="D204" s="2" t="s">
        <v>12</v>
      </c>
      <c r="E204" s="2" t="s">
        <v>27</v>
      </c>
      <c r="F204" s="2" t="str">
        <f>HYPERLINK("http://bbs.12365auto.com/postcontent.aspx?tId=195567","http://bbs.12365auto.com/postcontent.aspx?tId=195567")</f>
        <v>http://bbs.12365auto.com/postcontent.aspx?tId=195567</v>
      </c>
      <c r="G204" s="2"/>
      <c r="H204" s="2" t="s">
        <v>398</v>
      </c>
      <c r="I204" s="2" t="s">
        <v>15</v>
      </c>
      <c r="J204" s="2" t="s">
        <v>399</v>
      </c>
      <c r="K204" s="2" t="s">
        <v>400</v>
      </c>
      <c r="L204" s="2">
        <f t="shared" si="3"/>
        <v>34</v>
      </c>
    </row>
    <row r="205" spans="1:12" ht="25" customHeight="1">
      <c r="A205" s="2" t="s">
        <v>12</v>
      </c>
      <c r="B205" s="2" t="str">
        <f>HYPERLINK("http://m.12365auto.com/bbs/postcontent.aspx?tID=195567","奇瑞应当对生锈问题做出统一的处理方案")</f>
        <v>奇瑞应当对生锈问题做出统一的处理方案</v>
      </c>
      <c r="C205" s="2" t="s">
        <v>13</v>
      </c>
      <c r="D205" s="2" t="s">
        <v>23</v>
      </c>
      <c r="E205" s="2"/>
      <c r="F205" s="2" t="str">
        <f>HYPERLINK("http://m.12365auto.com/bbs/postcontent.aspx?tID=195567","http://m.12365auto.com/bbs/postcontent.aspx?tID=195567")</f>
        <v>http://m.12365auto.com/bbs/postcontent.aspx?tID=195567</v>
      </c>
      <c r="G205" s="2"/>
      <c r="H205" s="2" t="s">
        <v>398</v>
      </c>
      <c r="I205" s="2" t="s">
        <v>15</v>
      </c>
      <c r="J205" s="2" t="s">
        <v>399</v>
      </c>
      <c r="K205" s="2" t="s">
        <v>400</v>
      </c>
      <c r="L205" s="2">
        <f t="shared" si="3"/>
        <v>34</v>
      </c>
    </row>
    <row r="206" spans="1:12" ht="25" customHeight="1">
      <c r="A206" s="2" t="s">
        <v>12</v>
      </c>
      <c r="B206" s="2" t="str">
        <f>HYPERLINK("http://bbs.12365auto.com/postcontent.aspx?tID=195567","奇瑞应当对生锈问题做出统一的处理方案")</f>
        <v>奇瑞应当对生锈问题做出统一的处理方案</v>
      </c>
      <c r="C206" s="2" t="s">
        <v>13</v>
      </c>
      <c r="D206" s="2" t="s">
        <v>12</v>
      </c>
      <c r="E206" s="2" t="s">
        <v>28</v>
      </c>
      <c r="F206" s="2" t="str">
        <f>HYPERLINK("http://bbs.12365auto.com/postcontent.aspx?tID=195567","http://bbs.12365auto.com/postcontent.aspx?tID=195567")</f>
        <v>http://bbs.12365auto.com/postcontent.aspx?tID=195567</v>
      </c>
      <c r="G206" s="2"/>
      <c r="H206" s="2" t="s">
        <v>401</v>
      </c>
      <c r="I206" s="2" t="s">
        <v>15</v>
      </c>
      <c r="J206" s="2" t="s">
        <v>399</v>
      </c>
      <c r="K206" s="2" t="s">
        <v>400</v>
      </c>
      <c r="L206" s="2">
        <f t="shared" si="3"/>
        <v>52</v>
      </c>
    </row>
    <row r="207" spans="1:12" ht="25" customHeight="1">
      <c r="A207" s="2" t="s">
        <v>12</v>
      </c>
      <c r="B207" s="2" t="str">
        <f>HYPERLINK("http://bbs.12365auto.com/postcontent.aspx?tID=195566","上汽通用GF6自动变速箱应该注意哪些?")</f>
        <v>上汽通用GF6自动变速箱应该注意哪些?</v>
      </c>
      <c r="C207" s="2" t="s">
        <v>13</v>
      </c>
      <c r="D207" s="2" t="s">
        <v>12</v>
      </c>
      <c r="E207" s="2" t="s">
        <v>67</v>
      </c>
      <c r="F207" s="2" t="str">
        <f>HYPERLINK("http://bbs.12365auto.com/postcontent.aspx?tID=195566","http://bbs.12365auto.com/postcontent.aspx?tID=195566")</f>
        <v>http://bbs.12365auto.com/postcontent.aspx?tID=195566</v>
      </c>
      <c r="G207" s="2"/>
      <c r="H207" s="2" t="s">
        <v>402</v>
      </c>
      <c r="I207" s="2" t="s">
        <v>15</v>
      </c>
      <c r="J207" s="2" t="s">
        <v>403</v>
      </c>
      <c r="K207" s="2" t="s">
        <v>404</v>
      </c>
      <c r="L207" s="2">
        <f t="shared" si="3"/>
        <v>103</v>
      </c>
    </row>
    <row r="208" spans="1:12" ht="25" customHeight="1">
      <c r="A208" s="2" t="s">
        <v>12</v>
      </c>
      <c r="B208" s="2" t="str">
        <f>HYPERLINK("http://bbs.12365auto.com/postcontent.aspx?tId=195566","上汽通用GF6自动变速箱应该注意哪些?")</f>
        <v>上汽通用GF6自动变速箱应该注意哪些?</v>
      </c>
      <c r="C208" s="2" t="s">
        <v>13</v>
      </c>
      <c r="D208" s="2" t="s">
        <v>12</v>
      </c>
      <c r="E208" s="2" t="s">
        <v>66</v>
      </c>
      <c r="F208" s="2" t="str">
        <f>HYPERLINK("http://bbs.12365auto.com/postcontent.aspx?tId=195566","http://bbs.12365auto.com/postcontent.aspx?tId=195566")</f>
        <v>http://bbs.12365auto.com/postcontent.aspx?tId=195566</v>
      </c>
      <c r="G208" s="2"/>
      <c r="H208" s="2" t="s">
        <v>405</v>
      </c>
      <c r="I208" s="2" t="s">
        <v>15</v>
      </c>
      <c r="J208" s="2" t="s">
        <v>403</v>
      </c>
      <c r="K208" s="2" t="s">
        <v>404</v>
      </c>
      <c r="L208" s="2">
        <f t="shared" si="3"/>
        <v>84</v>
      </c>
    </row>
    <row r="209" spans="1:12" ht="25" customHeight="1">
      <c r="A209" s="2" t="s">
        <v>12</v>
      </c>
      <c r="B209" s="2" t="str">
        <f>HYPERLINK("http://m.12365auto.com/bbs/postcontent.aspx?tID=195566&amp;i=1","上汽通用GF6自动变速箱应该注意哪些?")</f>
        <v>上汽通用GF6自动变速箱应该注意哪些?</v>
      </c>
      <c r="C209" s="2" t="s">
        <v>13</v>
      </c>
      <c r="D209" s="2" t="s">
        <v>23</v>
      </c>
      <c r="E209" s="2"/>
      <c r="F209" s="2" t="str">
        <f>HYPERLINK("http://m.12365auto.com/bbs/postcontent.aspx?tID=195566&amp;i=1","http://m.12365auto.com/bbs/postcontent.aspx?tID=195566&amp;i=1")</f>
        <v>http://m.12365auto.com/bbs/postcontent.aspx?tID=195566&amp;i=1</v>
      </c>
      <c r="G209" s="2"/>
      <c r="H209" s="2" t="s">
        <v>405</v>
      </c>
      <c r="I209" s="2" t="s">
        <v>15</v>
      </c>
      <c r="J209" s="2" t="s">
        <v>403</v>
      </c>
      <c r="K209" s="2" t="s">
        <v>404</v>
      </c>
      <c r="L209" s="2">
        <f t="shared" si="3"/>
        <v>84</v>
      </c>
    </row>
    <row r="210" spans="1:12" ht="25" customHeight="1">
      <c r="A210" s="2" t="s">
        <v>12</v>
      </c>
      <c r="B210" s="2" t="str">
        <f>HYPERLINK("http://m.12365auto.com/bbs/postcontent.aspx?tID=195566","上汽通用GF6自动变速箱应该注意哪些?")</f>
        <v>上汽通用GF6自动变速箱应该注意哪些?</v>
      </c>
      <c r="C210" s="2" t="s">
        <v>13</v>
      </c>
      <c r="D210" s="2" t="s">
        <v>23</v>
      </c>
      <c r="E210" s="2"/>
      <c r="F210" s="2" t="str">
        <f>HYPERLINK("http://m.12365auto.com/bbs/postcontent.aspx?tID=195566","http://m.12365auto.com/bbs/postcontent.aspx?tID=195566")</f>
        <v>http://m.12365auto.com/bbs/postcontent.aspx?tID=195566</v>
      </c>
      <c r="G210" s="2"/>
      <c r="H210" s="2" t="s">
        <v>405</v>
      </c>
      <c r="I210" s="2" t="s">
        <v>15</v>
      </c>
      <c r="J210" s="2" t="s">
        <v>403</v>
      </c>
      <c r="K210" s="2" t="s">
        <v>404</v>
      </c>
      <c r="L210" s="2">
        <f t="shared" si="3"/>
        <v>84</v>
      </c>
    </row>
    <row r="211" spans="1:12" ht="25" customHeight="1">
      <c r="A211" s="2" t="s">
        <v>12</v>
      </c>
      <c r="B211" s="2" t="str">
        <f>HYPERLINK("http://www.12365auto.com/zlts/20200228/449296.shtml","冷车减震异响")</f>
        <v>冷车减震异响</v>
      </c>
      <c r="C211" s="2" t="s">
        <v>13</v>
      </c>
      <c r="D211" s="2" t="s">
        <v>12</v>
      </c>
      <c r="E211" s="2"/>
      <c r="F211" s="2" t="str">
        <f>HYPERLINK("http://www.12365auto.com/zlts/20200228/449296.shtml","http://www.12365auto.com/zlts/20200228/449296.shtml")</f>
        <v>http://www.12365auto.com/zlts/20200228/449296.shtml</v>
      </c>
      <c r="G211" s="2"/>
      <c r="H211" s="3" t="s">
        <v>406</v>
      </c>
      <c r="I211" s="2" t="s">
        <v>15</v>
      </c>
      <c r="J211" s="2" t="s">
        <v>12</v>
      </c>
      <c r="K211" s="2" t="s">
        <v>407</v>
      </c>
      <c r="L211" s="2">
        <f t="shared" si="3"/>
        <v>88</v>
      </c>
    </row>
    <row r="212" spans="1:12" ht="25" customHeight="1">
      <c r="A212" s="2" t="s">
        <v>12</v>
      </c>
      <c r="B212" s="2" t="str">
        <f>HYPERLINK("http://www.12365auto.com/zlts/20200228/449294.shtml","新车质量问题，发动机严重故障不合格产品")</f>
        <v>新车质量问题，发动机严重故障不合格产品</v>
      </c>
      <c r="C212" s="2" t="s">
        <v>13</v>
      </c>
      <c r="D212" s="2" t="s">
        <v>12</v>
      </c>
      <c r="E212" s="2"/>
      <c r="F212" s="2" t="str">
        <f>HYPERLINK("http://www.12365auto.com/zlts/20200228/449294.shtml","http://www.12365auto.com/zlts/20200228/449294.shtml")</f>
        <v>http://www.12365auto.com/zlts/20200228/449294.shtml</v>
      </c>
      <c r="G212" s="2"/>
      <c r="H212" s="3" t="s">
        <v>408</v>
      </c>
      <c r="I212" s="2" t="s">
        <v>15</v>
      </c>
      <c r="J212" s="2" t="s">
        <v>12</v>
      </c>
      <c r="K212" s="2" t="s">
        <v>409</v>
      </c>
      <c r="L212" s="2">
        <f t="shared" si="3"/>
        <v>75</v>
      </c>
    </row>
    <row r="213" spans="1:12" ht="25" customHeight="1">
      <c r="A213" s="2" t="s">
        <v>12</v>
      </c>
      <c r="B213" s="2" t="str">
        <f>HYPERLINK("http://www.12365auto.com/zlts/20200228/449297.shtml","众泰T600大灯总成开关故障希望厂家处理")</f>
        <v>众泰T600大灯总成开关故障希望厂家处理</v>
      </c>
      <c r="C213" s="2" t="s">
        <v>13</v>
      </c>
      <c r="D213" s="2" t="s">
        <v>12</v>
      </c>
      <c r="E213" s="2" t="s">
        <v>17</v>
      </c>
      <c r="F213" s="2" t="str">
        <f>HYPERLINK("http://www.12365auto.com/zlts/20200228/449297.shtml","http://www.12365auto.com/zlts/20200228/449297.shtml")</f>
        <v>http://www.12365auto.com/zlts/20200228/449297.shtml</v>
      </c>
      <c r="G213" s="2"/>
      <c r="H213" s="2" t="s">
        <v>410</v>
      </c>
      <c r="I213" s="2" t="s">
        <v>19</v>
      </c>
      <c r="J213" s="2" t="s">
        <v>12</v>
      </c>
      <c r="K213" s="2" t="s">
        <v>411</v>
      </c>
      <c r="L213" s="2">
        <f t="shared" si="3"/>
        <v>150</v>
      </c>
    </row>
    <row r="214" spans="1:12" ht="25" customHeight="1">
      <c r="A214" s="2" t="s">
        <v>12</v>
      </c>
      <c r="B214" s="2" t="str">
        <f>HYPERLINK("http://www.12365auto.com/zlts/20200228/449283.shtml","别克英朗转向卡顿沉重希望厂家处理问题")</f>
        <v>别克英朗转向卡顿沉重希望厂家处理问题</v>
      </c>
      <c r="C214" s="2" t="s">
        <v>13</v>
      </c>
      <c r="D214" s="2" t="s">
        <v>12</v>
      </c>
      <c r="E214" s="2"/>
      <c r="F214" s="2" t="str">
        <f>HYPERLINK("http://www.12365auto.com/zlts/20200228/449283.shtml","http://www.12365auto.com/zlts/20200228/449283.shtml")</f>
        <v>http://www.12365auto.com/zlts/20200228/449283.shtml</v>
      </c>
      <c r="G214" s="2"/>
      <c r="H214" s="3" t="s">
        <v>412</v>
      </c>
      <c r="I214" s="2" t="s">
        <v>15</v>
      </c>
      <c r="J214" s="2" t="s">
        <v>12</v>
      </c>
      <c r="K214" s="2" t="s">
        <v>413</v>
      </c>
      <c r="L214" s="2">
        <f t="shared" si="3"/>
        <v>104</v>
      </c>
    </row>
    <row r="215" spans="1:12" ht="25" customHeight="1">
      <c r="A215" s="2" t="s">
        <v>12</v>
      </c>
      <c r="B215" s="2" t="str">
        <f>HYPERLINK("http://www.12365auto.com/zlts/20200228/449292.shtml","长安神骐F30高速时跑偏晃动希望厂家处理")</f>
        <v>长安神骐F30高速时跑偏晃动希望厂家处理</v>
      </c>
      <c r="C215" s="2" t="s">
        <v>13</v>
      </c>
      <c r="D215" s="2" t="s">
        <v>12</v>
      </c>
      <c r="E215" s="2" t="s">
        <v>17</v>
      </c>
      <c r="F215" s="2" t="str">
        <f>HYPERLINK("http://www.12365auto.com/zlts/20200228/449292.shtml","http://www.12365auto.com/zlts/20200228/449292.shtml")</f>
        <v>http://www.12365auto.com/zlts/20200228/449292.shtml</v>
      </c>
      <c r="G215" s="2"/>
      <c r="H215" s="2" t="s">
        <v>414</v>
      </c>
      <c r="I215" s="2" t="s">
        <v>19</v>
      </c>
      <c r="J215" s="2" t="s">
        <v>12</v>
      </c>
      <c r="K215" s="2" t="s">
        <v>415</v>
      </c>
      <c r="L215" s="2">
        <f t="shared" si="3"/>
        <v>150</v>
      </c>
    </row>
    <row r="216" spans="1:12" ht="25" customHeight="1">
      <c r="A216" s="2" t="s">
        <v>12</v>
      </c>
      <c r="B216" s="2" t="str">
        <f>HYPERLINK("http://www.12365auto.com/zlts/20200228/449290.shtml","上汽大众凌渡车内异味严重希望厂家处理")</f>
        <v>上汽大众凌渡车内异味严重希望厂家处理</v>
      </c>
      <c r="C216" s="2" t="s">
        <v>13</v>
      </c>
      <c r="D216" s="2" t="s">
        <v>12</v>
      </c>
      <c r="E216" s="2" t="s">
        <v>17</v>
      </c>
      <c r="F216" s="2" t="str">
        <f>HYPERLINK("http://www.12365auto.com/zlts/20200228/449290.shtml","http://www.12365auto.com/zlts/20200228/449290.shtml")</f>
        <v>http://www.12365auto.com/zlts/20200228/449290.shtml</v>
      </c>
      <c r="G216" s="2"/>
      <c r="H216" s="2" t="s">
        <v>416</v>
      </c>
      <c r="I216" s="2" t="s">
        <v>19</v>
      </c>
      <c r="J216" s="2" t="s">
        <v>12</v>
      </c>
      <c r="K216" s="2" t="s">
        <v>417</v>
      </c>
      <c r="L216" s="2">
        <f t="shared" si="3"/>
        <v>150</v>
      </c>
    </row>
    <row r="217" spans="1:12" ht="25" customHeight="1">
      <c r="A217" s="2" t="s">
        <v>12</v>
      </c>
      <c r="B217" s="2" t="str">
        <f>HYPERLINK("http://www.12365auto.com/zlts/20200228/449289.shtml","一汽大众探岳大灯发白起雾希望厂家处理")</f>
        <v>一汽大众探岳大灯发白起雾希望厂家处理</v>
      </c>
      <c r="C217" s="2" t="s">
        <v>13</v>
      </c>
      <c r="D217" s="2" t="s">
        <v>12</v>
      </c>
      <c r="E217" s="2" t="s">
        <v>17</v>
      </c>
      <c r="F217" s="2" t="str">
        <f>HYPERLINK("http://www.12365auto.com/zlts/20200228/449289.shtml","http://www.12365auto.com/zlts/20200228/449289.shtml")</f>
        <v>http://www.12365auto.com/zlts/20200228/449289.shtml</v>
      </c>
      <c r="G217" s="2"/>
      <c r="H217" s="2" t="s">
        <v>418</v>
      </c>
      <c r="I217" s="2" t="s">
        <v>19</v>
      </c>
      <c r="J217" s="2" t="s">
        <v>12</v>
      </c>
      <c r="K217" s="2" t="s">
        <v>419</v>
      </c>
      <c r="L217" s="2">
        <f t="shared" si="3"/>
        <v>150</v>
      </c>
    </row>
    <row r="218" spans="1:12" ht="25" customHeight="1">
      <c r="A218" s="2" t="s">
        <v>12</v>
      </c>
      <c r="B218" s="2" t="str">
        <f>HYPERLINK("http://www.12365auto.com/zlts/20200228/449288.shtml","斯巴鲁森林人气门盖漏油存在质量问题")</f>
        <v>斯巴鲁森林人气门盖漏油存在质量问题</v>
      </c>
      <c r="C218" s="2" t="s">
        <v>13</v>
      </c>
      <c r="D218" s="2" t="s">
        <v>12</v>
      </c>
      <c r="E218" s="2" t="s">
        <v>17</v>
      </c>
      <c r="F218" s="2" t="str">
        <f>HYPERLINK("http://www.12365auto.com/zlts/20200228/449288.shtml","http://www.12365auto.com/zlts/20200228/449288.shtml")</f>
        <v>http://www.12365auto.com/zlts/20200228/449288.shtml</v>
      </c>
      <c r="G218" s="2"/>
      <c r="H218" s="2" t="s">
        <v>420</v>
      </c>
      <c r="I218" s="2" t="s">
        <v>19</v>
      </c>
      <c r="J218" s="2" t="s">
        <v>12</v>
      </c>
      <c r="K218" s="2" t="s">
        <v>421</v>
      </c>
      <c r="L218" s="2">
        <f t="shared" si="3"/>
        <v>150</v>
      </c>
    </row>
    <row r="219" spans="1:12" ht="25" customHeight="1">
      <c r="A219" s="2" t="s">
        <v>12</v>
      </c>
      <c r="B219" s="2" t="str">
        <f>HYPERLINK("http://www.12365auto.com/zlts/20200228/449282.shtml","东风日产天籁车载互联故障希望厂家处理")</f>
        <v>东风日产天籁车载互联故障希望厂家处理</v>
      </c>
      <c r="C219" s="2" t="s">
        <v>13</v>
      </c>
      <c r="D219" s="2" t="s">
        <v>12</v>
      </c>
      <c r="E219" s="2"/>
      <c r="F219" s="2" t="str">
        <f>HYPERLINK("http://www.12365auto.com/zlts/20200228/449282.shtml","http://www.12365auto.com/zlts/20200228/449282.shtml")</f>
        <v>http://www.12365auto.com/zlts/20200228/449282.shtml</v>
      </c>
      <c r="G219" s="2"/>
      <c r="H219" s="3" t="s">
        <v>422</v>
      </c>
      <c r="I219" s="2" t="s">
        <v>15</v>
      </c>
      <c r="J219" s="2" t="s">
        <v>12</v>
      </c>
      <c r="K219" s="2" t="s">
        <v>423</v>
      </c>
      <c r="L219" s="2">
        <f t="shared" si="3"/>
        <v>104</v>
      </c>
    </row>
    <row r="220" spans="1:12" ht="25" customHeight="1">
      <c r="A220" s="2" t="s">
        <v>12</v>
      </c>
      <c r="B220" s="2" t="str">
        <f>HYPERLINK("http://www.12365auto.com/zlts/20200228/449286.shtml","豪爵铃木摩托车车把抖动希望厂家处理")</f>
        <v>豪爵铃木摩托车车把抖动希望厂家处理</v>
      </c>
      <c r="C220" s="2" t="s">
        <v>13</v>
      </c>
      <c r="D220" s="2" t="s">
        <v>12</v>
      </c>
      <c r="E220" s="2" t="s">
        <v>17</v>
      </c>
      <c r="F220" s="2" t="str">
        <f>HYPERLINK("http://www.12365auto.com/zlts/20200228/449286.shtml","http://www.12365auto.com/zlts/20200228/449286.shtml")</f>
        <v>http://www.12365auto.com/zlts/20200228/449286.shtml</v>
      </c>
      <c r="G220" s="2"/>
      <c r="H220" s="2" t="s">
        <v>424</v>
      </c>
      <c r="I220" s="2" t="s">
        <v>19</v>
      </c>
      <c r="J220" s="2" t="s">
        <v>12</v>
      </c>
      <c r="K220" s="2" t="s">
        <v>425</v>
      </c>
      <c r="L220" s="2">
        <f t="shared" si="3"/>
        <v>150</v>
      </c>
    </row>
    <row r="221" spans="1:12" ht="25" customHeight="1">
      <c r="A221" s="2" t="s">
        <v>12</v>
      </c>
      <c r="B221" s="2" t="str">
        <f>HYPERLINK("http://www.12365auto.com/zlts/20200228/449284.shtml","东风雪铁龙C4世嘉原地转向时后轮异响严重")</f>
        <v>东风雪铁龙C4世嘉原地转向时后轮异响严重</v>
      </c>
      <c r="C221" s="2" t="s">
        <v>13</v>
      </c>
      <c r="D221" s="2" t="s">
        <v>12</v>
      </c>
      <c r="E221" s="2" t="s">
        <v>17</v>
      </c>
      <c r="F221" s="2" t="str">
        <f>HYPERLINK("http://www.12365auto.com/zlts/20200228/449284.shtml","http://www.12365auto.com/zlts/20200228/449284.shtml")</f>
        <v>http://www.12365auto.com/zlts/20200228/449284.shtml</v>
      </c>
      <c r="G221" s="2"/>
      <c r="H221" s="2" t="s">
        <v>426</v>
      </c>
      <c r="I221" s="2" t="s">
        <v>19</v>
      </c>
      <c r="J221" s="2" t="s">
        <v>12</v>
      </c>
      <c r="K221" s="2" t="s">
        <v>427</v>
      </c>
      <c r="L221" s="2">
        <f t="shared" si="3"/>
        <v>150</v>
      </c>
    </row>
    <row r="222" spans="1:12" ht="25" customHeight="1">
      <c r="A222" s="2" t="s">
        <v>12</v>
      </c>
      <c r="B222" s="2" t="str">
        <f>HYPERLINK("http://www.12365auto.com/zlts/20200228/449281.shtml","上汽大众途观L天窗漏水售后不予索赔")</f>
        <v>上汽大众途观L天窗漏水售后不予索赔</v>
      </c>
      <c r="C222" s="2" t="s">
        <v>13</v>
      </c>
      <c r="D222" s="2" t="s">
        <v>12</v>
      </c>
      <c r="E222" s="2" t="s">
        <v>17</v>
      </c>
      <c r="F222" s="2" t="str">
        <f>HYPERLINK("http://www.12365auto.com/zlts/20200228/449281.shtml","http://www.12365auto.com/zlts/20200228/449281.shtml")</f>
        <v>http://www.12365auto.com/zlts/20200228/449281.shtml</v>
      </c>
      <c r="G222" s="2"/>
      <c r="H222" s="2" t="s">
        <v>428</v>
      </c>
      <c r="I222" s="2" t="s">
        <v>19</v>
      </c>
      <c r="J222" s="2" t="s">
        <v>12</v>
      </c>
      <c r="K222" s="2" t="s">
        <v>429</v>
      </c>
      <c r="L222" s="2">
        <f t="shared" si="3"/>
        <v>150</v>
      </c>
    </row>
    <row r="223" spans="1:12" ht="25" customHeight="1">
      <c r="A223" s="2" t="s">
        <v>12</v>
      </c>
      <c r="B223" s="2" t="str">
        <f>HYPERLINK("http://www.12365auto.com/zlts/20200228/449280.shtml","东风日产天籁悬挂异响车门漏风座椅异响")</f>
        <v>东风日产天籁悬挂异响车门漏风座椅异响</v>
      </c>
      <c r="C223" s="2" t="s">
        <v>13</v>
      </c>
      <c r="D223" s="2" t="s">
        <v>12</v>
      </c>
      <c r="E223" s="2" t="s">
        <v>17</v>
      </c>
      <c r="F223" s="2" t="str">
        <f>HYPERLINK("http://www.12365auto.com/zlts/20200228/449280.shtml","http://www.12365auto.com/zlts/20200228/449280.shtml")</f>
        <v>http://www.12365auto.com/zlts/20200228/449280.shtml</v>
      </c>
      <c r="G223" s="2"/>
      <c r="H223" s="2" t="s">
        <v>430</v>
      </c>
      <c r="I223" s="2" t="s">
        <v>19</v>
      </c>
      <c r="J223" s="2" t="s">
        <v>12</v>
      </c>
      <c r="K223" s="2" t="s">
        <v>431</v>
      </c>
      <c r="L223" s="2">
        <f t="shared" si="3"/>
        <v>150</v>
      </c>
    </row>
    <row r="224" spans="1:12" ht="25" customHeight="1">
      <c r="A224" s="2" t="s">
        <v>12</v>
      </c>
      <c r="B224" s="2" t="str">
        <f>HYPERLINK("http://www.12365auto.com/zlts/20200228/449277.shtml","吉利帝豪车身生锈漆面鼓包希望厂家处理")</f>
        <v>吉利帝豪车身生锈漆面鼓包希望厂家处理</v>
      </c>
      <c r="C224" s="2" t="s">
        <v>13</v>
      </c>
      <c r="D224" s="2" t="s">
        <v>12</v>
      </c>
      <c r="E224" s="2" t="s">
        <v>17</v>
      </c>
      <c r="F224" s="2" t="str">
        <f>HYPERLINK("http://www.12365auto.com/zlts/20200228/449277.shtml","http://www.12365auto.com/zlts/20200228/449277.shtml")</f>
        <v>http://www.12365auto.com/zlts/20200228/449277.shtml</v>
      </c>
      <c r="G224" s="2"/>
      <c r="H224" s="2" t="s">
        <v>432</v>
      </c>
      <c r="I224" s="2" t="s">
        <v>19</v>
      </c>
      <c r="J224" s="2" t="s">
        <v>12</v>
      </c>
      <c r="K224" s="2" t="s">
        <v>433</v>
      </c>
      <c r="L224" s="2">
        <f t="shared" si="3"/>
        <v>150</v>
      </c>
    </row>
    <row r="225" spans="1:12" ht="25" customHeight="1">
      <c r="A225" s="2" t="s">
        <v>12</v>
      </c>
      <c r="B225" s="2" t="str">
        <f>HYPERLINK("http://www.12365auto.com/zlts/20200228/449273.shtml","吉利博越主驾驶座椅异响倒车影像模糊")</f>
        <v>吉利博越主驾驶座椅异响倒车影像模糊</v>
      </c>
      <c r="C225" s="2" t="s">
        <v>13</v>
      </c>
      <c r="D225" s="2" t="s">
        <v>12</v>
      </c>
      <c r="E225" s="2" t="s">
        <v>17</v>
      </c>
      <c r="F225" s="2" t="str">
        <f>HYPERLINK("http://www.12365auto.com/zlts/20200228/449273.shtml","http://www.12365auto.com/zlts/20200228/449273.shtml")</f>
        <v>http://www.12365auto.com/zlts/20200228/449273.shtml</v>
      </c>
      <c r="G225" s="2"/>
      <c r="H225" s="2" t="s">
        <v>434</v>
      </c>
      <c r="I225" s="2" t="s">
        <v>19</v>
      </c>
      <c r="J225" s="2" t="s">
        <v>12</v>
      </c>
      <c r="K225" s="2" t="s">
        <v>435</v>
      </c>
      <c r="L225" s="2">
        <f t="shared" si="3"/>
        <v>150</v>
      </c>
    </row>
    <row r="226" spans="1:12" ht="25" customHeight="1">
      <c r="A226" s="2" t="s">
        <v>12</v>
      </c>
      <c r="B226" s="2" t="str">
        <f>HYPERLINK("http://www.12365auto.com/zlts/20200228/449268.shtml","哈弗F7车载互联故障希望厂家处理问题")</f>
        <v>哈弗F7车载互联故障希望厂家处理问题</v>
      </c>
      <c r="C226" s="2" t="s">
        <v>13</v>
      </c>
      <c r="D226" s="2" t="s">
        <v>12</v>
      </c>
      <c r="E226" s="2"/>
      <c r="F226" s="2" t="str">
        <f>HYPERLINK("http://www.12365auto.com/zlts/20200228/449268.shtml","http://www.12365auto.com/zlts/20200228/449268.shtml")</f>
        <v>http://www.12365auto.com/zlts/20200228/449268.shtml</v>
      </c>
      <c r="G226" s="2"/>
      <c r="H226" s="3" t="s">
        <v>436</v>
      </c>
      <c r="I226" s="2" t="s">
        <v>15</v>
      </c>
      <c r="J226" s="2" t="s">
        <v>12</v>
      </c>
      <c r="K226" s="2" t="s">
        <v>437</v>
      </c>
      <c r="L226" s="2">
        <f t="shared" si="3"/>
        <v>104</v>
      </c>
    </row>
    <row r="227" spans="1:12" ht="25" customHeight="1">
      <c r="A227" s="2" t="s">
        <v>12</v>
      </c>
      <c r="B227" s="2" t="str">
        <f>HYPERLINK("http://www.12365auto.com/zlts/20200228/449267.shtml","东风日产轩逸变速箱异响发动机容易熄火")</f>
        <v>东风日产轩逸变速箱异响发动机容易熄火</v>
      </c>
      <c r="C227" s="2" t="s">
        <v>13</v>
      </c>
      <c r="D227" s="2" t="s">
        <v>12</v>
      </c>
      <c r="E227" s="2"/>
      <c r="F227" s="2" t="str">
        <f>HYPERLINK("http://www.12365auto.com/zlts/20200228/449267.shtml","http://www.12365auto.com/zlts/20200228/449267.shtml")</f>
        <v>http://www.12365auto.com/zlts/20200228/449267.shtml</v>
      </c>
      <c r="G227" s="2"/>
      <c r="H227" s="3" t="s">
        <v>438</v>
      </c>
      <c r="I227" s="2" t="s">
        <v>15</v>
      </c>
      <c r="J227" s="2" t="s">
        <v>12</v>
      </c>
      <c r="K227" s="2" t="s">
        <v>439</v>
      </c>
      <c r="L227" s="2">
        <f t="shared" si="3"/>
        <v>108</v>
      </c>
    </row>
    <row r="228" spans="1:12" ht="25" customHeight="1">
      <c r="A228" s="2" t="s">
        <v>12</v>
      </c>
      <c r="B228" s="2" t="str">
        <f>HYPERLINK("http://www.12365auto.com/zlts/20200228/449272.shtml","吉利缤越座椅异响希望厂家处理问题")</f>
        <v>吉利缤越座椅异响希望厂家处理问题</v>
      </c>
      <c r="C228" s="2" t="s">
        <v>13</v>
      </c>
      <c r="D228" s="2" t="s">
        <v>12</v>
      </c>
      <c r="E228" s="2" t="s">
        <v>17</v>
      </c>
      <c r="F228" s="2" t="str">
        <f>HYPERLINK("http://www.12365auto.com/zlts/20200228/449272.shtml","http://www.12365auto.com/zlts/20200228/449272.shtml")</f>
        <v>http://www.12365auto.com/zlts/20200228/449272.shtml</v>
      </c>
      <c r="G228" s="2"/>
      <c r="H228" s="2" t="s">
        <v>440</v>
      </c>
      <c r="I228" s="2" t="s">
        <v>19</v>
      </c>
      <c r="J228" s="2" t="s">
        <v>12</v>
      </c>
      <c r="K228" s="2" t="s">
        <v>441</v>
      </c>
      <c r="L228" s="2">
        <f t="shared" si="3"/>
        <v>150</v>
      </c>
    </row>
    <row r="229" spans="1:12" ht="25" customHeight="1">
      <c r="A229" s="2" t="s">
        <v>12</v>
      </c>
      <c r="B229" s="2" t="str">
        <f>HYPERLINK("http://www.12365auto.com/zlts/20200228/449271.shtml","江淮瑞风S3变速箱故障灯亮换油未解决")</f>
        <v>江淮瑞风S3变速箱故障灯亮换油未解决</v>
      </c>
      <c r="C229" s="2" t="s">
        <v>13</v>
      </c>
      <c r="D229" s="2" t="s">
        <v>12</v>
      </c>
      <c r="E229" s="2" t="s">
        <v>17</v>
      </c>
      <c r="F229" s="2" t="str">
        <f>HYPERLINK("http://www.12365auto.com/zlts/20200228/449271.shtml","http://www.12365auto.com/zlts/20200228/449271.shtml")</f>
        <v>http://www.12365auto.com/zlts/20200228/449271.shtml</v>
      </c>
      <c r="G229" s="2"/>
      <c r="H229" s="2" t="s">
        <v>442</v>
      </c>
      <c r="I229" s="2" t="s">
        <v>19</v>
      </c>
      <c r="J229" s="2" t="s">
        <v>12</v>
      </c>
      <c r="K229" s="2" t="s">
        <v>443</v>
      </c>
      <c r="L229" s="2">
        <f t="shared" si="3"/>
        <v>150</v>
      </c>
    </row>
    <row r="230" spans="1:12" ht="25" customHeight="1">
      <c r="A230" s="2" t="s">
        <v>12</v>
      </c>
      <c r="B230" s="2" t="str">
        <f>HYPERLINK("http://www.12365auto.com/zlts/20200228/449270.shtml","一汽大众迈腾变速箱异响严重希望厂家处理")</f>
        <v>一汽大众迈腾变速箱异响严重希望厂家处理</v>
      </c>
      <c r="C230" s="2" t="s">
        <v>13</v>
      </c>
      <c r="D230" s="2" t="s">
        <v>12</v>
      </c>
      <c r="E230" s="2" t="s">
        <v>17</v>
      </c>
      <c r="F230" s="2" t="str">
        <f>HYPERLINK("http://www.12365auto.com/zlts/20200228/449270.shtml","http://www.12365auto.com/zlts/20200228/449270.shtml")</f>
        <v>http://www.12365auto.com/zlts/20200228/449270.shtml</v>
      </c>
      <c r="G230" s="2"/>
      <c r="H230" s="2" t="s">
        <v>444</v>
      </c>
      <c r="I230" s="2" t="s">
        <v>19</v>
      </c>
      <c r="J230" s="2" t="s">
        <v>12</v>
      </c>
      <c r="K230" s="2" t="s">
        <v>445</v>
      </c>
      <c r="L230" s="2">
        <f t="shared" si="3"/>
        <v>150</v>
      </c>
    </row>
    <row r="231" spans="1:12" ht="25" customHeight="1">
      <c r="A231" s="2" t="s">
        <v>12</v>
      </c>
      <c r="B231" s="2" t="str">
        <f>HYPERLINK("http://www.12365auto.com/zlts/20200228/449265.shtml","猎豹CS9转向机故障售后不予质保维修")</f>
        <v>猎豹CS9转向机故障售后不予质保维修</v>
      </c>
      <c r="C231" s="2" t="s">
        <v>13</v>
      </c>
      <c r="D231" s="2" t="s">
        <v>12</v>
      </c>
      <c r="E231" s="2" t="s">
        <v>17</v>
      </c>
      <c r="F231" s="2" t="str">
        <f>HYPERLINK("http://www.12365auto.com/zlts/20200228/449265.shtml","http://www.12365auto.com/zlts/20200228/449265.shtml")</f>
        <v>http://www.12365auto.com/zlts/20200228/449265.shtml</v>
      </c>
      <c r="G231" s="2"/>
      <c r="H231" s="2" t="s">
        <v>446</v>
      </c>
      <c r="I231" s="2" t="s">
        <v>19</v>
      </c>
      <c r="J231" s="2" t="s">
        <v>12</v>
      </c>
      <c r="K231" s="2" t="s">
        <v>447</v>
      </c>
      <c r="L231" s="2">
        <f t="shared" si="3"/>
        <v>150</v>
      </c>
    </row>
    <row r="232" spans="1:12" ht="25" customHeight="1">
      <c r="A232" s="2" t="s">
        <v>12</v>
      </c>
      <c r="B232" s="2" t="str">
        <f>HYPERLINK("http://www.12365auto.com/zlts/20200228/449263.shtml","中华V5发动机故障灯亮存在严重质量问题")</f>
        <v>中华V5发动机故障灯亮存在严重质量问题</v>
      </c>
      <c r="C232" s="2" t="s">
        <v>13</v>
      </c>
      <c r="D232" s="2" t="s">
        <v>12</v>
      </c>
      <c r="E232" s="2" t="s">
        <v>17</v>
      </c>
      <c r="F232" s="2" t="str">
        <f>HYPERLINK("http://www.12365auto.com/zlts/20200228/449263.shtml","http://www.12365auto.com/zlts/20200228/449263.shtml")</f>
        <v>http://www.12365auto.com/zlts/20200228/449263.shtml</v>
      </c>
      <c r="G232" s="2"/>
      <c r="H232" s="2" t="s">
        <v>448</v>
      </c>
      <c r="I232" s="2" t="s">
        <v>19</v>
      </c>
      <c r="J232" s="2" t="s">
        <v>12</v>
      </c>
      <c r="K232" s="2" t="s">
        <v>449</v>
      </c>
      <c r="L232" s="2">
        <f t="shared" si="3"/>
        <v>150</v>
      </c>
    </row>
    <row r="233" spans="1:12" ht="25" customHeight="1">
      <c r="A233" s="2" t="s">
        <v>12</v>
      </c>
      <c r="B233" s="2" t="str">
        <f>HYPERLINK("http://www.12365auto.com/zlts/20200228/449260.shtml","奇瑞艾瑞泽5发动机故障灯亮售后未解决问题")</f>
        <v>奇瑞艾瑞泽5发动机故障灯亮售后未解决问题</v>
      </c>
      <c r="C233" s="2" t="s">
        <v>13</v>
      </c>
      <c r="D233" s="2" t="s">
        <v>12</v>
      </c>
      <c r="E233" s="2" t="s">
        <v>17</v>
      </c>
      <c r="F233" s="2" t="str">
        <f>HYPERLINK("http://www.12365auto.com/zlts/20200228/449260.shtml","http://www.12365auto.com/zlts/20200228/449260.shtml")</f>
        <v>http://www.12365auto.com/zlts/20200228/449260.shtml</v>
      </c>
      <c r="G233" s="2"/>
      <c r="H233" s="2" t="s">
        <v>450</v>
      </c>
      <c r="I233" s="2" t="s">
        <v>19</v>
      </c>
      <c r="J233" s="2" t="s">
        <v>12</v>
      </c>
      <c r="K233" s="2" t="s">
        <v>451</v>
      </c>
      <c r="L233" s="2">
        <f t="shared" si="3"/>
        <v>150</v>
      </c>
    </row>
    <row r="234" spans="1:12" ht="25" customHeight="1">
      <c r="A234" s="2" t="s">
        <v>12</v>
      </c>
      <c r="B234" s="2" t="str">
        <f>HYPERLINK("http://www.12365auto.com/zlts/20200228/449255.shtml","吉利嘉际雨量探头脱落 电瓶正极螺丝脱落")</f>
        <v>吉利嘉际雨量探头脱落 电瓶正极螺丝脱落</v>
      </c>
      <c r="C234" s="2" t="s">
        <v>13</v>
      </c>
      <c r="D234" s="2" t="s">
        <v>12</v>
      </c>
      <c r="E234" s="2" t="s">
        <v>17</v>
      </c>
      <c r="F234" s="2" t="str">
        <f>HYPERLINK("http://www.12365auto.com/zlts/20200228/449255.shtml","http://www.12365auto.com/zlts/20200228/449255.shtml")</f>
        <v>http://www.12365auto.com/zlts/20200228/449255.shtml</v>
      </c>
      <c r="G234" s="2"/>
      <c r="H234" s="2" t="s">
        <v>452</v>
      </c>
      <c r="I234" s="2" t="s">
        <v>19</v>
      </c>
      <c r="J234" s="2" t="s">
        <v>12</v>
      </c>
      <c r="K234" s="2" t="s">
        <v>453</v>
      </c>
      <c r="L234" s="2">
        <f t="shared" si="3"/>
        <v>150</v>
      </c>
    </row>
    <row r="235" spans="1:12" ht="25" customHeight="1">
      <c r="A235" s="2" t="s">
        <v>12</v>
      </c>
      <c r="B235" s="2" t="str">
        <f>HYPERLINK("http://www.12365auto.com/zlts/20200228/449254.shtml","海马S5车门密封条下方生锈要求更换处理")</f>
        <v>海马S5车门密封条下方生锈要求更换处理</v>
      </c>
      <c r="C235" s="2" t="s">
        <v>13</v>
      </c>
      <c r="D235" s="2" t="s">
        <v>12</v>
      </c>
      <c r="E235" s="2" t="s">
        <v>17</v>
      </c>
      <c r="F235" s="2" t="str">
        <f>HYPERLINK("http://www.12365auto.com/zlts/20200228/449254.shtml","http://www.12365auto.com/zlts/20200228/449254.shtml")</f>
        <v>http://www.12365auto.com/zlts/20200228/449254.shtml</v>
      </c>
      <c r="G235" s="2"/>
      <c r="H235" s="2" t="s">
        <v>454</v>
      </c>
      <c r="I235" s="2" t="s">
        <v>19</v>
      </c>
      <c r="J235" s="2" t="s">
        <v>12</v>
      </c>
      <c r="K235" s="2" t="s">
        <v>455</v>
      </c>
      <c r="L235" s="2">
        <f t="shared" si="3"/>
        <v>150</v>
      </c>
    </row>
    <row r="236" spans="1:12" ht="25" customHeight="1">
      <c r="A236" s="2" t="s">
        <v>12</v>
      </c>
      <c r="B236" s="2" t="str">
        <f>HYPERLINK("http://bbs.12365auto.com/postcontent.aspx?tID=195565","请问如何拆博越Pro保险盒前面那个储物盒？")</f>
        <v>请问如何拆博越Pro保险盒前面那个储物盒？</v>
      </c>
      <c r="C236" s="2" t="s">
        <v>13</v>
      </c>
      <c r="D236" s="2" t="s">
        <v>12</v>
      </c>
      <c r="E236" s="2" t="s">
        <v>214</v>
      </c>
      <c r="F236" s="2" t="str">
        <f>HYPERLINK("http://bbs.12365auto.com/postcontent.aspx?tID=195565","http://bbs.12365auto.com/postcontent.aspx?tID=195565")</f>
        <v>http://bbs.12365auto.com/postcontent.aspx?tID=195565</v>
      </c>
      <c r="G236" s="2"/>
      <c r="H236" s="2" t="s">
        <v>456</v>
      </c>
      <c r="I236" s="2" t="s">
        <v>15</v>
      </c>
      <c r="J236" s="2" t="s">
        <v>457</v>
      </c>
      <c r="K236" s="2" t="s">
        <v>455</v>
      </c>
      <c r="L236" s="2">
        <f t="shared" si="3"/>
        <v>77</v>
      </c>
    </row>
    <row r="237" spans="1:12" ht="25" customHeight="1">
      <c r="A237" s="2" t="s">
        <v>12</v>
      </c>
      <c r="B237" s="2" t="str">
        <f>HYPERLINK("http://bbs.12365auto.com/postcontent.aspx?tId=195565","请问如何拆博越Pro保险盒前面那个储物盒？")</f>
        <v>请问如何拆博越Pro保险盒前面那个储物盒？</v>
      </c>
      <c r="C237" s="2" t="s">
        <v>13</v>
      </c>
      <c r="D237" s="2" t="s">
        <v>12</v>
      </c>
      <c r="E237" s="2" t="s">
        <v>210</v>
      </c>
      <c r="F237" s="2" t="str">
        <f>HYPERLINK("http://bbs.12365auto.com/postcontent.aspx?tId=195565","http://bbs.12365auto.com/postcontent.aspx?tId=195565")</f>
        <v>http://bbs.12365auto.com/postcontent.aspx?tId=195565</v>
      </c>
      <c r="G237" s="2"/>
      <c r="H237" s="2" t="s">
        <v>458</v>
      </c>
      <c r="I237" s="2" t="s">
        <v>15</v>
      </c>
      <c r="J237" s="2" t="s">
        <v>457</v>
      </c>
      <c r="K237" s="2" t="s">
        <v>455</v>
      </c>
      <c r="L237" s="2">
        <f t="shared" si="3"/>
        <v>56</v>
      </c>
    </row>
    <row r="238" spans="1:12" ht="25" customHeight="1">
      <c r="A238" s="2" t="s">
        <v>12</v>
      </c>
      <c r="B238" s="2" t="str">
        <f>HYPERLINK("http://m.12365auto.com/bbs/postcontent.aspx?tID=195565","请问如何拆博越Pro保险盒前面那个储物盒？")</f>
        <v>请问如何拆博越Pro保险盒前面那个储物盒？</v>
      </c>
      <c r="C238" s="2" t="s">
        <v>13</v>
      </c>
      <c r="D238" s="2" t="s">
        <v>23</v>
      </c>
      <c r="E238" s="2"/>
      <c r="F238" s="2" t="str">
        <f>HYPERLINK("http://m.12365auto.com/bbs/postcontent.aspx?tID=195565","http://m.12365auto.com/bbs/postcontent.aspx?tID=195565")</f>
        <v>http://m.12365auto.com/bbs/postcontent.aspx?tID=195565</v>
      </c>
      <c r="G238" s="2"/>
      <c r="H238" s="2" t="s">
        <v>458</v>
      </c>
      <c r="I238" s="2" t="s">
        <v>15</v>
      </c>
      <c r="J238" s="2" t="s">
        <v>457</v>
      </c>
      <c r="K238" s="2" t="s">
        <v>455</v>
      </c>
      <c r="L238" s="2">
        <f t="shared" si="3"/>
        <v>56</v>
      </c>
    </row>
    <row r="239" spans="1:12" ht="25" customHeight="1">
      <c r="A239" s="2" t="s">
        <v>12</v>
      </c>
      <c r="B239" s="2" t="str">
        <f>HYPERLINK("http://www.12365auto.com/zlts/20200228/449253.shtml","东风日产蓝鸟车漆脱落要求厂家处理")</f>
        <v>东风日产蓝鸟车漆脱落要求厂家处理</v>
      </c>
      <c r="C239" s="2" t="s">
        <v>13</v>
      </c>
      <c r="D239" s="2" t="s">
        <v>12</v>
      </c>
      <c r="E239" s="2" t="s">
        <v>17</v>
      </c>
      <c r="F239" s="2" t="str">
        <f>HYPERLINK("http://www.12365auto.com/zlts/20200228/449253.shtml","http://www.12365auto.com/zlts/20200228/449253.shtml")</f>
        <v>http://www.12365auto.com/zlts/20200228/449253.shtml</v>
      </c>
      <c r="G239" s="2"/>
      <c r="H239" s="2" t="s">
        <v>459</v>
      </c>
      <c r="I239" s="2" t="s">
        <v>19</v>
      </c>
      <c r="J239" s="2" t="s">
        <v>12</v>
      </c>
      <c r="K239" s="2" t="s">
        <v>460</v>
      </c>
      <c r="L239" s="2">
        <f t="shared" si="3"/>
        <v>150</v>
      </c>
    </row>
    <row r="240" spans="1:12" ht="25" customHeight="1">
      <c r="A240" s="2" t="s">
        <v>12</v>
      </c>
      <c r="B240" s="2" t="str">
        <f>HYPERLINK("http://m.12365auto.com/zjdy/20200228/121744.shtml","在4S店维修期间丢失财物应该如何维权？")</f>
        <v>在4S店维修期间丢失财物应该如何维权？</v>
      </c>
      <c r="C240" s="2" t="s">
        <v>13</v>
      </c>
      <c r="D240" s="2" t="s">
        <v>12</v>
      </c>
      <c r="E240" s="2"/>
      <c r="F240" s="2" t="str">
        <f>HYPERLINK("http://m.12365auto.com/zjdy/20200228/121744.shtml","http://m.12365auto.com/zjdy/20200228/121744.shtml")</f>
        <v>http://m.12365auto.com/zjdy/20200228/121744.shtml</v>
      </c>
      <c r="G240" s="2"/>
      <c r="H240" s="2" t="s">
        <v>461</v>
      </c>
      <c r="I240" s="2" t="s">
        <v>19</v>
      </c>
      <c r="J240" s="2" t="s">
        <v>12</v>
      </c>
      <c r="K240" s="2" t="s">
        <v>462</v>
      </c>
      <c r="L240" s="2">
        <f t="shared" si="3"/>
        <v>72</v>
      </c>
    </row>
    <row r="241" spans="1:12" ht="25" customHeight="1">
      <c r="A241" s="2" t="s">
        <v>12</v>
      </c>
      <c r="B241" s="2" t="str">
        <f>HYPERLINK("http://www.12365auto.com/zlts/20200228/449252.shtml","一汽丰田卡罗拉双擎车窗密封条脱落")</f>
        <v>一汽丰田卡罗拉双擎车窗密封条脱落</v>
      </c>
      <c r="C241" s="2" t="s">
        <v>13</v>
      </c>
      <c r="D241" s="2" t="s">
        <v>12</v>
      </c>
      <c r="E241" s="2" t="s">
        <v>17</v>
      </c>
      <c r="F241" s="2" t="str">
        <f>HYPERLINK("http://www.12365auto.com/zlts/20200228/449252.shtml","http://www.12365auto.com/zlts/20200228/449252.shtml")</f>
        <v>http://www.12365auto.com/zlts/20200228/449252.shtml</v>
      </c>
      <c r="G241" s="2"/>
      <c r="H241" s="2" t="s">
        <v>463</v>
      </c>
      <c r="I241" s="2" t="s">
        <v>19</v>
      </c>
      <c r="J241" s="2" t="s">
        <v>12</v>
      </c>
      <c r="K241" s="2" t="s">
        <v>464</v>
      </c>
      <c r="L241" s="2">
        <f t="shared" si="3"/>
        <v>150</v>
      </c>
    </row>
    <row r="242" spans="1:12" ht="25" customHeight="1">
      <c r="A242" s="2" t="s">
        <v>12</v>
      </c>
      <c r="B242" s="2" t="str">
        <f>HYPERLINK("http://www.12365auto.com/zlts/20200228/449250.shtml","上汽MAXUS G10气门室盖漏油希望处理")</f>
        <v>上汽MAXUS G10气门室盖漏油希望处理</v>
      </c>
      <c r="C242" s="2" t="s">
        <v>13</v>
      </c>
      <c r="D242" s="2" t="s">
        <v>12</v>
      </c>
      <c r="E242" s="2" t="s">
        <v>17</v>
      </c>
      <c r="F242" s="2" t="str">
        <f>HYPERLINK("http://www.12365auto.com/zlts/20200228/449250.shtml","http://www.12365auto.com/zlts/20200228/449250.shtml")</f>
        <v>http://www.12365auto.com/zlts/20200228/449250.shtml</v>
      </c>
      <c r="G242" s="2"/>
      <c r="H242" s="2" t="s">
        <v>465</v>
      </c>
      <c r="I242" s="2" t="s">
        <v>19</v>
      </c>
      <c r="J242" s="2" t="s">
        <v>12</v>
      </c>
      <c r="K242" s="2" t="s">
        <v>466</v>
      </c>
      <c r="L242" s="2">
        <f t="shared" si="3"/>
        <v>150</v>
      </c>
    </row>
    <row r="243" spans="1:12" ht="25" customHeight="1">
      <c r="A243" s="2" t="s">
        <v>12</v>
      </c>
      <c r="B243" s="2" t="str">
        <f>HYPERLINK("http://www.12365auto.com/zlts/20200228/449248.shtml","广汽本田飞度启动困难要求更换起动机")</f>
        <v>广汽本田飞度启动困难要求更换起动机</v>
      </c>
      <c r="C243" s="2" t="s">
        <v>13</v>
      </c>
      <c r="D243" s="2" t="s">
        <v>12</v>
      </c>
      <c r="E243" s="2" t="s">
        <v>17</v>
      </c>
      <c r="F243" s="2" t="str">
        <f>HYPERLINK("http://www.12365auto.com/zlts/20200228/449248.shtml","http://www.12365auto.com/zlts/20200228/449248.shtml")</f>
        <v>http://www.12365auto.com/zlts/20200228/449248.shtml</v>
      </c>
      <c r="G243" s="2"/>
      <c r="H243" s="2" t="s">
        <v>467</v>
      </c>
      <c r="I243" s="2" t="s">
        <v>19</v>
      </c>
      <c r="J243" s="2" t="s">
        <v>12</v>
      </c>
      <c r="K243" s="2" t="s">
        <v>468</v>
      </c>
      <c r="L243" s="2">
        <f t="shared" si="3"/>
        <v>150</v>
      </c>
    </row>
    <row r="244" spans="1:12" ht="25" customHeight="1">
      <c r="A244" s="2" t="s">
        <v>12</v>
      </c>
      <c r="B244" s="2" t="str">
        <f>HYPERLINK("http://www.12365auto.com/zlts/20200228/449242.shtml","上汽大众途观冷车行驶时变速箱无法换挡")</f>
        <v>上汽大众途观冷车行驶时变速箱无法换挡</v>
      </c>
      <c r="C244" s="2" t="s">
        <v>13</v>
      </c>
      <c r="D244" s="2" t="s">
        <v>12</v>
      </c>
      <c r="E244" s="2" t="s">
        <v>17</v>
      </c>
      <c r="F244" s="2" t="str">
        <f>HYPERLINK("http://www.12365auto.com/zlts/20200228/449242.shtml","http://www.12365auto.com/zlts/20200228/449242.shtml")</f>
        <v>http://www.12365auto.com/zlts/20200228/449242.shtml</v>
      </c>
      <c r="G244" s="2"/>
      <c r="H244" s="2" t="s">
        <v>469</v>
      </c>
      <c r="I244" s="2" t="s">
        <v>15</v>
      </c>
      <c r="J244" s="2" t="s">
        <v>12</v>
      </c>
      <c r="K244" s="2" t="s">
        <v>470</v>
      </c>
      <c r="L244" s="2">
        <f t="shared" si="3"/>
        <v>150</v>
      </c>
    </row>
    <row r="245" spans="1:12" ht="25" customHeight="1">
      <c r="A245" s="2" t="s">
        <v>12</v>
      </c>
      <c r="B245" s="2" t="str">
        <f>HYPERLINK("http://www.12365auto.com/zlts/20200228/449240.shtml","中华V7发动机熄火 变速箱脱挡 后视镜异响")</f>
        <v>中华V7发动机熄火 变速箱脱挡 后视镜异响</v>
      </c>
      <c r="C245" s="2" t="s">
        <v>13</v>
      </c>
      <c r="D245" s="2" t="s">
        <v>12</v>
      </c>
      <c r="E245" s="2" t="s">
        <v>17</v>
      </c>
      <c r="F245" s="2" t="str">
        <f>HYPERLINK("http://www.12365auto.com/zlts/20200228/449240.shtml","http://www.12365auto.com/zlts/20200228/449240.shtml")</f>
        <v>http://www.12365auto.com/zlts/20200228/449240.shtml</v>
      </c>
      <c r="G245" s="2"/>
      <c r="H245" s="2" t="s">
        <v>471</v>
      </c>
      <c r="I245" s="2" t="s">
        <v>19</v>
      </c>
      <c r="J245" s="2" t="s">
        <v>12</v>
      </c>
      <c r="K245" s="2" t="s">
        <v>472</v>
      </c>
      <c r="L245" s="2">
        <f t="shared" si="3"/>
        <v>150</v>
      </c>
    </row>
    <row r="246" spans="1:12" ht="25" customHeight="1">
      <c r="A246" s="2" t="s">
        <v>12</v>
      </c>
      <c r="B246" s="2" t="str">
        <f>HYPERLINK("http://m.12365auto.com/bbs/postcontent.aspx?tID=195562","帕萨特VS迈腾 为什么我会更倾向于帕萨特")</f>
        <v>帕萨特VS迈腾 为什么我会更倾向于帕萨特</v>
      </c>
      <c r="C246" s="2" t="s">
        <v>13</v>
      </c>
      <c r="D246" s="2" t="s">
        <v>23</v>
      </c>
      <c r="E246" s="2"/>
      <c r="F246" s="2" t="str">
        <f>HYPERLINK("http://m.12365auto.com/bbs/postcontent.aspx?tID=195562","http://m.12365auto.com/bbs/postcontent.aspx?tID=195562")</f>
        <v>http://m.12365auto.com/bbs/postcontent.aspx?tID=195562</v>
      </c>
      <c r="G246" s="2"/>
      <c r="H246" s="2" t="s">
        <v>473</v>
      </c>
      <c r="I246" s="2" t="s">
        <v>15</v>
      </c>
      <c r="J246" s="2" t="s">
        <v>474</v>
      </c>
      <c r="K246" s="2" t="s">
        <v>475</v>
      </c>
      <c r="L246" s="2">
        <f t="shared" si="3"/>
        <v>150</v>
      </c>
    </row>
    <row r="247" spans="1:12" ht="25" customHeight="1">
      <c r="A247" s="2" t="s">
        <v>12</v>
      </c>
      <c r="B247" s="2" t="str">
        <f>HYPERLINK("http://bbs.12365auto.com/postcontent.aspx?tID=195562","帕萨特VS迈腾 为什么我会更倾向于帕萨特")</f>
        <v>帕萨特VS迈腾 为什么我会更倾向于帕萨特</v>
      </c>
      <c r="C247" s="2" t="s">
        <v>13</v>
      </c>
      <c r="D247" s="2" t="s">
        <v>12</v>
      </c>
      <c r="E247" s="2" t="s">
        <v>28</v>
      </c>
      <c r="F247" s="2" t="str">
        <f>HYPERLINK("http://bbs.12365auto.com/postcontent.aspx?tID=195562","http://bbs.12365auto.com/postcontent.aspx?tID=195562")</f>
        <v>http://bbs.12365auto.com/postcontent.aspx?tID=195562</v>
      </c>
      <c r="G247" s="2"/>
      <c r="H247" s="2" t="s">
        <v>476</v>
      </c>
      <c r="I247" s="2" t="s">
        <v>15</v>
      </c>
      <c r="J247" s="2" t="s">
        <v>474</v>
      </c>
      <c r="K247" s="2" t="s">
        <v>475</v>
      </c>
      <c r="L247" s="2">
        <f t="shared" si="3"/>
        <v>150</v>
      </c>
    </row>
    <row r="248" spans="1:12" ht="25" customHeight="1">
      <c r="A248" s="2" t="s">
        <v>12</v>
      </c>
      <c r="B248" s="2" t="str">
        <f>HYPERLINK("http://bbs.12365auto.com/postcontent.aspx?tId=195562","帕萨特VS迈腾 为什么我会更倾向于帕萨特")</f>
        <v>帕萨特VS迈腾 为什么我会更倾向于帕萨特</v>
      </c>
      <c r="C248" s="2" t="s">
        <v>13</v>
      </c>
      <c r="D248" s="2" t="s">
        <v>12</v>
      </c>
      <c r="E248" s="2" t="s">
        <v>27</v>
      </c>
      <c r="F248" s="2" t="str">
        <f>HYPERLINK("http://bbs.12365auto.com/postcontent.aspx?tId=195562","http://bbs.12365auto.com/postcontent.aspx?tId=195562")</f>
        <v>http://bbs.12365auto.com/postcontent.aspx?tId=195562</v>
      </c>
      <c r="G248" s="2"/>
      <c r="H248" s="2" t="s">
        <v>473</v>
      </c>
      <c r="I248" s="2" t="s">
        <v>15</v>
      </c>
      <c r="J248" s="2" t="s">
        <v>474</v>
      </c>
      <c r="K248" s="2" t="s">
        <v>475</v>
      </c>
      <c r="L248" s="2">
        <f t="shared" si="3"/>
        <v>150</v>
      </c>
    </row>
    <row r="249" spans="1:12" ht="25" customHeight="1">
      <c r="A249" s="2" t="s">
        <v>12</v>
      </c>
      <c r="B249" s="2" t="str">
        <f>HYPERLINK("http://www.12365auto.com/zlts/20200228/449238.shtml","吉利远景X3发动机容易熄火升级未解决问题")</f>
        <v>吉利远景X3发动机容易熄火升级未解决问题</v>
      </c>
      <c r="C249" s="2" t="s">
        <v>13</v>
      </c>
      <c r="D249" s="2" t="s">
        <v>12</v>
      </c>
      <c r="E249" s="2" t="s">
        <v>17</v>
      </c>
      <c r="F249" s="2" t="str">
        <f>HYPERLINK("http://www.12365auto.com/zlts/20200228/449238.shtml","http://www.12365auto.com/zlts/20200228/449238.shtml")</f>
        <v>http://www.12365auto.com/zlts/20200228/449238.shtml</v>
      </c>
      <c r="G249" s="2"/>
      <c r="H249" s="2" t="s">
        <v>477</v>
      </c>
      <c r="I249" s="2" t="s">
        <v>19</v>
      </c>
      <c r="J249" s="2" t="s">
        <v>12</v>
      </c>
      <c r="K249" s="2" t="s">
        <v>478</v>
      </c>
      <c r="L249" s="2">
        <f t="shared" si="3"/>
        <v>150</v>
      </c>
    </row>
    <row r="250" spans="1:12" ht="25" customHeight="1">
      <c r="A250" s="2" t="s">
        <v>12</v>
      </c>
      <c r="B250" s="2" t="str">
        <f>HYPERLINK("http://www.12365auto.com/zlts/20200228/449236.shtml","广汽丰田凯美瑞方向盘起皮 半轴皮套漏油")</f>
        <v>广汽丰田凯美瑞方向盘起皮 半轴皮套漏油</v>
      </c>
      <c r="C250" s="2" t="s">
        <v>13</v>
      </c>
      <c r="D250" s="2" t="s">
        <v>12</v>
      </c>
      <c r="E250" s="2" t="s">
        <v>17</v>
      </c>
      <c r="F250" s="2" t="str">
        <f>HYPERLINK("http://www.12365auto.com/zlts/20200228/449236.shtml","http://www.12365auto.com/zlts/20200228/449236.shtml")</f>
        <v>http://www.12365auto.com/zlts/20200228/449236.shtml</v>
      </c>
      <c r="G250" s="2"/>
      <c r="H250" s="2" t="s">
        <v>479</v>
      </c>
      <c r="I250" s="2" t="s">
        <v>19</v>
      </c>
      <c r="J250" s="2" t="s">
        <v>12</v>
      </c>
      <c r="K250" s="2" t="s">
        <v>480</v>
      </c>
      <c r="L250" s="2">
        <f t="shared" si="3"/>
        <v>150</v>
      </c>
    </row>
    <row r="251" spans="1:12" ht="25" customHeight="1">
      <c r="A251" s="2" t="s">
        <v>12</v>
      </c>
      <c r="B251" s="2" t="str">
        <f>HYPERLINK("http://www.12365auto.com/zlts/20200228/449235.shtml","广汽丰田凯美瑞中控面板开裂售后推脱不解决")</f>
        <v>广汽丰田凯美瑞中控面板开裂售后推脱不解决</v>
      </c>
      <c r="C251" s="2" t="s">
        <v>13</v>
      </c>
      <c r="D251" s="2" t="s">
        <v>12</v>
      </c>
      <c r="E251" s="2" t="s">
        <v>17</v>
      </c>
      <c r="F251" s="2" t="str">
        <f>HYPERLINK("http://www.12365auto.com/zlts/20200228/449235.shtml","http://www.12365auto.com/zlts/20200228/449235.shtml")</f>
        <v>http://www.12365auto.com/zlts/20200228/449235.shtml</v>
      </c>
      <c r="G251" s="2"/>
      <c r="H251" s="2" t="s">
        <v>481</v>
      </c>
      <c r="I251" s="2" t="s">
        <v>19</v>
      </c>
      <c r="J251" s="2" t="s">
        <v>12</v>
      </c>
      <c r="K251" s="2" t="s">
        <v>482</v>
      </c>
      <c r="L251" s="2">
        <f t="shared" si="3"/>
        <v>150</v>
      </c>
    </row>
    <row r="252" spans="1:12" ht="25" customHeight="1">
      <c r="A252" s="2" t="s">
        <v>12</v>
      </c>
      <c r="B252" s="2" t="str">
        <f>HYPERLINK("http://www.12365auto.com/zlts/20200228/449232.shtml","东风日产逍客原地转向异响希望厂家处理")</f>
        <v>东风日产逍客原地转向异响希望厂家处理</v>
      </c>
      <c r="C252" s="2" t="s">
        <v>13</v>
      </c>
      <c r="D252" s="2" t="s">
        <v>12</v>
      </c>
      <c r="E252" s="2" t="s">
        <v>17</v>
      </c>
      <c r="F252" s="2" t="str">
        <f>HYPERLINK("http://www.12365auto.com/zlts/20200228/449232.shtml","http://www.12365auto.com/zlts/20200228/449232.shtml")</f>
        <v>http://www.12365auto.com/zlts/20200228/449232.shtml</v>
      </c>
      <c r="G252" s="2"/>
      <c r="H252" s="2" t="s">
        <v>483</v>
      </c>
      <c r="I252" s="2" t="s">
        <v>15</v>
      </c>
      <c r="J252" s="2" t="s">
        <v>12</v>
      </c>
      <c r="K252" s="2" t="s">
        <v>484</v>
      </c>
      <c r="L252" s="2">
        <f t="shared" si="3"/>
        <v>150</v>
      </c>
    </row>
    <row r="253" spans="1:12" ht="25" customHeight="1">
      <c r="A253" s="2" t="s">
        <v>12</v>
      </c>
      <c r="B253" s="2" t="str">
        <f>HYPERLINK("http://m.12365auto.com/zjdy/20200228/121743.shtml","在外做保养发动机出现质量问题能索赔吗？")</f>
        <v>在外做保养发动机出现质量问题能索赔吗？</v>
      </c>
      <c r="C253" s="2" t="s">
        <v>13</v>
      </c>
      <c r="D253" s="2" t="s">
        <v>12</v>
      </c>
      <c r="E253" s="2"/>
      <c r="F253" s="2" t="str">
        <f>HYPERLINK("http://m.12365auto.com/zjdy/20200228/121743.shtml","http://m.12365auto.com/zjdy/20200228/121743.shtml")</f>
        <v>http://m.12365auto.com/zjdy/20200228/121743.shtml</v>
      </c>
      <c r="G253" s="2"/>
      <c r="H253" s="2" t="s">
        <v>485</v>
      </c>
      <c r="I253" s="2" t="s">
        <v>19</v>
      </c>
      <c r="J253" s="2" t="s">
        <v>12</v>
      </c>
      <c r="K253" s="2" t="s">
        <v>486</v>
      </c>
      <c r="L253" s="2">
        <f t="shared" si="3"/>
        <v>77</v>
      </c>
    </row>
    <row r="254" spans="1:12" ht="25" customHeight="1">
      <c r="A254" s="2" t="s">
        <v>12</v>
      </c>
      <c r="B254" s="2" t="str">
        <f>HYPERLINK("http://m.12365auto.com/zjdy/20200228/121741.shtml","四驱按钮不管用无法关闭四驱模式怎么办？")</f>
        <v>四驱按钮不管用无法关闭四驱模式怎么办？</v>
      </c>
      <c r="C254" s="2" t="s">
        <v>13</v>
      </c>
      <c r="D254" s="2" t="s">
        <v>12</v>
      </c>
      <c r="E254" s="2"/>
      <c r="F254" s="2" t="str">
        <f>HYPERLINK("http://m.12365auto.com/zjdy/20200228/121741.shtml","http://m.12365auto.com/zjdy/20200228/121741.shtml")</f>
        <v>http://m.12365auto.com/zjdy/20200228/121741.shtml</v>
      </c>
      <c r="G254" s="2"/>
      <c r="H254" s="2" t="s">
        <v>487</v>
      </c>
      <c r="I254" s="2" t="s">
        <v>19</v>
      </c>
      <c r="J254" s="2" t="s">
        <v>12</v>
      </c>
      <c r="K254" s="2" t="s">
        <v>486</v>
      </c>
      <c r="L254" s="2">
        <f t="shared" si="3"/>
        <v>20</v>
      </c>
    </row>
    <row r="255" spans="1:12" ht="25" customHeight="1">
      <c r="A255" s="2" t="s">
        <v>12</v>
      </c>
      <c r="B255" s="2" t="str">
        <f>HYPERLINK("http://m.12365auto.com/zjdy/20200228/121742.shtml","现代ix35行驶中车门无法上锁是为什么？")</f>
        <v>现代ix35行驶中车门无法上锁是为什么？</v>
      </c>
      <c r="C255" s="2" t="s">
        <v>13</v>
      </c>
      <c r="D255" s="2" t="s">
        <v>12</v>
      </c>
      <c r="E255" s="2"/>
      <c r="F255" s="2" t="str">
        <f>HYPERLINK("http://m.12365auto.com/zjdy/20200228/121742.shtml","http://m.12365auto.com/zjdy/20200228/121742.shtml")</f>
        <v>http://m.12365auto.com/zjdy/20200228/121742.shtml</v>
      </c>
      <c r="G255" s="2"/>
      <c r="H255" s="2" t="s">
        <v>488</v>
      </c>
      <c r="I255" s="2" t="s">
        <v>19</v>
      </c>
      <c r="J255" s="2" t="s">
        <v>12</v>
      </c>
      <c r="K255" s="2" t="s">
        <v>486</v>
      </c>
      <c r="L255" s="2">
        <f t="shared" si="3"/>
        <v>43</v>
      </c>
    </row>
    <row r="256" spans="1:12" ht="25" customHeight="1">
      <c r="A256" s="2" t="s">
        <v>12</v>
      </c>
      <c r="B256" s="2" t="str">
        <f>HYPERLINK("http://www.12365auto.com/zlts/20200228/449231.shtml","一汽丰田RAV4荣放尾灯开裂 发动机盖异响")</f>
        <v>一汽丰田RAV4荣放尾灯开裂 发动机盖异响</v>
      </c>
      <c r="C256" s="2" t="s">
        <v>13</v>
      </c>
      <c r="D256" s="2" t="s">
        <v>12</v>
      </c>
      <c r="E256" s="2" t="s">
        <v>17</v>
      </c>
      <c r="F256" s="2" t="str">
        <f>HYPERLINK("http://www.12365auto.com/zlts/20200228/449231.shtml","http://www.12365auto.com/zlts/20200228/449231.shtml")</f>
        <v>http://www.12365auto.com/zlts/20200228/449231.shtml</v>
      </c>
      <c r="G256" s="2"/>
      <c r="H256" s="2" t="s">
        <v>489</v>
      </c>
      <c r="I256" s="2" t="s">
        <v>19</v>
      </c>
      <c r="J256" s="2" t="s">
        <v>12</v>
      </c>
      <c r="K256" s="2" t="s">
        <v>490</v>
      </c>
      <c r="L256" s="2">
        <f t="shared" si="3"/>
        <v>150</v>
      </c>
    </row>
    <row r="257" spans="1:12" ht="25" customHeight="1">
      <c r="A257" s="2" t="s">
        <v>12</v>
      </c>
      <c r="B257" s="2" t="str">
        <f>HYPERLINK("http://www.12365auto.com/zlts/20200228/449230.shtml","进口宝马6系GT倍耐力轮胎开裂影响安全")</f>
        <v>进口宝马6系GT倍耐力轮胎开裂影响安全</v>
      </c>
      <c r="C257" s="2" t="s">
        <v>13</v>
      </c>
      <c r="D257" s="2" t="s">
        <v>12</v>
      </c>
      <c r="E257" s="2" t="s">
        <v>17</v>
      </c>
      <c r="F257" s="2" t="str">
        <f>HYPERLINK("http://www.12365auto.com/zlts/20200228/449230.shtml","http://www.12365auto.com/zlts/20200228/449230.shtml")</f>
        <v>http://www.12365auto.com/zlts/20200228/449230.shtml</v>
      </c>
      <c r="G257" s="2"/>
      <c r="H257" s="2" t="s">
        <v>491</v>
      </c>
      <c r="I257" s="2" t="s">
        <v>19</v>
      </c>
      <c r="J257" s="2" t="s">
        <v>12</v>
      </c>
      <c r="K257" s="2" t="s">
        <v>492</v>
      </c>
      <c r="L257" s="2">
        <f t="shared" si="3"/>
        <v>150</v>
      </c>
    </row>
    <row r="258" spans="1:12" ht="25" customHeight="1">
      <c r="A258" s="2" t="s">
        <v>12</v>
      </c>
      <c r="B258" s="2" t="str">
        <f>HYPERLINK("http://www.12365auto.com/zlts/20200228/449229.shtml","上汽名爵锐腾变速箱抖动异响 上坡辅助失灵")</f>
        <v>上汽名爵锐腾变速箱抖动异响 上坡辅助失灵</v>
      </c>
      <c r="C258" s="2" t="s">
        <v>13</v>
      </c>
      <c r="D258" s="2" t="s">
        <v>12</v>
      </c>
      <c r="E258" s="2" t="s">
        <v>17</v>
      </c>
      <c r="F258" s="2" t="str">
        <f>HYPERLINK("http://www.12365auto.com/zlts/20200228/449229.shtml","http://www.12365auto.com/zlts/20200228/449229.shtml")</f>
        <v>http://www.12365auto.com/zlts/20200228/449229.shtml</v>
      </c>
      <c r="G258" s="2"/>
      <c r="H258" s="2" t="s">
        <v>493</v>
      </c>
      <c r="I258" s="2" t="s">
        <v>19</v>
      </c>
      <c r="J258" s="2" t="s">
        <v>12</v>
      </c>
      <c r="K258" s="2" t="s">
        <v>492</v>
      </c>
      <c r="L258" s="2">
        <f t="shared" si="3"/>
        <v>150</v>
      </c>
    </row>
    <row r="259" spans="1:12" ht="25" customHeight="1">
      <c r="A259" s="2" t="s">
        <v>12</v>
      </c>
      <c r="B259" s="2" t="str">
        <f>HYPERLINK("http://www.12365auto.com/zlts/20200228/449227.shtml","众泰E200行驶过程中多次出现动力消失")</f>
        <v>众泰E200行驶过程中多次出现动力消失</v>
      </c>
      <c r="C259" s="2" t="s">
        <v>13</v>
      </c>
      <c r="D259" s="2" t="s">
        <v>12</v>
      </c>
      <c r="E259" s="2" t="s">
        <v>17</v>
      </c>
      <c r="F259" s="2" t="str">
        <f>HYPERLINK("http://www.12365auto.com/zlts/20200228/449227.shtml","http://www.12365auto.com/zlts/20200228/449227.shtml")</f>
        <v>http://www.12365auto.com/zlts/20200228/449227.shtml</v>
      </c>
      <c r="G259" s="2"/>
      <c r="H259" s="2" t="s">
        <v>494</v>
      </c>
      <c r="I259" s="2" t="s">
        <v>19</v>
      </c>
      <c r="J259" s="2" t="s">
        <v>12</v>
      </c>
      <c r="K259" s="2" t="s">
        <v>495</v>
      </c>
      <c r="L259" s="2">
        <f t="shared" ref="L259:L322" si="4">LEN(H259)</f>
        <v>150</v>
      </c>
    </row>
    <row r="260" spans="1:12" ht="25" customHeight="1">
      <c r="A260" s="2" t="s">
        <v>12</v>
      </c>
      <c r="B260" s="2" t="str">
        <f>HYPERLINK("http://www.12365auto.com/zlts/20200228/449225.shtml","广汽本田飞度R挡顿挫变速箱反应迟缓")</f>
        <v>广汽本田飞度R挡顿挫变速箱反应迟缓</v>
      </c>
      <c r="C260" s="2" t="s">
        <v>13</v>
      </c>
      <c r="D260" s="2" t="s">
        <v>12</v>
      </c>
      <c r="E260" s="2" t="s">
        <v>17</v>
      </c>
      <c r="F260" s="2" t="str">
        <f>HYPERLINK("http://www.12365auto.com/zlts/20200228/449225.shtml","http://www.12365auto.com/zlts/20200228/449225.shtml")</f>
        <v>http://www.12365auto.com/zlts/20200228/449225.shtml</v>
      </c>
      <c r="G260" s="2"/>
      <c r="H260" s="2" t="s">
        <v>496</v>
      </c>
      <c r="I260" s="2" t="s">
        <v>15</v>
      </c>
      <c r="J260" s="2" t="s">
        <v>12</v>
      </c>
      <c r="K260" s="2" t="s">
        <v>497</v>
      </c>
      <c r="L260" s="2">
        <f t="shared" si="4"/>
        <v>150</v>
      </c>
    </row>
    <row r="261" spans="1:12" ht="25" customHeight="1">
      <c r="A261" s="2" t="s">
        <v>12</v>
      </c>
      <c r="B261" s="2" t="str">
        <f>HYPERLINK("http://www.12365auto.com/zlts/20200228/449226.shtml","广汽本田冠道变速箱漏油要求厂家给予赔偿")</f>
        <v>广汽本田冠道变速箱漏油要求厂家给予赔偿</v>
      </c>
      <c r="C261" s="2" t="s">
        <v>13</v>
      </c>
      <c r="D261" s="2" t="s">
        <v>12</v>
      </c>
      <c r="E261" s="2" t="s">
        <v>17</v>
      </c>
      <c r="F261" s="2" t="str">
        <f>HYPERLINK("http://www.12365auto.com/zlts/20200228/449226.shtml","http://www.12365auto.com/zlts/20200228/449226.shtml")</f>
        <v>http://www.12365auto.com/zlts/20200228/449226.shtml</v>
      </c>
      <c r="G261" s="2"/>
      <c r="H261" s="2" t="s">
        <v>498</v>
      </c>
      <c r="I261" s="2" t="s">
        <v>19</v>
      </c>
      <c r="J261" s="2" t="s">
        <v>12</v>
      </c>
      <c r="K261" s="2" t="s">
        <v>497</v>
      </c>
      <c r="L261" s="2">
        <f t="shared" si="4"/>
        <v>150</v>
      </c>
    </row>
    <row r="262" spans="1:12" ht="25" customHeight="1">
      <c r="A262" s="2" t="s">
        <v>12</v>
      </c>
      <c r="B262" s="2" t="str">
        <f>HYPERLINK("http://m.12365auto.com/zjdy/20200228/121740.shtml","别克新君威隔音怎么样质量如何值得购买吗？")</f>
        <v>别克新君威隔音怎么样质量如何值得购买吗？</v>
      </c>
      <c r="C262" s="2" t="s">
        <v>13</v>
      </c>
      <c r="D262" s="2" t="s">
        <v>12</v>
      </c>
      <c r="E262" s="2"/>
      <c r="F262" s="2" t="str">
        <f>HYPERLINK("http://m.12365auto.com/zjdy/20200228/121740.shtml","http://m.12365auto.com/zjdy/20200228/121740.shtml")</f>
        <v>http://m.12365auto.com/zjdy/20200228/121740.shtml</v>
      </c>
      <c r="G262" s="2"/>
      <c r="H262" s="2" t="s">
        <v>499</v>
      </c>
      <c r="I262" s="2" t="s">
        <v>19</v>
      </c>
      <c r="J262" s="2" t="s">
        <v>12</v>
      </c>
      <c r="K262" s="2" t="s">
        <v>500</v>
      </c>
      <c r="L262" s="2">
        <f t="shared" si="4"/>
        <v>20</v>
      </c>
    </row>
    <row r="263" spans="1:12" ht="25" customHeight="1">
      <c r="A263" s="2" t="s">
        <v>12</v>
      </c>
      <c r="B263" s="2" t="str">
        <f>HYPERLINK("http://www.12365auto.com/zlts/20200228/449224.shtml","上汽大众途观L变速箱升降挡异响严重")</f>
        <v>上汽大众途观L变速箱升降挡异响严重</v>
      </c>
      <c r="C263" s="2" t="s">
        <v>13</v>
      </c>
      <c r="D263" s="2" t="s">
        <v>12</v>
      </c>
      <c r="E263" s="2" t="s">
        <v>17</v>
      </c>
      <c r="F263" s="2" t="str">
        <f>HYPERLINK("http://www.12365auto.com/zlts/20200228/449224.shtml","http://www.12365auto.com/zlts/20200228/449224.shtml")</f>
        <v>http://www.12365auto.com/zlts/20200228/449224.shtml</v>
      </c>
      <c r="G263" s="2"/>
      <c r="H263" s="2" t="s">
        <v>501</v>
      </c>
      <c r="I263" s="2" t="s">
        <v>15</v>
      </c>
      <c r="J263" s="2" t="s">
        <v>12</v>
      </c>
      <c r="K263" s="2" t="s">
        <v>502</v>
      </c>
      <c r="L263" s="2">
        <f t="shared" si="4"/>
        <v>150</v>
      </c>
    </row>
    <row r="264" spans="1:12" ht="25" customHeight="1">
      <c r="A264" s="2" t="s">
        <v>12</v>
      </c>
      <c r="B264" s="2" t="str">
        <f>HYPERLINK("http://bbs.12365auto.com/postcontent.aspx?tId=195557","雪铁龙世嘉大灯和雨刮器自动启动")</f>
        <v>雪铁龙世嘉大灯和雨刮器自动启动</v>
      </c>
      <c r="C264" s="2" t="s">
        <v>13</v>
      </c>
      <c r="D264" s="2" t="s">
        <v>12</v>
      </c>
      <c r="E264" s="2" t="s">
        <v>66</v>
      </c>
      <c r="F264" s="2" t="str">
        <f>HYPERLINK("http://bbs.12365auto.com/postcontent.aspx?tId=195557","http://bbs.12365auto.com/postcontent.aspx?tId=195557")</f>
        <v>http://bbs.12365auto.com/postcontent.aspx?tId=195557</v>
      </c>
      <c r="G264" s="2"/>
      <c r="H264" s="2" t="s">
        <v>503</v>
      </c>
      <c r="I264" s="2" t="s">
        <v>15</v>
      </c>
      <c r="J264" s="2" t="s">
        <v>504</v>
      </c>
      <c r="K264" s="2" t="s">
        <v>505</v>
      </c>
      <c r="L264" s="2">
        <f t="shared" si="4"/>
        <v>150</v>
      </c>
    </row>
    <row r="265" spans="1:12" ht="25" customHeight="1">
      <c r="A265" s="2" t="s">
        <v>12</v>
      </c>
      <c r="B265" s="2" t="str">
        <f>HYPERLINK("http://bbs.12365auto.com/postcontent.aspx?tId=195556","卡罗拉韩泰轮胎爆胎4S店拒绝索赔")</f>
        <v>卡罗拉韩泰轮胎爆胎4S店拒绝索赔</v>
      </c>
      <c r="C265" s="2" t="s">
        <v>13</v>
      </c>
      <c r="D265" s="2" t="s">
        <v>12</v>
      </c>
      <c r="E265" s="2" t="s">
        <v>66</v>
      </c>
      <c r="F265" s="2" t="str">
        <f>HYPERLINK("http://bbs.12365auto.com/postcontent.aspx?tId=195556","http://bbs.12365auto.com/postcontent.aspx?tId=195556")</f>
        <v>http://bbs.12365auto.com/postcontent.aspx?tId=195556</v>
      </c>
      <c r="G265" s="2"/>
      <c r="H265" s="2" t="s">
        <v>506</v>
      </c>
      <c r="I265" s="2" t="s">
        <v>15</v>
      </c>
      <c r="J265" s="2" t="s">
        <v>507</v>
      </c>
      <c r="K265" s="2" t="s">
        <v>505</v>
      </c>
      <c r="L265" s="2">
        <f t="shared" si="4"/>
        <v>28</v>
      </c>
    </row>
    <row r="266" spans="1:12" ht="25" customHeight="1">
      <c r="A266" s="2" t="s">
        <v>12</v>
      </c>
      <c r="B266" s="2" t="str">
        <f>HYPERLINK("http://bbs.12365auto.com/postcontent.aspx?tID=195557","雪铁龙世嘉大灯和雨刮器自动启动")</f>
        <v>雪铁龙世嘉大灯和雨刮器自动启动</v>
      </c>
      <c r="C266" s="2" t="s">
        <v>13</v>
      </c>
      <c r="D266" s="2" t="s">
        <v>12</v>
      </c>
      <c r="E266" s="2" t="s">
        <v>67</v>
      </c>
      <c r="F266" s="2" t="str">
        <f>HYPERLINK("http://bbs.12365auto.com/postcontent.aspx?tID=195557","http://bbs.12365auto.com/postcontent.aspx?tID=195557")</f>
        <v>http://bbs.12365auto.com/postcontent.aspx?tID=195557</v>
      </c>
      <c r="G266" s="2"/>
      <c r="H266" s="2" t="s">
        <v>508</v>
      </c>
      <c r="I266" s="2" t="s">
        <v>15</v>
      </c>
      <c r="J266" s="2" t="s">
        <v>504</v>
      </c>
      <c r="K266" s="2" t="s">
        <v>505</v>
      </c>
      <c r="L266" s="2">
        <f t="shared" si="4"/>
        <v>150</v>
      </c>
    </row>
    <row r="267" spans="1:12" ht="25" customHeight="1">
      <c r="A267" s="2" t="s">
        <v>12</v>
      </c>
      <c r="B267" s="2" t="str">
        <f>HYPERLINK("http://www.12365auto.com/zlts/20200228/449222.shtml","进口克莱斯勒300C经销商扣押车贷押金")</f>
        <v>进口克莱斯勒300C经销商扣押车贷押金</v>
      </c>
      <c r="C267" s="2" t="s">
        <v>13</v>
      </c>
      <c r="D267" s="2" t="s">
        <v>12</v>
      </c>
      <c r="E267" s="2" t="s">
        <v>17</v>
      </c>
      <c r="F267" s="2" t="str">
        <f>HYPERLINK("http://www.12365auto.com/zlts/20200228/449222.shtml","http://www.12365auto.com/zlts/20200228/449222.shtml")</f>
        <v>http://www.12365auto.com/zlts/20200228/449222.shtml</v>
      </c>
      <c r="G267" s="2"/>
      <c r="H267" s="2" t="s">
        <v>509</v>
      </c>
      <c r="I267" s="2" t="s">
        <v>19</v>
      </c>
      <c r="J267" s="2" t="s">
        <v>12</v>
      </c>
      <c r="K267" s="2" t="s">
        <v>505</v>
      </c>
      <c r="L267" s="2">
        <f t="shared" si="4"/>
        <v>150</v>
      </c>
    </row>
    <row r="268" spans="1:12" ht="25" customHeight="1">
      <c r="A268" s="2" t="s">
        <v>12</v>
      </c>
      <c r="B268" s="2" t="str">
        <f>HYPERLINK("http://bbs.12365auto.com/postcontent.aspx?tID=195556","卡罗拉韩泰轮胎爆胎4S店拒绝索赔")</f>
        <v>卡罗拉韩泰轮胎爆胎4S店拒绝索赔</v>
      </c>
      <c r="C268" s="2" t="s">
        <v>13</v>
      </c>
      <c r="D268" s="2" t="s">
        <v>12</v>
      </c>
      <c r="E268" s="2" t="s">
        <v>67</v>
      </c>
      <c r="F268" s="2" t="str">
        <f>HYPERLINK("http://bbs.12365auto.com/postcontent.aspx?tID=195556","http://bbs.12365auto.com/postcontent.aspx?tID=195556")</f>
        <v>http://bbs.12365auto.com/postcontent.aspx?tID=195556</v>
      </c>
      <c r="G268" s="2"/>
      <c r="H268" s="2" t="s">
        <v>510</v>
      </c>
      <c r="I268" s="2" t="s">
        <v>15</v>
      </c>
      <c r="J268" s="2" t="s">
        <v>507</v>
      </c>
      <c r="K268" s="2" t="s">
        <v>505</v>
      </c>
      <c r="L268" s="2">
        <f t="shared" si="4"/>
        <v>44</v>
      </c>
    </row>
    <row r="269" spans="1:12" ht="25" customHeight="1">
      <c r="A269" s="2" t="s">
        <v>12</v>
      </c>
      <c r="B269" s="2" t="str">
        <f>HYPERLINK("http://m.12365auto.com/bbs/postcontent.aspx?tID=195556&amp;i=1","卡罗拉韩泰轮胎爆胎4S店拒绝索赔")</f>
        <v>卡罗拉韩泰轮胎爆胎4S店拒绝索赔</v>
      </c>
      <c r="C269" s="2" t="s">
        <v>13</v>
      </c>
      <c r="D269" s="2" t="s">
        <v>23</v>
      </c>
      <c r="E269" s="2"/>
      <c r="F269" s="2" t="str">
        <f>HYPERLINK("http://m.12365auto.com/bbs/postcontent.aspx?tID=195556&amp;i=1","http://m.12365auto.com/bbs/postcontent.aspx?tID=195556&amp;i=1")</f>
        <v>http://m.12365auto.com/bbs/postcontent.aspx?tID=195556&amp;i=1</v>
      </c>
      <c r="G269" s="2"/>
      <c r="H269" s="2" t="s">
        <v>506</v>
      </c>
      <c r="I269" s="2" t="s">
        <v>15</v>
      </c>
      <c r="J269" s="2" t="s">
        <v>507</v>
      </c>
      <c r="K269" s="2" t="s">
        <v>505</v>
      </c>
      <c r="L269" s="2">
        <f t="shared" si="4"/>
        <v>28</v>
      </c>
    </row>
    <row r="270" spans="1:12" ht="25" customHeight="1">
      <c r="A270" s="2" t="s">
        <v>12</v>
      </c>
      <c r="B270" s="2" t="str">
        <f>HYPERLINK("http://m.12365auto.com/bbs/postcontent.aspx?tID=195556","卡罗拉韩泰轮胎爆胎4S店拒绝索赔")</f>
        <v>卡罗拉韩泰轮胎爆胎4S店拒绝索赔</v>
      </c>
      <c r="C270" s="2" t="s">
        <v>13</v>
      </c>
      <c r="D270" s="2" t="s">
        <v>23</v>
      </c>
      <c r="E270" s="2"/>
      <c r="F270" s="2" t="str">
        <f>HYPERLINK("http://m.12365auto.com/bbs/postcontent.aspx?tID=195556","http://m.12365auto.com/bbs/postcontent.aspx?tID=195556")</f>
        <v>http://m.12365auto.com/bbs/postcontent.aspx?tID=195556</v>
      </c>
      <c r="G270" s="2"/>
      <c r="H270" s="2" t="s">
        <v>506</v>
      </c>
      <c r="I270" s="2" t="s">
        <v>15</v>
      </c>
      <c r="J270" s="2" t="s">
        <v>507</v>
      </c>
      <c r="K270" s="2" t="s">
        <v>505</v>
      </c>
      <c r="L270" s="2">
        <f t="shared" si="4"/>
        <v>28</v>
      </c>
    </row>
    <row r="271" spans="1:12" ht="25" customHeight="1">
      <c r="A271" s="2" t="s">
        <v>12</v>
      </c>
      <c r="B271" s="2" t="str">
        <f>HYPERLINK("http://m.12365auto.com/bbs/postcontent.aspx?tID=195557","雪铁龙世嘉大灯和雨刮器自动启动")</f>
        <v>雪铁龙世嘉大灯和雨刮器自动启动</v>
      </c>
      <c r="C271" s="2" t="s">
        <v>13</v>
      </c>
      <c r="D271" s="2" t="s">
        <v>23</v>
      </c>
      <c r="E271" s="2"/>
      <c r="F271" s="2" t="str">
        <f>HYPERLINK("http://m.12365auto.com/bbs/postcontent.aspx?tID=195557","http://m.12365auto.com/bbs/postcontent.aspx?tID=195557")</f>
        <v>http://m.12365auto.com/bbs/postcontent.aspx?tID=195557</v>
      </c>
      <c r="G271" s="2"/>
      <c r="H271" s="2" t="s">
        <v>503</v>
      </c>
      <c r="I271" s="2" t="s">
        <v>15</v>
      </c>
      <c r="J271" s="2" t="s">
        <v>504</v>
      </c>
      <c r="K271" s="2" t="s">
        <v>505</v>
      </c>
      <c r="L271" s="2">
        <f t="shared" si="4"/>
        <v>150</v>
      </c>
    </row>
    <row r="272" spans="1:12" ht="25" customHeight="1">
      <c r="A272" s="2" t="s">
        <v>12</v>
      </c>
      <c r="B272" s="2" t="str">
        <f>HYPERLINK("http://bbs.12365auto.com/postcontent.aspx?tID=195555","奔腾B30转向卡顿升级后未能解决")</f>
        <v>奔腾B30转向卡顿升级后未能解决</v>
      </c>
      <c r="C272" s="2" t="s">
        <v>13</v>
      </c>
      <c r="D272" s="2" t="s">
        <v>12</v>
      </c>
      <c r="E272" s="2" t="s">
        <v>67</v>
      </c>
      <c r="F272" s="2" t="str">
        <f>HYPERLINK("http://bbs.12365auto.com/postcontent.aspx?tID=195555","http://bbs.12365auto.com/postcontent.aspx?tID=195555")</f>
        <v>http://bbs.12365auto.com/postcontent.aspx?tID=195555</v>
      </c>
      <c r="G272" s="2"/>
      <c r="H272" s="2" t="s">
        <v>511</v>
      </c>
      <c r="I272" s="2" t="s">
        <v>15</v>
      </c>
      <c r="J272" s="2" t="s">
        <v>512</v>
      </c>
      <c r="K272" s="2" t="s">
        <v>513</v>
      </c>
      <c r="L272" s="2">
        <f t="shared" si="4"/>
        <v>90</v>
      </c>
    </row>
    <row r="273" spans="1:12" ht="25" customHeight="1">
      <c r="A273" s="2" t="s">
        <v>12</v>
      </c>
      <c r="B273" s="2" t="str">
        <f>HYPERLINK("http://bbs.12365auto.com/postcontent.aspx?tId=195555","奔腾B30转向卡顿升级后未能解决")</f>
        <v>奔腾B30转向卡顿升级后未能解决</v>
      </c>
      <c r="C273" s="2" t="s">
        <v>13</v>
      </c>
      <c r="D273" s="2" t="s">
        <v>12</v>
      </c>
      <c r="E273" s="2" t="s">
        <v>66</v>
      </c>
      <c r="F273" s="2" t="str">
        <f>HYPERLINK("http://bbs.12365auto.com/postcontent.aspx?tId=195555","http://bbs.12365auto.com/postcontent.aspx?tId=195555")</f>
        <v>http://bbs.12365auto.com/postcontent.aspx?tId=195555</v>
      </c>
      <c r="G273" s="2"/>
      <c r="H273" s="2" t="s">
        <v>514</v>
      </c>
      <c r="I273" s="2" t="s">
        <v>15</v>
      </c>
      <c r="J273" s="2" t="s">
        <v>512</v>
      </c>
      <c r="K273" s="2" t="s">
        <v>513</v>
      </c>
      <c r="L273" s="2">
        <f t="shared" si="4"/>
        <v>74</v>
      </c>
    </row>
    <row r="274" spans="1:12" ht="25" customHeight="1">
      <c r="A274" s="2" t="s">
        <v>12</v>
      </c>
      <c r="B274" s="2" t="str">
        <f>HYPERLINK("http://m.12365auto.com/bbs/postcontent.aspx?tID=195555","奔腾B30转向卡顿升级后未能解决")</f>
        <v>奔腾B30转向卡顿升级后未能解决</v>
      </c>
      <c r="C274" s="2" t="s">
        <v>13</v>
      </c>
      <c r="D274" s="2" t="s">
        <v>23</v>
      </c>
      <c r="E274" s="2"/>
      <c r="F274" s="2" t="str">
        <f>HYPERLINK("http://m.12365auto.com/bbs/postcontent.aspx?tID=195555","http://m.12365auto.com/bbs/postcontent.aspx?tID=195555")</f>
        <v>http://m.12365auto.com/bbs/postcontent.aspx?tID=195555</v>
      </c>
      <c r="G274" s="2"/>
      <c r="H274" s="2" t="s">
        <v>514</v>
      </c>
      <c r="I274" s="2" t="s">
        <v>15</v>
      </c>
      <c r="J274" s="2" t="s">
        <v>512</v>
      </c>
      <c r="K274" s="2" t="s">
        <v>513</v>
      </c>
      <c r="L274" s="2">
        <f t="shared" si="4"/>
        <v>74</v>
      </c>
    </row>
    <row r="275" spans="1:12" ht="25" customHeight="1">
      <c r="A275" s="2" t="s">
        <v>12</v>
      </c>
      <c r="B275" s="2" t="str">
        <f>HYPERLINK("http://bbs.12365auto.com/postcontent.aspx?tId=195553","瑞虎8车身生锈掉漆减震器异响 刹车异响")</f>
        <v>瑞虎8车身生锈掉漆减震器异响 刹车异响</v>
      </c>
      <c r="C275" s="2" t="s">
        <v>13</v>
      </c>
      <c r="D275" s="2" t="s">
        <v>12</v>
      </c>
      <c r="E275" s="2" t="s">
        <v>66</v>
      </c>
      <c r="F275" s="2" t="str">
        <f>HYPERLINK("http://bbs.12365auto.com/postcontent.aspx?tId=195553","http://bbs.12365auto.com/postcontent.aspx?tId=195553")</f>
        <v>http://bbs.12365auto.com/postcontent.aspx?tId=195553</v>
      </c>
      <c r="G275" s="2"/>
      <c r="H275" s="2" t="s">
        <v>515</v>
      </c>
      <c r="I275" s="2" t="s">
        <v>15</v>
      </c>
      <c r="J275" s="2" t="s">
        <v>516</v>
      </c>
      <c r="K275" s="2" t="s">
        <v>517</v>
      </c>
      <c r="L275" s="2">
        <f t="shared" si="4"/>
        <v>150</v>
      </c>
    </row>
    <row r="276" spans="1:12" ht="25" customHeight="1">
      <c r="A276" s="2" t="s">
        <v>12</v>
      </c>
      <c r="B276" s="2" t="str">
        <f>HYPERLINK("http://www.12365auto.com/zlts/20200228/449221.shtml","吉利帝豪行驶时主驾驶车门异响 刹车异响")</f>
        <v>吉利帝豪行驶时主驾驶车门异响 刹车异响</v>
      </c>
      <c r="C276" s="2" t="s">
        <v>13</v>
      </c>
      <c r="D276" s="2" t="s">
        <v>12</v>
      </c>
      <c r="E276" s="2" t="s">
        <v>17</v>
      </c>
      <c r="F276" s="2" t="str">
        <f>HYPERLINK("http://www.12365auto.com/zlts/20200228/449221.shtml","http://www.12365auto.com/zlts/20200228/449221.shtml")</f>
        <v>http://www.12365auto.com/zlts/20200228/449221.shtml</v>
      </c>
      <c r="G276" s="2"/>
      <c r="H276" s="2" t="s">
        <v>518</v>
      </c>
      <c r="I276" s="2" t="s">
        <v>19</v>
      </c>
      <c r="J276" s="2" t="s">
        <v>12</v>
      </c>
      <c r="K276" s="2" t="s">
        <v>517</v>
      </c>
      <c r="L276" s="2">
        <f t="shared" si="4"/>
        <v>150</v>
      </c>
    </row>
    <row r="277" spans="1:12" ht="25" customHeight="1">
      <c r="A277" s="2" t="s">
        <v>12</v>
      </c>
      <c r="B277" s="2" t="str">
        <f>HYPERLINK("http://m.12365auto.com/bbs/postcontent.aspx?tID=195553","瑞虎8车身生锈掉漆减震器异响 刹车异响")</f>
        <v>瑞虎8车身生锈掉漆减震器异响 刹车异响</v>
      </c>
      <c r="C277" s="2" t="s">
        <v>13</v>
      </c>
      <c r="D277" s="2" t="s">
        <v>23</v>
      </c>
      <c r="E277" s="2"/>
      <c r="F277" s="2" t="str">
        <f>HYPERLINK("http://m.12365auto.com/bbs/postcontent.aspx?tID=195553","http://m.12365auto.com/bbs/postcontent.aspx?tID=195553")</f>
        <v>http://m.12365auto.com/bbs/postcontent.aspx?tID=195553</v>
      </c>
      <c r="G277" s="2"/>
      <c r="H277" s="2" t="s">
        <v>515</v>
      </c>
      <c r="I277" s="2" t="s">
        <v>15</v>
      </c>
      <c r="J277" s="2" t="s">
        <v>516</v>
      </c>
      <c r="K277" s="2" t="s">
        <v>517</v>
      </c>
      <c r="L277" s="2">
        <f t="shared" si="4"/>
        <v>150</v>
      </c>
    </row>
    <row r="278" spans="1:12" ht="25" customHeight="1">
      <c r="A278" s="2" t="s">
        <v>12</v>
      </c>
      <c r="B278" s="2" t="str">
        <f>HYPERLINK("http://bbs.12365auto.com/postcontent.aspx?tID=195553","瑞虎8车身生锈掉漆减震器异响 刹车异响")</f>
        <v>瑞虎8车身生锈掉漆减震器异响 刹车异响</v>
      </c>
      <c r="C278" s="2" t="s">
        <v>13</v>
      </c>
      <c r="D278" s="2" t="s">
        <v>12</v>
      </c>
      <c r="E278" s="2" t="s">
        <v>67</v>
      </c>
      <c r="F278" s="2" t="str">
        <f>HYPERLINK("http://bbs.12365auto.com/postcontent.aspx?tID=195553","http://bbs.12365auto.com/postcontent.aspx?tID=195553")</f>
        <v>http://bbs.12365auto.com/postcontent.aspx?tID=195553</v>
      </c>
      <c r="G278" s="2"/>
      <c r="H278" s="2" t="s">
        <v>519</v>
      </c>
      <c r="I278" s="2" t="s">
        <v>15</v>
      </c>
      <c r="J278" s="2" t="s">
        <v>516</v>
      </c>
      <c r="K278" s="2" t="s">
        <v>517</v>
      </c>
      <c r="L278" s="2">
        <f t="shared" si="4"/>
        <v>150</v>
      </c>
    </row>
    <row r="279" spans="1:12" ht="25" customHeight="1">
      <c r="A279" s="2" t="s">
        <v>12</v>
      </c>
      <c r="B279" s="2" t="str">
        <f>HYPERLINK("http://bbs.12365auto.com/postcontent.aspx?tId=195552","睿骋CC电瓶电量低 发动机启停失效")</f>
        <v>睿骋CC电瓶电量低 发动机启停失效</v>
      </c>
      <c r="C279" s="2" t="s">
        <v>13</v>
      </c>
      <c r="D279" s="2" t="s">
        <v>12</v>
      </c>
      <c r="E279" s="2" t="s">
        <v>66</v>
      </c>
      <c r="F279" s="2" t="str">
        <f>HYPERLINK("http://bbs.12365auto.com/postcontent.aspx?tId=195552","http://bbs.12365auto.com/postcontent.aspx?tId=195552")</f>
        <v>http://bbs.12365auto.com/postcontent.aspx?tId=195552</v>
      </c>
      <c r="G279" s="2"/>
      <c r="H279" s="2" t="s">
        <v>520</v>
      </c>
      <c r="I279" s="2" t="s">
        <v>15</v>
      </c>
      <c r="J279" s="2" t="s">
        <v>521</v>
      </c>
      <c r="K279" s="2" t="s">
        <v>522</v>
      </c>
      <c r="L279" s="2">
        <f t="shared" si="4"/>
        <v>21</v>
      </c>
    </row>
    <row r="280" spans="1:12" ht="25" customHeight="1">
      <c r="A280" s="2" t="s">
        <v>12</v>
      </c>
      <c r="B280" s="2" t="str">
        <f>HYPERLINK("http://m.12365auto.com/bbs/postcontent.aspx?tID=195552","睿骋CC电瓶电量低 发动机启停失效")</f>
        <v>睿骋CC电瓶电量低 发动机启停失效</v>
      </c>
      <c r="C280" s="2" t="s">
        <v>13</v>
      </c>
      <c r="D280" s="2" t="s">
        <v>23</v>
      </c>
      <c r="E280" s="2"/>
      <c r="F280" s="2" t="str">
        <f>HYPERLINK("http://m.12365auto.com/bbs/postcontent.aspx?tID=195552","http://m.12365auto.com/bbs/postcontent.aspx?tID=195552")</f>
        <v>http://m.12365auto.com/bbs/postcontent.aspx?tID=195552</v>
      </c>
      <c r="G280" s="2"/>
      <c r="H280" s="2" t="s">
        <v>520</v>
      </c>
      <c r="I280" s="2" t="s">
        <v>15</v>
      </c>
      <c r="J280" s="2" t="s">
        <v>521</v>
      </c>
      <c r="K280" s="2" t="s">
        <v>522</v>
      </c>
      <c r="L280" s="2">
        <f t="shared" si="4"/>
        <v>21</v>
      </c>
    </row>
    <row r="281" spans="1:12" ht="25" customHeight="1">
      <c r="A281" s="2" t="s">
        <v>12</v>
      </c>
      <c r="B281" s="2" t="str">
        <f>HYPERLINK("http://bbs.12365auto.com/postcontent.aspx?tID=195552","睿骋CC电瓶电量低 发动机启停失效")</f>
        <v>睿骋CC电瓶电量低 发动机启停失效</v>
      </c>
      <c r="C281" s="2" t="s">
        <v>13</v>
      </c>
      <c r="D281" s="2" t="s">
        <v>12</v>
      </c>
      <c r="E281" s="2" t="s">
        <v>67</v>
      </c>
      <c r="F281" s="2" t="str">
        <f>HYPERLINK("http://bbs.12365auto.com/postcontent.aspx?tID=195552","http://bbs.12365auto.com/postcontent.aspx?tID=195552")</f>
        <v>http://bbs.12365auto.com/postcontent.aspx?tID=195552</v>
      </c>
      <c r="G281" s="2"/>
      <c r="H281" s="2" t="s">
        <v>523</v>
      </c>
      <c r="I281" s="2" t="s">
        <v>15</v>
      </c>
      <c r="J281" s="2" t="s">
        <v>521</v>
      </c>
      <c r="K281" s="2" t="s">
        <v>522</v>
      </c>
      <c r="L281" s="2">
        <f t="shared" si="4"/>
        <v>38</v>
      </c>
    </row>
    <row r="282" spans="1:12" ht="25" customHeight="1">
      <c r="A282" s="2" t="s">
        <v>12</v>
      </c>
      <c r="B282" s="2" t="str">
        <f>HYPERLINK("http://bbs.12365auto.com/postcontent.aspx?tId=195550","博越车内异味 车辆存在漏电现象")</f>
        <v>博越车内异味 车辆存在漏电现象</v>
      </c>
      <c r="C282" s="2" t="s">
        <v>13</v>
      </c>
      <c r="D282" s="2" t="s">
        <v>12</v>
      </c>
      <c r="E282" s="2" t="s">
        <v>66</v>
      </c>
      <c r="F282" s="2" t="str">
        <f>HYPERLINK("http://bbs.12365auto.com/postcontent.aspx?tId=195550","http://bbs.12365auto.com/postcontent.aspx?tId=195550")</f>
        <v>http://bbs.12365auto.com/postcontent.aspx?tId=195550</v>
      </c>
      <c r="G282" s="2"/>
      <c r="H282" s="2" t="s">
        <v>524</v>
      </c>
      <c r="I282" s="2" t="s">
        <v>15</v>
      </c>
      <c r="J282" s="2" t="s">
        <v>525</v>
      </c>
      <c r="K282" s="2" t="s">
        <v>526</v>
      </c>
      <c r="L282" s="2">
        <f t="shared" si="4"/>
        <v>150</v>
      </c>
    </row>
    <row r="283" spans="1:12" ht="25" customHeight="1">
      <c r="A283" s="2" t="s">
        <v>12</v>
      </c>
      <c r="B283" s="2" t="str">
        <f>HYPERLINK("http://bbs.12365auto.com/postcontent.aspx?tId=195551","标致3008发动机机油压力故障")</f>
        <v>标致3008发动机机油压力故障</v>
      </c>
      <c r="C283" s="2" t="s">
        <v>13</v>
      </c>
      <c r="D283" s="2" t="s">
        <v>12</v>
      </c>
      <c r="E283" s="2" t="s">
        <v>66</v>
      </c>
      <c r="F283" s="2" t="str">
        <f>HYPERLINK("http://bbs.12365auto.com/postcontent.aspx?tId=195551","http://bbs.12365auto.com/postcontent.aspx?tId=195551")</f>
        <v>http://bbs.12365auto.com/postcontent.aspx?tId=195551</v>
      </c>
      <c r="G283" s="2"/>
      <c r="H283" s="2" t="s">
        <v>527</v>
      </c>
      <c r="I283" s="2" t="s">
        <v>15</v>
      </c>
      <c r="J283" s="2" t="s">
        <v>528</v>
      </c>
      <c r="K283" s="2" t="s">
        <v>526</v>
      </c>
      <c r="L283" s="2">
        <f t="shared" si="4"/>
        <v>150</v>
      </c>
    </row>
    <row r="284" spans="1:12" ht="25" customHeight="1">
      <c r="A284" s="2" t="s">
        <v>12</v>
      </c>
      <c r="B284" s="2" t="str">
        <f>HYPERLINK("http://bbs.12365auto.com/postcontent.aspx?tID=195551","标致3008发动机机油压力故障")</f>
        <v>标致3008发动机机油压力故障</v>
      </c>
      <c r="C284" s="2" t="s">
        <v>13</v>
      </c>
      <c r="D284" s="2" t="s">
        <v>12</v>
      </c>
      <c r="E284" s="2" t="s">
        <v>67</v>
      </c>
      <c r="F284" s="2" t="str">
        <f>HYPERLINK("http://bbs.12365auto.com/postcontent.aspx?tID=195551","http://bbs.12365auto.com/postcontent.aspx?tID=195551")</f>
        <v>http://bbs.12365auto.com/postcontent.aspx?tID=195551</v>
      </c>
      <c r="G284" s="2"/>
      <c r="H284" s="2" t="s">
        <v>529</v>
      </c>
      <c r="I284" s="2" t="s">
        <v>15</v>
      </c>
      <c r="J284" s="2" t="s">
        <v>528</v>
      </c>
      <c r="K284" s="2" t="s">
        <v>526</v>
      </c>
      <c r="L284" s="2">
        <f t="shared" si="4"/>
        <v>150</v>
      </c>
    </row>
    <row r="285" spans="1:12" ht="25" customHeight="1">
      <c r="A285" s="2" t="s">
        <v>12</v>
      </c>
      <c r="B285" s="2" t="str">
        <f>HYPERLINK("http://m.12365auto.com/bbs/postcontent.aspx?tID=195551","标致3008发动机机油压力故障")</f>
        <v>标致3008发动机机油压力故障</v>
      </c>
      <c r="C285" s="2" t="s">
        <v>13</v>
      </c>
      <c r="D285" s="2" t="s">
        <v>23</v>
      </c>
      <c r="E285" s="2"/>
      <c r="F285" s="2" t="str">
        <f>HYPERLINK("http://m.12365auto.com/bbs/postcontent.aspx?tID=195551","http://m.12365auto.com/bbs/postcontent.aspx?tID=195551")</f>
        <v>http://m.12365auto.com/bbs/postcontent.aspx?tID=195551</v>
      </c>
      <c r="G285" s="2"/>
      <c r="H285" s="2" t="s">
        <v>527</v>
      </c>
      <c r="I285" s="2" t="s">
        <v>15</v>
      </c>
      <c r="J285" s="2" t="s">
        <v>528</v>
      </c>
      <c r="K285" s="2" t="s">
        <v>526</v>
      </c>
      <c r="L285" s="2">
        <f t="shared" si="4"/>
        <v>150</v>
      </c>
    </row>
    <row r="286" spans="1:12" ht="25" customHeight="1">
      <c r="A286" s="2" t="s">
        <v>12</v>
      </c>
      <c r="B286" s="2" t="str">
        <f>HYPERLINK("http://m.12365auto.com/bbs/postcontent.aspx?tID=195550","博越车内异味 车辆存在漏电现象")</f>
        <v>博越车内异味 车辆存在漏电现象</v>
      </c>
      <c r="C286" s="2" t="s">
        <v>13</v>
      </c>
      <c r="D286" s="2" t="s">
        <v>23</v>
      </c>
      <c r="E286" s="2"/>
      <c r="F286" s="2" t="str">
        <f>HYPERLINK("http://m.12365auto.com/bbs/postcontent.aspx?tID=195550","http://m.12365auto.com/bbs/postcontent.aspx?tID=195550")</f>
        <v>http://m.12365auto.com/bbs/postcontent.aspx?tID=195550</v>
      </c>
      <c r="G286" s="2"/>
      <c r="H286" s="2" t="s">
        <v>524</v>
      </c>
      <c r="I286" s="2" t="s">
        <v>15</v>
      </c>
      <c r="J286" s="2" t="s">
        <v>525</v>
      </c>
      <c r="K286" s="2" t="s">
        <v>526</v>
      </c>
      <c r="L286" s="2">
        <f t="shared" si="4"/>
        <v>150</v>
      </c>
    </row>
    <row r="287" spans="1:12" ht="25" customHeight="1">
      <c r="A287" s="2" t="s">
        <v>12</v>
      </c>
      <c r="B287" s="2" t="str">
        <f>HYPERLINK("http://bbs.12365auto.com/postcontent.aspx?tID=195550","博越车内异味 车辆存在漏电现象")</f>
        <v>博越车内异味 车辆存在漏电现象</v>
      </c>
      <c r="C287" s="2" t="s">
        <v>13</v>
      </c>
      <c r="D287" s="2" t="s">
        <v>12</v>
      </c>
      <c r="E287" s="2" t="s">
        <v>67</v>
      </c>
      <c r="F287" s="2" t="str">
        <f>HYPERLINK("http://bbs.12365auto.com/postcontent.aspx?tID=195550","http://bbs.12365auto.com/postcontent.aspx?tID=195550")</f>
        <v>http://bbs.12365auto.com/postcontent.aspx?tID=195550</v>
      </c>
      <c r="G287" s="2"/>
      <c r="H287" s="2" t="s">
        <v>530</v>
      </c>
      <c r="I287" s="2" t="s">
        <v>15</v>
      </c>
      <c r="J287" s="2" t="s">
        <v>525</v>
      </c>
      <c r="K287" s="2" t="s">
        <v>526</v>
      </c>
      <c r="L287" s="2">
        <f t="shared" si="4"/>
        <v>150</v>
      </c>
    </row>
    <row r="288" spans="1:12" ht="25" customHeight="1">
      <c r="A288" s="2" t="s">
        <v>12</v>
      </c>
      <c r="B288" s="2" t="str">
        <f>HYPERLINK("http://bbs.12365auto.com/postcontent.aspx?tId=195547","广汽丰田凯美瑞主驾驶位座椅起皮起皱")</f>
        <v>广汽丰田凯美瑞主驾驶位座椅起皮起皱</v>
      </c>
      <c r="C288" s="2" t="s">
        <v>13</v>
      </c>
      <c r="D288" s="2" t="s">
        <v>12</v>
      </c>
      <c r="E288" s="2" t="s">
        <v>66</v>
      </c>
      <c r="F288" s="2" t="str">
        <f>HYPERLINK("http://bbs.12365auto.com/postcontent.aspx?tId=195547","http://bbs.12365auto.com/postcontent.aspx?tId=195547")</f>
        <v>http://bbs.12365auto.com/postcontent.aspx?tId=195547</v>
      </c>
      <c r="G288" s="2"/>
      <c r="H288" s="2" t="s">
        <v>531</v>
      </c>
      <c r="I288" s="2" t="s">
        <v>15</v>
      </c>
      <c r="J288" s="2" t="s">
        <v>532</v>
      </c>
      <c r="K288" s="2" t="s">
        <v>533</v>
      </c>
      <c r="L288" s="2">
        <f t="shared" si="4"/>
        <v>38</v>
      </c>
    </row>
    <row r="289" spans="1:12" ht="25" customHeight="1">
      <c r="A289" s="2" t="s">
        <v>12</v>
      </c>
      <c r="B289" s="2" t="str">
        <f>HYPERLINK("http://bbs.12365auto.com/postcontent.aspx?tId=195549","东风雪铁龙C4L高压油泵故障要求处理")</f>
        <v>东风雪铁龙C4L高压油泵故障要求处理</v>
      </c>
      <c r="C289" s="2" t="s">
        <v>13</v>
      </c>
      <c r="D289" s="2" t="s">
        <v>12</v>
      </c>
      <c r="E289" s="2" t="s">
        <v>66</v>
      </c>
      <c r="F289" s="2" t="str">
        <f>HYPERLINK("http://bbs.12365auto.com/postcontent.aspx?tId=195549","http://bbs.12365auto.com/postcontent.aspx?tId=195549")</f>
        <v>http://bbs.12365auto.com/postcontent.aspx?tId=195549</v>
      </c>
      <c r="G289" s="2"/>
      <c r="H289" s="2" t="s">
        <v>534</v>
      </c>
      <c r="I289" s="2" t="s">
        <v>15</v>
      </c>
      <c r="J289" s="2" t="s">
        <v>535</v>
      </c>
      <c r="K289" s="2" t="s">
        <v>533</v>
      </c>
      <c r="L289" s="2">
        <f t="shared" si="4"/>
        <v>150</v>
      </c>
    </row>
    <row r="290" spans="1:12" ht="25" customHeight="1">
      <c r="A290" s="2" t="s">
        <v>12</v>
      </c>
      <c r="B290" s="2" t="str">
        <f>HYPERLINK("http://bbs.12365auto.com/postcontent.aspx?tId=195546","思域优科豪马轮胎掉皮发动机失去动力")</f>
        <v>思域优科豪马轮胎掉皮发动机失去动力</v>
      </c>
      <c r="C290" s="2" t="s">
        <v>13</v>
      </c>
      <c r="D290" s="2" t="s">
        <v>12</v>
      </c>
      <c r="E290" s="2" t="s">
        <v>66</v>
      </c>
      <c r="F290" s="2" t="str">
        <f>HYPERLINK("http://bbs.12365auto.com/postcontent.aspx?tId=195546","http://bbs.12365auto.com/postcontent.aspx?tId=195546")</f>
        <v>http://bbs.12365auto.com/postcontent.aspx?tId=195546</v>
      </c>
      <c r="G290" s="2"/>
      <c r="H290" s="2" t="s">
        <v>536</v>
      </c>
      <c r="I290" s="2" t="s">
        <v>15</v>
      </c>
      <c r="J290" s="2" t="s">
        <v>528</v>
      </c>
      <c r="K290" s="2" t="s">
        <v>533</v>
      </c>
      <c r="L290" s="2">
        <f t="shared" si="4"/>
        <v>51</v>
      </c>
    </row>
    <row r="291" spans="1:12" ht="25" customHeight="1">
      <c r="A291" s="2" t="s">
        <v>12</v>
      </c>
      <c r="B291" s="2" t="str">
        <f>HYPERLINK("http://bbs.12365auto.com/postcontent.aspx?tId=195548","本田凌派通过坑洼路段时后轮减震器异响")</f>
        <v>本田凌派通过坑洼路段时后轮减震器异响</v>
      </c>
      <c r="C291" s="2" t="s">
        <v>13</v>
      </c>
      <c r="D291" s="2" t="s">
        <v>12</v>
      </c>
      <c r="E291" s="2" t="s">
        <v>66</v>
      </c>
      <c r="F291" s="2" t="str">
        <f>HYPERLINK("http://bbs.12365auto.com/postcontent.aspx?tId=195548","http://bbs.12365auto.com/postcontent.aspx?tId=195548")</f>
        <v>http://bbs.12365auto.com/postcontent.aspx?tId=195548</v>
      </c>
      <c r="G291" s="2"/>
      <c r="H291" s="2" t="s">
        <v>537</v>
      </c>
      <c r="I291" s="2" t="s">
        <v>15</v>
      </c>
      <c r="J291" s="2" t="s">
        <v>538</v>
      </c>
      <c r="K291" s="2" t="s">
        <v>533</v>
      </c>
      <c r="L291" s="2">
        <f t="shared" si="4"/>
        <v>65</v>
      </c>
    </row>
    <row r="292" spans="1:12" ht="25" customHeight="1">
      <c r="A292" s="2" t="s">
        <v>12</v>
      </c>
      <c r="B292" s="2" t="str">
        <f>HYPERLINK("http://bbs.12365auto.com/postcontent.aspx?tID=195546","思域优科豪马轮胎掉皮发动机失去动力")</f>
        <v>思域优科豪马轮胎掉皮发动机失去动力</v>
      </c>
      <c r="C292" s="2" t="s">
        <v>13</v>
      </c>
      <c r="D292" s="2" t="s">
        <v>12</v>
      </c>
      <c r="E292" s="2" t="s">
        <v>67</v>
      </c>
      <c r="F292" s="2" t="str">
        <f>HYPERLINK("http://bbs.12365auto.com/postcontent.aspx?tID=195546","http://bbs.12365auto.com/postcontent.aspx?tID=195546")</f>
        <v>http://bbs.12365auto.com/postcontent.aspx?tID=195546</v>
      </c>
      <c r="G292" s="2"/>
      <c r="H292" s="2" t="s">
        <v>539</v>
      </c>
      <c r="I292" s="2" t="s">
        <v>15</v>
      </c>
      <c r="J292" s="2" t="s">
        <v>528</v>
      </c>
      <c r="K292" s="2" t="s">
        <v>533</v>
      </c>
      <c r="L292" s="2">
        <f t="shared" si="4"/>
        <v>68</v>
      </c>
    </row>
    <row r="293" spans="1:12" ht="25" customHeight="1">
      <c r="A293" s="2" t="s">
        <v>12</v>
      </c>
      <c r="B293" s="2" t="str">
        <f>HYPERLINK("http://bbs.12365auto.com/postcontent.aspx?tID=195549","东风雪铁龙C4L高压油泵故障要求处理")</f>
        <v>东风雪铁龙C4L高压油泵故障要求处理</v>
      </c>
      <c r="C293" s="2" t="s">
        <v>13</v>
      </c>
      <c r="D293" s="2" t="s">
        <v>12</v>
      </c>
      <c r="E293" s="2" t="s">
        <v>67</v>
      </c>
      <c r="F293" s="2" t="str">
        <f>HYPERLINK("http://bbs.12365auto.com/postcontent.aspx?tID=195549","http://bbs.12365auto.com/postcontent.aspx?tID=195549")</f>
        <v>http://bbs.12365auto.com/postcontent.aspx?tID=195549</v>
      </c>
      <c r="G293" s="2"/>
      <c r="H293" s="2" t="s">
        <v>540</v>
      </c>
      <c r="I293" s="2" t="s">
        <v>15</v>
      </c>
      <c r="J293" s="2" t="s">
        <v>535</v>
      </c>
      <c r="K293" s="2" t="s">
        <v>533</v>
      </c>
      <c r="L293" s="2">
        <f t="shared" si="4"/>
        <v>150</v>
      </c>
    </row>
    <row r="294" spans="1:12" ht="25" customHeight="1">
      <c r="A294" s="2" t="s">
        <v>12</v>
      </c>
      <c r="B294" s="2" t="str">
        <f>HYPERLINK("http://bbs.12365auto.com/postcontent.aspx?tID=195547","广汽丰田凯美瑞主驾驶位座椅起皮起皱")</f>
        <v>广汽丰田凯美瑞主驾驶位座椅起皮起皱</v>
      </c>
      <c r="C294" s="2" t="s">
        <v>13</v>
      </c>
      <c r="D294" s="2" t="s">
        <v>12</v>
      </c>
      <c r="E294" s="2" t="s">
        <v>67</v>
      </c>
      <c r="F294" s="2" t="str">
        <f>HYPERLINK("http://bbs.12365auto.com/postcontent.aspx?tID=195547","http://bbs.12365auto.com/postcontent.aspx?tID=195547")</f>
        <v>http://bbs.12365auto.com/postcontent.aspx?tID=195547</v>
      </c>
      <c r="G294" s="2"/>
      <c r="H294" s="2" t="s">
        <v>541</v>
      </c>
      <c r="I294" s="2" t="s">
        <v>15</v>
      </c>
      <c r="J294" s="2" t="s">
        <v>532</v>
      </c>
      <c r="K294" s="2" t="s">
        <v>533</v>
      </c>
      <c r="L294" s="2">
        <f t="shared" si="4"/>
        <v>55</v>
      </c>
    </row>
    <row r="295" spans="1:12" ht="25" customHeight="1">
      <c r="A295" s="2" t="s">
        <v>12</v>
      </c>
      <c r="B295" s="2" t="str">
        <f>HYPERLINK("http://bbs.12365auto.com/postcontent.aspx?tID=195548","本田凌派通过坑洼路段时后轮减震器异响")</f>
        <v>本田凌派通过坑洼路段时后轮减震器异响</v>
      </c>
      <c r="C295" s="2" t="s">
        <v>13</v>
      </c>
      <c r="D295" s="2" t="s">
        <v>12</v>
      </c>
      <c r="E295" s="2" t="s">
        <v>67</v>
      </c>
      <c r="F295" s="2" t="str">
        <f>HYPERLINK("http://bbs.12365auto.com/postcontent.aspx?tID=195548","http://bbs.12365auto.com/postcontent.aspx?tID=195548")</f>
        <v>http://bbs.12365auto.com/postcontent.aspx?tID=195548</v>
      </c>
      <c r="G295" s="2"/>
      <c r="H295" s="2" t="s">
        <v>542</v>
      </c>
      <c r="I295" s="2" t="s">
        <v>15</v>
      </c>
      <c r="J295" s="2" t="s">
        <v>538</v>
      </c>
      <c r="K295" s="2" t="s">
        <v>533</v>
      </c>
      <c r="L295" s="2">
        <f t="shared" si="4"/>
        <v>83</v>
      </c>
    </row>
    <row r="296" spans="1:12" ht="25" customHeight="1">
      <c r="A296" s="2" t="s">
        <v>12</v>
      </c>
      <c r="B296" s="2" t="str">
        <f>HYPERLINK("http://m.12365auto.com/bbs/postcontent.aspx?tID=195549","东风雪铁龙C4L高压油泵故障要求处理")</f>
        <v>东风雪铁龙C4L高压油泵故障要求处理</v>
      </c>
      <c r="C296" s="2" t="s">
        <v>13</v>
      </c>
      <c r="D296" s="2" t="s">
        <v>23</v>
      </c>
      <c r="E296" s="2"/>
      <c r="F296" s="2" t="str">
        <f>HYPERLINK("http://m.12365auto.com/bbs/postcontent.aspx?tID=195549","http://m.12365auto.com/bbs/postcontent.aspx?tID=195549")</f>
        <v>http://m.12365auto.com/bbs/postcontent.aspx?tID=195549</v>
      </c>
      <c r="G296" s="2"/>
      <c r="H296" s="2" t="s">
        <v>534</v>
      </c>
      <c r="I296" s="2" t="s">
        <v>15</v>
      </c>
      <c r="J296" s="2" t="s">
        <v>535</v>
      </c>
      <c r="K296" s="2" t="s">
        <v>533</v>
      </c>
      <c r="L296" s="2">
        <f t="shared" si="4"/>
        <v>150</v>
      </c>
    </row>
    <row r="297" spans="1:12" ht="25" customHeight="1">
      <c r="A297" s="2" t="s">
        <v>12</v>
      </c>
      <c r="B297" s="2" t="str">
        <f>HYPERLINK("http://m.12365auto.com/bbs/postcontent.aspx?tID=195547","广汽丰田凯美瑞主驾驶位座椅起皮起皱")</f>
        <v>广汽丰田凯美瑞主驾驶位座椅起皮起皱</v>
      </c>
      <c r="C297" s="2" t="s">
        <v>13</v>
      </c>
      <c r="D297" s="2" t="s">
        <v>23</v>
      </c>
      <c r="E297" s="2"/>
      <c r="F297" s="2" t="str">
        <f>HYPERLINK("http://m.12365auto.com/bbs/postcontent.aspx?tID=195547","http://m.12365auto.com/bbs/postcontent.aspx?tID=195547")</f>
        <v>http://m.12365auto.com/bbs/postcontent.aspx?tID=195547</v>
      </c>
      <c r="G297" s="2"/>
      <c r="H297" s="2" t="s">
        <v>531</v>
      </c>
      <c r="I297" s="2" t="s">
        <v>15</v>
      </c>
      <c r="J297" s="2" t="s">
        <v>532</v>
      </c>
      <c r="K297" s="2" t="s">
        <v>533</v>
      </c>
      <c r="L297" s="2">
        <f t="shared" si="4"/>
        <v>38</v>
      </c>
    </row>
    <row r="298" spans="1:12" ht="25" customHeight="1">
      <c r="A298" s="2" t="s">
        <v>12</v>
      </c>
      <c r="B298" s="2" t="str">
        <f>HYPERLINK("http://m.12365auto.com/bbs/postcontent.aspx?tID=195548","本田凌派通过坑洼路段时后轮减震器异响")</f>
        <v>本田凌派通过坑洼路段时后轮减震器异响</v>
      </c>
      <c r="C298" s="2" t="s">
        <v>13</v>
      </c>
      <c r="D298" s="2" t="s">
        <v>23</v>
      </c>
      <c r="E298" s="2"/>
      <c r="F298" s="2" t="str">
        <f>HYPERLINK("http://m.12365auto.com/bbs/postcontent.aspx?tID=195548","http://m.12365auto.com/bbs/postcontent.aspx?tID=195548")</f>
        <v>http://m.12365auto.com/bbs/postcontent.aspx?tID=195548</v>
      </c>
      <c r="G298" s="2"/>
      <c r="H298" s="2" t="s">
        <v>537</v>
      </c>
      <c r="I298" s="2" t="s">
        <v>15</v>
      </c>
      <c r="J298" s="2" t="s">
        <v>538</v>
      </c>
      <c r="K298" s="2" t="s">
        <v>533</v>
      </c>
      <c r="L298" s="2">
        <f t="shared" si="4"/>
        <v>65</v>
      </c>
    </row>
    <row r="299" spans="1:12" ht="25" customHeight="1">
      <c r="A299" s="2" t="s">
        <v>12</v>
      </c>
      <c r="B299" s="2" t="str">
        <f>HYPERLINK("http://www.12365auto.com/zlts/20200228/449219.shtml","猎豹CS10挂挡后无任何动力输出一直未解决")</f>
        <v>猎豹CS10挂挡后无任何动力输出一直未解决</v>
      </c>
      <c r="C299" s="2" t="s">
        <v>13</v>
      </c>
      <c r="D299" s="2" t="s">
        <v>12</v>
      </c>
      <c r="E299" s="2" t="s">
        <v>17</v>
      </c>
      <c r="F299" s="2" t="str">
        <f>HYPERLINK("http://www.12365auto.com/zlts/20200228/449219.shtml","http://www.12365auto.com/zlts/20200228/449219.shtml")</f>
        <v>http://www.12365auto.com/zlts/20200228/449219.shtml</v>
      </c>
      <c r="G299" s="2"/>
      <c r="H299" s="2" t="s">
        <v>543</v>
      </c>
      <c r="I299" s="2" t="s">
        <v>15</v>
      </c>
      <c r="J299" s="2" t="s">
        <v>12</v>
      </c>
      <c r="K299" s="2" t="s">
        <v>544</v>
      </c>
      <c r="L299" s="2">
        <f t="shared" si="4"/>
        <v>150</v>
      </c>
    </row>
    <row r="300" spans="1:12" ht="25" customHeight="1">
      <c r="A300" s="2" t="s">
        <v>12</v>
      </c>
      <c r="B300" s="2" t="str">
        <f>HYPERLINK("http://bbs.12365auto.com/postcontent.aspx?tId=195545","北京现代领动行驶中变速箱加速无力")</f>
        <v>北京现代领动行驶中变速箱加速无力</v>
      </c>
      <c r="C300" s="2" t="s">
        <v>13</v>
      </c>
      <c r="D300" s="2" t="s">
        <v>12</v>
      </c>
      <c r="E300" s="2" t="s">
        <v>66</v>
      </c>
      <c r="F300" s="2" t="str">
        <f>HYPERLINK("http://bbs.12365auto.com/postcontent.aspx?tId=195545","http://bbs.12365auto.com/postcontent.aspx?tId=195545")</f>
        <v>http://bbs.12365auto.com/postcontent.aspx?tId=195545</v>
      </c>
      <c r="G300" s="2"/>
      <c r="H300" s="2" t="s">
        <v>545</v>
      </c>
      <c r="I300" s="2" t="s">
        <v>15</v>
      </c>
      <c r="J300" s="2" t="s">
        <v>546</v>
      </c>
      <c r="K300" s="2" t="s">
        <v>544</v>
      </c>
      <c r="L300" s="2">
        <f t="shared" si="4"/>
        <v>79</v>
      </c>
    </row>
    <row r="301" spans="1:12" ht="25" customHeight="1">
      <c r="A301" s="2" t="s">
        <v>12</v>
      </c>
      <c r="B301" s="2" t="str">
        <f>HYPERLINK("http://bbs.12365auto.com/postcontent.aspx?tId=195544","捷途X70发动机渗油希望尽快得到处理")</f>
        <v>捷途X70发动机渗油希望尽快得到处理</v>
      </c>
      <c r="C301" s="2" t="s">
        <v>13</v>
      </c>
      <c r="D301" s="2" t="s">
        <v>12</v>
      </c>
      <c r="E301" s="2" t="s">
        <v>66</v>
      </c>
      <c r="F301" s="2" t="str">
        <f>HYPERLINK("http://bbs.12365auto.com/postcontent.aspx?tId=195544","http://bbs.12365auto.com/postcontent.aspx?tId=195544")</f>
        <v>http://bbs.12365auto.com/postcontent.aspx?tId=195544</v>
      </c>
      <c r="G301" s="2"/>
      <c r="H301" s="2" t="s">
        <v>547</v>
      </c>
      <c r="I301" s="2" t="s">
        <v>15</v>
      </c>
      <c r="J301" s="2" t="s">
        <v>548</v>
      </c>
      <c r="K301" s="2" t="s">
        <v>544</v>
      </c>
      <c r="L301" s="2">
        <f t="shared" si="4"/>
        <v>26</v>
      </c>
    </row>
    <row r="302" spans="1:12" ht="25" customHeight="1">
      <c r="A302" s="2" t="s">
        <v>12</v>
      </c>
      <c r="B302" s="2" t="str">
        <f>HYPERLINK("http://bbs.12365auto.com/postcontent.aspx?tID=195544","捷途X70发动机渗油希望尽快得到处理")</f>
        <v>捷途X70发动机渗油希望尽快得到处理</v>
      </c>
      <c r="C302" s="2" t="s">
        <v>13</v>
      </c>
      <c r="D302" s="2" t="s">
        <v>12</v>
      </c>
      <c r="E302" s="2" t="s">
        <v>67</v>
      </c>
      <c r="F302" s="2" t="str">
        <f>HYPERLINK("http://bbs.12365auto.com/postcontent.aspx?tID=195544","http://bbs.12365auto.com/postcontent.aspx?tID=195544")</f>
        <v>http://bbs.12365auto.com/postcontent.aspx?tID=195544</v>
      </c>
      <c r="G302" s="2"/>
      <c r="H302" s="2" t="s">
        <v>549</v>
      </c>
      <c r="I302" s="2" t="s">
        <v>15</v>
      </c>
      <c r="J302" s="2" t="s">
        <v>548</v>
      </c>
      <c r="K302" s="2" t="s">
        <v>544</v>
      </c>
      <c r="L302" s="2">
        <f t="shared" si="4"/>
        <v>44</v>
      </c>
    </row>
    <row r="303" spans="1:12" ht="25" customHeight="1">
      <c r="A303" s="2" t="s">
        <v>12</v>
      </c>
      <c r="B303" s="2" t="str">
        <f>HYPERLINK("http://bbs.12365auto.com/postcontent.aspx?tID=195545","北京现代领动行驶中变速箱加速无力")</f>
        <v>北京现代领动行驶中变速箱加速无力</v>
      </c>
      <c r="C303" s="2" t="s">
        <v>13</v>
      </c>
      <c r="D303" s="2" t="s">
        <v>12</v>
      </c>
      <c r="E303" s="2" t="s">
        <v>67</v>
      </c>
      <c r="F303" s="2" t="str">
        <f>HYPERLINK("http://bbs.12365auto.com/postcontent.aspx?tID=195545","http://bbs.12365auto.com/postcontent.aspx?tID=195545")</f>
        <v>http://bbs.12365auto.com/postcontent.aspx?tID=195545</v>
      </c>
      <c r="G303" s="2"/>
      <c r="H303" s="2" t="s">
        <v>550</v>
      </c>
      <c r="I303" s="2" t="s">
        <v>15</v>
      </c>
      <c r="J303" s="2" t="s">
        <v>546</v>
      </c>
      <c r="K303" s="2" t="s">
        <v>544</v>
      </c>
      <c r="L303" s="2">
        <f t="shared" si="4"/>
        <v>95</v>
      </c>
    </row>
    <row r="304" spans="1:12" ht="25" customHeight="1">
      <c r="A304" s="2" t="s">
        <v>12</v>
      </c>
      <c r="B304" s="2" t="str">
        <f>HYPERLINK("http://www.12365auto.com/zlts/20200228/449215.shtml","别克凯越仪表台脱胶开裂影响安全驾驶")</f>
        <v>别克凯越仪表台脱胶开裂影响安全驾驶</v>
      </c>
      <c r="C304" s="2" t="s">
        <v>13</v>
      </c>
      <c r="D304" s="2" t="s">
        <v>12</v>
      </c>
      <c r="E304" s="2"/>
      <c r="F304" s="2" t="str">
        <f>HYPERLINK("http://www.12365auto.com/zlts/20200228/449215.shtml","http://www.12365auto.com/zlts/20200228/449215.shtml")</f>
        <v>http://www.12365auto.com/zlts/20200228/449215.shtml</v>
      </c>
      <c r="G304" s="2"/>
      <c r="H304" s="3" t="s">
        <v>551</v>
      </c>
      <c r="I304" s="2" t="s">
        <v>15</v>
      </c>
      <c r="J304" s="2" t="s">
        <v>12</v>
      </c>
      <c r="K304" s="2" t="s">
        <v>552</v>
      </c>
      <c r="L304" s="2">
        <f t="shared" si="4"/>
        <v>102</v>
      </c>
    </row>
    <row r="305" spans="1:12" ht="25" customHeight="1">
      <c r="A305" s="2" t="s">
        <v>12</v>
      </c>
      <c r="B305" s="2" t="str">
        <f>HYPERLINK("http://www.12365auto.com/zlts/20200228/449214.shtml","雪佛兰迈锐宝XL挂入P挡后仪表提示未挂入P挡")</f>
        <v>雪佛兰迈锐宝XL挂入P挡后仪表提示未挂入P挡</v>
      </c>
      <c r="C305" s="2" t="s">
        <v>13</v>
      </c>
      <c r="D305" s="2" t="s">
        <v>12</v>
      </c>
      <c r="E305" s="2"/>
      <c r="F305" s="2" t="str">
        <f>HYPERLINK("http://www.12365auto.com/zlts/20200228/449214.shtml","http://www.12365auto.com/zlts/20200228/449214.shtml")</f>
        <v>http://www.12365auto.com/zlts/20200228/449214.shtml</v>
      </c>
      <c r="G305" s="2"/>
      <c r="H305" s="3" t="s">
        <v>553</v>
      </c>
      <c r="I305" s="2" t="s">
        <v>15</v>
      </c>
      <c r="J305" s="2" t="s">
        <v>12</v>
      </c>
      <c r="K305" s="2" t="s">
        <v>554</v>
      </c>
      <c r="L305" s="2">
        <f t="shared" si="4"/>
        <v>113</v>
      </c>
    </row>
    <row r="306" spans="1:12" ht="25" customHeight="1">
      <c r="A306" s="2" t="s">
        <v>12</v>
      </c>
      <c r="B306" s="2" t="str">
        <f>HYPERLINK("http://www.12365auto.com/zlts/20200228/449216.shtml","哈弗F7导航不准确 360影像模糊不清")</f>
        <v>哈弗F7导航不准确 360影像模糊不清</v>
      </c>
      <c r="C306" s="2" t="s">
        <v>13</v>
      </c>
      <c r="D306" s="2" t="s">
        <v>12</v>
      </c>
      <c r="E306" s="2"/>
      <c r="F306" s="2" t="str">
        <f>HYPERLINK("http://www.12365auto.com/zlts/20200228/449216.shtml","http://www.12365auto.com/zlts/20200228/449216.shtml")</f>
        <v>http://www.12365auto.com/zlts/20200228/449216.shtml</v>
      </c>
      <c r="G306" s="2"/>
      <c r="H306" s="3" t="s">
        <v>555</v>
      </c>
      <c r="I306" s="2" t="s">
        <v>15</v>
      </c>
      <c r="J306" s="2" t="s">
        <v>12</v>
      </c>
      <c r="K306" s="2" t="s">
        <v>556</v>
      </c>
      <c r="L306" s="2">
        <f t="shared" si="4"/>
        <v>105</v>
      </c>
    </row>
    <row r="307" spans="1:12" ht="25" customHeight="1">
      <c r="A307" s="2" t="s">
        <v>12</v>
      </c>
      <c r="B307" s="2" t="str">
        <f>HYPERLINK("http://bbs.12365auto.com/postcontent.aspx?tID=195542","东风悦达起亚智跑车身多处漆面开裂")</f>
        <v>东风悦达起亚智跑车身多处漆面开裂</v>
      </c>
      <c r="C307" s="2" t="s">
        <v>13</v>
      </c>
      <c r="D307" s="2" t="s">
        <v>12</v>
      </c>
      <c r="E307" s="2" t="s">
        <v>67</v>
      </c>
      <c r="F307" s="2" t="str">
        <f>HYPERLINK("http://bbs.12365auto.com/postcontent.aspx?tID=195542","http://bbs.12365auto.com/postcontent.aspx?tID=195542")</f>
        <v>http://bbs.12365auto.com/postcontent.aspx?tID=195542</v>
      </c>
      <c r="G307" s="2"/>
      <c r="H307" s="2" t="s">
        <v>557</v>
      </c>
      <c r="I307" s="2" t="s">
        <v>15</v>
      </c>
      <c r="J307" s="2" t="s">
        <v>558</v>
      </c>
      <c r="K307" s="2" t="s">
        <v>559</v>
      </c>
      <c r="L307" s="2">
        <f t="shared" si="4"/>
        <v>150</v>
      </c>
    </row>
    <row r="308" spans="1:12" ht="25" customHeight="1">
      <c r="A308" s="2" t="s">
        <v>12</v>
      </c>
      <c r="B308" s="2" t="str">
        <f>HYPERLINK("http://bbs.12365auto.com/postcontent.aspx?tId=195542","东风悦达起亚智跑车身多处漆面开裂")</f>
        <v>东风悦达起亚智跑车身多处漆面开裂</v>
      </c>
      <c r="C308" s="2" t="s">
        <v>13</v>
      </c>
      <c r="D308" s="2" t="s">
        <v>12</v>
      </c>
      <c r="E308" s="2" t="s">
        <v>66</v>
      </c>
      <c r="F308" s="2" t="str">
        <f>HYPERLINK("http://bbs.12365auto.com/postcontent.aspx?tId=195542","http://bbs.12365auto.com/postcontent.aspx?tId=195542")</f>
        <v>http://bbs.12365auto.com/postcontent.aspx?tId=195542</v>
      </c>
      <c r="G308" s="2"/>
      <c r="H308" s="2" t="s">
        <v>560</v>
      </c>
      <c r="I308" s="2" t="s">
        <v>15</v>
      </c>
      <c r="J308" s="2" t="s">
        <v>558</v>
      </c>
      <c r="K308" s="2" t="s">
        <v>559</v>
      </c>
      <c r="L308" s="2">
        <f t="shared" si="4"/>
        <v>150</v>
      </c>
    </row>
    <row r="309" spans="1:12" ht="25" customHeight="1">
      <c r="A309" s="2" t="s">
        <v>12</v>
      </c>
      <c r="B309" s="2" t="str">
        <f>HYPERLINK("http://bbs.12365auto.com/postcontent.aspx?tId=195543","北京BJ20车顶漏水存在严重安全隐患")</f>
        <v>北京BJ20车顶漏水存在严重安全隐患</v>
      </c>
      <c r="C309" s="2" t="s">
        <v>13</v>
      </c>
      <c r="D309" s="2" t="s">
        <v>12</v>
      </c>
      <c r="E309" s="2" t="s">
        <v>66</v>
      </c>
      <c r="F309" s="2" t="str">
        <f>HYPERLINK("http://bbs.12365auto.com/postcontent.aspx?tId=195543","http://bbs.12365auto.com/postcontent.aspx?tId=195543")</f>
        <v>http://bbs.12365auto.com/postcontent.aspx?tId=195543</v>
      </c>
      <c r="G309" s="2"/>
      <c r="H309" s="2" t="s">
        <v>561</v>
      </c>
      <c r="I309" s="2" t="s">
        <v>15</v>
      </c>
      <c r="J309" s="2" t="s">
        <v>562</v>
      </c>
      <c r="K309" s="2" t="s">
        <v>559</v>
      </c>
      <c r="L309" s="2">
        <f t="shared" si="4"/>
        <v>150</v>
      </c>
    </row>
    <row r="310" spans="1:12" ht="25" customHeight="1">
      <c r="A310" s="2" t="s">
        <v>12</v>
      </c>
      <c r="B310" s="2" t="str">
        <f>HYPERLINK("http://bbs.12365auto.com/postcontent.aspx?tID=195543","北京BJ20车顶漏水存在严重安全隐患")</f>
        <v>北京BJ20车顶漏水存在严重安全隐患</v>
      </c>
      <c r="C310" s="2" t="s">
        <v>13</v>
      </c>
      <c r="D310" s="2" t="s">
        <v>12</v>
      </c>
      <c r="E310" s="2" t="s">
        <v>67</v>
      </c>
      <c r="F310" s="2" t="str">
        <f>HYPERLINK("http://bbs.12365auto.com/postcontent.aspx?tID=195543","http://bbs.12365auto.com/postcontent.aspx?tID=195543")</f>
        <v>http://bbs.12365auto.com/postcontent.aspx?tID=195543</v>
      </c>
      <c r="G310" s="2"/>
      <c r="H310" s="2" t="s">
        <v>563</v>
      </c>
      <c r="I310" s="2" t="s">
        <v>15</v>
      </c>
      <c r="J310" s="2" t="s">
        <v>562</v>
      </c>
      <c r="K310" s="2" t="s">
        <v>559</v>
      </c>
      <c r="L310" s="2">
        <f t="shared" si="4"/>
        <v>150</v>
      </c>
    </row>
    <row r="311" spans="1:12" ht="25" customHeight="1">
      <c r="A311" s="2" t="s">
        <v>12</v>
      </c>
      <c r="B311" s="2" t="str">
        <f>HYPERLINK("http://bbs.12365auto.com/postcontent.aspx?tID=195540&amp;sId=1650&amp;ppage=1&amp;from=s","宝骏560车门生锈起皮严重影响美观")</f>
        <v>宝骏560车门生锈起皮严重影响美观</v>
      </c>
      <c r="C311" s="2" t="s">
        <v>13</v>
      </c>
      <c r="D311" s="2" t="s">
        <v>12</v>
      </c>
      <c r="E311" s="2" t="s">
        <v>564</v>
      </c>
      <c r="F311" s="2" t="str">
        <f>HYPERLINK("http://bbs.12365auto.com/postcontent.aspx?tID=195540&amp;sId=1650&amp;ppage=1&amp;from=s","http://bbs.12365auto.com/postcontent.aspx?tID=195540&amp;sId=1650&amp;ppage=1&amp;from=s")</f>
        <v>http://bbs.12365auto.com/postcontent.aspx?tID=195540&amp;sId=1650&amp;ppage=1&amp;from=s</v>
      </c>
      <c r="G311" s="2"/>
      <c r="H311" s="2" t="s">
        <v>565</v>
      </c>
      <c r="I311" s="2" t="s">
        <v>15</v>
      </c>
      <c r="J311" s="2" t="s">
        <v>566</v>
      </c>
      <c r="K311" s="2" t="s">
        <v>567</v>
      </c>
      <c r="L311" s="2">
        <f t="shared" si="4"/>
        <v>123</v>
      </c>
    </row>
    <row r="312" spans="1:12" ht="25" customHeight="1">
      <c r="A312" s="2" t="s">
        <v>12</v>
      </c>
      <c r="B312" s="2" t="str">
        <f>HYPERLINK("http://bbs.12365auto.com/postcontent.aspx?tId=195540","宝骏560车门生锈起皮严重影响美观")</f>
        <v>宝骏560车门生锈起皮严重影响美观</v>
      </c>
      <c r="C312" s="2" t="s">
        <v>13</v>
      </c>
      <c r="D312" s="2" t="s">
        <v>12</v>
      </c>
      <c r="E312" s="2" t="s">
        <v>66</v>
      </c>
      <c r="F312" s="2" t="str">
        <f>HYPERLINK("http://bbs.12365auto.com/postcontent.aspx?tId=195540","http://bbs.12365auto.com/postcontent.aspx?tId=195540")</f>
        <v>http://bbs.12365auto.com/postcontent.aspx?tId=195540</v>
      </c>
      <c r="G312" s="2"/>
      <c r="H312" s="2" t="s">
        <v>568</v>
      </c>
      <c r="I312" s="2" t="s">
        <v>15</v>
      </c>
      <c r="J312" s="2" t="s">
        <v>569</v>
      </c>
      <c r="K312" s="2" t="s">
        <v>567</v>
      </c>
      <c r="L312" s="2">
        <f t="shared" si="4"/>
        <v>106</v>
      </c>
    </row>
    <row r="313" spans="1:12" ht="25" customHeight="1">
      <c r="A313" s="2" t="s">
        <v>12</v>
      </c>
      <c r="B313" s="2" t="str">
        <f>HYPERLINK("http://bbs.12365auto.com/postcontent.aspx?tId=195541","吉利帝豪后尾灯无破损有水珠")</f>
        <v>吉利帝豪后尾灯无破损有水珠</v>
      </c>
      <c r="C313" s="2" t="s">
        <v>13</v>
      </c>
      <c r="D313" s="2" t="s">
        <v>12</v>
      </c>
      <c r="E313" s="2" t="s">
        <v>66</v>
      </c>
      <c r="F313" s="2" t="str">
        <f>HYPERLINK("http://bbs.12365auto.com/postcontent.aspx?tId=195541","http://bbs.12365auto.com/postcontent.aspx?tId=195541")</f>
        <v>http://bbs.12365auto.com/postcontent.aspx?tId=195541</v>
      </c>
      <c r="G313" s="2"/>
      <c r="H313" s="2" t="s">
        <v>570</v>
      </c>
      <c r="I313" s="2" t="s">
        <v>15</v>
      </c>
      <c r="J313" s="2" t="s">
        <v>571</v>
      </c>
      <c r="K313" s="2" t="s">
        <v>567</v>
      </c>
      <c r="L313" s="2">
        <f t="shared" si="4"/>
        <v>78</v>
      </c>
    </row>
    <row r="314" spans="1:12" ht="25" customHeight="1">
      <c r="A314" s="2" t="s">
        <v>12</v>
      </c>
      <c r="B314" s="2" t="str">
        <f>HYPERLINK("http://bbs.12365auto.com/postcontent.aspx?tID=195541","吉利帝豪后尾灯无破损有水珠")</f>
        <v>吉利帝豪后尾灯无破损有水珠</v>
      </c>
      <c r="C314" s="2" t="s">
        <v>13</v>
      </c>
      <c r="D314" s="2" t="s">
        <v>12</v>
      </c>
      <c r="E314" s="2" t="s">
        <v>67</v>
      </c>
      <c r="F314" s="2" t="str">
        <f>HYPERLINK("http://bbs.12365auto.com/postcontent.aspx?tID=195541","http://bbs.12365auto.com/postcontent.aspx?tID=195541")</f>
        <v>http://bbs.12365auto.com/postcontent.aspx?tID=195541</v>
      </c>
      <c r="G314" s="2"/>
      <c r="H314" s="2" t="s">
        <v>572</v>
      </c>
      <c r="I314" s="2" t="s">
        <v>15</v>
      </c>
      <c r="J314" s="2" t="s">
        <v>571</v>
      </c>
      <c r="K314" s="2" t="s">
        <v>567</v>
      </c>
      <c r="L314" s="2">
        <f t="shared" si="4"/>
        <v>91</v>
      </c>
    </row>
    <row r="315" spans="1:12" ht="25" customHeight="1">
      <c r="A315" s="2" t="s">
        <v>12</v>
      </c>
      <c r="B315" s="2" t="str">
        <f>HYPERLINK("http://bbs.12365auto.com/postcontent.aspx?tID=195540","宝骏560车门生锈起皮严重影响美观")</f>
        <v>宝骏560车门生锈起皮严重影响美观</v>
      </c>
      <c r="C315" s="2" t="s">
        <v>13</v>
      </c>
      <c r="D315" s="2" t="s">
        <v>12</v>
      </c>
      <c r="E315" s="2" t="s">
        <v>67</v>
      </c>
      <c r="F315" s="2" t="str">
        <f>HYPERLINK("http://bbs.12365auto.com/postcontent.aspx?tID=195540","http://bbs.12365auto.com/postcontent.aspx?tID=195540")</f>
        <v>http://bbs.12365auto.com/postcontent.aspx?tID=195540</v>
      </c>
      <c r="G315" s="2"/>
      <c r="H315" s="2" t="s">
        <v>565</v>
      </c>
      <c r="I315" s="2" t="s">
        <v>15</v>
      </c>
      <c r="J315" s="2" t="s">
        <v>569</v>
      </c>
      <c r="K315" s="2" t="s">
        <v>567</v>
      </c>
      <c r="L315" s="2">
        <f t="shared" si="4"/>
        <v>123</v>
      </c>
    </row>
    <row r="316" spans="1:12" ht="25" customHeight="1">
      <c r="A316" s="2" t="s">
        <v>12</v>
      </c>
      <c r="B316" s="2" t="str">
        <f>HYPERLINK("http://bbs.12365auto.com/postcontent.aspx?tId=195538","长安睿骋发动机烧机油冒白烟")</f>
        <v>长安睿骋发动机烧机油冒白烟</v>
      </c>
      <c r="C316" s="2" t="s">
        <v>13</v>
      </c>
      <c r="D316" s="2" t="s">
        <v>12</v>
      </c>
      <c r="E316" s="2" t="s">
        <v>66</v>
      </c>
      <c r="F316" s="2" t="str">
        <f>HYPERLINK("http://bbs.12365auto.com/postcontent.aspx?tId=195538","http://bbs.12365auto.com/postcontent.aspx?tId=195538")</f>
        <v>http://bbs.12365auto.com/postcontent.aspx?tId=195538</v>
      </c>
      <c r="G316" s="2"/>
      <c r="H316" s="2" t="s">
        <v>573</v>
      </c>
      <c r="I316" s="2" t="s">
        <v>15</v>
      </c>
      <c r="J316" s="2" t="s">
        <v>574</v>
      </c>
      <c r="K316" s="2" t="s">
        <v>575</v>
      </c>
      <c r="L316" s="2">
        <f t="shared" si="4"/>
        <v>27</v>
      </c>
    </row>
    <row r="317" spans="1:12" ht="25" customHeight="1">
      <c r="A317" s="2" t="s">
        <v>12</v>
      </c>
      <c r="B317" s="2" t="str">
        <f>HYPERLINK("http://bbs.12365auto.com/postcontent.aspx?tId=195539","一汽大众奥迪A4L节温器漏防冻液严重")</f>
        <v>一汽大众奥迪A4L节温器漏防冻液严重</v>
      </c>
      <c r="C317" s="2" t="s">
        <v>13</v>
      </c>
      <c r="D317" s="2" t="s">
        <v>12</v>
      </c>
      <c r="E317" s="2" t="s">
        <v>66</v>
      </c>
      <c r="F317" s="2" t="str">
        <f>HYPERLINK("http://bbs.12365auto.com/postcontent.aspx?tId=195539","http://bbs.12365auto.com/postcontent.aspx?tId=195539")</f>
        <v>http://bbs.12365auto.com/postcontent.aspx?tId=195539</v>
      </c>
      <c r="G317" s="2"/>
      <c r="H317" s="2" t="s">
        <v>576</v>
      </c>
      <c r="I317" s="2" t="s">
        <v>15</v>
      </c>
      <c r="J317" s="2" t="s">
        <v>577</v>
      </c>
      <c r="K317" s="2" t="s">
        <v>575</v>
      </c>
      <c r="L317" s="2">
        <f t="shared" si="4"/>
        <v>150</v>
      </c>
    </row>
    <row r="318" spans="1:12" ht="25" customHeight="1">
      <c r="A318" s="2" t="s">
        <v>12</v>
      </c>
      <c r="B318" s="2" t="str">
        <f>HYPERLINK("http://bbs.12365auto.com/postcontent.aspx?tID=195539","一汽大众奥迪A4L节温器漏防冻液严重")</f>
        <v>一汽大众奥迪A4L节温器漏防冻液严重</v>
      </c>
      <c r="C318" s="2" t="s">
        <v>13</v>
      </c>
      <c r="D318" s="2" t="s">
        <v>12</v>
      </c>
      <c r="E318" s="2" t="s">
        <v>67</v>
      </c>
      <c r="F318" s="2" t="str">
        <f>HYPERLINK("http://bbs.12365auto.com/postcontent.aspx?tID=195539","http://bbs.12365auto.com/postcontent.aspx?tID=195539")</f>
        <v>http://bbs.12365auto.com/postcontent.aspx?tID=195539</v>
      </c>
      <c r="G318" s="2"/>
      <c r="H318" s="2" t="s">
        <v>578</v>
      </c>
      <c r="I318" s="2" t="s">
        <v>15</v>
      </c>
      <c r="J318" s="2" t="s">
        <v>577</v>
      </c>
      <c r="K318" s="2" t="s">
        <v>575</v>
      </c>
      <c r="L318" s="2">
        <f t="shared" si="4"/>
        <v>150</v>
      </c>
    </row>
    <row r="319" spans="1:12" ht="25" customHeight="1">
      <c r="A319" s="2" t="s">
        <v>12</v>
      </c>
      <c r="B319" s="2" t="str">
        <f>HYPERLINK("http://bbs.12365auto.com/postcontent.aspx?tID=195538","长安睿骋发动机烧机油冒白烟")</f>
        <v>长安睿骋发动机烧机油冒白烟</v>
      </c>
      <c r="C319" s="2" t="s">
        <v>13</v>
      </c>
      <c r="D319" s="2" t="s">
        <v>12</v>
      </c>
      <c r="E319" s="2" t="s">
        <v>67</v>
      </c>
      <c r="F319" s="2" t="str">
        <f>HYPERLINK("http://bbs.12365auto.com/postcontent.aspx?tID=195538","http://bbs.12365auto.com/postcontent.aspx?tID=195538")</f>
        <v>http://bbs.12365auto.com/postcontent.aspx?tID=195538</v>
      </c>
      <c r="G319" s="2"/>
      <c r="H319" s="2" t="s">
        <v>579</v>
      </c>
      <c r="I319" s="2" t="s">
        <v>15</v>
      </c>
      <c r="J319" s="2" t="s">
        <v>574</v>
      </c>
      <c r="K319" s="2" t="s">
        <v>575</v>
      </c>
      <c r="L319" s="2">
        <f t="shared" si="4"/>
        <v>40</v>
      </c>
    </row>
    <row r="320" spans="1:12" ht="25" customHeight="1">
      <c r="A320" s="2" t="s">
        <v>12</v>
      </c>
      <c r="B320" s="2" t="str">
        <f>HYPERLINK("http://bbs.12365auto.com/postcontent.aspx?tID=195537","上汽大众途岳电瓶亏电并且无法充电")</f>
        <v>上汽大众途岳电瓶亏电并且无法充电</v>
      </c>
      <c r="C320" s="2" t="s">
        <v>13</v>
      </c>
      <c r="D320" s="2" t="s">
        <v>12</v>
      </c>
      <c r="E320" s="2" t="s">
        <v>67</v>
      </c>
      <c r="F320" s="2" t="str">
        <f>HYPERLINK("http://bbs.12365auto.com/postcontent.aspx?tID=195537","http://bbs.12365auto.com/postcontent.aspx?tID=195537")</f>
        <v>http://bbs.12365auto.com/postcontent.aspx?tID=195537</v>
      </c>
      <c r="G320" s="2"/>
      <c r="H320" s="2" t="s">
        <v>580</v>
      </c>
      <c r="I320" s="2" t="s">
        <v>15</v>
      </c>
      <c r="J320" s="2" t="s">
        <v>581</v>
      </c>
      <c r="K320" s="2" t="s">
        <v>582</v>
      </c>
      <c r="L320" s="2">
        <f t="shared" si="4"/>
        <v>132</v>
      </c>
    </row>
    <row r="321" spans="1:12" ht="25" customHeight="1">
      <c r="A321" s="2" t="s">
        <v>12</v>
      </c>
      <c r="B321" s="2" t="str">
        <f>HYPERLINK("http://bbs.12365auto.com/postcontent.aspx?tId=195537","上汽大众途岳电瓶亏电并且无法充电")</f>
        <v>上汽大众途岳电瓶亏电并且无法充电</v>
      </c>
      <c r="C321" s="2" t="s">
        <v>13</v>
      </c>
      <c r="D321" s="2" t="s">
        <v>12</v>
      </c>
      <c r="E321" s="2" t="s">
        <v>66</v>
      </c>
      <c r="F321" s="2" t="str">
        <f>HYPERLINK("http://bbs.12365auto.com/postcontent.aspx?tId=195537","http://bbs.12365auto.com/postcontent.aspx?tId=195537")</f>
        <v>http://bbs.12365auto.com/postcontent.aspx?tId=195537</v>
      </c>
      <c r="G321" s="2"/>
      <c r="H321" s="2" t="s">
        <v>583</v>
      </c>
      <c r="I321" s="2" t="s">
        <v>15</v>
      </c>
      <c r="J321" s="2" t="s">
        <v>581</v>
      </c>
      <c r="K321" s="2" t="s">
        <v>582</v>
      </c>
      <c r="L321" s="2">
        <f t="shared" si="4"/>
        <v>116</v>
      </c>
    </row>
    <row r="322" spans="1:12" ht="25" customHeight="1">
      <c r="A322" s="2" t="s">
        <v>12</v>
      </c>
      <c r="B322" s="2" t="str">
        <f>HYPERLINK("http://bbs.12365auto.com/postcontent.aspx?tID=195536","东风标致3008发动机异响严重希望处理")</f>
        <v>东风标致3008发动机异响严重希望处理</v>
      </c>
      <c r="C322" s="2" t="s">
        <v>13</v>
      </c>
      <c r="D322" s="2" t="s">
        <v>12</v>
      </c>
      <c r="E322" s="2" t="s">
        <v>67</v>
      </c>
      <c r="F322" s="2" t="str">
        <f>HYPERLINK("http://bbs.12365auto.com/postcontent.aspx?tID=195536","http://bbs.12365auto.com/postcontent.aspx?tID=195536")</f>
        <v>http://bbs.12365auto.com/postcontent.aspx?tID=195536</v>
      </c>
      <c r="G322" s="2"/>
      <c r="H322" s="2" t="s">
        <v>584</v>
      </c>
      <c r="I322" s="2" t="s">
        <v>15</v>
      </c>
      <c r="J322" s="2" t="s">
        <v>585</v>
      </c>
      <c r="K322" s="2" t="s">
        <v>582</v>
      </c>
      <c r="L322" s="2">
        <f t="shared" si="4"/>
        <v>56</v>
      </c>
    </row>
    <row r="323" spans="1:12" ht="25" customHeight="1">
      <c r="A323" s="2" t="s">
        <v>12</v>
      </c>
      <c r="B323" s="2" t="str">
        <f>HYPERLINK("http://bbs.12365auto.com/postcontent.aspx?tID=195535","广汽丰田雷凌隔音棉材质极差导致车内异味")</f>
        <v>广汽丰田雷凌隔音棉材质极差导致车内异味</v>
      </c>
      <c r="C323" s="2" t="s">
        <v>13</v>
      </c>
      <c r="D323" s="2" t="s">
        <v>12</v>
      </c>
      <c r="E323" s="2" t="s">
        <v>67</v>
      </c>
      <c r="F323" s="2" t="str">
        <f>HYPERLINK("http://bbs.12365auto.com/postcontent.aspx?tID=195535","http://bbs.12365auto.com/postcontent.aspx?tID=195535")</f>
        <v>http://bbs.12365auto.com/postcontent.aspx?tID=195535</v>
      </c>
      <c r="G323" s="2"/>
      <c r="H323" s="2" t="s">
        <v>586</v>
      </c>
      <c r="I323" s="2" t="s">
        <v>15</v>
      </c>
      <c r="J323" s="2" t="s">
        <v>587</v>
      </c>
      <c r="K323" s="2" t="s">
        <v>588</v>
      </c>
      <c r="L323" s="2">
        <f t="shared" ref="L323:L386" si="5">LEN(H323)</f>
        <v>150</v>
      </c>
    </row>
    <row r="324" spans="1:12" ht="25" customHeight="1">
      <c r="A324" s="2" t="s">
        <v>12</v>
      </c>
      <c r="B324" s="2" t="str">
        <f>HYPERLINK("http://bbs.12365auto.com/postcontent.aspx?tID=195534","长安逸动新能源方向盘不正吃胎偏磨")</f>
        <v>长安逸动新能源方向盘不正吃胎偏磨</v>
      </c>
      <c r="C324" s="2" t="s">
        <v>13</v>
      </c>
      <c r="D324" s="2" t="s">
        <v>12</v>
      </c>
      <c r="E324" s="2" t="s">
        <v>67</v>
      </c>
      <c r="F324" s="2" t="str">
        <f>HYPERLINK("http://bbs.12365auto.com/postcontent.aspx?tID=195534","http://bbs.12365auto.com/postcontent.aspx?tID=195534")</f>
        <v>http://bbs.12365auto.com/postcontent.aspx?tID=195534</v>
      </c>
      <c r="G324" s="2"/>
      <c r="H324" s="2" t="s">
        <v>589</v>
      </c>
      <c r="I324" s="2" t="s">
        <v>15</v>
      </c>
      <c r="J324" s="2" t="s">
        <v>590</v>
      </c>
      <c r="K324" s="2" t="s">
        <v>588</v>
      </c>
      <c r="L324" s="2">
        <f t="shared" si="5"/>
        <v>150</v>
      </c>
    </row>
    <row r="325" spans="1:12" ht="25" customHeight="1">
      <c r="A325" s="2" t="s">
        <v>12</v>
      </c>
      <c r="B325" s="2" t="str">
        <f>HYPERLINK("http://bbs.12365auto.com/postcontent.aspx?tId=195535","广汽丰田雷凌隔音棉材质极差导致车内异味")</f>
        <v>广汽丰田雷凌隔音棉材质极差导致车内异味</v>
      </c>
      <c r="C325" s="2" t="s">
        <v>13</v>
      </c>
      <c r="D325" s="2" t="s">
        <v>12</v>
      </c>
      <c r="E325" s="2" t="s">
        <v>66</v>
      </c>
      <c r="F325" s="2" t="str">
        <f>HYPERLINK("http://bbs.12365auto.com/postcontent.aspx?tId=195535","http://bbs.12365auto.com/postcontent.aspx?tId=195535")</f>
        <v>http://bbs.12365auto.com/postcontent.aspx?tId=195535</v>
      </c>
      <c r="G325" s="2"/>
      <c r="H325" s="2" t="s">
        <v>591</v>
      </c>
      <c r="I325" s="2" t="s">
        <v>15</v>
      </c>
      <c r="J325" s="2" t="s">
        <v>587</v>
      </c>
      <c r="K325" s="2" t="s">
        <v>588</v>
      </c>
      <c r="L325" s="2">
        <f t="shared" si="5"/>
        <v>150</v>
      </c>
    </row>
    <row r="326" spans="1:12" ht="25" customHeight="1">
      <c r="A326" s="2" t="s">
        <v>12</v>
      </c>
      <c r="B326" s="2" t="str">
        <f>HYPERLINK("http://bbs.12365auto.com/postcontent.aspx?tId=195534","长安逸动新能源方向盘不正吃胎偏磨")</f>
        <v>长安逸动新能源方向盘不正吃胎偏磨</v>
      </c>
      <c r="C326" s="2" t="s">
        <v>13</v>
      </c>
      <c r="D326" s="2" t="s">
        <v>12</v>
      </c>
      <c r="E326" s="2" t="s">
        <v>66</v>
      </c>
      <c r="F326" s="2" t="str">
        <f>HYPERLINK("http://bbs.12365auto.com/postcontent.aspx?tId=195534","http://bbs.12365auto.com/postcontent.aspx?tId=195534")</f>
        <v>http://bbs.12365auto.com/postcontent.aspx?tId=195534</v>
      </c>
      <c r="G326" s="2"/>
      <c r="H326" s="2" t="s">
        <v>592</v>
      </c>
      <c r="I326" s="2" t="s">
        <v>15</v>
      </c>
      <c r="J326" s="2" t="s">
        <v>590</v>
      </c>
      <c r="K326" s="2" t="s">
        <v>588</v>
      </c>
      <c r="L326" s="2">
        <f t="shared" si="5"/>
        <v>150</v>
      </c>
    </row>
    <row r="327" spans="1:12" ht="25" customHeight="1">
      <c r="A327" s="2" t="s">
        <v>12</v>
      </c>
      <c r="B327" s="2" t="str">
        <f>HYPERLINK("http://bbs.12365auto.com/postcontent.aspx?tID=195533","华晨宝马X1右前轮刹车片偏磨影响安全")</f>
        <v>华晨宝马X1右前轮刹车片偏磨影响安全</v>
      </c>
      <c r="C327" s="2" t="s">
        <v>13</v>
      </c>
      <c r="D327" s="2" t="s">
        <v>12</v>
      </c>
      <c r="E327" s="2" t="s">
        <v>67</v>
      </c>
      <c r="F327" s="2" t="str">
        <f>HYPERLINK("http://bbs.12365auto.com/postcontent.aspx?tID=195533","http://bbs.12365auto.com/postcontent.aspx?tID=195533")</f>
        <v>http://bbs.12365auto.com/postcontent.aspx?tID=195533</v>
      </c>
      <c r="G327" s="2"/>
      <c r="H327" s="2" t="s">
        <v>593</v>
      </c>
      <c r="I327" s="2" t="s">
        <v>15</v>
      </c>
      <c r="J327" s="2" t="s">
        <v>594</v>
      </c>
      <c r="K327" s="2" t="s">
        <v>595</v>
      </c>
      <c r="L327" s="2">
        <f t="shared" si="5"/>
        <v>150</v>
      </c>
    </row>
    <row r="328" spans="1:12" ht="25" customHeight="1">
      <c r="A328" s="2" t="s">
        <v>12</v>
      </c>
      <c r="B328" s="2" t="str">
        <f>HYPERLINK("http://bbs.12365auto.com/postcontent.aspx?tId=195533","华晨宝马X1右前轮刹车片偏磨影响安全")</f>
        <v>华晨宝马X1右前轮刹车片偏磨影响安全</v>
      </c>
      <c r="C328" s="2" t="s">
        <v>13</v>
      </c>
      <c r="D328" s="2" t="s">
        <v>12</v>
      </c>
      <c r="E328" s="2" t="s">
        <v>66</v>
      </c>
      <c r="F328" s="2" t="str">
        <f>HYPERLINK("http://bbs.12365auto.com/postcontent.aspx?tId=195533","http://bbs.12365auto.com/postcontent.aspx?tId=195533")</f>
        <v>http://bbs.12365auto.com/postcontent.aspx?tId=195533</v>
      </c>
      <c r="G328" s="2"/>
      <c r="H328" s="2" t="s">
        <v>596</v>
      </c>
      <c r="I328" s="2" t="s">
        <v>15</v>
      </c>
      <c r="J328" s="2" t="s">
        <v>594</v>
      </c>
      <c r="K328" s="2" t="s">
        <v>595</v>
      </c>
      <c r="L328" s="2">
        <f t="shared" si="5"/>
        <v>150</v>
      </c>
    </row>
    <row r="329" spans="1:12" ht="25" customHeight="1">
      <c r="A329" s="2" t="s">
        <v>12</v>
      </c>
      <c r="B329" s="2" t="str">
        <f>HYPERLINK("http://m.12365auto.com/zjdy/20200228/121739.shtml","2019款大众宝来传奇手动挡是否值得入手")</f>
        <v>2019款大众宝来传奇手动挡是否值得入手</v>
      </c>
      <c r="C329" s="2" t="s">
        <v>13</v>
      </c>
      <c r="D329" s="2" t="s">
        <v>12</v>
      </c>
      <c r="E329" s="2"/>
      <c r="F329" s="2" t="str">
        <f>HYPERLINK("http://m.12365auto.com/zjdy/20200228/121739.shtml","http://m.12365auto.com/zjdy/20200228/121739.shtml")</f>
        <v>http://m.12365auto.com/zjdy/20200228/121739.shtml</v>
      </c>
      <c r="G329" s="2"/>
      <c r="H329" s="2" t="s">
        <v>597</v>
      </c>
      <c r="I329" s="2" t="s">
        <v>19</v>
      </c>
      <c r="J329" s="2" t="s">
        <v>12</v>
      </c>
      <c r="K329" s="2" t="s">
        <v>598</v>
      </c>
      <c r="L329" s="2">
        <f t="shared" si="5"/>
        <v>49</v>
      </c>
    </row>
    <row r="330" spans="1:12" ht="25" customHeight="1">
      <c r="A330" s="2" t="s">
        <v>12</v>
      </c>
      <c r="B330" s="2" t="str">
        <f>HYPERLINK("http://m.12365auto.com/zjdy/20200228/121738.shtml","名爵HS整个干式双离合变速箱大概多少钱？")</f>
        <v>名爵HS整个干式双离合变速箱大概多少钱？</v>
      </c>
      <c r="C330" s="2" t="s">
        <v>13</v>
      </c>
      <c r="D330" s="2" t="s">
        <v>12</v>
      </c>
      <c r="E330" s="2"/>
      <c r="F330" s="2" t="str">
        <f>HYPERLINK("http://m.12365auto.com/zjdy/20200228/121738.shtml","http://m.12365auto.com/zjdy/20200228/121738.shtml")</f>
        <v>http://m.12365auto.com/zjdy/20200228/121738.shtml</v>
      </c>
      <c r="G330" s="2"/>
      <c r="H330" s="2" t="s">
        <v>599</v>
      </c>
      <c r="I330" s="2" t="s">
        <v>19</v>
      </c>
      <c r="J330" s="2" t="s">
        <v>12</v>
      </c>
      <c r="K330" s="2" t="s">
        <v>600</v>
      </c>
      <c r="L330" s="2">
        <f t="shared" si="5"/>
        <v>20</v>
      </c>
    </row>
    <row r="331" spans="1:12" ht="25" customHeight="1">
      <c r="A331" s="2" t="s">
        <v>12</v>
      </c>
      <c r="B331" s="2" t="str">
        <f>HYPERLINK("http://www.12365auto.com/zlts/20200228/449213.shtml","斯柯达柯迪亚克出风口和变速箱异响")</f>
        <v>斯柯达柯迪亚克出风口和变速箱异响</v>
      </c>
      <c r="C331" s="2" t="s">
        <v>13</v>
      </c>
      <c r="D331" s="2" t="s">
        <v>12</v>
      </c>
      <c r="E331" s="2" t="s">
        <v>17</v>
      </c>
      <c r="F331" s="2" t="str">
        <f>HYPERLINK("http://www.12365auto.com/zlts/20200228/449213.shtml","http://www.12365auto.com/zlts/20200228/449213.shtml")</f>
        <v>http://www.12365auto.com/zlts/20200228/449213.shtml</v>
      </c>
      <c r="G331" s="2"/>
      <c r="H331" s="2" t="s">
        <v>601</v>
      </c>
      <c r="I331" s="2" t="s">
        <v>19</v>
      </c>
      <c r="J331" s="2" t="s">
        <v>12</v>
      </c>
      <c r="K331" s="2" t="s">
        <v>602</v>
      </c>
      <c r="L331" s="2">
        <f t="shared" si="5"/>
        <v>150</v>
      </c>
    </row>
    <row r="332" spans="1:12" ht="25" customHeight="1">
      <c r="A332" s="2" t="s">
        <v>12</v>
      </c>
      <c r="B332" s="2" t="str">
        <f>HYPERLINK("http://m.12365auto.com/zjdy/20200228/121737.shtml","捷达VS5和马自达CX-5这两款车选择哪款？")</f>
        <v>捷达VS5和马自达CX-5这两款车选择哪款？</v>
      </c>
      <c r="C332" s="2" t="s">
        <v>13</v>
      </c>
      <c r="D332" s="2" t="s">
        <v>12</v>
      </c>
      <c r="E332" s="2"/>
      <c r="F332" s="2" t="str">
        <f>HYPERLINK("http://m.12365auto.com/zjdy/20200228/121737.shtml","http://m.12365auto.com/zjdy/20200228/121737.shtml")</f>
        <v>http://m.12365auto.com/zjdy/20200228/121737.shtml</v>
      </c>
      <c r="G332" s="2"/>
      <c r="H332" s="2" t="s">
        <v>603</v>
      </c>
      <c r="I332" s="2" t="s">
        <v>19</v>
      </c>
      <c r="J332" s="2" t="s">
        <v>12</v>
      </c>
      <c r="K332" s="2" t="s">
        <v>604</v>
      </c>
      <c r="L332" s="2">
        <f t="shared" si="5"/>
        <v>150</v>
      </c>
    </row>
    <row r="333" spans="1:12" ht="25" customHeight="1">
      <c r="A333" s="2" t="s">
        <v>12</v>
      </c>
      <c r="B333" s="2" t="str">
        <f>HYPERLINK("http://m.12365auto.com/zjdy/20200228/121736.shtml","别克厂家什么时候上班配件何时发货？")</f>
        <v>别克厂家什么时候上班配件何时发货？</v>
      </c>
      <c r="C333" s="2" t="s">
        <v>13</v>
      </c>
      <c r="D333" s="2" t="s">
        <v>12</v>
      </c>
      <c r="E333" s="2"/>
      <c r="F333" s="2" t="str">
        <f>HYPERLINK("http://m.12365auto.com/zjdy/20200228/121736.shtml","http://m.12365auto.com/zjdy/20200228/121736.shtml")</f>
        <v>http://m.12365auto.com/zjdy/20200228/121736.shtml</v>
      </c>
      <c r="G333" s="2"/>
      <c r="H333" s="2" t="s">
        <v>605</v>
      </c>
      <c r="I333" s="2" t="s">
        <v>19</v>
      </c>
      <c r="J333" s="2" t="s">
        <v>12</v>
      </c>
      <c r="K333" s="2" t="s">
        <v>606</v>
      </c>
      <c r="L333" s="2">
        <f t="shared" si="5"/>
        <v>20</v>
      </c>
    </row>
    <row r="334" spans="1:12" ht="25" customHeight="1">
      <c r="A334" s="2" t="s">
        <v>12</v>
      </c>
      <c r="B334" s="2" t="str">
        <f>HYPERLINK("http://www.12365auto.com/zlts/20200228/449208.shtml","广汽本田凌派通过坑洼路段时后轮减震器异响")</f>
        <v>广汽本田凌派通过坑洼路段时后轮减震器异响</v>
      </c>
      <c r="C334" s="2" t="s">
        <v>13</v>
      </c>
      <c r="D334" s="2" t="s">
        <v>12</v>
      </c>
      <c r="E334" s="2" t="s">
        <v>17</v>
      </c>
      <c r="F334" s="2" t="str">
        <f>HYPERLINK("http://www.12365auto.com/zlts/20200228/449208.shtml","http://www.12365auto.com/zlts/20200228/449208.shtml")</f>
        <v>http://www.12365auto.com/zlts/20200228/449208.shtml</v>
      </c>
      <c r="G334" s="2"/>
      <c r="H334" s="2" t="s">
        <v>607</v>
      </c>
      <c r="I334" s="2" t="s">
        <v>15</v>
      </c>
      <c r="J334" s="2" t="s">
        <v>12</v>
      </c>
      <c r="K334" s="2" t="s">
        <v>608</v>
      </c>
      <c r="L334" s="2">
        <f t="shared" si="5"/>
        <v>150</v>
      </c>
    </row>
    <row r="335" spans="1:12" ht="25" customHeight="1">
      <c r="A335" s="2" t="s">
        <v>12</v>
      </c>
      <c r="B335" s="2" t="str">
        <f>HYPERLINK("http://m.12365auto.com/zjdy/20200228/121735.shtml","名爵HS干式双离合变速箱是什么型号的？")</f>
        <v>名爵HS干式双离合变速箱是什么型号的？</v>
      </c>
      <c r="C335" s="2" t="s">
        <v>13</v>
      </c>
      <c r="D335" s="2" t="s">
        <v>12</v>
      </c>
      <c r="E335" s="2"/>
      <c r="F335" s="2" t="str">
        <f>HYPERLINK("http://m.12365auto.com/zjdy/20200228/121735.shtml","http://m.12365auto.com/zjdy/20200228/121735.shtml")</f>
        <v>http://m.12365auto.com/zjdy/20200228/121735.shtml</v>
      </c>
      <c r="G335" s="2"/>
      <c r="H335" s="2" t="s">
        <v>609</v>
      </c>
      <c r="I335" s="2" t="s">
        <v>19</v>
      </c>
      <c r="J335" s="2" t="s">
        <v>12</v>
      </c>
      <c r="K335" s="2" t="s">
        <v>610</v>
      </c>
      <c r="L335" s="2">
        <f t="shared" si="5"/>
        <v>19</v>
      </c>
    </row>
    <row r="336" spans="1:12" ht="25" customHeight="1">
      <c r="A336" s="2" t="s">
        <v>12</v>
      </c>
      <c r="B336" s="2" t="str">
        <f>HYPERLINK("http://m.12365auto.com/xcdg/20200228/419870.shtml","广汽丰田威兰达上市 售价17.18-24.18万元")</f>
        <v>广汽丰田威兰达上市 售价17.18-24.18万元</v>
      </c>
      <c r="C336" s="2" t="s">
        <v>13</v>
      </c>
      <c r="D336" s="2" t="s">
        <v>12</v>
      </c>
      <c r="E336" s="2"/>
      <c r="F336" s="2" t="str">
        <f>HYPERLINK("http://m.12365auto.com/xcdg/20200228/419870.shtml","http://m.12365auto.com/xcdg/20200228/419870.shtml")</f>
        <v>http://m.12365auto.com/xcdg/20200228/419870.shtml</v>
      </c>
      <c r="G336" s="2"/>
      <c r="H336" s="2" t="s">
        <v>611</v>
      </c>
      <c r="I336" s="2" t="s">
        <v>19</v>
      </c>
      <c r="J336" s="2" t="s">
        <v>371</v>
      </c>
      <c r="K336" s="2" t="s">
        <v>612</v>
      </c>
      <c r="L336" s="2">
        <f t="shared" si="5"/>
        <v>150</v>
      </c>
    </row>
    <row r="337" spans="1:12" ht="25" customHeight="1">
      <c r="A337" s="2" t="s">
        <v>12</v>
      </c>
      <c r="B337" s="2" t="str">
        <f>HYPERLINK("http://www.12365auto.com/zlts/20200228/449206.shtml","捷途X90减震器过硬 乘坐时舒适性过差")</f>
        <v>捷途X90减震器过硬 乘坐时舒适性过差</v>
      </c>
      <c r="C337" s="2" t="s">
        <v>13</v>
      </c>
      <c r="D337" s="2" t="s">
        <v>12</v>
      </c>
      <c r="E337" s="2" t="s">
        <v>17</v>
      </c>
      <c r="F337" s="2" t="str">
        <f>HYPERLINK("http://www.12365auto.com/zlts/20200228/449206.shtml","http://www.12365auto.com/zlts/20200228/449206.shtml")</f>
        <v>http://www.12365auto.com/zlts/20200228/449206.shtml</v>
      </c>
      <c r="G337" s="2"/>
      <c r="H337" s="2" t="s">
        <v>613</v>
      </c>
      <c r="I337" s="2" t="s">
        <v>15</v>
      </c>
      <c r="J337" s="2" t="s">
        <v>12</v>
      </c>
      <c r="K337" s="2" t="s">
        <v>614</v>
      </c>
      <c r="L337" s="2">
        <f t="shared" si="5"/>
        <v>150</v>
      </c>
    </row>
    <row r="338" spans="1:12" ht="25" customHeight="1">
      <c r="A338" s="2" t="s">
        <v>12</v>
      </c>
      <c r="B338" s="2" t="str">
        <f>HYPERLINK("http://bbs.12365auto.com/postcontent.aspx?tID=195531","路虎揽胜运动版将于2022年完成换代")</f>
        <v>路虎揽胜运动版将于2022年完成换代</v>
      </c>
      <c r="C338" s="2" t="s">
        <v>13</v>
      </c>
      <c r="D338" s="2" t="s">
        <v>12</v>
      </c>
      <c r="E338" s="2" t="s">
        <v>28</v>
      </c>
      <c r="F338" s="2" t="str">
        <f>HYPERLINK("http://bbs.12365auto.com/postcontent.aspx?tID=195531","http://bbs.12365auto.com/postcontent.aspx?tID=195531")</f>
        <v>http://bbs.12365auto.com/postcontent.aspx?tID=195531</v>
      </c>
      <c r="G338" s="2"/>
      <c r="H338" s="2" t="s">
        <v>615</v>
      </c>
      <c r="I338" s="2" t="s">
        <v>15</v>
      </c>
      <c r="J338" s="2" t="s">
        <v>616</v>
      </c>
      <c r="K338" s="2" t="s">
        <v>614</v>
      </c>
      <c r="L338" s="2">
        <f t="shared" si="5"/>
        <v>150</v>
      </c>
    </row>
    <row r="339" spans="1:12" ht="25" customHeight="1">
      <c r="A339" s="2" t="s">
        <v>12</v>
      </c>
      <c r="B339" s="2" t="str">
        <f>HYPERLINK("http://www.12365auto.com/zlts/20200228/449205.shtml","长安CS75 PHEV空调系统无法进行制热")</f>
        <v>长安CS75 PHEV空调系统无法进行制热</v>
      </c>
      <c r="C339" s="2" t="s">
        <v>13</v>
      </c>
      <c r="D339" s="2" t="s">
        <v>12</v>
      </c>
      <c r="E339" s="2" t="s">
        <v>17</v>
      </c>
      <c r="F339" s="2" t="str">
        <f>HYPERLINK("http://www.12365auto.com/zlts/20200228/449205.shtml","http://www.12365auto.com/zlts/20200228/449205.shtml")</f>
        <v>http://www.12365auto.com/zlts/20200228/449205.shtml</v>
      </c>
      <c r="G339" s="2"/>
      <c r="H339" s="2" t="s">
        <v>617</v>
      </c>
      <c r="I339" s="2" t="s">
        <v>19</v>
      </c>
      <c r="J339" s="2" t="s">
        <v>12</v>
      </c>
      <c r="K339" s="2" t="s">
        <v>614</v>
      </c>
      <c r="L339" s="2">
        <f t="shared" si="5"/>
        <v>150</v>
      </c>
    </row>
    <row r="340" spans="1:12" ht="25" customHeight="1">
      <c r="A340" s="2" t="s">
        <v>12</v>
      </c>
      <c r="B340" s="2" t="str">
        <f>HYPERLINK("http://bbs.12365auto.com/postcontent.aspx?tId=195531","路虎揽胜运动版将于2022年完成换代")</f>
        <v>路虎揽胜运动版将于2022年完成换代</v>
      </c>
      <c r="C340" s="2" t="s">
        <v>13</v>
      </c>
      <c r="D340" s="2" t="s">
        <v>12</v>
      </c>
      <c r="E340" s="2" t="s">
        <v>27</v>
      </c>
      <c r="F340" s="2" t="str">
        <f>HYPERLINK("http://bbs.12365auto.com/postcontent.aspx?tId=195531","http://bbs.12365auto.com/postcontent.aspx?tId=195531")</f>
        <v>http://bbs.12365auto.com/postcontent.aspx?tId=195531</v>
      </c>
      <c r="G340" s="2"/>
      <c r="H340" s="2" t="s">
        <v>618</v>
      </c>
      <c r="I340" s="2" t="s">
        <v>15</v>
      </c>
      <c r="J340" s="2" t="s">
        <v>616</v>
      </c>
      <c r="K340" s="2" t="s">
        <v>614</v>
      </c>
      <c r="L340" s="2">
        <f t="shared" si="5"/>
        <v>150</v>
      </c>
    </row>
    <row r="341" spans="1:12" ht="25" customHeight="1">
      <c r="A341" s="2" t="s">
        <v>12</v>
      </c>
      <c r="B341" s="2" t="str">
        <f>HYPERLINK("http://m.12365auto.com/bbs/postcontent.aspx?tID=195531","路虎揽胜运动版将于2022年完成换代")</f>
        <v>路虎揽胜运动版将于2022年完成换代</v>
      </c>
      <c r="C341" s="2" t="s">
        <v>13</v>
      </c>
      <c r="D341" s="2" t="s">
        <v>23</v>
      </c>
      <c r="E341" s="2"/>
      <c r="F341" s="2" t="str">
        <f>HYPERLINK("http://m.12365auto.com/bbs/postcontent.aspx?tID=195531","http://m.12365auto.com/bbs/postcontent.aspx?tID=195531")</f>
        <v>http://m.12365auto.com/bbs/postcontent.aspx?tID=195531</v>
      </c>
      <c r="G341" s="2"/>
      <c r="H341" s="2" t="s">
        <v>618</v>
      </c>
      <c r="I341" s="2" t="s">
        <v>15</v>
      </c>
      <c r="J341" s="2" t="s">
        <v>616</v>
      </c>
      <c r="K341" s="2" t="s">
        <v>614</v>
      </c>
      <c r="L341" s="2">
        <f t="shared" si="5"/>
        <v>150</v>
      </c>
    </row>
    <row r="342" spans="1:12" ht="25" customHeight="1">
      <c r="A342" s="2" t="s">
        <v>12</v>
      </c>
      <c r="B342" s="2" t="str">
        <f>HYPERLINK("http://bbs.12365auto.com/postcontent.aspx?tID=195530","起亚确认将启用新LOGO")</f>
        <v>起亚确认将启用新LOGO</v>
      </c>
      <c r="C342" s="2" t="s">
        <v>13</v>
      </c>
      <c r="D342" s="2" t="s">
        <v>12</v>
      </c>
      <c r="E342" s="2" t="s">
        <v>28</v>
      </c>
      <c r="F342" s="2" t="str">
        <f>HYPERLINK("http://bbs.12365auto.com/postcontent.aspx?tID=195530","http://bbs.12365auto.com/postcontent.aspx?tID=195530")</f>
        <v>http://bbs.12365auto.com/postcontent.aspx?tID=195530</v>
      </c>
      <c r="G342" s="2"/>
      <c r="H342" s="2" t="s">
        <v>619</v>
      </c>
      <c r="I342" s="2" t="s">
        <v>15</v>
      </c>
      <c r="J342" s="2" t="s">
        <v>616</v>
      </c>
      <c r="K342" s="2" t="s">
        <v>620</v>
      </c>
      <c r="L342" s="2">
        <f t="shared" si="5"/>
        <v>150</v>
      </c>
    </row>
    <row r="343" spans="1:12" ht="25" customHeight="1">
      <c r="A343" s="2" t="s">
        <v>12</v>
      </c>
      <c r="B343" s="2" t="str">
        <f>HYPERLINK("http://bbs.12365auto.com/postcontent.aspx?tID=195529","售价6.99万起的2020款奕炫 配置丰富")</f>
        <v>售价6.99万起的2020款奕炫 配置丰富</v>
      </c>
      <c r="C343" s="2" t="s">
        <v>13</v>
      </c>
      <c r="D343" s="2" t="s">
        <v>12</v>
      </c>
      <c r="E343" s="2" t="s">
        <v>28</v>
      </c>
      <c r="F343" s="2" t="str">
        <f>HYPERLINK("http://bbs.12365auto.com/postcontent.aspx?tID=195529","http://bbs.12365auto.com/postcontent.aspx?tID=195529")</f>
        <v>http://bbs.12365auto.com/postcontent.aspx?tID=195529</v>
      </c>
      <c r="G343" s="2"/>
      <c r="H343" s="2" t="s">
        <v>621</v>
      </c>
      <c r="I343" s="2" t="s">
        <v>15</v>
      </c>
      <c r="J343" s="2" t="s">
        <v>616</v>
      </c>
      <c r="K343" s="2" t="s">
        <v>620</v>
      </c>
      <c r="L343" s="2">
        <f t="shared" si="5"/>
        <v>150</v>
      </c>
    </row>
    <row r="344" spans="1:12" ht="25" customHeight="1">
      <c r="A344" s="2" t="s">
        <v>12</v>
      </c>
      <c r="B344" s="2" t="str">
        <f>HYPERLINK("http://m.12365auto.com/bbs/postcontent.aspx?tID=195530","起亚确认将启用新LOGO")</f>
        <v>起亚确认将启用新LOGO</v>
      </c>
      <c r="C344" s="2" t="s">
        <v>13</v>
      </c>
      <c r="D344" s="2" t="s">
        <v>23</v>
      </c>
      <c r="E344" s="2"/>
      <c r="F344" s="2" t="str">
        <f>HYPERLINK("http://m.12365auto.com/bbs/postcontent.aspx?tID=195530","http://m.12365auto.com/bbs/postcontent.aspx?tID=195530")</f>
        <v>http://m.12365auto.com/bbs/postcontent.aspx?tID=195530</v>
      </c>
      <c r="G344" s="2"/>
      <c r="H344" s="2" t="s">
        <v>622</v>
      </c>
      <c r="I344" s="2" t="s">
        <v>15</v>
      </c>
      <c r="J344" s="2" t="s">
        <v>616</v>
      </c>
      <c r="K344" s="2" t="s">
        <v>620</v>
      </c>
      <c r="L344" s="2">
        <f t="shared" si="5"/>
        <v>150</v>
      </c>
    </row>
    <row r="345" spans="1:12" ht="25" customHeight="1">
      <c r="A345" s="2" t="s">
        <v>12</v>
      </c>
      <c r="B345" s="2" t="str">
        <f>HYPERLINK("http://bbs.12365auto.com/postcontent.aspx?tId=195529","售价6.99万起的2020款奕炫 配置丰富")</f>
        <v>售价6.99万起的2020款奕炫 配置丰富</v>
      </c>
      <c r="C345" s="2" t="s">
        <v>13</v>
      </c>
      <c r="D345" s="2" t="s">
        <v>12</v>
      </c>
      <c r="E345" s="2" t="s">
        <v>27</v>
      </c>
      <c r="F345" s="2" t="str">
        <f>HYPERLINK("http://bbs.12365auto.com/postcontent.aspx?tId=195529","http://bbs.12365auto.com/postcontent.aspx?tId=195529")</f>
        <v>http://bbs.12365auto.com/postcontent.aspx?tId=195529</v>
      </c>
      <c r="G345" s="2"/>
      <c r="H345" s="2" t="s">
        <v>623</v>
      </c>
      <c r="I345" s="2" t="s">
        <v>15</v>
      </c>
      <c r="J345" s="2" t="s">
        <v>616</v>
      </c>
      <c r="K345" s="2" t="s">
        <v>620</v>
      </c>
      <c r="L345" s="2">
        <f t="shared" si="5"/>
        <v>150</v>
      </c>
    </row>
    <row r="346" spans="1:12" ht="25" customHeight="1">
      <c r="A346" s="2" t="s">
        <v>12</v>
      </c>
      <c r="B346" s="2" t="str">
        <f>HYPERLINK("http://bbs.12365auto.com/postcontent.aspx?tId=195530","起亚确认将启用新LOGO")</f>
        <v>起亚确认将启用新LOGO</v>
      </c>
      <c r="C346" s="2" t="s">
        <v>13</v>
      </c>
      <c r="D346" s="2" t="s">
        <v>12</v>
      </c>
      <c r="E346" s="2" t="s">
        <v>27</v>
      </c>
      <c r="F346" s="2" t="str">
        <f>HYPERLINK("http://bbs.12365auto.com/postcontent.aspx?tId=195530","http://bbs.12365auto.com/postcontent.aspx?tId=195530")</f>
        <v>http://bbs.12365auto.com/postcontent.aspx?tId=195530</v>
      </c>
      <c r="G346" s="2"/>
      <c r="H346" s="2" t="s">
        <v>622</v>
      </c>
      <c r="I346" s="2" t="s">
        <v>15</v>
      </c>
      <c r="J346" s="2" t="s">
        <v>616</v>
      </c>
      <c r="K346" s="2" t="s">
        <v>620</v>
      </c>
      <c r="L346" s="2">
        <f t="shared" si="5"/>
        <v>150</v>
      </c>
    </row>
    <row r="347" spans="1:12" ht="25" customHeight="1">
      <c r="A347" s="2" t="s">
        <v>12</v>
      </c>
      <c r="B347" s="2" t="str">
        <f>HYPERLINK("http://m.12365auto.com/bbs/postcontent.aspx?tID=195529","售价6.99万起的2020款奕炫 配置丰富")</f>
        <v>售价6.99万起的2020款奕炫 配置丰富</v>
      </c>
      <c r="C347" s="2" t="s">
        <v>13</v>
      </c>
      <c r="D347" s="2" t="s">
        <v>23</v>
      </c>
      <c r="E347" s="2"/>
      <c r="F347" s="2" t="str">
        <f>HYPERLINK("http://m.12365auto.com/bbs/postcontent.aspx?tID=195529","http://m.12365auto.com/bbs/postcontent.aspx?tID=195529")</f>
        <v>http://m.12365auto.com/bbs/postcontent.aspx?tID=195529</v>
      </c>
      <c r="G347" s="2"/>
      <c r="H347" s="2" t="s">
        <v>623</v>
      </c>
      <c r="I347" s="2" t="s">
        <v>15</v>
      </c>
      <c r="J347" s="2" t="s">
        <v>616</v>
      </c>
      <c r="K347" s="2" t="s">
        <v>620</v>
      </c>
      <c r="L347" s="2">
        <f t="shared" si="5"/>
        <v>150</v>
      </c>
    </row>
    <row r="348" spans="1:12" ht="25" customHeight="1">
      <c r="A348" s="2" t="s">
        <v>12</v>
      </c>
      <c r="B348" s="2" t="str">
        <f>HYPERLINK("http://bbs.12365auto.com/postcontent.aspx?tID=195528","炮 2019款 2.0T自动四驱越野版")</f>
        <v>炮 2019款 2.0T自动四驱越野版</v>
      </c>
      <c r="C348" s="2" t="s">
        <v>13</v>
      </c>
      <c r="D348" s="2" t="s">
        <v>12</v>
      </c>
      <c r="E348" s="2" t="s">
        <v>28</v>
      </c>
      <c r="F348" s="2" t="str">
        <f>HYPERLINK("http://bbs.12365auto.com/postcontent.aspx?tID=195528","http://bbs.12365auto.com/postcontent.aspx?tID=195528")</f>
        <v>http://bbs.12365auto.com/postcontent.aspx?tID=195528</v>
      </c>
      <c r="G348" s="2"/>
      <c r="H348" s="2" t="s">
        <v>624</v>
      </c>
      <c r="I348" s="2" t="s">
        <v>15</v>
      </c>
      <c r="J348" s="2" t="s">
        <v>616</v>
      </c>
      <c r="K348" s="2" t="s">
        <v>625</v>
      </c>
      <c r="L348" s="2">
        <f t="shared" si="5"/>
        <v>150</v>
      </c>
    </row>
    <row r="349" spans="1:12" ht="25" customHeight="1">
      <c r="A349" s="2" t="s">
        <v>12</v>
      </c>
      <c r="B349" s="2" t="str">
        <f>HYPERLINK("http://bbs.12365auto.com/postcontent.aspx?tId=195528","炮 2019款 2.0T自动四驱越野版")</f>
        <v>炮 2019款 2.0T自动四驱越野版</v>
      </c>
      <c r="C349" s="2" t="s">
        <v>13</v>
      </c>
      <c r="D349" s="2" t="s">
        <v>12</v>
      </c>
      <c r="E349" s="2" t="s">
        <v>27</v>
      </c>
      <c r="F349" s="2" t="str">
        <f>HYPERLINK("http://bbs.12365auto.com/postcontent.aspx?tId=195528","http://bbs.12365auto.com/postcontent.aspx?tId=195528")</f>
        <v>http://bbs.12365auto.com/postcontent.aspx?tId=195528</v>
      </c>
      <c r="G349" s="2"/>
      <c r="H349" s="2" t="s">
        <v>626</v>
      </c>
      <c r="I349" s="2" t="s">
        <v>15</v>
      </c>
      <c r="J349" s="2" t="s">
        <v>616</v>
      </c>
      <c r="K349" s="2" t="s">
        <v>625</v>
      </c>
      <c r="L349" s="2">
        <f t="shared" si="5"/>
        <v>150</v>
      </c>
    </row>
    <row r="350" spans="1:12" ht="25" customHeight="1">
      <c r="A350" s="2" t="s">
        <v>12</v>
      </c>
      <c r="B350" s="2" t="str">
        <f>HYPERLINK("http://m.12365auto.com/bbs/postcontent.aspx?tID=195528","炮 2019款 2.0T自动四驱越野版")</f>
        <v>炮 2019款 2.0T自动四驱越野版</v>
      </c>
      <c r="C350" s="2" t="s">
        <v>13</v>
      </c>
      <c r="D350" s="2" t="s">
        <v>23</v>
      </c>
      <c r="E350" s="2"/>
      <c r="F350" s="2" t="str">
        <f>HYPERLINK("http://m.12365auto.com/bbs/postcontent.aspx?tID=195528","http://m.12365auto.com/bbs/postcontent.aspx?tID=195528")</f>
        <v>http://m.12365auto.com/bbs/postcontent.aspx?tID=195528</v>
      </c>
      <c r="G350" s="2"/>
      <c r="H350" s="2" t="s">
        <v>626</v>
      </c>
      <c r="I350" s="2" t="s">
        <v>15</v>
      </c>
      <c r="J350" s="2" t="s">
        <v>616</v>
      </c>
      <c r="K350" s="2" t="s">
        <v>625</v>
      </c>
      <c r="L350" s="2">
        <f t="shared" si="5"/>
        <v>150</v>
      </c>
    </row>
    <row r="351" spans="1:12" ht="25" customHeight="1">
      <c r="A351" s="2" t="s">
        <v>12</v>
      </c>
      <c r="B351" s="2" t="str">
        <f>HYPERLINK("http://m.12365auto.com/bbs/postcontent.aspx?tID=195526","全新雷克萨斯NX曝光 设计比现款更激进")</f>
        <v>全新雷克萨斯NX曝光 设计比现款更激进</v>
      </c>
      <c r="C351" s="2" t="s">
        <v>13</v>
      </c>
      <c r="D351" s="2" t="s">
        <v>23</v>
      </c>
      <c r="E351" s="2"/>
      <c r="F351" s="2" t="str">
        <f>HYPERLINK("http://m.12365auto.com/bbs/postcontent.aspx?tID=195526","http://m.12365auto.com/bbs/postcontent.aspx?tID=195526")</f>
        <v>http://m.12365auto.com/bbs/postcontent.aspx?tID=195526</v>
      </c>
      <c r="G351" s="2"/>
      <c r="H351" s="2" t="s">
        <v>627</v>
      </c>
      <c r="I351" s="2" t="s">
        <v>15</v>
      </c>
      <c r="J351" s="2" t="s">
        <v>616</v>
      </c>
      <c r="K351" s="2" t="s">
        <v>628</v>
      </c>
      <c r="L351" s="2">
        <f t="shared" si="5"/>
        <v>150</v>
      </c>
    </row>
    <row r="352" spans="1:12" ht="25" customHeight="1">
      <c r="A352" s="2" t="s">
        <v>12</v>
      </c>
      <c r="B352" s="2" t="str">
        <f>HYPERLINK("http://bbs.12365auto.com/postcontent.aspx?tID=195527","大众新款途昂正式曝光")</f>
        <v>大众新款途昂正式曝光</v>
      </c>
      <c r="C352" s="2" t="s">
        <v>13</v>
      </c>
      <c r="D352" s="2" t="s">
        <v>12</v>
      </c>
      <c r="E352" s="2" t="s">
        <v>28</v>
      </c>
      <c r="F352" s="2" t="str">
        <f>HYPERLINK("http://bbs.12365auto.com/postcontent.aspx?tID=195527","http://bbs.12365auto.com/postcontent.aspx?tID=195527")</f>
        <v>http://bbs.12365auto.com/postcontent.aspx?tID=195527</v>
      </c>
      <c r="G352" s="2"/>
      <c r="H352" s="2" t="s">
        <v>629</v>
      </c>
      <c r="I352" s="2" t="s">
        <v>15</v>
      </c>
      <c r="J352" s="2" t="s">
        <v>616</v>
      </c>
      <c r="K352" s="2" t="s">
        <v>628</v>
      </c>
      <c r="L352" s="2">
        <f t="shared" si="5"/>
        <v>150</v>
      </c>
    </row>
    <row r="353" spans="1:12" ht="25" customHeight="1">
      <c r="A353" s="2" t="s">
        <v>12</v>
      </c>
      <c r="B353" s="2" t="str">
        <f>HYPERLINK("http://m.12365auto.com/bbs/postcontent.aspx?tID=195527","大众新款途昂正式曝光")</f>
        <v>大众新款途昂正式曝光</v>
      </c>
      <c r="C353" s="2" t="s">
        <v>13</v>
      </c>
      <c r="D353" s="2" t="s">
        <v>23</v>
      </c>
      <c r="E353" s="2"/>
      <c r="F353" s="2" t="str">
        <f>HYPERLINK("http://m.12365auto.com/bbs/postcontent.aspx?tID=195527","http://m.12365auto.com/bbs/postcontent.aspx?tID=195527")</f>
        <v>http://m.12365auto.com/bbs/postcontent.aspx?tID=195527</v>
      </c>
      <c r="G353" s="2"/>
      <c r="H353" s="2" t="s">
        <v>630</v>
      </c>
      <c r="I353" s="2" t="s">
        <v>15</v>
      </c>
      <c r="J353" s="2" t="s">
        <v>616</v>
      </c>
      <c r="K353" s="2" t="s">
        <v>628</v>
      </c>
      <c r="L353" s="2">
        <f t="shared" si="5"/>
        <v>150</v>
      </c>
    </row>
    <row r="354" spans="1:12" ht="25" customHeight="1">
      <c r="A354" s="2" t="s">
        <v>12</v>
      </c>
      <c r="B354" s="2" t="str">
        <f>HYPERLINK("http://bbs.12365auto.com/postcontent.aspx?tId=195526","全新雷克萨斯NX曝光 设计比现款更激进")</f>
        <v>全新雷克萨斯NX曝光 设计比现款更激进</v>
      </c>
      <c r="C354" s="2" t="s">
        <v>13</v>
      </c>
      <c r="D354" s="2" t="s">
        <v>12</v>
      </c>
      <c r="E354" s="2" t="s">
        <v>27</v>
      </c>
      <c r="F354" s="2" t="str">
        <f>HYPERLINK("http://bbs.12365auto.com/postcontent.aspx?tId=195526","http://bbs.12365auto.com/postcontent.aspx?tId=195526")</f>
        <v>http://bbs.12365auto.com/postcontent.aspx?tId=195526</v>
      </c>
      <c r="G354" s="2"/>
      <c r="H354" s="2" t="s">
        <v>627</v>
      </c>
      <c r="I354" s="2" t="s">
        <v>15</v>
      </c>
      <c r="J354" s="2" t="s">
        <v>616</v>
      </c>
      <c r="K354" s="2" t="s">
        <v>628</v>
      </c>
      <c r="L354" s="2">
        <f t="shared" si="5"/>
        <v>150</v>
      </c>
    </row>
    <row r="355" spans="1:12" ht="25" customHeight="1">
      <c r="A355" s="2" t="s">
        <v>12</v>
      </c>
      <c r="B355" s="2" t="str">
        <f>HYPERLINK("http://bbs.12365auto.com/postcontent.aspx?tID=195526","全新雷克萨斯NX曝光 设计比现款更激进")</f>
        <v>全新雷克萨斯NX曝光 设计比现款更激进</v>
      </c>
      <c r="C355" s="2" t="s">
        <v>13</v>
      </c>
      <c r="D355" s="2" t="s">
        <v>12</v>
      </c>
      <c r="E355" s="2" t="s">
        <v>28</v>
      </c>
      <c r="F355" s="2" t="str">
        <f>HYPERLINK("http://bbs.12365auto.com/postcontent.aspx?tID=195526","http://bbs.12365auto.com/postcontent.aspx?tID=195526")</f>
        <v>http://bbs.12365auto.com/postcontent.aspx?tID=195526</v>
      </c>
      <c r="G355" s="2"/>
      <c r="H355" s="2" t="s">
        <v>631</v>
      </c>
      <c r="I355" s="2" t="s">
        <v>15</v>
      </c>
      <c r="J355" s="2" t="s">
        <v>616</v>
      </c>
      <c r="K355" s="2" t="s">
        <v>628</v>
      </c>
      <c r="L355" s="2">
        <f t="shared" si="5"/>
        <v>150</v>
      </c>
    </row>
    <row r="356" spans="1:12" ht="25" customHeight="1">
      <c r="A356" s="2" t="s">
        <v>12</v>
      </c>
      <c r="B356" s="2" t="str">
        <f>HYPERLINK("http://bbs.12365auto.com/postcontent.aspx?tId=195527","大众新款途昂正式曝光")</f>
        <v>大众新款途昂正式曝光</v>
      </c>
      <c r="C356" s="2" t="s">
        <v>13</v>
      </c>
      <c r="D356" s="2" t="s">
        <v>12</v>
      </c>
      <c r="E356" s="2" t="s">
        <v>27</v>
      </c>
      <c r="F356" s="2" t="str">
        <f>HYPERLINK("http://bbs.12365auto.com/postcontent.aspx?tId=195527","http://bbs.12365auto.com/postcontent.aspx?tId=195527")</f>
        <v>http://bbs.12365auto.com/postcontent.aspx?tId=195527</v>
      </c>
      <c r="G356" s="2"/>
      <c r="H356" s="2" t="s">
        <v>630</v>
      </c>
      <c r="I356" s="2" t="s">
        <v>15</v>
      </c>
      <c r="J356" s="2" t="s">
        <v>616</v>
      </c>
      <c r="K356" s="2" t="s">
        <v>628</v>
      </c>
      <c r="L356" s="2">
        <f t="shared" si="5"/>
        <v>150</v>
      </c>
    </row>
    <row r="357" spans="1:12" ht="25" customHeight="1">
      <c r="A357" s="2" t="s">
        <v>12</v>
      </c>
      <c r="B357" s="2" t="str">
        <f>HYPERLINK("http://bbs.12365auto.com/postcontent.aspx?tID=195524","同是大众SUV的探影和途铠 你选谁")</f>
        <v>同是大众SUV的探影和途铠 你选谁</v>
      </c>
      <c r="C357" s="2" t="s">
        <v>13</v>
      </c>
      <c r="D357" s="2" t="s">
        <v>12</v>
      </c>
      <c r="E357" s="2" t="s">
        <v>28</v>
      </c>
      <c r="F357" s="2" t="str">
        <f>HYPERLINK("http://bbs.12365auto.com/postcontent.aspx?tID=195524","http://bbs.12365auto.com/postcontent.aspx?tID=195524")</f>
        <v>http://bbs.12365auto.com/postcontent.aspx?tID=195524</v>
      </c>
      <c r="G357" s="2"/>
      <c r="H357" s="2" t="s">
        <v>632</v>
      </c>
      <c r="I357" s="2" t="s">
        <v>15</v>
      </c>
      <c r="J357" s="2" t="s">
        <v>616</v>
      </c>
      <c r="K357" s="2" t="s">
        <v>633</v>
      </c>
      <c r="L357" s="2">
        <f t="shared" si="5"/>
        <v>150</v>
      </c>
    </row>
    <row r="358" spans="1:12" ht="25" customHeight="1">
      <c r="A358" s="2" t="s">
        <v>12</v>
      </c>
      <c r="B358" s="2" t="str">
        <f>HYPERLINK("http://m.12365auto.com/bbs/postcontent.aspx?tID=195524","同是大众SUV的探影和途铠 你选谁")</f>
        <v>同是大众SUV的探影和途铠 你选谁</v>
      </c>
      <c r="C358" s="2" t="s">
        <v>13</v>
      </c>
      <c r="D358" s="2" t="s">
        <v>23</v>
      </c>
      <c r="E358" s="2"/>
      <c r="F358" s="2" t="str">
        <f>HYPERLINK("http://m.12365auto.com/bbs/postcontent.aspx?tID=195524","http://m.12365auto.com/bbs/postcontent.aspx?tID=195524")</f>
        <v>http://m.12365auto.com/bbs/postcontent.aspx?tID=195524</v>
      </c>
      <c r="G358" s="2"/>
      <c r="H358" s="2" t="s">
        <v>634</v>
      </c>
      <c r="I358" s="2" t="s">
        <v>15</v>
      </c>
      <c r="J358" s="2" t="s">
        <v>616</v>
      </c>
      <c r="K358" s="2" t="s">
        <v>633</v>
      </c>
      <c r="L358" s="2">
        <f t="shared" si="5"/>
        <v>150</v>
      </c>
    </row>
    <row r="359" spans="1:12" ht="25" customHeight="1">
      <c r="A359" s="2" t="s">
        <v>12</v>
      </c>
      <c r="B359" s="2" t="str">
        <f>HYPERLINK("http://bbs.12365auto.com/postcontent.aspx?tID=195525","2020款奥迪Q5L适时上市 志在细分市场销量冠军")</f>
        <v>2020款奥迪Q5L适时上市 志在细分市场销量冠军</v>
      </c>
      <c r="C359" s="2" t="s">
        <v>13</v>
      </c>
      <c r="D359" s="2" t="s">
        <v>12</v>
      </c>
      <c r="E359" s="2" t="s">
        <v>28</v>
      </c>
      <c r="F359" s="2" t="str">
        <f>HYPERLINK("http://bbs.12365auto.com/postcontent.aspx?tID=195525","http://bbs.12365auto.com/postcontent.aspx?tID=195525")</f>
        <v>http://bbs.12365auto.com/postcontent.aspx?tID=195525</v>
      </c>
      <c r="G359" s="2"/>
      <c r="H359" s="2" t="s">
        <v>635</v>
      </c>
      <c r="I359" s="2" t="s">
        <v>15</v>
      </c>
      <c r="J359" s="2" t="s">
        <v>616</v>
      </c>
      <c r="K359" s="2" t="s">
        <v>633</v>
      </c>
      <c r="L359" s="2">
        <f t="shared" si="5"/>
        <v>150</v>
      </c>
    </row>
    <row r="360" spans="1:12" ht="25" customHeight="1">
      <c r="A360" s="2" t="s">
        <v>12</v>
      </c>
      <c r="B360" s="2" t="str">
        <f>HYPERLINK("http://m.12365auto.com/bbs/postcontent.aspx?tID=195525","2020款奥迪Q5L适时上市 志在细分市场销量冠军")</f>
        <v>2020款奥迪Q5L适时上市 志在细分市场销量冠军</v>
      </c>
      <c r="C360" s="2" t="s">
        <v>13</v>
      </c>
      <c r="D360" s="2" t="s">
        <v>23</v>
      </c>
      <c r="E360" s="2"/>
      <c r="F360" s="2" t="str">
        <f>HYPERLINK("http://m.12365auto.com/bbs/postcontent.aspx?tID=195525","http://m.12365auto.com/bbs/postcontent.aspx?tID=195525")</f>
        <v>http://m.12365auto.com/bbs/postcontent.aspx?tID=195525</v>
      </c>
      <c r="G360" s="2"/>
      <c r="H360" s="2" t="s">
        <v>636</v>
      </c>
      <c r="I360" s="2" t="s">
        <v>15</v>
      </c>
      <c r="J360" s="2" t="s">
        <v>616</v>
      </c>
      <c r="K360" s="2" t="s">
        <v>633</v>
      </c>
      <c r="L360" s="2">
        <f t="shared" si="5"/>
        <v>150</v>
      </c>
    </row>
    <row r="361" spans="1:12" ht="25" customHeight="1">
      <c r="A361" s="2" t="s">
        <v>12</v>
      </c>
      <c r="B361" s="2" t="str">
        <f>HYPERLINK("http://bbs.12365auto.com/postcontent.aspx?tId=195524","同是大众SUV的探影和途铠 你选谁")</f>
        <v>同是大众SUV的探影和途铠 你选谁</v>
      </c>
      <c r="C361" s="2" t="s">
        <v>13</v>
      </c>
      <c r="D361" s="2" t="s">
        <v>12</v>
      </c>
      <c r="E361" s="2" t="s">
        <v>27</v>
      </c>
      <c r="F361" s="2" t="str">
        <f>HYPERLINK("http://bbs.12365auto.com/postcontent.aspx?tId=195524","http://bbs.12365auto.com/postcontent.aspx?tId=195524")</f>
        <v>http://bbs.12365auto.com/postcontent.aspx?tId=195524</v>
      </c>
      <c r="G361" s="2"/>
      <c r="H361" s="2" t="s">
        <v>634</v>
      </c>
      <c r="I361" s="2" t="s">
        <v>15</v>
      </c>
      <c r="J361" s="2" t="s">
        <v>616</v>
      </c>
      <c r="K361" s="2" t="s">
        <v>633</v>
      </c>
      <c r="L361" s="2">
        <f t="shared" si="5"/>
        <v>150</v>
      </c>
    </row>
    <row r="362" spans="1:12" ht="25" customHeight="1">
      <c r="A362" s="2" t="s">
        <v>12</v>
      </c>
      <c r="B362" s="2" t="str">
        <f>HYPERLINK("http://bbs.12365auto.com/postcontent.aspx?tId=195525","2020款奥迪Q5L适时上市 志在细分市场销量冠军")</f>
        <v>2020款奥迪Q5L适时上市 志在细分市场销量冠军</v>
      </c>
      <c r="C362" s="2" t="s">
        <v>13</v>
      </c>
      <c r="D362" s="2" t="s">
        <v>12</v>
      </c>
      <c r="E362" s="2" t="s">
        <v>27</v>
      </c>
      <c r="F362" s="2" t="str">
        <f>HYPERLINK("http://bbs.12365auto.com/postcontent.aspx?tId=195525","http://bbs.12365auto.com/postcontent.aspx?tId=195525")</f>
        <v>http://bbs.12365auto.com/postcontent.aspx?tId=195525</v>
      </c>
      <c r="G362" s="2"/>
      <c r="H362" s="2" t="s">
        <v>636</v>
      </c>
      <c r="I362" s="2" t="s">
        <v>15</v>
      </c>
      <c r="J362" s="2" t="s">
        <v>616</v>
      </c>
      <c r="K362" s="2" t="s">
        <v>633</v>
      </c>
      <c r="L362" s="2">
        <f t="shared" si="5"/>
        <v>150</v>
      </c>
    </row>
    <row r="363" spans="1:12" ht="25" customHeight="1">
      <c r="A363" s="2" t="s">
        <v>12</v>
      </c>
      <c r="B363" s="2" t="str">
        <f>HYPERLINK("http://bbs.12365auto.com/postcontent.aspx?tID=195523","售价4.59万起 这款吉利远景X3看起来不错")</f>
        <v>售价4.59万起 这款吉利远景X3看起来不错</v>
      </c>
      <c r="C363" s="2" t="s">
        <v>13</v>
      </c>
      <c r="D363" s="2" t="s">
        <v>12</v>
      </c>
      <c r="E363" s="2" t="s">
        <v>28</v>
      </c>
      <c r="F363" s="2" t="str">
        <f>HYPERLINK("http://bbs.12365auto.com/postcontent.aspx?tID=195523","http://bbs.12365auto.com/postcontent.aspx?tID=195523")</f>
        <v>http://bbs.12365auto.com/postcontent.aspx?tID=195523</v>
      </c>
      <c r="G363" s="2"/>
      <c r="H363" s="2" t="s">
        <v>637</v>
      </c>
      <c r="I363" s="2" t="s">
        <v>15</v>
      </c>
      <c r="J363" s="2" t="s">
        <v>616</v>
      </c>
      <c r="K363" s="2" t="s">
        <v>638</v>
      </c>
      <c r="L363" s="2">
        <f t="shared" si="5"/>
        <v>150</v>
      </c>
    </row>
    <row r="364" spans="1:12" ht="25" customHeight="1">
      <c r="A364" s="2" t="s">
        <v>12</v>
      </c>
      <c r="B364" s="2" t="str">
        <f>HYPERLINK("http://bbs.12365auto.com/postcontent.aspx?tId=195523","售价4.59万起 这款吉利远景X3看起来不错")</f>
        <v>售价4.59万起 这款吉利远景X3看起来不错</v>
      </c>
      <c r="C364" s="2" t="s">
        <v>13</v>
      </c>
      <c r="D364" s="2" t="s">
        <v>12</v>
      </c>
      <c r="E364" s="2" t="s">
        <v>27</v>
      </c>
      <c r="F364" s="2" t="str">
        <f>HYPERLINK("http://bbs.12365auto.com/postcontent.aspx?tId=195523","http://bbs.12365auto.com/postcontent.aspx?tId=195523")</f>
        <v>http://bbs.12365auto.com/postcontent.aspx?tId=195523</v>
      </c>
      <c r="G364" s="2"/>
      <c r="H364" s="2" t="s">
        <v>639</v>
      </c>
      <c r="I364" s="2" t="s">
        <v>15</v>
      </c>
      <c r="J364" s="2" t="s">
        <v>616</v>
      </c>
      <c r="K364" s="2" t="s">
        <v>638</v>
      </c>
      <c r="L364" s="2">
        <f t="shared" si="5"/>
        <v>150</v>
      </c>
    </row>
    <row r="365" spans="1:12" ht="25" customHeight="1">
      <c r="A365" s="2" t="s">
        <v>12</v>
      </c>
      <c r="B365" s="2" t="str">
        <f>HYPERLINK("http://m.12365auto.com/bbs/postcontent.aspx?tID=195523","售价4.59万起 这款吉利远景X3看起来不错")</f>
        <v>售价4.59万起 这款吉利远景X3看起来不错</v>
      </c>
      <c r="C365" s="2" t="s">
        <v>13</v>
      </c>
      <c r="D365" s="2" t="s">
        <v>23</v>
      </c>
      <c r="E365" s="2"/>
      <c r="F365" s="2" t="str">
        <f>HYPERLINK("http://m.12365auto.com/bbs/postcontent.aspx?tID=195523","http://m.12365auto.com/bbs/postcontent.aspx?tID=195523")</f>
        <v>http://m.12365auto.com/bbs/postcontent.aspx?tID=195523</v>
      </c>
      <c r="G365" s="2"/>
      <c r="H365" s="2" t="s">
        <v>639</v>
      </c>
      <c r="I365" s="2" t="s">
        <v>15</v>
      </c>
      <c r="J365" s="2" t="s">
        <v>616</v>
      </c>
      <c r="K365" s="2" t="s">
        <v>638</v>
      </c>
      <c r="L365" s="2">
        <f t="shared" si="5"/>
        <v>150</v>
      </c>
    </row>
    <row r="366" spans="1:12" ht="25" customHeight="1">
      <c r="A366" s="2" t="s">
        <v>12</v>
      </c>
      <c r="B366" s="2" t="str">
        <f>HYPERLINK("http://m.12365auto.com/bbs/postcontent.aspx?tID=195522","Lucid Air将使用LG Chem提供的柱状电池")</f>
        <v>Lucid Air将使用LG Chem提供的柱状电池</v>
      </c>
      <c r="C366" s="2" t="s">
        <v>13</v>
      </c>
      <c r="D366" s="2" t="s">
        <v>23</v>
      </c>
      <c r="E366" s="2"/>
      <c r="F366" s="2" t="str">
        <f>HYPERLINK("http://m.12365auto.com/bbs/postcontent.aspx?tID=195522","http://m.12365auto.com/bbs/postcontent.aspx?tID=195522")</f>
        <v>http://m.12365auto.com/bbs/postcontent.aspx?tID=195522</v>
      </c>
      <c r="G366" s="2"/>
      <c r="H366" s="2" t="s">
        <v>640</v>
      </c>
      <c r="I366" s="2" t="s">
        <v>15</v>
      </c>
      <c r="J366" s="2" t="s">
        <v>616</v>
      </c>
      <c r="K366" s="2" t="s">
        <v>641</v>
      </c>
      <c r="L366" s="2">
        <f t="shared" si="5"/>
        <v>150</v>
      </c>
    </row>
    <row r="367" spans="1:12" ht="25" customHeight="1">
      <c r="A367" s="2" t="s">
        <v>12</v>
      </c>
      <c r="B367" s="2" t="str">
        <f>HYPERLINK("http://bbs.12365auto.com/postcontent.aspx?tID=195522","Lucid Air将使用LG Chem提供的柱状电池")</f>
        <v>Lucid Air将使用LG Chem提供的柱状电池</v>
      </c>
      <c r="C367" s="2" t="s">
        <v>13</v>
      </c>
      <c r="D367" s="2" t="s">
        <v>12</v>
      </c>
      <c r="E367" s="2" t="s">
        <v>28</v>
      </c>
      <c r="F367" s="2" t="str">
        <f>HYPERLINK("http://bbs.12365auto.com/postcontent.aspx?tID=195522","http://bbs.12365auto.com/postcontent.aspx?tID=195522")</f>
        <v>http://bbs.12365auto.com/postcontent.aspx?tID=195522</v>
      </c>
      <c r="G367" s="2"/>
      <c r="H367" s="2" t="s">
        <v>642</v>
      </c>
      <c r="I367" s="2" t="s">
        <v>15</v>
      </c>
      <c r="J367" s="2" t="s">
        <v>616</v>
      </c>
      <c r="K367" s="2" t="s">
        <v>641</v>
      </c>
      <c r="L367" s="2">
        <f t="shared" si="5"/>
        <v>150</v>
      </c>
    </row>
    <row r="368" spans="1:12" ht="25" customHeight="1">
      <c r="A368" s="2" t="s">
        <v>12</v>
      </c>
      <c r="B368" s="2" t="str">
        <f>HYPERLINK("http://bbs.12365auto.com/postcontent.aspx?tId=195522","Lucid Air将使用LG Chem提供的柱状电池")</f>
        <v>Lucid Air将使用LG Chem提供的柱状电池</v>
      </c>
      <c r="C368" s="2" t="s">
        <v>13</v>
      </c>
      <c r="D368" s="2" t="s">
        <v>12</v>
      </c>
      <c r="E368" s="2" t="s">
        <v>27</v>
      </c>
      <c r="F368" s="2" t="str">
        <f>HYPERLINK("http://bbs.12365auto.com/postcontent.aspx?tId=195522","http://bbs.12365auto.com/postcontent.aspx?tId=195522")</f>
        <v>http://bbs.12365auto.com/postcontent.aspx?tId=195522</v>
      </c>
      <c r="G368" s="2"/>
      <c r="H368" s="2" t="s">
        <v>640</v>
      </c>
      <c r="I368" s="2" t="s">
        <v>15</v>
      </c>
      <c r="J368" s="2" t="s">
        <v>616</v>
      </c>
      <c r="K368" s="2" t="s">
        <v>641</v>
      </c>
      <c r="L368" s="2">
        <f t="shared" si="5"/>
        <v>150</v>
      </c>
    </row>
    <row r="369" spans="1:12" ht="25" customHeight="1">
      <c r="A369" s="2" t="s">
        <v>12</v>
      </c>
      <c r="B369" s="2" t="str">
        <f>HYPERLINK("http://bbs.12365auto.com/postcontent.aspx?tID=195521","保时捷Panamera最帅四门轿跑")</f>
        <v>保时捷Panamera最帅四门轿跑</v>
      </c>
      <c r="C369" s="2" t="s">
        <v>13</v>
      </c>
      <c r="D369" s="2" t="s">
        <v>12</v>
      </c>
      <c r="E369" s="2" t="s">
        <v>28</v>
      </c>
      <c r="F369" s="2" t="str">
        <f>HYPERLINK("http://bbs.12365auto.com/postcontent.aspx?tID=195521","http://bbs.12365auto.com/postcontent.aspx?tID=195521")</f>
        <v>http://bbs.12365auto.com/postcontent.aspx?tID=195521</v>
      </c>
      <c r="G369" s="2"/>
      <c r="H369" s="2" t="s">
        <v>643</v>
      </c>
      <c r="I369" s="2" t="s">
        <v>15</v>
      </c>
      <c r="J369" s="2" t="s">
        <v>616</v>
      </c>
      <c r="K369" s="2" t="s">
        <v>644</v>
      </c>
      <c r="L369" s="2">
        <f t="shared" si="5"/>
        <v>150</v>
      </c>
    </row>
    <row r="370" spans="1:12" ht="25" customHeight="1">
      <c r="A370" s="2" t="s">
        <v>12</v>
      </c>
      <c r="B370" s="2" t="str">
        <f>HYPERLINK("http://bbs.12365auto.com/postcontent.aspx?tId=195520","一汽-大众首款轿跑SUV 有望命名探岳X")</f>
        <v>一汽-大众首款轿跑SUV 有望命名探岳X</v>
      </c>
      <c r="C370" s="2" t="s">
        <v>13</v>
      </c>
      <c r="D370" s="2" t="s">
        <v>12</v>
      </c>
      <c r="E370" s="2" t="s">
        <v>27</v>
      </c>
      <c r="F370" s="2" t="str">
        <f>HYPERLINK("http://bbs.12365auto.com/postcontent.aspx?tId=195520","http://bbs.12365auto.com/postcontent.aspx?tId=195520")</f>
        <v>http://bbs.12365auto.com/postcontent.aspx?tId=195520</v>
      </c>
      <c r="G370" s="2"/>
      <c r="H370" s="2" t="s">
        <v>645</v>
      </c>
      <c r="I370" s="2" t="s">
        <v>15</v>
      </c>
      <c r="J370" s="2" t="s">
        <v>616</v>
      </c>
      <c r="K370" s="2" t="s">
        <v>644</v>
      </c>
      <c r="L370" s="2">
        <f t="shared" si="5"/>
        <v>150</v>
      </c>
    </row>
    <row r="371" spans="1:12" ht="25" customHeight="1">
      <c r="A371" s="2" t="s">
        <v>12</v>
      </c>
      <c r="B371" s="2" t="str">
        <f>HYPERLINK("http://bbs.12365auto.com/postcontent.aspx?tID=195520","一汽-大众首款轿跑SUV 有望命名探岳X")</f>
        <v>一汽-大众首款轿跑SUV 有望命名探岳X</v>
      </c>
      <c r="C371" s="2" t="s">
        <v>13</v>
      </c>
      <c r="D371" s="2" t="s">
        <v>12</v>
      </c>
      <c r="E371" s="2" t="s">
        <v>28</v>
      </c>
      <c r="F371" s="2" t="str">
        <f>HYPERLINK("http://bbs.12365auto.com/postcontent.aspx?tID=195520","http://bbs.12365auto.com/postcontent.aspx?tID=195520")</f>
        <v>http://bbs.12365auto.com/postcontent.aspx?tID=195520</v>
      </c>
      <c r="G371" s="2"/>
      <c r="H371" s="2" t="s">
        <v>646</v>
      </c>
      <c r="I371" s="2" t="s">
        <v>15</v>
      </c>
      <c r="J371" s="2" t="s">
        <v>616</v>
      </c>
      <c r="K371" s="2" t="s">
        <v>644</v>
      </c>
      <c r="L371" s="2">
        <f t="shared" si="5"/>
        <v>150</v>
      </c>
    </row>
    <row r="372" spans="1:12" ht="25" customHeight="1">
      <c r="A372" s="2" t="s">
        <v>12</v>
      </c>
      <c r="B372" s="2" t="str">
        <f>HYPERLINK("http://bbs.12365auto.com/postcontent.aspx?tId=195521","保时捷Panamera最帅四门轿跑")</f>
        <v>保时捷Panamera最帅四门轿跑</v>
      </c>
      <c r="C372" s="2" t="s">
        <v>13</v>
      </c>
      <c r="D372" s="2" t="s">
        <v>12</v>
      </c>
      <c r="E372" s="2" t="s">
        <v>27</v>
      </c>
      <c r="F372" s="2" t="str">
        <f>HYPERLINK("http://bbs.12365auto.com/postcontent.aspx?tId=195521","http://bbs.12365auto.com/postcontent.aspx?tId=195521")</f>
        <v>http://bbs.12365auto.com/postcontent.aspx?tId=195521</v>
      </c>
      <c r="G372" s="2"/>
      <c r="H372" s="2" t="s">
        <v>647</v>
      </c>
      <c r="I372" s="2" t="s">
        <v>15</v>
      </c>
      <c r="J372" s="2" t="s">
        <v>616</v>
      </c>
      <c r="K372" s="2" t="s">
        <v>644</v>
      </c>
      <c r="L372" s="2">
        <f t="shared" si="5"/>
        <v>150</v>
      </c>
    </row>
    <row r="373" spans="1:12" ht="25" customHeight="1">
      <c r="A373" s="2" t="s">
        <v>12</v>
      </c>
      <c r="B373" s="2" t="str">
        <f>HYPERLINK("http://bbs.12365auto.com/postcontent.aspx?tId=195519","买家用车真没必要非“大车”不可")</f>
        <v>买家用车真没必要非“大车”不可</v>
      </c>
      <c r="C373" s="2" t="s">
        <v>13</v>
      </c>
      <c r="D373" s="2" t="s">
        <v>12</v>
      </c>
      <c r="E373" s="2" t="s">
        <v>27</v>
      </c>
      <c r="F373" s="2" t="str">
        <f>HYPERLINK("http://bbs.12365auto.com/postcontent.aspx?tId=195519","http://bbs.12365auto.com/postcontent.aspx?tId=195519")</f>
        <v>http://bbs.12365auto.com/postcontent.aspx?tId=195519</v>
      </c>
      <c r="G373" s="2"/>
      <c r="H373" s="2" t="s">
        <v>648</v>
      </c>
      <c r="I373" s="2" t="s">
        <v>15</v>
      </c>
      <c r="J373" s="2" t="s">
        <v>616</v>
      </c>
      <c r="K373" s="2" t="s">
        <v>649</v>
      </c>
      <c r="L373" s="2">
        <f t="shared" si="5"/>
        <v>150</v>
      </c>
    </row>
    <row r="374" spans="1:12" ht="25" customHeight="1">
      <c r="A374" s="2" t="s">
        <v>12</v>
      </c>
      <c r="B374" s="2" t="str">
        <f>HYPERLINK("http://bbs.12365auto.com/postcontent.aspx?tID=195519","买家用车真没必要非“大车”不可")</f>
        <v>买家用车真没必要非“大车”不可</v>
      </c>
      <c r="C374" s="2" t="s">
        <v>13</v>
      </c>
      <c r="D374" s="2" t="s">
        <v>12</v>
      </c>
      <c r="E374" s="2" t="s">
        <v>28</v>
      </c>
      <c r="F374" s="2" t="str">
        <f>HYPERLINK("http://bbs.12365auto.com/postcontent.aspx?tID=195519","http://bbs.12365auto.com/postcontent.aspx?tID=195519")</f>
        <v>http://bbs.12365auto.com/postcontent.aspx?tID=195519</v>
      </c>
      <c r="G374" s="2"/>
      <c r="H374" s="2" t="s">
        <v>650</v>
      </c>
      <c r="I374" s="2" t="s">
        <v>15</v>
      </c>
      <c r="J374" s="2" t="s">
        <v>616</v>
      </c>
      <c r="K374" s="2" t="s">
        <v>649</v>
      </c>
      <c r="L374" s="2">
        <f t="shared" si="5"/>
        <v>150</v>
      </c>
    </row>
    <row r="375" spans="1:12" ht="25" customHeight="1">
      <c r="A375" s="2" t="s">
        <v>12</v>
      </c>
      <c r="B375" s="2" t="str">
        <f>HYPERLINK("http://bbs.12365auto.com/postcontent.aspx?tId=195518","宝马2020年新车合集")</f>
        <v>宝马2020年新车合集</v>
      </c>
      <c r="C375" s="2" t="s">
        <v>13</v>
      </c>
      <c r="D375" s="2" t="s">
        <v>12</v>
      </c>
      <c r="E375" s="2" t="s">
        <v>27</v>
      </c>
      <c r="F375" s="2" t="str">
        <f>HYPERLINK("http://bbs.12365auto.com/postcontent.aspx?tId=195518","http://bbs.12365auto.com/postcontent.aspx?tId=195518")</f>
        <v>http://bbs.12365auto.com/postcontent.aspx?tId=195518</v>
      </c>
      <c r="G375" s="2"/>
      <c r="H375" s="2" t="s">
        <v>651</v>
      </c>
      <c r="I375" s="2" t="s">
        <v>15</v>
      </c>
      <c r="J375" s="2" t="s">
        <v>616</v>
      </c>
      <c r="K375" s="2" t="s">
        <v>652</v>
      </c>
      <c r="L375" s="2">
        <f t="shared" si="5"/>
        <v>150</v>
      </c>
    </row>
    <row r="376" spans="1:12" ht="25" customHeight="1">
      <c r="A376" s="2" t="s">
        <v>12</v>
      </c>
      <c r="B376" s="2" t="str">
        <f>HYPERLINK("http://bbs.12365auto.com/postcontent.aspx?tID=195518","宝马2020年新车合集")</f>
        <v>宝马2020年新车合集</v>
      </c>
      <c r="C376" s="2" t="s">
        <v>13</v>
      </c>
      <c r="D376" s="2" t="s">
        <v>12</v>
      </c>
      <c r="E376" s="2" t="s">
        <v>28</v>
      </c>
      <c r="F376" s="2" t="str">
        <f>HYPERLINK("http://bbs.12365auto.com/postcontent.aspx?tID=195518","http://bbs.12365auto.com/postcontent.aspx?tID=195518")</f>
        <v>http://bbs.12365auto.com/postcontent.aspx?tID=195518</v>
      </c>
      <c r="G376" s="2"/>
      <c r="H376" s="2" t="s">
        <v>653</v>
      </c>
      <c r="I376" s="2" t="s">
        <v>15</v>
      </c>
      <c r="J376" s="2" t="s">
        <v>616</v>
      </c>
      <c r="K376" s="2" t="s">
        <v>652</v>
      </c>
      <c r="L376" s="2">
        <f t="shared" si="5"/>
        <v>150</v>
      </c>
    </row>
    <row r="377" spans="1:12" ht="25" customHeight="1">
      <c r="A377" s="2" t="s">
        <v>12</v>
      </c>
      <c r="B377" s="2" t="str">
        <f>HYPERLINK("http://bbs.12365auto.com/postcontent.aspx?tId=195517","2019款克莱斯勒大捷龙插电混动版")</f>
        <v>2019款克莱斯勒大捷龙插电混动版</v>
      </c>
      <c r="C377" s="2" t="s">
        <v>13</v>
      </c>
      <c r="D377" s="2" t="s">
        <v>12</v>
      </c>
      <c r="E377" s="2" t="s">
        <v>27</v>
      </c>
      <c r="F377" s="2" t="str">
        <f>HYPERLINK("http://bbs.12365auto.com/postcontent.aspx?tId=195517","http://bbs.12365auto.com/postcontent.aspx?tId=195517")</f>
        <v>http://bbs.12365auto.com/postcontent.aspx?tId=195517</v>
      </c>
      <c r="G377" s="2"/>
      <c r="H377" s="2" t="s">
        <v>654</v>
      </c>
      <c r="I377" s="2" t="s">
        <v>15</v>
      </c>
      <c r="J377" s="2" t="s">
        <v>616</v>
      </c>
      <c r="K377" s="2" t="s">
        <v>655</v>
      </c>
      <c r="L377" s="2">
        <f t="shared" si="5"/>
        <v>150</v>
      </c>
    </row>
    <row r="378" spans="1:12" ht="25" customHeight="1">
      <c r="A378" s="2" t="s">
        <v>12</v>
      </c>
      <c r="B378" s="2" t="str">
        <f>HYPERLINK("http://bbs.12365auto.com/postcontent.aspx?tId=195516","领克06定位小型SUV 起售价或在10万元左右")</f>
        <v>领克06定位小型SUV 起售价或在10万元左右</v>
      </c>
      <c r="C378" s="2" t="s">
        <v>13</v>
      </c>
      <c r="D378" s="2" t="s">
        <v>12</v>
      </c>
      <c r="E378" s="2" t="s">
        <v>27</v>
      </c>
      <c r="F378" s="2" t="str">
        <f>HYPERLINK("http://bbs.12365auto.com/postcontent.aspx?tId=195516","http://bbs.12365auto.com/postcontent.aspx?tId=195516")</f>
        <v>http://bbs.12365auto.com/postcontent.aspx?tId=195516</v>
      </c>
      <c r="G378" s="2"/>
      <c r="H378" s="2" t="s">
        <v>656</v>
      </c>
      <c r="I378" s="2" t="s">
        <v>15</v>
      </c>
      <c r="J378" s="2" t="s">
        <v>616</v>
      </c>
      <c r="K378" s="2" t="s">
        <v>655</v>
      </c>
      <c r="L378" s="2">
        <f t="shared" si="5"/>
        <v>150</v>
      </c>
    </row>
    <row r="379" spans="1:12" ht="25" customHeight="1">
      <c r="A379" s="2" t="s">
        <v>12</v>
      </c>
      <c r="B379" s="2" t="str">
        <f>HYPERLINK("http://bbs.12365auto.com/postcontent.aspx?tID=195516","领克06定位小型SUV 起售价或在10万元左右")</f>
        <v>领克06定位小型SUV 起售价或在10万元左右</v>
      </c>
      <c r="C379" s="2" t="s">
        <v>13</v>
      </c>
      <c r="D379" s="2" t="s">
        <v>12</v>
      </c>
      <c r="E379" s="2" t="s">
        <v>28</v>
      </c>
      <c r="F379" s="2" t="str">
        <f>HYPERLINK("http://bbs.12365auto.com/postcontent.aspx?tID=195516","http://bbs.12365auto.com/postcontent.aspx?tID=195516")</f>
        <v>http://bbs.12365auto.com/postcontent.aspx?tID=195516</v>
      </c>
      <c r="G379" s="2"/>
      <c r="H379" s="2" t="s">
        <v>657</v>
      </c>
      <c r="I379" s="2" t="s">
        <v>15</v>
      </c>
      <c r="J379" s="2" t="s">
        <v>616</v>
      </c>
      <c r="K379" s="2" t="s">
        <v>655</v>
      </c>
      <c r="L379" s="2">
        <f t="shared" si="5"/>
        <v>150</v>
      </c>
    </row>
    <row r="380" spans="1:12" ht="25" customHeight="1">
      <c r="A380" s="2" t="s">
        <v>12</v>
      </c>
      <c r="B380" s="2" t="str">
        <f>HYPERLINK("http://bbs.12365auto.com/postcontent.aspx?tID=195517","2019款克莱斯勒大捷龙插电混动版")</f>
        <v>2019款克莱斯勒大捷龙插电混动版</v>
      </c>
      <c r="C380" s="2" t="s">
        <v>13</v>
      </c>
      <c r="D380" s="2" t="s">
        <v>12</v>
      </c>
      <c r="E380" s="2" t="s">
        <v>28</v>
      </c>
      <c r="F380" s="2" t="str">
        <f>HYPERLINK("http://bbs.12365auto.com/postcontent.aspx?tID=195517","http://bbs.12365auto.com/postcontent.aspx?tID=195517")</f>
        <v>http://bbs.12365auto.com/postcontent.aspx?tID=195517</v>
      </c>
      <c r="G380" s="2"/>
      <c r="H380" s="2" t="s">
        <v>658</v>
      </c>
      <c r="I380" s="2" t="s">
        <v>15</v>
      </c>
      <c r="J380" s="2" t="s">
        <v>616</v>
      </c>
      <c r="K380" s="2" t="s">
        <v>655</v>
      </c>
      <c r="L380" s="2">
        <f t="shared" si="5"/>
        <v>150</v>
      </c>
    </row>
    <row r="381" spans="1:12" ht="25" customHeight="1">
      <c r="A381" s="2" t="s">
        <v>12</v>
      </c>
      <c r="B381" s="2" t="str">
        <f>HYPERLINK("http://bbs.12365auto.com/postcontent.aspx?tId=195514","起亚开始向上走 从换标开始")</f>
        <v>起亚开始向上走 从换标开始</v>
      </c>
      <c r="C381" s="2" t="s">
        <v>13</v>
      </c>
      <c r="D381" s="2" t="s">
        <v>12</v>
      </c>
      <c r="E381" s="2" t="s">
        <v>27</v>
      </c>
      <c r="F381" s="2" t="str">
        <f>HYPERLINK("http://bbs.12365auto.com/postcontent.aspx?tId=195514","http://bbs.12365auto.com/postcontent.aspx?tId=195514")</f>
        <v>http://bbs.12365auto.com/postcontent.aspx?tId=195514</v>
      </c>
      <c r="G381" s="2"/>
      <c r="H381" s="2" t="s">
        <v>659</v>
      </c>
      <c r="I381" s="2" t="s">
        <v>15</v>
      </c>
      <c r="J381" s="2" t="s">
        <v>616</v>
      </c>
      <c r="K381" s="2" t="s">
        <v>660</v>
      </c>
      <c r="L381" s="2">
        <f t="shared" si="5"/>
        <v>150</v>
      </c>
    </row>
    <row r="382" spans="1:12" ht="25" customHeight="1">
      <c r="A382" s="2" t="s">
        <v>12</v>
      </c>
      <c r="B382" s="2" t="str">
        <f>HYPERLINK("http://bbs.12365auto.com/postcontent.aspx?tId=195515","新车比奥迪A7拉风 只要23.28万")</f>
        <v>新车比奥迪A7拉风 只要23.28万</v>
      </c>
      <c r="C382" s="2" t="s">
        <v>13</v>
      </c>
      <c r="D382" s="2" t="s">
        <v>12</v>
      </c>
      <c r="E382" s="2" t="s">
        <v>27</v>
      </c>
      <c r="F382" s="2" t="str">
        <f>HYPERLINK("http://bbs.12365auto.com/postcontent.aspx?tId=195515","http://bbs.12365auto.com/postcontent.aspx?tId=195515")</f>
        <v>http://bbs.12365auto.com/postcontent.aspx?tId=195515</v>
      </c>
      <c r="G382" s="2"/>
      <c r="H382" s="2" t="s">
        <v>661</v>
      </c>
      <c r="I382" s="2" t="s">
        <v>15</v>
      </c>
      <c r="J382" s="2" t="s">
        <v>616</v>
      </c>
      <c r="K382" s="2" t="s">
        <v>660</v>
      </c>
      <c r="L382" s="2">
        <f t="shared" si="5"/>
        <v>150</v>
      </c>
    </row>
    <row r="383" spans="1:12" ht="25" customHeight="1">
      <c r="A383" s="2" t="s">
        <v>12</v>
      </c>
      <c r="B383" s="2" t="str">
        <f>HYPERLINK("http://bbs.12365auto.com/postcontent.aspx?tID=195514","起亚开始向上走 从换标开始")</f>
        <v>起亚开始向上走 从换标开始</v>
      </c>
      <c r="C383" s="2" t="s">
        <v>13</v>
      </c>
      <c r="D383" s="2" t="s">
        <v>12</v>
      </c>
      <c r="E383" s="2" t="s">
        <v>28</v>
      </c>
      <c r="F383" s="2" t="str">
        <f>HYPERLINK("http://bbs.12365auto.com/postcontent.aspx?tID=195514","http://bbs.12365auto.com/postcontent.aspx?tID=195514")</f>
        <v>http://bbs.12365auto.com/postcontent.aspx?tID=195514</v>
      </c>
      <c r="G383" s="2"/>
      <c r="H383" s="2" t="s">
        <v>662</v>
      </c>
      <c r="I383" s="2" t="s">
        <v>15</v>
      </c>
      <c r="J383" s="2" t="s">
        <v>616</v>
      </c>
      <c r="K383" s="2" t="s">
        <v>660</v>
      </c>
      <c r="L383" s="2">
        <f t="shared" si="5"/>
        <v>150</v>
      </c>
    </row>
    <row r="384" spans="1:12" ht="25" customHeight="1">
      <c r="A384" s="2" t="s">
        <v>12</v>
      </c>
      <c r="B384" s="2" t="str">
        <f>HYPERLINK("http://bbs.12365auto.com/postcontent.aspx?tID=195515","新车比奥迪A7拉风 只要23.28万")</f>
        <v>新车比奥迪A7拉风 只要23.28万</v>
      </c>
      <c r="C384" s="2" t="s">
        <v>13</v>
      </c>
      <c r="D384" s="2" t="s">
        <v>12</v>
      </c>
      <c r="E384" s="2" t="s">
        <v>28</v>
      </c>
      <c r="F384" s="2" t="str">
        <f>HYPERLINK("http://bbs.12365auto.com/postcontent.aspx?tID=195515","http://bbs.12365auto.com/postcontent.aspx?tID=195515")</f>
        <v>http://bbs.12365auto.com/postcontent.aspx?tID=195515</v>
      </c>
      <c r="G384" s="2"/>
      <c r="H384" s="2" t="s">
        <v>663</v>
      </c>
      <c r="I384" s="2" t="s">
        <v>15</v>
      </c>
      <c r="J384" s="2" t="s">
        <v>616</v>
      </c>
      <c r="K384" s="2" t="s">
        <v>660</v>
      </c>
      <c r="L384" s="2">
        <f t="shared" si="5"/>
        <v>150</v>
      </c>
    </row>
    <row r="385" spans="1:12" ht="25" customHeight="1">
      <c r="A385" s="2" t="s">
        <v>12</v>
      </c>
      <c r="B385" s="2" t="str">
        <f>HYPERLINK("http://bbs.12365auto.com/postcontent.aspx?tId=195513","理性分析凯迪拉克CT5的保价策略 这台车最多能优惠多少")</f>
        <v>理性分析凯迪拉克CT5的保价策略 这台车最多能优惠多少</v>
      </c>
      <c r="C385" s="2" t="s">
        <v>13</v>
      </c>
      <c r="D385" s="2" t="s">
        <v>12</v>
      </c>
      <c r="E385" s="2" t="s">
        <v>27</v>
      </c>
      <c r="F385" s="2" t="str">
        <f>HYPERLINK("http://bbs.12365auto.com/postcontent.aspx?tId=195513","http://bbs.12365auto.com/postcontent.aspx?tId=195513")</f>
        <v>http://bbs.12365auto.com/postcontent.aspx?tId=195513</v>
      </c>
      <c r="G385" s="2"/>
      <c r="H385" s="2" t="s">
        <v>664</v>
      </c>
      <c r="I385" s="2" t="s">
        <v>15</v>
      </c>
      <c r="J385" s="2" t="s">
        <v>616</v>
      </c>
      <c r="K385" s="2" t="s">
        <v>665</v>
      </c>
      <c r="L385" s="2">
        <f t="shared" si="5"/>
        <v>150</v>
      </c>
    </row>
    <row r="386" spans="1:12" ht="25" customHeight="1">
      <c r="A386" s="2" t="s">
        <v>12</v>
      </c>
      <c r="B386" s="2" t="str">
        <f>HYPERLINK("http://bbs.12365auto.com/postcontent.aspx?tID=195513","理性分析凯迪拉克CT5的保价策略 这台车最多能优惠多少")</f>
        <v>理性分析凯迪拉克CT5的保价策略 这台车最多能优惠多少</v>
      </c>
      <c r="C386" s="2" t="s">
        <v>13</v>
      </c>
      <c r="D386" s="2" t="s">
        <v>12</v>
      </c>
      <c r="E386" s="2" t="s">
        <v>28</v>
      </c>
      <c r="F386" s="2" t="str">
        <f>HYPERLINK("http://bbs.12365auto.com/postcontent.aspx?tID=195513","http://bbs.12365auto.com/postcontent.aspx?tID=195513")</f>
        <v>http://bbs.12365auto.com/postcontent.aspx?tID=195513</v>
      </c>
      <c r="G386" s="2"/>
      <c r="H386" s="2" t="s">
        <v>666</v>
      </c>
      <c r="I386" s="2" t="s">
        <v>15</v>
      </c>
      <c r="J386" s="2" t="s">
        <v>616</v>
      </c>
      <c r="K386" s="2" t="s">
        <v>665</v>
      </c>
      <c r="L386" s="2">
        <f t="shared" si="5"/>
        <v>150</v>
      </c>
    </row>
    <row r="387" spans="1:12" ht="25" customHeight="1">
      <c r="A387" s="2" t="s">
        <v>12</v>
      </c>
      <c r="B387" s="2" t="str">
        <f>HYPERLINK("http://bbs.12365auto.com/postcontent.aspx?tId=195512","奔驰新款E级官方预告图曝光")</f>
        <v>奔驰新款E级官方预告图曝光</v>
      </c>
      <c r="C387" s="2" t="s">
        <v>13</v>
      </c>
      <c r="D387" s="2" t="s">
        <v>12</v>
      </c>
      <c r="E387" s="2" t="s">
        <v>27</v>
      </c>
      <c r="F387" s="2" t="str">
        <f>HYPERLINK("http://bbs.12365auto.com/postcontent.aspx?tId=195512","http://bbs.12365auto.com/postcontent.aspx?tId=195512")</f>
        <v>http://bbs.12365auto.com/postcontent.aspx?tId=195512</v>
      </c>
      <c r="G387" s="2"/>
      <c r="H387" s="2" t="s">
        <v>667</v>
      </c>
      <c r="I387" s="2" t="s">
        <v>15</v>
      </c>
      <c r="J387" s="2" t="s">
        <v>616</v>
      </c>
      <c r="K387" s="2" t="s">
        <v>668</v>
      </c>
      <c r="L387" s="2">
        <f t="shared" ref="L387:L450" si="6">LEN(H387)</f>
        <v>150</v>
      </c>
    </row>
    <row r="388" spans="1:12" ht="25" customHeight="1">
      <c r="A388" s="2" t="s">
        <v>12</v>
      </c>
      <c r="B388" s="2" t="str">
        <f>HYPERLINK("http://bbs.12365auto.com/postcontent.aspx?tID=195512","奔驰新款E级官方预告图曝光")</f>
        <v>奔驰新款E级官方预告图曝光</v>
      </c>
      <c r="C388" s="2" t="s">
        <v>13</v>
      </c>
      <c r="D388" s="2" t="s">
        <v>12</v>
      </c>
      <c r="E388" s="2" t="s">
        <v>28</v>
      </c>
      <c r="F388" s="2" t="str">
        <f>HYPERLINK("http://bbs.12365auto.com/postcontent.aspx?tID=195512","http://bbs.12365auto.com/postcontent.aspx?tID=195512")</f>
        <v>http://bbs.12365auto.com/postcontent.aspx?tID=195512</v>
      </c>
      <c r="G388" s="2"/>
      <c r="H388" s="2" t="s">
        <v>669</v>
      </c>
      <c r="I388" s="2" t="s">
        <v>15</v>
      </c>
      <c r="J388" s="2" t="s">
        <v>616</v>
      </c>
      <c r="K388" s="2" t="s">
        <v>668</v>
      </c>
      <c r="L388" s="2">
        <f t="shared" si="6"/>
        <v>150</v>
      </c>
    </row>
    <row r="389" spans="1:12" ht="25" customHeight="1">
      <c r="A389" s="2" t="s">
        <v>12</v>
      </c>
      <c r="B389" s="2" t="str">
        <f>HYPERLINK("http://www.12365auto.com/zlts/20200228/449200.shtml","吉利博越车内异味 车辆存在漏电现象")</f>
        <v>吉利博越车内异味 车辆存在漏电现象</v>
      </c>
      <c r="C389" s="2" t="s">
        <v>13</v>
      </c>
      <c r="D389" s="2" t="s">
        <v>12</v>
      </c>
      <c r="E389" s="2" t="s">
        <v>17</v>
      </c>
      <c r="F389" s="2" t="str">
        <f>HYPERLINK("http://www.12365auto.com/zlts/20200228/449200.shtml","http://www.12365auto.com/zlts/20200228/449200.shtml")</f>
        <v>http://www.12365auto.com/zlts/20200228/449200.shtml</v>
      </c>
      <c r="G389" s="2"/>
      <c r="H389" s="2" t="s">
        <v>670</v>
      </c>
      <c r="I389" s="2" t="s">
        <v>15</v>
      </c>
      <c r="J389" s="2" t="s">
        <v>12</v>
      </c>
      <c r="K389" s="2" t="s">
        <v>671</v>
      </c>
      <c r="L389" s="2">
        <f t="shared" si="6"/>
        <v>150</v>
      </c>
    </row>
    <row r="390" spans="1:12" ht="25" customHeight="1">
      <c r="A390" s="2" t="s">
        <v>12</v>
      </c>
      <c r="B390" s="2" t="str">
        <f>HYPERLINK("http://m.12365auto.com/zjdy/20200228/121734.shtml","正常新车变速箱的磨合期是多少公里？")</f>
        <v>正常新车变速箱的磨合期是多少公里？</v>
      </c>
      <c r="C390" s="2" t="s">
        <v>13</v>
      </c>
      <c r="D390" s="2" t="s">
        <v>12</v>
      </c>
      <c r="E390" s="2"/>
      <c r="F390" s="2" t="str">
        <f>HYPERLINK("http://m.12365auto.com/zjdy/20200228/121734.shtml","http://m.12365auto.com/zjdy/20200228/121734.shtml")</f>
        <v>http://m.12365auto.com/zjdy/20200228/121734.shtml</v>
      </c>
      <c r="G390" s="2"/>
      <c r="H390" s="2" t="s">
        <v>672</v>
      </c>
      <c r="I390" s="2" t="s">
        <v>19</v>
      </c>
      <c r="J390" s="2" t="s">
        <v>12</v>
      </c>
      <c r="K390" s="2" t="s">
        <v>673</v>
      </c>
      <c r="L390" s="2">
        <f t="shared" si="6"/>
        <v>22</v>
      </c>
    </row>
    <row r="391" spans="1:12" ht="25" customHeight="1">
      <c r="A391" s="2" t="s">
        <v>12</v>
      </c>
      <c r="B391" s="2" t="str">
        <f>HYPERLINK("http://www.12365auto.com/zlts/20200228/449198.shtml","华晨宝马X1右前轮刹车片偏磨影响安全")</f>
        <v>华晨宝马X1右前轮刹车片偏磨影响安全</v>
      </c>
      <c r="C391" s="2" t="s">
        <v>13</v>
      </c>
      <c r="D391" s="2" t="s">
        <v>12</v>
      </c>
      <c r="E391" s="2" t="s">
        <v>17</v>
      </c>
      <c r="F391" s="2" t="str">
        <f>HYPERLINK("http://www.12365auto.com/zlts/20200228/449198.shtml","http://www.12365auto.com/zlts/20200228/449198.shtml")</f>
        <v>http://www.12365auto.com/zlts/20200228/449198.shtml</v>
      </c>
      <c r="G391" s="2"/>
      <c r="H391" s="2" t="s">
        <v>674</v>
      </c>
      <c r="I391" s="2" t="s">
        <v>19</v>
      </c>
      <c r="J391" s="2" t="s">
        <v>12</v>
      </c>
      <c r="K391" s="2" t="s">
        <v>675</v>
      </c>
      <c r="L391" s="2">
        <f t="shared" si="6"/>
        <v>150</v>
      </c>
    </row>
    <row r="392" spans="1:12" ht="25" customHeight="1">
      <c r="A392" s="2" t="s">
        <v>12</v>
      </c>
      <c r="B392" s="2" t="str">
        <f>HYPERLINK("http://www.12365auto.com/zlts/20200228/449197.shtml","东风雪铁龙C4L转向柱松动 节温器损坏")</f>
        <v>东风雪铁龙C4L转向柱松动 节温器损坏</v>
      </c>
      <c r="C392" s="2" t="s">
        <v>13</v>
      </c>
      <c r="D392" s="2" t="s">
        <v>12</v>
      </c>
      <c r="E392" s="2" t="s">
        <v>17</v>
      </c>
      <c r="F392" s="2" t="str">
        <f>HYPERLINK("http://www.12365auto.com/zlts/20200228/449197.shtml","http://www.12365auto.com/zlts/20200228/449197.shtml")</f>
        <v>http://www.12365auto.com/zlts/20200228/449197.shtml</v>
      </c>
      <c r="G392" s="2"/>
      <c r="H392" s="2" t="s">
        <v>676</v>
      </c>
      <c r="I392" s="2" t="s">
        <v>19</v>
      </c>
      <c r="J392" s="2" t="s">
        <v>12</v>
      </c>
      <c r="K392" s="2" t="s">
        <v>677</v>
      </c>
      <c r="L392" s="2">
        <f t="shared" si="6"/>
        <v>150</v>
      </c>
    </row>
    <row r="393" spans="1:12" ht="25" customHeight="1">
      <c r="A393" s="2" t="s">
        <v>12</v>
      </c>
      <c r="B393" s="2" t="str">
        <f>HYPERLINK("http://m.12365auto.com/zjdy/20200228/121732.shtml","变速箱换挡异响过了磨合期故障会消失吗？")</f>
        <v>变速箱换挡异响过了磨合期故障会消失吗？</v>
      </c>
      <c r="C393" s="2" t="s">
        <v>13</v>
      </c>
      <c r="D393" s="2" t="s">
        <v>12</v>
      </c>
      <c r="E393" s="2"/>
      <c r="F393" s="2" t="str">
        <f>HYPERLINK("http://m.12365auto.com/zjdy/20200228/121732.shtml","http://m.12365auto.com/zjdy/20200228/121732.shtml")</f>
        <v>http://m.12365auto.com/zjdy/20200228/121732.shtml</v>
      </c>
      <c r="G393" s="2"/>
      <c r="H393" s="2" t="s">
        <v>678</v>
      </c>
      <c r="I393" s="2" t="s">
        <v>19</v>
      </c>
      <c r="J393" s="2" t="s">
        <v>12</v>
      </c>
      <c r="K393" s="2" t="s">
        <v>679</v>
      </c>
      <c r="L393" s="2">
        <f t="shared" si="6"/>
        <v>21</v>
      </c>
    </row>
    <row r="394" spans="1:12" ht="25" customHeight="1">
      <c r="A394" s="2" t="s">
        <v>12</v>
      </c>
      <c r="B394" s="2" t="str">
        <f>HYPERLINK("http://m.12365auto.com/zjdy/20200228/121733.shtml","名爵HS电瓶亏电是什么原因导致的？")</f>
        <v>名爵HS电瓶亏电是什么原因导致的？</v>
      </c>
      <c r="C394" s="2" t="s">
        <v>13</v>
      </c>
      <c r="D394" s="2" t="s">
        <v>12</v>
      </c>
      <c r="E394" s="2"/>
      <c r="F394" s="2" t="str">
        <f>HYPERLINK("http://m.12365auto.com/zjdy/20200228/121733.shtml","http://m.12365auto.com/zjdy/20200228/121733.shtml")</f>
        <v>http://m.12365auto.com/zjdy/20200228/121733.shtml</v>
      </c>
      <c r="G394" s="2"/>
      <c r="H394" s="2" t="s">
        <v>680</v>
      </c>
      <c r="I394" s="2" t="s">
        <v>19</v>
      </c>
      <c r="J394" s="2" t="s">
        <v>12</v>
      </c>
      <c r="K394" s="2" t="s">
        <v>681</v>
      </c>
      <c r="L394" s="2">
        <f t="shared" si="6"/>
        <v>83</v>
      </c>
    </row>
    <row r="395" spans="1:12" ht="25" customHeight="1">
      <c r="A395" s="2" t="s">
        <v>12</v>
      </c>
      <c r="B395" s="2" t="str">
        <f>HYPERLINK("http://bbs.12365auto.com/postcontent.aspx?tId=195511","掌握这些小技巧 刹车踩得稳又好")</f>
        <v>掌握这些小技巧 刹车踩得稳又好</v>
      </c>
      <c r="C395" s="2" t="s">
        <v>13</v>
      </c>
      <c r="D395" s="2" t="s">
        <v>12</v>
      </c>
      <c r="E395" s="2" t="s">
        <v>210</v>
      </c>
      <c r="F395" s="2" t="str">
        <f>HYPERLINK("http://bbs.12365auto.com/postcontent.aspx?tId=195511","http://bbs.12365auto.com/postcontent.aspx?tId=195511")</f>
        <v>http://bbs.12365auto.com/postcontent.aspx?tId=195511</v>
      </c>
      <c r="G395" s="2"/>
      <c r="H395" s="2" t="s">
        <v>682</v>
      </c>
      <c r="I395" s="2" t="s">
        <v>15</v>
      </c>
      <c r="J395" s="2" t="s">
        <v>683</v>
      </c>
      <c r="K395" s="2" t="s">
        <v>684</v>
      </c>
      <c r="L395" s="2">
        <f t="shared" si="6"/>
        <v>150</v>
      </c>
    </row>
    <row r="396" spans="1:12" ht="25" customHeight="1">
      <c r="A396" s="2" t="s">
        <v>12</v>
      </c>
      <c r="B396" s="2" t="str">
        <f>HYPERLINK("http://m.12365auto.com/bbs/postcontent.aspx?tID=195511","掌握这些小技巧 刹车踩得稳又好")</f>
        <v>掌握这些小技巧 刹车踩得稳又好</v>
      </c>
      <c r="C396" s="2" t="s">
        <v>13</v>
      </c>
      <c r="D396" s="2" t="s">
        <v>23</v>
      </c>
      <c r="E396" s="2"/>
      <c r="F396" s="2" t="str">
        <f>HYPERLINK("http://m.12365auto.com/bbs/postcontent.aspx?tID=195511","http://m.12365auto.com/bbs/postcontent.aspx?tID=195511")</f>
        <v>http://m.12365auto.com/bbs/postcontent.aspx?tID=195511</v>
      </c>
      <c r="G396" s="2"/>
      <c r="H396" s="2" t="s">
        <v>682</v>
      </c>
      <c r="I396" s="2" t="s">
        <v>15</v>
      </c>
      <c r="J396" s="2" t="s">
        <v>683</v>
      </c>
      <c r="K396" s="2" t="s">
        <v>684</v>
      </c>
      <c r="L396" s="2">
        <f t="shared" si="6"/>
        <v>150</v>
      </c>
    </row>
    <row r="397" spans="1:12" ht="25" customHeight="1">
      <c r="A397" s="2" t="s">
        <v>12</v>
      </c>
      <c r="B397" s="2" t="str">
        <f>HYPERLINK("http://bbs.12365auto.com/postcontent.aspx?tID=195511","掌握这些小技巧 刹车踩得稳又好")</f>
        <v>掌握这些小技巧 刹车踩得稳又好</v>
      </c>
      <c r="C397" s="2" t="s">
        <v>13</v>
      </c>
      <c r="D397" s="2" t="s">
        <v>12</v>
      </c>
      <c r="E397" s="2" t="s">
        <v>214</v>
      </c>
      <c r="F397" s="2" t="str">
        <f>HYPERLINK("http://bbs.12365auto.com/postcontent.aspx?tID=195511","http://bbs.12365auto.com/postcontent.aspx?tID=195511")</f>
        <v>http://bbs.12365auto.com/postcontent.aspx?tID=195511</v>
      </c>
      <c r="G397" s="2"/>
      <c r="H397" s="2" t="s">
        <v>685</v>
      </c>
      <c r="I397" s="2" t="s">
        <v>15</v>
      </c>
      <c r="J397" s="2" t="s">
        <v>683</v>
      </c>
      <c r="K397" s="2" t="s">
        <v>684</v>
      </c>
      <c r="L397" s="2">
        <f t="shared" si="6"/>
        <v>150</v>
      </c>
    </row>
    <row r="398" spans="1:12" ht="25" customHeight="1">
      <c r="A398" s="2" t="s">
        <v>12</v>
      </c>
      <c r="B398" s="2" t="str">
        <f>HYPERLINK("http://m.12365auto.com/bbs/postcontent.aspx?tID=195510","车内应该常备的10种物品 危难时刻显身手")</f>
        <v>车内应该常备的10种物品 危难时刻显身手</v>
      </c>
      <c r="C398" s="2" t="s">
        <v>13</v>
      </c>
      <c r="D398" s="2" t="s">
        <v>23</v>
      </c>
      <c r="E398" s="2"/>
      <c r="F398" s="2" t="str">
        <f>HYPERLINK("http://m.12365auto.com/bbs/postcontent.aspx?tID=195510","http://m.12365auto.com/bbs/postcontent.aspx?tID=195510")</f>
        <v>http://m.12365auto.com/bbs/postcontent.aspx?tID=195510</v>
      </c>
      <c r="G398" s="2"/>
      <c r="H398" s="2" t="s">
        <v>686</v>
      </c>
      <c r="I398" s="2" t="s">
        <v>15</v>
      </c>
      <c r="J398" s="2" t="s">
        <v>683</v>
      </c>
      <c r="K398" s="2" t="s">
        <v>687</v>
      </c>
      <c r="L398" s="2">
        <f t="shared" si="6"/>
        <v>150</v>
      </c>
    </row>
    <row r="399" spans="1:12" ht="25" customHeight="1">
      <c r="A399" s="2" t="s">
        <v>12</v>
      </c>
      <c r="B399" s="2" t="str">
        <f>HYPERLINK("http://bbs.12365auto.com/postcontent.aspx?tID=195510","车内应该常备的10种物品 危难时刻显身手")</f>
        <v>车内应该常备的10种物品 危难时刻显身手</v>
      </c>
      <c r="C399" s="2" t="s">
        <v>13</v>
      </c>
      <c r="D399" s="2" t="s">
        <v>12</v>
      </c>
      <c r="E399" s="2" t="s">
        <v>214</v>
      </c>
      <c r="F399" s="2" t="str">
        <f>HYPERLINK("http://bbs.12365auto.com/postcontent.aspx?tID=195510","http://bbs.12365auto.com/postcontent.aspx?tID=195510")</f>
        <v>http://bbs.12365auto.com/postcontent.aspx?tID=195510</v>
      </c>
      <c r="G399" s="2"/>
      <c r="H399" s="2" t="s">
        <v>688</v>
      </c>
      <c r="I399" s="2" t="s">
        <v>15</v>
      </c>
      <c r="J399" s="2" t="s">
        <v>683</v>
      </c>
      <c r="K399" s="2" t="s">
        <v>687</v>
      </c>
      <c r="L399" s="2">
        <f t="shared" si="6"/>
        <v>150</v>
      </c>
    </row>
    <row r="400" spans="1:12" ht="25" customHeight="1">
      <c r="A400" s="2" t="s">
        <v>12</v>
      </c>
      <c r="B400" s="2" t="str">
        <f>HYPERLINK("http://bbs.12365auto.com/postcontent.aspx?tId=195510","车内应该常备的10种物品 危难时刻显身手")</f>
        <v>车内应该常备的10种物品 危难时刻显身手</v>
      </c>
      <c r="C400" s="2" t="s">
        <v>13</v>
      </c>
      <c r="D400" s="2" t="s">
        <v>12</v>
      </c>
      <c r="E400" s="2" t="s">
        <v>210</v>
      </c>
      <c r="F400" s="2" t="str">
        <f>HYPERLINK("http://bbs.12365auto.com/postcontent.aspx?tId=195510","http://bbs.12365auto.com/postcontent.aspx?tId=195510")</f>
        <v>http://bbs.12365auto.com/postcontent.aspx?tId=195510</v>
      </c>
      <c r="G400" s="2"/>
      <c r="H400" s="2" t="s">
        <v>686</v>
      </c>
      <c r="I400" s="2" t="s">
        <v>15</v>
      </c>
      <c r="J400" s="2" t="s">
        <v>683</v>
      </c>
      <c r="K400" s="2" t="s">
        <v>687</v>
      </c>
      <c r="L400" s="2">
        <f t="shared" si="6"/>
        <v>150</v>
      </c>
    </row>
    <row r="401" spans="1:12" ht="25" customHeight="1">
      <c r="A401" s="2" t="s">
        <v>12</v>
      </c>
      <c r="B401" s="2" t="str">
        <f>HYPERLINK("http://m.12365auto.com/bbs/postcontent.aspx?tID=195509","这3款SUV看起来挺普通 一加速却快到没朋友")</f>
        <v>这3款SUV看起来挺普通 一加速却快到没朋友</v>
      </c>
      <c r="C401" s="2" t="s">
        <v>13</v>
      </c>
      <c r="D401" s="2" t="s">
        <v>23</v>
      </c>
      <c r="E401" s="2"/>
      <c r="F401" s="2" t="str">
        <f>HYPERLINK("http://m.12365auto.com/bbs/postcontent.aspx?tID=195509","http://m.12365auto.com/bbs/postcontent.aspx?tID=195509")</f>
        <v>http://m.12365auto.com/bbs/postcontent.aspx?tID=195509</v>
      </c>
      <c r="G401" s="2"/>
      <c r="H401" s="2" t="s">
        <v>689</v>
      </c>
      <c r="I401" s="2" t="s">
        <v>15</v>
      </c>
      <c r="J401" s="2" t="s">
        <v>683</v>
      </c>
      <c r="K401" s="2" t="s">
        <v>690</v>
      </c>
      <c r="L401" s="2">
        <f t="shared" si="6"/>
        <v>150</v>
      </c>
    </row>
    <row r="402" spans="1:12" ht="25" customHeight="1">
      <c r="A402" s="2" t="s">
        <v>12</v>
      </c>
      <c r="B402" s="2" t="str">
        <f>HYPERLINK("http://m.12365auto.com/bbs/postcontent.aspx?tID=195508","手快有手慢无 这些车过不了两年就要成绝版")</f>
        <v>手快有手慢无 这些车过不了两年就要成绝版</v>
      </c>
      <c r="C402" s="2" t="s">
        <v>13</v>
      </c>
      <c r="D402" s="2" t="s">
        <v>23</v>
      </c>
      <c r="E402" s="2"/>
      <c r="F402" s="2" t="str">
        <f>HYPERLINK("http://m.12365auto.com/bbs/postcontent.aspx?tID=195508","http://m.12365auto.com/bbs/postcontent.aspx?tID=195508")</f>
        <v>http://m.12365auto.com/bbs/postcontent.aspx?tID=195508</v>
      </c>
      <c r="G402" s="2"/>
      <c r="H402" s="2" t="s">
        <v>691</v>
      </c>
      <c r="I402" s="2" t="s">
        <v>15</v>
      </c>
      <c r="J402" s="2" t="s">
        <v>683</v>
      </c>
      <c r="K402" s="2" t="s">
        <v>690</v>
      </c>
      <c r="L402" s="2">
        <f t="shared" si="6"/>
        <v>150</v>
      </c>
    </row>
    <row r="403" spans="1:12" ht="25" customHeight="1">
      <c r="A403" s="2" t="s">
        <v>12</v>
      </c>
      <c r="B403" s="2" t="str">
        <f>HYPERLINK("http://bbs.12365auto.com/postcontent.aspx?tId=195508","手快有手慢无 这些车过不了两年就要成绝版")</f>
        <v>手快有手慢无 这些车过不了两年就要成绝版</v>
      </c>
      <c r="C403" s="2" t="s">
        <v>13</v>
      </c>
      <c r="D403" s="2" t="s">
        <v>12</v>
      </c>
      <c r="E403" s="2" t="s">
        <v>27</v>
      </c>
      <c r="F403" s="2" t="str">
        <f>HYPERLINK("http://bbs.12365auto.com/postcontent.aspx?tId=195508","http://bbs.12365auto.com/postcontent.aspx?tId=195508")</f>
        <v>http://bbs.12365auto.com/postcontent.aspx?tId=195508</v>
      </c>
      <c r="G403" s="2"/>
      <c r="H403" s="2" t="s">
        <v>691</v>
      </c>
      <c r="I403" s="2" t="s">
        <v>15</v>
      </c>
      <c r="J403" s="2" t="s">
        <v>683</v>
      </c>
      <c r="K403" s="2" t="s">
        <v>690</v>
      </c>
      <c r="L403" s="2">
        <f t="shared" si="6"/>
        <v>150</v>
      </c>
    </row>
    <row r="404" spans="1:12" ht="25" customHeight="1">
      <c r="A404" s="2" t="s">
        <v>12</v>
      </c>
      <c r="B404" s="2" t="str">
        <f>HYPERLINK("http://bbs.12365auto.com/postcontent.aspx?tID=195508","手快有手慢无 这些车过不了两年就要成绝版")</f>
        <v>手快有手慢无 这些车过不了两年就要成绝版</v>
      </c>
      <c r="C404" s="2" t="s">
        <v>13</v>
      </c>
      <c r="D404" s="2" t="s">
        <v>12</v>
      </c>
      <c r="E404" s="2" t="s">
        <v>28</v>
      </c>
      <c r="F404" s="2" t="str">
        <f>HYPERLINK("http://bbs.12365auto.com/postcontent.aspx?tID=195508","http://bbs.12365auto.com/postcontent.aspx?tID=195508")</f>
        <v>http://bbs.12365auto.com/postcontent.aspx?tID=195508</v>
      </c>
      <c r="G404" s="2"/>
      <c r="H404" s="2" t="s">
        <v>692</v>
      </c>
      <c r="I404" s="2" t="s">
        <v>15</v>
      </c>
      <c r="J404" s="2" t="s">
        <v>683</v>
      </c>
      <c r="K404" s="2" t="s">
        <v>690</v>
      </c>
      <c r="L404" s="2">
        <f t="shared" si="6"/>
        <v>150</v>
      </c>
    </row>
    <row r="405" spans="1:12" ht="25" customHeight="1">
      <c r="A405" s="2" t="s">
        <v>12</v>
      </c>
      <c r="B405" s="2" t="str">
        <f>HYPERLINK("http://bbs.12365auto.com/postcontent.aspx?tID=195509","这3款SUV看起来挺普通 一加速却快到没朋友")</f>
        <v>这3款SUV看起来挺普通 一加速却快到没朋友</v>
      </c>
      <c r="C405" s="2" t="s">
        <v>13</v>
      </c>
      <c r="D405" s="2" t="s">
        <v>12</v>
      </c>
      <c r="E405" s="2" t="s">
        <v>28</v>
      </c>
      <c r="F405" s="2" t="str">
        <f>HYPERLINK("http://bbs.12365auto.com/postcontent.aspx?tID=195509","http://bbs.12365auto.com/postcontent.aspx?tID=195509")</f>
        <v>http://bbs.12365auto.com/postcontent.aspx?tID=195509</v>
      </c>
      <c r="G405" s="2"/>
      <c r="H405" s="2" t="s">
        <v>693</v>
      </c>
      <c r="I405" s="2" t="s">
        <v>15</v>
      </c>
      <c r="J405" s="2" t="s">
        <v>683</v>
      </c>
      <c r="K405" s="2" t="s">
        <v>690</v>
      </c>
      <c r="L405" s="2">
        <f t="shared" si="6"/>
        <v>150</v>
      </c>
    </row>
    <row r="406" spans="1:12" ht="25" customHeight="1">
      <c r="A406" s="2" t="s">
        <v>12</v>
      </c>
      <c r="B406" s="2" t="str">
        <f>HYPERLINK("http://bbs.12365auto.com/postcontent.aspx?tId=195509","这3款SUV看起来挺普通 一加速却快到没朋友")</f>
        <v>这3款SUV看起来挺普通 一加速却快到没朋友</v>
      </c>
      <c r="C406" s="2" t="s">
        <v>13</v>
      </c>
      <c r="D406" s="2" t="s">
        <v>12</v>
      </c>
      <c r="E406" s="2" t="s">
        <v>27</v>
      </c>
      <c r="F406" s="2" t="str">
        <f>HYPERLINK("http://bbs.12365auto.com/postcontent.aspx?tId=195509","http://bbs.12365auto.com/postcontent.aspx?tId=195509")</f>
        <v>http://bbs.12365auto.com/postcontent.aspx?tId=195509</v>
      </c>
      <c r="G406" s="2"/>
      <c r="H406" s="2" t="s">
        <v>689</v>
      </c>
      <c r="I406" s="2" t="s">
        <v>15</v>
      </c>
      <c r="J406" s="2" t="s">
        <v>683</v>
      </c>
      <c r="K406" s="2" t="s">
        <v>690</v>
      </c>
      <c r="L406" s="2">
        <f t="shared" si="6"/>
        <v>150</v>
      </c>
    </row>
    <row r="407" spans="1:12" ht="25" customHeight="1">
      <c r="A407" s="2" t="s">
        <v>12</v>
      </c>
      <c r="B407" s="2" t="str">
        <f>HYPERLINK("http://m.12365auto.com/bbs/postcontent.aspx?tID=195507","自主品牌的四款性能神车 你最喜欢哪一款？")</f>
        <v>自主品牌的四款性能神车 你最喜欢哪一款？</v>
      </c>
      <c r="C407" s="2" t="s">
        <v>13</v>
      </c>
      <c r="D407" s="2" t="s">
        <v>23</v>
      </c>
      <c r="E407" s="2"/>
      <c r="F407" s="2" t="str">
        <f>HYPERLINK("http://m.12365auto.com/bbs/postcontent.aspx?tID=195507","http://m.12365auto.com/bbs/postcontent.aspx?tID=195507")</f>
        <v>http://m.12365auto.com/bbs/postcontent.aspx?tID=195507</v>
      </c>
      <c r="G407" s="2"/>
      <c r="H407" s="2" t="s">
        <v>694</v>
      </c>
      <c r="I407" s="2" t="s">
        <v>15</v>
      </c>
      <c r="J407" s="2" t="s">
        <v>683</v>
      </c>
      <c r="K407" s="2" t="s">
        <v>695</v>
      </c>
      <c r="L407" s="2">
        <f t="shared" si="6"/>
        <v>150</v>
      </c>
    </row>
    <row r="408" spans="1:12" ht="25" customHeight="1">
      <c r="A408" s="2" t="s">
        <v>12</v>
      </c>
      <c r="B408" s="2" t="str">
        <f>HYPERLINK("http://m.12365auto.com/bbs/postcontent.aspx?tID=195506","十来年不换代？细数国内几款超长待机的经典车型")</f>
        <v>十来年不换代？细数国内几款超长待机的经典车型</v>
      </c>
      <c r="C408" s="2" t="s">
        <v>13</v>
      </c>
      <c r="D408" s="2" t="s">
        <v>23</v>
      </c>
      <c r="E408" s="2"/>
      <c r="F408" s="2" t="str">
        <f>HYPERLINK("http://m.12365auto.com/bbs/postcontent.aspx?tID=195506","http://m.12365auto.com/bbs/postcontent.aspx?tID=195506")</f>
        <v>http://m.12365auto.com/bbs/postcontent.aspx?tID=195506</v>
      </c>
      <c r="G408" s="2"/>
      <c r="H408" s="2" t="s">
        <v>696</v>
      </c>
      <c r="I408" s="2" t="s">
        <v>15</v>
      </c>
      <c r="J408" s="2" t="s">
        <v>683</v>
      </c>
      <c r="K408" s="2" t="s">
        <v>695</v>
      </c>
      <c r="L408" s="2">
        <f t="shared" si="6"/>
        <v>150</v>
      </c>
    </row>
    <row r="409" spans="1:12" ht="25" customHeight="1">
      <c r="A409" s="2" t="s">
        <v>12</v>
      </c>
      <c r="B409" s="2" t="str">
        <f>HYPERLINK("http://bbs.12365auto.com/postcontent.aspx?tId=195506","十来年不换代？细数国内几款超长待机的经典车型")</f>
        <v>十来年不换代？细数国内几款超长待机的经典车型</v>
      </c>
      <c r="C409" s="2" t="s">
        <v>13</v>
      </c>
      <c r="D409" s="2" t="s">
        <v>12</v>
      </c>
      <c r="E409" s="2" t="s">
        <v>27</v>
      </c>
      <c r="F409" s="2" t="str">
        <f>HYPERLINK("http://bbs.12365auto.com/postcontent.aspx?tId=195506","http://bbs.12365auto.com/postcontent.aspx?tId=195506")</f>
        <v>http://bbs.12365auto.com/postcontent.aspx?tId=195506</v>
      </c>
      <c r="G409" s="2"/>
      <c r="H409" s="2" t="s">
        <v>696</v>
      </c>
      <c r="I409" s="2" t="s">
        <v>15</v>
      </c>
      <c r="J409" s="2" t="s">
        <v>683</v>
      </c>
      <c r="K409" s="2" t="s">
        <v>695</v>
      </c>
      <c r="L409" s="2">
        <f t="shared" si="6"/>
        <v>150</v>
      </c>
    </row>
    <row r="410" spans="1:12" ht="25" customHeight="1">
      <c r="A410" s="2" t="s">
        <v>12</v>
      </c>
      <c r="B410" s="2" t="str">
        <f>HYPERLINK("http://bbs.12365auto.com/postcontent.aspx?tId=195507","自主品牌的四款性能神车 你最喜欢哪一款？")</f>
        <v>自主品牌的四款性能神车 你最喜欢哪一款？</v>
      </c>
      <c r="C410" s="2" t="s">
        <v>13</v>
      </c>
      <c r="D410" s="2" t="s">
        <v>12</v>
      </c>
      <c r="E410" s="2" t="s">
        <v>210</v>
      </c>
      <c r="F410" s="2" t="str">
        <f>HYPERLINK("http://bbs.12365auto.com/postcontent.aspx?tId=195507","http://bbs.12365auto.com/postcontent.aspx?tId=195507")</f>
        <v>http://bbs.12365auto.com/postcontent.aspx?tId=195507</v>
      </c>
      <c r="G410" s="2"/>
      <c r="H410" s="2" t="s">
        <v>694</v>
      </c>
      <c r="I410" s="2" t="s">
        <v>15</v>
      </c>
      <c r="J410" s="2" t="s">
        <v>683</v>
      </c>
      <c r="K410" s="2" t="s">
        <v>695</v>
      </c>
      <c r="L410" s="2">
        <f t="shared" si="6"/>
        <v>150</v>
      </c>
    </row>
    <row r="411" spans="1:12" ht="25" customHeight="1">
      <c r="A411" s="2" t="s">
        <v>12</v>
      </c>
      <c r="B411" s="2" t="str">
        <f>HYPERLINK("http://bbs.12365auto.com/postcontent.aspx?tID=195506","十来年不换代？细数国内几款超长待机的经典车型")</f>
        <v>十来年不换代？细数国内几款超长待机的经典车型</v>
      </c>
      <c r="C411" s="2" t="s">
        <v>13</v>
      </c>
      <c r="D411" s="2" t="s">
        <v>12</v>
      </c>
      <c r="E411" s="2" t="s">
        <v>28</v>
      </c>
      <c r="F411" s="2" t="str">
        <f>HYPERLINK("http://bbs.12365auto.com/postcontent.aspx?tID=195506","http://bbs.12365auto.com/postcontent.aspx?tID=195506")</f>
        <v>http://bbs.12365auto.com/postcontent.aspx?tID=195506</v>
      </c>
      <c r="G411" s="2"/>
      <c r="H411" s="2" t="s">
        <v>697</v>
      </c>
      <c r="I411" s="2" t="s">
        <v>15</v>
      </c>
      <c r="J411" s="2" t="s">
        <v>683</v>
      </c>
      <c r="K411" s="2" t="s">
        <v>695</v>
      </c>
      <c r="L411" s="2">
        <f t="shared" si="6"/>
        <v>150</v>
      </c>
    </row>
    <row r="412" spans="1:12" ht="25" customHeight="1">
      <c r="A412" s="2" t="s">
        <v>12</v>
      </c>
      <c r="B412" s="2" t="str">
        <f>HYPERLINK("http://bbs.12365auto.com/postcontent.aspx?tID=195507","自主品牌的四款性能神车 你最喜欢哪一款？")</f>
        <v>自主品牌的四款性能神车 你最喜欢哪一款？</v>
      </c>
      <c r="C412" s="2" t="s">
        <v>13</v>
      </c>
      <c r="D412" s="2" t="s">
        <v>12</v>
      </c>
      <c r="E412" s="2" t="s">
        <v>214</v>
      </c>
      <c r="F412" s="2" t="str">
        <f>HYPERLINK("http://bbs.12365auto.com/postcontent.aspx?tID=195507","http://bbs.12365auto.com/postcontent.aspx?tID=195507")</f>
        <v>http://bbs.12365auto.com/postcontent.aspx?tID=195507</v>
      </c>
      <c r="G412" s="2"/>
      <c r="H412" s="2" t="s">
        <v>698</v>
      </c>
      <c r="I412" s="2" t="s">
        <v>15</v>
      </c>
      <c r="J412" s="2" t="s">
        <v>683</v>
      </c>
      <c r="K412" s="2" t="s">
        <v>695</v>
      </c>
      <c r="L412" s="2">
        <f t="shared" si="6"/>
        <v>150</v>
      </c>
    </row>
    <row r="413" spans="1:12" ht="25" customHeight="1">
      <c r="A413" s="2" t="s">
        <v>12</v>
      </c>
      <c r="B413" s="2" t="str">
        <f>HYPERLINK("http://www.12365auto.com/zlts/20200228/449194.shtml","东风标致3008发动机机油压力故障")</f>
        <v>东风标致3008发动机机油压力故障</v>
      </c>
      <c r="C413" s="2" t="s">
        <v>13</v>
      </c>
      <c r="D413" s="2" t="s">
        <v>12</v>
      </c>
      <c r="E413" s="2" t="s">
        <v>17</v>
      </c>
      <c r="F413" s="2" t="str">
        <f>HYPERLINK("http://www.12365auto.com/zlts/20200228/449194.shtml","http://www.12365auto.com/zlts/20200228/449194.shtml")</f>
        <v>http://www.12365auto.com/zlts/20200228/449194.shtml</v>
      </c>
      <c r="G413" s="2"/>
      <c r="H413" s="2" t="s">
        <v>699</v>
      </c>
      <c r="I413" s="2" t="s">
        <v>15</v>
      </c>
      <c r="J413" s="2" t="s">
        <v>12</v>
      </c>
      <c r="K413" s="2" t="s">
        <v>700</v>
      </c>
      <c r="L413" s="2">
        <f t="shared" si="6"/>
        <v>150</v>
      </c>
    </row>
    <row r="414" spans="1:12" ht="25" customHeight="1">
      <c r="A414" s="2" t="s">
        <v>12</v>
      </c>
      <c r="B414" s="2" t="str">
        <f>HYPERLINK("http://m.12365auto.com/xcdg/20200228/419868.shtml","宝马iNext车型谍照曝光 将于明年发布")</f>
        <v>宝马iNext车型谍照曝光 将于明年发布</v>
      </c>
      <c r="C414" s="2" t="s">
        <v>13</v>
      </c>
      <c r="D414" s="2" t="s">
        <v>12</v>
      </c>
      <c r="E414" s="2"/>
      <c r="F414" s="2" t="str">
        <f>HYPERLINK("http://m.12365auto.com/xcdg/20200228/419868.shtml","http://m.12365auto.com/xcdg/20200228/419868.shtml")</f>
        <v>http://m.12365auto.com/xcdg/20200228/419868.shtml</v>
      </c>
      <c r="G414" s="2"/>
      <c r="H414" s="2" t="s">
        <v>701</v>
      </c>
      <c r="I414" s="2" t="s">
        <v>19</v>
      </c>
      <c r="J414" s="2" t="s">
        <v>702</v>
      </c>
      <c r="K414" s="2" t="s">
        <v>703</v>
      </c>
      <c r="L414" s="2">
        <f t="shared" si="6"/>
        <v>150</v>
      </c>
    </row>
    <row r="415" spans="1:12" ht="25" customHeight="1">
      <c r="A415" s="2" t="s">
        <v>12</v>
      </c>
      <c r="B415" s="2" t="str">
        <f>HYPERLINK("http://www.12365auto.com/xcdg/20200228/419868.shtml","宝马iNext车型谍照曝光 将于明年发布")</f>
        <v>宝马iNext车型谍照曝光 将于明年发布</v>
      </c>
      <c r="C415" s="2" t="s">
        <v>13</v>
      </c>
      <c r="D415" s="2" t="s">
        <v>12</v>
      </c>
      <c r="E415" s="2" t="s">
        <v>224</v>
      </c>
      <c r="F415" s="2" t="str">
        <f>HYPERLINK("http://www.12365auto.com/xcdg/20200228/419868.shtml","http://www.12365auto.com/xcdg/20200228/419868.shtml")</f>
        <v>http://www.12365auto.com/xcdg/20200228/419868.shtml</v>
      </c>
      <c r="G415" s="2"/>
      <c r="H415" s="2" t="s">
        <v>704</v>
      </c>
      <c r="I415" s="2" t="s">
        <v>15</v>
      </c>
      <c r="J415" s="2" t="s">
        <v>12</v>
      </c>
      <c r="K415" s="2" t="s">
        <v>703</v>
      </c>
      <c r="L415" s="2">
        <f t="shared" si="6"/>
        <v>150</v>
      </c>
    </row>
    <row r="416" spans="1:12" ht="25" customHeight="1">
      <c r="A416" s="2" t="s">
        <v>12</v>
      </c>
      <c r="B416" s="2" t="str">
        <f>HYPERLINK("http://m.12365auto.com/xcdg/20200228/419867.shtml","科尔维特C8右舵版内饰首曝 配GT2运动座椅")</f>
        <v>科尔维特C8右舵版内饰首曝 配GT2运动座椅</v>
      </c>
      <c r="C416" s="2" t="s">
        <v>13</v>
      </c>
      <c r="D416" s="2" t="s">
        <v>12</v>
      </c>
      <c r="E416" s="2"/>
      <c r="F416" s="2" t="str">
        <f>HYPERLINK("http://m.12365auto.com/xcdg/20200228/419867.shtml","http://m.12365auto.com/xcdg/20200228/419867.shtml")</f>
        <v>http://m.12365auto.com/xcdg/20200228/419867.shtml</v>
      </c>
      <c r="G416" s="2"/>
      <c r="H416" s="2" t="s">
        <v>705</v>
      </c>
      <c r="I416" s="2" t="s">
        <v>19</v>
      </c>
      <c r="J416" s="2" t="s">
        <v>706</v>
      </c>
      <c r="K416" s="2" t="s">
        <v>707</v>
      </c>
      <c r="L416" s="2">
        <f t="shared" si="6"/>
        <v>150</v>
      </c>
    </row>
    <row r="417" spans="1:12" ht="25" customHeight="1">
      <c r="A417" s="2" t="s">
        <v>12</v>
      </c>
      <c r="B417" s="2" t="str">
        <f>HYPERLINK("http://www.12365auto.com/xcdg/20200228/419867.shtml","科尔维特C8右舵版内饰首曝 配GT2运动座椅")</f>
        <v>科尔维特C8右舵版内饰首曝 配GT2运动座椅</v>
      </c>
      <c r="C417" s="2" t="s">
        <v>13</v>
      </c>
      <c r="D417" s="2" t="s">
        <v>12</v>
      </c>
      <c r="E417" s="2" t="s">
        <v>245</v>
      </c>
      <c r="F417" s="2" t="str">
        <f>HYPERLINK("http://www.12365auto.com/xcdg/20200228/419867.shtml","http://www.12365auto.com/xcdg/20200228/419867.shtml")</f>
        <v>http://www.12365auto.com/xcdg/20200228/419867.shtml</v>
      </c>
      <c r="G417" s="2"/>
      <c r="H417" s="2" t="s">
        <v>708</v>
      </c>
      <c r="I417" s="2" t="s">
        <v>19</v>
      </c>
      <c r="J417" s="2" t="s">
        <v>12</v>
      </c>
      <c r="K417" s="2" t="s">
        <v>707</v>
      </c>
      <c r="L417" s="2">
        <f t="shared" si="6"/>
        <v>150</v>
      </c>
    </row>
    <row r="418" spans="1:12" ht="25" customHeight="1">
      <c r="A418" s="2" t="s">
        <v>12</v>
      </c>
      <c r="B418" s="2" t="str">
        <f>HYPERLINK("http://m.12365auto.com/xcdg/20200228/419866.shtml","2020款凯迪拉克CT5-V价格公布 售价约36万起")</f>
        <v>2020款凯迪拉克CT5-V价格公布 售价约36万起</v>
      </c>
      <c r="C418" s="2" t="s">
        <v>13</v>
      </c>
      <c r="D418" s="2" t="s">
        <v>12</v>
      </c>
      <c r="E418" s="2"/>
      <c r="F418" s="2" t="str">
        <f>HYPERLINK("http://m.12365auto.com/xcdg/20200228/419866.shtml","http://m.12365auto.com/xcdg/20200228/419866.shtml")</f>
        <v>http://m.12365auto.com/xcdg/20200228/419866.shtml</v>
      </c>
      <c r="G418" s="2"/>
      <c r="H418" s="2" t="s">
        <v>709</v>
      </c>
      <c r="I418" s="2" t="s">
        <v>19</v>
      </c>
      <c r="J418" s="2" t="s">
        <v>702</v>
      </c>
      <c r="K418" s="2" t="s">
        <v>710</v>
      </c>
      <c r="L418" s="2">
        <f t="shared" si="6"/>
        <v>150</v>
      </c>
    </row>
    <row r="419" spans="1:12" ht="25" customHeight="1">
      <c r="A419" s="2" t="s">
        <v>12</v>
      </c>
      <c r="B419" s="2" t="str">
        <f>HYPERLINK("http://www.12365auto.com/xcdg/20200228/419866.shtml","2020款凯迪拉克CT5-V价格公布 售价约36万起")</f>
        <v>2020款凯迪拉克CT5-V价格公布 售价约36万起</v>
      </c>
      <c r="C419" s="2" t="s">
        <v>13</v>
      </c>
      <c r="D419" s="2" t="s">
        <v>12</v>
      </c>
      <c r="E419" s="2" t="s">
        <v>245</v>
      </c>
      <c r="F419" s="2" t="str">
        <f>HYPERLINK("http://www.12365auto.com/xcdg/20200228/419866.shtml","http://www.12365auto.com/xcdg/20200228/419866.shtml")</f>
        <v>http://www.12365auto.com/xcdg/20200228/419866.shtml</v>
      </c>
      <c r="G419" s="2"/>
      <c r="H419" s="2" t="s">
        <v>711</v>
      </c>
      <c r="I419" s="2" t="s">
        <v>19</v>
      </c>
      <c r="J419" s="2" t="s">
        <v>12</v>
      </c>
      <c r="K419" s="2" t="s">
        <v>710</v>
      </c>
      <c r="L419" s="2">
        <f t="shared" si="6"/>
        <v>150</v>
      </c>
    </row>
    <row r="420" spans="1:12" ht="25" customHeight="1">
      <c r="A420" s="2" t="s">
        <v>12</v>
      </c>
      <c r="B420" s="2" t="str">
        <f>HYPERLINK("http://www.12365auto.com/xcdg/20200228/419865.shtml","宝马新款5系谍照曝光 新头灯组/三季度亮相")</f>
        <v>宝马新款5系谍照曝光 新头灯组/三季度亮相</v>
      </c>
      <c r="C420" s="2" t="s">
        <v>13</v>
      </c>
      <c r="D420" s="2" t="s">
        <v>12</v>
      </c>
      <c r="E420" s="2" t="s">
        <v>224</v>
      </c>
      <c r="F420" s="2" t="str">
        <f>HYPERLINK("http://www.12365auto.com/xcdg/20200228/419865.shtml","http://www.12365auto.com/xcdg/20200228/419865.shtml")</f>
        <v>http://www.12365auto.com/xcdg/20200228/419865.shtml</v>
      </c>
      <c r="G420" s="2"/>
      <c r="H420" s="2" t="s">
        <v>712</v>
      </c>
      <c r="I420" s="2" t="s">
        <v>15</v>
      </c>
      <c r="J420" s="2" t="s">
        <v>12</v>
      </c>
      <c r="K420" s="2" t="s">
        <v>713</v>
      </c>
      <c r="L420" s="2">
        <f t="shared" si="6"/>
        <v>150</v>
      </c>
    </row>
    <row r="421" spans="1:12" ht="25" customHeight="1">
      <c r="A421" s="2" t="s">
        <v>12</v>
      </c>
      <c r="B421" s="2" t="str">
        <f>HYPERLINK("http://m.12365auto.com/xcdg/20200228/419865.shtml","宝马新款5系谍照曝光 新头灯组/三季度亮相")</f>
        <v>宝马新款5系谍照曝光 新头灯组/三季度亮相</v>
      </c>
      <c r="C421" s="2" t="s">
        <v>13</v>
      </c>
      <c r="D421" s="2" t="s">
        <v>12</v>
      </c>
      <c r="E421" s="2"/>
      <c r="F421" s="2" t="str">
        <f>HYPERLINK("http://m.12365auto.com/xcdg/20200228/419865.shtml","http://m.12365auto.com/xcdg/20200228/419865.shtml")</f>
        <v>http://m.12365auto.com/xcdg/20200228/419865.shtml</v>
      </c>
      <c r="G421" s="2"/>
      <c r="H421" s="2" t="s">
        <v>714</v>
      </c>
      <c r="I421" s="2" t="s">
        <v>19</v>
      </c>
      <c r="J421" s="2" t="s">
        <v>220</v>
      </c>
      <c r="K421" s="2" t="s">
        <v>713</v>
      </c>
      <c r="L421" s="2">
        <f t="shared" si="6"/>
        <v>150</v>
      </c>
    </row>
    <row r="422" spans="1:12" ht="25" customHeight="1">
      <c r="A422" s="2" t="s">
        <v>12</v>
      </c>
      <c r="B422" s="2" t="str">
        <f>HYPERLINK("http://www.12365auto.com/xcdg/20200228/419864.shtml","长安欧尚“X家族”第二款SUV曝光 命名为X3")</f>
        <v>长安欧尚“X家族”第二款SUV曝光 命名为X3</v>
      </c>
      <c r="C422" s="2" t="s">
        <v>13</v>
      </c>
      <c r="D422" s="2" t="s">
        <v>12</v>
      </c>
      <c r="E422" s="2" t="s">
        <v>216</v>
      </c>
      <c r="F422" s="2" t="str">
        <f>HYPERLINK("http://www.12365auto.com/xcdg/20200228/419864.shtml","http://www.12365auto.com/xcdg/20200228/419864.shtml")</f>
        <v>http://www.12365auto.com/xcdg/20200228/419864.shtml</v>
      </c>
      <c r="G422" s="2"/>
      <c r="H422" s="2" t="s">
        <v>715</v>
      </c>
      <c r="I422" s="2" t="s">
        <v>15</v>
      </c>
      <c r="J422" s="2" t="s">
        <v>12</v>
      </c>
      <c r="K422" s="2" t="s">
        <v>716</v>
      </c>
      <c r="L422" s="2">
        <f t="shared" si="6"/>
        <v>150</v>
      </c>
    </row>
    <row r="423" spans="1:12" ht="25" customHeight="1">
      <c r="A423" s="2" t="s">
        <v>12</v>
      </c>
      <c r="B423" s="2" t="str">
        <f>HYPERLINK("http://m.12365auto.com/xcdg/20200228/419864.shtml","长安欧尚“X家族”第二款SUV曝光 命名为X3")</f>
        <v>长安欧尚“X家族”第二款SUV曝光 命名为X3</v>
      </c>
      <c r="C423" s="2" t="s">
        <v>13</v>
      </c>
      <c r="D423" s="2" t="s">
        <v>12</v>
      </c>
      <c r="E423" s="2"/>
      <c r="F423" s="2" t="str">
        <f>HYPERLINK("http://m.12365auto.com/xcdg/20200228/419864.shtml","http://m.12365auto.com/xcdg/20200228/419864.shtml")</f>
        <v>http://m.12365auto.com/xcdg/20200228/419864.shtml</v>
      </c>
      <c r="G423" s="2"/>
      <c r="H423" s="2" t="s">
        <v>717</v>
      </c>
      <c r="I423" s="2" t="s">
        <v>19</v>
      </c>
      <c r="J423" s="2" t="s">
        <v>718</v>
      </c>
      <c r="K423" s="2" t="s">
        <v>716</v>
      </c>
      <c r="L423" s="2">
        <f t="shared" si="6"/>
        <v>150</v>
      </c>
    </row>
    <row r="424" spans="1:12" ht="25" customHeight="1">
      <c r="A424" s="2" t="s">
        <v>12</v>
      </c>
      <c r="B424" s="2" t="str">
        <f>HYPERLINK("http://www.12365auto.com/xcdg/20200228/419863.shtml","大众全新三厢Polo官图 掀背尾门/二季度开售")</f>
        <v>大众全新三厢Polo官图 掀背尾门/二季度开售</v>
      </c>
      <c r="C424" s="2" t="s">
        <v>13</v>
      </c>
      <c r="D424" s="2" t="s">
        <v>12</v>
      </c>
      <c r="E424" s="2" t="s">
        <v>216</v>
      </c>
      <c r="F424" s="2" t="str">
        <f>HYPERLINK("http://www.12365auto.com/xcdg/20200228/419863.shtml","http://www.12365auto.com/xcdg/20200228/419863.shtml")</f>
        <v>http://www.12365auto.com/xcdg/20200228/419863.shtml</v>
      </c>
      <c r="G424" s="2"/>
      <c r="H424" s="2" t="s">
        <v>719</v>
      </c>
      <c r="I424" s="2" t="s">
        <v>15</v>
      </c>
      <c r="J424" s="2" t="s">
        <v>12</v>
      </c>
      <c r="K424" s="2" t="s">
        <v>720</v>
      </c>
      <c r="L424" s="2">
        <f t="shared" si="6"/>
        <v>150</v>
      </c>
    </row>
    <row r="425" spans="1:12" ht="25" customHeight="1">
      <c r="A425" s="2" t="s">
        <v>12</v>
      </c>
      <c r="B425" s="2" t="str">
        <f>HYPERLINK("http://m.12365auto.com/xcdg/20200228/419863.shtml","大众全新三厢Polo官图 掀背尾门/二季度开售")</f>
        <v>大众全新三厢Polo官图 掀背尾门/二季度开售</v>
      </c>
      <c r="C425" s="2" t="s">
        <v>13</v>
      </c>
      <c r="D425" s="2" t="s">
        <v>12</v>
      </c>
      <c r="E425" s="2"/>
      <c r="F425" s="2" t="str">
        <f>HYPERLINK("http://m.12365auto.com/xcdg/20200228/419863.shtml","http://m.12365auto.com/xcdg/20200228/419863.shtml")</f>
        <v>http://m.12365auto.com/xcdg/20200228/419863.shtml</v>
      </c>
      <c r="G425" s="2"/>
      <c r="H425" s="2" t="s">
        <v>721</v>
      </c>
      <c r="I425" s="2" t="s">
        <v>19</v>
      </c>
      <c r="J425" s="2" t="s">
        <v>222</v>
      </c>
      <c r="K425" s="2" t="s">
        <v>720</v>
      </c>
      <c r="L425" s="2">
        <f t="shared" si="6"/>
        <v>150</v>
      </c>
    </row>
    <row r="426" spans="1:12" ht="25" customHeight="1">
      <c r="A426" s="2" t="s">
        <v>12</v>
      </c>
      <c r="B426" s="2" t="str">
        <f>HYPERLINK("http://www.12365auto.com/xcdg/20200228/419862.shtml","新大众帕萨特价格曝光 取消330TSI顶配")</f>
        <v>新大众帕萨特价格曝光 取消330TSI顶配</v>
      </c>
      <c r="C426" s="2" t="s">
        <v>13</v>
      </c>
      <c r="D426" s="2" t="s">
        <v>12</v>
      </c>
      <c r="E426" s="2" t="s">
        <v>216</v>
      </c>
      <c r="F426" s="2" t="str">
        <f>HYPERLINK("http://www.12365auto.com/xcdg/20200228/419862.shtml","http://www.12365auto.com/xcdg/20200228/419862.shtml")</f>
        <v>http://www.12365auto.com/xcdg/20200228/419862.shtml</v>
      </c>
      <c r="G426" s="2"/>
      <c r="H426" s="2" t="s">
        <v>722</v>
      </c>
      <c r="I426" s="2" t="s">
        <v>15</v>
      </c>
      <c r="J426" s="2" t="s">
        <v>12</v>
      </c>
      <c r="K426" s="2" t="s">
        <v>723</v>
      </c>
      <c r="L426" s="2">
        <f t="shared" si="6"/>
        <v>150</v>
      </c>
    </row>
    <row r="427" spans="1:12" ht="25" customHeight="1">
      <c r="A427" s="2" t="s">
        <v>12</v>
      </c>
      <c r="B427" s="2" t="str">
        <f>HYPERLINK("http://m.12365auto.com/xcdg/20200228/419862.shtml","新大众帕萨特价格曝光 取消330TSI顶配")</f>
        <v>新大众帕萨特价格曝光 取消330TSI顶配</v>
      </c>
      <c r="C427" s="2" t="s">
        <v>13</v>
      </c>
      <c r="D427" s="2" t="s">
        <v>12</v>
      </c>
      <c r="E427" s="2"/>
      <c r="F427" s="2" t="str">
        <f>HYPERLINK("http://m.12365auto.com/xcdg/20200228/419862.shtml","http://m.12365auto.com/xcdg/20200228/419862.shtml")</f>
        <v>http://m.12365auto.com/xcdg/20200228/419862.shtml</v>
      </c>
      <c r="G427" s="2"/>
      <c r="H427" s="2" t="s">
        <v>724</v>
      </c>
      <c r="I427" s="2" t="s">
        <v>19</v>
      </c>
      <c r="J427" s="2" t="s">
        <v>718</v>
      </c>
      <c r="K427" s="2" t="s">
        <v>723</v>
      </c>
      <c r="L427" s="2">
        <f t="shared" si="6"/>
        <v>150</v>
      </c>
    </row>
    <row r="428" spans="1:12" ht="25" customHeight="1">
      <c r="A428" s="2" t="s">
        <v>12</v>
      </c>
      <c r="B428" s="2" t="str">
        <f>HYPERLINK("http://www.12365auto.com/xcdg/20200228/419861.shtml","蔚来EC6七月上市 百公里加速比保时捷718快")</f>
        <v>蔚来EC6七月上市 百公里加速比保时捷718快</v>
      </c>
      <c r="C428" s="2" t="s">
        <v>13</v>
      </c>
      <c r="D428" s="2" t="s">
        <v>12</v>
      </c>
      <c r="E428" s="2" t="s">
        <v>216</v>
      </c>
      <c r="F428" s="2" t="str">
        <f>HYPERLINK("http://www.12365auto.com/xcdg/20200228/419861.shtml","http://www.12365auto.com/xcdg/20200228/419861.shtml")</f>
        <v>http://www.12365auto.com/xcdg/20200228/419861.shtml</v>
      </c>
      <c r="G428" s="2"/>
      <c r="H428" s="2" t="s">
        <v>725</v>
      </c>
      <c r="I428" s="2" t="s">
        <v>15</v>
      </c>
      <c r="J428" s="2" t="s">
        <v>12</v>
      </c>
      <c r="K428" s="2" t="s">
        <v>726</v>
      </c>
      <c r="L428" s="2">
        <f t="shared" si="6"/>
        <v>150</v>
      </c>
    </row>
    <row r="429" spans="1:12" ht="25" customHeight="1">
      <c r="A429" s="2" t="s">
        <v>12</v>
      </c>
      <c r="B429" s="2" t="str">
        <f>HYPERLINK("http://www.12365auto.com/zlts/20200228/449192.shtml","长安逸动新能源方向盘不正 吃胎偏磨 大灯异响")</f>
        <v>长安逸动新能源方向盘不正 吃胎偏磨 大灯异响</v>
      </c>
      <c r="C429" s="2" t="s">
        <v>13</v>
      </c>
      <c r="D429" s="2" t="s">
        <v>12</v>
      </c>
      <c r="E429" s="2" t="s">
        <v>17</v>
      </c>
      <c r="F429" s="2" t="str">
        <f>HYPERLINK("http://www.12365auto.com/zlts/20200228/449192.shtml","http://www.12365auto.com/zlts/20200228/449192.shtml")</f>
        <v>http://www.12365auto.com/zlts/20200228/449192.shtml</v>
      </c>
      <c r="G429" s="2"/>
      <c r="H429" s="2" t="s">
        <v>727</v>
      </c>
      <c r="I429" s="2" t="s">
        <v>19</v>
      </c>
      <c r="J429" s="2" t="s">
        <v>12</v>
      </c>
      <c r="K429" s="2" t="s">
        <v>726</v>
      </c>
      <c r="L429" s="2">
        <f t="shared" si="6"/>
        <v>150</v>
      </c>
    </row>
    <row r="430" spans="1:12" ht="25" customHeight="1">
      <c r="A430" s="2" t="s">
        <v>12</v>
      </c>
      <c r="B430" s="2" t="str">
        <f>HYPERLINK("http://m.12365auto.com/xcdg/20200228/419861.shtml","蔚来EC6七月上市 百公里加速比保时捷718快")</f>
        <v>蔚来EC6七月上市 百公里加速比保时捷718快</v>
      </c>
      <c r="C430" s="2" t="s">
        <v>13</v>
      </c>
      <c r="D430" s="2" t="s">
        <v>12</v>
      </c>
      <c r="E430" s="2"/>
      <c r="F430" s="2" t="str">
        <f>HYPERLINK("http://m.12365auto.com/xcdg/20200228/419861.shtml","http://m.12365auto.com/xcdg/20200228/419861.shtml")</f>
        <v>http://m.12365auto.com/xcdg/20200228/419861.shtml</v>
      </c>
      <c r="G430" s="2"/>
      <c r="H430" s="2" t="s">
        <v>728</v>
      </c>
      <c r="I430" s="2" t="s">
        <v>19</v>
      </c>
      <c r="J430" s="2" t="s">
        <v>718</v>
      </c>
      <c r="K430" s="2" t="s">
        <v>726</v>
      </c>
      <c r="L430" s="2">
        <f t="shared" si="6"/>
        <v>150</v>
      </c>
    </row>
    <row r="431" spans="1:12" ht="25" customHeight="1">
      <c r="A431" s="2" t="s">
        <v>12</v>
      </c>
      <c r="B431" s="2" t="str">
        <f>HYPERLINK("http://www.12365auto.com/news/20200228/419860.shtml","宝马M品牌销量大涨32.2% 新X5/X6M年内上市")</f>
        <v>宝马M品牌销量大涨32.2% 新X5/X6M年内上市</v>
      </c>
      <c r="C431" s="2" t="s">
        <v>13</v>
      </c>
      <c r="D431" s="2" t="s">
        <v>12</v>
      </c>
      <c r="E431" s="2" t="s">
        <v>276</v>
      </c>
      <c r="F431" s="2" t="str">
        <f>HYPERLINK("http://www.12365auto.com/news/20200228/419860.shtml","http://www.12365auto.com/news/20200228/419860.shtml")</f>
        <v>http://www.12365auto.com/news/20200228/419860.shtml</v>
      </c>
      <c r="G431" s="2"/>
      <c r="H431" s="2" t="s">
        <v>729</v>
      </c>
      <c r="I431" s="2" t="s">
        <v>15</v>
      </c>
      <c r="J431" s="2" t="s">
        <v>12</v>
      </c>
      <c r="K431" s="2" t="s">
        <v>730</v>
      </c>
      <c r="L431" s="2">
        <f t="shared" si="6"/>
        <v>150</v>
      </c>
    </row>
    <row r="432" spans="1:12" ht="25" customHeight="1">
      <c r="A432" s="2" t="s">
        <v>12</v>
      </c>
      <c r="B432" s="2" t="str">
        <f>HYPERLINK("http://m.12365auto.com/news/20200228/419860.shtml","宝马M品牌销量大涨32.2% 新X5/X6M年内上市")</f>
        <v>宝马M品牌销量大涨32.2% 新X5/X6M年内上市</v>
      </c>
      <c r="C432" s="2" t="s">
        <v>13</v>
      </c>
      <c r="D432" s="2" t="s">
        <v>12</v>
      </c>
      <c r="E432" s="2"/>
      <c r="F432" s="2" t="str">
        <f>HYPERLINK("http://m.12365auto.com/news/20200228/419860.shtml","http://m.12365auto.com/news/20200228/419860.shtml")</f>
        <v>http://m.12365auto.com/news/20200228/419860.shtml</v>
      </c>
      <c r="G432" s="2"/>
      <c r="H432" s="2" t="s">
        <v>731</v>
      </c>
      <c r="I432" s="2" t="s">
        <v>19</v>
      </c>
      <c r="J432" s="2" t="s">
        <v>732</v>
      </c>
      <c r="K432" s="2" t="s">
        <v>730</v>
      </c>
      <c r="L432" s="2">
        <f t="shared" si="6"/>
        <v>150</v>
      </c>
    </row>
    <row r="433" spans="1:12" ht="25" customHeight="1">
      <c r="A433" s="2" t="s">
        <v>12</v>
      </c>
      <c r="B433" s="2" t="str">
        <f>HYPERLINK("http://www.12365auto.com/zlts/20200228/449190.shtml","广汽丰田雷凌隔音棉材质极差导致车内异味")</f>
        <v>广汽丰田雷凌隔音棉材质极差导致车内异味</v>
      </c>
      <c r="C433" s="2" t="s">
        <v>13</v>
      </c>
      <c r="D433" s="2" t="s">
        <v>12</v>
      </c>
      <c r="E433" s="2" t="s">
        <v>17</v>
      </c>
      <c r="F433" s="2" t="str">
        <f>HYPERLINK("http://www.12365auto.com/zlts/20200228/449190.shtml","http://www.12365auto.com/zlts/20200228/449190.shtml")</f>
        <v>http://www.12365auto.com/zlts/20200228/449190.shtml</v>
      </c>
      <c r="G433" s="2"/>
      <c r="H433" s="2" t="s">
        <v>733</v>
      </c>
      <c r="I433" s="2" t="s">
        <v>19</v>
      </c>
      <c r="J433" s="2" t="s">
        <v>12</v>
      </c>
      <c r="K433" s="2" t="s">
        <v>734</v>
      </c>
      <c r="L433" s="2">
        <f t="shared" si="6"/>
        <v>150</v>
      </c>
    </row>
    <row r="434" spans="1:12" ht="25" customHeight="1">
      <c r="A434" s="2" t="s">
        <v>12</v>
      </c>
      <c r="B434" s="2" t="str">
        <f>HYPERLINK("http://www.12365auto.com/xcdg/20200228/419859.shtml","韩系推新车 新索纳塔/K5领衔 豪华品牌入华")</f>
        <v>韩系推新车 新索纳塔/K5领衔 豪华品牌入华</v>
      </c>
      <c r="C434" s="2" t="s">
        <v>13</v>
      </c>
      <c r="D434" s="2" t="s">
        <v>12</v>
      </c>
      <c r="E434" s="2" t="s">
        <v>216</v>
      </c>
      <c r="F434" s="2" t="str">
        <f>HYPERLINK("http://www.12365auto.com/xcdg/20200228/419859.shtml","http://www.12365auto.com/xcdg/20200228/419859.shtml")</f>
        <v>http://www.12365auto.com/xcdg/20200228/419859.shtml</v>
      </c>
      <c r="G434" s="2"/>
      <c r="H434" s="2" t="s">
        <v>735</v>
      </c>
      <c r="I434" s="2" t="s">
        <v>15</v>
      </c>
      <c r="J434" s="2" t="s">
        <v>12</v>
      </c>
      <c r="K434" s="2" t="s">
        <v>736</v>
      </c>
      <c r="L434" s="2">
        <f t="shared" si="6"/>
        <v>150</v>
      </c>
    </row>
    <row r="435" spans="1:12" ht="25" customHeight="1">
      <c r="A435" s="2" t="s">
        <v>12</v>
      </c>
      <c r="B435" s="2" t="str">
        <f>HYPERLINK("http://www.12365auto.com/zlts/20200228/449189.shtml","东风标致3008发动机异响严重希望处理")</f>
        <v>东风标致3008发动机异响严重希望处理</v>
      </c>
      <c r="C435" s="2" t="s">
        <v>13</v>
      </c>
      <c r="D435" s="2" t="s">
        <v>12</v>
      </c>
      <c r="E435" s="2" t="s">
        <v>17</v>
      </c>
      <c r="F435" s="2" t="str">
        <f>HYPERLINK("http://www.12365auto.com/zlts/20200228/449189.shtml","http://www.12365auto.com/zlts/20200228/449189.shtml")</f>
        <v>http://www.12365auto.com/zlts/20200228/449189.shtml</v>
      </c>
      <c r="G435" s="2"/>
      <c r="H435" s="2" t="s">
        <v>737</v>
      </c>
      <c r="I435" s="2" t="s">
        <v>19</v>
      </c>
      <c r="J435" s="2" t="s">
        <v>12</v>
      </c>
      <c r="K435" s="2" t="s">
        <v>736</v>
      </c>
      <c r="L435" s="2">
        <f t="shared" si="6"/>
        <v>150</v>
      </c>
    </row>
    <row r="436" spans="1:12" ht="25" customHeight="1">
      <c r="A436" s="2" t="s">
        <v>12</v>
      </c>
      <c r="B436" s="2" t="str">
        <f>HYPERLINK("http://m.12365auto.com/xcdg/20200228/419859.shtml","韩系推新车 新索纳塔/K5领衔 豪华品牌入华")</f>
        <v>韩系推新车 新索纳塔/K5领衔 豪华品牌入华</v>
      </c>
      <c r="C436" s="2" t="s">
        <v>13</v>
      </c>
      <c r="D436" s="2" t="s">
        <v>12</v>
      </c>
      <c r="E436" s="2"/>
      <c r="F436" s="2" t="str">
        <f>HYPERLINK("http://m.12365auto.com/xcdg/20200228/419859.shtml","http://m.12365auto.com/xcdg/20200228/419859.shtml")</f>
        <v>http://m.12365auto.com/xcdg/20200228/419859.shtml</v>
      </c>
      <c r="G436" s="2"/>
      <c r="H436" s="2" t="s">
        <v>738</v>
      </c>
      <c r="I436" s="2" t="s">
        <v>19</v>
      </c>
      <c r="J436" s="2" t="s">
        <v>739</v>
      </c>
      <c r="K436" s="2" t="s">
        <v>736</v>
      </c>
      <c r="L436" s="2">
        <f t="shared" si="6"/>
        <v>150</v>
      </c>
    </row>
    <row r="437" spans="1:12" ht="25" customHeight="1">
      <c r="A437" s="2" t="s">
        <v>12</v>
      </c>
      <c r="B437" s="2" t="str">
        <f>HYPERLINK("http://www.12365auto.com/zlts/20200228/449187.shtml","上汽大众途岳电瓶亏电并且无法充电")</f>
        <v>上汽大众途岳电瓶亏电并且无法充电</v>
      </c>
      <c r="C437" s="2" t="s">
        <v>13</v>
      </c>
      <c r="D437" s="2" t="s">
        <v>12</v>
      </c>
      <c r="E437" s="2" t="s">
        <v>17</v>
      </c>
      <c r="F437" s="2" t="str">
        <f>HYPERLINK("http://www.12365auto.com/zlts/20200228/449187.shtml","http://www.12365auto.com/zlts/20200228/449187.shtml")</f>
        <v>http://www.12365auto.com/zlts/20200228/449187.shtml</v>
      </c>
      <c r="G437" s="2"/>
      <c r="H437" s="2" t="s">
        <v>740</v>
      </c>
      <c r="I437" s="2" t="s">
        <v>19</v>
      </c>
      <c r="J437" s="2" t="s">
        <v>12</v>
      </c>
      <c r="K437" s="2" t="s">
        <v>741</v>
      </c>
      <c r="L437" s="2">
        <f t="shared" si="6"/>
        <v>150</v>
      </c>
    </row>
    <row r="438" spans="1:12" ht="25" customHeight="1">
      <c r="A438" s="2" t="s">
        <v>12</v>
      </c>
      <c r="B438" s="2" t="str">
        <f>HYPERLINK("http://www.12365auto.com/xcdg/20200228/419858.shtml","比亚迪全新SUV曝光 比宋Pro更高级10万起售")</f>
        <v>比亚迪全新SUV曝光 比宋Pro更高级10万起售</v>
      </c>
      <c r="C438" s="2" t="s">
        <v>13</v>
      </c>
      <c r="D438" s="2" t="s">
        <v>12</v>
      </c>
      <c r="E438" s="2" t="s">
        <v>216</v>
      </c>
      <c r="F438" s="2" t="str">
        <f>HYPERLINK("http://www.12365auto.com/xcdg/20200228/419858.shtml","http://www.12365auto.com/xcdg/20200228/419858.shtml")</f>
        <v>http://www.12365auto.com/xcdg/20200228/419858.shtml</v>
      </c>
      <c r="G438" s="2"/>
      <c r="H438" s="2" t="s">
        <v>742</v>
      </c>
      <c r="I438" s="2" t="s">
        <v>15</v>
      </c>
      <c r="J438" s="2" t="s">
        <v>12</v>
      </c>
      <c r="K438" s="2" t="s">
        <v>743</v>
      </c>
      <c r="L438" s="2">
        <f t="shared" si="6"/>
        <v>150</v>
      </c>
    </row>
    <row r="439" spans="1:12" ht="25" customHeight="1">
      <c r="A439" s="2" t="s">
        <v>12</v>
      </c>
      <c r="B439" s="2" t="str">
        <f>HYPERLINK("http://m.12365auto.com/xcdg/20200228/419858.shtml","比亚迪全新SUV曝光 比宋Pro更高级10万起售")</f>
        <v>比亚迪全新SUV曝光 比宋Pro更高级10万起售</v>
      </c>
      <c r="C439" s="2" t="s">
        <v>13</v>
      </c>
      <c r="D439" s="2" t="s">
        <v>12</v>
      </c>
      <c r="E439" s="2"/>
      <c r="F439" s="2" t="str">
        <f>HYPERLINK("http://m.12365auto.com/xcdg/20200228/419858.shtml","http://m.12365auto.com/xcdg/20200228/419858.shtml")</f>
        <v>http://m.12365auto.com/xcdg/20200228/419858.shtml</v>
      </c>
      <c r="G439" s="2"/>
      <c r="H439" s="2" t="s">
        <v>744</v>
      </c>
      <c r="I439" s="2" t="s">
        <v>19</v>
      </c>
      <c r="J439" s="2" t="s">
        <v>257</v>
      </c>
      <c r="K439" s="2" t="s">
        <v>743</v>
      </c>
      <c r="L439" s="2">
        <f t="shared" si="6"/>
        <v>150</v>
      </c>
    </row>
    <row r="440" spans="1:12" ht="25" customHeight="1">
      <c r="A440" s="2" t="s">
        <v>12</v>
      </c>
      <c r="B440" s="2" t="str">
        <f>HYPERLINK("http://www.12365auto.com/xcdg/20200228/419857.shtml","大众Arteon R旅行版谍照 年内亮相/动力大涨")</f>
        <v>大众Arteon R旅行版谍照 年内亮相/动力大涨</v>
      </c>
      <c r="C440" s="2" t="s">
        <v>13</v>
      </c>
      <c r="D440" s="2" t="s">
        <v>12</v>
      </c>
      <c r="E440" s="2" t="s">
        <v>224</v>
      </c>
      <c r="F440" s="2" t="str">
        <f>HYPERLINK("http://www.12365auto.com/xcdg/20200228/419857.shtml","http://www.12365auto.com/xcdg/20200228/419857.shtml")</f>
        <v>http://www.12365auto.com/xcdg/20200228/419857.shtml</v>
      </c>
      <c r="G440" s="2"/>
      <c r="H440" s="2" t="s">
        <v>745</v>
      </c>
      <c r="I440" s="2" t="s">
        <v>15</v>
      </c>
      <c r="J440" s="2" t="s">
        <v>12</v>
      </c>
      <c r="K440" s="2" t="s">
        <v>746</v>
      </c>
      <c r="L440" s="2">
        <f t="shared" si="6"/>
        <v>150</v>
      </c>
    </row>
    <row r="441" spans="1:12" ht="25" customHeight="1">
      <c r="A441" s="2" t="s">
        <v>12</v>
      </c>
      <c r="B441" s="2" t="str">
        <f>HYPERLINK("http://m.12365auto.com/xcdg/20200228/419857.shtml","大众Arteon R旅行版谍照 年内亮相/动力大涨")</f>
        <v>大众Arteon R旅行版谍照 年内亮相/动力大涨</v>
      </c>
      <c r="C441" s="2" t="s">
        <v>13</v>
      </c>
      <c r="D441" s="2" t="s">
        <v>12</v>
      </c>
      <c r="E441" s="2"/>
      <c r="F441" s="2" t="str">
        <f>HYPERLINK("http://m.12365auto.com/xcdg/20200228/419857.shtml","http://m.12365auto.com/xcdg/20200228/419857.shtml")</f>
        <v>http://m.12365auto.com/xcdg/20200228/419857.shtml</v>
      </c>
      <c r="G441" s="2"/>
      <c r="H441" s="2" t="s">
        <v>747</v>
      </c>
      <c r="I441" s="2" t="s">
        <v>19</v>
      </c>
      <c r="J441" s="2" t="s">
        <v>222</v>
      </c>
      <c r="K441" s="2" t="s">
        <v>746</v>
      </c>
      <c r="L441" s="2">
        <f t="shared" si="6"/>
        <v>150</v>
      </c>
    </row>
    <row r="442" spans="1:12" ht="25" customHeight="1">
      <c r="A442" s="2" t="s">
        <v>12</v>
      </c>
      <c r="B442" s="2" t="str">
        <f>HYPERLINK("http://www.12365auto.com/xcdg/20200228/419856.shtml","零跑T03有望4月下旬上市 最大续航400km")</f>
        <v>零跑T03有望4月下旬上市 最大续航400km</v>
      </c>
      <c r="C442" s="2" t="s">
        <v>13</v>
      </c>
      <c r="D442" s="2" t="s">
        <v>12</v>
      </c>
      <c r="E442" s="2" t="s">
        <v>216</v>
      </c>
      <c r="F442" s="2" t="str">
        <f>HYPERLINK("http://www.12365auto.com/xcdg/20200228/419856.shtml","http://www.12365auto.com/xcdg/20200228/419856.shtml")</f>
        <v>http://www.12365auto.com/xcdg/20200228/419856.shtml</v>
      </c>
      <c r="G442" s="2"/>
      <c r="H442" s="2" t="s">
        <v>748</v>
      </c>
      <c r="I442" s="2" t="s">
        <v>15</v>
      </c>
      <c r="J442" s="2" t="s">
        <v>12</v>
      </c>
      <c r="K442" s="2" t="s">
        <v>749</v>
      </c>
      <c r="L442" s="2">
        <f t="shared" si="6"/>
        <v>150</v>
      </c>
    </row>
    <row r="443" spans="1:12" ht="25" customHeight="1">
      <c r="A443" s="2" t="s">
        <v>12</v>
      </c>
      <c r="B443" s="2" t="str">
        <f>HYPERLINK("http://m.12365auto.com/xcdg/20200228/419856.shtml","零跑T03有望4月下旬上市 最大续航400km")</f>
        <v>零跑T03有望4月下旬上市 最大续航400km</v>
      </c>
      <c r="C443" s="2" t="s">
        <v>13</v>
      </c>
      <c r="D443" s="2" t="s">
        <v>12</v>
      </c>
      <c r="E443" s="2"/>
      <c r="F443" s="2" t="str">
        <f>HYPERLINK("http://m.12365auto.com/xcdg/20200228/419856.shtml","http://m.12365auto.com/xcdg/20200228/419856.shtml")</f>
        <v>http://m.12365auto.com/xcdg/20200228/419856.shtml</v>
      </c>
      <c r="G443" s="2"/>
      <c r="H443" s="2" t="s">
        <v>750</v>
      </c>
      <c r="I443" s="2" t="s">
        <v>19</v>
      </c>
      <c r="J443" s="2" t="s">
        <v>751</v>
      </c>
      <c r="K443" s="2" t="s">
        <v>749</v>
      </c>
      <c r="L443" s="2">
        <f t="shared" si="6"/>
        <v>150</v>
      </c>
    </row>
    <row r="444" spans="1:12" ht="25" customHeight="1">
      <c r="A444" s="2" t="s">
        <v>12</v>
      </c>
      <c r="B444" s="2" t="str">
        <f>HYPERLINK("http://www.12365auto.com/zlts/20200228/449186.shtml","长安睿骋发动机烧机油冒白烟希望处理")</f>
        <v>长安睿骋发动机烧机油冒白烟希望处理</v>
      </c>
      <c r="C444" s="2" t="s">
        <v>13</v>
      </c>
      <c r="D444" s="2" t="s">
        <v>12</v>
      </c>
      <c r="E444" s="2" t="s">
        <v>17</v>
      </c>
      <c r="F444" s="2" t="str">
        <f>HYPERLINK("http://www.12365auto.com/zlts/20200228/449186.shtml","http://www.12365auto.com/zlts/20200228/449186.shtml")</f>
        <v>http://www.12365auto.com/zlts/20200228/449186.shtml</v>
      </c>
      <c r="G444" s="2"/>
      <c r="H444" s="2" t="s">
        <v>752</v>
      </c>
      <c r="I444" s="2" t="s">
        <v>19</v>
      </c>
      <c r="J444" s="2" t="s">
        <v>12</v>
      </c>
      <c r="K444" s="2" t="s">
        <v>753</v>
      </c>
      <c r="L444" s="2">
        <f t="shared" si="6"/>
        <v>150</v>
      </c>
    </row>
    <row r="445" spans="1:12" ht="25" customHeight="1">
      <c r="A445" s="2" t="s">
        <v>12</v>
      </c>
      <c r="B445" s="2" t="str">
        <f>HYPERLINK("http://www.12365auto.com/zlts/20200228/449184.shtml","长安睿骋CC电瓶电量低 发动机启停失效")</f>
        <v>长安睿骋CC电瓶电量低 发动机启停失效</v>
      </c>
      <c r="C445" s="2" t="s">
        <v>13</v>
      </c>
      <c r="D445" s="2" t="s">
        <v>12</v>
      </c>
      <c r="E445" s="2"/>
      <c r="F445" s="2" t="str">
        <f>HYPERLINK("http://www.12365auto.com/zlts/20200228/449184.shtml","http://www.12365auto.com/zlts/20200228/449184.shtml")</f>
        <v>http://www.12365auto.com/zlts/20200228/449184.shtml</v>
      </c>
      <c r="G445" s="2"/>
      <c r="H445" s="3" t="s">
        <v>754</v>
      </c>
      <c r="I445" s="2" t="s">
        <v>15</v>
      </c>
      <c r="J445" s="2" t="s">
        <v>12</v>
      </c>
      <c r="K445" s="2" t="s">
        <v>755</v>
      </c>
      <c r="L445" s="2">
        <f t="shared" si="6"/>
        <v>109</v>
      </c>
    </row>
    <row r="446" spans="1:12" ht="25" customHeight="1">
      <c r="A446" s="2" t="s">
        <v>12</v>
      </c>
      <c r="B446" s="2" t="str">
        <f>HYPERLINK("http://www.12365auto.com/xcdg/20200228/419855.shtml","东风本田新款CR-V新消息 将于6月上市")</f>
        <v>东风本田新款CR-V新消息 将于6月上市</v>
      </c>
      <c r="C446" s="2" t="s">
        <v>13</v>
      </c>
      <c r="D446" s="2" t="s">
        <v>12</v>
      </c>
      <c r="E446" s="2" t="s">
        <v>216</v>
      </c>
      <c r="F446" s="2" t="str">
        <f>HYPERLINK("http://www.12365auto.com/xcdg/20200228/419855.shtml","http://www.12365auto.com/xcdg/20200228/419855.shtml")</f>
        <v>http://www.12365auto.com/xcdg/20200228/419855.shtml</v>
      </c>
      <c r="G446" s="2"/>
      <c r="H446" s="2" t="s">
        <v>756</v>
      </c>
      <c r="I446" s="2" t="s">
        <v>15</v>
      </c>
      <c r="J446" s="2" t="s">
        <v>12</v>
      </c>
      <c r="K446" s="2" t="s">
        <v>757</v>
      </c>
      <c r="L446" s="2">
        <f t="shared" si="6"/>
        <v>150</v>
      </c>
    </row>
    <row r="447" spans="1:12" ht="25" customHeight="1">
      <c r="A447" s="2" t="s">
        <v>12</v>
      </c>
      <c r="B447" s="2" t="str">
        <f>HYPERLINK("http://m.12365auto.com/xcdg/20200228/419855.shtml","东风本田新款CR-V新消息 将于6月上市")</f>
        <v>东风本田新款CR-V新消息 将于6月上市</v>
      </c>
      <c r="C447" s="2" t="s">
        <v>13</v>
      </c>
      <c r="D447" s="2" t="s">
        <v>12</v>
      </c>
      <c r="E447" s="2"/>
      <c r="F447" s="2" t="str">
        <f>HYPERLINK("http://m.12365auto.com/xcdg/20200228/419855.shtml","http://m.12365auto.com/xcdg/20200228/419855.shtml")</f>
        <v>http://m.12365auto.com/xcdg/20200228/419855.shtml</v>
      </c>
      <c r="G447" s="2"/>
      <c r="H447" s="2" t="s">
        <v>758</v>
      </c>
      <c r="I447" s="2" t="s">
        <v>19</v>
      </c>
      <c r="J447" s="2" t="s">
        <v>751</v>
      </c>
      <c r="K447" s="2" t="s">
        <v>757</v>
      </c>
      <c r="L447" s="2">
        <f t="shared" si="6"/>
        <v>150</v>
      </c>
    </row>
    <row r="448" spans="1:12" ht="25" customHeight="1">
      <c r="A448" s="2" t="s">
        <v>12</v>
      </c>
      <c r="B448" s="2" t="str">
        <f>HYPERLINK("http://m.12365auto.com/xcdg/20200228/419854.shtml","味道更正姿态更飒 本田思域两厢版4月上市")</f>
        <v>味道更正姿态更飒 本田思域两厢版4月上市</v>
      </c>
      <c r="C448" s="2" t="s">
        <v>13</v>
      </c>
      <c r="D448" s="2" t="s">
        <v>12</v>
      </c>
      <c r="E448" s="2"/>
      <c r="F448" s="2" t="str">
        <f>HYPERLINK("http://m.12365auto.com/xcdg/20200228/419854.shtml","http://m.12365auto.com/xcdg/20200228/419854.shtml")</f>
        <v>http://m.12365auto.com/xcdg/20200228/419854.shtml</v>
      </c>
      <c r="G448" s="2"/>
      <c r="H448" s="2" t="s">
        <v>759</v>
      </c>
      <c r="I448" s="2" t="s">
        <v>19</v>
      </c>
      <c r="J448" s="2" t="s">
        <v>760</v>
      </c>
      <c r="K448" s="2" t="s">
        <v>761</v>
      </c>
      <c r="L448" s="2">
        <f t="shared" si="6"/>
        <v>150</v>
      </c>
    </row>
    <row r="449" spans="1:12" ht="25" customHeight="1">
      <c r="A449" s="2" t="s">
        <v>12</v>
      </c>
      <c r="B449" s="2" t="str">
        <f>HYPERLINK("http://www.12365auto.com/xcdg/20200228/419854.shtml","味道更正姿态更飒 本田思域两厢版4月上市")</f>
        <v>味道更正姿态更飒 本田思域两厢版4月上市</v>
      </c>
      <c r="C449" s="2" t="s">
        <v>13</v>
      </c>
      <c r="D449" s="2" t="s">
        <v>12</v>
      </c>
      <c r="E449" s="2" t="s">
        <v>216</v>
      </c>
      <c r="F449" s="2" t="str">
        <f>HYPERLINK("http://www.12365auto.com/xcdg/20200228/419854.shtml","http://www.12365auto.com/xcdg/20200228/419854.shtml")</f>
        <v>http://www.12365auto.com/xcdg/20200228/419854.shtml</v>
      </c>
      <c r="G449" s="2"/>
      <c r="H449" s="2" t="s">
        <v>762</v>
      </c>
      <c r="I449" s="2" t="s">
        <v>15</v>
      </c>
      <c r="J449" s="2" t="s">
        <v>12</v>
      </c>
      <c r="K449" s="2" t="s">
        <v>761</v>
      </c>
      <c r="L449" s="2">
        <f t="shared" si="6"/>
        <v>150</v>
      </c>
    </row>
    <row r="450" spans="1:12" ht="25" customHeight="1">
      <c r="A450" s="2" t="s">
        <v>12</v>
      </c>
      <c r="B450" s="2" t="str">
        <f>HYPERLINK("http://m.12365auto.com/zjdy/20200228/121731.shtml","12年款途观P1114故障码是什么意思？")</f>
        <v>12年款途观P1114故障码是什么意思？</v>
      </c>
      <c r="C450" s="2" t="s">
        <v>13</v>
      </c>
      <c r="D450" s="2" t="s">
        <v>12</v>
      </c>
      <c r="E450" s="2"/>
      <c r="F450" s="2" t="str">
        <f>HYPERLINK("http://m.12365auto.com/zjdy/20200228/121731.shtml","http://m.12365auto.com/zjdy/20200228/121731.shtml")</f>
        <v>http://m.12365auto.com/zjdy/20200228/121731.shtml</v>
      </c>
      <c r="G450" s="2"/>
      <c r="H450" s="2" t="s">
        <v>763</v>
      </c>
      <c r="I450" s="2" t="s">
        <v>19</v>
      </c>
      <c r="J450" s="2" t="s">
        <v>12</v>
      </c>
      <c r="K450" s="2" t="s">
        <v>764</v>
      </c>
      <c r="L450" s="2">
        <f t="shared" si="6"/>
        <v>27</v>
      </c>
    </row>
    <row r="451" spans="1:12" ht="25" customHeight="1">
      <c r="A451" s="2" t="s">
        <v>12</v>
      </c>
      <c r="B451" s="2" t="str">
        <f>HYPERLINK("http://www.12365auto.com/xcdg/20200228/419853.shtml","新款野马斯派卡3月上市 新增CVT变速箱")</f>
        <v>新款野马斯派卡3月上市 新增CVT变速箱</v>
      </c>
      <c r="C451" s="2" t="s">
        <v>13</v>
      </c>
      <c r="D451" s="2" t="s">
        <v>12</v>
      </c>
      <c r="E451" s="2" t="s">
        <v>216</v>
      </c>
      <c r="F451" s="2" t="str">
        <f>HYPERLINK("http://www.12365auto.com/xcdg/20200228/419853.shtml","http://www.12365auto.com/xcdg/20200228/419853.shtml")</f>
        <v>http://www.12365auto.com/xcdg/20200228/419853.shtml</v>
      </c>
      <c r="G451" s="2"/>
      <c r="H451" s="2" t="s">
        <v>765</v>
      </c>
      <c r="I451" s="2" t="s">
        <v>15</v>
      </c>
      <c r="J451" s="2" t="s">
        <v>12</v>
      </c>
      <c r="K451" s="2" t="s">
        <v>766</v>
      </c>
      <c r="L451" s="2">
        <f t="shared" ref="L451:L514" si="7">LEN(H451)</f>
        <v>150</v>
      </c>
    </row>
    <row r="452" spans="1:12" ht="25" customHeight="1">
      <c r="A452" s="2" t="s">
        <v>12</v>
      </c>
      <c r="B452" s="2" t="str">
        <f>HYPERLINK("http://m.12365auto.com/xcdg/20200228/419853.shtml","新款野马斯派卡3月上市 新增CVT变速箱")</f>
        <v>新款野马斯派卡3月上市 新增CVT变速箱</v>
      </c>
      <c r="C452" s="2" t="s">
        <v>13</v>
      </c>
      <c r="D452" s="2" t="s">
        <v>12</v>
      </c>
      <c r="E452" s="2"/>
      <c r="F452" s="2" t="str">
        <f>HYPERLINK("http://m.12365auto.com/xcdg/20200228/419853.shtml","http://m.12365auto.com/xcdg/20200228/419853.shtml")</f>
        <v>http://m.12365auto.com/xcdg/20200228/419853.shtml</v>
      </c>
      <c r="G452" s="2"/>
      <c r="H452" s="2" t="s">
        <v>767</v>
      </c>
      <c r="I452" s="2" t="s">
        <v>19</v>
      </c>
      <c r="J452" s="2" t="s">
        <v>768</v>
      </c>
      <c r="K452" s="2" t="s">
        <v>766</v>
      </c>
      <c r="L452" s="2">
        <f t="shared" si="7"/>
        <v>150</v>
      </c>
    </row>
    <row r="453" spans="1:12" ht="25" customHeight="1">
      <c r="A453" s="2" t="s">
        <v>12</v>
      </c>
      <c r="B453" s="2" t="str">
        <f>HYPERLINK("http://www.12365auto.com/news/20200228/419852.shtml","35年悉心陪伴 上汽大众第2200万辆整车下线")</f>
        <v>35年悉心陪伴 上汽大众第2200万辆整车下线</v>
      </c>
      <c r="C453" s="2" t="s">
        <v>13</v>
      </c>
      <c r="D453" s="2" t="s">
        <v>12</v>
      </c>
      <c r="E453" s="2" t="s">
        <v>282</v>
      </c>
      <c r="F453" s="2" t="str">
        <f>HYPERLINK("http://www.12365auto.com/news/20200228/419852.shtml","http://www.12365auto.com/news/20200228/419852.shtml")</f>
        <v>http://www.12365auto.com/news/20200228/419852.shtml</v>
      </c>
      <c r="G453" s="2"/>
      <c r="H453" s="2" t="s">
        <v>769</v>
      </c>
      <c r="I453" s="2" t="s">
        <v>19</v>
      </c>
      <c r="J453" s="2" t="s">
        <v>12</v>
      </c>
      <c r="K453" s="2" t="s">
        <v>770</v>
      </c>
      <c r="L453" s="2">
        <f t="shared" si="7"/>
        <v>150</v>
      </c>
    </row>
    <row r="454" spans="1:12" ht="25" customHeight="1">
      <c r="A454" s="2" t="s">
        <v>12</v>
      </c>
      <c r="B454" s="2" t="str">
        <f>HYPERLINK("http://www.12365auto.com/zlts/20200228/449183.shtml","上汽大众帕萨特中保研测试安全严重不合格")</f>
        <v>上汽大众帕萨特中保研测试安全严重不合格</v>
      </c>
      <c r="C454" s="2" t="s">
        <v>13</v>
      </c>
      <c r="D454" s="2" t="s">
        <v>12</v>
      </c>
      <c r="E454" s="2" t="s">
        <v>17</v>
      </c>
      <c r="F454" s="2" t="str">
        <f>HYPERLINK("http://www.12365auto.com/zlts/20200228/449183.shtml","http://www.12365auto.com/zlts/20200228/449183.shtml")</f>
        <v>http://www.12365auto.com/zlts/20200228/449183.shtml</v>
      </c>
      <c r="G454" s="2"/>
      <c r="H454" s="2" t="s">
        <v>771</v>
      </c>
      <c r="I454" s="2" t="s">
        <v>15</v>
      </c>
      <c r="J454" s="2" t="s">
        <v>12</v>
      </c>
      <c r="K454" s="2" t="s">
        <v>770</v>
      </c>
      <c r="L454" s="2">
        <f t="shared" si="7"/>
        <v>150</v>
      </c>
    </row>
    <row r="455" spans="1:12" ht="25" customHeight="1">
      <c r="A455" s="2" t="s">
        <v>12</v>
      </c>
      <c r="B455" s="2" t="str">
        <f>HYPERLINK("http://m.12365auto.com/news/20200228/419852.shtml","35年悉心陪伴 上汽大众第2200万辆整车下线")</f>
        <v>35年悉心陪伴 上汽大众第2200万辆整车下线</v>
      </c>
      <c r="C455" s="2" t="s">
        <v>13</v>
      </c>
      <c r="D455" s="2" t="s">
        <v>12</v>
      </c>
      <c r="E455" s="2"/>
      <c r="F455" s="2" t="str">
        <f>HYPERLINK("http://m.12365auto.com/news/20200228/419852.shtml","http://m.12365auto.com/news/20200228/419852.shtml")</f>
        <v>http://m.12365auto.com/news/20200228/419852.shtml</v>
      </c>
      <c r="G455" s="2"/>
      <c r="H455" s="2" t="s">
        <v>772</v>
      </c>
      <c r="I455" s="2" t="s">
        <v>19</v>
      </c>
      <c r="J455" s="2" t="s">
        <v>236</v>
      </c>
      <c r="K455" s="2" t="s">
        <v>770</v>
      </c>
      <c r="L455" s="2">
        <f t="shared" si="7"/>
        <v>150</v>
      </c>
    </row>
    <row r="456" spans="1:12" ht="25" customHeight="1">
      <c r="A456" s="2" t="s">
        <v>12</v>
      </c>
      <c r="B456" s="2" t="str">
        <f>HYPERLINK("http://www.12365auto.com/zlts/20200228/449180.shtml","优科马豪轮胎大块起皮脱落，有严重安全隐患")</f>
        <v>优科马豪轮胎大块起皮脱落，有严重安全隐患</v>
      </c>
      <c r="C456" s="2" t="s">
        <v>13</v>
      </c>
      <c r="D456" s="2" t="s">
        <v>12</v>
      </c>
      <c r="E456" s="2"/>
      <c r="F456" s="2" t="str">
        <f>HYPERLINK("http://www.12365auto.com/zlts/20200228/449180.shtml","http://www.12365auto.com/zlts/20200228/449180.shtml")</f>
        <v>http://www.12365auto.com/zlts/20200228/449180.shtml</v>
      </c>
      <c r="G456" s="2"/>
      <c r="H456" s="3" t="s">
        <v>773</v>
      </c>
      <c r="I456" s="2" t="s">
        <v>15</v>
      </c>
      <c r="J456" s="2" t="s">
        <v>12</v>
      </c>
      <c r="K456" s="2" t="s">
        <v>774</v>
      </c>
      <c r="L456" s="2">
        <f t="shared" si="7"/>
        <v>109</v>
      </c>
    </row>
    <row r="457" spans="1:12" ht="25" customHeight="1">
      <c r="A457" s="2" t="s">
        <v>12</v>
      </c>
      <c r="B457" s="2" t="str">
        <f>HYPERLINK("http://www.12365auto.com/xcdg/20200228/419851.shtml","20万辆里程碑 捷途X70 Coupe正式下线")</f>
        <v>20万辆里程碑 捷途X70 Coupe正式下线</v>
      </c>
      <c r="C457" s="2" t="s">
        <v>13</v>
      </c>
      <c r="D457" s="2" t="s">
        <v>12</v>
      </c>
      <c r="E457" s="2" t="s">
        <v>216</v>
      </c>
      <c r="F457" s="2" t="str">
        <f>HYPERLINK("http://www.12365auto.com/xcdg/20200228/419851.shtml","http://www.12365auto.com/xcdg/20200228/419851.shtml")</f>
        <v>http://www.12365auto.com/xcdg/20200228/419851.shtml</v>
      </c>
      <c r="G457" s="2"/>
      <c r="H457" s="2" t="s">
        <v>775</v>
      </c>
      <c r="I457" s="2" t="s">
        <v>15</v>
      </c>
      <c r="J457" s="2" t="s">
        <v>12</v>
      </c>
      <c r="K457" s="2" t="s">
        <v>776</v>
      </c>
      <c r="L457" s="2">
        <f t="shared" si="7"/>
        <v>150</v>
      </c>
    </row>
    <row r="458" spans="1:12" ht="25" customHeight="1">
      <c r="A458" s="2" t="s">
        <v>12</v>
      </c>
      <c r="B458" s="2" t="str">
        <f>HYPERLINK("http://m.12365auto.com/xcdg/20200228/419851.shtml","20万辆里程碑 捷途X70 Coupe正式下线")</f>
        <v>20万辆里程碑 捷途X70 Coupe正式下线</v>
      </c>
      <c r="C458" s="2" t="s">
        <v>13</v>
      </c>
      <c r="D458" s="2" t="s">
        <v>12</v>
      </c>
      <c r="E458" s="2"/>
      <c r="F458" s="2" t="str">
        <f>HYPERLINK("http://m.12365auto.com/xcdg/20200228/419851.shtml","http://m.12365auto.com/xcdg/20200228/419851.shtml")</f>
        <v>http://m.12365auto.com/xcdg/20200228/419851.shtml</v>
      </c>
      <c r="G458" s="2"/>
      <c r="H458" s="2" t="s">
        <v>777</v>
      </c>
      <c r="I458" s="2" t="s">
        <v>19</v>
      </c>
      <c r="J458" s="2" t="s">
        <v>295</v>
      </c>
      <c r="K458" s="2" t="s">
        <v>776</v>
      </c>
      <c r="L458" s="2">
        <f t="shared" si="7"/>
        <v>150</v>
      </c>
    </row>
    <row r="459" spans="1:12" ht="25" customHeight="1">
      <c r="A459" s="2" t="s">
        <v>12</v>
      </c>
      <c r="B459" s="2" t="str">
        <f>HYPERLINK("http://www.12365auto.com/xcdg/20200228/419850.shtml","BEIJING-EX3 R500上市 补贴后11.99万起")</f>
        <v>BEIJING-EX3 R500上市 补贴后11.99万起</v>
      </c>
      <c r="C459" s="2" t="s">
        <v>13</v>
      </c>
      <c r="D459" s="2" t="s">
        <v>12</v>
      </c>
      <c r="E459" s="2" t="s">
        <v>245</v>
      </c>
      <c r="F459" s="2" t="str">
        <f>HYPERLINK("http://www.12365auto.com/xcdg/20200228/419850.shtml","http://www.12365auto.com/xcdg/20200228/419850.shtml")</f>
        <v>http://www.12365auto.com/xcdg/20200228/419850.shtml</v>
      </c>
      <c r="G459" s="2"/>
      <c r="H459" s="2" t="s">
        <v>778</v>
      </c>
      <c r="I459" s="2" t="s">
        <v>19</v>
      </c>
      <c r="J459" s="2" t="s">
        <v>12</v>
      </c>
      <c r="K459" s="2" t="s">
        <v>779</v>
      </c>
      <c r="L459" s="2">
        <f t="shared" si="7"/>
        <v>150</v>
      </c>
    </row>
    <row r="460" spans="1:12" ht="25" customHeight="1">
      <c r="A460" s="2" t="s">
        <v>12</v>
      </c>
      <c r="B460" s="2" t="str">
        <f>HYPERLINK("http://m.12365auto.com/xcdg/20200228/419850.shtml","BEIJING-EX3 R500上市 补贴后11.99万起")</f>
        <v>BEIJING-EX3 R500上市 补贴后11.99万起</v>
      </c>
      <c r="C460" s="2" t="s">
        <v>13</v>
      </c>
      <c r="D460" s="2" t="s">
        <v>12</v>
      </c>
      <c r="E460" s="2"/>
      <c r="F460" s="2" t="str">
        <f>HYPERLINK("http://m.12365auto.com/xcdg/20200228/419850.shtml","http://m.12365auto.com/xcdg/20200228/419850.shtml")</f>
        <v>http://m.12365auto.com/xcdg/20200228/419850.shtml</v>
      </c>
      <c r="G460" s="2"/>
      <c r="H460" s="2" t="s">
        <v>780</v>
      </c>
      <c r="I460" s="2" t="s">
        <v>19</v>
      </c>
      <c r="J460" s="2" t="s">
        <v>781</v>
      </c>
      <c r="K460" s="2" t="s">
        <v>779</v>
      </c>
      <c r="L460" s="2">
        <f t="shared" si="7"/>
        <v>150</v>
      </c>
    </row>
    <row r="461" spans="1:12" ht="25" customHeight="1">
      <c r="A461" s="2" t="s">
        <v>12</v>
      </c>
      <c r="B461" s="2" t="str">
        <f>HYPERLINK("http://www.12365auto.com/zlts/20200228/449182.shtml","奇瑞艾瑞泽7e转速猛增 高速行驶制动效果差")</f>
        <v>奇瑞艾瑞泽7e转速猛增 高速行驶制动效果差</v>
      </c>
      <c r="C461" s="2" t="s">
        <v>13</v>
      </c>
      <c r="D461" s="2" t="s">
        <v>12</v>
      </c>
      <c r="E461" s="2" t="s">
        <v>17</v>
      </c>
      <c r="F461" s="2" t="str">
        <f>HYPERLINK("http://www.12365auto.com/zlts/20200228/449182.shtml","http://www.12365auto.com/zlts/20200228/449182.shtml")</f>
        <v>http://www.12365auto.com/zlts/20200228/449182.shtml</v>
      </c>
      <c r="G461" s="2"/>
      <c r="H461" s="2" t="s">
        <v>782</v>
      </c>
      <c r="I461" s="2" t="s">
        <v>15</v>
      </c>
      <c r="J461" s="2" t="s">
        <v>12</v>
      </c>
      <c r="K461" s="2" t="s">
        <v>783</v>
      </c>
      <c r="L461" s="2">
        <f t="shared" si="7"/>
        <v>150</v>
      </c>
    </row>
    <row r="462" spans="1:12" ht="25" customHeight="1">
      <c r="A462" s="2" t="s">
        <v>12</v>
      </c>
      <c r="B462" s="2" t="str">
        <f>HYPERLINK("http://www.12365auto.com/zlts/20200228/449179.shtml","上汽大众桑塔纳行驶中前后减震器有异响")</f>
        <v>上汽大众桑塔纳行驶中前后减震器有异响</v>
      </c>
      <c r="C462" s="2" t="s">
        <v>13</v>
      </c>
      <c r="D462" s="2" t="s">
        <v>12</v>
      </c>
      <c r="E462" s="2" t="s">
        <v>17</v>
      </c>
      <c r="F462" s="2" t="str">
        <f>HYPERLINK("http://www.12365auto.com/zlts/20200228/449179.shtml","http://www.12365auto.com/zlts/20200228/449179.shtml")</f>
        <v>http://www.12365auto.com/zlts/20200228/449179.shtml</v>
      </c>
      <c r="G462" s="2"/>
      <c r="H462" s="2" t="s">
        <v>784</v>
      </c>
      <c r="I462" s="2" t="s">
        <v>15</v>
      </c>
      <c r="J462" s="2" t="s">
        <v>12</v>
      </c>
      <c r="K462" s="2" t="s">
        <v>785</v>
      </c>
      <c r="L462" s="2">
        <f t="shared" si="7"/>
        <v>150</v>
      </c>
    </row>
    <row r="463" spans="1:12" ht="25" customHeight="1">
      <c r="A463" s="2" t="s">
        <v>12</v>
      </c>
      <c r="B463" s="2" t="str">
        <f>HYPERLINK("http://www.12365auto.com/zlts/20200228/449178.shtml","广汽本田冠道高速行驶过程中发动机失速")</f>
        <v>广汽本田冠道高速行驶过程中发动机失速</v>
      </c>
      <c r="C463" s="2" t="s">
        <v>13</v>
      </c>
      <c r="D463" s="2" t="s">
        <v>12</v>
      </c>
      <c r="E463" s="2" t="s">
        <v>17</v>
      </c>
      <c r="F463" s="2" t="str">
        <f>HYPERLINK("http://www.12365auto.com/zlts/20200228/449178.shtml","http://www.12365auto.com/zlts/20200228/449178.shtml")</f>
        <v>http://www.12365auto.com/zlts/20200228/449178.shtml</v>
      </c>
      <c r="G463" s="2"/>
      <c r="H463" s="2" t="s">
        <v>786</v>
      </c>
      <c r="I463" s="2" t="s">
        <v>19</v>
      </c>
      <c r="J463" s="2" t="s">
        <v>12</v>
      </c>
      <c r="K463" s="2" t="s">
        <v>787</v>
      </c>
      <c r="L463" s="2">
        <f t="shared" si="7"/>
        <v>150</v>
      </c>
    </row>
    <row r="464" spans="1:12" ht="25" customHeight="1">
      <c r="A464" s="2" t="s">
        <v>12</v>
      </c>
      <c r="B464" s="2" t="str">
        <f>HYPERLINK("http://www.12365auto.com/zlts/20200228/449177.shtml","一汽大众奥迪A4L节温器漏防冻液严重")</f>
        <v>一汽大众奥迪A4L节温器漏防冻液严重</v>
      </c>
      <c r="C464" s="2" t="s">
        <v>13</v>
      </c>
      <c r="D464" s="2" t="s">
        <v>12</v>
      </c>
      <c r="E464" s="2" t="s">
        <v>17</v>
      </c>
      <c r="F464" s="2" t="str">
        <f>HYPERLINK("http://www.12365auto.com/zlts/20200228/449177.shtml","http://www.12365auto.com/zlts/20200228/449177.shtml")</f>
        <v>http://www.12365auto.com/zlts/20200228/449177.shtml</v>
      </c>
      <c r="G464" s="2"/>
      <c r="H464" s="2" t="s">
        <v>788</v>
      </c>
      <c r="I464" s="2" t="s">
        <v>15</v>
      </c>
      <c r="J464" s="2" t="s">
        <v>12</v>
      </c>
      <c r="K464" s="2" t="s">
        <v>789</v>
      </c>
      <c r="L464" s="2">
        <f t="shared" si="7"/>
        <v>150</v>
      </c>
    </row>
    <row r="465" spans="1:12" ht="25" customHeight="1">
      <c r="A465" s="2" t="s">
        <v>12</v>
      </c>
      <c r="B465" s="2" t="str">
        <f>HYPERLINK("http://www.12365auto.com/zlts/20200228/449176.shtml","一汽大众奥迪Q5节温器漏防冻液希望处理")</f>
        <v>一汽大众奥迪Q5节温器漏防冻液希望处理</v>
      </c>
      <c r="C465" s="2" t="s">
        <v>13</v>
      </c>
      <c r="D465" s="2" t="s">
        <v>12</v>
      </c>
      <c r="E465" s="2" t="s">
        <v>17</v>
      </c>
      <c r="F465" s="2" t="str">
        <f>HYPERLINK("http://www.12365auto.com/zlts/20200228/449176.shtml","http://www.12365auto.com/zlts/20200228/449176.shtml")</f>
        <v>http://www.12365auto.com/zlts/20200228/449176.shtml</v>
      </c>
      <c r="G465" s="2"/>
      <c r="H465" s="2" t="s">
        <v>790</v>
      </c>
      <c r="I465" s="2" t="s">
        <v>19</v>
      </c>
      <c r="J465" s="2" t="s">
        <v>12</v>
      </c>
      <c r="K465" s="2" t="s">
        <v>791</v>
      </c>
      <c r="L465" s="2">
        <f t="shared" si="7"/>
        <v>150</v>
      </c>
    </row>
    <row r="466" spans="1:12" ht="25" customHeight="1">
      <c r="A466" s="2" t="s">
        <v>12</v>
      </c>
      <c r="B466" s="2" t="str">
        <f>HYPERLINK("http://www.12365auto.com/zlts/20200228/449175.shtml","宝骏560车门生锈起皮严重影响美观")</f>
        <v>宝骏560车门生锈起皮严重影响美观</v>
      </c>
      <c r="C466" s="2" t="s">
        <v>13</v>
      </c>
      <c r="D466" s="2" t="s">
        <v>12</v>
      </c>
      <c r="E466" s="2" t="s">
        <v>17</v>
      </c>
      <c r="F466" s="2" t="str">
        <f>HYPERLINK("http://www.12365auto.com/zlts/20200228/449175.shtml","http://www.12365auto.com/zlts/20200228/449175.shtml")</f>
        <v>http://www.12365auto.com/zlts/20200228/449175.shtml</v>
      </c>
      <c r="G466" s="2"/>
      <c r="H466" s="2" t="s">
        <v>792</v>
      </c>
      <c r="I466" s="2" t="s">
        <v>19</v>
      </c>
      <c r="J466" s="2" t="s">
        <v>12</v>
      </c>
      <c r="K466" s="2" t="s">
        <v>793</v>
      </c>
      <c r="L466" s="2">
        <f t="shared" si="7"/>
        <v>150</v>
      </c>
    </row>
    <row r="467" spans="1:12" ht="25" customHeight="1">
      <c r="A467" s="2" t="s">
        <v>12</v>
      </c>
      <c r="B467" s="2" t="str">
        <f>HYPERLINK("http://bbs.12365auto.com/postcontent.aspx?tId=195505","汽车只买交强险会有什么后果")</f>
        <v>汽车只买交强险会有什么后果</v>
      </c>
      <c r="C467" s="2" t="s">
        <v>13</v>
      </c>
      <c r="D467" s="2" t="s">
        <v>12</v>
      </c>
      <c r="E467" s="2" t="s">
        <v>27</v>
      </c>
      <c r="F467" s="2" t="str">
        <f>HYPERLINK("http://bbs.12365auto.com/postcontent.aspx?tId=195505","http://bbs.12365auto.com/postcontent.aspx?tId=195505")</f>
        <v>http://bbs.12365auto.com/postcontent.aspx?tId=195505</v>
      </c>
      <c r="G467" s="2"/>
      <c r="H467" s="2" t="s">
        <v>794</v>
      </c>
      <c r="I467" s="2" t="s">
        <v>15</v>
      </c>
      <c r="J467" s="2" t="s">
        <v>795</v>
      </c>
      <c r="K467" s="2" t="s">
        <v>796</v>
      </c>
      <c r="L467" s="2">
        <f t="shared" si="7"/>
        <v>150</v>
      </c>
    </row>
    <row r="468" spans="1:12" ht="25" customHeight="1">
      <c r="A468" s="2" t="s">
        <v>12</v>
      </c>
      <c r="B468" s="2" t="str">
        <f>HYPERLINK("http://m.12365auto.com/bbs/postcontent.aspx?tID=195505","汽车只买交强险会有什么后果")</f>
        <v>汽车只买交强险会有什么后果</v>
      </c>
      <c r="C468" s="2" t="s">
        <v>13</v>
      </c>
      <c r="D468" s="2" t="s">
        <v>23</v>
      </c>
      <c r="E468" s="2"/>
      <c r="F468" s="2" t="str">
        <f>HYPERLINK("http://m.12365auto.com/bbs/postcontent.aspx?tID=195505","http://m.12365auto.com/bbs/postcontent.aspx?tID=195505")</f>
        <v>http://m.12365auto.com/bbs/postcontent.aspx?tID=195505</v>
      </c>
      <c r="G468" s="2"/>
      <c r="H468" s="2" t="s">
        <v>794</v>
      </c>
      <c r="I468" s="2" t="s">
        <v>15</v>
      </c>
      <c r="J468" s="2" t="s">
        <v>795</v>
      </c>
      <c r="K468" s="2" t="s">
        <v>796</v>
      </c>
      <c r="L468" s="2">
        <f t="shared" si="7"/>
        <v>150</v>
      </c>
    </row>
    <row r="469" spans="1:12" ht="25" customHeight="1">
      <c r="A469" s="2" t="s">
        <v>12</v>
      </c>
      <c r="B469" s="2" t="str">
        <f>HYPERLINK("http://bbs.12365auto.com/postcontent.aspx?tID=195505","汽车只买交强险会有什么后果")</f>
        <v>汽车只买交强险会有什么后果</v>
      </c>
      <c r="C469" s="2" t="s">
        <v>13</v>
      </c>
      <c r="D469" s="2" t="s">
        <v>12</v>
      </c>
      <c r="E469" s="2" t="s">
        <v>28</v>
      </c>
      <c r="F469" s="2" t="str">
        <f>HYPERLINK("http://bbs.12365auto.com/postcontent.aspx?tID=195505","http://bbs.12365auto.com/postcontent.aspx?tID=195505")</f>
        <v>http://bbs.12365auto.com/postcontent.aspx?tID=195505</v>
      </c>
      <c r="G469" s="2"/>
      <c r="H469" s="2" t="s">
        <v>797</v>
      </c>
      <c r="I469" s="2" t="s">
        <v>15</v>
      </c>
      <c r="J469" s="2" t="s">
        <v>795</v>
      </c>
      <c r="K469" s="2" t="s">
        <v>796</v>
      </c>
      <c r="L469" s="2">
        <f t="shared" si="7"/>
        <v>150</v>
      </c>
    </row>
    <row r="470" spans="1:12" ht="25" customHeight="1">
      <c r="A470" s="2" t="s">
        <v>12</v>
      </c>
      <c r="B470" s="2" t="str">
        <f>HYPERLINK("http://bbs.12365auto.com/postcontent.aspx?tId=195502","2019最新城市汽车保有量出炉")</f>
        <v>2019最新城市汽车保有量出炉</v>
      </c>
      <c r="C470" s="2" t="s">
        <v>13</v>
      </c>
      <c r="D470" s="2" t="s">
        <v>12</v>
      </c>
      <c r="E470" s="2" t="s">
        <v>27</v>
      </c>
      <c r="F470" s="2" t="str">
        <f>HYPERLINK("http://bbs.12365auto.com/postcontent.aspx?tId=195502","http://bbs.12365auto.com/postcontent.aspx?tId=195502")</f>
        <v>http://bbs.12365auto.com/postcontent.aspx?tId=195502</v>
      </c>
      <c r="G470" s="2"/>
      <c r="H470" s="2" t="s">
        <v>798</v>
      </c>
      <c r="I470" s="2" t="s">
        <v>15</v>
      </c>
      <c r="J470" s="2" t="s">
        <v>795</v>
      </c>
      <c r="K470" s="2" t="s">
        <v>799</v>
      </c>
      <c r="L470" s="2">
        <f t="shared" si="7"/>
        <v>150</v>
      </c>
    </row>
    <row r="471" spans="1:12" ht="25" customHeight="1">
      <c r="A471" s="2" t="s">
        <v>12</v>
      </c>
      <c r="B471" s="2" t="str">
        <f>HYPERLINK("http://bbs.12365auto.com/postcontent.aspx?tId=195504","汽车头枕为什么怎么调整都不舒服")</f>
        <v>汽车头枕为什么怎么调整都不舒服</v>
      </c>
      <c r="C471" s="2" t="s">
        <v>13</v>
      </c>
      <c r="D471" s="2" t="s">
        <v>12</v>
      </c>
      <c r="E471" s="2" t="s">
        <v>27</v>
      </c>
      <c r="F471" s="2" t="str">
        <f>HYPERLINK("http://bbs.12365auto.com/postcontent.aspx?tId=195504","http://bbs.12365auto.com/postcontent.aspx?tId=195504")</f>
        <v>http://bbs.12365auto.com/postcontent.aspx?tId=195504</v>
      </c>
      <c r="G471" s="2"/>
      <c r="H471" s="2" t="s">
        <v>800</v>
      </c>
      <c r="I471" s="2" t="s">
        <v>15</v>
      </c>
      <c r="J471" s="2" t="s">
        <v>795</v>
      </c>
      <c r="K471" s="2" t="s">
        <v>799</v>
      </c>
      <c r="L471" s="2">
        <f t="shared" si="7"/>
        <v>150</v>
      </c>
    </row>
    <row r="472" spans="1:12" ht="25" customHeight="1">
      <c r="A472" s="2" t="s">
        <v>12</v>
      </c>
      <c r="B472" s="2" t="str">
        <f>HYPERLINK("http://bbs.12365auto.com/postcontent.aspx?tId=195503","纯电动汽车续航里程里面都有水分吗")</f>
        <v>纯电动汽车续航里程里面都有水分吗</v>
      </c>
      <c r="C472" s="2" t="s">
        <v>13</v>
      </c>
      <c r="D472" s="2" t="s">
        <v>12</v>
      </c>
      <c r="E472" s="2" t="s">
        <v>27</v>
      </c>
      <c r="F472" s="2" t="str">
        <f>HYPERLINK("http://bbs.12365auto.com/postcontent.aspx?tId=195503","http://bbs.12365auto.com/postcontent.aspx?tId=195503")</f>
        <v>http://bbs.12365auto.com/postcontent.aspx?tId=195503</v>
      </c>
      <c r="G472" s="2"/>
      <c r="H472" s="2" t="s">
        <v>801</v>
      </c>
      <c r="I472" s="2" t="s">
        <v>15</v>
      </c>
      <c r="J472" s="2" t="s">
        <v>795</v>
      </c>
      <c r="K472" s="2" t="s">
        <v>799</v>
      </c>
      <c r="L472" s="2">
        <f t="shared" si="7"/>
        <v>150</v>
      </c>
    </row>
    <row r="473" spans="1:12" ht="25" customHeight="1">
      <c r="A473" s="2" t="s">
        <v>12</v>
      </c>
      <c r="B473" s="2" t="str">
        <f>HYPERLINK("http://m.12365auto.com/bbs/postcontent.aspx?tID=195504","汽车头枕为什么怎么调整都不舒服")</f>
        <v>汽车头枕为什么怎么调整都不舒服</v>
      </c>
      <c r="C473" s="2" t="s">
        <v>13</v>
      </c>
      <c r="D473" s="2" t="s">
        <v>23</v>
      </c>
      <c r="E473" s="2"/>
      <c r="F473" s="2" t="str">
        <f>HYPERLINK("http://m.12365auto.com/bbs/postcontent.aspx?tID=195504","http://m.12365auto.com/bbs/postcontent.aspx?tID=195504")</f>
        <v>http://m.12365auto.com/bbs/postcontent.aspx?tID=195504</v>
      </c>
      <c r="G473" s="2"/>
      <c r="H473" s="2" t="s">
        <v>800</v>
      </c>
      <c r="I473" s="2" t="s">
        <v>15</v>
      </c>
      <c r="J473" s="2" t="s">
        <v>795</v>
      </c>
      <c r="K473" s="2" t="s">
        <v>799</v>
      </c>
      <c r="L473" s="2">
        <f t="shared" si="7"/>
        <v>150</v>
      </c>
    </row>
    <row r="474" spans="1:12" ht="25" customHeight="1">
      <c r="A474" s="2" t="s">
        <v>12</v>
      </c>
      <c r="B474" s="2" t="str">
        <f>HYPERLINK("http://m.12365auto.com/bbs/postcontent.aspx?tID=195503","纯电动汽车续航里程里面都有水分吗")</f>
        <v>纯电动汽车续航里程里面都有水分吗</v>
      </c>
      <c r="C474" s="2" t="s">
        <v>13</v>
      </c>
      <c r="D474" s="2" t="s">
        <v>23</v>
      </c>
      <c r="E474" s="2"/>
      <c r="F474" s="2" t="str">
        <f>HYPERLINK("http://m.12365auto.com/bbs/postcontent.aspx?tID=195503","http://m.12365auto.com/bbs/postcontent.aspx?tID=195503")</f>
        <v>http://m.12365auto.com/bbs/postcontent.aspx?tID=195503</v>
      </c>
      <c r="G474" s="2"/>
      <c r="H474" s="2" t="s">
        <v>801</v>
      </c>
      <c r="I474" s="2" t="s">
        <v>15</v>
      </c>
      <c r="J474" s="2" t="s">
        <v>795</v>
      </c>
      <c r="K474" s="2" t="s">
        <v>799</v>
      </c>
      <c r="L474" s="2">
        <f t="shared" si="7"/>
        <v>150</v>
      </c>
    </row>
    <row r="475" spans="1:12" ht="25" customHeight="1">
      <c r="A475" s="2" t="s">
        <v>12</v>
      </c>
      <c r="B475" s="2" t="str">
        <f>HYPERLINK("http://m.12365auto.com/bbs/postcontent.aspx?tID=195502","2019最新城市汽车保有量出炉")</f>
        <v>2019最新城市汽车保有量出炉</v>
      </c>
      <c r="C475" s="2" t="s">
        <v>13</v>
      </c>
      <c r="D475" s="2" t="s">
        <v>23</v>
      </c>
      <c r="E475" s="2"/>
      <c r="F475" s="2" t="str">
        <f>HYPERLINK("http://m.12365auto.com/bbs/postcontent.aspx?tID=195502","http://m.12365auto.com/bbs/postcontent.aspx?tID=195502")</f>
        <v>http://m.12365auto.com/bbs/postcontent.aspx?tID=195502</v>
      </c>
      <c r="G475" s="2"/>
      <c r="H475" s="2" t="s">
        <v>798</v>
      </c>
      <c r="I475" s="2" t="s">
        <v>15</v>
      </c>
      <c r="J475" s="2" t="s">
        <v>795</v>
      </c>
      <c r="K475" s="2" t="s">
        <v>799</v>
      </c>
      <c r="L475" s="2">
        <f t="shared" si="7"/>
        <v>150</v>
      </c>
    </row>
    <row r="476" spans="1:12" ht="25" customHeight="1">
      <c r="A476" s="2" t="s">
        <v>12</v>
      </c>
      <c r="B476" s="2" t="str">
        <f>HYPERLINK("http://bbs.12365auto.com/postcontent.aspx?tID=195502","2019最新城市汽车保有量出炉")</f>
        <v>2019最新城市汽车保有量出炉</v>
      </c>
      <c r="C476" s="2" t="s">
        <v>13</v>
      </c>
      <c r="D476" s="2" t="s">
        <v>12</v>
      </c>
      <c r="E476" s="2" t="s">
        <v>28</v>
      </c>
      <c r="F476" s="2" t="str">
        <f>HYPERLINK("http://bbs.12365auto.com/postcontent.aspx?tID=195502","http://bbs.12365auto.com/postcontent.aspx?tID=195502")</f>
        <v>http://bbs.12365auto.com/postcontent.aspx?tID=195502</v>
      </c>
      <c r="G476" s="2"/>
      <c r="H476" s="2" t="s">
        <v>802</v>
      </c>
      <c r="I476" s="2" t="s">
        <v>15</v>
      </c>
      <c r="J476" s="2" t="s">
        <v>795</v>
      </c>
      <c r="K476" s="2" t="s">
        <v>799</v>
      </c>
      <c r="L476" s="2">
        <f t="shared" si="7"/>
        <v>150</v>
      </c>
    </row>
    <row r="477" spans="1:12" ht="25" customHeight="1">
      <c r="A477" s="2" t="s">
        <v>12</v>
      </c>
      <c r="B477" s="2" t="str">
        <f>HYPERLINK("http://bbs.12365auto.com/postcontent.aspx?tID=195503","纯电动汽车续航里程里面都有水分吗")</f>
        <v>纯电动汽车续航里程里面都有水分吗</v>
      </c>
      <c r="C477" s="2" t="s">
        <v>13</v>
      </c>
      <c r="D477" s="2" t="s">
        <v>12</v>
      </c>
      <c r="E477" s="2" t="s">
        <v>28</v>
      </c>
      <c r="F477" s="2" t="str">
        <f>HYPERLINK("http://bbs.12365auto.com/postcontent.aspx?tID=195503","http://bbs.12365auto.com/postcontent.aspx?tID=195503")</f>
        <v>http://bbs.12365auto.com/postcontent.aspx?tID=195503</v>
      </c>
      <c r="G477" s="2"/>
      <c r="H477" s="2" t="s">
        <v>803</v>
      </c>
      <c r="I477" s="2" t="s">
        <v>15</v>
      </c>
      <c r="J477" s="2" t="s">
        <v>795</v>
      </c>
      <c r="K477" s="2" t="s">
        <v>799</v>
      </c>
      <c r="L477" s="2">
        <f t="shared" si="7"/>
        <v>150</v>
      </c>
    </row>
    <row r="478" spans="1:12" ht="25" customHeight="1">
      <c r="A478" s="2" t="s">
        <v>12</v>
      </c>
      <c r="B478" s="2" t="str">
        <f>HYPERLINK("http://bbs.12365auto.com/postcontent.aspx?tID=195504","汽车头枕为什么怎么调整都不舒服")</f>
        <v>汽车头枕为什么怎么调整都不舒服</v>
      </c>
      <c r="C478" s="2" t="s">
        <v>13</v>
      </c>
      <c r="D478" s="2" t="s">
        <v>12</v>
      </c>
      <c r="E478" s="2" t="s">
        <v>28</v>
      </c>
      <c r="F478" s="2" t="str">
        <f>HYPERLINK("http://bbs.12365auto.com/postcontent.aspx?tID=195504","http://bbs.12365auto.com/postcontent.aspx?tID=195504")</f>
        <v>http://bbs.12365auto.com/postcontent.aspx?tID=195504</v>
      </c>
      <c r="G478" s="2"/>
      <c r="H478" s="2" t="s">
        <v>804</v>
      </c>
      <c r="I478" s="2" t="s">
        <v>15</v>
      </c>
      <c r="J478" s="2" t="s">
        <v>795</v>
      </c>
      <c r="K478" s="2" t="s">
        <v>799</v>
      </c>
      <c r="L478" s="2">
        <f t="shared" si="7"/>
        <v>150</v>
      </c>
    </row>
    <row r="479" spans="1:12" ht="25" customHeight="1">
      <c r="A479" s="2" t="s">
        <v>12</v>
      </c>
      <c r="B479" s="2" t="str">
        <f>HYPERLINK("http://bbs.12365auto.com/postcontent.aspx?tId=195500","这些关于电瓶的小知识你一定要知道")</f>
        <v>这些关于电瓶的小知识你一定要知道</v>
      </c>
      <c r="C479" s="2" t="s">
        <v>13</v>
      </c>
      <c r="D479" s="2" t="s">
        <v>12</v>
      </c>
      <c r="E479" s="2" t="s">
        <v>27</v>
      </c>
      <c r="F479" s="2" t="str">
        <f>HYPERLINK("http://bbs.12365auto.com/postcontent.aspx?tId=195500","http://bbs.12365auto.com/postcontent.aspx?tId=195500")</f>
        <v>http://bbs.12365auto.com/postcontent.aspx?tId=195500</v>
      </c>
      <c r="G479" s="2"/>
      <c r="H479" s="2" t="s">
        <v>805</v>
      </c>
      <c r="I479" s="2" t="s">
        <v>15</v>
      </c>
      <c r="J479" s="2" t="s">
        <v>795</v>
      </c>
      <c r="K479" s="2" t="s">
        <v>806</v>
      </c>
      <c r="L479" s="2">
        <f t="shared" si="7"/>
        <v>150</v>
      </c>
    </row>
    <row r="480" spans="1:12" ht="25" customHeight="1">
      <c r="A480" s="2" t="s">
        <v>12</v>
      </c>
      <c r="B480" s="2" t="str">
        <f>HYPERLINK("http://bbs.12365auto.com/postcontent.aspx?tId=195501","都有第三排座椅 6座和7座SUV究竟应该怎么选")</f>
        <v>都有第三排座椅 6座和7座SUV究竟应该怎么选</v>
      </c>
      <c r="C480" s="2" t="s">
        <v>13</v>
      </c>
      <c r="D480" s="2" t="s">
        <v>12</v>
      </c>
      <c r="E480" s="2" t="s">
        <v>27</v>
      </c>
      <c r="F480" s="2" t="str">
        <f>HYPERLINK("http://bbs.12365auto.com/postcontent.aspx?tId=195501","http://bbs.12365auto.com/postcontent.aspx?tId=195501")</f>
        <v>http://bbs.12365auto.com/postcontent.aspx?tId=195501</v>
      </c>
      <c r="G480" s="2"/>
      <c r="H480" s="2" t="s">
        <v>807</v>
      </c>
      <c r="I480" s="2" t="s">
        <v>15</v>
      </c>
      <c r="J480" s="2" t="s">
        <v>795</v>
      </c>
      <c r="K480" s="2" t="s">
        <v>806</v>
      </c>
      <c r="L480" s="2">
        <f t="shared" si="7"/>
        <v>150</v>
      </c>
    </row>
    <row r="481" spans="1:12" ht="25" customHeight="1">
      <c r="A481" s="2" t="s">
        <v>12</v>
      </c>
      <c r="B481" s="2" t="str">
        <f>HYPERLINK("http://bbs.12365auto.com/postcontent.aspx?tId=195499","大众MQB宝马CLAR 你还知道有哪些汽车平台")</f>
        <v>大众MQB宝马CLAR 你还知道有哪些汽车平台</v>
      </c>
      <c r="C481" s="2" t="s">
        <v>13</v>
      </c>
      <c r="D481" s="2" t="s">
        <v>12</v>
      </c>
      <c r="E481" s="2" t="s">
        <v>27</v>
      </c>
      <c r="F481" s="2" t="str">
        <f>HYPERLINK("http://bbs.12365auto.com/postcontent.aspx?tId=195499","http://bbs.12365auto.com/postcontent.aspx?tId=195499")</f>
        <v>http://bbs.12365auto.com/postcontent.aspx?tId=195499</v>
      </c>
      <c r="G481" s="2"/>
      <c r="H481" s="2" t="s">
        <v>808</v>
      </c>
      <c r="I481" s="2" t="s">
        <v>15</v>
      </c>
      <c r="J481" s="2" t="s">
        <v>795</v>
      </c>
      <c r="K481" s="2" t="s">
        <v>806</v>
      </c>
      <c r="L481" s="2">
        <f t="shared" si="7"/>
        <v>150</v>
      </c>
    </row>
    <row r="482" spans="1:12" ht="25" customHeight="1">
      <c r="A482" s="2" t="s">
        <v>12</v>
      </c>
      <c r="B482" s="2" t="str">
        <f>HYPERLINK("http://m.12365auto.com/bbs/postcontent.aspx?tID=195501","都有第三排座椅 6座和7座SUV究竟应该怎么选")</f>
        <v>都有第三排座椅 6座和7座SUV究竟应该怎么选</v>
      </c>
      <c r="C482" s="2" t="s">
        <v>13</v>
      </c>
      <c r="D482" s="2" t="s">
        <v>23</v>
      </c>
      <c r="E482" s="2"/>
      <c r="F482" s="2" t="str">
        <f>HYPERLINK("http://m.12365auto.com/bbs/postcontent.aspx?tID=195501","http://m.12365auto.com/bbs/postcontent.aspx?tID=195501")</f>
        <v>http://m.12365auto.com/bbs/postcontent.aspx?tID=195501</v>
      </c>
      <c r="G482" s="2"/>
      <c r="H482" s="2" t="s">
        <v>807</v>
      </c>
      <c r="I482" s="2" t="s">
        <v>15</v>
      </c>
      <c r="J482" s="2" t="s">
        <v>795</v>
      </c>
      <c r="K482" s="2" t="s">
        <v>806</v>
      </c>
      <c r="L482" s="2">
        <f t="shared" si="7"/>
        <v>150</v>
      </c>
    </row>
    <row r="483" spans="1:12" ht="25" customHeight="1">
      <c r="A483" s="2" t="s">
        <v>12</v>
      </c>
      <c r="B483" s="2" t="str">
        <f>HYPERLINK("http://m.12365auto.com/bbs/postcontent.aspx?tID=195500","这些关于电瓶的小知识你一定要知道")</f>
        <v>这些关于电瓶的小知识你一定要知道</v>
      </c>
      <c r="C483" s="2" t="s">
        <v>13</v>
      </c>
      <c r="D483" s="2" t="s">
        <v>23</v>
      </c>
      <c r="E483" s="2"/>
      <c r="F483" s="2" t="str">
        <f>HYPERLINK("http://m.12365auto.com/bbs/postcontent.aspx?tID=195500","http://m.12365auto.com/bbs/postcontent.aspx?tID=195500")</f>
        <v>http://m.12365auto.com/bbs/postcontent.aspx?tID=195500</v>
      </c>
      <c r="G483" s="2"/>
      <c r="H483" s="2" t="s">
        <v>805</v>
      </c>
      <c r="I483" s="2" t="s">
        <v>15</v>
      </c>
      <c r="J483" s="2" t="s">
        <v>795</v>
      </c>
      <c r="K483" s="2" t="s">
        <v>806</v>
      </c>
      <c r="L483" s="2">
        <f t="shared" si="7"/>
        <v>150</v>
      </c>
    </row>
    <row r="484" spans="1:12" ht="25" customHeight="1">
      <c r="A484" s="2" t="s">
        <v>12</v>
      </c>
      <c r="B484" s="2" t="str">
        <f>HYPERLINK("http://m.12365auto.com/bbs/postcontent.aspx?tID=195499","大众MQB宝马CLAR 你还知道有哪些汽车平台")</f>
        <v>大众MQB宝马CLAR 你还知道有哪些汽车平台</v>
      </c>
      <c r="C484" s="2" t="s">
        <v>13</v>
      </c>
      <c r="D484" s="2" t="s">
        <v>23</v>
      </c>
      <c r="E484" s="2"/>
      <c r="F484" s="2" t="str">
        <f>HYPERLINK("http://m.12365auto.com/bbs/postcontent.aspx?tID=195499","http://m.12365auto.com/bbs/postcontent.aspx?tID=195499")</f>
        <v>http://m.12365auto.com/bbs/postcontent.aspx?tID=195499</v>
      </c>
      <c r="G484" s="2"/>
      <c r="H484" s="2" t="s">
        <v>808</v>
      </c>
      <c r="I484" s="2" t="s">
        <v>15</v>
      </c>
      <c r="J484" s="2" t="s">
        <v>795</v>
      </c>
      <c r="K484" s="2" t="s">
        <v>806</v>
      </c>
      <c r="L484" s="2">
        <f t="shared" si="7"/>
        <v>150</v>
      </c>
    </row>
    <row r="485" spans="1:12" ht="25" customHeight="1">
      <c r="A485" s="2" t="s">
        <v>12</v>
      </c>
      <c r="B485" s="2" t="str">
        <f>HYPERLINK("http://bbs.12365auto.com/postcontent.aspx?tID=195501","都有第三排座椅 6座和7座SUV究竟应该怎么选")</f>
        <v>都有第三排座椅 6座和7座SUV究竟应该怎么选</v>
      </c>
      <c r="C485" s="2" t="s">
        <v>13</v>
      </c>
      <c r="D485" s="2" t="s">
        <v>12</v>
      </c>
      <c r="E485" s="2" t="s">
        <v>28</v>
      </c>
      <c r="F485" s="2" t="str">
        <f>HYPERLINK("http://bbs.12365auto.com/postcontent.aspx?tID=195501","http://bbs.12365auto.com/postcontent.aspx?tID=195501")</f>
        <v>http://bbs.12365auto.com/postcontent.aspx?tID=195501</v>
      </c>
      <c r="G485" s="2"/>
      <c r="H485" s="2" t="s">
        <v>809</v>
      </c>
      <c r="I485" s="2" t="s">
        <v>15</v>
      </c>
      <c r="J485" s="2" t="s">
        <v>795</v>
      </c>
      <c r="K485" s="2" t="s">
        <v>806</v>
      </c>
      <c r="L485" s="2">
        <f t="shared" si="7"/>
        <v>150</v>
      </c>
    </row>
    <row r="486" spans="1:12" ht="25" customHeight="1">
      <c r="A486" s="2" t="s">
        <v>12</v>
      </c>
      <c r="B486" s="2" t="str">
        <f>HYPERLINK("http://bbs.12365auto.com/postcontent.aspx?tID=195500","这些关于电瓶的小知识你一定要知道")</f>
        <v>这些关于电瓶的小知识你一定要知道</v>
      </c>
      <c r="C486" s="2" t="s">
        <v>13</v>
      </c>
      <c r="D486" s="2" t="s">
        <v>12</v>
      </c>
      <c r="E486" s="2" t="s">
        <v>28</v>
      </c>
      <c r="F486" s="2" t="str">
        <f>HYPERLINK("http://bbs.12365auto.com/postcontent.aspx?tID=195500","http://bbs.12365auto.com/postcontent.aspx?tID=195500")</f>
        <v>http://bbs.12365auto.com/postcontent.aspx?tID=195500</v>
      </c>
      <c r="G486" s="2"/>
      <c r="H486" s="2" t="s">
        <v>810</v>
      </c>
      <c r="I486" s="2" t="s">
        <v>15</v>
      </c>
      <c r="J486" s="2" t="s">
        <v>795</v>
      </c>
      <c r="K486" s="2" t="s">
        <v>806</v>
      </c>
      <c r="L486" s="2">
        <f t="shared" si="7"/>
        <v>150</v>
      </c>
    </row>
    <row r="487" spans="1:12" ht="25" customHeight="1">
      <c r="A487" s="2" t="s">
        <v>12</v>
      </c>
      <c r="B487" s="2" t="str">
        <f>HYPERLINK("http://bbs.12365auto.com/postcontent.aspx?tID=195499","大众MQB宝马CLAR 你还知道有哪些汽车平台")</f>
        <v>大众MQB宝马CLAR 你还知道有哪些汽车平台</v>
      </c>
      <c r="C487" s="2" t="s">
        <v>13</v>
      </c>
      <c r="D487" s="2" t="s">
        <v>12</v>
      </c>
      <c r="E487" s="2" t="s">
        <v>28</v>
      </c>
      <c r="F487" s="2" t="str">
        <f>HYPERLINK("http://bbs.12365auto.com/postcontent.aspx?tID=195499","http://bbs.12365auto.com/postcontent.aspx?tID=195499")</f>
        <v>http://bbs.12365auto.com/postcontent.aspx?tID=195499</v>
      </c>
      <c r="G487" s="2"/>
      <c r="H487" s="2" t="s">
        <v>811</v>
      </c>
      <c r="I487" s="2" t="s">
        <v>15</v>
      </c>
      <c r="J487" s="2" t="s">
        <v>795</v>
      </c>
      <c r="K487" s="2" t="s">
        <v>806</v>
      </c>
      <c r="L487" s="2">
        <f t="shared" si="7"/>
        <v>150</v>
      </c>
    </row>
    <row r="488" spans="1:12" ht="25" customHeight="1">
      <c r="A488" s="2" t="s">
        <v>12</v>
      </c>
      <c r="B488" s="2" t="str">
        <f>HYPERLINK("http://m.12365auto.com/zjdy/20200228/121730.shtml","标致308进气压力传感器需要多少钱？")</f>
        <v>标致308进气压力传感器需要多少钱？</v>
      </c>
      <c r="C488" s="2" t="s">
        <v>13</v>
      </c>
      <c r="D488" s="2" t="s">
        <v>12</v>
      </c>
      <c r="E488" s="2"/>
      <c r="F488" s="2" t="str">
        <f>HYPERLINK("http://m.12365auto.com/zjdy/20200228/121730.shtml","http://m.12365auto.com/zjdy/20200228/121730.shtml")</f>
        <v>http://m.12365auto.com/zjdy/20200228/121730.shtml</v>
      </c>
      <c r="G488" s="2"/>
      <c r="H488" s="2" t="s">
        <v>812</v>
      </c>
      <c r="I488" s="2" t="s">
        <v>19</v>
      </c>
      <c r="J488" s="2" t="s">
        <v>12</v>
      </c>
      <c r="K488" s="2" t="s">
        <v>813</v>
      </c>
      <c r="L488" s="2">
        <f t="shared" si="7"/>
        <v>41</v>
      </c>
    </row>
    <row r="489" spans="1:12" ht="25" customHeight="1">
      <c r="A489" s="2" t="s">
        <v>12</v>
      </c>
      <c r="B489" s="2" t="str">
        <f>HYPERLINK("http://bbs.12365auto.com/postcontent.aspx?tId=195498","机械艺术之美 车与表的融合")</f>
        <v>机械艺术之美 车与表的融合</v>
      </c>
      <c r="C489" s="2" t="s">
        <v>13</v>
      </c>
      <c r="D489" s="2" t="s">
        <v>12</v>
      </c>
      <c r="E489" s="2" t="s">
        <v>27</v>
      </c>
      <c r="F489" s="2" t="str">
        <f>HYPERLINK("http://bbs.12365auto.com/postcontent.aspx?tId=195498","http://bbs.12365auto.com/postcontent.aspx?tId=195498")</f>
        <v>http://bbs.12365auto.com/postcontent.aspx?tId=195498</v>
      </c>
      <c r="G489" s="2"/>
      <c r="H489" s="2" t="s">
        <v>814</v>
      </c>
      <c r="I489" s="2" t="s">
        <v>15</v>
      </c>
      <c r="J489" s="2" t="s">
        <v>795</v>
      </c>
      <c r="K489" s="2" t="s">
        <v>815</v>
      </c>
      <c r="L489" s="2">
        <f t="shared" si="7"/>
        <v>150</v>
      </c>
    </row>
    <row r="490" spans="1:12" ht="25" customHeight="1">
      <c r="A490" s="2" t="s">
        <v>12</v>
      </c>
      <c r="B490" s="2" t="str">
        <f>HYPERLINK("http://m.12365auto.com/bbs/postcontent.aspx?tID=195498","机械艺术之美 车与表的融合")</f>
        <v>机械艺术之美 车与表的融合</v>
      </c>
      <c r="C490" s="2" t="s">
        <v>13</v>
      </c>
      <c r="D490" s="2" t="s">
        <v>23</v>
      </c>
      <c r="E490" s="2"/>
      <c r="F490" s="2" t="str">
        <f>HYPERLINK("http://m.12365auto.com/bbs/postcontent.aspx?tID=195498","http://m.12365auto.com/bbs/postcontent.aspx?tID=195498")</f>
        <v>http://m.12365auto.com/bbs/postcontent.aspx?tID=195498</v>
      </c>
      <c r="G490" s="2"/>
      <c r="H490" s="2" t="s">
        <v>814</v>
      </c>
      <c r="I490" s="2" t="s">
        <v>15</v>
      </c>
      <c r="J490" s="2" t="s">
        <v>795</v>
      </c>
      <c r="K490" s="2" t="s">
        <v>815</v>
      </c>
      <c r="L490" s="2">
        <f t="shared" si="7"/>
        <v>150</v>
      </c>
    </row>
    <row r="491" spans="1:12" ht="25" customHeight="1">
      <c r="A491" s="2" t="s">
        <v>12</v>
      </c>
      <c r="B491" s="2" t="str">
        <f>HYPERLINK("http://bbs.12365auto.com/postcontent.aspx?tID=195498","机械艺术之美 车与表的融合")</f>
        <v>机械艺术之美 车与表的融合</v>
      </c>
      <c r="C491" s="2" t="s">
        <v>13</v>
      </c>
      <c r="D491" s="2" t="s">
        <v>12</v>
      </c>
      <c r="E491" s="2" t="s">
        <v>28</v>
      </c>
      <c r="F491" s="2" t="str">
        <f>HYPERLINK("http://bbs.12365auto.com/postcontent.aspx?tID=195498","http://bbs.12365auto.com/postcontent.aspx?tID=195498")</f>
        <v>http://bbs.12365auto.com/postcontent.aspx?tID=195498</v>
      </c>
      <c r="G491" s="2"/>
      <c r="H491" s="2" t="s">
        <v>816</v>
      </c>
      <c r="I491" s="2" t="s">
        <v>15</v>
      </c>
      <c r="J491" s="2" t="s">
        <v>795</v>
      </c>
      <c r="K491" s="2" t="s">
        <v>815</v>
      </c>
      <c r="L491" s="2">
        <f t="shared" si="7"/>
        <v>150</v>
      </c>
    </row>
    <row r="492" spans="1:12" ht="25" customHeight="1">
      <c r="A492" s="2" t="s">
        <v>12</v>
      </c>
      <c r="B492" s="2" t="str">
        <f>HYPERLINK("http://bbs.12365auto.com/postcontent.aspx?tId=195497","放弃轿车直奔SUV 2019年欧洲人都爱买什么车")</f>
        <v>放弃轿车直奔SUV 2019年欧洲人都爱买什么车</v>
      </c>
      <c r="C492" s="2" t="s">
        <v>13</v>
      </c>
      <c r="D492" s="2" t="s">
        <v>12</v>
      </c>
      <c r="E492" s="2" t="s">
        <v>27</v>
      </c>
      <c r="F492" s="2" t="str">
        <f>HYPERLINK("http://bbs.12365auto.com/postcontent.aspx?tId=195497","http://bbs.12365auto.com/postcontent.aspx?tId=195497")</f>
        <v>http://bbs.12365auto.com/postcontent.aspx?tId=195497</v>
      </c>
      <c r="G492" s="2"/>
      <c r="H492" s="2" t="s">
        <v>817</v>
      </c>
      <c r="I492" s="2" t="s">
        <v>15</v>
      </c>
      <c r="J492" s="2" t="s">
        <v>795</v>
      </c>
      <c r="K492" s="2" t="s">
        <v>818</v>
      </c>
      <c r="L492" s="2">
        <f t="shared" si="7"/>
        <v>150</v>
      </c>
    </row>
    <row r="493" spans="1:12" ht="25" customHeight="1">
      <c r="A493" s="2" t="s">
        <v>12</v>
      </c>
      <c r="B493" s="2" t="str">
        <f>HYPERLINK("http://m.12365auto.com/bbs/postcontent.aspx?tID=195497","放弃轿车直奔SUV 2019年欧洲人都爱买什么车")</f>
        <v>放弃轿车直奔SUV 2019年欧洲人都爱买什么车</v>
      </c>
      <c r="C493" s="2" t="s">
        <v>13</v>
      </c>
      <c r="D493" s="2" t="s">
        <v>23</v>
      </c>
      <c r="E493" s="2"/>
      <c r="F493" s="2" t="str">
        <f>HYPERLINK("http://m.12365auto.com/bbs/postcontent.aspx?tID=195497","http://m.12365auto.com/bbs/postcontent.aspx?tID=195497")</f>
        <v>http://m.12365auto.com/bbs/postcontent.aspx?tID=195497</v>
      </c>
      <c r="G493" s="2"/>
      <c r="H493" s="2" t="s">
        <v>817</v>
      </c>
      <c r="I493" s="2" t="s">
        <v>15</v>
      </c>
      <c r="J493" s="2" t="s">
        <v>795</v>
      </c>
      <c r="K493" s="2" t="s">
        <v>818</v>
      </c>
      <c r="L493" s="2">
        <f t="shared" si="7"/>
        <v>150</v>
      </c>
    </row>
    <row r="494" spans="1:12" ht="25" customHeight="1">
      <c r="A494" s="2" t="s">
        <v>12</v>
      </c>
      <c r="B494" s="2" t="str">
        <f>HYPERLINK("http://bbs.12365auto.com/postcontent.aspx?tID=195497","放弃轿车直奔SUV 2019年欧洲人都爱买什么车")</f>
        <v>放弃轿车直奔SUV 2019年欧洲人都爱买什么车</v>
      </c>
      <c r="C494" s="2" t="s">
        <v>13</v>
      </c>
      <c r="D494" s="2" t="s">
        <v>12</v>
      </c>
      <c r="E494" s="2" t="s">
        <v>28</v>
      </c>
      <c r="F494" s="2" t="str">
        <f>HYPERLINK("http://bbs.12365auto.com/postcontent.aspx?tID=195497","http://bbs.12365auto.com/postcontent.aspx?tID=195497")</f>
        <v>http://bbs.12365auto.com/postcontent.aspx?tID=195497</v>
      </c>
      <c r="G494" s="2"/>
      <c r="H494" s="2" t="s">
        <v>819</v>
      </c>
      <c r="I494" s="2" t="s">
        <v>15</v>
      </c>
      <c r="J494" s="2" t="s">
        <v>795</v>
      </c>
      <c r="K494" s="2" t="s">
        <v>818</v>
      </c>
      <c r="L494" s="2">
        <f t="shared" si="7"/>
        <v>150</v>
      </c>
    </row>
    <row r="495" spans="1:12" ht="25" customHeight="1">
      <c r="A495" s="2" t="s">
        <v>12</v>
      </c>
      <c r="B495" s="2" t="str">
        <f>HYPERLINK("http://bbs.12365auto.com/postcontent.aspx?tId=195496","简单还省钱 自己能操作的汽车养护")</f>
        <v>简单还省钱 自己能操作的汽车养护</v>
      </c>
      <c r="C495" s="2" t="s">
        <v>13</v>
      </c>
      <c r="D495" s="2" t="s">
        <v>12</v>
      </c>
      <c r="E495" s="2" t="s">
        <v>27</v>
      </c>
      <c r="F495" s="2" t="str">
        <f>HYPERLINK("http://bbs.12365auto.com/postcontent.aspx?tId=195496","http://bbs.12365auto.com/postcontent.aspx?tId=195496")</f>
        <v>http://bbs.12365auto.com/postcontent.aspx?tId=195496</v>
      </c>
      <c r="G495" s="2"/>
      <c r="H495" s="2" t="s">
        <v>820</v>
      </c>
      <c r="I495" s="2" t="s">
        <v>15</v>
      </c>
      <c r="J495" s="2" t="s">
        <v>795</v>
      </c>
      <c r="K495" s="2" t="s">
        <v>821</v>
      </c>
      <c r="L495" s="2">
        <f t="shared" si="7"/>
        <v>150</v>
      </c>
    </row>
    <row r="496" spans="1:12" ht="25" customHeight="1">
      <c r="A496" s="2" t="s">
        <v>12</v>
      </c>
      <c r="B496" s="2" t="str">
        <f>HYPERLINK("http://m.12365auto.com/bbs/postcontent.aspx?tID=195496","简单还省钱 自己能操作的汽车养护")</f>
        <v>简单还省钱 自己能操作的汽车养护</v>
      </c>
      <c r="C496" s="2" t="s">
        <v>13</v>
      </c>
      <c r="D496" s="2" t="s">
        <v>23</v>
      </c>
      <c r="E496" s="2"/>
      <c r="F496" s="2" t="str">
        <f>HYPERLINK("http://m.12365auto.com/bbs/postcontent.aspx?tID=195496","http://m.12365auto.com/bbs/postcontent.aspx?tID=195496")</f>
        <v>http://m.12365auto.com/bbs/postcontent.aspx?tID=195496</v>
      </c>
      <c r="G496" s="2"/>
      <c r="H496" s="2" t="s">
        <v>820</v>
      </c>
      <c r="I496" s="2" t="s">
        <v>15</v>
      </c>
      <c r="J496" s="2" t="s">
        <v>795</v>
      </c>
      <c r="K496" s="2" t="s">
        <v>821</v>
      </c>
      <c r="L496" s="2">
        <f t="shared" si="7"/>
        <v>150</v>
      </c>
    </row>
    <row r="497" spans="1:12" ht="25" customHeight="1">
      <c r="A497" s="2" t="s">
        <v>12</v>
      </c>
      <c r="B497" s="2" t="str">
        <f>HYPERLINK("http://bbs.12365auto.com/postcontent.aspx?tID=195496","简单还省钱 自己能操作的汽车养护")</f>
        <v>简单还省钱 自己能操作的汽车养护</v>
      </c>
      <c r="C497" s="2" t="s">
        <v>13</v>
      </c>
      <c r="D497" s="2" t="s">
        <v>12</v>
      </c>
      <c r="E497" s="2" t="s">
        <v>28</v>
      </c>
      <c r="F497" s="2" t="str">
        <f>HYPERLINK("http://bbs.12365auto.com/postcontent.aspx?tID=195496","http://bbs.12365auto.com/postcontent.aspx?tID=195496")</f>
        <v>http://bbs.12365auto.com/postcontent.aspx?tID=195496</v>
      </c>
      <c r="G497" s="2"/>
      <c r="H497" s="2" t="s">
        <v>822</v>
      </c>
      <c r="I497" s="2" t="s">
        <v>15</v>
      </c>
      <c r="J497" s="2" t="s">
        <v>795</v>
      </c>
      <c r="K497" s="2" t="s">
        <v>821</v>
      </c>
      <c r="L497" s="2">
        <f t="shared" si="7"/>
        <v>150</v>
      </c>
    </row>
    <row r="498" spans="1:12" ht="25" customHeight="1">
      <c r="A498" s="2" t="s">
        <v>12</v>
      </c>
      <c r="B498" s="2" t="str">
        <f>HYPERLINK("http://www.12365auto.com/zlts/20200228/449171.shtml","一汽大众速腾发动机高压油泵有异响")</f>
        <v>一汽大众速腾发动机高压油泵有异响</v>
      </c>
      <c r="C498" s="2" t="s">
        <v>13</v>
      </c>
      <c r="D498" s="2" t="s">
        <v>12</v>
      </c>
      <c r="E498" s="2" t="s">
        <v>17</v>
      </c>
      <c r="F498" s="2" t="str">
        <f>HYPERLINK("http://www.12365auto.com/zlts/20200228/449171.shtml","http://www.12365auto.com/zlts/20200228/449171.shtml")</f>
        <v>http://www.12365auto.com/zlts/20200228/449171.shtml</v>
      </c>
      <c r="G498" s="2"/>
      <c r="H498" s="2" t="s">
        <v>823</v>
      </c>
      <c r="I498" s="2" t="s">
        <v>19</v>
      </c>
      <c r="J498" s="2" t="s">
        <v>12</v>
      </c>
      <c r="K498" s="2" t="s">
        <v>824</v>
      </c>
      <c r="L498" s="2">
        <f t="shared" si="7"/>
        <v>150</v>
      </c>
    </row>
    <row r="499" spans="1:12" ht="25" customHeight="1">
      <c r="A499" s="2" t="s">
        <v>12</v>
      </c>
      <c r="B499" s="2" t="str">
        <f>HYPERLINK("http://www.12365auto.com/xcdg/20200228/419849.shtml","完全体进化 KTM X-BOW GTX官图发布")</f>
        <v>完全体进化 KTM X-BOW GTX官图发布</v>
      </c>
      <c r="C499" s="2" t="s">
        <v>13</v>
      </c>
      <c r="D499" s="2" t="s">
        <v>12</v>
      </c>
      <c r="E499" s="2" t="s">
        <v>216</v>
      </c>
      <c r="F499" s="2" t="str">
        <f>HYPERLINK("http://www.12365auto.com/xcdg/20200228/419849.shtml","http://www.12365auto.com/xcdg/20200228/419849.shtml")</f>
        <v>http://www.12365auto.com/xcdg/20200228/419849.shtml</v>
      </c>
      <c r="G499" s="2"/>
      <c r="H499" s="2" t="s">
        <v>825</v>
      </c>
      <c r="I499" s="2" t="s">
        <v>15</v>
      </c>
      <c r="J499" s="2" t="s">
        <v>12</v>
      </c>
      <c r="K499" s="2" t="s">
        <v>826</v>
      </c>
      <c r="L499" s="2">
        <f t="shared" si="7"/>
        <v>150</v>
      </c>
    </row>
    <row r="500" spans="1:12" ht="25" customHeight="1">
      <c r="A500" s="2" t="s">
        <v>12</v>
      </c>
      <c r="B500" s="2" t="str">
        <f>HYPERLINK("http://www.12365auto.com/xcdg/20200228/419870.shtml","广汽丰田威兰达上市 售价17.18-24.18万元")</f>
        <v>广汽丰田威兰达上市 售价17.18-24.18万元</v>
      </c>
      <c r="C500" s="2" t="s">
        <v>13</v>
      </c>
      <c r="D500" s="2" t="s">
        <v>12</v>
      </c>
      <c r="E500" s="2" t="s">
        <v>245</v>
      </c>
      <c r="F500" s="2" t="str">
        <f>HYPERLINK("http://www.12365auto.com/xcdg/20200228/419870.shtml","http://www.12365auto.com/xcdg/20200228/419870.shtml")</f>
        <v>http://www.12365auto.com/xcdg/20200228/419870.shtml</v>
      </c>
      <c r="G500" s="2"/>
      <c r="H500" s="2" t="s">
        <v>827</v>
      </c>
      <c r="I500" s="2" t="s">
        <v>19</v>
      </c>
      <c r="J500" s="2" t="s">
        <v>12</v>
      </c>
      <c r="K500" s="2" t="s">
        <v>826</v>
      </c>
      <c r="L500" s="2">
        <f t="shared" si="7"/>
        <v>150</v>
      </c>
    </row>
    <row r="501" spans="1:12" ht="25" customHeight="1">
      <c r="A501" s="2" t="s">
        <v>12</v>
      </c>
      <c r="B501" s="2" t="str">
        <f>HYPERLINK("http://m.12365auto.com/xcdg/20200228/419849.shtml","完全体进化 KTM X-BOW GTX官图发布")</f>
        <v>完全体进化 KTM X-BOW GTX官图发布</v>
      </c>
      <c r="C501" s="2" t="s">
        <v>13</v>
      </c>
      <c r="D501" s="2" t="s">
        <v>12</v>
      </c>
      <c r="E501" s="2"/>
      <c r="F501" s="2" t="str">
        <f>HYPERLINK("http://m.12365auto.com/xcdg/20200228/419849.shtml","http://m.12365auto.com/xcdg/20200228/419849.shtml")</f>
        <v>http://m.12365auto.com/xcdg/20200228/419849.shtml</v>
      </c>
      <c r="G501" s="2"/>
      <c r="H501" s="2" t="s">
        <v>828</v>
      </c>
      <c r="I501" s="2" t="s">
        <v>19</v>
      </c>
      <c r="J501" s="2" t="s">
        <v>295</v>
      </c>
      <c r="K501" s="2" t="s">
        <v>826</v>
      </c>
      <c r="L501" s="2">
        <f t="shared" si="7"/>
        <v>150</v>
      </c>
    </row>
    <row r="502" spans="1:12" ht="25" customHeight="1">
      <c r="A502" s="2" t="s">
        <v>12</v>
      </c>
      <c r="B502" s="2" t="str">
        <f>HYPERLINK("http://www.12365auto.com/zlts/20200228/449167.shtml","吉利帝豪后尾灯无破损有水珠影响照明")</f>
        <v>吉利帝豪后尾灯无破损有水珠影响照明</v>
      </c>
      <c r="C502" s="2" t="s">
        <v>13</v>
      </c>
      <c r="D502" s="2" t="s">
        <v>12</v>
      </c>
      <c r="E502" s="2" t="s">
        <v>17</v>
      </c>
      <c r="F502" s="2" t="str">
        <f>HYPERLINK("http://www.12365auto.com/zlts/20200228/449167.shtml","http://www.12365auto.com/zlts/20200228/449167.shtml")</f>
        <v>http://www.12365auto.com/zlts/20200228/449167.shtml</v>
      </c>
      <c r="G502" s="2"/>
      <c r="H502" s="2" t="s">
        <v>829</v>
      </c>
      <c r="I502" s="2" t="s">
        <v>15</v>
      </c>
      <c r="J502" s="2" t="s">
        <v>12</v>
      </c>
      <c r="K502" s="2" t="s">
        <v>830</v>
      </c>
      <c r="L502" s="2">
        <f t="shared" si="7"/>
        <v>150</v>
      </c>
    </row>
    <row r="503" spans="1:12" ht="25" customHeight="1">
      <c r="A503" s="2" t="s">
        <v>12</v>
      </c>
      <c r="B503" s="2" t="str">
        <f>HYPERLINK("http://www.12365auto.com/zlts/20200228/449166.shtml","吉利远景X3发动机故障灯亮频繁熄火")</f>
        <v>吉利远景X3发动机故障灯亮频繁熄火</v>
      </c>
      <c r="C503" s="2" t="s">
        <v>13</v>
      </c>
      <c r="D503" s="2" t="s">
        <v>12</v>
      </c>
      <c r="E503" s="2" t="s">
        <v>17</v>
      </c>
      <c r="F503" s="2" t="str">
        <f>HYPERLINK("http://www.12365auto.com/zlts/20200228/449166.shtml","http://www.12365auto.com/zlts/20200228/449166.shtml")</f>
        <v>http://www.12365auto.com/zlts/20200228/449166.shtml</v>
      </c>
      <c r="G503" s="2"/>
      <c r="H503" s="2" t="s">
        <v>831</v>
      </c>
      <c r="I503" s="2" t="s">
        <v>19</v>
      </c>
      <c r="J503" s="2" t="s">
        <v>12</v>
      </c>
      <c r="K503" s="2" t="s">
        <v>832</v>
      </c>
      <c r="L503" s="2">
        <f t="shared" si="7"/>
        <v>150</v>
      </c>
    </row>
    <row r="504" spans="1:12" ht="25" customHeight="1">
      <c r="A504" s="2" t="s">
        <v>12</v>
      </c>
      <c r="B504" s="2" t="str">
        <f>HYPERLINK("http://www.12365auto.com/xcdg/20200228/419848.shtml","广汽丰田威兰达正式上市 售17.18万元起")</f>
        <v>广汽丰田威兰达正式上市 售17.18万元起</v>
      </c>
      <c r="C504" s="2" t="s">
        <v>13</v>
      </c>
      <c r="D504" s="2" t="s">
        <v>12</v>
      </c>
      <c r="E504" s="2" t="s">
        <v>216</v>
      </c>
      <c r="F504" s="2" t="str">
        <f>HYPERLINK("http://www.12365auto.com/xcdg/20200228/419848.shtml","http://www.12365auto.com/xcdg/20200228/419848.shtml")</f>
        <v>http://www.12365auto.com/xcdg/20200228/419848.shtml</v>
      </c>
      <c r="G504" s="2"/>
      <c r="H504" s="2" t="s">
        <v>833</v>
      </c>
      <c r="I504" s="2" t="s">
        <v>15</v>
      </c>
      <c r="J504" s="2" t="s">
        <v>12</v>
      </c>
      <c r="K504" s="2" t="s">
        <v>834</v>
      </c>
      <c r="L504" s="2">
        <f t="shared" si="7"/>
        <v>150</v>
      </c>
    </row>
    <row r="505" spans="1:12" ht="25" customHeight="1">
      <c r="A505" s="2" t="s">
        <v>12</v>
      </c>
      <c r="B505" s="2" t="str">
        <f>HYPERLINK("http://m.12365auto.com/xcdg/20200228/419848.shtml","广汽丰田威兰达正式上市 售17.18万元起")</f>
        <v>广汽丰田威兰达正式上市 售17.18万元起</v>
      </c>
      <c r="C505" s="2" t="s">
        <v>13</v>
      </c>
      <c r="D505" s="2" t="s">
        <v>12</v>
      </c>
      <c r="E505" s="2"/>
      <c r="F505" s="2" t="str">
        <f>HYPERLINK("http://m.12365auto.com/xcdg/20200228/419848.shtml","http://m.12365auto.com/xcdg/20200228/419848.shtml")</f>
        <v>http://m.12365auto.com/xcdg/20200228/419848.shtml</v>
      </c>
      <c r="G505" s="2"/>
      <c r="H505" s="2" t="s">
        <v>835</v>
      </c>
      <c r="I505" s="2" t="s">
        <v>19</v>
      </c>
      <c r="J505" s="2" t="s">
        <v>836</v>
      </c>
      <c r="K505" s="2" t="s">
        <v>834</v>
      </c>
      <c r="L505" s="2">
        <f t="shared" si="7"/>
        <v>150</v>
      </c>
    </row>
    <row r="506" spans="1:12" ht="25" customHeight="1">
      <c r="A506" s="2" t="s">
        <v>12</v>
      </c>
      <c r="B506" s="2" t="str">
        <f>HYPERLINK("http://www.12365auto.com/news/20200228/419847.shtml","保时捷投资音频技术公司DSP Concepts")</f>
        <v>保时捷投资音频技术公司DSP Concepts</v>
      </c>
      <c r="C506" s="2" t="s">
        <v>13</v>
      </c>
      <c r="D506" s="2" t="s">
        <v>12</v>
      </c>
      <c r="E506" s="2" t="s">
        <v>282</v>
      </c>
      <c r="F506" s="2" t="str">
        <f>HYPERLINK("http://www.12365auto.com/news/20200228/419847.shtml","http://www.12365auto.com/news/20200228/419847.shtml")</f>
        <v>http://www.12365auto.com/news/20200228/419847.shtml</v>
      </c>
      <c r="G506" s="2"/>
      <c r="H506" s="2" t="s">
        <v>837</v>
      </c>
      <c r="I506" s="2" t="s">
        <v>19</v>
      </c>
      <c r="J506" s="2" t="s">
        <v>12</v>
      </c>
      <c r="K506" s="2" t="s">
        <v>838</v>
      </c>
      <c r="L506" s="2">
        <f t="shared" si="7"/>
        <v>150</v>
      </c>
    </row>
    <row r="507" spans="1:12" ht="25" customHeight="1">
      <c r="A507" s="2" t="s">
        <v>12</v>
      </c>
      <c r="B507" s="2" t="str">
        <f>HYPERLINK("http://m.12365auto.com/news/20200228/419847.shtml","保时捷投资音频技术公司DSP Concepts")</f>
        <v>保时捷投资音频技术公司DSP Concepts</v>
      </c>
      <c r="C507" s="2" t="s">
        <v>13</v>
      </c>
      <c r="D507" s="2" t="s">
        <v>12</v>
      </c>
      <c r="E507" s="2"/>
      <c r="F507" s="2" t="str">
        <f>HYPERLINK("http://m.12365auto.com/news/20200228/419847.shtml","http://m.12365auto.com/news/20200228/419847.shtml")</f>
        <v>http://m.12365auto.com/news/20200228/419847.shtml</v>
      </c>
      <c r="G507" s="2"/>
      <c r="H507" s="2" t="s">
        <v>839</v>
      </c>
      <c r="I507" s="2" t="s">
        <v>19</v>
      </c>
      <c r="J507" s="2" t="s">
        <v>332</v>
      </c>
      <c r="K507" s="2" t="s">
        <v>838</v>
      </c>
      <c r="L507" s="2">
        <f t="shared" si="7"/>
        <v>150</v>
      </c>
    </row>
    <row r="508" spans="1:12" ht="25" customHeight="1">
      <c r="A508" s="2" t="s">
        <v>12</v>
      </c>
      <c r="B508" s="2" t="str">
        <f>HYPERLINK("http://www.12365auto.com/xcdg/20200228/419846.shtml","Puritalia将推出纯电动版Berlinetta")</f>
        <v>Puritalia将推出纯电动版Berlinetta</v>
      </c>
      <c r="C508" s="2" t="s">
        <v>13</v>
      </c>
      <c r="D508" s="2" t="s">
        <v>12</v>
      </c>
      <c r="E508" s="2" t="s">
        <v>245</v>
      </c>
      <c r="F508" s="2" t="str">
        <f>HYPERLINK("http://www.12365auto.com/xcdg/20200228/419846.shtml","http://www.12365auto.com/xcdg/20200228/419846.shtml")</f>
        <v>http://www.12365auto.com/xcdg/20200228/419846.shtml</v>
      </c>
      <c r="G508" s="2"/>
      <c r="H508" s="2" t="s">
        <v>840</v>
      </c>
      <c r="I508" s="2" t="s">
        <v>19</v>
      </c>
      <c r="J508" s="2" t="s">
        <v>12</v>
      </c>
      <c r="K508" s="2" t="s">
        <v>841</v>
      </c>
      <c r="L508" s="2">
        <f t="shared" si="7"/>
        <v>150</v>
      </c>
    </row>
    <row r="509" spans="1:12" ht="25" customHeight="1">
      <c r="A509" s="2" t="s">
        <v>12</v>
      </c>
      <c r="B509" s="2" t="str">
        <f>HYPERLINK("http://m.12365auto.com/xcdg/20200228/419846.shtml","Puritalia将推出纯电动版Berlinetta")</f>
        <v>Puritalia将推出纯电动版Berlinetta</v>
      </c>
      <c r="C509" s="2" t="s">
        <v>13</v>
      </c>
      <c r="D509" s="2" t="s">
        <v>12</v>
      </c>
      <c r="E509" s="2"/>
      <c r="F509" s="2" t="str">
        <f>HYPERLINK("http://m.12365auto.com/xcdg/20200228/419846.shtml","http://m.12365auto.com/xcdg/20200228/419846.shtml")</f>
        <v>http://m.12365auto.com/xcdg/20200228/419846.shtml</v>
      </c>
      <c r="G509" s="2"/>
      <c r="H509" s="2" t="s">
        <v>842</v>
      </c>
      <c r="I509" s="2" t="s">
        <v>19</v>
      </c>
      <c r="J509" s="2" t="s">
        <v>332</v>
      </c>
      <c r="K509" s="2" t="s">
        <v>841</v>
      </c>
      <c r="L509" s="2">
        <f t="shared" si="7"/>
        <v>150</v>
      </c>
    </row>
    <row r="510" spans="1:12" ht="25" customHeight="1">
      <c r="A510" s="2" t="s">
        <v>12</v>
      </c>
      <c r="B510" s="2" t="str">
        <f>HYPERLINK("http://m.12365auto.com/xcdg/20200228/419845.shtml","能否打破你对三缸发动机的偏见？简析创界RS")</f>
        <v>能否打破你对三缸发动机的偏见？简析创界RS</v>
      </c>
      <c r="C510" s="2" t="s">
        <v>13</v>
      </c>
      <c r="D510" s="2" t="s">
        <v>12</v>
      </c>
      <c r="E510" s="2"/>
      <c r="F510" s="2" t="str">
        <f>HYPERLINK("http://m.12365auto.com/xcdg/20200228/419845.shtml","http://m.12365auto.com/xcdg/20200228/419845.shtml")</f>
        <v>http://m.12365auto.com/xcdg/20200228/419845.shtml</v>
      </c>
      <c r="G510" s="2"/>
      <c r="H510" s="2" t="s">
        <v>843</v>
      </c>
      <c r="I510" s="2" t="s">
        <v>19</v>
      </c>
      <c r="J510" s="2" t="s">
        <v>844</v>
      </c>
      <c r="K510" s="2" t="s">
        <v>845</v>
      </c>
      <c r="L510" s="2">
        <f t="shared" si="7"/>
        <v>150</v>
      </c>
    </row>
    <row r="511" spans="1:12" ht="25" customHeight="1">
      <c r="A511" s="2" t="s">
        <v>12</v>
      </c>
      <c r="B511" s="2" t="str">
        <f>HYPERLINK("http://m.12365auto.com/xcdg/20200228/419844.shtml","一箱油能跑1000多公里 解析丰田雷凌双擎")</f>
        <v>一箱油能跑1000多公里 解析丰田雷凌双擎</v>
      </c>
      <c r="C511" s="2" t="s">
        <v>13</v>
      </c>
      <c r="D511" s="2" t="s">
        <v>12</v>
      </c>
      <c r="E511" s="2"/>
      <c r="F511" s="2" t="str">
        <f>HYPERLINK("http://m.12365auto.com/xcdg/20200228/419844.shtml","http://m.12365auto.com/xcdg/20200228/419844.shtml")</f>
        <v>http://m.12365auto.com/xcdg/20200228/419844.shtml</v>
      </c>
      <c r="G511" s="2"/>
      <c r="H511" s="2" t="s">
        <v>846</v>
      </c>
      <c r="I511" s="2" t="s">
        <v>19</v>
      </c>
      <c r="J511" s="2" t="s">
        <v>844</v>
      </c>
      <c r="K511" s="2" t="s">
        <v>847</v>
      </c>
      <c r="L511" s="2">
        <f t="shared" si="7"/>
        <v>150</v>
      </c>
    </row>
    <row r="512" spans="1:12" ht="25" customHeight="1">
      <c r="A512" s="2" t="s">
        <v>12</v>
      </c>
      <c r="B512" s="2" t="str">
        <f>HYPERLINK("http://m.12365auto.com/xcdg/20200228/419843.shtml","2.0T的S级只为满足面子工程？简析奔驰S320L")</f>
        <v>2.0T的S级只为满足面子工程？简析奔驰S320L</v>
      </c>
      <c r="C512" s="2" t="s">
        <v>13</v>
      </c>
      <c r="D512" s="2" t="s">
        <v>12</v>
      </c>
      <c r="E512" s="2"/>
      <c r="F512" s="2" t="str">
        <f>HYPERLINK("http://m.12365auto.com/xcdg/20200228/419843.shtml","http://m.12365auto.com/xcdg/20200228/419843.shtml")</f>
        <v>http://m.12365auto.com/xcdg/20200228/419843.shtml</v>
      </c>
      <c r="G512" s="2"/>
      <c r="H512" s="2" t="s">
        <v>848</v>
      </c>
      <c r="I512" s="2" t="s">
        <v>19</v>
      </c>
      <c r="J512" s="2" t="s">
        <v>849</v>
      </c>
      <c r="K512" s="2" t="s">
        <v>850</v>
      </c>
      <c r="L512" s="2">
        <f t="shared" si="7"/>
        <v>150</v>
      </c>
    </row>
    <row r="513" spans="1:12" ht="25" customHeight="1">
      <c r="A513" s="2" t="s">
        <v>12</v>
      </c>
      <c r="B513" s="2" t="str">
        <f>HYPERLINK("http://www.12365auto.com/xcdg/20200228/419842.shtml","十足性能范 斯柯达明锐RS iV预告片曝光")</f>
        <v>十足性能范 斯柯达明锐RS iV预告片曝光</v>
      </c>
      <c r="C513" s="2" t="s">
        <v>13</v>
      </c>
      <c r="D513" s="2" t="s">
        <v>12</v>
      </c>
      <c r="E513" s="2" t="s">
        <v>216</v>
      </c>
      <c r="F513" s="2" t="str">
        <f>HYPERLINK("http://www.12365auto.com/xcdg/20200228/419842.shtml","http://www.12365auto.com/xcdg/20200228/419842.shtml")</f>
        <v>http://www.12365auto.com/xcdg/20200228/419842.shtml</v>
      </c>
      <c r="G513" s="2"/>
      <c r="H513" s="2" t="s">
        <v>851</v>
      </c>
      <c r="I513" s="2" t="s">
        <v>15</v>
      </c>
      <c r="J513" s="2" t="s">
        <v>12</v>
      </c>
      <c r="K513" s="2" t="s">
        <v>852</v>
      </c>
      <c r="L513" s="2">
        <f t="shared" si="7"/>
        <v>150</v>
      </c>
    </row>
    <row r="514" spans="1:12" ht="25" customHeight="1">
      <c r="A514" s="2" t="s">
        <v>12</v>
      </c>
      <c r="B514" s="2" t="str">
        <f>HYPERLINK("http://www.12365auto.com/zlts/20200228/449164.shtml","东风悦达起亚智跑车身多处漆面开裂脱漆")</f>
        <v>东风悦达起亚智跑车身多处漆面开裂脱漆</v>
      </c>
      <c r="C514" s="2" t="s">
        <v>13</v>
      </c>
      <c r="D514" s="2" t="s">
        <v>12</v>
      </c>
      <c r="E514" s="2" t="s">
        <v>17</v>
      </c>
      <c r="F514" s="2" t="str">
        <f>HYPERLINK("http://www.12365auto.com/zlts/20200228/449164.shtml","http://www.12365auto.com/zlts/20200228/449164.shtml")</f>
        <v>http://www.12365auto.com/zlts/20200228/449164.shtml</v>
      </c>
      <c r="G514" s="2"/>
      <c r="H514" s="2" t="s">
        <v>853</v>
      </c>
      <c r="I514" s="2" t="s">
        <v>19</v>
      </c>
      <c r="J514" s="2" t="s">
        <v>12</v>
      </c>
      <c r="K514" s="2" t="s">
        <v>852</v>
      </c>
      <c r="L514" s="2">
        <f t="shared" si="7"/>
        <v>150</v>
      </c>
    </row>
    <row r="515" spans="1:12" ht="25" customHeight="1">
      <c r="A515" s="2" t="s">
        <v>12</v>
      </c>
      <c r="B515" s="2" t="str">
        <f>HYPERLINK("http://m.12365auto.com/xcdg/20200228/419842.shtml","十足性能范 斯柯达明锐RS iV预告片曝光")</f>
        <v>十足性能范 斯柯达明锐RS iV预告片曝光</v>
      </c>
      <c r="C515" s="2" t="s">
        <v>13</v>
      </c>
      <c r="D515" s="2" t="s">
        <v>12</v>
      </c>
      <c r="E515" s="2"/>
      <c r="F515" s="2" t="str">
        <f>HYPERLINK("http://m.12365auto.com/xcdg/20200228/419842.shtml","http://m.12365auto.com/xcdg/20200228/419842.shtml")</f>
        <v>http://m.12365auto.com/xcdg/20200228/419842.shtml</v>
      </c>
      <c r="G515" s="2"/>
      <c r="H515" s="2" t="s">
        <v>854</v>
      </c>
      <c r="I515" s="2" t="s">
        <v>19</v>
      </c>
      <c r="J515" s="2" t="s">
        <v>855</v>
      </c>
      <c r="K515" s="2" t="s">
        <v>852</v>
      </c>
      <c r="L515" s="2">
        <f t="shared" ref="L515:L578" si="8">LEN(H515)</f>
        <v>150</v>
      </c>
    </row>
    <row r="516" spans="1:12" ht="25" customHeight="1">
      <c r="A516" s="2" t="s">
        <v>12</v>
      </c>
      <c r="B516" s="2" t="str">
        <f>HYPERLINK("http://bbs.12365auto.com/postcontent.aspx?tID=195495","飞度行驶时变速箱打滑变速箱的质量问题")</f>
        <v>飞度行驶时变速箱打滑变速箱的质量问题</v>
      </c>
      <c r="C516" s="2" t="s">
        <v>13</v>
      </c>
      <c r="D516" s="2" t="s">
        <v>12</v>
      </c>
      <c r="E516" s="2" t="s">
        <v>67</v>
      </c>
      <c r="F516" s="2" t="str">
        <f>HYPERLINK("http://bbs.12365auto.com/postcontent.aspx?tID=195495","http://bbs.12365auto.com/postcontent.aspx?tID=195495")</f>
        <v>http://bbs.12365auto.com/postcontent.aspx?tID=195495</v>
      </c>
      <c r="G516" s="2"/>
      <c r="H516" s="2" t="s">
        <v>856</v>
      </c>
      <c r="I516" s="2" t="s">
        <v>15</v>
      </c>
      <c r="J516" s="2" t="s">
        <v>857</v>
      </c>
      <c r="K516" s="2" t="s">
        <v>858</v>
      </c>
      <c r="L516" s="2">
        <f t="shared" si="8"/>
        <v>150</v>
      </c>
    </row>
    <row r="517" spans="1:12" ht="25" customHeight="1">
      <c r="A517" s="2" t="s">
        <v>12</v>
      </c>
      <c r="B517" s="2" t="str">
        <f>HYPERLINK("http://bbs.12365auto.com/postcontent.aspx?tId=195495","飞度行驶时变速箱打滑变速箱的质量问题")</f>
        <v>飞度行驶时变速箱打滑变速箱的质量问题</v>
      </c>
      <c r="C517" s="2" t="s">
        <v>13</v>
      </c>
      <c r="D517" s="2" t="s">
        <v>12</v>
      </c>
      <c r="E517" s="2" t="s">
        <v>66</v>
      </c>
      <c r="F517" s="2" t="str">
        <f>HYPERLINK("http://bbs.12365auto.com/postcontent.aspx?tId=195495","http://bbs.12365auto.com/postcontent.aspx?tId=195495")</f>
        <v>http://bbs.12365auto.com/postcontent.aspx?tId=195495</v>
      </c>
      <c r="G517" s="2"/>
      <c r="H517" s="2" t="s">
        <v>859</v>
      </c>
      <c r="I517" s="2" t="s">
        <v>15</v>
      </c>
      <c r="J517" s="2" t="s">
        <v>857</v>
      </c>
      <c r="K517" s="2" t="s">
        <v>858</v>
      </c>
      <c r="L517" s="2">
        <f t="shared" si="8"/>
        <v>150</v>
      </c>
    </row>
    <row r="518" spans="1:12" ht="25" customHeight="1">
      <c r="A518" s="2" t="s">
        <v>12</v>
      </c>
      <c r="B518" s="2" t="str">
        <f>HYPERLINK("http://bbs.12365auto.com/postcontent.aspx?tId=195494","逍客变速箱抖动得很厉害")</f>
        <v>逍客变速箱抖动得很厉害</v>
      </c>
      <c r="C518" s="2" t="s">
        <v>13</v>
      </c>
      <c r="D518" s="2" t="s">
        <v>12</v>
      </c>
      <c r="E518" s="2" t="s">
        <v>66</v>
      </c>
      <c r="F518" s="2" t="str">
        <f>HYPERLINK("http://bbs.12365auto.com/postcontent.aspx?tId=195494","http://bbs.12365auto.com/postcontent.aspx?tId=195494")</f>
        <v>http://bbs.12365auto.com/postcontent.aspx?tId=195494</v>
      </c>
      <c r="G518" s="2"/>
      <c r="H518" s="2" t="s">
        <v>860</v>
      </c>
      <c r="I518" s="2" t="s">
        <v>15</v>
      </c>
      <c r="J518" s="2" t="s">
        <v>861</v>
      </c>
      <c r="K518" s="2" t="s">
        <v>858</v>
      </c>
      <c r="L518" s="2">
        <f t="shared" si="8"/>
        <v>150</v>
      </c>
    </row>
    <row r="519" spans="1:12" ht="25" customHeight="1">
      <c r="A519" s="2" t="s">
        <v>12</v>
      </c>
      <c r="B519" s="2" t="str">
        <f>HYPERLINK("http://www.12365auto.com/zlts/20200228/449163.shtml","奇瑞瑞虎8车身生锈掉漆减震器异响 刹车异响")</f>
        <v>奇瑞瑞虎8车身生锈掉漆减震器异响 刹车异响</v>
      </c>
      <c r="C519" s="2" t="s">
        <v>13</v>
      </c>
      <c r="D519" s="2" t="s">
        <v>12</v>
      </c>
      <c r="E519" s="2" t="s">
        <v>17</v>
      </c>
      <c r="F519" s="2" t="str">
        <f>HYPERLINK("http://www.12365auto.com/zlts/20200228/449163.shtml","http://www.12365auto.com/zlts/20200228/449163.shtml")</f>
        <v>http://www.12365auto.com/zlts/20200228/449163.shtml</v>
      </c>
      <c r="G519" s="2"/>
      <c r="H519" s="2" t="s">
        <v>862</v>
      </c>
      <c r="I519" s="2" t="s">
        <v>19</v>
      </c>
      <c r="J519" s="2" t="s">
        <v>12</v>
      </c>
      <c r="K519" s="2" t="s">
        <v>858</v>
      </c>
      <c r="L519" s="2">
        <f t="shared" si="8"/>
        <v>150</v>
      </c>
    </row>
    <row r="520" spans="1:12" ht="25" customHeight="1">
      <c r="A520" s="2" t="s">
        <v>12</v>
      </c>
      <c r="B520" s="2" t="str">
        <f>HYPERLINK("http://m.12365auto.com/bbs/postcontent.aspx?tID=195494","逍客变速箱抖动得很厉害")</f>
        <v>逍客变速箱抖动得很厉害</v>
      </c>
      <c r="C520" s="2" t="s">
        <v>13</v>
      </c>
      <c r="D520" s="2" t="s">
        <v>23</v>
      </c>
      <c r="E520" s="2"/>
      <c r="F520" s="2" t="str">
        <f>HYPERLINK("http://m.12365auto.com/bbs/postcontent.aspx?tID=195494","http://m.12365auto.com/bbs/postcontent.aspx?tID=195494")</f>
        <v>http://m.12365auto.com/bbs/postcontent.aspx?tID=195494</v>
      </c>
      <c r="G520" s="2"/>
      <c r="H520" s="2" t="s">
        <v>860</v>
      </c>
      <c r="I520" s="2" t="s">
        <v>15</v>
      </c>
      <c r="J520" s="2" t="s">
        <v>861</v>
      </c>
      <c r="K520" s="2" t="s">
        <v>858</v>
      </c>
      <c r="L520" s="2">
        <f t="shared" si="8"/>
        <v>150</v>
      </c>
    </row>
    <row r="521" spans="1:12" ht="25" customHeight="1">
      <c r="A521" s="2" t="s">
        <v>12</v>
      </c>
      <c r="B521" s="2" t="str">
        <f>HYPERLINK("http://m.12365auto.com/bbs/postcontent.aspx?tID=195495","飞度行驶时变速箱打滑变速箱的质量问题")</f>
        <v>飞度行驶时变速箱打滑变速箱的质量问题</v>
      </c>
      <c r="C521" s="2" t="s">
        <v>13</v>
      </c>
      <c r="D521" s="2" t="s">
        <v>23</v>
      </c>
      <c r="E521" s="2"/>
      <c r="F521" s="2" t="str">
        <f>HYPERLINK("http://m.12365auto.com/bbs/postcontent.aspx?tID=195495","http://m.12365auto.com/bbs/postcontent.aspx?tID=195495")</f>
        <v>http://m.12365auto.com/bbs/postcontent.aspx?tID=195495</v>
      </c>
      <c r="G521" s="2"/>
      <c r="H521" s="2" t="s">
        <v>859</v>
      </c>
      <c r="I521" s="2" t="s">
        <v>15</v>
      </c>
      <c r="J521" s="2" t="s">
        <v>857</v>
      </c>
      <c r="K521" s="2" t="s">
        <v>858</v>
      </c>
      <c r="L521" s="2">
        <f t="shared" si="8"/>
        <v>150</v>
      </c>
    </row>
    <row r="522" spans="1:12" ht="25" customHeight="1">
      <c r="A522" s="2" t="s">
        <v>12</v>
      </c>
      <c r="B522" s="2" t="str">
        <f>HYPERLINK("http://bbs.12365auto.com/postcontent.aspx?tID=195494","逍客变速箱抖动得很厉害")</f>
        <v>逍客变速箱抖动得很厉害</v>
      </c>
      <c r="C522" s="2" t="s">
        <v>13</v>
      </c>
      <c r="D522" s="2" t="s">
        <v>12</v>
      </c>
      <c r="E522" s="2" t="s">
        <v>67</v>
      </c>
      <c r="F522" s="2" t="str">
        <f>HYPERLINK("http://bbs.12365auto.com/postcontent.aspx?tID=195494","http://bbs.12365auto.com/postcontent.aspx?tID=195494")</f>
        <v>http://bbs.12365auto.com/postcontent.aspx?tID=195494</v>
      </c>
      <c r="G522" s="2"/>
      <c r="H522" s="2" t="s">
        <v>863</v>
      </c>
      <c r="I522" s="2" t="s">
        <v>15</v>
      </c>
      <c r="J522" s="2" t="s">
        <v>861</v>
      </c>
      <c r="K522" s="2" t="s">
        <v>858</v>
      </c>
      <c r="L522" s="2">
        <f t="shared" si="8"/>
        <v>150</v>
      </c>
    </row>
    <row r="523" spans="1:12" ht="25" customHeight="1">
      <c r="A523" s="2" t="s">
        <v>12</v>
      </c>
      <c r="B523" s="2" t="str">
        <f>HYPERLINK("http://bbs.12365auto.com/postcontent.aspx?tID=195493","远景X6减震器有异响质量真不行")</f>
        <v>远景X6减震器有异响质量真不行</v>
      </c>
      <c r="C523" s="2" t="s">
        <v>13</v>
      </c>
      <c r="D523" s="2" t="s">
        <v>12</v>
      </c>
      <c r="E523" s="2" t="s">
        <v>67</v>
      </c>
      <c r="F523" s="2" t="str">
        <f>HYPERLINK("http://bbs.12365auto.com/postcontent.aspx?tID=195493","http://bbs.12365auto.com/postcontent.aspx?tID=195493")</f>
        <v>http://bbs.12365auto.com/postcontent.aspx?tID=195493</v>
      </c>
      <c r="G523" s="2"/>
      <c r="H523" s="2" t="s">
        <v>864</v>
      </c>
      <c r="I523" s="2" t="s">
        <v>15</v>
      </c>
      <c r="J523" s="2" t="s">
        <v>865</v>
      </c>
      <c r="K523" s="2" t="s">
        <v>866</v>
      </c>
      <c r="L523" s="2">
        <f t="shared" si="8"/>
        <v>94</v>
      </c>
    </row>
    <row r="524" spans="1:12" ht="25" customHeight="1">
      <c r="A524" s="2" t="s">
        <v>12</v>
      </c>
      <c r="B524" s="2" t="str">
        <f>HYPERLINK("http://bbs.12365auto.com/postcontent.aspx?tId=195493","远景X6减震器有异响质量真不行")</f>
        <v>远景X6减震器有异响质量真不行</v>
      </c>
      <c r="C524" s="2" t="s">
        <v>13</v>
      </c>
      <c r="D524" s="2" t="s">
        <v>12</v>
      </c>
      <c r="E524" s="2" t="s">
        <v>66</v>
      </c>
      <c r="F524" s="2" t="str">
        <f>HYPERLINK("http://bbs.12365auto.com/postcontent.aspx?tId=195493","http://bbs.12365auto.com/postcontent.aspx?tId=195493")</f>
        <v>http://bbs.12365auto.com/postcontent.aspx?tId=195493</v>
      </c>
      <c r="G524" s="2"/>
      <c r="H524" s="2" t="s">
        <v>867</v>
      </c>
      <c r="I524" s="2" t="s">
        <v>15</v>
      </c>
      <c r="J524" s="2" t="s">
        <v>865</v>
      </c>
      <c r="K524" s="2" t="s">
        <v>866</v>
      </c>
      <c r="L524" s="2">
        <f t="shared" si="8"/>
        <v>79</v>
      </c>
    </row>
    <row r="525" spans="1:12" ht="25" customHeight="1">
      <c r="A525" s="2" t="s">
        <v>12</v>
      </c>
      <c r="B525" s="2" t="str">
        <f>HYPERLINK("http://m.12365auto.com/bbs/postcontent.aspx?tID=195493","远景X6减震器有异响质量真不行")</f>
        <v>远景X6减震器有异响质量真不行</v>
      </c>
      <c r="C525" s="2" t="s">
        <v>13</v>
      </c>
      <c r="D525" s="2" t="s">
        <v>23</v>
      </c>
      <c r="E525" s="2"/>
      <c r="F525" s="2" t="str">
        <f>HYPERLINK("http://m.12365auto.com/bbs/postcontent.aspx?tID=195493","http://m.12365auto.com/bbs/postcontent.aspx?tID=195493")</f>
        <v>http://m.12365auto.com/bbs/postcontent.aspx?tID=195493</v>
      </c>
      <c r="G525" s="2"/>
      <c r="H525" s="2" t="s">
        <v>867</v>
      </c>
      <c r="I525" s="2" t="s">
        <v>15</v>
      </c>
      <c r="J525" s="2" t="s">
        <v>865</v>
      </c>
      <c r="K525" s="2" t="s">
        <v>866</v>
      </c>
      <c r="L525" s="2">
        <f t="shared" si="8"/>
        <v>79</v>
      </c>
    </row>
    <row r="526" spans="1:12" ht="25" customHeight="1">
      <c r="A526" s="2" t="s">
        <v>12</v>
      </c>
      <c r="B526" s="2" t="str">
        <f>HYPERLINK("http://www.12365auto.com/news/20200228/419841.shtml","环比减少46% 特斯拉1月在华注册3563辆")</f>
        <v>环比减少46% 特斯拉1月在华注册3563辆</v>
      </c>
      <c r="C526" s="2" t="s">
        <v>13</v>
      </c>
      <c r="D526" s="2" t="s">
        <v>12</v>
      </c>
      <c r="E526" s="2" t="s">
        <v>282</v>
      </c>
      <c r="F526" s="2" t="str">
        <f>HYPERLINK("http://www.12365auto.com/news/20200228/419841.shtml","http://www.12365auto.com/news/20200228/419841.shtml")</f>
        <v>http://www.12365auto.com/news/20200228/419841.shtml</v>
      </c>
      <c r="G526" s="2"/>
      <c r="H526" s="2" t="s">
        <v>868</v>
      </c>
      <c r="I526" s="2" t="s">
        <v>19</v>
      </c>
      <c r="J526" s="2" t="s">
        <v>12</v>
      </c>
      <c r="K526" s="2" t="s">
        <v>869</v>
      </c>
      <c r="L526" s="2">
        <f t="shared" si="8"/>
        <v>150</v>
      </c>
    </row>
    <row r="527" spans="1:12" ht="25" customHeight="1">
      <c r="A527" s="2" t="s">
        <v>12</v>
      </c>
      <c r="B527" s="2" t="str">
        <f>HYPERLINK("http://bbs.12365auto.com/postcontent.aspx?tId=195492","汉兰达车顶漆面有脱落的问题呀")</f>
        <v>汉兰达车顶漆面有脱落的问题呀</v>
      </c>
      <c r="C527" s="2" t="s">
        <v>13</v>
      </c>
      <c r="D527" s="2" t="s">
        <v>12</v>
      </c>
      <c r="E527" s="2" t="s">
        <v>66</v>
      </c>
      <c r="F527" s="2" t="str">
        <f>HYPERLINK("http://bbs.12365auto.com/postcontent.aspx?tId=195492","http://bbs.12365auto.com/postcontent.aspx?tId=195492")</f>
        <v>http://bbs.12365auto.com/postcontent.aspx?tId=195492</v>
      </c>
      <c r="G527" s="2"/>
      <c r="H527" s="2" t="s">
        <v>870</v>
      </c>
      <c r="I527" s="2" t="s">
        <v>15</v>
      </c>
      <c r="J527" s="2" t="s">
        <v>871</v>
      </c>
      <c r="K527" s="2" t="s">
        <v>869</v>
      </c>
      <c r="L527" s="2">
        <f t="shared" si="8"/>
        <v>51</v>
      </c>
    </row>
    <row r="528" spans="1:12" ht="25" customHeight="1">
      <c r="A528" s="2" t="s">
        <v>12</v>
      </c>
      <c r="B528" s="2" t="str">
        <f>HYPERLINK("http://bbs.12365auto.com/postcontent.aspx?tId=195491","Z300空调旋钮转不动轮拱处也有问题")</f>
        <v>Z300空调旋钮转不动轮拱处也有问题</v>
      </c>
      <c r="C528" s="2" t="s">
        <v>13</v>
      </c>
      <c r="D528" s="2" t="s">
        <v>12</v>
      </c>
      <c r="E528" s="2" t="s">
        <v>66</v>
      </c>
      <c r="F528" s="2" t="str">
        <f>HYPERLINK("http://bbs.12365auto.com/postcontent.aspx?tId=195491","http://bbs.12365auto.com/postcontent.aspx?tId=195491")</f>
        <v>http://bbs.12365auto.com/postcontent.aspx?tId=195491</v>
      </c>
      <c r="G528" s="2"/>
      <c r="H528" s="2" t="s">
        <v>872</v>
      </c>
      <c r="I528" s="2" t="s">
        <v>15</v>
      </c>
      <c r="J528" s="2" t="s">
        <v>873</v>
      </c>
      <c r="K528" s="2" t="s">
        <v>869</v>
      </c>
      <c r="L528" s="2">
        <f t="shared" si="8"/>
        <v>42</v>
      </c>
    </row>
    <row r="529" spans="1:12" ht="25" customHeight="1">
      <c r="A529" s="2" t="s">
        <v>12</v>
      </c>
      <c r="B529" s="2" t="str">
        <f>HYPERLINK("http://m.12365auto.com/bbs/postcontent.aspx?tID=195492","汉兰达车顶漆面有脱落的问题呀")</f>
        <v>汉兰达车顶漆面有脱落的问题呀</v>
      </c>
      <c r="C529" s="2" t="s">
        <v>13</v>
      </c>
      <c r="D529" s="2" t="s">
        <v>23</v>
      </c>
      <c r="E529" s="2"/>
      <c r="F529" s="2" t="str">
        <f>HYPERLINK("http://m.12365auto.com/bbs/postcontent.aspx?tID=195492","http://m.12365auto.com/bbs/postcontent.aspx?tID=195492")</f>
        <v>http://m.12365auto.com/bbs/postcontent.aspx?tID=195492</v>
      </c>
      <c r="G529" s="2"/>
      <c r="H529" s="2" t="s">
        <v>870</v>
      </c>
      <c r="I529" s="2" t="s">
        <v>15</v>
      </c>
      <c r="J529" s="2" t="s">
        <v>871</v>
      </c>
      <c r="K529" s="2" t="s">
        <v>869</v>
      </c>
      <c r="L529" s="2">
        <f t="shared" si="8"/>
        <v>51</v>
      </c>
    </row>
    <row r="530" spans="1:12" ht="25" customHeight="1">
      <c r="A530" s="2" t="s">
        <v>12</v>
      </c>
      <c r="B530" s="2" t="str">
        <f>HYPERLINK("http://m.12365auto.com/bbs/postcontent.aspx?tID=195491","Z300空调旋钮转不动轮拱处也有问题")</f>
        <v>Z300空调旋钮转不动轮拱处也有问题</v>
      </c>
      <c r="C530" s="2" t="s">
        <v>13</v>
      </c>
      <c r="D530" s="2" t="s">
        <v>23</v>
      </c>
      <c r="E530" s="2"/>
      <c r="F530" s="2" t="str">
        <f>HYPERLINK("http://m.12365auto.com/bbs/postcontent.aspx?tID=195491","http://m.12365auto.com/bbs/postcontent.aspx?tID=195491")</f>
        <v>http://m.12365auto.com/bbs/postcontent.aspx?tID=195491</v>
      </c>
      <c r="G530" s="2"/>
      <c r="H530" s="2" t="s">
        <v>872</v>
      </c>
      <c r="I530" s="2" t="s">
        <v>15</v>
      </c>
      <c r="J530" s="2" t="s">
        <v>873</v>
      </c>
      <c r="K530" s="2" t="s">
        <v>869</v>
      </c>
      <c r="L530" s="2">
        <f t="shared" si="8"/>
        <v>42</v>
      </c>
    </row>
    <row r="531" spans="1:12" ht="25" customHeight="1">
      <c r="A531" s="2" t="s">
        <v>12</v>
      </c>
      <c r="B531" s="2" t="str">
        <f>HYPERLINK("http://m.12365auto.com/news/20200228/419841.shtml","环比减少46% 特斯拉1月在华注册3563辆")</f>
        <v>环比减少46% 特斯拉1月在华注册3563辆</v>
      </c>
      <c r="C531" s="2" t="s">
        <v>13</v>
      </c>
      <c r="D531" s="2" t="s">
        <v>12</v>
      </c>
      <c r="E531" s="2"/>
      <c r="F531" s="2" t="str">
        <f>HYPERLINK("http://m.12365auto.com/news/20200228/419841.shtml","http://m.12365auto.com/news/20200228/419841.shtml")</f>
        <v>http://m.12365auto.com/news/20200228/419841.shtml</v>
      </c>
      <c r="G531" s="2"/>
      <c r="H531" s="2" t="s">
        <v>874</v>
      </c>
      <c r="I531" s="2" t="s">
        <v>19</v>
      </c>
      <c r="J531" s="2" t="s">
        <v>274</v>
      </c>
      <c r="K531" s="2" t="s">
        <v>869</v>
      </c>
      <c r="L531" s="2">
        <f t="shared" si="8"/>
        <v>150</v>
      </c>
    </row>
    <row r="532" spans="1:12" ht="25" customHeight="1">
      <c r="A532" s="2" t="s">
        <v>12</v>
      </c>
      <c r="B532" s="2" t="str">
        <f>HYPERLINK("http://bbs.12365auto.com/postcontent.aspx?tID=195491","Z300空调旋钮转不动轮拱处也有问题")</f>
        <v>Z300空调旋钮转不动轮拱处也有问题</v>
      </c>
      <c r="C532" s="2" t="s">
        <v>13</v>
      </c>
      <c r="D532" s="2" t="s">
        <v>12</v>
      </c>
      <c r="E532" s="2" t="s">
        <v>67</v>
      </c>
      <c r="F532" s="2" t="str">
        <f>HYPERLINK("http://bbs.12365auto.com/postcontent.aspx?tID=195491","http://bbs.12365auto.com/postcontent.aspx?tID=195491")</f>
        <v>http://bbs.12365auto.com/postcontent.aspx?tID=195491</v>
      </c>
      <c r="G532" s="2"/>
      <c r="H532" s="2" t="s">
        <v>875</v>
      </c>
      <c r="I532" s="2" t="s">
        <v>15</v>
      </c>
      <c r="J532" s="2" t="s">
        <v>873</v>
      </c>
      <c r="K532" s="2" t="s">
        <v>869</v>
      </c>
      <c r="L532" s="2">
        <f t="shared" si="8"/>
        <v>60</v>
      </c>
    </row>
    <row r="533" spans="1:12" ht="25" customHeight="1">
      <c r="A533" s="2" t="s">
        <v>12</v>
      </c>
      <c r="B533" s="2" t="str">
        <f>HYPERLINK("http://bbs.12365auto.com/postcontent.aspx?tID=195492","汉兰达车顶漆面有脱落的问题呀")</f>
        <v>汉兰达车顶漆面有脱落的问题呀</v>
      </c>
      <c r="C533" s="2" t="s">
        <v>13</v>
      </c>
      <c r="D533" s="2" t="s">
        <v>12</v>
      </c>
      <c r="E533" s="2" t="s">
        <v>67</v>
      </c>
      <c r="F533" s="2" t="str">
        <f>HYPERLINK("http://bbs.12365auto.com/postcontent.aspx?tID=195492","http://bbs.12365auto.com/postcontent.aspx?tID=195492")</f>
        <v>http://bbs.12365auto.com/postcontent.aspx?tID=195492</v>
      </c>
      <c r="G533" s="2"/>
      <c r="H533" s="2" t="s">
        <v>876</v>
      </c>
      <c r="I533" s="2" t="s">
        <v>15</v>
      </c>
      <c r="J533" s="2" t="s">
        <v>871</v>
      </c>
      <c r="K533" s="2" t="s">
        <v>869</v>
      </c>
      <c r="L533" s="2">
        <f t="shared" si="8"/>
        <v>65</v>
      </c>
    </row>
    <row r="534" spans="1:12" ht="25" customHeight="1">
      <c r="A534" s="2" t="s">
        <v>12</v>
      </c>
      <c r="B534" s="2" t="str">
        <f>HYPERLINK("http://bbs.12365auto.com/postcontent.aspx?tId=195490","爱丽舍行驶中变速箱顿挫质量不合格呀")</f>
        <v>爱丽舍行驶中变速箱顿挫质量不合格呀</v>
      </c>
      <c r="C534" s="2" t="s">
        <v>13</v>
      </c>
      <c r="D534" s="2" t="s">
        <v>12</v>
      </c>
      <c r="E534" s="2" t="s">
        <v>66</v>
      </c>
      <c r="F534" s="2" t="str">
        <f>HYPERLINK("http://bbs.12365auto.com/postcontent.aspx?tId=195490","http://bbs.12365auto.com/postcontent.aspx?tId=195490")</f>
        <v>http://bbs.12365auto.com/postcontent.aspx?tId=195490</v>
      </c>
      <c r="G534" s="2"/>
      <c r="H534" s="2" t="s">
        <v>877</v>
      </c>
      <c r="I534" s="2" t="s">
        <v>15</v>
      </c>
      <c r="J534" s="2" t="s">
        <v>878</v>
      </c>
      <c r="K534" s="2" t="s">
        <v>879</v>
      </c>
      <c r="L534" s="2">
        <f t="shared" si="8"/>
        <v>150</v>
      </c>
    </row>
    <row r="535" spans="1:12" ht="25" customHeight="1">
      <c r="A535" s="2" t="s">
        <v>12</v>
      </c>
      <c r="B535" s="2" t="str">
        <f>HYPERLINK("http://m.12365auto.com/bbs/postcontent.aspx?tID=195490","爱丽舍行驶中变速箱顿挫质量不合格呀")</f>
        <v>爱丽舍行驶中变速箱顿挫质量不合格呀</v>
      </c>
      <c r="C535" s="2" t="s">
        <v>13</v>
      </c>
      <c r="D535" s="2" t="s">
        <v>23</v>
      </c>
      <c r="E535" s="2"/>
      <c r="F535" s="2" t="str">
        <f>HYPERLINK("http://m.12365auto.com/bbs/postcontent.aspx?tID=195490","http://m.12365auto.com/bbs/postcontent.aspx?tID=195490")</f>
        <v>http://m.12365auto.com/bbs/postcontent.aspx?tID=195490</v>
      </c>
      <c r="G535" s="2"/>
      <c r="H535" s="2" t="s">
        <v>877</v>
      </c>
      <c r="I535" s="2" t="s">
        <v>15</v>
      </c>
      <c r="J535" s="2" t="s">
        <v>878</v>
      </c>
      <c r="K535" s="2" t="s">
        <v>879</v>
      </c>
      <c r="L535" s="2">
        <f t="shared" si="8"/>
        <v>150</v>
      </c>
    </row>
    <row r="536" spans="1:12" ht="25" customHeight="1">
      <c r="A536" s="2" t="s">
        <v>12</v>
      </c>
      <c r="B536" s="2" t="str">
        <f>HYPERLINK("http://bbs.12365auto.com/postcontent.aspx?tID=195490","爱丽舍行驶中变速箱顿挫质量不合格呀")</f>
        <v>爱丽舍行驶中变速箱顿挫质量不合格呀</v>
      </c>
      <c r="C536" s="2" t="s">
        <v>13</v>
      </c>
      <c r="D536" s="2" t="s">
        <v>12</v>
      </c>
      <c r="E536" s="2" t="s">
        <v>67</v>
      </c>
      <c r="F536" s="2" t="str">
        <f>HYPERLINK("http://bbs.12365auto.com/postcontent.aspx?tID=195490","http://bbs.12365auto.com/postcontent.aspx?tID=195490")</f>
        <v>http://bbs.12365auto.com/postcontent.aspx?tID=195490</v>
      </c>
      <c r="G536" s="2"/>
      <c r="H536" s="2" t="s">
        <v>880</v>
      </c>
      <c r="I536" s="2" t="s">
        <v>15</v>
      </c>
      <c r="J536" s="2" t="s">
        <v>878</v>
      </c>
      <c r="K536" s="2" t="s">
        <v>879</v>
      </c>
      <c r="L536" s="2">
        <f t="shared" si="8"/>
        <v>150</v>
      </c>
    </row>
    <row r="537" spans="1:12" ht="25" customHeight="1">
      <c r="A537" s="2" t="s">
        <v>12</v>
      </c>
      <c r="B537" s="2" t="str">
        <f>HYPERLINK("http://bbs.12365auto.com/postcontent.aspx?tID=195489","菲斯塔内饰有黄斑内饰质量不行呀")</f>
        <v>菲斯塔内饰有黄斑内饰质量不行呀</v>
      </c>
      <c r="C537" s="2" t="s">
        <v>13</v>
      </c>
      <c r="D537" s="2" t="s">
        <v>12</v>
      </c>
      <c r="E537" s="2" t="s">
        <v>67</v>
      </c>
      <c r="F537" s="2" t="str">
        <f>HYPERLINK("http://bbs.12365auto.com/postcontent.aspx?tID=195489","http://bbs.12365auto.com/postcontent.aspx?tID=195489")</f>
        <v>http://bbs.12365auto.com/postcontent.aspx?tID=195489</v>
      </c>
      <c r="G537" s="2"/>
      <c r="H537" s="2" t="s">
        <v>881</v>
      </c>
      <c r="I537" s="2" t="s">
        <v>15</v>
      </c>
      <c r="J537" s="2" t="s">
        <v>882</v>
      </c>
      <c r="K537" s="2" t="s">
        <v>883</v>
      </c>
      <c r="L537" s="2">
        <f t="shared" si="8"/>
        <v>150</v>
      </c>
    </row>
    <row r="538" spans="1:12" ht="25" customHeight="1">
      <c r="A538" s="2" t="s">
        <v>12</v>
      </c>
      <c r="B538" s="2" t="str">
        <f>HYPERLINK("http://bbs.12365auto.com/postcontent.aspx?tId=195489","菲斯塔内饰有黄斑内饰质量不行呀")</f>
        <v>菲斯塔内饰有黄斑内饰质量不行呀</v>
      </c>
      <c r="C538" s="2" t="s">
        <v>13</v>
      </c>
      <c r="D538" s="2" t="s">
        <v>12</v>
      </c>
      <c r="E538" s="2" t="s">
        <v>66</v>
      </c>
      <c r="F538" s="2" t="str">
        <f>HYPERLINK("http://bbs.12365auto.com/postcontent.aspx?tId=195489","http://bbs.12365auto.com/postcontent.aspx?tId=195489")</f>
        <v>http://bbs.12365auto.com/postcontent.aspx?tId=195489</v>
      </c>
      <c r="G538" s="2"/>
      <c r="H538" s="2" t="s">
        <v>884</v>
      </c>
      <c r="I538" s="2" t="s">
        <v>15</v>
      </c>
      <c r="J538" s="2" t="s">
        <v>882</v>
      </c>
      <c r="K538" s="2" t="s">
        <v>883</v>
      </c>
      <c r="L538" s="2">
        <f t="shared" si="8"/>
        <v>150</v>
      </c>
    </row>
    <row r="539" spans="1:12" ht="25" customHeight="1">
      <c r="A539" s="2" t="s">
        <v>12</v>
      </c>
      <c r="B539" s="2" t="str">
        <f>HYPERLINK("http://m.12365auto.com/bbs/postcontent.aspx?tID=195489","菲斯塔内饰有黄斑内饰质量不行呀")</f>
        <v>菲斯塔内饰有黄斑内饰质量不行呀</v>
      </c>
      <c r="C539" s="2" t="s">
        <v>13</v>
      </c>
      <c r="D539" s="2" t="s">
        <v>23</v>
      </c>
      <c r="E539" s="2"/>
      <c r="F539" s="2" t="str">
        <f>HYPERLINK("http://m.12365auto.com/bbs/postcontent.aspx?tID=195489","http://m.12365auto.com/bbs/postcontent.aspx?tID=195489")</f>
        <v>http://m.12365auto.com/bbs/postcontent.aspx?tID=195489</v>
      </c>
      <c r="G539" s="2"/>
      <c r="H539" s="2" t="s">
        <v>884</v>
      </c>
      <c r="I539" s="2" t="s">
        <v>15</v>
      </c>
      <c r="J539" s="2" t="s">
        <v>882</v>
      </c>
      <c r="K539" s="2" t="s">
        <v>883</v>
      </c>
      <c r="L539" s="2">
        <f t="shared" si="8"/>
        <v>150</v>
      </c>
    </row>
    <row r="540" spans="1:12" ht="25" customHeight="1">
      <c r="A540" s="2" t="s">
        <v>12</v>
      </c>
      <c r="B540" s="2" t="str">
        <f>HYPERLINK("http://m.12365auto.com/xcdg/20200228/419840.shtml","不到十万 定位刚需年轻消费者的奕炫如何？")</f>
        <v>不到十万 定位刚需年轻消费者的奕炫如何？</v>
      </c>
      <c r="C540" s="2" t="s">
        <v>13</v>
      </c>
      <c r="D540" s="2" t="s">
        <v>12</v>
      </c>
      <c r="E540" s="2"/>
      <c r="F540" s="2" t="str">
        <f>HYPERLINK("http://m.12365auto.com/xcdg/20200228/419840.shtml","http://m.12365auto.com/xcdg/20200228/419840.shtml")</f>
        <v>http://m.12365auto.com/xcdg/20200228/419840.shtml</v>
      </c>
      <c r="G540" s="2"/>
      <c r="H540" s="2" t="s">
        <v>885</v>
      </c>
      <c r="I540" s="2" t="s">
        <v>19</v>
      </c>
      <c r="J540" s="2" t="s">
        <v>844</v>
      </c>
      <c r="K540" s="2" t="s">
        <v>883</v>
      </c>
      <c r="L540" s="2">
        <f t="shared" si="8"/>
        <v>150</v>
      </c>
    </row>
    <row r="541" spans="1:12" ht="25" customHeight="1">
      <c r="A541" s="2" t="s">
        <v>12</v>
      </c>
      <c r="B541" s="2" t="str">
        <f>HYPERLINK("http://bbs.12365auto.com/postcontent.aspx?tID=195487","红旗H5高速时发动机熄火了")</f>
        <v>红旗H5高速时发动机熄火了</v>
      </c>
      <c r="C541" s="2" t="s">
        <v>13</v>
      </c>
      <c r="D541" s="2" t="s">
        <v>12</v>
      </c>
      <c r="E541" s="2" t="s">
        <v>67</v>
      </c>
      <c r="F541" s="2" t="str">
        <f>HYPERLINK("http://bbs.12365auto.com/postcontent.aspx?tID=195487","http://bbs.12365auto.com/postcontent.aspx?tID=195487")</f>
        <v>http://bbs.12365auto.com/postcontent.aspx?tID=195487</v>
      </c>
      <c r="G541" s="2"/>
      <c r="H541" s="2" t="s">
        <v>886</v>
      </c>
      <c r="I541" s="2" t="s">
        <v>15</v>
      </c>
      <c r="J541" s="2" t="s">
        <v>887</v>
      </c>
      <c r="K541" s="2" t="s">
        <v>888</v>
      </c>
      <c r="L541" s="2">
        <f t="shared" si="8"/>
        <v>150</v>
      </c>
    </row>
    <row r="542" spans="1:12" ht="25" customHeight="1">
      <c r="A542" s="2" t="s">
        <v>12</v>
      </c>
      <c r="B542" s="2" t="str">
        <f>HYPERLINK("http://bbs.12365auto.com/postcontent.aspx?tID=195488","途昂转弯时有异响是转向机的问题吗")</f>
        <v>途昂转弯时有异响是转向机的问题吗</v>
      </c>
      <c r="C542" s="2" t="s">
        <v>13</v>
      </c>
      <c r="D542" s="2" t="s">
        <v>12</v>
      </c>
      <c r="E542" s="2" t="s">
        <v>67</v>
      </c>
      <c r="F542" s="2" t="str">
        <f>HYPERLINK("http://bbs.12365auto.com/postcontent.aspx?tID=195488","http://bbs.12365auto.com/postcontent.aspx?tID=195488")</f>
        <v>http://bbs.12365auto.com/postcontent.aspx?tID=195488</v>
      </c>
      <c r="G542" s="2"/>
      <c r="H542" s="2" t="s">
        <v>889</v>
      </c>
      <c r="I542" s="2" t="s">
        <v>15</v>
      </c>
      <c r="J542" s="2" t="s">
        <v>890</v>
      </c>
      <c r="K542" s="2" t="s">
        <v>888</v>
      </c>
      <c r="L542" s="2">
        <f t="shared" si="8"/>
        <v>150</v>
      </c>
    </row>
    <row r="543" spans="1:12" ht="25" customHeight="1">
      <c r="A543" s="2" t="s">
        <v>12</v>
      </c>
      <c r="B543" s="2" t="str">
        <f>HYPERLINK("http://bbs.12365auto.com/postcontent.aspx?tId=195487","红旗H5高速时发动机熄火了")</f>
        <v>红旗H5高速时发动机熄火了</v>
      </c>
      <c r="C543" s="2" t="s">
        <v>13</v>
      </c>
      <c r="D543" s="2" t="s">
        <v>12</v>
      </c>
      <c r="E543" s="2" t="s">
        <v>66</v>
      </c>
      <c r="F543" s="2" t="str">
        <f>HYPERLINK("http://bbs.12365auto.com/postcontent.aspx?tId=195487","http://bbs.12365auto.com/postcontent.aspx?tId=195487")</f>
        <v>http://bbs.12365auto.com/postcontent.aspx?tId=195487</v>
      </c>
      <c r="G543" s="2"/>
      <c r="H543" s="2" t="s">
        <v>891</v>
      </c>
      <c r="I543" s="2" t="s">
        <v>15</v>
      </c>
      <c r="J543" s="2" t="s">
        <v>887</v>
      </c>
      <c r="K543" s="2" t="s">
        <v>888</v>
      </c>
      <c r="L543" s="2">
        <f t="shared" si="8"/>
        <v>150</v>
      </c>
    </row>
    <row r="544" spans="1:12" ht="25" customHeight="1">
      <c r="A544" s="2" t="s">
        <v>12</v>
      </c>
      <c r="B544" s="2" t="str">
        <f>HYPERLINK("http://bbs.12365auto.com/postcontent.aspx?tId=195488","途昂转弯时有异响是转向机的问题吗")</f>
        <v>途昂转弯时有异响是转向机的问题吗</v>
      </c>
      <c r="C544" s="2" t="s">
        <v>13</v>
      </c>
      <c r="D544" s="2" t="s">
        <v>12</v>
      </c>
      <c r="E544" s="2" t="s">
        <v>66</v>
      </c>
      <c r="F544" s="2" t="str">
        <f>HYPERLINK("http://bbs.12365auto.com/postcontent.aspx?tId=195488","http://bbs.12365auto.com/postcontent.aspx?tId=195488")</f>
        <v>http://bbs.12365auto.com/postcontent.aspx?tId=195488</v>
      </c>
      <c r="G544" s="2"/>
      <c r="H544" s="2" t="s">
        <v>892</v>
      </c>
      <c r="I544" s="2" t="s">
        <v>15</v>
      </c>
      <c r="J544" s="2" t="s">
        <v>890</v>
      </c>
      <c r="K544" s="2" t="s">
        <v>888</v>
      </c>
      <c r="L544" s="2">
        <f t="shared" si="8"/>
        <v>150</v>
      </c>
    </row>
    <row r="545" spans="1:12" ht="25" customHeight="1">
      <c r="A545" s="2" t="s">
        <v>12</v>
      </c>
      <c r="B545" s="2" t="str">
        <f>HYPERLINK("http://m.12365auto.com/bbs/postcontent.aspx?tID=195487","红旗H5高速时发动机熄火了")</f>
        <v>红旗H5高速时发动机熄火了</v>
      </c>
      <c r="C545" s="2" t="s">
        <v>13</v>
      </c>
      <c r="D545" s="2" t="s">
        <v>23</v>
      </c>
      <c r="E545" s="2"/>
      <c r="F545" s="2" t="str">
        <f>HYPERLINK("http://m.12365auto.com/bbs/postcontent.aspx?tID=195487","http://m.12365auto.com/bbs/postcontent.aspx?tID=195487")</f>
        <v>http://m.12365auto.com/bbs/postcontent.aspx?tID=195487</v>
      </c>
      <c r="G545" s="2"/>
      <c r="H545" s="2" t="s">
        <v>891</v>
      </c>
      <c r="I545" s="2" t="s">
        <v>15</v>
      </c>
      <c r="J545" s="2" t="s">
        <v>887</v>
      </c>
      <c r="K545" s="2" t="s">
        <v>888</v>
      </c>
      <c r="L545" s="2">
        <f t="shared" si="8"/>
        <v>150</v>
      </c>
    </row>
    <row r="546" spans="1:12" ht="25" customHeight="1">
      <c r="A546" s="2" t="s">
        <v>12</v>
      </c>
      <c r="B546" s="2" t="str">
        <f>HYPERLINK("http://m.12365auto.com/bbs/postcontent.aspx?tID=195488","途昂转弯时有异响是转向机的问题吗")</f>
        <v>途昂转弯时有异响是转向机的问题吗</v>
      </c>
      <c r="C546" s="2" t="s">
        <v>13</v>
      </c>
      <c r="D546" s="2" t="s">
        <v>23</v>
      </c>
      <c r="E546" s="2"/>
      <c r="F546" s="2" t="str">
        <f>HYPERLINK("http://m.12365auto.com/bbs/postcontent.aspx?tID=195488","http://m.12365auto.com/bbs/postcontent.aspx?tID=195488")</f>
        <v>http://m.12365auto.com/bbs/postcontent.aspx?tID=195488</v>
      </c>
      <c r="G546" s="2"/>
      <c r="H546" s="2" t="s">
        <v>892</v>
      </c>
      <c r="I546" s="2" t="s">
        <v>15</v>
      </c>
      <c r="J546" s="2" t="s">
        <v>890</v>
      </c>
      <c r="K546" s="2" t="s">
        <v>888</v>
      </c>
      <c r="L546" s="2">
        <f t="shared" si="8"/>
        <v>150</v>
      </c>
    </row>
    <row r="547" spans="1:12" ht="25" customHeight="1">
      <c r="A547" s="2" t="s">
        <v>12</v>
      </c>
      <c r="B547" s="2" t="str">
        <f>HYPERLINK("http://bbs.12365auto.com/postcontent.aspx?tID=195486","远景X6制动漏油质量不行呀")</f>
        <v>远景X6制动漏油质量不行呀</v>
      </c>
      <c r="C547" s="2" t="s">
        <v>13</v>
      </c>
      <c r="D547" s="2" t="s">
        <v>12</v>
      </c>
      <c r="E547" s="2" t="s">
        <v>67</v>
      </c>
      <c r="F547" s="2" t="str">
        <f>HYPERLINK("http://bbs.12365auto.com/postcontent.aspx?tID=195486","http://bbs.12365auto.com/postcontent.aspx?tID=195486")</f>
        <v>http://bbs.12365auto.com/postcontent.aspx?tID=195486</v>
      </c>
      <c r="G547" s="2"/>
      <c r="H547" s="2" t="s">
        <v>893</v>
      </c>
      <c r="I547" s="2" t="s">
        <v>15</v>
      </c>
      <c r="J547" s="2" t="s">
        <v>894</v>
      </c>
      <c r="K547" s="2" t="s">
        <v>895</v>
      </c>
      <c r="L547" s="2">
        <f t="shared" si="8"/>
        <v>150</v>
      </c>
    </row>
    <row r="548" spans="1:12" ht="25" customHeight="1">
      <c r="A548" s="2" t="s">
        <v>12</v>
      </c>
      <c r="B548" s="2" t="str">
        <f>HYPERLINK("http://bbs.12365auto.com/postcontent.aspx?tId=195486","远景X6制动漏油质量不行呀")</f>
        <v>远景X6制动漏油质量不行呀</v>
      </c>
      <c r="C548" s="2" t="s">
        <v>13</v>
      </c>
      <c r="D548" s="2" t="s">
        <v>12</v>
      </c>
      <c r="E548" s="2" t="s">
        <v>66</v>
      </c>
      <c r="F548" s="2" t="str">
        <f>HYPERLINK("http://bbs.12365auto.com/postcontent.aspx?tId=195486","http://bbs.12365auto.com/postcontent.aspx?tId=195486")</f>
        <v>http://bbs.12365auto.com/postcontent.aspx?tId=195486</v>
      </c>
      <c r="G548" s="2"/>
      <c r="H548" s="2" t="s">
        <v>896</v>
      </c>
      <c r="I548" s="2" t="s">
        <v>15</v>
      </c>
      <c r="J548" s="2" t="s">
        <v>894</v>
      </c>
      <c r="K548" s="2" t="s">
        <v>895</v>
      </c>
      <c r="L548" s="2">
        <f t="shared" si="8"/>
        <v>150</v>
      </c>
    </row>
    <row r="549" spans="1:12" ht="25" customHeight="1">
      <c r="A549" s="2" t="s">
        <v>12</v>
      </c>
      <c r="B549" s="2" t="str">
        <f>HYPERLINK("http://m.12365auto.com/bbs/postcontent.aspx?tID=195486","远景X6制动漏油质量不行呀")</f>
        <v>远景X6制动漏油质量不行呀</v>
      </c>
      <c r="C549" s="2" t="s">
        <v>13</v>
      </c>
      <c r="D549" s="2" t="s">
        <v>23</v>
      </c>
      <c r="E549" s="2"/>
      <c r="F549" s="2" t="str">
        <f>HYPERLINK("http://m.12365auto.com/bbs/postcontent.aspx?tID=195486","http://m.12365auto.com/bbs/postcontent.aspx?tID=195486")</f>
        <v>http://m.12365auto.com/bbs/postcontent.aspx?tID=195486</v>
      </c>
      <c r="G549" s="2"/>
      <c r="H549" s="2" t="s">
        <v>896</v>
      </c>
      <c r="I549" s="2" t="s">
        <v>15</v>
      </c>
      <c r="J549" s="2" t="s">
        <v>894</v>
      </c>
      <c r="K549" s="2" t="s">
        <v>895</v>
      </c>
      <c r="L549" s="2">
        <f t="shared" si="8"/>
        <v>150</v>
      </c>
    </row>
    <row r="550" spans="1:12" ht="25" customHeight="1">
      <c r="A550" s="2" t="s">
        <v>12</v>
      </c>
      <c r="B550" s="2" t="str">
        <f>HYPERLINK("http://m.12365auto.com/xcdg/20200228/419839.shtml","是三缸还是价格影响了销量？简析别克威朗")</f>
        <v>是三缸还是价格影响了销量？简析别克威朗</v>
      </c>
      <c r="C550" s="2" t="s">
        <v>13</v>
      </c>
      <c r="D550" s="2" t="s">
        <v>12</v>
      </c>
      <c r="E550" s="2"/>
      <c r="F550" s="2" t="str">
        <f>HYPERLINK("http://m.12365auto.com/xcdg/20200228/419839.shtml","http://m.12365auto.com/xcdg/20200228/419839.shtml")</f>
        <v>http://m.12365auto.com/xcdg/20200228/419839.shtml</v>
      </c>
      <c r="G550" s="2"/>
      <c r="H550" s="2" t="s">
        <v>897</v>
      </c>
      <c r="I550" s="2" t="s">
        <v>19</v>
      </c>
      <c r="J550" s="2" t="s">
        <v>849</v>
      </c>
      <c r="K550" s="2" t="s">
        <v>895</v>
      </c>
      <c r="L550" s="2">
        <f t="shared" si="8"/>
        <v>150</v>
      </c>
    </row>
    <row r="551" spans="1:12" ht="25" customHeight="1">
      <c r="A551" s="2" t="s">
        <v>12</v>
      </c>
      <c r="B551" s="2" t="str">
        <f>HYPERLINK("http://bbs.12365auto.com/postcontent.aspx?tID=195484","高尔夫变速箱挂挡后车走不了了")</f>
        <v>高尔夫变速箱挂挡后车走不了了</v>
      </c>
      <c r="C551" s="2" t="s">
        <v>13</v>
      </c>
      <c r="D551" s="2" t="s">
        <v>12</v>
      </c>
      <c r="E551" s="2" t="s">
        <v>67</v>
      </c>
      <c r="F551" s="2" t="str">
        <f>HYPERLINK("http://bbs.12365auto.com/postcontent.aspx?tID=195484","http://bbs.12365auto.com/postcontent.aspx?tID=195484")</f>
        <v>http://bbs.12365auto.com/postcontent.aspx?tID=195484</v>
      </c>
      <c r="G551" s="2"/>
      <c r="H551" s="2" t="s">
        <v>898</v>
      </c>
      <c r="I551" s="2" t="s">
        <v>15</v>
      </c>
      <c r="J551" s="2" t="s">
        <v>899</v>
      </c>
      <c r="K551" s="2" t="s">
        <v>900</v>
      </c>
      <c r="L551" s="2">
        <f t="shared" si="8"/>
        <v>150</v>
      </c>
    </row>
    <row r="552" spans="1:12" ht="25" customHeight="1">
      <c r="A552" s="2" t="s">
        <v>12</v>
      </c>
      <c r="B552" s="2" t="str">
        <f>HYPERLINK("http://bbs.12365auto.com/postcontent.aspx?tID=195485","炮尾气检测不合格上不了牌了")</f>
        <v>炮尾气检测不合格上不了牌了</v>
      </c>
      <c r="C552" s="2" t="s">
        <v>13</v>
      </c>
      <c r="D552" s="2" t="s">
        <v>12</v>
      </c>
      <c r="E552" s="2" t="s">
        <v>67</v>
      </c>
      <c r="F552" s="2" t="str">
        <f>HYPERLINK("http://bbs.12365auto.com/postcontent.aspx?tID=195485","http://bbs.12365auto.com/postcontent.aspx?tID=195485")</f>
        <v>http://bbs.12365auto.com/postcontent.aspx?tID=195485</v>
      </c>
      <c r="G552" s="2"/>
      <c r="H552" s="2" t="s">
        <v>901</v>
      </c>
      <c r="I552" s="2" t="s">
        <v>15</v>
      </c>
      <c r="J552" s="2" t="s">
        <v>902</v>
      </c>
      <c r="K552" s="2" t="s">
        <v>900</v>
      </c>
      <c r="L552" s="2">
        <f t="shared" si="8"/>
        <v>87</v>
      </c>
    </row>
    <row r="553" spans="1:12" ht="25" customHeight="1">
      <c r="A553" s="2" t="s">
        <v>12</v>
      </c>
      <c r="B553" s="2" t="str">
        <f>HYPERLINK("http://bbs.12365auto.com/postcontent.aspx?tId=195485","炮尾气检测不合格上不了牌了")</f>
        <v>炮尾气检测不合格上不了牌了</v>
      </c>
      <c r="C553" s="2" t="s">
        <v>13</v>
      </c>
      <c r="D553" s="2" t="s">
        <v>12</v>
      </c>
      <c r="E553" s="2" t="s">
        <v>66</v>
      </c>
      <c r="F553" s="2" t="str">
        <f>HYPERLINK("http://bbs.12365auto.com/postcontent.aspx?tId=195485","http://bbs.12365auto.com/postcontent.aspx?tId=195485")</f>
        <v>http://bbs.12365auto.com/postcontent.aspx?tId=195485</v>
      </c>
      <c r="G553" s="2"/>
      <c r="H553" s="2" t="s">
        <v>903</v>
      </c>
      <c r="I553" s="2" t="s">
        <v>15</v>
      </c>
      <c r="J553" s="2" t="s">
        <v>902</v>
      </c>
      <c r="K553" s="2" t="s">
        <v>900</v>
      </c>
      <c r="L553" s="2">
        <f t="shared" si="8"/>
        <v>74</v>
      </c>
    </row>
    <row r="554" spans="1:12" ht="25" customHeight="1">
      <c r="A554" s="2" t="s">
        <v>12</v>
      </c>
      <c r="B554" s="2" t="str">
        <f>HYPERLINK("http://bbs.12365auto.com/postcontent.aspx?tId=195484","高尔夫变速箱挂挡后车走不了了")</f>
        <v>高尔夫变速箱挂挡后车走不了了</v>
      </c>
      <c r="C554" s="2" t="s">
        <v>13</v>
      </c>
      <c r="D554" s="2" t="s">
        <v>12</v>
      </c>
      <c r="E554" s="2" t="s">
        <v>66</v>
      </c>
      <c r="F554" s="2" t="str">
        <f>HYPERLINK("http://bbs.12365auto.com/postcontent.aspx?tId=195484","http://bbs.12365auto.com/postcontent.aspx?tId=195484")</f>
        <v>http://bbs.12365auto.com/postcontent.aspx?tId=195484</v>
      </c>
      <c r="G554" s="2"/>
      <c r="H554" s="2" t="s">
        <v>904</v>
      </c>
      <c r="I554" s="2" t="s">
        <v>15</v>
      </c>
      <c r="J554" s="2" t="s">
        <v>899</v>
      </c>
      <c r="K554" s="2" t="s">
        <v>900</v>
      </c>
      <c r="L554" s="2">
        <f t="shared" si="8"/>
        <v>150</v>
      </c>
    </row>
    <row r="555" spans="1:12" ht="25" customHeight="1">
      <c r="A555" s="2" t="s">
        <v>12</v>
      </c>
      <c r="B555" s="2" t="str">
        <f>HYPERLINK("http://bbs.12365auto.com/postcontent.aspx?tID=195483","远景变速箱损坏车都走不了了")</f>
        <v>远景变速箱损坏车都走不了了</v>
      </c>
      <c r="C555" s="2" t="s">
        <v>13</v>
      </c>
      <c r="D555" s="2" t="s">
        <v>12</v>
      </c>
      <c r="E555" s="2" t="s">
        <v>67</v>
      </c>
      <c r="F555" s="2" t="str">
        <f>HYPERLINK("http://bbs.12365auto.com/postcontent.aspx?tID=195483","http://bbs.12365auto.com/postcontent.aspx?tID=195483")</f>
        <v>http://bbs.12365auto.com/postcontent.aspx?tID=195483</v>
      </c>
      <c r="G555" s="2"/>
      <c r="H555" s="2" t="s">
        <v>905</v>
      </c>
      <c r="I555" s="2" t="s">
        <v>15</v>
      </c>
      <c r="J555" s="2" t="s">
        <v>906</v>
      </c>
      <c r="K555" s="2" t="s">
        <v>907</v>
      </c>
      <c r="L555" s="2">
        <f t="shared" si="8"/>
        <v>150</v>
      </c>
    </row>
    <row r="556" spans="1:12" ht="25" customHeight="1">
      <c r="A556" s="2" t="s">
        <v>12</v>
      </c>
      <c r="B556" s="2" t="str">
        <f>HYPERLINK("http://bbs.12365auto.com/postcontent.aspx?tId=195483","远景变速箱损坏车都走不了了")</f>
        <v>远景变速箱损坏车都走不了了</v>
      </c>
      <c r="C556" s="2" t="s">
        <v>13</v>
      </c>
      <c r="D556" s="2" t="s">
        <v>12</v>
      </c>
      <c r="E556" s="2" t="s">
        <v>66</v>
      </c>
      <c r="F556" s="2" t="str">
        <f>HYPERLINK("http://bbs.12365auto.com/postcontent.aspx?tId=195483","http://bbs.12365auto.com/postcontent.aspx?tId=195483")</f>
        <v>http://bbs.12365auto.com/postcontent.aspx?tId=195483</v>
      </c>
      <c r="G556" s="2"/>
      <c r="H556" s="2" t="s">
        <v>908</v>
      </c>
      <c r="I556" s="2" t="s">
        <v>15</v>
      </c>
      <c r="J556" s="2" t="s">
        <v>906</v>
      </c>
      <c r="K556" s="2" t="s">
        <v>907</v>
      </c>
      <c r="L556" s="2">
        <f t="shared" si="8"/>
        <v>150</v>
      </c>
    </row>
    <row r="557" spans="1:12" ht="25" customHeight="1">
      <c r="A557" s="2" t="s">
        <v>12</v>
      </c>
      <c r="B557" s="2" t="str">
        <f>HYPERLINK("http://m.12365auto.com/xcdg/20200228/419838.shtml","高颜值长续航 静态体验现代菲斯塔纯电动")</f>
        <v>高颜值长续航 静态体验现代菲斯塔纯电动</v>
      </c>
      <c r="C557" s="2" t="s">
        <v>13</v>
      </c>
      <c r="D557" s="2" t="s">
        <v>12</v>
      </c>
      <c r="E557" s="2"/>
      <c r="F557" s="2" t="str">
        <f>HYPERLINK("http://m.12365auto.com/xcdg/20200228/419838.shtml","http://m.12365auto.com/xcdg/20200228/419838.shtml")</f>
        <v>http://m.12365auto.com/xcdg/20200228/419838.shtml</v>
      </c>
      <c r="G557" s="2"/>
      <c r="H557" s="2" t="s">
        <v>909</v>
      </c>
      <c r="I557" s="2" t="s">
        <v>19</v>
      </c>
      <c r="J557" s="2" t="s">
        <v>910</v>
      </c>
      <c r="K557" s="2" t="s">
        <v>911</v>
      </c>
      <c r="L557" s="2">
        <f t="shared" si="8"/>
        <v>150</v>
      </c>
    </row>
    <row r="558" spans="1:12" ht="25" customHeight="1">
      <c r="A558" s="2" t="s">
        <v>12</v>
      </c>
      <c r="B558" s="2" t="str">
        <f>HYPERLINK("http://www.12365auto.com/xcdg/20200228/419837.shtml","福特Bullitt继任车型谍照 或命名为Mach 1")</f>
        <v>福特Bullitt继任车型谍照 或命名为Mach 1</v>
      </c>
      <c r="C558" s="2" t="s">
        <v>13</v>
      </c>
      <c r="D558" s="2" t="s">
        <v>12</v>
      </c>
      <c r="E558" s="2" t="s">
        <v>224</v>
      </c>
      <c r="F558" s="2" t="str">
        <f>HYPERLINK("http://www.12365auto.com/xcdg/20200228/419837.shtml","http://www.12365auto.com/xcdg/20200228/419837.shtml")</f>
        <v>http://www.12365auto.com/xcdg/20200228/419837.shtml</v>
      </c>
      <c r="G558" s="2"/>
      <c r="H558" s="2" t="s">
        <v>912</v>
      </c>
      <c r="I558" s="2" t="s">
        <v>15</v>
      </c>
      <c r="J558" s="2" t="s">
        <v>12</v>
      </c>
      <c r="K558" s="2" t="s">
        <v>913</v>
      </c>
      <c r="L558" s="2">
        <f t="shared" si="8"/>
        <v>150</v>
      </c>
    </row>
    <row r="559" spans="1:12" ht="25" customHeight="1">
      <c r="A559" s="2" t="s">
        <v>12</v>
      </c>
      <c r="B559" s="2" t="str">
        <f>HYPERLINK("http://m.12365auto.com/xcdg/20200228/419837.shtml","福特Bullitt继任车型谍照 或命名为Mach 1")</f>
        <v>福特Bullitt继任车型谍照 或命名为Mach 1</v>
      </c>
      <c r="C559" s="2" t="s">
        <v>13</v>
      </c>
      <c r="D559" s="2" t="s">
        <v>12</v>
      </c>
      <c r="E559" s="2"/>
      <c r="F559" s="2" t="str">
        <f>HYPERLINK("http://m.12365auto.com/xcdg/20200228/419837.shtml","http://m.12365auto.com/xcdg/20200228/419837.shtml")</f>
        <v>http://m.12365auto.com/xcdg/20200228/419837.shtml</v>
      </c>
      <c r="G559" s="2"/>
      <c r="H559" s="2" t="s">
        <v>914</v>
      </c>
      <c r="I559" s="2" t="s">
        <v>19</v>
      </c>
      <c r="J559" s="2" t="s">
        <v>12</v>
      </c>
      <c r="K559" s="2" t="s">
        <v>913</v>
      </c>
      <c r="L559" s="2">
        <f t="shared" si="8"/>
        <v>150</v>
      </c>
    </row>
    <row r="560" spans="1:12" ht="25" customHeight="1">
      <c r="A560" s="2" t="s">
        <v>12</v>
      </c>
      <c r="B560" s="2" t="str">
        <f>HYPERLINK("http://bbs.12365auto.com/postcontent.aspx?tID=195482","玛莎拉蒂总裁后期改装Fairy design")</f>
        <v>玛莎拉蒂总裁后期改装Fairy design</v>
      </c>
      <c r="C560" s="2" t="s">
        <v>13</v>
      </c>
      <c r="D560" s="2" t="s">
        <v>12</v>
      </c>
      <c r="E560" s="2" t="s">
        <v>915</v>
      </c>
      <c r="F560" s="2" t="str">
        <f>HYPERLINK("http://bbs.12365auto.com/postcontent.aspx?tID=195482","http://bbs.12365auto.com/postcontent.aspx?tID=195482")</f>
        <v>http://bbs.12365auto.com/postcontent.aspx?tID=195482</v>
      </c>
      <c r="G560" s="2"/>
      <c r="H560" s="2" t="s">
        <v>916</v>
      </c>
      <c r="I560" s="2" t="s">
        <v>15</v>
      </c>
      <c r="J560" s="2" t="s">
        <v>145</v>
      </c>
      <c r="K560" s="2" t="s">
        <v>917</v>
      </c>
      <c r="L560" s="2">
        <f t="shared" si="8"/>
        <v>51</v>
      </c>
    </row>
    <row r="561" spans="1:12" ht="25" customHeight="1">
      <c r="A561" s="2" t="s">
        <v>12</v>
      </c>
      <c r="B561" s="2" t="str">
        <f>HYPERLINK("http://bbs.12365auto.com/postcontent.aspx?tID=195481","思域召回后发动机机油还是增多")</f>
        <v>思域召回后发动机机油还是增多</v>
      </c>
      <c r="C561" s="2" t="s">
        <v>13</v>
      </c>
      <c r="D561" s="2" t="s">
        <v>12</v>
      </c>
      <c r="E561" s="2" t="s">
        <v>67</v>
      </c>
      <c r="F561" s="2" t="str">
        <f>HYPERLINK("http://bbs.12365auto.com/postcontent.aspx?tID=195481","http://bbs.12365auto.com/postcontent.aspx?tID=195481")</f>
        <v>http://bbs.12365auto.com/postcontent.aspx?tID=195481</v>
      </c>
      <c r="G561" s="2"/>
      <c r="H561" s="2" t="s">
        <v>918</v>
      </c>
      <c r="I561" s="2" t="s">
        <v>15</v>
      </c>
      <c r="J561" s="2" t="s">
        <v>919</v>
      </c>
      <c r="K561" s="2" t="s">
        <v>920</v>
      </c>
      <c r="L561" s="2">
        <f t="shared" si="8"/>
        <v>76</v>
      </c>
    </row>
    <row r="562" spans="1:12" ht="25" customHeight="1">
      <c r="A562" s="2" t="s">
        <v>12</v>
      </c>
      <c r="B562" s="2" t="str">
        <f>HYPERLINK("http://bbs.12365auto.com/postcontent.aspx?tId=195481","思域召回后发动机机油还是增多")</f>
        <v>思域召回后发动机机油还是增多</v>
      </c>
      <c r="C562" s="2" t="s">
        <v>13</v>
      </c>
      <c r="D562" s="2" t="s">
        <v>12</v>
      </c>
      <c r="E562" s="2" t="s">
        <v>66</v>
      </c>
      <c r="F562" s="2" t="str">
        <f>HYPERLINK("http://bbs.12365auto.com/postcontent.aspx?tId=195481","http://bbs.12365auto.com/postcontent.aspx?tId=195481")</f>
        <v>http://bbs.12365auto.com/postcontent.aspx?tId=195481</v>
      </c>
      <c r="G562" s="2"/>
      <c r="H562" s="2" t="s">
        <v>921</v>
      </c>
      <c r="I562" s="2" t="s">
        <v>15</v>
      </c>
      <c r="J562" s="2" t="s">
        <v>919</v>
      </c>
      <c r="K562" s="2" t="s">
        <v>920</v>
      </c>
      <c r="L562" s="2">
        <f t="shared" si="8"/>
        <v>62</v>
      </c>
    </row>
    <row r="563" spans="1:12" ht="25" customHeight="1">
      <c r="A563" s="2" t="s">
        <v>12</v>
      </c>
      <c r="B563" s="2" t="str">
        <f>HYPERLINK("http://bbs.12365auto.com/postcontent.aspx?tID=195480","艾瑞泽5后备箱漏水都可以养鱼了")</f>
        <v>艾瑞泽5后备箱漏水都可以养鱼了</v>
      </c>
      <c r="C563" s="2" t="s">
        <v>13</v>
      </c>
      <c r="D563" s="2" t="s">
        <v>12</v>
      </c>
      <c r="E563" s="2" t="s">
        <v>67</v>
      </c>
      <c r="F563" s="2" t="str">
        <f>HYPERLINK("http://bbs.12365auto.com/postcontent.aspx?tID=195480","http://bbs.12365auto.com/postcontent.aspx?tID=195480")</f>
        <v>http://bbs.12365auto.com/postcontent.aspx?tID=195480</v>
      </c>
      <c r="G563" s="2"/>
      <c r="H563" s="2" t="s">
        <v>922</v>
      </c>
      <c r="I563" s="2" t="s">
        <v>15</v>
      </c>
      <c r="J563" s="2" t="s">
        <v>923</v>
      </c>
      <c r="K563" s="2" t="s">
        <v>924</v>
      </c>
      <c r="L563" s="2">
        <f t="shared" si="8"/>
        <v>150</v>
      </c>
    </row>
    <row r="564" spans="1:12" ht="25" customHeight="1">
      <c r="A564" s="2" t="s">
        <v>12</v>
      </c>
      <c r="B564" s="2" t="str">
        <f>HYPERLINK("http://bbs.12365auto.com/postcontent.aspx?tId=195480","艾瑞泽5后备箱漏水都可以养鱼了")</f>
        <v>艾瑞泽5后备箱漏水都可以养鱼了</v>
      </c>
      <c r="C564" s="2" t="s">
        <v>13</v>
      </c>
      <c r="D564" s="2" t="s">
        <v>12</v>
      </c>
      <c r="E564" s="2" t="s">
        <v>66</v>
      </c>
      <c r="F564" s="2" t="str">
        <f>HYPERLINK("http://bbs.12365auto.com/postcontent.aspx?tId=195480","http://bbs.12365auto.com/postcontent.aspx?tId=195480")</f>
        <v>http://bbs.12365auto.com/postcontent.aspx?tId=195480</v>
      </c>
      <c r="G564" s="2"/>
      <c r="H564" s="2" t="s">
        <v>925</v>
      </c>
      <c r="I564" s="2" t="s">
        <v>15</v>
      </c>
      <c r="J564" s="2" t="s">
        <v>923</v>
      </c>
      <c r="K564" s="2" t="s">
        <v>924</v>
      </c>
      <c r="L564" s="2">
        <f t="shared" si="8"/>
        <v>150</v>
      </c>
    </row>
    <row r="565" spans="1:12" ht="25" customHeight="1">
      <c r="A565" s="2" t="s">
        <v>12</v>
      </c>
      <c r="B565" s="2" t="str">
        <f>HYPERLINK("http://www.12365auto.com/xcdg/20200228/419836.shtml","新款宝马iX3路试谍照曝光 或于三月份亮相")</f>
        <v>新款宝马iX3路试谍照曝光 或于三月份亮相</v>
      </c>
      <c r="C565" s="2" t="s">
        <v>13</v>
      </c>
      <c r="D565" s="2" t="s">
        <v>12</v>
      </c>
      <c r="E565" s="2" t="s">
        <v>224</v>
      </c>
      <c r="F565" s="2" t="str">
        <f>HYPERLINK("http://www.12365auto.com/xcdg/20200228/419836.shtml","http://www.12365auto.com/xcdg/20200228/419836.shtml")</f>
        <v>http://www.12365auto.com/xcdg/20200228/419836.shtml</v>
      </c>
      <c r="G565" s="2"/>
      <c r="H565" s="2" t="s">
        <v>926</v>
      </c>
      <c r="I565" s="2" t="s">
        <v>15</v>
      </c>
      <c r="J565" s="2" t="s">
        <v>12</v>
      </c>
      <c r="K565" s="2" t="s">
        <v>924</v>
      </c>
      <c r="L565" s="2">
        <f t="shared" si="8"/>
        <v>150</v>
      </c>
    </row>
    <row r="566" spans="1:12" ht="25" customHeight="1">
      <c r="A566" s="2" t="s">
        <v>12</v>
      </c>
      <c r="B566" s="2" t="str">
        <f>HYPERLINK("http://m.12365auto.com/xcdg/20200228/419836.shtml","新款宝马iX3路试谍照曝光 或于三月份亮相")</f>
        <v>新款宝马iX3路试谍照曝光 或于三月份亮相</v>
      </c>
      <c r="C566" s="2" t="s">
        <v>13</v>
      </c>
      <c r="D566" s="2" t="s">
        <v>12</v>
      </c>
      <c r="E566" s="2"/>
      <c r="F566" s="2" t="str">
        <f>HYPERLINK("http://m.12365auto.com/xcdg/20200228/419836.shtml","http://m.12365auto.com/xcdg/20200228/419836.shtml")</f>
        <v>http://m.12365auto.com/xcdg/20200228/419836.shtml</v>
      </c>
      <c r="G566" s="2"/>
      <c r="H566" s="2" t="s">
        <v>927</v>
      </c>
      <c r="I566" s="2" t="s">
        <v>19</v>
      </c>
      <c r="J566" s="2" t="s">
        <v>12</v>
      </c>
      <c r="K566" s="2" t="s">
        <v>924</v>
      </c>
      <c r="L566" s="2">
        <f t="shared" si="8"/>
        <v>150</v>
      </c>
    </row>
    <row r="567" spans="1:12" ht="25" customHeight="1">
      <c r="A567" s="2" t="s">
        <v>12</v>
      </c>
      <c r="B567" s="2" t="str">
        <f>HYPERLINK("http://m.12365auto.com/xcdg/20200228/419835.shtml","30万买Model 3还是ES6？ 简析蔚来ES6")</f>
        <v>30万买Model 3还是ES6？ 简析蔚来ES6</v>
      </c>
      <c r="C567" s="2" t="s">
        <v>13</v>
      </c>
      <c r="D567" s="2" t="s">
        <v>12</v>
      </c>
      <c r="E567" s="2"/>
      <c r="F567" s="2" t="str">
        <f>HYPERLINK("http://m.12365auto.com/xcdg/20200228/419835.shtml","http://m.12365auto.com/xcdg/20200228/419835.shtml")</f>
        <v>http://m.12365auto.com/xcdg/20200228/419835.shtml</v>
      </c>
      <c r="G567" s="2"/>
      <c r="H567" s="2" t="s">
        <v>928</v>
      </c>
      <c r="I567" s="2" t="s">
        <v>19</v>
      </c>
      <c r="J567" s="2" t="s">
        <v>849</v>
      </c>
      <c r="K567" s="2" t="s">
        <v>929</v>
      </c>
      <c r="L567" s="2">
        <f t="shared" si="8"/>
        <v>150</v>
      </c>
    </row>
    <row r="568" spans="1:12" ht="25" customHeight="1">
      <c r="A568" s="2" t="s">
        <v>12</v>
      </c>
      <c r="B568" s="2" t="str">
        <f>HYPERLINK("http://m.12365auto.com/xcdg/20200228/419834.shtml","国产硬派越野的骄傲 哈弗H9是否值得推荐？")</f>
        <v>国产硬派越野的骄傲 哈弗H9是否值得推荐？</v>
      </c>
      <c r="C568" s="2" t="s">
        <v>13</v>
      </c>
      <c r="D568" s="2" t="s">
        <v>12</v>
      </c>
      <c r="E568" s="2"/>
      <c r="F568" s="2" t="str">
        <f>HYPERLINK("http://m.12365auto.com/xcdg/20200228/419834.shtml","http://m.12365auto.com/xcdg/20200228/419834.shtml")</f>
        <v>http://m.12365auto.com/xcdg/20200228/419834.shtml</v>
      </c>
      <c r="G568" s="2"/>
      <c r="H568" s="2" t="s">
        <v>930</v>
      </c>
      <c r="I568" s="2" t="s">
        <v>19</v>
      </c>
      <c r="J568" s="2" t="s">
        <v>844</v>
      </c>
      <c r="K568" s="2" t="s">
        <v>931</v>
      </c>
      <c r="L568" s="2">
        <f t="shared" si="8"/>
        <v>150</v>
      </c>
    </row>
    <row r="569" spans="1:12" ht="25" customHeight="1">
      <c r="A569" s="2" t="s">
        <v>12</v>
      </c>
      <c r="B569" s="2" t="str">
        <f>HYPERLINK("http://m.12365auto.com/xcdg/20200228/419833.shtml","提到国产就质疑？简析北京奔驰AMG A 35 L")</f>
        <v>提到国产就质疑？简析北京奔驰AMG A 35 L</v>
      </c>
      <c r="C569" s="2" t="s">
        <v>13</v>
      </c>
      <c r="D569" s="2" t="s">
        <v>12</v>
      </c>
      <c r="E569" s="2"/>
      <c r="F569" s="2" t="str">
        <f>HYPERLINK("http://m.12365auto.com/xcdg/20200228/419833.shtml","http://m.12365auto.com/xcdg/20200228/419833.shtml")</f>
        <v>http://m.12365auto.com/xcdg/20200228/419833.shtml</v>
      </c>
      <c r="G569" s="2"/>
      <c r="H569" s="2" t="s">
        <v>932</v>
      </c>
      <c r="I569" s="2" t="s">
        <v>19</v>
      </c>
      <c r="J569" s="2" t="s">
        <v>849</v>
      </c>
      <c r="K569" s="2" t="s">
        <v>933</v>
      </c>
      <c r="L569" s="2">
        <f t="shared" si="8"/>
        <v>150</v>
      </c>
    </row>
    <row r="570" spans="1:12" ht="25" customHeight="1">
      <c r="A570" s="2" t="s">
        <v>12</v>
      </c>
      <c r="B570" s="2" t="str">
        <f>HYPERLINK("http://m.12365auto.com/bbs/postcontent.aspx?tID=195479","最低22万可以买豪华SUV 开回去过年有面子")</f>
        <v>最低22万可以买豪华SUV 开回去过年有面子</v>
      </c>
      <c r="C570" s="2" t="s">
        <v>13</v>
      </c>
      <c r="D570" s="2" t="s">
        <v>23</v>
      </c>
      <c r="E570" s="2"/>
      <c r="F570" s="2" t="str">
        <f>HYPERLINK("http://m.12365auto.com/bbs/postcontent.aspx?tID=195479","http://m.12365auto.com/bbs/postcontent.aspx?tID=195479")</f>
        <v>http://m.12365auto.com/bbs/postcontent.aspx?tID=195479</v>
      </c>
      <c r="G570" s="2"/>
      <c r="H570" s="2" t="s">
        <v>934</v>
      </c>
      <c r="I570" s="2" t="s">
        <v>15</v>
      </c>
      <c r="J570" s="2" t="s">
        <v>935</v>
      </c>
      <c r="K570" s="2" t="s">
        <v>936</v>
      </c>
      <c r="L570" s="2">
        <f t="shared" si="8"/>
        <v>150</v>
      </c>
    </row>
    <row r="571" spans="1:12" ht="25" customHeight="1">
      <c r="A571" s="2" t="s">
        <v>12</v>
      </c>
      <c r="B571" s="2" t="str">
        <f>HYPERLINK("http://m.12365auto.com/bbs/postcontent.aspx?tID=195477","这几款刚上市的豪车 不降几万没人买单")</f>
        <v>这几款刚上市的豪车 不降几万没人买单</v>
      </c>
      <c r="C571" s="2" t="s">
        <v>13</v>
      </c>
      <c r="D571" s="2" t="s">
        <v>23</v>
      </c>
      <c r="E571" s="2"/>
      <c r="F571" s="2" t="str">
        <f>HYPERLINK("http://m.12365auto.com/bbs/postcontent.aspx?tID=195477","http://m.12365auto.com/bbs/postcontent.aspx?tID=195477")</f>
        <v>http://m.12365auto.com/bbs/postcontent.aspx?tID=195477</v>
      </c>
      <c r="G571" s="2"/>
      <c r="H571" s="2" t="s">
        <v>937</v>
      </c>
      <c r="I571" s="2" t="s">
        <v>15</v>
      </c>
      <c r="J571" s="2" t="s">
        <v>935</v>
      </c>
      <c r="K571" s="2" t="s">
        <v>936</v>
      </c>
      <c r="L571" s="2">
        <f t="shared" si="8"/>
        <v>150</v>
      </c>
    </row>
    <row r="572" spans="1:12" ht="25" customHeight="1">
      <c r="A572" s="2" t="s">
        <v>12</v>
      </c>
      <c r="B572" s="2" t="str">
        <f>HYPERLINK("http://m.12365auto.com/bbs/postcontent.aspx?tID=195478","公认的几款国产省油SUV 不接受任何反驳")</f>
        <v>公认的几款国产省油SUV 不接受任何反驳</v>
      </c>
      <c r="C572" s="2" t="s">
        <v>13</v>
      </c>
      <c r="D572" s="2" t="s">
        <v>23</v>
      </c>
      <c r="E572" s="2"/>
      <c r="F572" s="2" t="str">
        <f>HYPERLINK("http://m.12365auto.com/bbs/postcontent.aspx?tID=195478","http://m.12365auto.com/bbs/postcontent.aspx?tID=195478")</f>
        <v>http://m.12365auto.com/bbs/postcontent.aspx?tID=195478</v>
      </c>
      <c r="G572" s="2"/>
      <c r="H572" s="2" t="s">
        <v>938</v>
      </c>
      <c r="I572" s="2" t="s">
        <v>15</v>
      </c>
      <c r="J572" s="2" t="s">
        <v>935</v>
      </c>
      <c r="K572" s="2" t="s">
        <v>936</v>
      </c>
      <c r="L572" s="2">
        <f t="shared" si="8"/>
        <v>150</v>
      </c>
    </row>
    <row r="573" spans="1:12" ht="25" customHeight="1">
      <c r="A573" s="2" t="s">
        <v>12</v>
      </c>
      <c r="B573" s="2" t="str">
        <f>HYPERLINK("http://bbs.12365auto.com/postcontent.aspx?tID=195479","最低22万可以买豪华SUV 开回去过年有面子")</f>
        <v>最低22万可以买豪华SUV 开回去过年有面子</v>
      </c>
      <c r="C573" s="2" t="s">
        <v>13</v>
      </c>
      <c r="D573" s="2" t="s">
        <v>12</v>
      </c>
      <c r="E573" s="2" t="s">
        <v>214</v>
      </c>
      <c r="F573" s="2" t="str">
        <f>HYPERLINK("http://bbs.12365auto.com/postcontent.aspx?tID=195479","http://bbs.12365auto.com/postcontent.aspx?tID=195479")</f>
        <v>http://bbs.12365auto.com/postcontent.aspx?tID=195479</v>
      </c>
      <c r="G573" s="2"/>
      <c r="H573" s="2" t="s">
        <v>939</v>
      </c>
      <c r="I573" s="2" t="s">
        <v>15</v>
      </c>
      <c r="J573" s="2" t="s">
        <v>935</v>
      </c>
      <c r="K573" s="2" t="s">
        <v>936</v>
      </c>
      <c r="L573" s="2">
        <f t="shared" si="8"/>
        <v>150</v>
      </c>
    </row>
    <row r="574" spans="1:12" ht="25" customHeight="1">
      <c r="A574" s="2" t="s">
        <v>12</v>
      </c>
      <c r="B574" s="2" t="str">
        <f>HYPERLINK("http://bbs.12365auto.com/postcontent.aspx?tID=195477","这几款刚上市的豪车 不降几万没人买单")</f>
        <v>这几款刚上市的豪车 不降几万没人买单</v>
      </c>
      <c r="C574" s="2" t="s">
        <v>13</v>
      </c>
      <c r="D574" s="2" t="s">
        <v>12</v>
      </c>
      <c r="E574" s="2" t="s">
        <v>214</v>
      </c>
      <c r="F574" s="2" t="str">
        <f>HYPERLINK("http://bbs.12365auto.com/postcontent.aspx?tID=195477","http://bbs.12365auto.com/postcontent.aspx?tID=195477")</f>
        <v>http://bbs.12365auto.com/postcontent.aspx?tID=195477</v>
      </c>
      <c r="G574" s="2"/>
      <c r="H574" s="2" t="s">
        <v>940</v>
      </c>
      <c r="I574" s="2" t="s">
        <v>15</v>
      </c>
      <c r="J574" s="2" t="s">
        <v>935</v>
      </c>
      <c r="K574" s="2" t="s">
        <v>936</v>
      </c>
      <c r="L574" s="2">
        <f t="shared" si="8"/>
        <v>150</v>
      </c>
    </row>
    <row r="575" spans="1:12" ht="25" customHeight="1">
      <c r="A575" s="2" t="s">
        <v>12</v>
      </c>
      <c r="B575" s="2" t="str">
        <f>HYPERLINK("http://bbs.12365auto.com/postcontent.aspx?tID=195478","公认的几款国产省油SUV 不接受任何反驳")</f>
        <v>公认的几款国产省油SUV 不接受任何反驳</v>
      </c>
      <c r="C575" s="2" t="s">
        <v>13</v>
      </c>
      <c r="D575" s="2" t="s">
        <v>12</v>
      </c>
      <c r="E575" s="2" t="s">
        <v>214</v>
      </c>
      <c r="F575" s="2" t="str">
        <f>HYPERLINK("http://bbs.12365auto.com/postcontent.aspx?tID=195478","http://bbs.12365auto.com/postcontent.aspx?tID=195478")</f>
        <v>http://bbs.12365auto.com/postcontent.aspx?tID=195478</v>
      </c>
      <c r="G575" s="2"/>
      <c r="H575" s="2" t="s">
        <v>941</v>
      </c>
      <c r="I575" s="2" t="s">
        <v>15</v>
      </c>
      <c r="J575" s="2" t="s">
        <v>935</v>
      </c>
      <c r="K575" s="2" t="s">
        <v>936</v>
      </c>
      <c r="L575" s="2">
        <f t="shared" si="8"/>
        <v>150</v>
      </c>
    </row>
    <row r="576" spans="1:12" ht="25" customHeight="1">
      <c r="A576" s="2" t="s">
        <v>12</v>
      </c>
      <c r="B576" s="2" t="str">
        <f>HYPERLINK("http://www.12365auto.com/zlts/20200228/449160.shtml","东风日产途达4S店未提供车钥匙号码牌")</f>
        <v>东风日产途达4S店未提供车钥匙号码牌</v>
      </c>
      <c r="C576" s="2" t="s">
        <v>13</v>
      </c>
      <c r="D576" s="2" t="s">
        <v>12</v>
      </c>
      <c r="E576" s="2" t="s">
        <v>17</v>
      </c>
      <c r="F576" s="2" t="str">
        <f>HYPERLINK("http://www.12365auto.com/zlts/20200228/449160.shtml","http://www.12365auto.com/zlts/20200228/449160.shtml")</f>
        <v>http://www.12365auto.com/zlts/20200228/449160.shtml</v>
      </c>
      <c r="G576" s="2"/>
      <c r="H576" s="2" t="s">
        <v>942</v>
      </c>
      <c r="I576" s="2" t="s">
        <v>19</v>
      </c>
      <c r="J576" s="2" t="s">
        <v>12</v>
      </c>
      <c r="K576" s="2" t="s">
        <v>936</v>
      </c>
      <c r="L576" s="2">
        <f t="shared" si="8"/>
        <v>150</v>
      </c>
    </row>
    <row r="577" spans="1:12" ht="25" customHeight="1">
      <c r="A577" s="2" t="s">
        <v>12</v>
      </c>
      <c r="B577" s="2" t="str">
        <f>HYPERLINK("http://bbs.12365auto.com/postcontent.aspx?tId=195479","最低22万可以买豪华SUV 开回去过年有面子")</f>
        <v>最低22万可以买豪华SUV 开回去过年有面子</v>
      </c>
      <c r="C577" s="2" t="s">
        <v>13</v>
      </c>
      <c r="D577" s="2" t="s">
        <v>12</v>
      </c>
      <c r="E577" s="2" t="s">
        <v>210</v>
      </c>
      <c r="F577" s="2" t="str">
        <f>HYPERLINK("http://bbs.12365auto.com/postcontent.aspx?tId=195479","http://bbs.12365auto.com/postcontent.aspx?tId=195479")</f>
        <v>http://bbs.12365auto.com/postcontent.aspx?tId=195479</v>
      </c>
      <c r="G577" s="2"/>
      <c r="H577" s="2" t="s">
        <v>934</v>
      </c>
      <c r="I577" s="2" t="s">
        <v>15</v>
      </c>
      <c r="J577" s="2" t="s">
        <v>935</v>
      </c>
      <c r="K577" s="2" t="s">
        <v>936</v>
      </c>
      <c r="L577" s="2">
        <f t="shared" si="8"/>
        <v>150</v>
      </c>
    </row>
    <row r="578" spans="1:12" ht="25" customHeight="1">
      <c r="A578" s="2" t="s">
        <v>12</v>
      </c>
      <c r="B578" s="2" t="str">
        <f>HYPERLINK("http://m.12365auto.com/xcdg/20200228/419832.shtml","北美停产是否还值得入手？简析凯迪拉克CT6")</f>
        <v>北美停产是否还值得入手？简析凯迪拉克CT6</v>
      </c>
      <c r="C578" s="2" t="s">
        <v>13</v>
      </c>
      <c r="D578" s="2" t="s">
        <v>12</v>
      </c>
      <c r="E578" s="2"/>
      <c r="F578" s="2" t="str">
        <f>HYPERLINK("http://m.12365auto.com/xcdg/20200228/419832.shtml","http://m.12365auto.com/xcdg/20200228/419832.shtml")</f>
        <v>http://m.12365auto.com/xcdg/20200228/419832.shtml</v>
      </c>
      <c r="G578" s="2"/>
      <c r="H578" s="2" t="s">
        <v>943</v>
      </c>
      <c r="I578" s="2" t="s">
        <v>19</v>
      </c>
      <c r="J578" s="2" t="s">
        <v>849</v>
      </c>
      <c r="K578" s="2" t="s">
        <v>936</v>
      </c>
      <c r="L578" s="2">
        <f t="shared" si="8"/>
        <v>150</v>
      </c>
    </row>
    <row r="579" spans="1:12" ht="25" customHeight="1">
      <c r="A579" s="2" t="s">
        <v>12</v>
      </c>
      <c r="B579" s="2" t="str">
        <f>HYPERLINK("http://bbs.12365auto.com/postcontent.aspx?tId=195478","公认的几款国产省油SUV 不接受任何反驳")</f>
        <v>公认的几款国产省油SUV 不接受任何反驳</v>
      </c>
      <c r="C579" s="2" t="s">
        <v>13</v>
      </c>
      <c r="D579" s="2" t="s">
        <v>12</v>
      </c>
      <c r="E579" s="2" t="s">
        <v>210</v>
      </c>
      <c r="F579" s="2" t="str">
        <f>HYPERLINK("http://bbs.12365auto.com/postcontent.aspx?tId=195478","http://bbs.12365auto.com/postcontent.aspx?tId=195478")</f>
        <v>http://bbs.12365auto.com/postcontent.aspx?tId=195478</v>
      </c>
      <c r="G579" s="2"/>
      <c r="H579" s="2" t="s">
        <v>938</v>
      </c>
      <c r="I579" s="2" t="s">
        <v>15</v>
      </c>
      <c r="J579" s="2" t="s">
        <v>935</v>
      </c>
      <c r="K579" s="2" t="s">
        <v>936</v>
      </c>
      <c r="L579" s="2">
        <f t="shared" ref="L579:L642" si="9">LEN(H579)</f>
        <v>150</v>
      </c>
    </row>
    <row r="580" spans="1:12" ht="25" customHeight="1">
      <c r="A580" s="2" t="s">
        <v>12</v>
      </c>
      <c r="B580" s="2" t="str">
        <f>HYPERLINK("http://bbs.12365auto.com/postcontent.aspx?tId=195477","这几款刚上市的豪车 不降几万没人买单")</f>
        <v>这几款刚上市的豪车 不降几万没人买单</v>
      </c>
      <c r="C580" s="2" t="s">
        <v>13</v>
      </c>
      <c r="D580" s="2" t="s">
        <v>12</v>
      </c>
      <c r="E580" s="2" t="s">
        <v>210</v>
      </c>
      <c r="F580" s="2" t="str">
        <f>HYPERLINK("http://bbs.12365auto.com/postcontent.aspx?tId=195477","http://bbs.12365auto.com/postcontent.aspx?tId=195477")</f>
        <v>http://bbs.12365auto.com/postcontent.aspx?tId=195477</v>
      </c>
      <c r="G580" s="2"/>
      <c r="H580" s="2" t="s">
        <v>937</v>
      </c>
      <c r="I580" s="2" t="s">
        <v>15</v>
      </c>
      <c r="J580" s="2" t="s">
        <v>935</v>
      </c>
      <c r="K580" s="2" t="s">
        <v>936</v>
      </c>
      <c r="L580" s="2">
        <f t="shared" si="9"/>
        <v>150</v>
      </c>
    </row>
    <row r="581" spans="1:12" ht="25" customHeight="1">
      <c r="A581" s="2" t="s">
        <v>12</v>
      </c>
      <c r="B581" s="2" t="str">
        <f>HYPERLINK("http://m.12365auto.com/xcdg/20200228/419831.shtml","除了哈弗H6还有什么选择？风行T5优缺点解析")</f>
        <v>除了哈弗H6还有什么选择？风行T5优缺点解析</v>
      </c>
      <c r="C581" s="2" t="s">
        <v>13</v>
      </c>
      <c r="D581" s="2" t="s">
        <v>12</v>
      </c>
      <c r="E581" s="2"/>
      <c r="F581" s="2" t="str">
        <f>HYPERLINK("http://m.12365auto.com/xcdg/20200228/419831.shtml","http://m.12365auto.com/xcdg/20200228/419831.shtml")</f>
        <v>http://m.12365auto.com/xcdg/20200228/419831.shtml</v>
      </c>
      <c r="G581" s="2"/>
      <c r="H581" s="2" t="s">
        <v>944</v>
      </c>
      <c r="I581" s="2" t="s">
        <v>19</v>
      </c>
      <c r="J581" s="2" t="s">
        <v>844</v>
      </c>
      <c r="K581" s="2" t="s">
        <v>945</v>
      </c>
      <c r="L581" s="2">
        <f t="shared" si="9"/>
        <v>150</v>
      </c>
    </row>
    <row r="582" spans="1:12" ht="25" customHeight="1">
      <c r="A582" s="2" t="s">
        <v>12</v>
      </c>
      <c r="B582" s="2" t="str">
        <f>HYPERLINK("http://m.12365auto.com/xcdg/20200228/419830.shtml","行驶品质突出 广汽传祺GA6的优缺点简析")</f>
        <v>行驶品质突出 广汽传祺GA6的优缺点简析</v>
      </c>
      <c r="C582" s="2" t="s">
        <v>13</v>
      </c>
      <c r="D582" s="2" t="s">
        <v>12</v>
      </c>
      <c r="E582" s="2"/>
      <c r="F582" s="2" t="str">
        <f>HYPERLINK("http://m.12365auto.com/xcdg/20200228/419830.shtml","http://m.12365auto.com/xcdg/20200228/419830.shtml")</f>
        <v>http://m.12365auto.com/xcdg/20200228/419830.shtml</v>
      </c>
      <c r="G582" s="2"/>
      <c r="H582" s="2" t="s">
        <v>946</v>
      </c>
      <c r="I582" s="2" t="s">
        <v>19</v>
      </c>
      <c r="J582" s="2" t="s">
        <v>844</v>
      </c>
      <c r="K582" s="2" t="s">
        <v>947</v>
      </c>
      <c r="L582" s="2">
        <f t="shared" si="9"/>
        <v>150</v>
      </c>
    </row>
    <row r="583" spans="1:12" ht="25" customHeight="1">
      <c r="A583" s="2" t="s">
        <v>12</v>
      </c>
      <c r="B583" s="2" t="str">
        <f>HYPERLINK("http://bbs.12365auto.com/postcontent.aspx?tID=195475","入手C-HR一年多 车主后悔了吗？")</f>
        <v>入手C-HR一年多 车主后悔了吗？</v>
      </c>
      <c r="C583" s="2" t="s">
        <v>13</v>
      </c>
      <c r="D583" s="2" t="s">
        <v>12</v>
      </c>
      <c r="E583" s="2" t="s">
        <v>214</v>
      </c>
      <c r="F583" s="2" t="str">
        <f>HYPERLINK("http://bbs.12365auto.com/postcontent.aspx?tID=195475","http://bbs.12365auto.com/postcontent.aspx?tID=195475")</f>
        <v>http://bbs.12365auto.com/postcontent.aspx?tID=195475</v>
      </c>
      <c r="G583" s="2"/>
      <c r="H583" s="2" t="s">
        <v>948</v>
      </c>
      <c r="I583" s="2" t="s">
        <v>15</v>
      </c>
      <c r="J583" s="2" t="s">
        <v>949</v>
      </c>
      <c r="K583" s="2" t="s">
        <v>947</v>
      </c>
      <c r="L583" s="2">
        <f t="shared" si="9"/>
        <v>150</v>
      </c>
    </row>
    <row r="584" spans="1:12" ht="25" customHeight="1">
      <c r="A584" s="2" t="s">
        <v>12</v>
      </c>
      <c r="B584" s="2" t="str">
        <f>HYPERLINK("http://bbs.12365auto.com/postcontent.aspx?tID=195476","满大街都搭载1.5T发动机 哪家最强？")</f>
        <v>满大街都搭载1.5T发动机 哪家最强？</v>
      </c>
      <c r="C584" s="2" t="s">
        <v>13</v>
      </c>
      <c r="D584" s="2" t="s">
        <v>12</v>
      </c>
      <c r="E584" s="2" t="s">
        <v>214</v>
      </c>
      <c r="F584" s="2" t="str">
        <f>HYPERLINK("http://bbs.12365auto.com/postcontent.aspx?tID=195476","http://bbs.12365auto.com/postcontent.aspx?tID=195476")</f>
        <v>http://bbs.12365auto.com/postcontent.aspx?tID=195476</v>
      </c>
      <c r="G584" s="2"/>
      <c r="H584" s="2" t="s">
        <v>950</v>
      </c>
      <c r="I584" s="2" t="s">
        <v>15</v>
      </c>
      <c r="J584" s="2" t="s">
        <v>935</v>
      </c>
      <c r="K584" s="2" t="s">
        <v>947</v>
      </c>
      <c r="L584" s="2">
        <f t="shared" si="9"/>
        <v>150</v>
      </c>
    </row>
    <row r="585" spans="1:12" ht="25" customHeight="1">
      <c r="A585" s="2" t="s">
        <v>12</v>
      </c>
      <c r="B585" s="2" t="str">
        <f>HYPERLINK("http://m.12365auto.com/bbs/postcontent.aspx?tID=195476","满大街都搭载1.5T发动机 哪家最强？")</f>
        <v>满大街都搭载1.5T发动机 哪家最强？</v>
      </c>
      <c r="C585" s="2" t="s">
        <v>13</v>
      </c>
      <c r="D585" s="2" t="s">
        <v>23</v>
      </c>
      <c r="E585" s="2"/>
      <c r="F585" s="2" t="str">
        <f>HYPERLINK("http://m.12365auto.com/bbs/postcontent.aspx?tID=195476","http://m.12365auto.com/bbs/postcontent.aspx?tID=195476")</f>
        <v>http://m.12365auto.com/bbs/postcontent.aspx?tID=195476</v>
      </c>
      <c r="G585" s="2"/>
      <c r="H585" s="2" t="s">
        <v>951</v>
      </c>
      <c r="I585" s="2" t="s">
        <v>15</v>
      </c>
      <c r="J585" s="2" t="s">
        <v>935</v>
      </c>
      <c r="K585" s="2" t="s">
        <v>947</v>
      </c>
      <c r="L585" s="2">
        <f t="shared" si="9"/>
        <v>150</v>
      </c>
    </row>
    <row r="586" spans="1:12" ht="25" customHeight="1">
      <c r="A586" s="2" t="s">
        <v>12</v>
      </c>
      <c r="B586" s="2" t="str">
        <f>HYPERLINK("http://m.12365auto.com/bbs/postcontent.aspx?tID=195475","入手C-HR一年多 车主后悔了吗？")</f>
        <v>入手C-HR一年多 车主后悔了吗？</v>
      </c>
      <c r="C586" s="2" t="s">
        <v>13</v>
      </c>
      <c r="D586" s="2" t="s">
        <v>23</v>
      </c>
      <c r="E586" s="2"/>
      <c r="F586" s="2" t="str">
        <f>HYPERLINK("http://m.12365auto.com/bbs/postcontent.aspx?tID=195475","http://m.12365auto.com/bbs/postcontent.aspx?tID=195475")</f>
        <v>http://m.12365auto.com/bbs/postcontent.aspx?tID=195475</v>
      </c>
      <c r="G586" s="2"/>
      <c r="H586" s="2" t="s">
        <v>952</v>
      </c>
      <c r="I586" s="2" t="s">
        <v>15</v>
      </c>
      <c r="J586" s="2" t="s">
        <v>949</v>
      </c>
      <c r="K586" s="2" t="s">
        <v>947</v>
      </c>
      <c r="L586" s="2">
        <f t="shared" si="9"/>
        <v>150</v>
      </c>
    </row>
    <row r="587" spans="1:12" ht="25" customHeight="1">
      <c r="A587" s="2" t="s">
        <v>12</v>
      </c>
      <c r="B587" s="2" t="str">
        <f>HYPERLINK("http://bbs.12365auto.com/postcontent.aspx?tId=195475","入手C-HR一年多 车主后悔了吗？")</f>
        <v>入手C-HR一年多 车主后悔了吗？</v>
      </c>
      <c r="C587" s="2" t="s">
        <v>13</v>
      </c>
      <c r="D587" s="2" t="s">
        <v>12</v>
      </c>
      <c r="E587" s="2" t="s">
        <v>210</v>
      </c>
      <c r="F587" s="2" t="str">
        <f>HYPERLINK("http://bbs.12365auto.com/postcontent.aspx?tId=195475","http://bbs.12365auto.com/postcontent.aspx?tId=195475")</f>
        <v>http://bbs.12365auto.com/postcontent.aspx?tId=195475</v>
      </c>
      <c r="G587" s="2"/>
      <c r="H587" s="2" t="s">
        <v>952</v>
      </c>
      <c r="I587" s="2" t="s">
        <v>15</v>
      </c>
      <c r="J587" s="2" t="s">
        <v>949</v>
      </c>
      <c r="K587" s="2" t="s">
        <v>947</v>
      </c>
      <c r="L587" s="2">
        <f t="shared" si="9"/>
        <v>150</v>
      </c>
    </row>
    <row r="588" spans="1:12" ht="25" customHeight="1">
      <c r="A588" s="2" t="s">
        <v>12</v>
      </c>
      <c r="B588" s="2" t="str">
        <f>HYPERLINK("http://bbs.12365auto.com/postcontent.aspx?tId=195476","满大街都搭载1.5T发动机 哪家最强？")</f>
        <v>满大街都搭载1.5T发动机 哪家最强？</v>
      </c>
      <c r="C588" s="2" t="s">
        <v>13</v>
      </c>
      <c r="D588" s="2" t="s">
        <v>12</v>
      </c>
      <c r="E588" s="2" t="s">
        <v>210</v>
      </c>
      <c r="F588" s="2" t="str">
        <f>HYPERLINK("http://bbs.12365auto.com/postcontent.aspx?tId=195476","http://bbs.12365auto.com/postcontent.aspx?tId=195476")</f>
        <v>http://bbs.12365auto.com/postcontent.aspx?tId=195476</v>
      </c>
      <c r="G588" s="2"/>
      <c r="H588" s="2" t="s">
        <v>951</v>
      </c>
      <c r="I588" s="2" t="s">
        <v>15</v>
      </c>
      <c r="J588" s="2" t="s">
        <v>935</v>
      </c>
      <c r="K588" s="2" t="s">
        <v>947</v>
      </c>
      <c r="L588" s="2">
        <f t="shared" si="9"/>
        <v>150</v>
      </c>
    </row>
    <row r="589" spans="1:12" ht="25" customHeight="1">
      <c r="A589" s="2" t="s">
        <v>12</v>
      </c>
      <c r="B589" s="2" t="str">
        <f>HYPERLINK("http://www.12365auto.com/news/20200228/419829.shtml","财报|阿斯顿·马丁2019财年亏损 中国销量增长")</f>
        <v>财报|阿斯顿·马丁2019财年亏损 中国销量增长</v>
      </c>
      <c r="C589" s="2" t="s">
        <v>13</v>
      </c>
      <c r="D589" s="2" t="s">
        <v>12</v>
      </c>
      <c r="E589" s="2" t="s">
        <v>276</v>
      </c>
      <c r="F589" s="2" t="str">
        <f>HYPERLINK("http://www.12365auto.com/news/20200228/419829.shtml","http://www.12365auto.com/news/20200228/419829.shtml")</f>
        <v>http://www.12365auto.com/news/20200228/419829.shtml</v>
      </c>
      <c r="G589" s="2"/>
      <c r="H589" s="2" t="s">
        <v>953</v>
      </c>
      <c r="I589" s="2" t="s">
        <v>15</v>
      </c>
      <c r="J589" s="2" t="s">
        <v>12</v>
      </c>
      <c r="K589" s="2" t="s">
        <v>954</v>
      </c>
      <c r="L589" s="2">
        <f t="shared" si="9"/>
        <v>150</v>
      </c>
    </row>
    <row r="590" spans="1:12" ht="25" customHeight="1">
      <c r="A590" s="2" t="s">
        <v>12</v>
      </c>
      <c r="B590" s="2" t="str">
        <f>HYPERLINK("http://m.12365auto.com/bbs/postcontent.aspx?tID=195473","买车留心了 认准这几款十佳发动机")</f>
        <v>买车留心了 认准这几款十佳发动机</v>
      </c>
      <c r="C590" s="2" t="s">
        <v>13</v>
      </c>
      <c r="D590" s="2" t="s">
        <v>23</v>
      </c>
      <c r="E590" s="2"/>
      <c r="F590" s="2" t="str">
        <f>HYPERLINK("http://m.12365auto.com/bbs/postcontent.aspx?tID=195473","http://m.12365auto.com/bbs/postcontent.aspx?tID=195473")</f>
        <v>http://m.12365auto.com/bbs/postcontent.aspx?tID=195473</v>
      </c>
      <c r="G590" s="2"/>
      <c r="H590" s="2" t="s">
        <v>955</v>
      </c>
      <c r="I590" s="2" t="s">
        <v>15</v>
      </c>
      <c r="J590" s="2" t="s">
        <v>935</v>
      </c>
      <c r="K590" s="2" t="s">
        <v>954</v>
      </c>
      <c r="L590" s="2">
        <f t="shared" si="9"/>
        <v>150</v>
      </c>
    </row>
    <row r="591" spans="1:12" ht="25" customHeight="1">
      <c r="A591" s="2" t="s">
        <v>12</v>
      </c>
      <c r="B591" s="2" t="str">
        <f>HYPERLINK("http://m.12365auto.com/bbs/postcontent.aspx?tID=195472","从8万到80万都有 这11款车堪称哄女神利器")</f>
        <v>从8万到80万都有 这11款车堪称哄女神利器</v>
      </c>
      <c r="C591" s="2" t="s">
        <v>13</v>
      </c>
      <c r="D591" s="2" t="s">
        <v>23</v>
      </c>
      <c r="E591" s="2"/>
      <c r="F591" s="2" t="str">
        <f>HYPERLINK("http://m.12365auto.com/bbs/postcontent.aspx?tID=195472","http://m.12365auto.com/bbs/postcontent.aspx?tID=195472")</f>
        <v>http://m.12365auto.com/bbs/postcontent.aspx?tID=195472</v>
      </c>
      <c r="G591" s="2"/>
      <c r="H591" s="2" t="s">
        <v>956</v>
      </c>
      <c r="I591" s="2" t="s">
        <v>15</v>
      </c>
      <c r="J591" s="2" t="s">
        <v>935</v>
      </c>
      <c r="K591" s="2" t="s">
        <v>954</v>
      </c>
      <c r="L591" s="2">
        <f t="shared" si="9"/>
        <v>150</v>
      </c>
    </row>
    <row r="592" spans="1:12" ht="25" customHeight="1">
      <c r="A592" s="2" t="s">
        <v>12</v>
      </c>
      <c r="B592" s="2" t="str">
        <f>HYPERLINK("http://bbs.12365auto.com/postcontent.aspx?tId=195472","从8万到80万都有 这11款车堪称哄女神利器")</f>
        <v>从8万到80万都有 这11款车堪称哄女神利器</v>
      </c>
      <c r="C592" s="2" t="s">
        <v>13</v>
      </c>
      <c r="D592" s="2" t="s">
        <v>12</v>
      </c>
      <c r="E592" s="2" t="s">
        <v>210</v>
      </c>
      <c r="F592" s="2" t="str">
        <f>HYPERLINK("http://bbs.12365auto.com/postcontent.aspx?tId=195472","http://bbs.12365auto.com/postcontent.aspx?tId=195472")</f>
        <v>http://bbs.12365auto.com/postcontent.aspx?tId=195472</v>
      </c>
      <c r="G592" s="2"/>
      <c r="H592" s="2" t="s">
        <v>956</v>
      </c>
      <c r="I592" s="2" t="s">
        <v>15</v>
      </c>
      <c r="J592" s="2" t="s">
        <v>935</v>
      </c>
      <c r="K592" s="2" t="s">
        <v>954</v>
      </c>
      <c r="L592" s="2">
        <f t="shared" si="9"/>
        <v>150</v>
      </c>
    </row>
    <row r="593" spans="1:12" ht="25" customHeight="1">
      <c r="A593" s="2" t="s">
        <v>12</v>
      </c>
      <c r="B593" s="2" t="str">
        <f>HYPERLINK("http://m.12365auto.com/news/20200228/419829.shtml","财报|阿斯顿·马丁2019财年亏损 中国销量增长")</f>
        <v>财报|阿斯顿·马丁2019财年亏损 中国销量增长</v>
      </c>
      <c r="C593" s="2" t="s">
        <v>13</v>
      </c>
      <c r="D593" s="2" t="s">
        <v>12</v>
      </c>
      <c r="E593" s="2"/>
      <c r="F593" s="2" t="str">
        <f>HYPERLINK("http://m.12365auto.com/news/20200228/419829.shtml","http://m.12365auto.com/news/20200228/419829.shtml")</f>
        <v>http://m.12365auto.com/news/20200228/419829.shtml</v>
      </c>
      <c r="G593" s="2"/>
      <c r="H593" s="2" t="s">
        <v>957</v>
      </c>
      <c r="I593" s="2" t="s">
        <v>19</v>
      </c>
      <c r="J593" s="2" t="s">
        <v>958</v>
      </c>
      <c r="K593" s="2" t="s">
        <v>954</v>
      </c>
      <c r="L593" s="2">
        <f t="shared" si="9"/>
        <v>150</v>
      </c>
    </row>
    <row r="594" spans="1:12" ht="25" customHeight="1">
      <c r="A594" s="2" t="s">
        <v>12</v>
      </c>
      <c r="B594" s="2" t="str">
        <f>HYPERLINK("http://bbs.12365auto.com/postcontent.aspx?tID=195473","买车留心了 认准这几款十佳发动机")</f>
        <v>买车留心了 认准这几款十佳发动机</v>
      </c>
      <c r="C594" s="2" t="s">
        <v>13</v>
      </c>
      <c r="D594" s="2" t="s">
        <v>12</v>
      </c>
      <c r="E594" s="2" t="s">
        <v>214</v>
      </c>
      <c r="F594" s="2" t="str">
        <f>HYPERLINK("http://bbs.12365auto.com/postcontent.aspx?tID=195473","http://bbs.12365auto.com/postcontent.aspx?tID=195473")</f>
        <v>http://bbs.12365auto.com/postcontent.aspx?tID=195473</v>
      </c>
      <c r="G594" s="2"/>
      <c r="H594" s="2" t="s">
        <v>959</v>
      </c>
      <c r="I594" s="2" t="s">
        <v>15</v>
      </c>
      <c r="J594" s="2" t="s">
        <v>935</v>
      </c>
      <c r="K594" s="2" t="s">
        <v>954</v>
      </c>
      <c r="L594" s="2">
        <f t="shared" si="9"/>
        <v>150</v>
      </c>
    </row>
    <row r="595" spans="1:12" ht="25" customHeight="1">
      <c r="A595" s="2" t="s">
        <v>12</v>
      </c>
      <c r="B595" s="2" t="str">
        <f>HYPERLINK("http://bbs.12365auto.com/postcontent.aspx?tId=195473","买车留心了 认准这几款十佳发动机")</f>
        <v>买车留心了 认准这几款十佳发动机</v>
      </c>
      <c r="C595" s="2" t="s">
        <v>13</v>
      </c>
      <c r="D595" s="2" t="s">
        <v>12</v>
      </c>
      <c r="E595" s="2" t="s">
        <v>210</v>
      </c>
      <c r="F595" s="2" t="str">
        <f>HYPERLINK("http://bbs.12365auto.com/postcontent.aspx?tId=195473","http://bbs.12365auto.com/postcontent.aspx?tId=195473")</f>
        <v>http://bbs.12365auto.com/postcontent.aspx?tId=195473</v>
      </c>
      <c r="G595" s="2"/>
      <c r="H595" s="2" t="s">
        <v>955</v>
      </c>
      <c r="I595" s="2" t="s">
        <v>15</v>
      </c>
      <c r="J595" s="2" t="s">
        <v>935</v>
      </c>
      <c r="K595" s="2" t="s">
        <v>954</v>
      </c>
      <c r="L595" s="2">
        <f t="shared" si="9"/>
        <v>150</v>
      </c>
    </row>
    <row r="596" spans="1:12" ht="25" customHeight="1">
      <c r="A596" s="2" t="s">
        <v>12</v>
      </c>
      <c r="B596" s="2" t="str">
        <f>HYPERLINK("http://bbs.12365auto.com/postcontent.aspx?tID=195472","从8万到80万都有 这11款车堪称哄女神利器")</f>
        <v>从8万到80万都有 这11款车堪称哄女神利器</v>
      </c>
      <c r="C596" s="2" t="s">
        <v>13</v>
      </c>
      <c r="D596" s="2" t="s">
        <v>12</v>
      </c>
      <c r="E596" s="2" t="s">
        <v>214</v>
      </c>
      <c r="F596" s="2" t="str">
        <f>HYPERLINK("http://bbs.12365auto.com/postcontent.aspx?tID=195472","http://bbs.12365auto.com/postcontent.aspx?tID=195472")</f>
        <v>http://bbs.12365auto.com/postcontent.aspx?tID=195472</v>
      </c>
      <c r="G596" s="2"/>
      <c r="H596" s="2" t="s">
        <v>960</v>
      </c>
      <c r="I596" s="2" t="s">
        <v>15</v>
      </c>
      <c r="J596" s="2" t="s">
        <v>935</v>
      </c>
      <c r="K596" s="2" t="s">
        <v>954</v>
      </c>
      <c r="L596" s="2">
        <f t="shared" si="9"/>
        <v>150</v>
      </c>
    </row>
    <row r="597" spans="1:12" ht="25" customHeight="1">
      <c r="A597" s="2" t="s">
        <v>12</v>
      </c>
      <c r="B597" s="2" t="str">
        <f>HYPERLINK("http://bbs.12365auto.com/postcontent.aspx?tID=195471","这几款时尚帅气的豪华SUV 满足你对个性的追求")</f>
        <v>这几款时尚帅气的豪华SUV 满足你对个性的追求</v>
      </c>
      <c r="C597" s="2" t="s">
        <v>13</v>
      </c>
      <c r="D597" s="2" t="s">
        <v>12</v>
      </c>
      <c r="E597" s="2" t="s">
        <v>214</v>
      </c>
      <c r="F597" s="2" t="str">
        <f>HYPERLINK("http://bbs.12365auto.com/postcontent.aspx?tID=195471","http://bbs.12365auto.com/postcontent.aspx?tID=195471")</f>
        <v>http://bbs.12365auto.com/postcontent.aspx?tID=195471</v>
      </c>
      <c r="G597" s="2"/>
      <c r="H597" s="2" t="s">
        <v>961</v>
      </c>
      <c r="I597" s="2" t="s">
        <v>15</v>
      </c>
      <c r="J597" s="2" t="s">
        <v>935</v>
      </c>
      <c r="K597" s="2" t="s">
        <v>962</v>
      </c>
      <c r="L597" s="2">
        <f t="shared" si="9"/>
        <v>150</v>
      </c>
    </row>
    <row r="598" spans="1:12" ht="25" customHeight="1">
      <c r="A598" s="2" t="s">
        <v>12</v>
      </c>
      <c r="B598" s="2" t="str">
        <f>HYPERLINK("http://www.12365auto.com/news/20200228/419828.shtml","特斯拉全球第四个超级工厂获准继续开建")</f>
        <v>特斯拉全球第四个超级工厂获准继续开建</v>
      </c>
      <c r="C598" s="2" t="s">
        <v>13</v>
      </c>
      <c r="D598" s="2" t="s">
        <v>12</v>
      </c>
      <c r="E598" s="2" t="s">
        <v>276</v>
      </c>
      <c r="F598" s="2" t="str">
        <f>HYPERLINK("http://www.12365auto.com/news/20200228/419828.shtml","http://www.12365auto.com/news/20200228/419828.shtml")</f>
        <v>http://www.12365auto.com/news/20200228/419828.shtml</v>
      </c>
      <c r="G598" s="2"/>
      <c r="H598" s="2" t="s">
        <v>963</v>
      </c>
      <c r="I598" s="2" t="s">
        <v>15</v>
      </c>
      <c r="J598" s="2" t="s">
        <v>12</v>
      </c>
      <c r="K598" s="2" t="s">
        <v>962</v>
      </c>
      <c r="L598" s="2">
        <f t="shared" si="9"/>
        <v>150</v>
      </c>
    </row>
    <row r="599" spans="1:12" ht="25" customHeight="1">
      <c r="A599" s="2" t="s">
        <v>12</v>
      </c>
      <c r="B599" s="2" t="str">
        <f>HYPERLINK("http://m.12365auto.com/news/20200228/419828.shtml","特斯拉全球第四个超级工厂获准继续开建")</f>
        <v>特斯拉全球第四个超级工厂获准继续开建</v>
      </c>
      <c r="C599" s="2" t="s">
        <v>13</v>
      </c>
      <c r="D599" s="2" t="s">
        <v>12</v>
      </c>
      <c r="E599" s="2"/>
      <c r="F599" s="2" t="str">
        <f>HYPERLINK("http://m.12365auto.com/news/20200228/419828.shtml","http://m.12365auto.com/news/20200228/419828.shtml")</f>
        <v>http://m.12365auto.com/news/20200228/419828.shtml</v>
      </c>
      <c r="G599" s="2"/>
      <c r="H599" s="2" t="s">
        <v>964</v>
      </c>
      <c r="I599" s="2" t="s">
        <v>19</v>
      </c>
      <c r="J599" s="2" t="s">
        <v>12</v>
      </c>
      <c r="K599" s="2" t="s">
        <v>962</v>
      </c>
      <c r="L599" s="2">
        <f t="shared" si="9"/>
        <v>150</v>
      </c>
    </row>
    <row r="600" spans="1:12" ht="25" customHeight="1">
      <c r="A600" s="2" t="s">
        <v>12</v>
      </c>
      <c r="B600" s="2" t="str">
        <f>HYPERLINK("http://bbs.12365auto.com/postcontent.aspx?tId=195470","疫情过后是买车 换车的最佳时机吗？")</f>
        <v>疫情过后是买车 换车的最佳时机吗？</v>
      </c>
      <c r="C600" s="2" t="s">
        <v>13</v>
      </c>
      <c r="D600" s="2" t="s">
        <v>12</v>
      </c>
      <c r="E600" s="2" t="s">
        <v>210</v>
      </c>
      <c r="F600" s="2" t="str">
        <f>HYPERLINK("http://bbs.12365auto.com/postcontent.aspx?tId=195470","http://bbs.12365auto.com/postcontent.aspx?tId=195470")</f>
        <v>http://bbs.12365auto.com/postcontent.aspx?tId=195470</v>
      </c>
      <c r="G600" s="2"/>
      <c r="H600" s="2" t="s">
        <v>965</v>
      </c>
      <c r="I600" s="2" t="s">
        <v>15</v>
      </c>
      <c r="J600" s="2" t="s">
        <v>949</v>
      </c>
      <c r="K600" s="2" t="s">
        <v>962</v>
      </c>
      <c r="L600" s="2">
        <f t="shared" si="9"/>
        <v>150</v>
      </c>
    </row>
    <row r="601" spans="1:12" ht="25" customHeight="1">
      <c r="A601" s="2" t="s">
        <v>12</v>
      </c>
      <c r="B601" s="2" t="str">
        <f>HYPERLINK("http://m.12365auto.com/bbs/postcontent.aspx?tID=195470","疫情过后是买车 换车的最佳时机吗？")</f>
        <v>疫情过后是买车 换车的最佳时机吗？</v>
      </c>
      <c r="C601" s="2" t="s">
        <v>13</v>
      </c>
      <c r="D601" s="2" t="s">
        <v>23</v>
      </c>
      <c r="E601" s="2"/>
      <c r="F601" s="2" t="str">
        <f>HYPERLINK("http://m.12365auto.com/bbs/postcontent.aspx?tID=195470","http://m.12365auto.com/bbs/postcontent.aspx?tID=195470")</f>
        <v>http://m.12365auto.com/bbs/postcontent.aspx?tID=195470</v>
      </c>
      <c r="G601" s="2"/>
      <c r="H601" s="2" t="s">
        <v>965</v>
      </c>
      <c r="I601" s="2" t="s">
        <v>15</v>
      </c>
      <c r="J601" s="2" t="s">
        <v>949</v>
      </c>
      <c r="K601" s="2" t="s">
        <v>962</v>
      </c>
      <c r="L601" s="2">
        <f t="shared" si="9"/>
        <v>150</v>
      </c>
    </row>
    <row r="602" spans="1:12" ht="25" customHeight="1">
      <c r="A602" s="2" t="s">
        <v>12</v>
      </c>
      <c r="B602" s="2" t="str">
        <f>HYPERLINK("http://bbs.12365auto.com/postcontent.aspx?tId=195471","这几款时尚帅气的豪华SUV 满足你对个性的追求")</f>
        <v>这几款时尚帅气的豪华SUV 满足你对个性的追求</v>
      </c>
      <c r="C602" s="2" t="s">
        <v>13</v>
      </c>
      <c r="D602" s="2" t="s">
        <v>12</v>
      </c>
      <c r="E602" s="2" t="s">
        <v>210</v>
      </c>
      <c r="F602" s="2" t="str">
        <f>HYPERLINK("http://bbs.12365auto.com/postcontent.aspx?tId=195471","http://bbs.12365auto.com/postcontent.aspx?tId=195471")</f>
        <v>http://bbs.12365auto.com/postcontent.aspx?tId=195471</v>
      </c>
      <c r="G602" s="2"/>
      <c r="H602" s="2" t="s">
        <v>966</v>
      </c>
      <c r="I602" s="2" t="s">
        <v>15</v>
      </c>
      <c r="J602" s="2" t="s">
        <v>935</v>
      </c>
      <c r="K602" s="2" t="s">
        <v>962</v>
      </c>
      <c r="L602" s="2">
        <f t="shared" si="9"/>
        <v>150</v>
      </c>
    </row>
    <row r="603" spans="1:12" ht="25" customHeight="1">
      <c r="A603" s="2" t="s">
        <v>12</v>
      </c>
      <c r="B603" s="2" t="str">
        <f>HYPERLINK("http://m.12365auto.com/bbs/postcontent.aspx?tID=195471","这几款时尚帅气的豪华SUV 满足你对个性的追求")</f>
        <v>这几款时尚帅气的豪华SUV 满足你对个性的追求</v>
      </c>
      <c r="C603" s="2" t="s">
        <v>13</v>
      </c>
      <c r="D603" s="2" t="s">
        <v>23</v>
      </c>
      <c r="E603" s="2"/>
      <c r="F603" s="2" t="str">
        <f>HYPERLINK("http://m.12365auto.com/bbs/postcontent.aspx?tID=195471","http://m.12365auto.com/bbs/postcontent.aspx?tID=195471")</f>
        <v>http://m.12365auto.com/bbs/postcontent.aspx?tID=195471</v>
      </c>
      <c r="G603" s="2"/>
      <c r="H603" s="2" t="s">
        <v>966</v>
      </c>
      <c r="I603" s="2" t="s">
        <v>15</v>
      </c>
      <c r="J603" s="2" t="s">
        <v>935</v>
      </c>
      <c r="K603" s="2" t="s">
        <v>962</v>
      </c>
      <c r="L603" s="2">
        <f t="shared" si="9"/>
        <v>150</v>
      </c>
    </row>
    <row r="604" spans="1:12" ht="25" customHeight="1">
      <c r="A604" s="2" t="s">
        <v>12</v>
      </c>
      <c r="B604" s="2" t="str">
        <f>HYPERLINK("http://m.12365auto.com/bbs/postcontent.aspx?tID=195471&amp;i=1","这几款时尚帅气的豪华SUV 满足你对个性的追求")</f>
        <v>这几款时尚帅气的豪华SUV 满足你对个性的追求</v>
      </c>
      <c r="C604" s="2" t="s">
        <v>13</v>
      </c>
      <c r="D604" s="2" t="s">
        <v>23</v>
      </c>
      <c r="E604" s="2"/>
      <c r="F604" s="2" t="str">
        <f>HYPERLINK("http://m.12365auto.com/bbs/postcontent.aspx?tID=195471&amp;i=1","http://m.12365auto.com/bbs/postcontent.aspx?tID=195471&amp;i=1")</f>
        <v>http://m.12365auto.com/bbs/postcontent.aspx?tID=195471&amp;i=1</v>
      </c>
      <c r="G604" s="2"/>
      <c r="H604" s="2" t="s">
        <v>966</v>
      </c>
      <c r="I604" s="2" t="s">
        <v>15</v>
      </c>
      <c r="J604" s="2" t="s">
        <v>935</v>
      </c>
      <c r="K604" s="2" t="s">
        <v>962</v>
      </c>
      <c r="L604" s="2">
        <f t="shared" si="9"/>
        <v>150</v>
      </c>
    </row>
    <row r="605" spans="1:12" ht="25" customHeight="1">
      <c r="A605" s="2" t="s">
        <v>12</v>
      </c>
      <c r="B605" s="2" t="str">
        <f>HYPERLINK("http://bbs.12365auto.com/postcontent.aspx?tID=195470","疫情过后是买车 换车的最佳时机吗？")</f>
        <v>疫情过后是买车 换车的最佳时机吗？</v>
      </c>
      <c r="C605" s="2" t="s">
        <v>13</v>
      </c>
      <c r="D605" s="2" t="s">
        <v>12</v>
      </c>
      <c r="E605" s="2" t="s">
        <v>214</v>
      </c>
      <c r="F605" s="2" t="str">
        <f>HYPERLINK("http://bbs.12365auto.com/postcontent.aspx?tID=195470","http://bbs.12365auto.com/postcontent.aspx?tID=195470")</f>
        <v>http://bbs.12365auto.com/postcontent.aspx?tID=195470</v>
      </c>
      <c r="G605" s="2"/>
      <c r="H605" s="2" t="s">
        <v>967</v>
      </c>
      <c r="I605" s="2" t="s">
        <v>15</v>
      </c>
      <c r="J605" s="2" t="s">
        <v>949</v>
      </c>
      <c r="K605" s="2" t="s">
        <v>962</v>
      </c>
      <c r="L605" s="2">
        <f t="shared" si="9"/>
        <v>150</v>
      </c>
    </row>
    <row r="606" spans="1:12" ht="25" customHeight="1">
      <c r="A606" s="2" t="s">
        <v>12</v>
      </c>
      <c r="B606" s="2" t="str">
        <f>HYPERLINK("http://bbs.12365auto.com/postcontent.aspx?tID=195468","能买这几款合资SUV 说明混得不错")</f>
        <v>能买这几款合资SUV 说明混得不错</v>
      </c>
      <c r="C606" s="2" t="s">
        <v>13</v>
      </c>
      <c r="D606" s="2" t="s">
        <v>12</v>
      </c>
      <c r="E606" s="2" t="s">
        <v>214</v>
      </c>
      <c r="F606" s="2" t="str">
        <f>HYPERLINK("http://bbs.12365auto.com/postcontent.aspx?tID=195468","http://bbs.12365auto.com/postcontent.aspx?tID=195468")</f>
        <v>http://bbs.12365auto.com/postcontent.aspx?tID=195468</v>
      </c>
      <c r="G606" s="2"/>
      <c r="H606" s="2" t="s">
        <v>968</v>
      </c>
      <c r="I606" s="2" t="s">
        <v>15</v>
      </c>
      <c r="J606" s="2" t="s">
        <v>935</v>
      </c>
      <c r="K606" s="2" t="s">
        <v>969</v>
      </c>
      <c r="L606" s="2">
        <f t="shared" si="9"/>
        <v>150</v>
      </c>
    </row>
    <row r="607" spans="1:12" ht="25" customHeight="1">
      <c r="A607" s="2" t="s">
        <v>12</v>
      </c>
      <c r="B607" s="2" t="str">
        <f>HYPERLINK("http://bbs.12365auto.com/postcontent.aspx?tID=195467","救市措施推出 中国汽车迎利好？")</f>
        <v>救市措施推出 中国汽车迎利好？</v>
      </c>
      <c r="C607" s="2" t="s">
        <v>13</v>
      </c>
      <c r="D607" s="2" t="s">
        <v>12</v>
      </c>
      <c r="E607" s="2" t="s">
        <v>214</v>
      </c>
      <c r="F607" s="2" t="str">
        <f>HYPERLINK("http://bbs.12365auto.com/postcontent.aspx?tID=195467","http://bbs.12365auto.com/postcontent.aspx?tID=195467")</f>
        <v>http://bbs.12365auto.com/postcontent.aspx?tID=195467</v>
      </c>
      <c r="G607" s="2"/>
      <c r="H607" s="2" t="s">
        <v>970</v>
      </c>
      <c r="I607" s="2" t="s">
        <v>15</v>
      </c>
      <c r="J607" s="2" t="s">
        <v>949</v>
      </c>
      <c r="K607" s="2" t="s">
        <v>969</v>
      </c>
      <c r="L607" s="2">
        <f t="shared" si="9"/>
        <v>150</v>
      </c>
    </row>
    <row r="608" spans="1:12" ht="25" customHeight="1">
      <c r="A608" s="2" t="s">
        <v>12</v>
      </c>
      <c r="B608" s="2" t="str">
        <f>HYPERLINK("http://bbs.12365auto.com/postcontent.aspx?tId=195466","2020款奥迪Q5L适时上市 志在细分市场销量冠军")</f>
        <v>2020款奥迪Q5L适时上市 志在细分市场销量冠军</v>
      </c>
      <c r="C608" s="2" t="s">
        <v>13</v>
      </c>
      <c r="D608" s="2" t="s">
        <v>12</v>
      </c>
      <c r="E608" s="2" t="s">
        <v>210</v>
      </c>
      <c r="F608" s="2" t="str">
        <f>HYPERLINK("http://bbs.12365auto.com/postcontent.aspx?tId=195466","http://bbs.12365auto.com/postcontent.aspx?tId=195466")</f>
        <v>http://bbs.12365auto.com/postcontent.aspx?tId=195466</v>
      </c>
      <c r="G608" s="2"/>
      <c r="H608" s="2" t="s">
        <v>636</v>
      </c>
      <c r="I608" s="2" t="s">
        <v>15</v>
      </c>
      <c r="J608" s="2" t="s">
        <v>949</v>
      </c>
      <c r="K608" s="2" t="s">
        <v>969</v>
      </c>
      <c r="L608" s="2">
        <f t="shared" si="9"/>
        <v>150</v>
      </c>
    </row>
    <row r="609" spans="1:12" ht="25" customHeight="1">
      <c r="A609" s="2" t="s">
        <v>12</v>
      </c>
      <c r="B609" s="2" t="str">
        <f>HYPERLINK("http://bbs.12365auto.com/postcontent.aspx?tId=195469","大众探岳出新款省油利器！百公里油耗仅为2L 谁还看RAV4双擎？")</f>
        <v>大众探岳出新款省油利器！百公里油耗仅为2L 谁还看RAV4双擎？</v>
      </c>
      <c r="C609" s="2" t="s">
        <v>13</v>
      </c>
      <c r="D609" s="2" t="s">
        <v>12</v>
      </c>
      <c r="E609" s="2" t="s">
        <v>210</v>
      </c>
      <c r="F609" s="2" t="str">
        <f>HYPERLINK("http://bbs.12365auto.com/postcontent.aspx?tId=195469","http://bbs.12365auto.com/postcontent.aspx?tId=195469")</f>
        <v>http://bbs.12365auto.com/postcontent.aspx?tId=195469</v>
      </c>
      <c r="G609" s="2"/>
      <c r="H609" s="2" t="s">
        <v>971</v>
      </c>
      <c r="I609" s="2" t="s">
        <v>15</v>
      </c>
      <c r="J609" s="2" t="s">
        <v>949</v>
      </c>
      <c r="K609" s="2" t="s">
        <v>969</v>
      </c>
      <c r="L609" s="2">
        <f t="shared" si="9"/>
        <v>150</v>
      </c>
    </row>
    <row r="610" spans="1:12" ht="25" customHeight="1">
      <c r="A610" s="2" t="s">
        <v>12</v>
      </c>
      <c r="B610" s="2" t="str">
        <f>HYPERLINK("http://m.12365auto.com/bbs/postcontent.aspx?tID=195467","救市措施推出 中国汽车迎利好？")</f>
        <v>救市措施推出 中国汽车迎利好？</v>
      </c>
      <c r="C610" s="2" t="s">
        <v>13</v>
      </c>
      <c r="D610" s="2" t="s">
        <v>23</v>
      </c>
      <c r="E610" s="2"/>
      <c r="F610" s="2" t="str">
        <f>HYPERLINK("http://m.12365auto.com/bbs/postcontent.aspx?tID=195467","http://m.12365auto.com/bbs/postcontent.aspx?tID=195467")</f>
        <v>http://m.12365auto.com/bbs/postcontent.aspx?tID=195467</v>
      </c>
      <c r="G610" s="2"/>
      <c r="H610" s="2" t="s">
        <v>972</v>
      </c>
      <c r="I610" s="2" t="s">
        <v>15</v>
      </c>
      <c r="J610" s="2" t="s">
        <v>949</v>
      </c>
      <c r="K610" s="2" t="s">
        <v>969</v>
      </c>
      <c r="L610" s="2">
        <f t="shared" si="9"/>
        <v>150</v>
      </c>
    </row>
    <row r="611" spans="1:12" ht="25" customHeight="1">
      <c r="A611" s="2" t="s">
        <v>12</v>
      </c>
      <c r="B611" s="2" t="str">
        <f>HYPERLINK("http://m.12365auto.com/bbs/postcontent.aspx?tID=195468","能买这几款合资SUV 说明混得不错")</f>
        <v>能买这几款合资SUV 说明混得不错</v>
      </c>
      <c r="C611" s="2" t="s">
        <v>13</v>
      </c>
      <c r="D611" s="2" t="s">
        <v>23</v>
      </c>
      <c r="E611" s="2"/>
      <c r="F611" s="2" t="str">
        <f>HYPERLINK("http://m.12365auto.com/bbs/postcontent.aspx?tID=195468","http://m.12365auto.com/bbs/postcontent.aspx?tID=195468")</f>
        <v>http://m.12365auto.com/bbs/postcontent.aspx?tID=195468</v>
      </c>
      <c r="G611" s="2"/>
      <c r="H611" s="2" t="s">
        <v>973</v>
      </c>
      <c r="I611" s="2" t="s">
        <v>15</v>
      </c>
      <c r="J611" s="2" t="s">
        <v>935</v>
      </c>
      <c r="K611" s="2" t="s">
        <v>969</v>
      </c>
      <c r="L611" s="2">
        <f t="shared" si="9"/>
        <v>150</v>
      </c>
    </row>
    <row r="612" spans="1:12" ht="25" customHeight="1">
      <c r="A612" s="2" t="s">
        <v>12</v>
      </c>
      <c r="B612" s="2" t="str">
        <f>HYPERLINK("http://bbs.12365auto.com/postcontent.aspx?tId=195468","能买这几款合资SUV 说明混得不错")</f>
        <v>能买这几款合资SUV 说明混得不错</v>
      </c>
      <c r="C612" s="2" t="s">
        <v>13</v>
      </c>
      <c r="D612" s="2" t="s">
        <v>12</v>
      </c>
      <c r="E612" s="2" t="s">
        <v>210</v>
      </c>
      <c r="F612" s="2" t="str">
        <f>HYPERLINK("http://bbs.12365auto.com/postcontent.aspx?tId=195468","http://bbs.12365auto.com/postcontent.aspx?tId=195468")</f>
        <v>http://bbs.12365auto.com/postcontent.aspx?tId=195468</v>
      </c>
      <c r="G612" s="2"/>
      <c r="H612" s="2" t="s">
        <v>973</v>
      </c>
      <c r="I612" s="2" t="s">
        <v>15</v>
      </c>
      <c r="J612" s="2" t="s">
        <v>935</v>
      </c>
      <c r="K612" s="2" t="s">
        <v>969</v>
      </c>
      <c r="L612" s="2">
        <f t="shared" si="9"/>
        <v>150</v>
      </c>
    </row>
    <row r="613" spans="1:12" ht="25" customHeight="1">
      <c r="A613" s="2" t="s">
        <v>12</v>
      </c>
      <c r="B613" s="2" t="str">
        <f>HYPERLINK("http://bbs.12365auto.com/postcontent.aspx?tID=195466","2020款奥迪Q5L适时上市 志在细分市场销量冠军")</f>
        <v>2020款奥迪Q5L适时上市 志在细分市场销量冠军</v>
      </c>
      <c r="C613" s="2" t="s">
        <v>13</v>
      </c>
      <c r="D613" s="2" t="s">
        <v>12</v>
      </c>
      <c r="E613" s="2" t="s">
        <v>214</v>
      </c>
      <c r="F613" s="2" t="str">
        <f>HYPERLINK("http://bbs.12365auto.com/postcontent.aspx?tID=195466","http://bbs.12365auto.com/postcontent.aspx?tID=195466")</f>
        <v>http://bbs.12365auto.com/postcontent.aspx?tID=195466</v>
      </c>
      <c r="G613" s="2"/>
      <c r="H613" s="2" t="s">
        <v>635</v>
      </c>
      <c r="I613" s="2" t="s">
        <v>15</v>
      </c>
      <c r="J613" s="2" t="s">
        <v>949</v>
      </c>
      <c r="K613" s="2" t="s">
        <v>969</v>
      </c>
      <c r="L613" s="2">
        <f t="shared" si="9"/>
        <v>150</v>
      </c>
    </row>
    <row r="614" spans="1:12" ht="25" customHeight="1">
      <c r="A614" s="2" t="s">
        <v>12</v>
      </c>
      <c r="B614" s="2" t="str">
        <f>HYPERLINK("http://m.12365auto.com/bbs/postcontent.aspx?tID=195469","大众探岳出新款省油利器！百公里油耗仅为2L 谁还看RAV4双擎？")</f>
        <v>大众探岳出新款省油利器！百公里油耗仅为2L 谁还看RAV4双擎？</v>
      </c>
      <c r="C614" s="2" t="s">
        <v>13</v>
      </c>
      <c r="D614" s="2" t="s">
        <v>23</v>
      </c>
      <c r="E614" s="2"/>
      <c r="F614" s="2" t="str">
        <f>HYPERLINK("http://m.12365auto.com/bbs/postcontent.aspx?tID=195469","http://m.12365auto.com/bbs/postcontent.aspx?tID=195469")</f>
        <v>http://m.12365auto.com/bbs/postcontent.aspx?tID=195469</v>
      </c>
      <c r="G614" s="2"/>
      <c r="H614" s="2" t="s">
        <v>971</v>
      </c>
      <c r="I614" s="2" t="s">
        <v>15</v>
      </c>
      <c r="J614" s="2" t="s">
        <v>949</v>
      </c>
      <c r="K614" s="2" t="s">
        <v>969</v>
      </c>
      <c r="L614" s="2">
        <f t="shared" si="9"/>
        <v>150</v>
      </c>
    </row>
    <row r="615" spans="1:12" ht="25" customHeight="1">
      <c r="A615" s="2" t="s">
        <v>12</v>
      </c>
      <c r="B615" s="2" t="str">
        <f>HYPERLINK("http://m.12365auto.com/bbs/postcontent.aspx?tID=195466","2020款奥迪Q5L适时上市 志在细分市场销量冠军")</f>
        <v>2020款奥迪Q5L适时上市 志在细分市场销量冠军</v>
      </c>
      <c r="C615" s="2" t="s">
        <v>13</v>
      </c>
      <c r="D615" s="2" t="s">
        <v>23</v>
      </c>
      <c r="E615" s="2"/>
      <c r="F615" s="2" t="str">
        <f>HYPERLINK("http://m.12365auto.com/bbs/postcontent.aspx?tID=195466","http://m.12365auto.com/bbs/postcontent.aspx?tID=195466")</f>
        <v>http://m.12365auto.com/bbs/postcontent.aspx?tID=195466</v>
      </c>
      <c r="G615" s="2"/>
      <c r="H615" s="2" t="s">
        <v>636</v>
      </c>
      <c r="I615" s="2" t="s">
        <v>15</v>
      </c>
      <c r="J615" s="2" t="s">
        <v>949</v>
      </c>
      <c r="K615" s="2" t="s">
        <v>969</v>
      </c>
      <c r="L615" s="2">
        <f t="shared" si="9"/>
        <v>150</v>
      </c>
    </row>
    <row r="616" spans="1:12" ht="25" customHeight="1">
      <c r="A616" s="2" t="s">
        <v>12</v>
      </c>
      <c r="B616" s="2" t="str">
        <f>HYPERLINK("http://bbs.12365auto.com/postcontent.aspx?tId=195467","救市措施推出 中国汽车迎利好？")</f>
        <v>救市措施推出 中国汽车迎利好？</v>
      </c>
      <c r="C616" s="2" t="s">
        <v>13</v>
      </c>
      <c r="D616" s="2" t="s">
        <v>12</v>
      </c>
      <c r="E616" s="2" t="s">
        <v>210</v>
      </c>
      <c r="F616" s="2" t="str">
        <f>HYPERLINK("http://bbs.12365auto.com/postcontent.aspx?tId=195467","http://bbs.12365auto.com/postcontent.aspx?tId=195467")</f>
        <v>http://bbs.12365auto.com/postcontent.aspx?tId=195467</v>
      </c>
      <c r="G616" s="2"/>
      <c r="H616" s="2" t="s">
        <v>972</v>
      </c>
      <c r="I616" s="2" t="s">
        <v>15</v>
      </c>
      <c r="J616" s="2" t="s">
        <v>949</v>
      </c>
      <c r="K616" s="2" t="s">
        <v>969</v>
      </c>
      <c r="L616" s="2">
        <f t="shared" si="9"/>
        <v>150</v>
      </c>
    </row>
    <row r="617" spans="1:12" ht="25" customHeight="1">
      <c r="A617" s="2" t="s">
        <v>12</v>
      </c>
      <c r="B617" s="2" t="str">
        <f>HYPERLINK("http://bbs.12365auto.com/postcontent.aspx?tID=195469","大众探岳出新款省油利器！百公里油耗仅为2L 谁还看RAV4双擎？")</f>
        <v>大众探岳出新款省油利器！百公里油耗仅为2L 谁还看RAV4双擎？</v>
      </c>
      <c r="C617" s="2" t="s">
        <v>13</v>
      </c>
      <c r="D617" s="2" t="s">
        <v>12</v>
      </c>
      <c r="E617" s="2" t="s">
        <v>214</v>
      </c>
      <c r="F617" s="2" t="str">
        <f>HYPERLINK("http://bbs.12365auto.com/postcontent.aspx?tID=195469","http://bbs.12365auto.com/postcontent.aspx?tID=195469")</f>
        <v>http://bbs.12365auto.com/postcontent.aspx?tID=195469</v>
      </c>
      <c r="G617" s="2"/>
      <c r="H617" s="2" t="s">
        <v>974</v>
      </c>
      <c r="I617" s="2" t="s">
        <v>15</v>
      </c>
      <c r="J617" s="2" t="s">
        <v>949</v>
      </c>
      <c r="K617" s="2" t="s">
        <v>969</v>
      </c>
      <c r="L617" s="2">
        <f t="shared" si="9"/>
        <v>150</v>
      </c>
    </row>
    <row r="618" spans="1:12" ht="25" customHeight="1">
      <c r="A618" s="2" t="s">
        <v>12</v>
      </c>
      <c r="B618" s="2" t="str">
        <f>HYPERLINK("http://bbs.12365auto.com/postcontent.aspx?tID=195464","理性分析凯迪拉克CT5的保价策略 这台车最多能优惠多少")</f>
        <v>理性分析凯迪拉克CT5的保价策略 这台车最多能优惠多少</v>
      </c>
      <c r="C618" s="2" t="s">
        <v>13</v>
      </c>
      <c r="D618" s="2" t="s">
        <v>12</v>
      </c>
      <c r="E618" s="2" t="s">
        <v>214</v>
      </c>
      <c r="F618" s="2" t="str">
        <f>HYPERLINK("http://bbs.12365auto.com/postcontent.aspx?tID=195464","http://bbs.12365auto.com/postcontent.aspx?tID=195464")</f>
        <v>http://bbs.12365auto.com/postcontent.aspx?tID=195464</v>
      </c>
      <c r="G618" s="2"/>
      <c r="H618" s="2" t="s">
        <v>666</v>
      </c>
      <c r="I618" s="2" t="s">
        <v>15</v>
      </c>
      <c r="J618" s="2" t="s">
        <v>949</v>
      </c>
      <c r="K618" s="2" t="s">
        <v>975</v>
      </c>
      <c r="L618" s="2">
        <f t="shared" si="9"/>
        <v>150</v>
      </c>
    </row>
    <row r="619" spans="1:12" ht="25" customHeight="1">
      <c r="A619" s="2" t="s">
        <v>12</v>
      </c>
      <c r="B619" s="2" t="str">
        <f>HYPERLINK("http://bbs.12365auto.com/postcontent.aspx?tID=195465","国产的奥迪A7L 究竟要不要死等？")</f>
        <v>国产的奥迪A7L 究竟要不要死等？</v>
      </c>
      <c r="C619" s="2" t="s">
        <v>13</v>
      </c>
      <c r="D619" s="2" t="s">
        <v>12</v>
      </c>
      <c r="E619" s="2" t="s">
        <v>214</v>
      </c>
      <c r="F619" s="2" t="str">
        <f>HYPERLINK("http://bbs.12365auto.com/postcontent.aspx?tID=195465","http://bbs.12365auto.com/postcontent.aspx?tID=195465")</f>
        <v>http://bbs.12365auto.com/postcontent.aspx?tID=195465</v>
      </c>
      <c r="G619" s="2"/>
      <c r="H619" s="2" t="s">
        <v>976</v>
      </c>
      <c r="I619" s="2" t="s">
        <v>15</v>
      </c>
      <c r="J619" s="2" t="s">
        <v>949</v>
      </c>
      <c r="K619" s="2" t="s">
        <v>975</v>
      </c>
      <c r="L619" s="2">
        <f t="shared" si="9"/>
        <v>150</v>
      </c>
    </row>
    <row r="620" spans="1:12" ht="25" customHeight="1">
      <c r="A620" s="2" t="s">
        <v>12</v>
      </c>
      <c r="B620" s="2" t="str">
        <f>HYPERLINK("http://bbs.12365auto.com/postcontent.aspx?tId=195463","4年前花80万买的特斯拉 现在续航多少？")</f>
        <v>4年前花80万买的特斯拉 现在续航多少？</v>
      </c>
      <c r="C620" s="2" t="s">
        <v>13</v>
      </c>
      <c r="D620" s="2" t="s">
        <v>12</v>
      </c>
      <c r="E620" s="2" t="s">
        <v>210</v>
      </c>
      <c r="F620" s="2" t="str">
        <f>HYPERLINK("http://bbs.12365auto.com/postcontent.aspx?tId=195463","http://bbs.12365auto.com/postcontent.aspx?tId=195463")</f>
        <v>http://bbs.12365auto.com/postcontent.aspx?tId=195463</v>
      </c>
      <c r="G620" s="2"/>
      <c r="H620" s="2" t="s">
        <v>977</v>
      </c>
      <c r="I620" s="2" t="s">
        <v>15</v>
      </c>
      <c r="J620" s="2" t="s">
        <v>949</v>
      </c>
      <c r="K620" s="2" t="s">
        <v>975</v>
      </c>
      <c r="L620" s="2">
        <f t="shared" si="9"/>
        <v>150</v>
      </c>
    </row>
    <row r="621" spans="1:12" ht="25" customHeight="1">
      <c r="A621" s="2" t="s">
        <v>12</v>
      </c>
      <c r="B621" s="2" t="str">
        <f>HYPERLINK("http://bbs.12365auto.com/postcontent.aspx?tID=195463","4年前花80万买的特斯拉 现在续航多少？")</f>
        <v>4年前花80万买的特斯拉 现在续航多少？</v>
      </c>
      <c r="C621" s="2" t="s">
        <v>13</v>
      </c>
      <c r="D621" s="2" t="s">
        <v>12</v>
      </c>
      <c r="E621" s="2" t="s">
        <v>214</v>
      </c>
      <c r="F621" s="2" t="str">
        <f>HYPERLINK("http://bbs.12365auto.com/postcontent.aspx?tID=195463","http://bbs.12365auto.com/postcontent.aspx?tID=195463")</f>
        <v>http://bbs.12365auto.com/postcontent.aspx?tID=195463</v>
      </c>
      <c r="G621" s="2"/>
      <c r="H621" s="2" t="s">
        <v>978</v>
      </c>
      <c r="I621" s="2" t="s">
        <v>15</v>
      </c>
      <c r="J621" s="2" t="s">
        <v>949</v>
      </c>
      <c r="K621" s="2" t="s">
        <v>975</v>
      </c>
      <c r="L621" s="2">
        <f t="shared" si="9"/>
        <v>150</v>
      </c>
    </row>
    <row r="622" spans="1:12" ht="25" customHeight="1">
      <c r="A622" s="2" t="s">
        <v>12</v>
      </c>
      <c r="B622" s="2" t="str">
        <f>HYPERLINK("http://bbs.12365auto.com/postcontent.aspx?tId=195465","国产的奥迪A7L 究竟要不要死等？")</f>
        <v>国产的奥迪A7L 究竟要不要死等？</v>
      </c>
      <c r="C622" s="2" t="s">
        <v>13</v>
      </c>
      <c r="D622" s="2" t="s">
        <v>12</v>
      </c>
      <c r="E622" s="2" t="s">
        <v>210</v>
      </c>
      <c r="F622" s="2" t="str">
        <f>HYPERLINK("http://bbs.12365auto.com/postcontent.aspx?tId=195465","http://bbs.12365auto.com/postcontent.aspx?tId=195465")</f>
        <v>http://bbs.12365auto.com/postcontent.aspx?tId=195465</v>
      </c>
      <c r="G622" s="2"/>
      <c r="H622" s="2" t="s">
        <v>979</v>
      </c>
      <c r="I622" s="2" t="s">
        <v>15</v>
      </c>
      <c r="J622" s="2" t="s">
        <v>949</v>
      </c>
      <c r="K622" s="2" t="s">
        <v>975</v>
      </c>
      <c r="L622" s="2">
        <f t="shared" si="9"/>
        <v>150</v>
      </c>
    </row>
    <row r="623" spans="1:12" ht="25" customHeight="1">
      <c r="A623" s="2" t="s">
        <v>12</v>
      </c>
      <c r="B623" s="2" t="str">
        <f>HYPERLINK("http://bbs.12365auto.com/postcontent.aspx?tId=195464","理性分析凯迪拉克CT5的保价策略 这台车最多能优惠多少")</f>
        <v>理性分析凯迪拉克CT5的保价策略 这台车最多能优惠多少</v>
      </c>
      <c r="C623" s="2" t="s">
        <v>13</v>
      </c>
      <c r="D623" s="2" t="s">
        <v>12</v>
      </c>
      <c r="E623" s="2" t="s">
        <v>210</v>
      </c>
      <c r="F623" s="2" t="str">
        <f>HYPERLINK("http://bbs.12365auto.com/postcontent.aspx?tId=195464","http://bbs.12365auto.com/postcontent.aspx?tId=195464")</f>
        <v>http://bbs.12365auto.com/postcontent.aspx?tId=195464</v>
      </c>
      <c r="G623" s="2"/>
      <c r="H623" s="2" t="s">
        <v>664</v>
      </c>
      <c r="I623" s="2" t="s">
        <v>15</v>
      </c>
      <c r="J623" s="2" t="s">
        <v>949</v>
      </c>
      <c r="K623" s="2" t="s">
        <v>975</v>
      </c>
      <c r="L623" s="2">
        <f t="shared" si="9"/>
        <v>150</v>
      </c>
    </row>
    <row r="624" spans="1:12" ht="25" customHeight="1">
      <c r="A624" s="2" t="s">
        <v>12</v>
      </c>
      <c r="B624" s="2" t="str">
        <f>HYPERLINK("http://bbs.12365auto.com/postcontent.aspx?tId=195462","广汽丰田威兰达上市 指导价17.18至24.18万元")</f>
        <v>广汽丰田威兰达上市 指导价17.18至24.18万元</v>
      </c>
      <c r="C624" s="2" t="s">
        <v>13</v>
      </c>
      <c r="D624" s="2" t="s">
        <v>12</v>
      </c>
      <c r="E624" s="2" t="s">
        <v>210</v>
      </c>
      <c r="F624" s="2" t="str">
        <f>HYPERLINK("http://bbs.12365auto.com/postcontent.aspx?tId=195462","http://bbs.12365auto.com/postcontent.aspx?tId=195462")</f>
        <v>http://bbs.12365auto.com/postcontent.aspx?tId=195462</v>
      </c>
      <c r="G624" s="2"/>
      <c r="H624" s="2" t="s">
        <v>980</v>
      </c>
      <c r="I624" s="2" t="s">
        <v>15</v>
      </c>
      <c r="J624" s="2" t="s">
        <v>949</v>
      </c>
      <c r="K624" s="2" t="s">
        <v>981</v>
      </c>
      <c r="L624" s="2">
        <f t="shared" si="9"/>
        <v>150</v>
      </c>
    </row>
    <row r="625" spans="1:12" ht="25" customHeight="1">
      <c r="A625" s="2" t="s">
        <v>12</v>
      </c>
      <c r="B625" s="2" t="str">
        <f>HYPERLINK("http://bbs.12365auto.com/postcontent.aspx?tID=195462","广汽丰田威兰达上市 指导价17.18至24.18万元")</f>
        <v>广汽丰田威兰达上市 指导价17.18至24.18万元</v>
      </c>
      <c r="C625" s="2" t="s">
        <v>13</v>
      </c>
      <c r="D625" s="2" t="s">
        <v>12</v>
      </c>
      <c r="E625" s="2" t="s">
        <v>214</v>
      </c>
      <c r="F625" s="2" t="str">
        <f>HYPERLINK("http://bbs.12365auto.com/postcontent.aspx?tID=195462","http://bbs.12365auto.com/postcontent.aspx?tID=195462")</f>
        <v>http://bbs.12365auto.com/postcontent.aspx?tID=195462</v>
      </c>
      <c r="G625" s="2"/>
      <c r="H625" s="2" t="s">
        <v>982</v>
      </c>
      <c r="I625" s="2" t="s">
        <v>15</v>
      </c>
      <c r="J625" s="2" t="s">
        <v>949</v>
      </c>
      <c r="K625" s="2" t="s">
        <v>981</v>
      </c>
      <c r="L625" s="2">
        <f t="shared" si="9"/>
        <v>150</v>
      </c>
    </row>
    <row r="626" spans="1:12" ht="25" customHeight="1">
      <c r="A626" s="2" t="s">
        <v>12</v>
      </c>
      <c r="B626" s="2" t="str">
        <f>HYPERLINK("http://m.12365auto.com/xcdg/20200228/419827.shtml","新款奥迪SQ7 将搭V8发动机 4.3秒钟破百")</f>
        <v>新款奥迪SQ7 将搭V8发动机 4.3秒钟破百</v>
      </c>
      <c r="C626" s="2" t="s">
        <v>13</v>
      </c>
      <c r="D626" s="2" t="s">
        <v>12</v>
      </c>
      <c r="E626" s="2"/>
      <c r="F626" s="2" t="str">
        <f>HYPERLINK("http://m.12365auto.com/xcdg/20200228/419827.shtml","http://m.12365auto.com/xcdg/20200228/419827.shtml")</f>
        <v>http://m.12365auto.com/xcdg/20200228/419827.shtml</v>
      </c>
      <c r="G626" s="2"/>
      <c r="H626" s="2" t="s">
        <v>983</v>
      </c>
      <c r="I626" s="2" t="s">
        <v>19</v>
      </c>
      <c r="J626" s="2" t="s">
        <v>984</v>
      </c>
      <c r="K626" s="2" t="s">
        <v>981</v>
      </c>
      <c r="L626" s="2">
        <f t="shared" si="9"/>
        <v>150</v>
      </c>
    </row>
    <row r="627" spans="1:12" ht="25" customHeight="1">
      <c r="A627" s="2" t="s">
        <v>12</v>
      </c>
      <c r="B627" s="2" t="str">
        <f>HYPERLINK("http://www.12365auto.com/xcdg/20200228/419827.shtml","新款奥迪SQ7 将搭V8发动机 4.3秒钟破百")</f>
        <v>新款奥迪SQ7 将搭V8发动机 4.3秒钟破百</v>
      </c>
      <c r="C627" s="2" t="s">
        <v>13</v>
      </c>
      <c r="D627" s="2" t="s">
        <v>12</v>
      </c>
      <c r="E627" s="2" t="s">
        <v>216</v>
      </c>
      <c r="F627" s="2" t="str">
        <f>HYPERLINK("http://www.12365auto.com/xcdg/20200228/419827.shtml","http://www.12365auto.com/xcdg/20200228/419827.shtml")</f>
        <v>http://www.12365auto.com/xcdg/20200228/419827.shtml</v>
      </c>
      <c r="G627" s="2"/>
      <c r="H627" s="2" t="s">
        <v>985</v>
      </c>
      <c r="I627" s="2" t="s">
        <v>15</v>
      </c>
      <c r="J627" s="2" t="s">
        <v>12</v>
      </c>
      <c r="K627" s="2" t="s">
        <v>981</v>
      </c>
      <c r="L627" s="2">
        <f t="shared" si="9"/>
        <v>150</v>
      </c>
    </row>
    <row r="628" spans="1:12" ht="25" customHeight="1">
      <c r="A628" s="2" t="s">
        <v>12</v>
      </c>
      <c r="B628" s="2" t="str">
        <f>HYPERLINK("http://bbs.12365auto.com/postcontent.aspx?tID=195461","3月3日首发 奔驰新款E级官方预告图曝光 配备全新头灯组")</f>
        <v>3月3日首发 奔驰新款E级官方预告图曝光 配备全新头灯组</v>
      </c>
      <c r="C628" s="2" t="s">
        <v>13</v>
      </c>
      <c r="D628" s="2" t="s">
        <v>12</v>
      </c>
      <c r="E628" s="2" t="s">
        <v>214</v>
      </c>
      <c r="F628" s="2" t="str">
        <f>HYPERLINK("http://bbs.12365auto.com/postcontent.aspx?tID=195461","http://bbs.12365auto.com/postcontent.aspx?tID=195461")</f>
        <v>http://bbs.12365auto.com/postcontent.aspx?tID=195461</v>
      </c>
      <c r="G628" s="2"/>
      <c r="H628" s="2" t="s">
        <v>986</v>
      </c>
      <c r="I628" s="2" t="s">
        <v>15</v>
      </c>
      <c r="J628" s="2" t="s">
        <v>949</v>
      </c>
      <c r="K628" s="2" t="s">
        <v>981</v>
      </c>
      <c r="L628" s="2">
        <f t="shared" si="9"/>
        <v>150</v>
      </c>
    </row>
    <row r="629" spans="1:12" ht="25" customHeight="1">
      <c r="A629" s="2" t="s">
        <v>12</v>
      </c>
      <c r="B629" s="2" t="str">
        <f>HYPERLINK("http://bbs.12365auto.com/postcontent.aspx?tId=195461","3月3日首发 奔驰新款E级官方预告图曝光 配备全新头灯组")</f>
        <v>3月3日首发 奔驰新款E级官方预告图曝光 配备全新头灯组</v>
      </c>
      <c r="C629" s="2" t="s">
        <v>13</v>
      </c>
      <c r="D629" s="2" t="s">
        <v>12</v>
      </c>
      <c r="E629" s="2" t="s">
        <v>210</v>
      </c>
      <c r="F629" s="2" t="str">
        <f>HYPERLINK("http://bbs.12365auto.com/postcontent.aspx?tId=195461","http://bbs.12365auto.com/postcontent.aspx?tId=195461")</f>
        <v>http://bbs.12365auto.com/postcontent.aspx?tId=195461</v>
      </c>
      <c r="G629" s="2"/>
      <c r="H629" s="2" t="s">
        <v>667</v>
      </c>
      <c r="I629" s="2" t="s">
        <v>15</v>
      </c>
      <c r="J629" s="2" t="s">
        <v>949</v>
      </c>
      <c r="K629" s="2" t="s">
        <v>981</v>
      </c>
      <c r="L629" s="2">
        <f t="shared" si="9"/>
        <v>150</v>
      </c>
    </row>
    <row r="630" spans="1:12" ht="25" customHeight="1">
      <c r="A630" s="2" t="s">
        <v>12</v>
      </c>
      <c r="B630" s="2" t="str">
        <f>HYPERLINK("http://m.12365auto.com/news/20200228/419826.shtml","丰田注册GR HiLux商标 但暂无量产计划")</f>
        <v>丰田注册GR HiLux商标 但暂无量产计划</v>
      </c>
      <c r="C630" s="2" t="s">
        <v>13</v>
      </c>
      <c r="D630" s="2" t="s">
        <v>12</v>
      </c>
      <c r="E630" s="2"/>
      <c r="F630" s="2" t="str">
        <f>HYPERLINK("http://m.12365auto.com/news/20200228/419826.shtml","http://m.12365auto.com/news/20200228/419826.shtml")</f>
        <v>http://m.12365auto.com/news/20200228/419826.shtml</v>
      </c>
      <c r="G630" s="2"/>
      <c r="H630" s="2" t="s">
        <v>987</v>
      </c>
      <c r="I630" s="2" t="s">
        <v>19</v>
      </c>
      <c r="J630" s="2" t="s">
        <v>988</v>
      </c>
      <c r="K630" s="2" t="s">
        <v>989</v>
      </c>
      <c r="L630" s="2">
        <f t="shared" si="9"/>
        <v>150</v>
      </c>
    </row>
    <row r="631" spans="1:12" ht="25" customHeight="1">
      <c r="A631" s="2" t="s">
        <v>12</v>
      </c>
      <c r="B631" s="2" t="str">
        <f>HYPERLINK("http://www.12365auto.com/news/20200228/419826.shtml","丰田注册GR HiLux商标 但暂无量产计划")</f>
        <v>丰田注册GR HiLux商标 但暂无量产计划</v>
      </c>
      <c r="C631" s="2" t="s">
        <v>13</v>
      </c>
      <c r="D631" s="2" t="s">
        <v>12</v>
      </c>
      <c r="E631" s="2" t="s">
        <v>276</v>
      </c>
      <c r="F631" s="2" t="str">
        <f>HYPERLINK("http://www.12365auto.com/news/20200228/419826.shtml","http://www.12365auto.com/news/20200228/419826.shtml")</f>
        <v>http://www.12365auto.com/news/20200228/419826.shtml</v>
      </c>
      <c r="G631" s="2"/>
      <c r="H631" s="2" t="s">
        <v>990</v>
      </c>
      <c r="I631" s="2" t="s">
        <v>15</v>
      </c>
      <c r="J631" s="2" t="s">
        <v>12</v>
      </c>
      <c r="K631" s="2" t="s">
        <v>989</v>
      </c>
      <c r="L631" s="2">
        <f t="shared" si="9"/>
        <v>150</v>
      </c>
    </row>
    <row r="632" spans="1:12" ht="25" customHeight="1">
      <c r="A632" s="2" t="s">
        <v>12</v>
      </c>
      <c r="B632" s="2" t="str">
        <f>HYPERLINK("http://m.12365auto.com/xcdg/20200228/419825.shtml","宾利再发全新GT跑车预告图 日内瓦车展首发")</f>
        <v>宾利再发全新GT跑车预告图 日内瓦车展首发</v>
      </c>
      <c r="C632" s="2" t="s">
        <v>13</v>
      </c>
      <c r="D632" s="2" t="s">
        <v>12</v>
      </c>
      <c r="E632" s="2"/>
      <c r="F632" s="2" t="str">
        <f>HYPERLINK("http://m.12365auto.com/xcdg/20200228/419825.shtml","http://m.12365auto.com/xcdg/20200228/419825.shtml")</f>
        <v>http://m.12365auto.com/xcdg/20200228/419825.shtml</v>
      </c>
      <c r="G632" s="2"/>
      <c r="H632" s="2" t="s">
        <v>991</v>
      </c>
      <c r="I632" s="2" t="s">
        <v>19</v>
      </c>
      <c r="J632" s="2" t="s">
        <v>992</v>
      </c>
      <c r="K632" s="2" t="s">
        <v>993</v>
      </c>
      <c r="L632" s="2">
        <f t="shared" si="9"/>
        <v>150</v>
      </c>
    </row>
    <row r="633" spans="1:12" ht="25" customHeight="1">
      <c r="A633" s="2" t="s">
        <v>12</v>
      </c>
      <c r="B633" s="2" t="str">
        <f>HYPERLINK("http://www.12365auto.com/xcdg/20200228/419825.shtml","宾利再发全新GT跑车预告图 日内瓦车展首发")</f>
        <v>宾利再发全新GT跑车预告图 日内瓦车展首发</v>
      </c>
      <c r="C633" s="2" t="s">
        <v>13</v>
      </c>
      <c r="D633" s="2" t="s">
        <v>12</v>
      </c>
      <c r="E633" s="2" t="s">
        <v>216</v>
      </c>
      <c r="F633" s="2" t="str">
        <f>HYPERLINK("http://www.12365auto.com/xcdg/20200228/419825.shtml","http://www.12365auto.com/xcdg/20200228/419825.shtml")</f>
        <v>http://www.12365auto.com/xcdg/20200228/419825.shtml</v>
      </c>
      <c r="G633" s="2"/>
      <c r="H633" s="2" t="s">
        <v>994</v>
      </c>
      <c r="I633" s="2" t="s">
        <v>15</v>
      </c>
      <c r="J633" s="2" t="s">
        <v>12</v>
      </c>
      <c r="K633" s="2" t="s">
        <v>993</v>
      </c>
      <c r="L633" s="2">
        <f t="shared" si="9"/>
        <v>150</v>
      </c>
    </row>
    <row r="634" spans="1:12" ht="25" customHeight="1">
      <c r="A634" s="2" t="s">
        <v>12</v>
      </c>
      <c r="B634" s="2" t="str">
        <f>HYPERLINK("http://m.12365auto.com/xcdg/20200228/419824.shtml","巴博斯800 Adventure XLP G级的究极进化体")</f>
        <v>巴博斯800 Adventure XLP G级的究极进化体</v>
      </c>
      <c r="C634" s="2" t="s">
        <v>13</v>
      </c>
      <c r="D634" s="2" t="s">
        <v>12</v>
      </c>
      <c r="E634" s="2"/>
      <c r="F634" s="2" t="str">
        <f>HYPERLINK("http://m.12365auto.com/xcdg/20200228/419824.shtml","http://m.12365auto.com/xcdg/20200228/419824.shtml")</f>
        <v>http://m.12365auto.com/xcdg/20200228/419824.shtml</v>
      </c>
      <c r="G634" s="2"/>
      <c r="H634" s="2" t="s">
        <v>995</v>
      </c>
      <c r="I634" s="2" t="s">
        <v>19</v>
      </c>
      <c r="J634" s="2" t="s">
        <v>988</v>
      </c>
      <c r="K634" s="2" t="s">
        <v>996</v>
      </c>
      <c r="L634" s="2">
        <f t="shared" si="9"/>
        <v>150</v>
      </c>
    </row>
    <row r="635" spans="1:12" ht="25" customHeight="1">
      <c r="A635" s="2" t="s">
        <v>12</v>
      </c>
      <c r="B635" s="2" t="str">
        <f>HYPERLINK("http://www.12365auto.com/xcdg/20200228/419824.shtml","巴博斯800 Adventure XLP G级的究极进化体")</f>
        <v>巴博斯800 Adventure XLP G级的究极进化体</v>
      </c>
      <c r="C635" s="2" t="s">
        <v>13</v>
      </c>
      <c r="D635" s="2" t="s">
        <v>12</v>
      </c>
      <c r="E635" s="2" t="s">
        <v>216</v>
      </c>
      <c r="F635" s="2" t="str">
        <f>HYPERLINK("http://www.12365auto.com/xcdg/20200228/419824.shtml","http://www.12365auto.com/xcdg/20200228/419824.shtml")</f>
        <v>http://www.12365auto.com/xcdg/20200228/419824.shtml</v>
      </c>
      <c r="G635" s="2"/>
      <c r="H635" s="2" t="s">
        <v>997</v>
      </c>
      <c r="I635" s="2" t="s">
        <v>15</v>
      </c>
      <c r="J635" s="2" t="s">
        <v>12</v>
      </c>
      <c r="K635" s="2" t="s">
        <v>996</v>
      </c>
      <c r="L635" s="2">
        <f t="shared" si="9"/>
        <v>150</v>
      </c>
    </row>
    <row r="636" spans="1:12" ht="25" customHeight="1">
      <c r="A636" s="2" t="s">
        <v>12</v>
      </c>
      <c r="B636" s="2" t="str">
        <f>HYPERLINK("http://m.12365auto.com/xcdg/20200228/419823.shtml","下一代斯巴鲁WRX STI搭2.4T引擎 马力405PS")</f>
        <v>下一代斯巴鲁WRX STI搭2.4T引擎 马力405PS</v>
      </c>
      <c r="C636" s="2" t="s">
        <v>13</v>
      </c>
      <c r="D636" s="2" t="s">
        <v>12</v>
      </c>
      <c r="E636" s="2"/>
      <c r="F636" s="2" t="str">
        <f>HYPERLINK("http://m.12365auto.com/xcdg/20200228/419823.shtml","http://m.12365auto.com/xcdg/20200228/419823.shtml")</f>
        <v>http://m.12365auto.com/xcdg/20200228/419823.shtml</v>
      </c>
      <c r="G636" s="2"/>
      <c r="H636" s="2" t="s">
        <v>998</v>
      </c>
      <c r="I636" s="2" t="s">
        <v>19</v>
      </c>
      <c r="J636" s="2" t="s">
        <v>999</v>
      </c>
      <c r="K636" s="2" t="s">
        <v>1000</v>
      </c>
      <c r="L636" s="2">
        <f t="shared" si="9"/>
        <v>150</v>
      </c>
    </row>
    <row r="637" spans="1:12" ht="25" customHeight="1">
      <c r="A637" s="2" t="s">
        <v>12</v>
      </c>
      <c r="B637" s="2" t="str">
        <f>HYPERLINK("http://www.12365auto.com/xcdg/20200228/419823.shtml","下一代斯巴鲁WRX STI搭2.4T引擎 马力405PS")</f>
        <v>下一代斯巴鲁WRX STI搭2.4T引擎 马力405PS</v>
      </c>
      <c r="C637" s="2" t="s">
        <v>13</v>
      </c>
      <c r="D637" s="2" t="s">
        <v>12</v>
      </c>
      <c r="E637" s="2" t="s">
        <v>216</v>
      </c>
      <c r="F637" s="2" t="str">
        <f>HYPERLINK("http://www.12365auto.com/xcdg/20200228/419823.shtml","http://www.12365auto.com/xcdg/20200228/419823.shtml")</f>
        <v>http://www.12365auto.com/xcdg/20200228/419823.shtml</v>
      </c>
      <c r="G637" s="2"/>
      <c r="H637" s="2" t="s">
        <v>1001</v>
      </c>
      <c r="I637" s="2" t="s">
        <v>15</v>
      </c>
      <c r="J637" s="2" t="s">
        <v>12</v>
      </c>
      <c r="K637" s="2" t="s">
        <v>1000</v>
      </c>
      <c r="L637" s="2">
        <f t="shared" si="9"/>
        <v>150</v>
      </c>
    </row>
    <row r="638" spans="1:12" ht="25" customHeight="1">
      <c r="A638" s="2" t="s">
        <v>12</v>
      </c>
      <c r="B638" s="2" t="str">
        <f>HYPERLINK("http://m.12365auto.com/xcdg/20200228/419822.shtml","雷克萨斯日内瓦车展阵容曝光 UX300e等")</f>
        <v>雷克萨斯日内瓦车展阵容曝光 UX300e等</v>
      </c>
      <c r="C638" s="2" t="s">
        <v>13</v>
      </c>
      <c r="D638" s="2" t="s">
        <v>12</v>
      </c>
      <c r="E638" s="2"/>
      <c r="F638" s="2" t="str">
        <f>HYPERLINK("http://m.12365auto.com/xcdg/20200228/419822.shtml","http://m.12365auto.com/xcdg/20200228/419822.shtml")</f>
        <v>http://m.12365auto.com/xcdg/20200228/419822.shtml</v>
      </c>
      <c r="G638" s="2"/>
      <c r="H638" s="2" t="s">
        <v>1002</v>
      </c>
      <c r="I638" s="2" t="s">
        <v>19</v>
      </c>
      <c r="J638" s="2" t="s">
        <v>999</v>
      </c>
      <c r="K638" s="2" t="s">
        <v>1003</v>
      </c>
      <c r="L638" s="2">
        <f t="shared" si="9"/>
        <v>150</v>
      </c>
    </row>
    <row r="639" spans="1:12" ht="25" customHeight="1">
      <c r="A639" s="2" t="s">
        <v>12</v>
      </c>
      <c r="B639" s="2" t="str">
        <f>HYPERLINK("http://www.12365auto.com/xcdg/20200228/419822.shtml","雷克萨斯日内瓦车展阵容曝光 UX300e等")</f>
        <v>雷克萨斯日内瓦车展阵容曝光 UX300e等</v>
      </c>
      <c r="C639" s="2" t="s">
        <v>13</v>
      </c>
      <c r="D639" s="2" t="s">
        <v>12</v>
      </c>
      <c r="E639" s="2" t="s">
        <v>216</v>
      </c>
      <c r="F639" s="2" t="str">
        <f>HYPERLINK("http://www.12365auto.com/xcdg/20200228/419822.shtml","http://www.12365auto.com/xcdg/20200228/419822.shtml")</f>
        <v>http://www.12365auto.com/xcdg/20200228/419822.shtml</v>
      </c>
      <c r="G639" s="2"/>
      <c r="H639" s="2" t="s">
        <v>1004</v>
      </c>
      <c r="I639" s="2" t="s">
        <v>15</v>
      </c>
      <c r="J639" s="2" t="s">
        <v>12</v>
      </c>
      <c r="K639" s="2" t="s">
        <v>1003</v>
      </c>
      <c r="L639" s="2">
        <f t="shared" si="9"/>
        <v>150</v>
      </c>
    </row>
    <row r="640" spans="1:12" ht="25" customHeight="1">
      <c r="A640" s="2" t="s">
        <v>12</v>
      </c>
      <c r="B640" s="2" t="str">
        <f>HYPERLINK("http://m.12365auto.com/xcdg/20200228/419821.shtml","最低不到10万 比自主还便宜的合资SUV")</f>
        <v>最低不到10万 比自主还便宜的合资SUV</v>
      </c>
      <c r="C640" s="2" t="s">
        <v>13</v>
      </c>
      <c r="D640" s="2" t="s">
        <v>12</v>
      </c>
      <c r="E640" s="2"/>
      <c r="F640" s="2" t="str">
        <f>HYPERLINK("http://m.12365auto.com/xcdg/20200228/419821.shtml","http://m.12365auto.com/xcdg/20200228/419821.shtml")</f>
        <v>http://m.12365auto.com/xcdg/20200228/419821.shtml</v>
      </c>
      <c r="G640" s="2"/>
      <c r="H640" s="2" t="s">
        <v>1005</v>
      </c>
      <c r="I640" s="2" t="s">
        <v>19</v>
      </c>
      <c r="J640" s="2" t="s">
        <v>1006</v>
      </c>
      <c r="K640" s="2" t="s">
        <v>1007</v>
      </c>
      <c r="L640" s="2">
        <f t="shared" si="9"/>
        <v>150</v>
      </c>
    </row>
    <row r="641" spans="1:12" ht="25" customHeight="1">
      <c r="A641" s="2" t="s">
        <v>12</v>
      </c>
      <c r="B641" s="2" t="str">
        <f>HYPERLINK("http://m.12365auto.com/xcdg/20200228/419820.shtml","日内瓦车展：保时捷718 GTS 4.0系列将亮相")</f>
        <v>日内瓦车展：保时捷718 GTS 4.0系列将亮相</v>
      </c>
      <c r="C641" s="2" t="s">
        <v>13</v>
      </c>
      <c r="D641" s="2" t="s">
        <v>12</v>
      </c>
      <c r="E641" s="2"/>
      <c r="F641" s="2" t="str">
        <f>HYPERLINK("http://m.12365auto.com/xcdg/20200228/419820.shtml","http://m.12365auto.com/xcdg/20200228/419820.shtml")</f>
        <v>http://m.12365auto.com/xcdg/20200228/419820.shtml</v>
      </c>
      <c r="G641" s="2"/>
      <c r="H641" s="2" t="s">
        <v>1008</v>
      </c>
      <c r="I641" s="2" t="s">
        <v>19</v>
      </c>
      <c r="J641" s="2" t="s">
        <v>1009</v>
      </c>
      <c r="K641" s="2" t="s">
        <v>1010</v>
      </c>
      <c r="L641" s="2">
        <f t="shared" si="9"/>
        <v>150</v>
      </c>
    </row>
    <row r="642" spans="1:12" ht="25" customHeight="1">
      <c r="A642" s="2" t="s">
        <v>12</v>
      </c>
      <c r="B642" s="2" t="str">
        <f>HYPERLINK("http://www.12365auto.com/xcdg/20200228/419820.shtml","日内瓦车展：保时捷718 GTS 4.0系列将亮相")</f>
        <v>日内瓦车展：保时捷718 GTS 4.0系列将亮相</v>
      </c>
      <c r="C642" s="2" t="s">
        <v>13</v>
      </c>
      <c r="D642" s="2" t="s">
        <v>12</v>
      </c>
      <c r="E642" s="2" t="s">
        <v>216</v>
      </c>
      <c r="F642" s="2" t="str">
        <f>HYPERLINK("http://www.12365auto.com/xcdg/20200228/419820.shtml","http://www.12365auto.com/xcdg/20200228/419820.shtml")</f>
        <v>http://www.12365auto.com/xcdg/20200228/419820.shtml</v>
      </c>
      <c r="G642" s="2"/>
      <c r="H642" s="2" t="s">
        <v>1011</v>
      </c>
      <c r="I642" s="2" t="s">
        <v>15</v>
      </c>
      <c r="J642" s="2" t="s">
        <v>12</v>
      </c>
      <c r="K642" s="2" t="s">
        <v>1010</v>
      </c>
      <c r="L642" s="2">
        <f t="shared" si="9"/>
        <v>150</v>
      </c>
    </row>
    <row r="643" spans="1:12" ht="25" customHeight="1">
      <c r="A643" s="2" t="s">
        <v>12</v>
      </c>
      <c r="B643" s="2" t="str">
        <f>HYPERLINK("http://www.12365auto.com/zlts/20200228/449159.shtml","一汽奔腾B30转向卡顿升级后未能解决")</f>
        <v>一汽奔腾B30转向卡顿升级后未能解决</v>
      </c>
      <c r="C643" s="2" t="s">
        <v>13</v>
      </c>
      <c r="D643" s="2" t="s">
        <v>12</v>
      </c>
      <c r="E643" s="2" t="s">
        <v>17</v>
      </c>
      <c r="F643" s="2" t="str">
        <f>HYPERLINK("http://www.12365auto.com/zlts/20200228/449159.shtml","http://www.12365auto.com/zlts/20200228/449159.shtml")</f>
        <v>http://www.12365auto.com/zlts/20200228/449159.shtml</v>
      </c>
      <c r="G643" s="2"/>
      <c r="H643" s="2" t="s">
        <v>1012</v>
      </c>
      <c r="I643" s="2" t="s">
        <v>19</v>
      </c>
      <c r="J643" s="2" t="s">
        <v>12</v>
      </c>
      <c r="K643" s="2" t="s">
        <v>1013</v>
      </c>
      <c r="L643" s="2">
        <f t="shared" ref="L643:L706" si="10">LEN(H643)</f>
        <v>150</v>
      </c>
    </row>
    <row r="644" spans="1:12" ht="25" customHeight="1">
      <c r="A644" s="2" t="s">
        <v>12</v>
      </c>
      <c r="B644" s="2" t="str">
        <f>HYPERLINK("http://m.12365auto.com/xcdg/20200228/419819.shtml","日内瓦车展：保时捷Macan GTS将亮相")</f>
        <v>日内瓦车展：保时捷Macan GTS将亮相</v>
      </c>
      <c r="C644" s="2" t="s">
        <v>13</v>
      </c>
      <c r="D644" s="2" t="s">
        <v>12</v>
      </c>
      <c r="E644" s="2"/>
      <c r="F644" s="2" t="str">
        <f>HYPERLINK("http://m.12365auto.com/xcdg/20200228/419819.shtml","http://m.12365auto.com/xcdg/20200228/419819.shtml")</f>
        <v>http://m.12365auto.com/xcdg/20200228/419819.shtml</v>
      </c>
      <c r="G644" s="2"/>
      <c r="H644" s="2" t="s">
        <v>1014</v>
      </c>
      <c r="I644" s="2" t="s">
        <v>19</v>
      </c>
      <c r="J644" s="2" t="s">
        <v>1009</v>
      </c>
      <c r="K644" s="2" t="s">
        <v>1013</v>
      </c>
      <c r="L644" s="2">
        <f t="shared" si="10"/>
        <v>150</v>
      </c>
    </row>
    <row r="645" spans="1:12" ht="25" customHeight="1">
      <c r="A645" s="2" t="s">
        <v>12</v>
      </c>
      <c r="B645" s="2" t="str">
        <f>HYPERLINK("http://www.12365auto.com/xcdg/20200228/419819.shtml","日内瓦车展：保时捷Macan GTS将亮相")</f>
        <v>日内瓦车展：保时捷Macan GTS将亮相</v>
      </c>
      <c r="C645" s="2" t="s">
        <v>13</v>
      </c>
      <c r="D645" s="2" t="s">
        <v>12</v>
      </c>
      <c r="E645" s="2" t="s">
        <v>216</v>
      </c>
      <c r="F645" s="2" t="str">
        <f>HYPERLINK("http://www.12365auto.com/xcdg/20200228/419819.shtml","http://www.12365auto.com/xcdg/20200228/419819.shtml")</f>
        <v>http://www.12365auto.com/xcdg/20200228/419819.shtml</v>
      </c>
      <c r="G645" s="2"/>
      <c r="H645" s="2" t="s">
        <v>1015</v>
      </c>
      <c r="I645" s="2" t="s">
        <v>15</v>
      </c>
      <c r="J645" s="2" t="s">
        <v>12</v>
      </c>
      <c r="K645" s="2" t="s">
        <v>1013</v>
      </c>
      <c r="L645" s="2">
        <f t="shared" si="10"/>
        <v>150</v>
      </c>
    </row>
    <row r="646" spans="1:12" ht="25" customHeight="1">
      <c r="A646" s="2" t="s">
        <v>12</v>
      </c>
      <c r="B646" s="2" t="str">
        <f>HYPERLINK("http://m.12365auto.com/xcdg/20200228/419818.shtml","瞄准Model Y 沃尔沃XC40纯电车型公布售价")</f>
        <v>瞄准Model Y 沃尔沃XC40纯电车型公布售价</v>
      </c>
      <c r="C646" s="2" t="s">
        <v>13</v>
      </c>
      <c r="D646" s="2" t="s">
        <v>12</v>
      </c>
      <c r="E646" s="2"/>
      <c r="F646" s="2" t="str">
        <f>HYPERLINK("http://m.12365auto.com/xcdg/20200228/419818.shtml","http://m.12365auto.com/xcdg/20200228/419818.shtml")</f>
        <v>http://m.12365auto.com/xcdg/20200228/419818.shtml</v>
      </c>
      <c r="G646" s="2"/>
      <c r="H646" s="2" t="s">
        <v>1016</v>
      </c>
      <c r="I646" s="2" t="s">
        <v>19</v>
      </c>
      <c r="J646" s="2" t="s">
        <v>1017</v>
      </c>
      <c r="K646" s="2" t="s">
        <v>1018</v>
      </c>
      <c r="L646" s="2">
        <f t="shared" si="10"/>
        <v>150</v>
      </c>
    </row>
    <row r="647" spans="1:12" ht="25" customHeight="1">
      <c r="A647" s="2" t="s">
        <v>12</v>
      </c>
      <c r="B647" s="2" t="str">
        <f>HYPERLINK("http://www.12365auto.com/xcdg/20200228/419818.shtml","瞄准Model Y 沃尔沃XC40纯电车型公布售价")</f>
        <v>瞄准Model Y 沃尔沃XC40纯电车型公布售价</v>
      </c>
      <c r="C647" s="2" t="s">
        <v>13</v>
      </c>
      <c r="D647" s="2" t="s">
        <v>12</v>
      </c>
      <c r="E647" s="2" t="s">
        <v>216</v>
      </c>
      <c r="F647" s="2" t="str">
        <f>HYPERLINK("http://www.12365auto.com/xcdg/20200228/419818.shtml","http://www.12365auto.com/xcdg/20200228/419818.shtml")</f>
        <v>http://www.12365auto.com/xcdg/20200228/419818.shtml</v>
      </c>
      <c r="G647" s="2"/>
      <c r="H647" s="2" t="s">
        <v>1019</v>
      </c>
      <c r="I647" s="2" t="s">
        <v>15</v>
      </c>
      <c r="J647" s="2" t="s">
        <v>12</v>
      </c>
      <c r="K647" s="2" t="s">
        <v>1018</v>
      </c>
      <c r="L647" s="2">
        <f t="shared" si="10"/>
        <v>150</v>
      </c>
    </row>
    <row r="648" spans="1:12" ht="25" customHeight="1">
      <c r="A648" s="2" t="s">
        <v>12</v>
      </c>
      <c r="B648" s="2" t="str">
        <f>HYPERLINK("http://m.12365auto.com/zjdy/20200228/121729.shtml","七八万落地的家用轿车哪一款值得购买？")</f>
        <v>七八万落地的家用轿车哪一款值得购买？</v>
      </c>
      <c r="C648" s="2" t="s">
        <v>13</v>
      </c>
      <c r="D648" s="2" t="s">
        <v>12</v>
      </c>
      <c r="E648" s="2"/>
      <c r="F648" s="2" t="str">
        <f>HYPERLINK("http://m.12365auto.com/zjdy/20200228/121729.shtml","http://m.12365auto.com/zjdy/20200228/121729.shtml")</f>
        <v>http://m.12365auto.com/zjdy/20200228/121729.shtml</v>
      </c>
      <c r="G648" s="2"/>
      <c r="H648" s="2" t="s">
        <v>1020</v>
      </c>
      <c r="I648" s="2" t="s">
        <v>19</v>
      </c>
      <c r="J648" s="2" t="s">
        <v>12</v>
      </c>
      <c r="K648" s="2" t="s">
        <v>1021</v>
      </c>
      <c r="L648" s="2">
        <f t="shared" si="10"/>
        <v>32</v>
      </c>
    </row>
    <row r="649" spans="1:12" ht="25" customHeight="1">
      <c r="A649" s="2" t="s">
        <v>12</v>
      </c>
      <c r="B649" s="2" t="str">
        <f>HYPERLINK("http://m.12365auto.com/news/20200228/419817.shtml","造车新势力1月上牌量：总计6037辆")</f>
        <v>造车新势力1月上牌量：总计6037辆</v>
      </c>
      <c r="C649" s="2" t="s">
        <v>13</v>
      </c>
      <c r="D649" s="2" t="s">
        <v>12</v>
      </c>
      <c r="E649" s="2"/>
      <c r="F649" s="2" t="str">
        <f>HYPERLINK("http://m.12365auto.com/news/20200228/419817.shtml","http://m.12365auto.com/news/20200228/419817.shtml")</f>
        <v>http://m.12365auto.com/news/20200228/419817.shtml</v>
      </c>
      <c r="G649" s="2"/>
      <c r="H649" s="2" t="s">
        <v>1022</v>
      </c>
      <c r="I649" s="2" t="s">
        <v>19</v>
      </c>
      <c r="J649" s="2" t="s">
        <v>1023</v>
      </c>
      <c r="K649" s="2" t="s">
        <v>1024</v>
      </c>
      <c r="L649" s="2">
        <f t="shared" si="10"/>
        <v>150</v>
      </c>
    </row>
    <row r="650" spans="1:12" ht="25" customHeight="1">
      <c r="A650" s="2" t="s">
        <v>12</v>
      </c>
      <c r="B650" s="2" t="str">
        <f>HYPERLINK("http://www.12365auto.com/news/20200228/419817.shtml","造车新势力1月上牌量：总计6037辆")</f>
        <v>造车新势力1月上牌量：总计6037辆</v>
      </c>
      <c r="C650" s="2" t="s">
        <v>13</v>
      </c>
      <c r="D650" s="2" t="s">
        <v>12</v>
      </c>
      <c r="E650" s="2" t="s">
        <v>282</v>
      </c>
      <c r="F650" s="2" t="str">
        <f>HYPERLINK("http://www.12365auto.com/news/20200228/419817.shtml","http://www.12365auto.com/news/20200228/419817.shtml")</f>
        <v>http://www.12365auto.com/news/20200228/419817.shtml</v>
      </c>
      <c r="G650" s="2"/>
      <c r="H650" s="2" t="s">
        <v>1025</v>
      </c>
      <c r="I650" s="2" t="s">
        <v>19</v>
      </c>
      <c r="J650" s="2" t="s">
        <v>12</v>
      </c>
      <c r="K650" s="2" t="s">
        <v>1024</v>
      </c>
      <c r="L650" s="2">
        <f t="shared" si="10"/>
        <v>150</v>
      </c>
    </row>
    <row r="651" spans="1:12" ht="25" customHeight="1">
      <c r="A651" s="2" t="s">
        <v>12</v>
      </c>
      <c r="B651" s="2" t="str">
        <f>HYPERLINK("http://m.12365auto.com/zjdy/20200228/121728.shtml","桑塔纳帝豪和荣威i5这几款车选择哪一款？")</f>
        <v>桑塔纳帝豪和荣威i5这几款车选择哪一款？</v>
      </c>
      <c r="C651" s="2" t="s">
        <v>13</v>
      </c>
      <c r="D651" s="2" t="s">
        <v>12</v>
      </c>
      <c r="E651" s="2"/>
      <c r="F651" s="2" t="str">
        <f>HYPERLINK("http://m.12365auto.com/zjdy/20200228/121728.shtml","http://m.12365auto.com/zjdy/20200228/121728.shtml")</f>
        <v>http://m.12365auto.com/zjdy/20200228/121728.shtml</v>
      </c>
      <c r="G651" s="2"/>
      <c r="H651" s="2" t="s">
        <v>1026</v>
      </c>
      <c r="I651" s="2" t="s">
        <v>19</v>
      </c>
      <c r="J651" s="2" t="s">
        <v>12</v>
      </c>
      <c r="K651" s="2" t="s">
        <v>1027</v>
      </c>
      <c r="L651" s="2">
        <f t="shared" si="10"/>
        <v>21</v>
      </c>
    </row>
    <row r="652" spans="1:12" ht="25" customHeight="1">
      <c r="A652" s="2" t="s">
        <v>12</v>
      </c>
      <c r="B652" s="2" t="str">
        <f>HYPERLINK("http://m.12365auto.com/news/20200228/419816.shtml","保时捷推出新技术 可将指纹打印在引擎盖上")</f>
        <v>保时捷推出新技术 可将指纹打印在引擎盖上</v>
      </c>
      <c r="C652" s="2" t="s">
        <v>13</v>
      </c>
      <c r="D652" s="2" t="s">
        <v>12</v>
      </c>
      <c r="E652" s="2"/>
      <c r="F652" s="2" t="str">
        <f>HYPERLINK("http://m.12365auto.com/news/20200228/419816.shtml","http://m.12365auto.com/news/20200228/419816.shtml")</f>
        <v>http://m.12365auto.com/news/20200228/419816.shtml</v>
      </c>
      <c r="G652" s="2"/>
      <c r="H652" s="2" t="s">
        <v>1028</v>
      </c>
      <c r="I652" s="2" t="s">
        <v>19</v>
      </c>
      <c r="J652" s="2" t="s">
        <v>1029</v>
      </c>
      <c r="K652" s="2" t="s">
        <v>1030</v>
      </c>
      <c r="L652" s="2">
        <f t="shared" si="10"/>
        <v>150</v>
      </c>
    </row>
    <row r="653" spans="1:12" ht="25" customHeight="1">
      <c r="A653" s="2" t="s">
        <v>12</v>
      </c>
      <c r="B653" s="2" t="str">
        <f>HYPERLINK("http://www.12365auto.com/news/20200228/419816.shtml","保时捷推出新技术 可将指纹打印在引擎盖上")</f>
        <v>保时捷推出新技术 可将指纹打印在引擎盖上</v>
      </c>
      <c r="C653" s="2" t="s">
        <v>13</v>
      </c>
      <c r="D653" s="2" t="s">
        <v>12</v>
      </c>
      <c r="E653" s="2" t="s">
        <v>282</v>
      </c>
      <c r="F653" s="2" t="str">
        <f>HYPERLINK("http://www.12365auto.com/news/20200228/419816.shtml","http://www.12365auto.com/news/20200228/419816.shtml")</f>
        <v>http://www.12365auto.com/news/20200228/419816.shtml</v>
      </c>
      <c r="G653" s="2"/>
      <c r="H653" s="2" t="s">
        <v>1031</v>
      </c>
      <c r="I653" s="2" t="s">
        <v>19</v>
      </c>
      <c r="J653" s="2" t="s">
        <v>12</v>
      </c>
      <c r="K653" s="2" t="s">
        <v>1030</v>
      </c>
      <c r="L653" s="2">
        <f t="shared" si="10"/>
        <v>150</v>
      </c>
    </row>
    <row r="654" spans="1:12" ht="25" customHeight="1">
      <c r="A654" s="2" t="s">
        <v>12</v>
      </c>
      <c r="B654" s="2" t="str">
        <f>HYPERLINK("http://m.12365auto.com/news/20200228/419815.shtml","里卡多合作安世半导体 研发技术验证机")</f>
        <v>里卡多合作安世半导体 研发技术验证机</v>
      </c>
      <c r="C654" s="2" t="s">
        <v>13</v>
      </c>
      <c r="D654" s="2" t="s">
        <v>12</v>
      </c>
      <c r="E654" s="2"/>
      <c r="F654" s="2" t="str">
        <f>HYPERLINK("http://m.12365auto.com/news/20200228/419815.shtml","http://m.12365auto.com/news/20200228/419815.shtml")</f>
        <v>http://m.12365auto.com/news/20200228/419815.shtml</v>
      </c>
      <c r="G654" s="2"/>
      <c r="H654" s="2" t="s">
        <v>1032</v>
      </c>
      <c r="I654" s="2" t="s">
        <v>19</v>
      </c>
      <c r="J654" s="2" t="s">
        <v>1029</v>
      </c>
      <c r="K654" s="2" t="s">
        <v>1033</v>
      </c>
      <c r="L654" s="2">
        <f t="shared" si="10"/>
        <v>150</v>
      </c>
    </row>
    <row r="655" spans="1:12" ht="25" customHeight="1">
      <c r="A655" s="2" t="s">
        <v>12</v>
      </c>
      <c r="B655" s="2" t="str">
        <f>HYPERLINK("http://www.12365auto.com/news/20200228/419815.shtml","里卡多合作安世半导体 研发技术验证机")</f>
        <v>里卡多合作安世半导体 研发技术验证机</v>
      </c>
      <c r="C655" s="2" t="s">
        <v>13</v>
      </c>
      <c r="D655" s="2" t="s">
        <v>12</v>
      </c>
      <c r="E655" s="2" t="s">
        <v>282</v>
      </c>
      <c r="F655" s="2" t="str">
        <f>HYPERLINK("http://www.12365auto.com/news/20200228/419815.shtml","http://www.12365auto.com/news/20200228/419815.shtml")</f>
        <v>http://www.12365auto.com/news/20200228/419815.shtml</v>
      </c>
      <c r="G655" s="2"/>
      <c r="H655" s="2" t="s">
        <v>1034</v>
      </c>
      <c r="I655" s="2" t="s">
        <v>19</v>
      </c>
      <c r="J655" s="2" t="s">
        <v>12</v>
      </c>
      <c r="K655" s="2" t="s">
        <v>1033</v>
      </c>
      <c r="L655" s="2">
        <f t="shared" si="10"/>
        <v>150</v>
      </c>
    </row>
    <row r="656" spans="1:12" ht="25" customHeight="1">
      <c r="A656" s="2" t="s">
        <v>12</v>
      </c>
      <c r="B656" s="2" t="str">
        <f>HYPERLINK("http://m.12365auto.com/parts/20200228/419814.shtml","超大容量锂硫电池 可让电动车行驶1000公里")</f>
        <v>超大容量锂硫电池 可让电动车行驶1000公里</v>
      </c>
      <c r="C656" s="2" t="s">
        <v>13</v>
      </c>
      <c r="D656" s="2" t="s">
        <v>12</v>
      </c>
      <c r="E656" s="2"/>
      <c r="F656" s="2" t="str">
        <f>HYPERLINK("http://m.12365auto.com/parts/20200228/419814.shtml","http://m.12365auto.com/parts/20200228/419814.shtml")</f>
        <v>http://m.12365auto.com/parts/20200228/419814.shtml</v>
      </c>
      <c r="G656" s="2"/>
      <c r="H656" s="2" t="s">
        <v>1035</v>
      </c>
      <c r="I656" s="2" t="s">
        <v>19</v>
      </c>
      <c r="J656" s="2" t="s">
        <v>1036</v>
      </c>
      <c r="K656" s="2" t="s">
        <v>1037</v>
      </c>
      <c r="L656" s="2">
        <f t="shared" si="10"/>
        <v>150</v>
      </c>
    </row>
    <row r="657" spans="1:12" ht="25" customHeight="1">
      <c r="A657" s="2" t="s">
        <v>12</v>
      </c>
      <c r="B657" s="2" t="str">
        <f>HYPERLINK("http://www.12365auto.com/zlts/20200228/449153.shtml","宝骏730胎压监测疑似减配希望进行加装")</f>
        <v>宝骏730胎压监测疑似减配希望进行加装</v>
      </c>
      <c r="C657" s="2" t="s">
        <v>13</v>
      </c>
      <c r="D657" s="2" t="s">
        <v>12</v>
      </c>
      <c r="E657" s="2" t="s">
        <v>17</v>
      </c>
      <c r="F657" s="2" t="str">
        <f>HYPERLINK("http://www.12365auto.com/zlts/20200228/449153.shtml","http://www.12365auto.com/zlts/20200228/449153.shtml")</f>
        <v>http://www.12365auto.com/zlts/20200228/449153.shtml</v>
      </c>
      <c r="G657" s="2"/>
      <c r="H657" s="2" t="s">
        <v>1038</v>
      </c>
      <c r="I657" s="2" t="s">
        <v>19</v>
      </c>
      <c r="J657" s="2" t="s">
        <v>12</v>
      </c>
      <c r="K657" s="2" t="s">
        <v>1037</v>
      </c>
      <c r="L657" s="2">
        <f t="shared" si="10"/>
        <v>150</v>
      </c>
    </row>
    <row r="658" spans="1:12" ht="25" customHeight="1">
      <c r="A658" s="2" t="s">
        <v>12</v>
      </c>
      <c r="B658" s="2" t="str">
        <f>HYPERLINK("http://www.12365auto.com/parts/20200228/419814.shtml","超大容量锂硫电池 可让电动车行驶1000公里")</f>
        <v>超大容量锂硫电池 可让电动车行驶1000公里</v>
      </c>
      <c r="C658" s="2" t="s">
        <v>13</v>
      </c>
      <c r="D658" s="2" t="s">
        <v>12</v>
      </c>
      <c r="E658" s="2" t="s">
        <v>240</v>
      </c>
      <c r="F658" s="2" t="str">
        <f>HYPERLINK("http://www.12365auto.com/parts/20200228/419814.shtml","http://www.12365auto.com/parts/20200228/419814.shtml")</f>
        <v>http://www.12365auto.com/parts/20200228/419814.shtml</v>
      </c>
      <c r="G658" s="2"/>
      <c r="H658" s="2" t="s">
        <v>1039</v>
      </c>
      <c r="I658" s="2" t="s">
        <v>15</v>
      </c>
      <c r="J658" s="2" t="s">
        <v>12</v>
      </c>
      <c r="K658" s="2" t="s">
        <v>1037</v>
      </c>
      <c r="L658" s="2">
        <f t="shared" si="10"/>
        <v>150</v>
      </c>
    </row>
    <row r="659" spans="1:12" ht="25" customHeight="1">
      <c r="A659" s="2" t="s">
        <v>12</v>
      </c>
      <c r="B659" s="2" t="str">
        <f>HYPERLINK("http://m.12365auto.com/news/20200228/419813.shtml","斯巴鲁将向印第安纳工厂投资1.58亿美元")</f>
        <v>斯巴鲁将向印第安纳工厂投资1.58亿美元</v>
      </c>
      <c r="C659" s="2" t="s">
        <v>13</v>
      </c>
      <c r="D659" s="2" t="s">
        <v>12</v>
      </c>
      <c r="E659" s="2"/>
      <c r="F659" s="2" t="str">
        <f>HYPERLINK("http://m.12365auto.com/news/20200228/419813.shtml","http://m.12365auto.com/news/20200228/419813.shtml")</f>
        <v>http://m.12365auto.com/news/20200228/419813.shtml</v>
      </c>
      <c r="G659" s="2"/>
      <c r="H659" s="2" t="s">
        <v>1040</v>
      </c>
      <c r="I659" s="2" t="s">
        <v>19</v>
      </c>
      <c r="J659" s="2" t="s">
        <v>1041</v>
      </c>
      <c r="K659" s="2" t="s">
        <v>1042</v>
      </c>
      <c r="L659" s="2">
        <f t="shared" si="10"/>
        <v>150</v>
      </c>
    </row>
    <row r="660" spans="1:12" ht="25" customHeight="1">
      <c r="A660" s="2" t="s">
        <v>12</v>
      </c>
      <c r="B660" s="2" t="str">
        <f>HYPERLINK("http://www.12365auto.com/news/20200228/419813.shtml","斯巴鲁将向印第安纳工厂投资1.58亿美元")</f>
        <v>斯巴鲁将向印第安纳工厂投资1.58亿美元</v>
      </c>
      <c r="C660" s="2" t="s">
        <v>13</v>
      </c>
      <c r="D660" s="2" t="s">
        <v>12</v>
      </c>
      <c r="E660" s="2" t="s">
        <v>282</v>
      </c>
      <c r="F660" s="2" t="str">
        <f>HYPERLINK("http://www.12365auto.com/news/20200228/419813.shtml","http://www.12365auto.com/news/20200228/419813.shtml")</f>
        <v>http://www.12365auto.com/news/20200228/419813.shtml</v>
      </c>
      <c r="G660" s="2"/>
      <c r="H660" s="2" t="s">
        <v>1043</v>
      </c>
      <c r="I660" s="2" t="s">
        <v>19</v>
      </c>
      <c r="J660" s="2" t="s">
        <v>12</v>
      </c>
      <c r="K660" s="2" t="s">
        <v>1042</v>
      </c>
      <c r="L660" s="2">
        <f t="shared" si="10"/>
        <v>150</v>
      </c>
    </row>
    <row r="661" spans="1:12" ht="25" customHeight="1">
      <c r="A661" s="2" t="s">
        <v>12</v>
      </c>
      <c r="B661" s="2" t="str">
        <f>HYPERLINK("http://www.12365auto.com/news/20200228/419812.shtml","通用Cruise获批在加州进行无人驾驶载客测试")</f>
        <v>通用Cruise获批在加州进行无人驾驶载客测试</v>
      </c>
      <c r="C661" s="2" t="s">
        <v>13</v>
      </c>
      <c r="D661" s="2" t="s">
        <v>12</v>
      </c>
      <c r="E661" s="2" t="s">
        <v>282</v>
      </c>
      <c r="F661" s="2" t="str">
        <f>HYPERLINK("http://www.12365auto.com/news/20200228/419812.shtml","http://www.12365auto.com/news/20200228/419812.shtml")</f>
        <v>http://www.12365auto.com/news/20200228/419812.shtml</v>
      </c>
      <c r="G661" s="2"/>
      <c r="H661" s="2" t="s">
        <v>1044</v>
      </c>
      <c r="I661" s="2" t="s">
        <v>19</v>
      </c>
      <c r="J661" s="2" t="s">
        <v>12</v>
      </c>
      <c r="K661" s="2" t="s">
        <v>1045</v>
      </c>
      <c r="L661" s="2">
        <f t="shared" si="10"/>
        <v>150</v>
      </c>
    </row>
    <row r="662" spans="1:12" ht="25" customHeight="1">
      <c r="A662" s="2" t="s">
        <v>12</v>
      </c>
      <c r="B662" s="2" t="str">
        <f>HYPERLINK("http://m.12365auto.com/news/20200228/419812.shtml","通用Cruise获批在加州进行无人驾驶载客测试")</f>
        <v>通用Cruise获批在加州进行无人驾驶载客测试</v>
      </c>
      <c r="C662" s="2" t="s">
        <v>13</v>
      </c>
      <c r="D662" s="2" t="s">
        <v>12</v>
      </c>
      <c r="E662" s="2"/>
      <c r="F662" s="2" t="str">
        <f>HYPERLINK("http://m.12365auto.com/news/20200228/419812.shtml","http://m.12365auto.com/news/20200228/419812.shtml")</f>
        <v>http://m.12365auto.com/news/20200228/419812.shtml</v>
      </c>
      <c r="G662" s="2"/>
      <c r="H662" s="2" t="s">
        <v>1046</v>
      </c>
      <c r="I662" s="2" t="s">
        <v>19</v>
      </c>
      <c r="J662" s="2" t="s">
        <v>1041</v>
      </c>
      <c r="K662" s="2" t="s">
        <v>1045</v>
      </c>
      <c r="L662" s="2">
        <f t="shared" si="10"/>
        <v>150</v>
      </c>
    </row>
    <row r="663" spans="1:12" ht="25" customHeight="1">
      <c r="A663" s="2" t="s">
        <v>12</v>
      </c>
      <c r="B663" s="2" t="str">
        <f>HYPERLINK("http://www.12365auto.com/news/20200228/419811.shtml","广汽蔚来HYCAN 007将搭载HEPA高效空调滤芯")</f>
        <v>广汽蔚来HYCAN 007将搭载HEPA高效空调滤芯</v>
      </c>
      <c r="C663" s="2" t="s">
        <v>13</v>
      </c>
      <c r="D663" s="2" t="s">
        <v>12</v>
      </c>
      <c r="E663" s="2" t="s">
        <v>282</v>
      </c>
      <c r="F663" s="2" t="str">
        <f>HYPERLINK("http://www.12365auto.com/news/20200228/419811.shtml","http://www.12365auto.com/news/20200228/419811.shtml")</f>
        <v>http://www.12365auto.com/news/20200228/419811.shtml</v>
      </c>
      <c r="G663" s="2"/>
      <c r="H663" s="2" t="s">
        <v>1047</v>
      </c>
      <c r="I663" s="2" t="s">
        <v>19</v>
      </c>
      <c r="J663" s="2" t="s">
        <v>12</v>
      </c>
      <c r="K663" s="2" t="s">
        <v>1048</v>
      </c>
      <c r="L663" s="2">
        <f t="shared" si="10"/>
        <v>150</v>
      </c>
    </row>
    <row r="664" spans="1:12" ht="25" customHeight="1">
      <c r="A664" s="2" t="s">
        <v>12</v>
      </c>
      <c r="B664" s="2" t="str">
        <f>HYPERLINK("http://m.12365auto.com/news/20200228/419811.shtml","广汽蔚来HYCAN 007将搭载HEPA高效空调滤芯")</f>
        <v>广汽蔚来HYCAN 007将搭载HEPA高效空调滤芯</v>
      </c>
      <c r="C664" s="2" t="s">
        <v>13</v>
      </c>
      <c r="D664" s="2" t="s">
        <v>12</v>
      </c>
      <c r="E664" s="2"/>
      <c r="F664" s="2" t="str">
        <f>HYPERLINK("http://m.12365auto.com/news/20200228/419811.shtml","http://m.12365auto.com/news/20200228/419811.shtml")</f>
        <v>http://m.12365auto.com/news/20200228/419811.shtml</v>
      </c>
      <c r="G664" s="2"/>
      <c r="H664" s="2" t="s">
        <v>1049</v>
      </c>
      <c r="I664" s="2" t="s">
        <v>19</v>
      </c>
      <c r="J664" s="2" t="s">
        <v>1050</v>
      </c>
      <c r="K664" s="2" t="s">
        <v>1048</v>
      </c>
      <c r="L664" s="2">
        <f t="shared" si="10"/>
        <v>150</v>
      </c>
    </row>
    <row r="665" spans="1:12" ht="25" customHeight="1">
      <c r="A665" s="2" t="s">
        <v>12</v>
      </c>
      <c r="B665" s="2" t="str">
        <f>HYPERLINK("http://www.12365auto.com/xcdg/20200228/419810.shtml","全球化战略再提速 东风风光580摩洛哥上市")</f>
        <v>全球化战略再提速 东风风光580摩洛哥上市</v>
      </c>
      <c r="C665" s="2" t="s">
        <v>13</v>
      </c>
      <c r="D665" s="2" t="s">
        <v>12</v>
      </c>
      <c r="E665" s="2" t="s">
        <v>216</v>
      </c>
      <c r="F665" s="2" t="str">
        <f>HYPERLINK("http://www.12365auto.com/xcdg/20200228/419810.shtml","http://www.12365auto.com/xcdg/20200228/419810.shtml")</f>
        <v>http://www.12365auto.com/xcdg/20200228/419810.shtml</v>
      </c>
      <c r="G665" s="2"/>
      <c r="H665" s="2" t="s">
        <v>1051</v>
      </c>
      <c r="I665" s="2" t="s">
        <v>15</v>
      </c>
      <c r="J665" s="2" t="s">
        <v>12</v>
      </c>
      <c r="K665" s="2" t="s">
        <v>1052</v>
      </c>
      <c r="L665" s="2">
        <f t="shared" si="10"/>
        <v>150</v>
      </c>
    </row>
    <row r="666" spans="1:12" ht="25" customHeight="1">
      <c r="A666" s="2" t="s">
        <v>12</v>
      </c>
      <c r="B666" s="2" t="str">
        <f>HYPERLINK("http://m.12365auto.com/xcdg/20200228/419810.shtml","全球化战略再提速 东风风光580摩洛哥上市")</f>
        <v>全球化战略再提速 东风风光580摩洛哥上市</v>
      </c>
      <c r="C666" s="2" t="s">
        <v>13</v>
      </c>
      <c r="D666" s="2" t="s">
        <v>12</v>
      </c>
      <c r="E666" s="2"/>
      <c r="F666" s="2" t="str">
        <f>HYPERLINK("http://m.12365auto.com/xcdg/20200228/419810.shtml","http://m.12365auto.com/xcdg/20200228/419810.shtml")</f>
        <v>http://m.12365auto.com/xcdg/20200228/419810.shtml</v>
      </c>
      <c r="G666" s="2"/>
      <c r="H666" s="2" t="s">
        <v>1053</v>
      </c>
      <c r="I666" s="2" t="s">
        <v>19</v>
      </c>
      <c r="J666" s="2" t="s">
        <v>1054</v>
      </c>
      <c r="K666" s="2" t="s">
        <v>1052</v>
      </c>
      <c r="L666" s="2">
        <f t="shared" si="10"/>
        <v>150</v>
      </c>
    </row>
    <row r="667" spans="1:12" ht="25" customHeight="1">
      <c r="A667" s="2" t="s">
        <v>12</v>
      </c>
      <c r="B667" s="2" t="str">
        <f>HYPERLINK("http://m.12365auto.com/news/20200228/419809.shtml","现代高管：年内决定氢燃料电池系统工厂选址")</f>
        <v>现代高管：年内决定氢燃料电池系统工厂选址</v>
      </c>
      <c r="C667" s="2" t="s">
        <v>13</v>
      </c>
      <c r="D667" s="2" t="s">
        <v>12</v>
      </c>
      <c r="E667" s="2"/>
      <c r="F667" s="2" t="str">
        <f>HYPERLINK("http://m.12365auto.com/news/20200228/419809.shtml","http://m.12365auto.com/news/20200228/419809.shtml")</f>
        <v>http://m.12365auto.com/news/20200228/419809.shtml</v>
      </c>
      <c r="G667" s="2"/>
      <c r="H667" s="2" t="s">
        <v>1055</v>
      </c>
      <c r="I667" s="2" t="s">
        <v>19</v>
      </c>
      <c r="J667" s="2" t="s">
        <v>1041</v>
      </c>
      <c r="K667" s="2" t="s">
        <v>1056</v>
      </c>
      <c r="L667" s="2">
        <f t="shared" si="10"/>
        <v>150</v>
      </c>
    </row>
    <row r="668" spans="1:12" ht="25" customHeight="1">
      <c r="A668" s="2" t="s">
        <v>12</v>
      </c>
      <c r="B668" s="2" t="str">
        <f>HYPERLINK("http://www.12365auto.com/news/20200228/419809.shtml","现代高管：年内决定氢燃料电池系统工厂选址")</f>
        <v>现代高管：年内决定氢燃料电池系统工厂选址</v>
      </c>
      <c r="C668" s="2" t="s">
        <v>13</v>
      </c>
      <c r="D668" s="2" t="s">
        <v>12</v>
      </c>
      <c r="E668" s="2" t="s">
        <v>276</v>
      </c>
      <c r="F668" s="2" t="str">
        <f>HYPERLINK("http://www.12365auto.com/news/20200228/419809.shtml","http://www.12365auto.com/news/20200228/419809.shtml")</f>
        <v>http://www.12365auto.com/news/20200228/419809.shtml</v>
      </c>
      <c r="G668" s="2"/>
      <c r="H668" s="2" t="s">
        <v>1057</v>
      </c>
      <c r="I668" s="2" t="s">
        <v>15</v>
      </c>
      <c r="J668" s="2" t="s">
        <v>12</v>
      </c>
      <c r="K668" s="2" t="s">
        <v>1056</v>
      </c>
      <c r="L668" s="2">
        <f t="shared" si="10"/>
        <v>150</v>
      </c>
    </row>
    <row r="669" spans="1:12" ht="25" customHeight="1">
      <c r="A669" s="2" t="s">
        <v>12</v>
      </c>
      <c r="B669" s="2" t="str">
        <f>HYPERLINK("http://m.12365auto.com/parts/20200228/419808.shtml","疫情致零部件短缺 电装西班牙工厂暂停生产")</f>
        <v>疫情致零部件短缺 电装西班牙工厂暂停生产</v>
      </c>
      <c r="C669" s="2" t="s">
        <v>13</v>
      </c>
      <c r="D669" s="2" t="s">
        <v>12</v>
      </c>
      <c r="E669" s="2"/>
      <c r="F669" s="2" t="str">
        <f>HYPERLINK("http://m.12365auto.com/parts/20200228/419808.shtml","http://m.12365auto.com/parts/20200228/419808.shtml")</f>
        <v>http://m.12365auto.com/parts/20200228/419808.shtml</v>
      </c>
      <c r="G669" s="2"/>
      <c r="H669" s="2" t="s">
        <v>1058</v>
      </c>
      <c r="I669" s="2" t="s">
        <v>19</v>
      </c>
      <c r="J669" s="2" t="s">
        <v>1059</v>
      </c>
      <c r="K669" s="2" t="s">
        <v>1060</v>
      </c>
      <c r="L669" s="2">
        <f t="shared" si="10"/>
        <v>150</v>
      </c>
    </row>
    <row r="670" spans="1:12" ht="25" customHeight="1">
      <c r="A670" s="2" t="s">
        <v>12</v>
      </c>
      <c r="B670" s="2" t="str">
        <f>HYPERLINK("http://www.12365auto.com/parts/20200228/419808.shtml","疫情致零部件短缺 电装西班牙工厂暂停生产")</f>
        <v>疫情致零部件短缺 电装西班牙工厂暂停生产</v>
      </c>
      <c r="C670" s="2" t="s">
        <v>13</v>
      </c>
      <c r="D670" s="2" t="s">
        <v>12</v>
      </c>
      <c r="E670" s="2" t="s">
        <v>240</v>
      </c>
      <c r="F670" s="2" t="str">
        <f>HYPERLINK("http://www.12365auto.com/parts/20200228/419808.shtml","http://www.12365auto.com/parts/20200228/419808.shtml")</f>
        <v>http://www.12365auto.com/parts/20200228/419808.shtml</v>
      </c>
      <c r="G670" s="2"/>
      <c r="H670" s="2" t="s">
        <v>1061</v>
      </c>
      <c r="I670" s="2" t="s">
        <v>15</v>
      </c>
      <c r="J670" s="2" t="s">
        <v>12</v>
      </c>
      <c r="K670" s="2" t="s">
        <v>1060</v>
      </c>
      <c r="L670" s="2">
        <f t="shared" si="10"/>
        <v>150</v>
      </c>
    </row>
    <row r="671" spans="1:12" ht="25" customHeight="1">
      <c r="A671" s="2" t="s">
        <v>12</v>
      </c>
      <c r="B671" s="2" t="str">
        <f>HYPERLINK("http://m.12365auto.com/news/20200228/419807.shtml","科思创为丰田LQ概念车研发新型复合材料")</f>
        <v>科思创为丰田LQ概念车研发新型复合材料</v>
      </c>
      <c r="C671" s="2" t="s">
        <v>13</v>
      </c>
      <c r="D671" s="2" t="s">
        <v>12</v>
      </c>
      <c r="E671" s="2"/>
      <c r="F671" s="2" t="str">
        <f>HYPERLINK("http://m.12365auto.com/news/20200228/419807.shtml","http://m.12365auto.com/news/20200228/419807.shtml")</f>
        <v>http://m.12365auto.com/news/20200228/419807.shtml</v>
      </c>
      <c r="G671" s="2"/>
      <c r="H671" s="2" t="s">
        <v>1062</v>
      </c>
      <c r="I671" s="2" t="s">
        <v>19</v>
      </c>
      <c r="J671" s="2" t="s">
        <v>1029</v>
      </c>
      <c r="K671" s="2" t="s">
        <v>1063</v>
      </c>
      <c r="L671" s="2">
        <f t="shared" si="10"/>
        <v>150</v>
      </c>
    </row>
    <row r="672" spans="1:12" ht="25" customHeight="1">
      <c r="A672" s="2" t="s">
        <v>12</v>
      </c>
      <c r="B672" s="2" t="str">
        <f>HYPERLINK("http://www.12365auto.com/news/20200228/419807.shtml","科思创为丰田LQ概念车研发新型复合材料")</f>
        <v>科思创为丰田LQ概念车研发新型复合材料</v>
      </c>
      <c r="C672" s="2" t="s">
        <v>13</v>
      </c>
      <c r="D672" s="2" t="s">
        <v>12</v>
      </c>
      <c r="E672" s="2" t="s">
        <v>276</v>
      </c>
      <c r="F672" s="2" t="str">
        <f>HYPERLINK("http://www.12365auto.com/news/20200228/419807.shtml","http://www.12365auto.com/news/20200228/419807.shtml")</f>
        <v>http://www.12365auto.com/news/20200228/419807.shtml</v>
      </c>
      <c r="G672" s="2"/>
      <c r="H672" s="2" t="s">
        <v>1064</v>
      </c>
      <c r="I672" s="2" t="s">
        <v>15</v>
      </c>
      <c r="J672" s="2" t="s">
        <v>12</v>
      </c>
      <c r="K672" s="2" t="s">
        <v>1063</v>
      </c>
      <c r="L672" s="2">
        <f t="shared" si="10"/>
        <v>150</v>
      </c>
    </row>
    <row r="673" spans="1:12" ht="25" customHeight="1">
      <c r="A673" s="2" t="s">
        <v>12</v>
      </c>
      <c r="B673" s="2" t="str">
        <f>HYPERLINK("http://m.12365auto.com/news/20200228/419806.shtml","思科合作Oxbotica 自动驾驶测试数据共享平台")</f>
        <v>思科合作Oxbotica 自动驾驶测试数据共享平台</v>
      </c>
      <c r="C673" s="2" t="s">
        <v>13</v>
      </c>
      <c r="D673" s="2" t="s">
        <v>12</v>
      </c>
      <c r="E673" s="2"/>
      <c r="F673" s="2" t="str">
        <f>HYPERLINK("http://m.12365auto.com/news/20200228/419806.shtml","http://m.12365auto.com/news/20200228/419806.shtml")</f>
        <v>http://m.12365auto.com/news/20200228/419806.shtml</v>
      </c>
      <c r="G673" s="2"/>
      <c r="H673" s="2" t="s">
        <v>1065</v>
      </c>
      <c r="I673" s="2" t="s">
        <v>19</v>
      </c>
      <c r="J673" s="2" t="s">
        <v>1029</v>
      </c>
      <c r="K673" s="2" t="s">
        <v>1066</v>
      </c>
      <c r="L673" s="2">
        <f t="shared" si="10"/>
        <v>150</v>
      </c>
    </row>
    <row r="674" spans="1:12" ht="25" customHeight="1">
      <c r="A674" s="2" t="s">
        <v>12</v>
      </c>
      <c r="B674" s="2" t="str">
        <f>HYPERLINK("http://www.12365auto.com/news/20200228/419806.shtml","思科合作Oxbotica 自动驾驶测试数据共享平台")</f>
        <v>思科合作Oxbotica 自动驾驶测试数据共享平台</v>
      </c>
      <c r="C674" s="2" t="s">
        <v>13</v>
      </c>
      <c r="D674" s="2" t="s">
        <v>12</v>
      </c>
      <c r="E674" s="2" t="s">
        <v>276</v>
      </c>
      <c r="F674" s="2" t="str">
        <f>HYPERLINK("http://www.12365auto.com/news/20200228/419806.shtml","http://www.12365auto.com/news/20200228/419806.shtml")</f>
        <v>http://www.12365auto.com/news/20200228/419806.shtml</v>
      </c>
      <c r="G674" s="2"/>
      <c r="H674" s="2" t="s">
        <v>1067</v>
      </c>
      <c r="I674" s="2" t="s">
        <v>15</v>
      </c>
      <c r="J674" s="2" t="s">
        <v>12</v>
      </c>
      <c r="K674" s="2" t="s">
        <v>1066</v>
      </c>
      <c r="L674" s="2">
        <f t="shared" si="10"/>
        <v>150</v>
      </c>
    </row>
    <row r="675" spans="1:12" ht="25" customHeight="1">
      <c r="A675" s="2" t="s">
        <v>12</v>
      </c>
      <c r="B675" s="2" t="str">
        <f>HYPERLINK("http://m.12365auto.com/xcdg/20200228/419805.shtml","300万人开同一款SUV 为何消费者就认哈弗H6")</f>
        <v>300万人开同一款SUV 为何消费者就认哈弗H6</v>
      </c>
      <c r="C675" s="2" t="s">
        <v>13</v>
      </c>
      <c r="D675" s="2" t="s">
        <v>12</v>
      </c>
      <c r="E675" s="2"/>
      <c r="F675" s="2" t="str">
        <f>HYPERLINK("http://m.12365auto.com/xcdg/20200228/419805.shtml","http://m.12365auto.com/xcdg/20200228/419805.shtml")</f>
        <v>http://m.12365auto.com/xcdg/20200228/419805.shtml</v>
      </c>
      <c r="G675" s="2"/>
      <c r="H675" s="2" t="s">
        <v>1068</v>
      </c>
      <c r="I675" s="2" t="s">
        <v>19</v>
      </c>
      <c r="J675" s="2" t="s">
        <v>1069</v>
      </c>
      <c r="K675" s="2" t="s">
        <v>1070</v>
      </c>
      <c r="L675" s="2">
        <f t="shared" si="10"/>
        <v>150</v>
      </c>
    </row>
    <row r="676" spans="1:12" ht="25" customHeight="1">
      <c r="A676" s="2" t="s">
        <v>12</v>
      </c>
      <c r="B676" s="2" t="str">
        <f>HYPERLINK("http://www.12365auto.com/xcdg/20200228/419804.shtml","预售17万元起 广汽丰田威兰达今日上市")</f>
        <v>预售17万元起 广汽丰田威兰达今日上市</v>
      </c>
      <c r="C676" s="2" t="s">
        <v>13</v>
      </c>
      <c r="D676" s="2" t="s">
        <v>12</v>
      </c>
      <c r="E676" s="2" t="s">
        <v>216</v>
      </c>
      <c r="F676" s="2" t="str">
        <f>HYPERLINK("http://www.12365auto.com/xcdg/20200228/419804.shtml","http://www.12365auto.com/xcdg/20200228/419804.shtml")</f>
        <v>http://www.12365auto.com/xcdg/20200228/419804.shtml</v>
      </c>
      <c r="G676" s="2"/>
      <c r="H676" s="2" t="s">
        <v>1071</v>
      </c>
      <c r="I676" s="2" t="s">
        <v>15</v>
      </c>
      <c r="J676" s="2" t="s">
        <v>12</v>
      </c>
      <c r="K676" s="2" t="s">
        <v>1072</v>
      </c>
      <c r="L676" s="2">
        <f t="shared" si="10"/>
        <v>150</v>
      </c>
    </row>
    <row r="677" spans="1:12" ht="25" customHeight="1">
      <c r="A677" s="2" t="s">
        <v>12</v>
      </c>
      <c r="B677" s="2" t="str">
        <f>HYPERLINK("http://m.12365auto.com/xcdg/20200228/419804.shtml","预售17万元起 广汽丰田威兰达今日上市")</f>
        <v>预售17万元起 广汽丰田威兰达今日上市</v>
      </c>
      <c r="C677" s="2" t="s">
        <v>13</v>
      </c>
      <c r="D677" s="2" t="s">
        <v>12</v>
      </c>
      <c r="E677" s="2"/>
      <c r="F677" s="2" t="str">
        <f>HYPERLINK("http://m.12365auto.com/xcdg/20200228/419804.shtml","http://m.12365auto.com/xcdg/20200228/419804.shtml")</f>
        <v>http://m.12365auto.com/xcdg/20200228/419804.shtml</v>
      </c>
      <c r="G677" s="2"/>
      <c r="H677" s="2" t="s">
        <v>1073</v>
      </c>
      <c r="I677" s="2" t="s">
        <v>19</v>
      </c>
      <c r="J677" s="2" t="s">
        <v>1074</v>
      </c>
      <c r="K677" s="2" t="s">
        <v>1072</v>
      </c>
      <c r="L677" s="2">
        <f t="shared" si="10"/>
        <v>150</v>
      </c>
    </row>
    <row r="678" spans="1:12" ht="25" customHeight="1">
      <c r="A678" s="2" t="s">
        <v>12</v>
      </c>
      <c r="B678" s="2" t="str">
        <f>HYPERLINK("http://m.12365auto.com/xcdg/20200228/419803.shtml","特斯拉Model Y将于3月交付 首批为高性能版")</f>
        <v>特斯拉Model Y将于3月交付 首批为高性能版</v>
      </c>
      <c r="C678" s="2" t="s">
        <v>13</v>
      </c>
      <c r="D678" s="2" t="s">
        <v>12</v>
      </c>
      <c r="E678" s="2"/>
      <c r="F678" s="2" t="str">
        <f>HYPERLINK("http://m.12365auto.com/xcdg/20200228/419803.shtml","http://m.12365auto.com/xcdg/20200228/419803.shtml")</f>
        <v>http://m.12365auto.com/xcdg/20200228/419803.shtml</v>
      </c>
      <c r="G678" s="2"/>
      <c r="H678" s="2" t="s">
        <v>1075</v>
      </c>
      <c r="I678" s="2" t="s">
        <v>19</v>
      </c>
      <c r="J678" s="2" t="s">
        <v>1076</v>
      </c>
      <c r="K678" s="2" t="s">
        <v>1077</v>
      </c>
      <c r="L678" s="2">
        <f t="shared" si="10"/>
        <v>150</v>
      </c>
    </row>
    <row r="679" spans="1:12" ht="25" customHeight="1">
      <c r="A679" s="2" t="s">
        <v>12</v>
      </c>
      <c r="B679" s="2" t="str">
        <f>HYPERLINK("http://www.12365auto.com/xcdg/20200228/419803.shtml","特斯拉Model Y将于3月交付 首批为高性能版")</f>
        <v>特斯拉Model Y将于3月交付 首批为高性能版</v>
      </c>
      <c r="C679" s="2" t="s">
        <v>13</v>
      </c>
      <c r="D679" s="2" t="s">
        <v>12</v>
      </c>
      <c r="E679" s="2" t="s">
        <v>216</v>
      </c>
      <c r="F679" s="2" t="str">
        <f>HYPERLINK("http://www.12365auto.com/xcdg/20200228/419803.shtml","http://www.12365auto.com/xcdg/20200228/419803.shtml")</f>
        <v>http://www.12365auto.com/xcdg/20200228/419803.shtml</v>
      </c>
      <c r="G679" s="2"/>
      <c r="H679" s="2" t="s">
        <v>1078</v>
      </c>
      <c r="I679" s="2" t="s">
        <v>15</v>
      </c>
      <c r="J679" s="2" t="s">
        <v>12</v>
      </c>
      <c r="K679" s="2" t="s">
        <v>1077</v>
      </c>
      <c r="L679" s="2">
        <f t="shared" si="10"/>
        <v>150</v>
      </c>
    </row>
    <row r="680" spans="1:12" ht="25" customHeight="1">
      <c r="A680" s="2" t="s">
        <v>12</v>
      </c>
      <c r="B680" s="2" t="str">
        <f>HYPERLINK("http://www.12365auto.com/xcdg/20200228/419802.shtml","奥迪A4 Avant现身国内 标配S-line运动套件")</f>
        <v>奥迪A4 Avant现身国内 标配S-line运动套件</v>
      </c>
      <c r="C680" s="2" t="s">
        <v>13</v>
      </c>
      <c r="D680" s="2" t="s">
        <v>12</v>
      </c>
      <c r="E680" s="2" t="s">
        <v>224</v>
      </c>
      <c r="F680" s="2" t="str">
        <f>HYPERLINK("http://www.12365auto.com/xcdg/20200228/419802.shtml","http://www.12365auto.com/xcdg/20200228/419802.shtml")</f>
        <v>http://www.12365auto.com/xcdg/20200228/419802.shtml</v>
      </c>
      <c r="G680" s="2"/>
      <c r="H680" s="2" t="s">
        <v>1079</v>
      </c>
      <c r="I680" s="2" t="s">
        <v>15</v>
      </c>
      <c r="J680" s="2" t="s">
        <v>12</v>
      </c>
      <c r="K680" s="2" t="s">
        <v>1080</v>
      </c>
      <c r="L680" s="2">
        <f t="shared" si="10"/>
        <v>150</v>
      </c>
    </row>
    <row r="681" spans="1:12" ht="25" customHeight="1">
      <c r="A681" s="2" t="s">
        <v>12</v>
      </c>
      <c r="B681" s="2" t="str">
        <f>HYPERLINK("http://m.12365auto.com/xcdg/20200228/419802.shtml","奥迪A4 Avant现身国内 标配S-line运动套件")</f>
        <v>奥迪A4 Avant现身国内 标配S-line运动套件</v>
      </c>
      <c r="C681" s="2" t="s">
        <v>13</v>
      </c>
      <c r="D681" s="2" t="s">
        <v>12</v>
      </c>
      <c r="E681" s="2"/>
      <c r="F681" s="2" t="str">
        <f>HYPERLINK("http://m.12365auto.com/xcdg/20200228/419802.shtml","http://m.12365auto.com/xcdg/20200228/419802.shtml")</f>
        <v>http://m.12365auto.com/xcdg/20200228/419802.shtml</v>
      </c>
      <c r="G681" s="2"/>
      <c r="H681" s="2" t="s">
        <v>1081</v>
      </c>
      <c r="I681" s="2" t="s">
        <v>19</v>
      </c>
      <c r="J681" s="2" t="s">
        <v>1076</v>
      </c>
      <c r="K681" s="2" t="s">
        <v>1080</v>
      </c>
      <c r="L681" s="2">
        <f t="shared" si="10"/>
        <v>150</v>
      </c>
    </row>
    <row r="682" spans="1:12" ht="25" customHeight="1">
      <c r="A682" s="2" t="s">
        <v>12</v>
      </c>
      <c r="B682" s="2" t="str">
        <f>HYPERLINK("http://www.12365auto.com/zlts/20200228/449150.shtml","奇瑞艾瑞泽5后备箱有严重漏水的现象")</f>
        <v>奇瑞艾瑞泽5后备箱有严重漏水的现象</v>
      </c>
      <c r="C682" s="2" t="s">
        <v>13</v>
      </c>
      <c r="D682" s="2" t="s">
        <v>12</v>
      </c>
      <c r="E682" s="2" t="s">
        <v>17</v>
      </c>
      <c r="F682" s="2" t="str">
        <f>HYPERLINK("http://www.12365auto.com/zlts/20200228/449150.shtml","http://www.12365auto.com/zlts/20200228/449150.shtml")</f>
        <v>http://www.12365auto.com/zlts/20200228/449150.shtml</v>
      </c>
      <c r="G682" s="2"/>
      <c r="H682" s="2" t="s">
        <v>1082</v>
      </c>
      <c r="I682" s="2" t="s">
        <v>19</v>
      </c>
      <c r="J682" s="2" t="s">
        <v>12</v>
      </c>
      <c r="K682" s="2" t="s">
        <v>1083</v>
      </c>
      <c r="L682" s="2">
        <f t="shared" si="10"/>
        <v>150</v>
      </c>
    </row>
    <row r="683" spans="1:12" ht="25" customHeight="1">
      <c r="A683" s="2" t="s">
        <v>12</v>
      </c>
      <c r="B683" s="2" t="str">
        <f>HYPERLINK("http://www.12365auto.com/zlts/20200228/449149.shtml","东风本田思域召回后发动机机油依然增多")</f>
        <v>东风本田思域召回后发动机机油依然增多</v>
      </c>
      <c r="C683" s="2" t="s">
        <v>13</v>
      </c>
      <c r="D683" s="2" t="s">
        <v>12</v>
      </c>
      <c r="E683" s="2" t="s">
        <v>17</v>
      </c>
      <c r="F683" s="2" t="str">
        <f>HYPERLINK("http://www.12365auto.com/zlts/20200228/449149.shtml","http://www.12365auto.com/zlts/20200228/449149.shtml")</f>
        <v>http://www.12365auto.com/zlts/20200228/449149.shtml</v>
      </c>
      <c r="G683" s="2"/>
      <c r="H683" s="2" t="s">
        <v>1084</v>
      </c>
      <c r="I683" s="2" t="s">
        <v>19</v>
      </c>
      <c r="J683" s="2" t="s">
        <v>12</v>
      </c>
      <c r="K683" s="2" t="s">
        <v>1085</v>
      </c>
      <c r="L683" s="2">
        <f t="shared" si="10"/>
        <v>150</v>
      </c>
    </row>
    <row r="684" spans="1:12" ht="25" customHeight="1">
      <c r="A684" s="2" t="s">
        <v>12</v>
      </c>
      <c r="B684" s="2" t="str">
        <f>HYPERLINK("http://www.12365auto.com/xcdg/20200228/419801.shtml","复产后首批EX6 Plus已下线 3月2日开放大定")</f>
        <v>复产后首批EX6 Plus已下线 3月2日开放大定</v>
      </c>
      <c r="C684" s="2" t="s">
        <v>13</v>
      </c>
      <c r="D684" s="2" t="s">
        <v>12</v>
      </c>
      <c r="E684" s="2" t="s">
        <v>216</v>
      </c>
      <c r="F684" s="2" t="str">
        <f>HYPERLINK("http://www.12365auto.com/xcdg/20200228/419801.shtml","http://www.12365auto.com/xcdg/20200228/419801.shtml")</f>
        <v>http://www.12365auto.com/xcdg/20200228/419801.shtml</v>
      </c>
      <c r="G684" s="2"/>
      <c r="H684" s="2" t="s">
        <v>1086</v>
      </c>
      <c r="I684" s="2" t="s">
        <v>15</v>
      </c>
      <c r="J684" s="2" t="s">
        <v>12</v>
      </c>
      <c r="K684" s="2" t="s">
        <v>1087</v>
      </c>
      <c r="L684" s="2">
        <f t="shared" si="10"/>
        <v>150</v>
      </c>
    </row>
    <row r="685" spans="1:12" ht="25" customHeight="1">
      <c r="A685" s="2" t="s">
        <v>12</v>
      </c>
      <c r="B685" s="2" t="str">
        <f>HYPERLINK("http://m.12365auto.com/xcdg/20200228/419801.shtml","复产后首批EX6 Plus已下线 3月2日开放大定")</f>
        <v>复产后首批EX6 Plus已下线 3月2日开放大定</v>
      </c>
      <c r="C685" s="2" t="s">
        <v>13</v>
      </c>
      <c r="D685" s="2" t="s">
        <v>12</v>
      </c>
      <c r="E685" s="2"/>
      <c r="F685" s="2" t="str">
        <f>HYPERLINK("http://m.12365auto.com/xcdg/20200228/419801.shtml","http://m.12365auto.com/xcdg/20200228/419801.shtml")</f>
        <v>http://m.12365auto.com/xcdg/20200228/419801.shtml</v>
      </c>
      <c r="G685" s="2"/>
      <c r="H685" s="2" t="s">
        <v>1088</v>
      </c>
      <c r="I685" s="2" t="s">
        <v>19</v>
      </c>
      <c r="J685" s="2" t="s">
        <v>768</v>
      </c>
      <c r="K685" s="2" t="s">
        <v>1087</v>
      </c>
      <c r="L685" s="2">
        <f t="shared" si="10"/>
        <v>150</v>
      </c>
    </row>
    <row r="686" spans="1:12" ht="25" customHeight="1">
      <c r="A686" s="2" t="s">
        <v>12</v>
      </c>
      <c r="B686" s="2" t="str">
        <f>HYPERLINK("http://www.12365auto.com/zlts/20200228/449147.shtml","吉利远景变速箱损坏 起步困难 要求处理")</f>
        <v>吉利远景变速箱损坏 起步困难 要求处理</v>
      </c>
      <c r="C686" s="2" t="s">
        <v>13</v>
      </c>
      <c r="D686" s="2" t="s">
        <v>12</v>
      </c>
      <c r="E686" s="2" t="s">
        <v>17</v>
      </c>
      <c r="F686" s="2" t="str">
        <f>HYPERLINK("http://www.12365auto.com/zlts/20200228/449147.shtml","http://www.12365auto.com/zlts/20200228/449147.shtml")</f>
        <v>http://www.12365auto.com/zlts/20200228/449147.shtml</v>
      </c>
      <c r="G686" s="2"/>
      <c r="H686" s="2" t="s">
        <v>1089</v>
      </c>
      <c r="I686" s="2" t="s">
        <v>19</v>
      </c>
      <c r="J686" s="2" t="s">
        <v>12</v>
      </c>
      <c r="K686" s="2" t="s">
        <v>1090</v>
      </c>
      <c r="L686" s="2">
        <f t="shared" si="10"/>
        <v>150</v>
      </c>
    </row>
    <row r="687" spans="1:12" ht="25" customHeight="1">
      <c r="A687" s="2" t="s">
        <v>12</v>
      </c>
      <c r="B687" s="2" t="str">
        <f>HYPERLINK("http://www.12365auto.com/news/20200228/419800.shtml","发力大数据 奇瑞入围工信部试点示范项目")</f>
        <v>发力大数据 奇瑞入围工信部试点示范项目</v>
      </c>
      <c r="C687" s="2" t="s">
        <v>13</v>
      </c>
      <c r="D687" s="2" t="s">
        <v>12</v>
      </c>
      <c r="E687" s="2" t="s">
        <v>282</v>
      </c>
      <c r="F687" s="2" t="str">
        <f>HYPERLINK("http://www.12365auto.com/news/20200228/419800.shtml","http://www.12365auto.com/news/20200228/419800.shtml")</f>
        <v>http://www.12365auto.com/news/20200228/419800.shtml</v>
      </c>
      <c r="G687" s="2"/>
      <c r="H687" s="2" t="s">
        <v>1091</v>
      </c>
      <c r="I687" s="2" t="s">
        <v>19</v>
      </c>
      <c r="J687" s="2" t="s">
        <v>12</v>
      </c>
      <c r="K687" s="2" t="s">
        <v>1092</v>
      </c>
      <c r="L687" s="2">
        <f t="shared" si="10"/>
        <v>150</v>
      </c>
    </row>
    <row r="688" spans="1:12" ht="25" customHeight="1">
      <c r="A688" s="2" t="s">
        <v>12</v>
      </c>
      <c r="B688" s="2" t="str">
        <f>HYPERLINK("http://m.12365auto.com/news/20200228/419800.shtml","发力大数据 奇瑞入围工信部试点示范项目")</f>
        <v>发力大数据 奇瑞入围工信部试点示范项目</v>
      </c>
      <c r="C688" s="2" t="s">
        <v>13</v>
      </c>
      <c r="D688" s="2" t="s">
        <v>12</v>
      </c>
      <c r="E688" s="2"/>
      <c r="F688" s="2" t="str">
        <f>HYPERLINK("http://m.12365auto.com/news/20200228/419800.shtml","http://m.12365auto.com/news/20200228/419800.shtml")</f>
        <v>http://m.12365auto.com/news/20200228/419800.shtml</v>
      </c>
      <c r="G688" s="2"/>
      <c r="H688" s="2" t="s">
        <v>1093</v>
      </c>
      <c r="I688" s="2" t="s">
        <v>19</v>
      </c>
      <c r="J688" s="2" t="s">
        <v>1094</v>
      </c>
      <c r="K688" s="2" t="s">
        <v>1092</v>
      </c>
      <c r="L688" s="2">
        <f t="shared" si="10"/>
        <v>150</v>
      </c>
    </row>
    <row r="689" spans="1:12" ht="25" customHeight="1">
      <c r="A689" s="2" t="s">
        <v>12</v>
      </c>
      <c r="B689" s="2" t="str">
        <f>HYPERLINK("http://www.12365auto.com/xcdg/20200228/419799.shtml","或采用双屏连通设计 宝马i4内饰谍照曝光")</f>
        <v>或采用双屏连通设计 宝马i4内饰谍照曝光</v>
      </c>
      <c r="C689" s="2" t="s">
        <v>13</v>
      </c>
      <c r="D689" s="2" t="s">
        <v>12</v>
      </c>
      <c r="E689" s="2" t="s">
        <v>224</v>
      </c>
      <c r="F689" s="2" t="str">
        <f>HYPERLINK("http://www.12365auto.com/xcdg/20200228/419799.shtml","http://www.12365auto.com/xcdg/20200228/419799.shtml")</f>
        <v>http://www.12365auto.com/xcdg/20200228/419799.shtml</v>
      </c>
      <c r="G689" s="2"/>
      <c r="H689" s="2" t="s">
        <v>1095</v>
      </c>
      <c r="I689" s="2" t="s">
        <v>15</v>
      </c>
      <c r="J689" s="2" t="s">
        <v>12</v>
      </c>
      <c r="K689" s="2" t="s">
        <v>1096</v>
      </c>
      <c r="L689" s="2">
        <f t="shared" si="10"/>
        <v>150</v>
      </c>
    </row>
    <row r="690" spans="1:12" ht="25" customHeight="1">
      <c r="A690" s="2" t="s">
        <v>12</v>
      </c>
      <c r="B690" s="2" t="str">
        <f>HYPERLINK("http://m.12365auto.com/xcdg/20200228/419799.shtml","或采用双屏连通设计 宝马i4内饰谍照曝光")</f>
        <v>或采用双屏连通设计 宝马i4内饰谍照曝光</v>
      </c>
      <c r="C690" s="2" t="s">
        <v>13</v>
      </c>
      <c r="D690" s="2" t="s">
        <v>12</v>
      </c>
      <c r="E690" s="2"/>
      <c r="F690" s="2" t="str">
        <f>HYPERLINK("http://m.12365auto.com/xcdg/20200228/419799.shtml","http://m.12365auto.com/xcdg/20200228/419799.shtml")</f>
        <v>http://m.12365auto.com/xcdg/20200228/419799.shtml</v>
      </c>
      <c r="G690" s="2"/>
      <c r="H690" s="2" t="s">
        <v>1097</v>
      </c>
      <c r="I690" s="2" t="s">
        <v>19</v>
      </c>
      <c r="J690" s="2" t="s">
        <v>238</v>
      </c>
      <c r="K690" s="2" t="s">
        <v>1096</v>
      </c>
      <c r="L690" s="2">
        <f t="shared" si="10"/>
        <v>150</v>
      </c>
    </row>
    <row r="691" spans="1:12" ht="25" customHeight="1">
      <c r="A691" s="2" t="s">
        <v>12</v>
      </c>
      <c r="B691" s="2" t="str">
        <f>HYPERLINK("http://m.12365auto.com/xcdg/20200228/419798.shtml","自主造出合资味道 四款自主中型轿车海选")</f>
        <v>自主造出合资味道 四款自主中型轿车海选</v>
      </c>
      <c r="C691" s="2" t="s">
        <v>13</v>
      </c>
      <c r="D691" s="2" t="s">
        <v>12</v>
      </c>
      <c r="E691" s="2"/>
      <c r="F691" s="2" t="str">
        <f>HYPERLINK("http://m.12365auto.com/xcdg/20200228/419798.shtml","http://m.12365auto.com/xcdg/20200228/419798.shtml")</f>
        <v>http://m.12365auto.com/xcdg/20200228/419798.shtml</v>
      </c>
      <c r="G691" s="2"/>
      <c r="H691" s="2" t="s">
        <v>1098</v>
      </c>
      <c r="I691" s="2" t="s">
        <v>19</v>
      </c>
      <c r="J691" s="2" t="s">
        <v>1099</v>
      </c>
      <c r="K691" s="2" t="s">
        <v>1100</v>
      </c>
      <c r="L691" s="2">
        <f t="shared" si="10"/>
        <v>150</v>
      </c>
    </row>
    <row r="692" spans="1:12" ht="25" customHeight="1">
      <c r="A692" s="2" t="s">
        <v>12</v>
      </c>
      <c r="B692" s="2" t="str">
        <f>HYPERLINK("http://bbs.12365auto.com/postcontent.aspx?tId=195460","2020“抄底”买车时机来了")</f>
        <v>2020“抄底”买车时机来了</v>
      </c>
      <c r="C692" s="2" t="s">
        <v>13</v>
      </c>
      <c r="D692" s="2" t="s">
        <v>12</v>
      </c>
      <c r="E692" s="2" t="s">
        <v>210</v>
      </c>
      <c r="F692" s="2" t="str">
        <f>HYPERLINK("http://bbs.12365auto.com/postcontent.aspx?tId=195460","http://bbs.12365auto.com/postcontent.aspx?tId=195460")</f>
        <v>http://bbs.12365auto.com/postcontent.aspx?tId=195460</v>
      </c>
      <c r="G692" s="2"/>
      <c r="H692" s="2" t="s">
        <v>1101</v>
      </c>
      <c r="I692" s="2" t="s">
        <v>15</v>
      </c>
      <c r="J692" s="2" t="s">
        <v>935</v>
      </c>
      <c r="K692" s="2" t="s">
        <v>1102</v>
      </c>
      <c r="L692" s="2">
        <f t="shared" si="10"/>
        <v>150</v>
      </c>
    </row>
    <row r="693" spans="1:12" ht="25" customHeight="1">
      <c r="A693" s="2" t="s">
        <v>12</v>
      </c>
      <c r="B693" s="2" t="str">
        <f>HYPERLINK("http://bbs.12365auto.com/postcontent.aspx?tID=195460","2020“抄底”买车时机来了")</f>
        <v>2020“抄底”买车时机来了</v>
      </c>
      <c r="C693" s="2" t="s">
        <v>13</v>
      </c>
      <c r="D693" s="2" t="s">
        <v>12</v>
      </c>
      <c r="E693" s="2" t="s">
        <v>214</v>
      </c>
      <c r="F693" s="2" t="str">
        <f>HYPERLINK("http://bbs.12365auto.com/postcontent.aspx?tID=195460","http://bbs.12365auto.com/postcontent.aspx?tID=195460")</f>
        <v>http://bbs.12365auto.com/postcontent.aspx?tID=195460</v>
      </c>
      <c r="G693" s="2"/>
      <c r="H693" s="2" t="s">
        <v>1103</v>
      </c>
      <c r="I693" s="2" t="s">
        <v>15</v>
      </c>
      <c r="J693" s="2" t="s">
        <v>935</v>
      </c>
      <c r="K693" s="2" t="s">
        <v>1102</v>
      </c>
      <c r="L693" s="2">
        <f t="shared" si="10"/>
        <v>150</v>
      </c>
    </row>
    <row r="694" spans="1:12" ht="25" customHeight="1">
      <c r="A694" s="2" t="s">
        <v>12</v>
      </c>
      <c r="B694" s="2" t="str">
        <f>HYPERLINK("http://m.12365auto.com/xcdg/20200228/419797.shtml","硬核数字全面解读 为何捷达VS7成爆款潜力股")</f>
        <v>硬核数字全面解读 为何捷达VS7成爆款潜力股</v>
      </c>
      <c r="C694" s="2" t="s">
        <v>13</v>
      </c>
      <c r="D694" s="2" t="s">
        <v>12</v>
      </c>
      <c r="E694" s="2"/>
      <c r="F694" s="2" t="str">
        <f>HYPERLINK("http://m.12365auto.com/xcdg/20200228/419797.shtml","http://m.12365auto.com/xcdg/20200228/419797.shtml")</f>
        <v>http://m.12365auto.com/xcdg/20200228/419797.shtml</v>
      </c>
      <c r="G694" s="2"/>
      <c r="H694" s="2" t="s">
        <v>1104</v>
      </c>
      <c r="I694" s="2" t="s">
        <v>19</v>
      </c>
      <c r="J694" s="2" t="s">
        <v>1105</v>
      </c>
      <c r="K694" s="2" t="s">
        <v>1106</v>
      </c>
      <c r="L694" s="2">
        <f t="shared" si="10"/>
        <v>150</v>
      </c>
    </row>
    <row r="695" spans="1:12" ht="25" customHeight="1">
      <c r="A695" s="2" t="s">
        <v>12</v>
      </c>
      <c r="B695" s="2" t="str">
        <f>HYPERLINK("http://m.12365auto.com/dcbg/20200228/419796.shtml","凯美瑞连续三年获TSP  IIHS碰撞测试解读")</f>
        <v>凯美瑞连续三年获TSP  IIHS碰撞测试解读</v>
      </c>
      <c r="C695" s="2" t="s">
        <v>13</v>
      </c>
      <c r="D695" s="2" t="s">
        <v>12</v>
      </c>
      <c r="E695" s="2"/>
      <c r="F695" s="2" t="str">
        <f>HYPERLINK("http://m.12365auto.com/dcbg/20200228/419796.shtml","http://m.12365auto.com/dcbg/20200228/419796.shtml")</f>
        <v>http://m.12365auto.com/dcbg/20200228/419796.shtml</v>
      </c>
      <c r="G695" s="2"/>
      <c r="H695" s="2" t="s">
        <v>1107</v>
      </c>
      <c r="I695" s="2" t="s">
        <v>19</v>
      </c>
      <c r="J695" s="2" t="s">
        <v>760</v>
      </c>
      <c r="K695" s="2" t="s">
        <v>1106</v>
      </c>
      <c r="L695" s="2">
        <f t="shared" si="10"/>
        <v>150</v>
      </c>
    </row>
    <row r="696" spans="1:12" ht="25" customHeight="1">
      <c r="A696" s="2" t="s">
        <v>12</v>
      </c>
      <c r="B696" s="2" t="str">
        <f>HYPERLINK("http://bbs.12365auto.com/postcontent.aspx?tId=195459","买车的准备了 未来2个月买车会有大优惠")</f>
        <v>买车的准备了 未来2个月买车会有大优惠</v>
      </c>
      <c r="C696" s="2" t="s">
        <v>13</v>
      </c>
      <c r="D696" s="2" t="s">
        <v>12</v>
      </c>
      <c r="E696" s="2" t="s">
        <v>210</v>
      </c>
      <c r="F696" s="2" t="str">
        <f>HYPERLINK("http://bbs.12365auto.com/postcontent.aspx?tId=195459","http://bbs.12365auto.com/postcontent.aspx?tId=195459")</f>
        <v>http://bbs.12365auto.com/postcontent.aspx?tId=195459</v>
      </c>
      <c r="G696" s="2"/>
      <c r="H696" s="2" t="s">
        <v>1108</v>
      </c>
      <c r="I696" s="2" t="s">
        <v>15</v>
      </c>
      <c r="J696" s="2" t="s">
        <v>935</v>
      </c>
      <c r="K696" s="2" t="s">
        <v>1106</v>
      </c>
      <c r="L696" s="2">
        <f t="shared" si="10"/>
        <v>150</v>
      </c>
    </row>
    <row r="697" spans="1:12" ht="25" customHeight="1">
      <c r="A697" s="2" t="s">
        <v>12</v>
      </c>
      <c r="B697" s="2" t="str">
        <f>HYPERLINK("http://bbs.12365auto.com/postcontent.aspx?tID=195459","买车的准备了 未来2个月买车会有大优惠")</f>
        <v>买车的准备了 未来2个月买车会有大优惠</v>
      </c>
      <c r="C697" s="2" t="s">
        <v>13</v>
      </c>
      <c r="D697" s="2" t="s">
        <v>12</v>
      </c>
      <c r="E697" s="2" t="s">
        <v>214</v>
      </c>
      <c r="F697" s="2" t="str">
        <f>HYPERLINK("http://bbs.12365auto.com/postcontent.aspx?tID=195459","http://bbs.12365auto.com/postcontent.aspx?tID=195459")</f>
        <v>http://bbs.12365auto.com/postcontent.aspx?tID=195459</v>
      </c>
      <c r="G697" s="2"/>
      <c r="H697" s="2" t="s">
        <v>1109</v>
      </c>
      <c r="I697" s="2" t="s">
        <v>15</v>
      </c>
      <c r="J697" s="2" t="s">
        <v>935</v>
      </c>
      <c r="K697" s="2" t="s">
        <v>1106</v>
      </c>
      <c r="L697" s="2">
        <f t="shared" si="10"/>
        <v>150</v>
      </c>
    </row>
    <row r="698" spans="1:12" ht="25" customHeight="1">
      <c r="A698" s="2" t="s">
        <v>12</v>
      </c>
      <c r="B698" s="2" t="str">
        <f>HYPERLINK("http://bbs.12365auto.com/postcontent.aspx?tID=195458","英国人评选出2019年度十佳家庭SUV")</f>
        <v>英国人评选出2019年度十佳家庭SUV</v>
      </c>
      <c r="C698" s="2" t="s">
        <v>13</v>
      </c>
      <c r="D698" s="2" t="s">
        <v>12</v>
      </c>
      <c r="E698" s="2" t="s">
        <v>214</v>
      </c>
      <c r="F698" s="2" t="str">
        <f>HYPERLINK("http://bbs.12365auto.com/postcontent.aspx?tID=195458","http://bbs.12365auto.com/postcontent.aspx?tID=195458")</f>
        <v>http://bbs.12365auto.com/postcontent.aspx?tID=195458</v>
      </c>
      <c r="G698" s="2"/>
      <c r="H698" s="2" t="s">
        <v>1110</v>
      </c>
      <c r="I698" s="2" t="s">
        <v>15</v>
      </c>
      <c r="J698" s="2" t="s">
        <v>935</v>
      </c>
      <c r="K698" s="2" t="s">
        <v>1111</v>
      </c>
      <c r="L698" s="2">
        <f t="shared" si="10"/>
        <v>150</v>
      </c>
    </row>
    <row r="699" spans="1:12" ht="25" customHeight="1">
      <c r="A699" s="2" t="s">
        <v>12</v>
      </c>
      <c r="B699" s="2" t="str">
        <f>HYPERLINK("http://bbs.12365auto.com/postcontent.aspx?tID=195456","美国公路交通安全局喊停EasyMile自动驾驶公交车")</f>
        <v>美国公路交通安全局喊停EasyMile自动驾驶公交车</v>
      </c>
      <c r="C699" s="2" t="s">
        <v>13</v>
      </c>
      <c r="D699" s="2" t="s">
        <v>12</v>
      </c>
      <c r="E699" s="2" t="s">
        <v>28</v>
      </c>
      <c r="F699" s="2" t="str">
        <f>HYPERLINK("http://bbs.12365auto.com/postcontent.aspx?tID=195456","http://bbs.12365auto.com/postcontent.aspx?tID=195456")</f>
        <v>http://bbs.12365auto.com/postcontent.aspx?tID=195456</v>
      </c>
      <c r="G699" s="2"/>
      <c r="H699" s="2" t="s">
        <v>1112</v>
      </c>
      <c r="I699" s="2" t="s">
        <v>15</v>
      </c>
      <c r="J699" s="2" t="s">
        <v>1113</v>
      </c>
      <c r="K699" s="2" t="s">
        <v>1114</v>
      </c>
      <c r="L699" s="2">
        <f t="shared" si="10"/>
        <v>150</v>
      </c>
    </row>
    <row r="700" spans="1:12" ht="25" customHeight="1">
      <c r="A700" s="2" t="s">
        <v>12</v>
      </c>
      <c r="B700" s="2" t="str">
        <f>HYPERLINK("http://bbs.12365auto.com/postcontent.aspx?tID=195457","魂动设计的马自达年轻人都喜欢")</f>
        <v>魂动设计的马自达年轻人都喜欢</v>
      </c>
      <c r="C700" s="2" t="s">
        <v>13</v>
      </c>
      <c r="D700" s="2" t="s">
        <v>12</v>
      </c>
      <c r="E700" s="2" t="s">
        <v>28</v>
      </c>
      <c r="F700" s="2" t="str">
        <f>HYPERLINK("http://bbs.12365auto.com/postcontent.aspx?tID=195457","http://bbs.12365auto.com/postcontent.aspx?tID=195457")</f>
        <v>http://bbs.12365auto.com/postcontent.aspx?tID=195457</v>
      </c>
      <c r="G700" s="2"/>
      <c r="H700" s="2" t="s">
        <v>1115</v>
      </c>
      <c r="I700" s="2" t="s">
        <v>15</v>
      </c>
      <c r="J700" s="2" t="s">
        <v>1113</v>
      </c>
      <c r="K700" s="2" t="s">
        <v>1114</v>
      </c>
      <c r="L700" s="2">
        <f t="shared" si="10"/>
        <v>150</v>
      </c>
    </row>
    <row r="701" spans="1:12" ht="25" customHeight="1">
      <c r="A701" s="2" t="s">
        <v>12</v>
      </c>
      <c r="B701" s="2" t="str">
        <f>HYPERLINK("http://m.12365auto.com/xcdg/20200228/419795.shtml","25万让你情怀落地 详解第八代高尔夫GTI")</f>
        <v>25万让你情怀落地 详解第八代高尔夫GTI</v>
      </c>
      <c r="C701" s="2" t="s">
        <v>13</v>
      </c>
      <c r="D701" s="2" t="s">
        <v>12</v>
      </c>
      <c r="E701" s="2"/>
      <c r="F701" s="2" t="str">
        <f>HYPERLINK("http://m.12365auto.com/xcdg/20200228/419795.shtml","http://m.12365auto.com/xcdg/20200228/419795.shtml")</f>
        <v>http://m.12365auto.com/xcdg/20200228/419795.shtml</v>
      </c>
      <c r="G701" s="2"/>
      <c r="H701" s="2" t="s">
        <v>1116</v>
      </c>
      <c r="I701" s="2" t="s">
        <v>19</v>
      </c>
      <c r="J701" s="2" t="s">
        <v>1117</v>
      </c>
      <c r="K701" s="2" t="s">
        <v>1118</v>
      </c>
      <c r="L701" s="2">
        <f t="shared" si="10"/>
        <v>150</v>
      </c>
    </row>
    <row r="702" spans="1:12" ht="25" customHeight="1">
      <c r="A702" s="2" t="s">
        <v>12</v>
      </c>
      <c r="B702" s="2" t="str">
        <f>HYPERLINK("http://bbs.12365auto.com/postcontent.aspx?tID=195455","疫情之后立即买车？小心被套路")</f>
        <v>疫情之后立即买车？小心被套路</v>
      </c>
      <c r="C702" s="2" t="s">
        <v>13</v>
      </c>
      <c r="D702" s="2" t="s">
        <v>12</v>
      </c>
      <c r="E702" s="2" t="s">
        <v>28</v>
      </c>
      <c r="F702" s="2" t="str">
        <f>HYPERLINK("http://bbs.12365auto.com/postcontent.aspx?tID=195455","http://bbs.12365auto.com/postcontent.aspx?tID=195455")</f>
        <v>http://bbs.12365auto.com/postcontent.aspx?tID=195455</v>
      </c>
      <c r="G702" s="2"/>
      <c r="H702" s="2" t="s">
        <v>1119</v>
      </c>
      <c r="I702" s="2" t="s">
        <v>15</v>
      </c>
      <c r="J702" s="2" t="s">
        <v>1113</v>
      </c>
      <c r="K702" s="2" t="s">
        <v>1118</v>
      </c>
      <c r="L702" s="2">
        <f t="shared" si="10"/>
        <v>150</v>
      </c>
    </row>
    <row r="703" spans="1:12" ht="25" customHeight="1">
      <c r="A703" s="2" t="s">
        <v>12</v>
      </c>
      <c r="B703" s="2" t="str">
        <f>HYPERLINK("http://bbs.12365auto.com/postcontent.aspx?tID=195454","2020年1月皮卡市场分析")</f>
        <v>2020年1月皮卡市场分析</v>
      </c>
      <c r="C703" s="2" t="s">
        <v>13</v>
      </c>
      <c r="D703" s="2" t="s">
        <v>12</v>
      </c>
      <c r="E703" s="2" t="s">
        <v>28</v>
      </c>
      <c r="F703" s="2" t="str">
        <f>HYPERLINK("http://bbs.12365auto.com/postcontent.aspx?tID=195454","http://bbs.12365auto.com/postcontent.aspx?tID=195454")</f>
        <v>http://bbs.12365auto.com/postcontent.aspx?tID=195454</v>
      </c>
      <c r="G703" s="2"/>
      <c r="H703" s="2" t="s">
        <v>1120</v>
      </c>
      <c r="I703" s="2" t="s">
        <v>15</v>
      </c>
      <c r="J703" s="2" t="s">
        <v>1113</v>
      </c>
      <c r="K703" s="2" t="s">
        <v>1118</v>
      </c>
      <c r="L703" s="2">
        <f t="shared" si="10"/>
        <v>150</v>
      </c>
    </row>
    <row r="704" spans="1:12" ht="25" customHeight="1">
      <c r="A704" s="2" t="s">
        <v>12</v>
      </c>
      <c r="B704" s="2" t="str">
        <f>HYPERLINK("http://bbs.12365auto.com/postcontent.aspx?tId=195455","疫情之后立即买车？小心被套路")</f>
        <v>疫情之后立即买车？小心被套路</v>
      </c>
      <c r="C704" s="2" t="s">
        <v>13</v>
      </c>
      <c r="D704" s="2" t="s">
        <v>12</v>
      </c>
      <c r="E704" s="2" t="s">
        <v>27</v>
      </c>
      <c r="F704" s="2" t="str">
        <f>HYPERLINK("http://bbs.12365auto.com/postcontent.aspx?tId=195455","http://bbs.12365auto.com/postcontent.aspx?tId=195455")</f>
        <v>http://bbs.12365auto.com/postcontent.aspx?tId=195455</v>
      </c>
      <c r="G704" s="2"/>
      <c r="H704" s="2" t="s">
        <v>1121</v>
      </c>
      <c r="I704" s="2" t="s">
        <v>15</v>
      </c>
      <c r="J704" s="2" t="s">
        <v>1113</v>
      </c>
      <c r="K704" s="2" t="s">
        <v>1118</v>
      </c>
      <c r="L704" s="2">
        <f t="shared" si="10"/>
        <v>150</v>
      </c>
    </row>
    <row r="705" spans="1:12" ht="25" customHeight="1">
      <c r="A705" s="2" t="s">
        <v>12</v>
      </c>
      <c r="B705" s="2" t="str">
        <f>HYPERLINK("http://bbs.12365auto.com/postcontent.aspx?tId=195454","2020年1月皮卡市场分析")</f>
        <v>2020年1月皮卡市场分析</v>
      </c>
      <c r="C705" s="2" t="s">
        <v>13</v>
      </c>
      <c r="D705" s="2" t="s">
        <v>12</v>
      </c>
      <c r="E705" s="2" t="s">
        <v>27</v>
      </c>
      <c r="F705" s="2" t="str">
        <f>HYPERLINK("http://bbs.12365auto.com/postcontent.aspx?tId=195454","http://bbs.12365auto.com/postcontent.aspx?tId=195454")</f>
        <v>http://bbs.12365auto.com/postcontent.aspx?tId=195454</v>
      </c>
      <c r="G705" s="2"/>
      <c r="H705" s="2" t="s">
        <v>1122</v>
      </c>
      <c r="I705" s="2" t="s">
        <v>15</v>
      </c>
      <c r="J705" s="2" t="s">
        <v>1113</v>
      </c>
      <c r="K705" s="2" t="s">
        <v>1118</v>
      </c>
      <c r="L705" s="2">
        <f t="shared" si="10"/>
        <v>150</v>
      </c>
    </row>
    <row r="706" spans="1:12" ht="25" customHeight="1">
      <c r="A706" s="2" t="s">
        <v>12</v>
      </c>
      <c r="B706" s="2" t="str">
        <f>HYPERLINK("http://www.12365auto.com/xcdg/20200228/419795.shtml","25万让你情怀落地 详解第八代高尔夫GTI")</f>
        <v>25万让你情怀落地 详解第八代高尔夫GTI</v>
      </c>
      <c r="C706" s="2" t="s">
        <v>13</v>
      </c>
      <c r="D706" s="2" t="s">
        <v>12</v>
      </c>
      <c r="E706" s="2" t="s">
        <v>245</v>
      </c>
      <c r="F706" s="2" t="str">
        <f>HYPERLINK("http://www.12365auto.com/xcdg/20200228/419795.shtml","http://www.12365auto.com/xcdg/20200228/419795.shtml")</f>
        <v>http://www.12365auto.com/xcdg/20200228/419795.shtml</v>
      </c>
      <c r="G706" s="2"/>
      <c r="H706" s="2" t="s">
        <v>1123</v>
      </c>
      <c r="I706" s="2" t="s">
        <v>19</v>
      </c>
      <c r="J706" s="2" t="s">
        <v>12</v>
      </c>
      <c r="K706" s="2" t="s">
        <v>1118</v>
      </c>
      <c r="L706" s="2">
        <f t="shared" si="10"/>
        <v>150</v>
      </c>
    </row>
    <row r="707" spans="1:12" ht="25" customHeight="1">
      <c r="A707" s="2" t="s">
        <v>12</v>
      </c>
      <c r="B707" s="2" t="str">
        <f>HYPERLINK("http://m.12365auto.com/bbs/postcontent.aspx?tID=195455","疫情之后立即买车？小心被套路")</f>
        <v>疫情之后立即买车？小心被套路</v>
      </c>
      <c r="C707" s="2" t="s">
        <v>13</v>
      </c>
      <c r="D707" s="2" t="s">
        <v>23</v>
      </c>
      <c r="E707" s="2"/>
      <c r="F707" s="2" t="str">
        <f>HYPERLINK("http://m.12365auto.com/bbs/postcontent.aspx?tID=195455","http://m.12365auto.com/bbs/postcontent.aspx?tID=195455")</f>
        <v>http://m.12365auto.com/bbs/postcontent.aspx?tID=195455</v>
      </c>
      <c r="G707" s="2"/>
      <c r="H707" s="2" t="s">
        <v>1121</v>
      </c>
      <c r="I707" s="2" t="s">
        <v>15</v>
      </c>
      <c r="J707" s="2" t="s">
        <v>1113</v>
      </c>
      <c r="K707" s="2" t="s">
        <v>1118</v>
      </c>
      <c r="L707" s="2">
        <f t="shared" ref="L707:L770" si="11">LEN(H707)</f>
        <v>150</v>
      </c>
    </row>
    <row r="708" spans="1:12" ht="25" customHeight="1">
      <c r="A708" s="2" t="s">
        <v>12</v>
      </c>
      <c r="B708" s="2" t="str">
        <f>HYPERLINK("http://m.12365auto.com/bbs/postcontent.aspx?tID=195454","2020年1月皮卡市场分析")</f>
        <v>2020年1月皮卡市场分析</v>
      </c>
      <c r="C708" s="2" t="s">
        <v>13</v>
      </c>
      <c r="D708" s="2" t="s">
        <v>23</v>
      </c>
      <c r="E708" s="2"/>
      <c r="F708" s="2" t="str">
        <f>HYPERLINK("http://m.12365auto.com/bbs/postcontent.aspx?tID=195454","http://m.12365auto.com/bbs/postcontent.aspx?tID=195454")</f>
        <v>http://m.12365auto.com/bbs/postcontent.aspx?tID=195454</v>
      </c>
      <c r="G708" s="2"/>
      <c r="H708" s="2" t="s">
        <v>1122</v>
      </c>
      <c r="I708" s="2" t="s">
        <v>15</v>
      </c>
      <c r="J708" s="2" t="s">
        <v>1113</v>
      </c>
      <c r="K708" s="2" t="s">
        <v>1118</v>
      </c>
      <c r="L708" s="2">
        <f t="shared" si="11"/>
        <v>150</v>
      </c>
    </row>
    <row r="709" spans="1:12" ht="25" customHeight="1">
      <c r="A709" s="2" t="s">
        <v>12</v>
      </c>
      <c r="B709" s="2" t="str">
        <f>HYPERLINK("http://m.12365auto.com/bbs/postcontent.aspx?tID=195453","PSA集团2019年盈利率达8.5% 创历史新高")</f>
        <v>PSA集团2019年盈利率达8.5% 创历史新高</v>
      </c>
      <c r="C709" s="2" t="s">
        <v>13</v>
      </c>
      <c r="D709" s="2" t="s">
        <v>23</v>
      </c>
      <c r="E709" s="2"/>
      <c r="F709" s="2" t="str">
        <f>HYPERLINK("http://m.12365auto.com/bbs/postcontent.aspx?tID=195453","http://m.12365auto.com/bbs/postcontent.aspx?tID=195453")</f>
        <v>http://m.12365auto.com/bbs/postcontent.aspx?tID=195453</v>
      </c>
      <c r="G709" s="2"/>
      <c r="H709" s="2" t="s">
        <v>1124</v>
      </c>
      <c r="I709" s="2" t="s">
        <v>15</v>
      </c>
      <c r="J709" s="2" t="s">
        <v>1113</v>
      </c>
      <c r="K709" s="2" t="s">
        <v>1125</v>
      </c>
      <c r="L709" s="2">
        <f t="shared" si="11"/>
        <v>150</v>
      </c>
    </row>
    <row r="710" spans="1:12" ht="25" customHeight="1">
      <c r="A710" s="2" t="s">
        <v>12</v>
      </c>
      <c r="B710" s="2" t="str">
        <f>HYPERLINK("http://bbs.12365auto.com/postcontent.aspx?tID=195452","路虎的“廉价” 足以比肩丰田了")</f>
        <v>路虎的“廉价” 足以比肩丰田了</v>
      </c>
      <c r="C710" s="2" t="s">
        <v>13</v>
      </c>
      <c r="D710" s="2" t="s">
        <v>12</v>
      </c>
      <c r="E710" s="2" t="s">
        <v>28</v>
      </c>
      <c r="F710" s="2" t="str">
        <f>HYPERLINK("http://bbs.12365auto.com/postcontent.aspx?tID=195452","http://bbs.12365auto.com/postcontent.aspx?tID=195452")</f>
        <v>http://bbs.12365auto.com/postcontent.aspx?tID=195452</v>
      </c>
      <c r="G710" s="2"/>
      <c r="H710" s="2" t="s">
        <v>1126</v>
      </c>
      <c r="I710" s="2" t="s">
        <v>15</v>
      </c>
      <c r="J710" s="2" t="s">
        <v>1113</v>
      </c>
      <c r="K710" s="2" t="s">
        <v>1125</v>
      </c>
      <c r="L710" s="2">
        <f t="shared" si="11"/>
        <v>150</v>
      </c>
    </row>
    <row r="711" spans="1:12" ht="25" customHeight="1">
      <c r="A711" s="2" t="s">
        <v>12</v>
      </c>
      <c r="B711" s="2" t="str">
        <f>HYPERLINK("http://bbs.12365auto.com/postcontent.aspx?tID=195453","PSA集团2019年盈利率达8.5% 创历史新高")</f>
        <v>PSA集团2019年盈利率达8.5% 创历史新高</v>
      </c>
      <c r="C711" s="2" t="s">
        <v>13</v>
      </c>
      <c r="D711" s="2" t="s">
        <v>12</v>
      </c>
      <c r="E711" s="2" t="s">
        <v>28</v>
      </c>
      <c r="F711" s="2" t="str">
        <f>HYPERLINK("http://bbs.12365auto.com/postcontent.aspx?tID=195453","http://bbs.12365auto.com/postcontent.aspx?tID=195453")</f>
        <v>http://bbs.12365auto.com/postcontent.aspx?tID=195453</v>
      </c>
      <c r="G711" s="2"/>
      <c r="H711" s="2" t="s">
        <v>1127</v>
      </c>
      <c r="I711" s="2" t="s">
        <v>15</v>
      </c>
      <c r="J711" s="2" t="s">
        <v>1113</v>
      </c>
      <c r="K711" s="2" t="s">
        <v>1125</v>
      </c>
      <c r="L711" s="2">
        <f t="shared" si="11"/>
        <v>150</v>
      </c>
    </row>
    <row r="712" spans="1:12" ht="25" customHeight="1">
      <c r="A712" s="2" t="s">
        <v>12</v>
      </c>
      <c r="B712" s="2" t="str">
        <f>HYPERLINK("http://bbs.12365auto.com/postcontent.aspx?tId=195452","路虎的“廉价” 足以比肩丰田了")</f>
        <v>路虎的“廉价” 足以比肩丰田了</v>
      </c>
      <c r="C712" s="2" t="s">
        <v>13</v>
      </c>
      <c r="D712" s="2" t="s">
        <v>12</v>
      </c>
      <c r="E712" s="2" t="s">
        <v>27</v>
      </c>
      <c r="F712" s="2" t="str">
        <f>HYPERLINK("http://bbs.12365auto.com/postcontent.aspx?tId=195452","http://bbs.12365auto.com/postcontent.aspx?tId=195452")</f>
        <v>http://bbs.12365auto.com/postcontent.aspx?tId=195452</v>
      </c>
      <c r="G712" s="2"/>
      <c r="H712" s="2" t="s">
        <v>1128</v>
      </c>
      <c r="I712" s="2" t="s">
        <v>15</v>
      </c>
      <c r="J712" s="2" t="s">
        <v>1113</v>
      </c>
      <c r="K712" s="2" t="s">
        <v>1125</v>
      </c>
      <c r="L712" s="2">
        <f t="shared" si="11"/>
        <v>150</v>
      </c>
    </row>
    <row r="713" spans="1:12" ht="25" customHeight="1">
      <c r="A713" s="2" t="s">
        <v>12</v>
      </c>
      <c r="B713" s="2" t="str">
        <f>HYPERLINK("http://bbs.12365auto.com/postcontent.aspx?tId=195453","PSA集团2019年盈利率达8.5% 创历史新高")</f>
        <v>PSA集团2019年盈利率达8.5% 创历史新高</v>
      </c>
      <c r="C713" s="2" t="s">
        <v>13</v>
      </c>
      <c r="D713" s="2" t="s">
        <v>12</v>
      </c>
      <c r="E713" s="2" t="s">
        <v>27</v>
      </c>
      <c r="F713" s="2" t="str">
        <f>HYPERLINK("http://bbs.12365auto.com/postcontent.aspx?tId=195453","http://bbs.12365auto.com/postcontent.aspx?tId=195453")</f>
        <v>http://bbs.12365auto.com/postcontent.aspx?tId=195453</v>
      </c>
      <c r="G713" s="2"/>
      <c r="H713" s="2" t="s">
        <v>1124</v>
      </c>
      <c r="I713" s="2" t="s">
        <v>15</v>
      </c>
      <c r="J713" s="2" t="s">
        <v>1113</v>
      </c>
      <c r="K713" s="2" t="s">
        <v>1125</v>
      </c>
      <c r="L713" s="2">
        <f t="shared" si="11"/>
        <v>150</v>
      </c>
    </row>
    <row r="714" spans="1:12" ht="25" customHeight="1">
      <c r="A714" s="2" t="s">
        <v>12</v>
      </c>
      <c r="B714" s="2" t="str">
        <f>HYPERLINK("http://m.12365auto.com/bbs/postcontent.aspx?tID=195452","路虎的“廉价” 足以比肩丰田了")</f>
        <v>路虎的“廉价” 足以比肩丰田了</v>
      </c>
      <c r="C714" s="2" t="s">
        <v>13</v>
      </c>
      <c r="D714" s="2" t="s">
        <v>23</v>
      </c>
      <c r="E714" s="2"/>
      <c r="F714" s="2" t="str">
        <f>HYPERLINK("http://m.12365auto.com/bbs/postcontent.aspx?tID=195452","http://m.12365auto.com/bbs/postcontent.aspx?tID=195452")</f>
        <v>http://m.12365auto.com/bbs/postcontent.aspx?tID=195452</v>
      </c>
      <c r="G714" s="2"/>
      <c r="H714" s="2" t="s">
        <v>1128</v>
      </c>
      <c r="I714" s="2" t="s">
        <v>15</v>
      </c>
      <c r="J714" s="2" t="s">
        <v>1113</v>
      </c>
      <c r="K714" s="2" t="s">
        <v>1125</v>
      </c>
      <c r="L714" s="2">
        <f t="shared" si="11"/>
        <v>150</v>
      </c>
    </row>
    <row r="715" spans="1:12" ht="25" customHeight="1">
      <c r="A715" s="2" t="s">
        <v>12</v>
      </c>
      <c r="B715" s="2" t="str">
        <f>HYPERLINK("http://m.12365auto.com/news/20200228/419794.shtml","中消协：2019年汽车类投诉量增长25.1%")</f>
        <v>中消协：2019年汽车类投诉量增长25.1%</v>
      </c>
      <c r="C715" s="2" t="s">
        <v>13</v>
      </c>
      <c r="D715" s="2" t="s">
        <v>12</v>
      </c>
      <c r="E715" s="2"/>
      <c r="F715" s="2" t="str">
        <f>HYPERLINK("http://m.12365auto.com/news/20200228/419794.shtml","http://m.12365auto.com/news/20200228/419794.shtml")</f>
        <v>http://m.12365auto.com/news/20200228/419794.shtml</v>
      </c>
      <c r="G715" s="2"/>
      <c r="H715" s="2" t="s">
        <v>1129</v>
      </c>
      <c r="I715" s="2" t="s">
        <v>19</v>
      </c>
      <c r="J715" s="2" t="s">
        <v>274</v>
      </c>
      <c r="K715" s="2" t="s">
        <v>1130</v>
      </c>
      <c r="L715" s="2">
        <f t="shared" si="11"/>
        <v>150</v>
      </c>
    </row>
    <row r="716" spans="1:12" ht="25" customHeight="1">
      <c r="A716" s="2" t="s">
        <v>12</v>
      </c>
      <c r="B716" s="2" t="str">
        <f>HYPERLINK("http://www.12365auto.com/news/20200228/419794.shtml","中消协：2019年汽车类投诉量增长25.1%")</f>
        <v>中消协：2019年汽车类投诉量增长25.1%</v>
      </c>
      <c r="C716" s="2" t="s">
        <v>13</v>
      </c>
      <c r="D716" s="2" t="s">
        <v>12</v>
      </c>
      <c r="E716" s="2" t="s">
        <v>276</v>
      </c>
      <c r="F716" s="2" t="str">
        <f>HYPERLINK("http://www.12365auto.com/news/20200228/419794.shtml","http://www.12365auto.com/news/20200228/419794.shtml")</f>
        <v>http://www.12365auto.com/news/20200228/419794.shtml</v>
      </c>
      <c r="G716" s="2"/>
      <c r="H716" s="2" t="s">
        <v>1131</v>
      </c>
      <c r="I716" s="2" t="s">
        <v>15</v>
      </c>
      <c r="J716" s="2" t="s">
        <v>12</v>
      </c>
      <c r="K716" s="2" t="s">
        <v>1130</v>
      </c>
      <c r="L716" s="2">
        <f t="shared" si="11"/>
        <v>150</v>
      </c>
    </row>
    <row r="717" spans="1:12" ht="25" customHeight="1">
      <c r="A717" s="2" t="s">
        <v>12</v>
      </c>
      <c r="B717" s="2" t="str">
        <f>HYPERLINK("http://bbs.12365auto.com/postcontent.aspx?tId=195450","IIHS碰撞测试出炉 大众团灭")</f>
        <v>IIHS碰撞测试出炉 大众团灭</v>
      </c>
      <c r="C717" s="2" t="s">
        <v>13</v>
      </c>
      <c r="D717" s="2" t="s">
        <v>12</v>
      </c>
      <c r="E717" s="2" t="s">
        <v>27</v>
      </c>
      <c r="F717" s="2" t="str">
        <f>HYPERLINK("http://bbs.12365auto.com/postcontent.aspx?tId=195450","http://bbs.12365auto.com/postcontent.aspx?tId=195450")</f>
        <v>http://bbs.12365auto.com/postcontent.aspx?tId=195450</v>
      </c>
      <c r="G717" s="2"/>
      <c r="H717" s="2" t="s">
        <v>1132</v>
      </c>
      <c r="I717" s="2" t="s">
        <v>15</v>
      </c>
      <c r="J717" s="2" t="s">
        <v>1113</v>
      </c>
      <c r="K717" s="2" t="s">
        <v>1130</v>
      </c>
      <c r="L717" s="2">
        <f t="shared" si="11"/>
        <v>150</v>
      </c>
    </row>
    <row r="718" spans="1:12" ht="25" customHeight="1">
      <c r="A718" s="2" t="s">
        <v>12</v>
      </c>
      <c r="B718" s="2" t="str">
        <f>HYPERLINK("http://bbs.12365auto.com/postcontent.aspx?tId=195451","政府鼓励放宽限购 汽车业急盼政策落地")</f>
        <v>政府鼓励放宽限购 汽车业急盼政策落地</v>
      </c>
      <c r="C718" s="2" t="s">
        <v>13</v>
      </c>
      <c r="D718" s="2" t="s">
        <v>12</v>
      </c>
      <c r="E718" s="2" t="s">
        <v>27</v>
      </c>
      <c r="F718" s="2" t="str">
        <f>HYPERLINK("http://bbs.12365auto.com/postcontent.aspx?tId=195451","http://bbs.12365auto.com/postcontent.aspx?tId=195451")</f>
        <v>http://bbs.12365auto.com/postcontent.aspx?tId=195451</v>
      </c>
      <c r="G718" s="2"/>
      <c r="H718" s="2" t="s">
        <v>1133</v>
      </c>
      <c r="I718" s="2" t="s">
        <v>15</v>
      </c>
      <c r="J718" s="2" t="s">
        <v>1113</v>
      </c>
      <c r="K718" s="2" t="s">
        <v>1130</v>
      </c>
      <c r="L718" s="2">
        <f t="shared" si="11"/>
        <v>150</v>
      </c>
    </row>
    <row r="719" spans="1:12" ht="25" customHeight="1">
      <c r="A719" s="2" t="s">
        <v>12</v>
      </c>
      <c r="B719" s="2" t="str">
        <f>HYPERLINK("http://m.12365auto.com/bbs/postcontent.aspx?tID=195451","政府鼓励放宽限购 汽车业急盼政策落地")</f>
        <v>政府鼓励放宽限购 汽车业急盼政策落地</v>
      </c>
      <c r="C719" s="2" t="s">
        <v>13</v>
      </c>
      <c r="D719" s="2" t="s">
        <v>23</v>
      </c>
      <c r="E719" s="2"/>
      <c r="F719" s="2" t="str">
        <f>HYPERLINK("http://m.12365auto.com/bbs/postcontent.aspx?tID=195451","http://m.12365auto.com/bbs/postcontent.aspx?tID=195451")</f>
        <v>http://m.12365auto.com/bbs/postcontent.aspx?tID=195451</v>
      </c>
      <c r="G719" s="2"/>
      <c r="H719" s="2" t="s">
        <v>1133</v>
      </c>
      <c r="I719" s="2" t="s">
        <v>15</v>
      </c>
      <c r="J719" s="2" t="s">
        <v>1113</v>
      </c>
      <c r="K719" s="2" t="s">
        <v>1130</v>
      </c>
      <c r="L719" s="2">
        <f t="shared" si="11"/>
        <v>150</v>
      </c>
    </row>
    <row r="720" spans="1:12" ht="25" customHeight="1">
      <c r="A720" s="2" t="s">
        <v>12</v>
      </c>
      <c r="B720" s="2" t="str">
        <f>HYPERLINK("http://m.12365auto.com/bbs/postcontent.aspx?tID=195450","IIHS碰撞测试出炉 大众团灭")</f>
        <v>IIHS碰撞测试出炉 大众团灭</v>
      </c>
      <c r="C720" s="2" t="s">
        <v>13</v>
      </c>
      <c r="D720" s="2" t="s">
        <v>23</v>
      </c>
      <c r="E720" s="2"/>
      <c r="F720" s="2" t="str">
        <f>HYPERLINK("http://m.12365auto.com/bbs/postcontent.aspx?tID=195450","http://m.12365auto.com/bbs/postcontent.aspx?tID=195450")</f>
        <v>http://m.12365auto.com/bbs/postcontent.aspx?tID=195450</v>
      </c>
      <c r="G720" s="2"/>
      <c r="H720" s="2" t="s">
        <v>1132</v>
      </c>
      <c r="I720" s="2" t="s">
        <v>15</v>
      </c>
      <c r="J720" s="2" t="s">
        <v>1113</v>
      </c>
      <c r="K720" s="2" t="s">
        <v>1130</v>
      </c>
      <c r="L720" s="2">
        <f t="shared" si="11"/>
        <v>150</v>
      </c>
    </row>
    <row r="721" spans="1:12" ht="25" customHeight="1">
      <c r="A721" s="2" t="s">
        <v>12</v>
      </c>
      <c r="B721" s="2" t="str">
        <f>HYPERLINK("http://bbs.12365auto.com/postcontent.aspx?tID=195451","政府鼓励放宽限购 汽车业急盼政策落地")</f>
        <v>政府鼓励放宽限购 汽车业急盼政策落地</v>
      </c>
      <c r="C721" s="2" t="s">
        <v>13</v>
      </c>
      <c r="D721" s="2" t="s">
        <v>12</v>
      </c>
      <c r="E721" s="2" t="s">
        <v>28</v>
      </c>
      <c r="F721" s="2" t="str">
        <f>HYPERLINK("http://bbs.12365auto.com/postcontent.aspx?tID=195451","http://bbs.12365auto.com/postcontent.aspx?tID=195451")</f>
        <v>http://bbs.12365auto.com/postcontent.aspx?tID=195451</v>
      </c>
      <c r="G721" s="2"/>
      <c r="H721" s="2" t="s">
        <v>1134</v>
      </c>
      <c r="I721" s="2" t="s">
        <v>15</v>
      </c>
      <c r="J721" s="2" t="s">
        <v>1113</v>
      </c>
      <c r="K721" s="2" t="s">
        <v>1130</v>
      </c>
      <c r="L721" s="2">
        <f t="shared" si="11"/>
        <v>150</v>
      </c>
    </row>
    <row r="722" spans="1:12" ht="25" customHeight="1">
      <c r="A722" s="2" t="s">
        <v>12</v>
      </c>
      <c r="B722" s="2" t="str">
        <f>HYPERLINK("http://bbs.12365auto.com/postcontent.aspx?tID=195450","IIHS碰撞测试出炉 大众团灭")</f>
        <v>IIHS碰撞测试出炉 大众团灭</v>
      </c>
      <c r="C722" s="2" t="s">
        <v>13</v>
      </c>
      <c r="D722" s="2" t="s">
        <v>12</v>
      </c>
      <c r="E722" s="2" t="s">
        <v>28</v>
      </c>
      <c r="F722" s="2" t="str">
        <f>HYPERLINK("http://bbs.12365auto.com/postcontent.aspx?tID=195450","http://bbs.12365auto.com/postcontent.aspx?tID=195450")</f>
        <v>http://bbs.12365auto.com/postcontent.aspx?tID=195450</v>
      </c>
      <c r="G722" s="2"/>
      <c r="H722" s="2" t="s">
        <v>1135</v>
      </c>
      <c r="I722" s="2" t="s">
        <v>15</v>
      </c>
      <c r="J722" s="2" t="s">
        <v>1113</v>
      </c>
      <c r="K722" s="2" t="s">
        <v>1130</v>
      </c>
      <c r="L722" s="2">
        <f t="shared" si="11"/>
        <v>150</v>
      </c>
    </row>
    <row r="723" spans="1:12" ht="25" customHeight="1">
      <c r="A723" s="2" t="s">
        <v>12</v>
      </c>
      <c r="B723" s="2" t="str">
        <f>HYPERLINK("http://m.12365auto.com/bbs/postcontent.aspx?tID=195448","停车场满了 流水线停了")</f>
        <v>停车场满了 流水线停了</v>
      </c>
      <c r="C723" s="2" t="s">
        <v>13</v>
      </c>
      <c r="D723" s="2" t="s">
        <v>23</v>
      </c>
      <c r="E723" s="2"/>
      <c r="F723" s="2" t="str">
        <f>HYPERLINK("http://m.12365auto.com/bbs/postcontent.aspx?tID=195448","http://m.12365auto.com/bbs/postcontent.aspx?tID=195448")</f>
        <v>http://m.12365auto.com/bbs/postcontent.aspx?tID=195448</v>
      </c>
      <c r="G723" s="2"/>
      <c r="H723" s="2" t="s">
        <v>1136</v>
      </c>
      <c r="I723" s="2" t="s">
        <v>15</v>
      </c>
      <c r="J723" s="2" t="s">
        <v>1113</v>
      </c>
      <c r="K723" s="2" t="s">
        <v>1137</v>
      </c>
      <c r="L723" s="2">
        <f t="shared" si="11"/>
        <v>150</v>
      </c>
    </row>
    <row r="724" spans="1:12" ht="25" customHeight="1">
      <c r="A724" s="2" t="s">
        <v>12</v>
      </c>
      <c r="B724" s="2" t="str">
        <f>HYPERLINK("http://bbs.12365auto.com/postcontent.aspx?tID=195448","停车场满了 流水线停了")</f>
        <v>停车场满了 流水线停了</v>
      </c>
      <c r="C724" s="2" t="s">
        <v>13</v>
      </c>
      <c r="D724" s="2" t="s">
        <v>12</v>
      </c>
      <c r="E724" s="2" t="s">
        <v>28</v>
      </c>
      <c r="F724" s="2" t="str">
        <f>HYPERLINK("http://bbs.12365auto.com/postcontent.aspx?tID=195448","http://bbs.12365auto.com/postcontent.aspx?tID=195448")</f>
        <v>http://bbs.12365auto.com/postcontent.aspx?tID=195448</v>
      </c>
      <c r="G724" s="2"/>
      <c r="H724" s="2" t="s">
        <v>1138</v>
      </c>
      <c r="I724" s="2" t="s">
        <v>15</v>
      </c>
      <c r="J724" s="2" t="s">
        <v>1113</v>
      </c>
      <c r="K724" s="2" t="s">
        <v>1137</v>
      </c>
      <c r="L724" s="2">
        <f t="shared" si="11"/>
        <v>150</v>
      </c>
    </row>
    <row r="725" spans="1:12" ht="25" customHeight="1">
      <c r="A725" s="2" t="s">
        <v>12</v>
      </c>
      <c r="B725" s="2" t="str">
        <f>HYPERLINK("http://m.12365auto.com/xcdg/20200228/419793.shtml","豪越等 吉利/领克/几何2020年新车展望")</f>
        <v>豪越等 吉利/领克/几何2020年新车展望</v>
      </c>
      <c r="C725" s="2" t="s">
        <v>13</v>
      </c>
      <c r="D725" s="2" t="s">
        <v>12</v>
      </c>
      <c r="E725" s="2"/>
      <c r="F725" s="2" t="str">
        <f>HYPERLINK("http://m.12365auto.com/xcdg/20200228/419793.shtml","http://m.12365auto.com/xcdg/20200228/419793.shtml")</f>
        <v>http://m.12365auto.com/xcdg/20200228/419793.shtml</v>
      </c>
      <c r="G725" s="2"/>
      <c r="H725" s="2" t="s">
        <v>1139</v>
      </c>
      <c r="I725" s="2" t="s">
        <v>19</v>
      </c>
      <c r="J725" s="2" t="s">
        <v>836</v>
      </c>
      <c r="K725" s="2" t="s">
        <v>1137</v>
      </c>
      <c r="L725" s="2">
        <f t="shared" si="11"/>
        <v>150</v>
      </c>
    </row>
    <row r="726" spans="1:12" ht="25" customHeight="1">
      <c r="A726" s="2" t="s">
        <v>12</v>
      </c>
      <c r="B726" s="2" t="str">
        <f>HYPERLINK("http://m.12365auto.com/bbs/postcontent.aspx?tID=195449&amp;i=1","雷凌or卡罗拉 这两款车之间怎么选？")</f>
        <v>雷凌or卡罗拉 这两款车之间怎么选？</v>
      </c>
      <c r="C726" s="2" t="s">
        <v>13</v>
      </c>
      <c r="D726" s="2" t="s">
        <v>23</v>
      </c>
      <c r="E726" s="2"/>
      <c r="F726" s="2" t="str">
        <f>HYPERLINK("http://m.12365auto.com/bbs/postcontent.aspx?tID=195449&amp;i=1","http://m.12365auto.com/bbs/postcontent.aspx?tID=195449&amp;i=1")</f>
        <v>http://m.12365auto.com/bbs/postcontent.aspx?tID=195449&amp;i=1</v>
      </c>
      <c r="G726" s="2"/>
      <c r="H726" s="2" t="s">
        <v>1140</v>
      </c>
      <c r="I726" s="2" t="s">
        <v>15</v>
      </c>
      <c r="J726" s="2" t="s">
        <v>1113</v>
      </c>
      <c r="K726" s="2" t="s">
        <v>1137</v>
      </c>
      <c r="L726" s="2">
        <f t="shared" si="11"/>
        <v>150</v>
      </c>
    </row>
    <row r="727" spans="1:12" ht="25" customHeight="1">
      <c r="A727" s="2" t="s">
        <v>12</v>
      </c>
      <c r="B727" s="2" t="str">
        <f>HYPERLINK("http://www.12365auto.com/xcdg/20200228/419793.shtml","豪越等 吉利/领克/几何2020年新车展望")</f>
        <v>豪越等 吉利/领克/几何2020年新车展望</v>
      </c>
      <c r="C727" s="2" t="s">
        <v>13</v>
      </c>
      <c r="D727" s="2" t="s">
        <v>12</v>
      </c>
      <c r="E727" s="2" t="s">
        <v>216</v>
      </c>
      <c r="F727" s="2" t="str">
        <f>HYPERLINK("http://www.12365auto.com/xcdg/20200228/419793.shtml","http://www.12365auto.com/xcdg/20200228/419793.shtml")</f>
        <v>http://www.12365auto.com/xcdg/20200228/419793.shtml</v>
      </c>
      <c r="G727" s="2"/>
      <c r="H727" s="2" t="s">
        <v>1141</v>
      </c>
      <c r="I727" s="2" t="s">
        <v>15</v>
      </c>
      <c r="J727" s="2" t="s">
        <v>12</v>
      </c>
      <c r="K727" s="2" t="s">
        <v>1137</v>
      </c>
      <c r="L727" s="2">
        <f t="shared" si="11"/>
        <v>150</v>
      </c>
    </row>
    <row r="728" spans="1:12" ht="25" customHeight="1">
      <c r="A728" s="2" t="s">
        <v>12</v>
      </c>
      <c r="B728" s="2" t="str">
        <f>HYPERLINK("http://bbs.12365auto.com/postcontent.aspx?tId=195448","停车场满了 流水线停了")</f>
        <v>停车场满了 流水线停了</v>
      </c>
      <c r="C728" s="2" t="s">
        <v>13</v>
      </c>
      <c r="D728" s="2" t="s">
        <v>12</v>
      </c>
      <c r="E728" s="2" t="s">
        <v>27</v>
      </c>
      <c r="F728" s="2" t="str">
        <f>HYPERLINK("http://bbs.12365auto.com/postcontent.aspx?tId=195448","http://bbs.12365auto.com/postcontent.aspx?tId=195448")</f>
        <v>http://bbs.12365auto.com/postcontent.aspx?tId=195448</v>
      </c>
      <c r="G728" s="2"/>
      <c r="H728" s="2" t="s">
        <v>1136</v>
      </c>
      <c r="I728" s="2" t="s">
        <v>15</v>
      </c>
      <c r="J728" s="2" t="s">
        <v>1113</v>
      </c>
      <c r="K728" s="2" t="s">
        <v>1137</v>
      </c>
      <c r="L728" s="2">
        <f t="shared" si="11"/>
        <v>150</v>
      </c>
    </row>
    <row r="729" spans="1:12" ht="25" customHeight="1">
      <c r="A729" s="2" t="s">
        <v>12</v>
      </c>
      <c r="B729" s="2" t="str">
        <f>HYPERLINK("http://bbs.12365auto.com/postcontent.aspx?tId=195449","雷凌or卡罗拉？")</f>
        <v>雷凌or卡罗拉？</v>
      </c>
      <c r="C729" s="2" t="s">
        <v>13</v>
      </c>
      <c r="D729" s="2" t="s">
        <v>12</v>
      </c>
      <c r="E729" s="2" t="s">
        <v>27</v>
      </c>
      <c r="F729" s="2" t="str">
        <f>HYPERLINK("http://bbs.12365auto.com/postcontent.aspx?tId=195449","http://bbs.12365auto.com/postcontent.aspx?tId=195449")</f>
        <v>http://bbs.12365auto.com/postcontent.aspx?tId=195449</v>
      </c>
      <c r="G729" s="2"/>
      <c r="H729" s="2" t="s">
        <v>1140</v>
      </c>
      <c r="I729" s="2" t="s">
        <v>15</v>
      </c>
      <c r="J729" s="2" t="s">
        <v>1113</v>
      </c>
      <c r="K729" s="2" t="s">
        <v>1137</v>
      </c>
      <c r="L729" s="2">
        <f t="shared" si="11"/>
        <v>150</v>
      </c>
    </row>
    <row r="730" spans="1:12" ht="25" customHeight="1">
      <c r="A730" s="2" t="s">
        <v>12</v>
      </c>
      <c r="B730" s="2" t="str">
        <f>HYPERLINK("http://www.12365auto.com/zlts/20200228/449146.shtml","一汽大众高尔夫变速箱挂挡不走 厂家未回复")</f>
        <v>一汽大众高尔夫变速箱挂挡不走 厂家未回复</v>
      </c>
      <c r="C730" s="2" t="s">
        <v>13</v>
      </c>
      <c r="D730" s="2" t="s">
        <v>12</v>
      </c>
      <c r="E730" s="2" t="s">
        <v>17</v>
      </c>
      <c r="F730" s="2" t="str">
        <f>HYPERLINK("http://www.12365auto.com/zlts/20200228/449146.shtml","http://www.12365auto.com/zlts/20200228/449146.shtml")</f>
        <v>http://www.12365auto.com/zlts/20200228/449146.shtml</v>
      </c>
      <c r="G730" s="2"/>
      <c r="H730" s="2" t="s">
        <v>1142</v>
      </c>
      <c r="I730" s="2" t="s">
        <v>19</v>
      </c>
      <c r="J730" s="2" t="s">
        <v>12</v>
      </c>
      <c r="K730" s="2" t="s">
        <v>1137</v>
      </c>
      <c r="L730" s="2">
        <f t="shared" si="11"/>
        <v>150</v>
      </c>
    </row>
    <row r="731" spans="1:12" ht="25" customHeight="1">
      <c r="A731" s="2" t="s">
        <v>12</v>
      </c>
      <c r="B731" s="2" t="str">
        <f>HYPERLINK("http://m.12365auto.com/bbs/postcontent.aspx?tID=195449","雷凌or卡罗拉？")</f>
        <v>雷凌or卡罗拉？</v>
      </c>
      <c r="C731" s="2" t="s">
        <v>13</v>
      </c>
      <c r="D731" s="2" t="s">
        <v>23</v>
      </c>
      <c r="E731" s="2"/>
      <c r="F731" s="2" t="str">
        <f>HYPERLINK("http://m.12365auto.com/bbs/postcontent.aspx?tID=195449","http://m.12365auto.com/bbs/postcontent.aspx?tID=195449")</f>
        <v>http://m.12365auto.com/bbs/postcontent.aspx?tID=195449</v>
      </c>
      <c r="G731" s="2"/>
      <c r="H731" s="2" t="s">
        <v>1140</v>
      </c>
      <c r="I731" s="2" t="s">
        <v>15</v>
      </c>
      <c r="J731" s="2" t="s">
        <v>1113</v>
      </c>
      <c r="K731" s="2" t="s">
        <v>1137</v>
      </c>
      <c r="L731" s="2">
        <f t="shared" si="11"/>
        <v>150</v>
      </c>
    </row>
    <row r="732" spans="1:12" ht="25" customHeight="1">
      <c r="A732" s="2" t="s">
        <v>12</v>
      </c>
      <c r="B732" s="2" t="str">
        <f>HYPERLINK("http://bbs.12365auto.com/postcontent.aspx?tID=195449","雷凌or卡罗拉？")</f>
        <v>雷凌or卡罗拉？</v>
      </c>
      <c r="C732" s="2" t="s">
        <v>13</v>
      </c>
      <c r="D732" s="2" t="s">
        <v>12</v>
      </c>
      <c r="E732" s="2" t="s">
        <v>28</v>
      </c>
      <c r="F732" s="2" t="str">
        <f>HYPERLINK("http://bbs.12365auto.com/postcontent.aspx?tID=195449","http://bbs.12365auto.com/postcontent.aspx?tID=195449")</f>
        <v>http://bbs.12365auto.com/postcontent.aspx?tID=195449</v>
      </c>
      <c r="G732" s="2"/>
      <c r="H732" s="2" t="s">
        <v>1143</v>
      </c>
      <c r="I732" s="2" t="s">
        <v>15</v>
      </c>
      <c r="J732" s="2" t="s">
        <v>1113</v>
      </c>
      <c r="K732" s="2" t="s">
        <v>1137</v>
      </c>
      <c r="L732" s="2">
        <f t="shared" si="11"/>
        <v>150</v>
      </c>
    </row>
    <row r="733" spans="1:12" ht="25" customHeight="1">
      <c r="A733" s="2" t="s">
        <v>12</v>
      </c>
      <c r="B733" s="2" t="str">
        <f>HYPERLINK("http://bbs.12365auto.com/postcontent.aspx?tID=195447","1月销量暴涨257.5%的探岳全系降4万 买哪款划算？")</f>
        <v>1月销量暴涨257.5%的探岳全系降4万 买哪款划算？</v>
      </c>
      <c r="C733" s="2" t="s">
        <v>13</v>
      </c>
      <c r="D733" s="2" t="s">
        <v>12</v>
      </c>
      <c r="E733" s="2" t="s">
        <v>28</v>
      </c>
      <c r="F733" s="2" t="str">
        <f>HYPERLINK("http://bbs.12365auto.com/postcontent.aspx?tID=195447","http://bbs.12365auto.com/postcontent.aspx?tID=195447")</f>
        <v>http://bbs.12365auto.com/postcontent.aspx?tID=195447</v>
      </c>
      <c r="G733" s="2"/>
      <c r="H733" s="2" t="s">
        <v>1144</v>
      </c>
      <c r="I733" s="2" t="s">
        <v>15</v>
      </c>
      <c r="J733" s="2" t="s">
        <v>1145</v>
      </c>
      <c r="K733" s="2" t="s">
        <v>1146</v>
      </c>
      <c r="L733" s="2">
        <f t="shared" si="11"/>
        <v>150</v>
      </c>
    </row>
    <row r="734" spans="1:12" ht="25" customHeight="1">
      <c r="A734" s="2" t="s">
        <v>12</v>
      </c>
      <c r="B734" s="2" t="str">
        <f>HYPERLINK("http://bbs.12365auto.com/postcontent.aspx?tId=195447","1月销量暴涨257.5%的探岳全系降4万 买哪款划算？")</f>
        <v>1月销量暴涨257.5%的探岳全系降4万 买哪款划算？</v>
      </c>
      <c r="C734" s="2" t="s">
        <v>13</v>
      </c>
      <c r="D734" s="2" t="s">
        <v>12</v>
      </c>
      <c r="E734" s="2" t="s">
        <v>27</v>
      </c>
      <c r="F734" s="2" t="str">
        <f>HYPERLINK("http://bbs.12365auto.com/postcontent.aspx?tId=195447","http://bbs.12365auto.com/postcontent.aspx?tId=195447")</f>
        <v>http://bbs.12365auto.com/postcontent.aspx?tId=195447</v>
      </c>
      <c r="G734" s="2"/>
      <c r="H734" s="2" t="s">
        <v>1147</v>
      </c>
      <c r="I734" s="2" t="s">
        <v>15</v>
      </c>
      <c r="J734" s="2" t="s">
        <v>1145</v>
      </c>
      <c r="K734" s="2" t="s">
        <v>1146</v>
      </c>
      <c r="L734" s="2">
        <f t="shared" si="11"/>
        <v>150</v>
      </c>
    </row>
    <row r="735" spans="1:12" ht="25" customHeight="1">
      <c r="A735" s="2" t="s">
        <v>12</v>
      </c>
      <c r="B735" s="2" t="str">
        <f>HYPERLINK("http://m.12365auto.com/bbs/postcontent.aspx?tID=195447","1月销量暴涨257.5%的探岳全系降4万 买哪款划算？")</f>
        <v>1月销量暴涨257.5%的探岳全系降4万 买哪款划算？</v>
      </c>
      <c r="C735" s="2" t="s">
        <v>13</v>
      </c>
      <c r="D735" s="2" t="s">
        <v>23</v>
      </c>
      <c r="E735" s="2"/>
      <c r="F735" s="2" t="str">
        <f>HYPERLINK("http://m.12365auto.com/bbs/postcontent.aspx?tID=195447","http://m.12365auto.com/bbs/postcontent.aspx?tID=195447")</f>
        <v>http://m.12365auto.com/bbs/postcontent.aspx?tID=195447</v>
      </c>
      <c r="G735" s="2"/>
      <c r="H735" s="2" t="s">
        <v>1147</v>
      </c>
      <c r="I735" s="2" t="s">
        <v>15</v>
      </c>
      <c r="J735" s="2" t="s">
        <v>1145</v>
      </c>
      <c r="K735" s="2" t="s">
        <v>1146</v>
      </c>
      <c r="L735" s="2">
        <f t="shared" si="11"/>
        <v>150</v>
      </c>
    </row>
    <row r="736" spans="1:12" ht="25" customHeight="1">
      <c r="A736" s="2" t="s">
        <v>12</v>
      </c>
      <c r="B736" s="2" t="str">
        <f>HYPERLINK("http://m.12365auto.com/bbs/postcontent.aspx?tID=195446","懂车的人都买它 三菱欧蓝德换新 汉兰达都要小心了")</f>
        <v>懂车的人都买它 三菱欧蓝德换新 汉兰达都要小心了</v>
      </c>
      <c r="C736" s="2" t="s">
        <v>13</v>
      </c>
      <c r="D736" s="2" t="s">
        <v>23</v>
      </c>
      <c r="E736" s="2"/>
      <c r="F736" s="2" t="str">
        <f>HYPERLINK("http://m.12365auto.com/bbs/postcontent.aspx?tID=195446","http://m.12365auto.com/bbs/postcontent.aspx?tID=195446")</f>
        <v>http://m.12365auto.com/bbs/postcontent.aspx?tID=195446</v>
      </c>
      <c r="G736" s="2"/>
      <c r="H736" s="2" t="s">
        <v>1148</v>
      </c>
      <c r="I736" s="2" t="s">
        <v>15</v>
      </c>
      <c r="J736" s="2" t="s">
        <v>1145</v>
      </c>
      <c r="K736" s="2" t="s">
        <v>1149</v>
      </c>
      <c r="L736" s="2">
        <f t="shared" si="11"/>
        <v>150</v>
      </c>
    </row>
    <row r="737" spans="1:12" ht="25" customHeight="1">
      <c r="A737" s="2" t="s">
        <v>12</v>
      </c>
      <c r="B737" s="2" t="str">
        <f>HYPERLINK("http://bbs.12365auto.com/postcontent.aspx?tId=195446","懂车的人都买它 三菱欧蓝德换新 汉兰达都要小心了")</f>
        <v>懂车的人都买它 三菱欧蓝德换新 汉兰达都要小心了</v>
      </c>
      <c r="C737" s="2" t="s">
        <v>13</v>
      </c>
      <c r="D737" s="2" t="s">
        <v>12</v>
      </c>
      <c r="E737" s="2" t="s">
        <v>27</v>
      </c>
      <c r="F737" s="2" t="str">
        <f>HYPERLINK("http://bbs.12365auto.com/postcontent.aspx?tId=195446","http://bbs.12365auto.com/postcontent.aspx?tId=195446")</f>
        <v>http://bbs.12365auto.com/postcontent.aspx?tId=195446</v>
      </c>
      <c r="G737" s="2"/>
      <c r="H737" s="2" t="s">
        <v>1148</v>
      </c>
      <c r="I737" s="2" t="s">
        <v>15</v>
      </c>
      <c r="J737" s="2" t="s">
        <v>1145</v>
      </c>
      <c r="K737" s="2" t="s">
        <v>1149</v>
      </c>
      <c r="L737" s="2">
        <f t="shared" si="11"/>
        <v>150</v>
      </c>
    </row>
    <row r="738" spans="1:12" ht="25" customHeight="1">
      <c r="A738" s="2" t="s">
        <v>12</v>
      </c>
      <c r="B738" s="2" t="str">
        <f>HYPERLINK("http://bbs.12365auto.com/postcontent.aspx?tID=195446","懂车的人都买它 三菱欧蓝德换新 汉兰达都要小心了")</f>
        <v>懂车的人都买它 三菱欧蓝德换新 汉兰达都要小心了</v>
      </c>
      <c r="C738" s="2" t="s">
        <v>13</v>
      </c>
      <c r="D738" s="2" t="s">
        <v>12</v>
      </c>
      <c r="E738" s="2" t="s">
        <v>28</v>
      </c>
      <c r="F738" s="2" t="str">
        <f>HYPERLINK("http://bbs.12365auto.com/postcontent.aspx?tID=195446","http://bbs.12365auto.com/postcontent.aspx?tID=195446")</f>
        <v>http://bbs.12365auto.com/postcontent.aspx?tID=195446</v>
      </c>
      <c r="G738" s="2"/>
      <c r="H738" s="2" t="s">
        <v>1150</v>
      </c>
      <c r="I738" s="2" t="s">
        <v>15</v>
      </c>
      <c r="J738" s="2" t="s">
        <v>1145</v>
      </c>
      <c r="K738" s="2" t="s">
        <v>1149</v>
      </c>
      <c r="L738" s="2">
        <f t="shared" si="11"/>
        <v>150</v>
      </c>
    </row>
    <row r="739" spans="1:12" ht="25" customHeight="1">
      <c r="A739" s="2" t="s">
        <v>12</v>
      </c>
      <c r="B739" s="2" t="str">
        <f>HYPERLINK("http://m.12365auto.com/bbs/postcontent.aspx?tID=195444","三款汽油动力可选 大众发布Polo三厢版 今年夏天上市")</f>
        <v>三款汽油动力可选 大众发布Polo三厢版 今年夏天上市</v>
      </c>
      <c r="C739" s="2" t="s">
        <v>13</v>
      </c>
      <c r="D739" s="2" t="s">
        <v>23</v>
      </c>
      <c r="E739" s="2"/>
      <c r="F739" s="2" t="str">
        <f>HYPERLINK("http://m.12365auto.com/bbs/postcontent.aspx?tID=195444","http://m.12365auto.com/bbs/postcontent.aspx?tID=195444")</f>
        <v>http://m.12365auto.com/bbs/postcontent.aspx?tID=195444</v>
      </c>
      <c r="G739" s="2"/>
      <c r="H739" s="2" t="s">
        <v>1151</v>
      </c>
      <c r="I739" s="2" t="s">
        <v>15</v>
      </c>
      <c r="J739" s="2" t="s">
        <v>1145</v>
      </c>
      <c r="K739" s="2" t="s">
        <v>1152</v>
      </c>
      <c r="L739" s="2">
        <f t="shared" si="11"/>
        <v>150</v>
      </c>
    </row>
    <row r="740" spans="1:12" ht="25" customHeight="1">
      <c r="A740" s="2" t="s">
        <v>12</v>
      </c>
      <c r="B740" s="2" t="str">
        <f>HYPERLINK("http://m.12365auto.com/bbs/postcontent.aspx?tID=195445","2021款大众高尔夫GTE/GTD官图发布")</f>
        <v>2021款大众高尔夫GTE/GTD官图发布</v>
      </c>
      <c r="C740" s="2" t="s">
        <v>13</v>
      </c>
      <c r="D740" s="2" t="s">
        <v>23</v>
      </c>
      <c r="E740" s="2"/>
      <c r="F740" s="2" t="str">
        <f>HYPERLINK("http://m.12365auto.com/bbs/postcontent.aspx?tID=195445","http://m.12365auto.com/bbs/postcontent.aspx?tID=195445")</f>
        <v>http://m.12365auto.com/bbs/postcontent.aspx?tID=195445</v>
      </c>
      <c r="G740" s="2"/>
      <c r="H740" s="2" t="s">
        <v>1153</v>
      </c>
      <c r="I740" s="2" t="s">
        <v>15</v>
      </c>
      <c r="J740" s="2" t="s">
        <v>1145</v>
      </c>
      <c r="K740" s="2" t="s">
        <v>1152</v>
      </c>
      <c r="L740" s="2">
        <f t="shared" si="11"/>
        <v>150</v>
      </c>
    </row>
    <row r="741" spans="1:12" ht="25" customHeight="1">
      <c r="A741" s="2" t="s">
        <v>12</v>
      </c>
      <c r="B741" s="2" t="str">
        <f>HYPERLINK("http://bbs.12365auto.com/postcontent.aspx?tId=195445","2021款大众高尔夫GTE/GTD官图发布")</f>
        <v>2021款大众高尔夫GTE/GTD官图发布</v>
      </c>
      <c r="C741" s="2" t="s">
        <v>13</v>
      </c>
      <c r="D741" s="2" t="s">
        <v>12</v>
      </c>
      <c r="E741" s="2" t="s">
        <v>27</v>
      </c>
      <c r="F741" s="2" t="str">
        <f>HYPERLINK("http://bbs.12365auto.com/postcontent.aspx?tId=195445","http://bbs.12365auto.com/postcontent.aspx?tId=195445")</f>
        <v>http://bbs.12365auto.com/postcontent.aspx?tId=195445</v>
      </c>
      <c r="G741" s="2"/>
      <c r="H741" s="2" t="s">
        <v>1153</v>
      </c>
      <c r="I741" s="2" t="s">
        <v>15</v>
      </c>
      <c r="J741" s="2" t="s">
        <v>1145</v>
      </c>
      <c r="K741" s="2" t="s">
        <v>1152</v>
      </c>
      <c r="L741" s="2">
        <f t="shared" si="11"/>
        <v>150</v>
      </c>
    </row>
    <row r="742" spans="1:12" ht="25" customHeight="1">
      <c r="A742" s="2" t="s">
        <v>12</v>
      </c>
      <c r="B742" s="2" t="str">
        <f>HYPERLINK("http://bbs.12365auto.com/postcontent.aspx?tId=195444","三款汽油动力可选 大众发布Polo三厢版 今年夏天上市")</f>
        <v>三款汽油动力可选 大众发布Polo三厢版 今年夏天上市</v>
      </c>
      <c r="C742" s="2" t="s">
        <v>13</v>
      </c>
      <c r="D742" s="2" t="s">
        <v>12</v>
      </c>
      <c r="E742" s="2" t="s">
        <v>27</v>
      </c>
      <c r="F742" s="2" t="str">
        <f>HYPERLINK("http://bbs.12365auto.com/postcontent.aspx?tId=195444","http://bbs.12365auto.com/postcontent.aspx?tId=195444")</f>
        <v>http://bbs.12365auto.com/postcontent.aspx?tId=195444</v>
      </c>
      <c r="G742" s="2"/>
      <c r="H742" s="2" t="s">
        <v>1151</v>
      </c>
      <c r="I742" s="2" t="s">
        <v>15</v>
      </c>
      <c r="J742" s="2" t="s">
        <v>1145</v>
      </c>
      <c r="K742" s="2" t="s">
        <v>1152</v>
      </c>
      <c r="L742" s="2">
        <f t="shared" si="11"/>
        <v>150</v>
      </c>
    </row>
    <row r="743" spans="1:12" ht="25" customHeight="1">
      <c r="A743" s="2" t="s">
        <v>12</v>
      </c>
      <c r="B743" s="2" t="str">
        <f>HYPERLINK("http://bbs.12365auto.com/postcontent.aspx?tID=195444","三款汽油动力可选 大众发布Polo三厢版 今年夏天上市")</f>
        <v>三款汽油动力可选 大众发布Polo三厢版 今年夏天上市</v>
      </c>
      <c r="C743" s="2" t="s">
        <v>13</v>
      </c>
      <c r="D743" s="2" t="s">
        <v>12</v>
      </c>
      <c r="E743" s="2" t="s">
        <v>28</v>
      </c>
      <c r="F743" s="2" t="str">
        <f>HYPERLINK("http://bbs.12365auto.com/postcontent.aspx?tID=195444","http://bbs.12365auto.com/postcontent.aspx?tID=195444")</f>
        <v>http://bbs.12365auto.com/postcontent.aspx?tID=195444</v>
      </c>
      <c r="G743" s="2"/>
      <c r="H743" s="2" t="s">
        <v>1154</v>
      </c>
      <c r="I743" s="2" t="s">
        <v>15</v>
      </c>
      <c r="J743" s="2" t="s">
        <v>1145</v>
      </c>
      <c r="K743" s="2" t="s">
        <v>1152</v>
      </c>
      <c r="L743" s="2">
        <f t="shared" si="11"/>
        <v>150</v>
      </c>
    </row>
    <row r="744" spans="1:12" ht="25" customHeight="1">
      <c r="A744" s="2" t="s">
        <v>12</v>
      </c>
      <c r="B744" s="2" t="str">
        <f>HYPERLINK("http://www.12365auto.com/zlts/20200228/449145.shtml","长城炮尾气检测不合格 无法进行上牌登记")</f>
        <v>长城炮尾气检测不合格 无法进行上牌登记</v>
      </c>
      <c r="C744" s="2" t="s">
        <v>13</v>
      </c>
      <c r="D744" s="2" t="s">
        <v>12</v>
      </c>
      <c r="E744" s="2" t="s">
        <v>17</v>
      </c>
      <c r="F744" s="2" t="str">
        <f>HYPERLINK("http://www.12365auto.com/zlts/20200228/449145.shtml","http://www.12365auto.com/zlts/20200228/449145.shtml")</f>
        <v>http://www.12365auto.com/zlts/20200228/449145.shtml</v>
      </c>
      <c r="G744" s="2"/>
      <c r="H744" s="2" t="s">
        <v>1155</v>
      </c>
      <c r="I744" s="2" t="s">
        <v>19</v>
      </c>
      <c r="J744" s="2" t="s">
        <v>12</v>
      </c>
      <c r="K744" s="2" t="s">
        <v>1152</v>
      </c>
      <c r="L744" s="2">
        <f t="shared" si="11"/>
        <v>150</v>
      </c>
    </row>
    <row r="745" spans="1:12" ht="25" customHeight="1">
      <c r="A745" s="2" t="s">
        <v>12</v>
      </c>
      <c r="B745" s="2" t="str">
        <f>HYPERLINK("http://bbs.12365auto.com/postcontent.aspx?tID=195445","2021款大众高尔夫GTE/GTD官图发布")</f>
        <v>2021款大众高尔夫GTE/GTD官图发布</v>
      </c>
      <c r="C745" s="2" t="s">
        <v>13</v>
      </c>
      <c r="D745" s="2" t="s">
        <v>12</v>
      </c>
      <c r="E745" s="2" t="s">
        <v>28</v>
      </c>
      <c r="F745" s="2" t="str">
        <f>HYPERLINK("http://bbs.12365auto.com/postcontent.aspx?tID=195445","http://bbs.12365auto.com/postcontent.aspx?tID=195445")</f>
        <v>http://bbs.12365auto.com/postcontent.aspx?tID=195445</v>
      </c>
      <c r="G745" s="2"/>
      <c r="H745" s="2" t="s">
        <v>1156</v>
      </c>
      <c r="I745" s="2" t="s">
        <v>15</v>
      </c>
      <c r="J745" s="2" t="s">
        <v>1145</v>
      </c>
      <c r="K745" s="2" t="s">
        <v>1152</v>
      </c>
      <c r="L745" s="2">
        <f t="shared" si="11"/>
        <v>150</v>
      </c>
    </row>
    <row r="746" spans="1:12" ht="25" customHeight="1">
      <c r="A746" s="2" t="s">
        <v>12</v>
      </c>
      <c r="B746" s="2" t="str">
        <f>HYPERLINK("http://m.12365auto.com/bbs/postcontent.aspx?tID=195442","1月合资轿车销量排行榜，丰田卡罗拉销量逼近大众朗逸")</f>
        <v>1月合资轿车销量排行榜，丰田卡罗拉销量逼近大众朗逸</v>
      </c>
      <c r="C746" s="2" t="s">
        <v>13</v>
      </c>
      <c r="D746" s="2" t="s">
        <v>23</v>
      </c>
      <c r="E746" s="2"/>
      <c r="F746" s="2" t="str">
        <f>HYPERLINK("http://m.12365auto.com/bbs/postcontent.aspx?tID=195442","http://m.12365auto.com/bbs/postcontent.aspx?tID=195442")</f>
        <v>http://m.12365auto.com/bbs/postcontent.aspx?tID=195442</v>
      </c>
      <c r="G746" s="2"/>
      <c r="H746" s="2" t="s">
        <v>1157</v>
      </c>
      <c r="I746" s="2" t="s">
        <v>15</v>
      </c>
      <c r="J746" s="2" t="s">
        <v>1145</v>
      </c>
      <c r="K746" s="2" t="s">
        <v>1158</v>
      </c>
      <c r="L746" s="2">
        <f t="shared" si="11"/>
        <v>150</v>
      </c>
    </row>
    <row r="747" spans="1:12" ht="25" customHeight="1">
      <c r="A747" s="2" t="s">
        <v>12</v>
      </c>
      <c r="B747" s="2" t="str">
        <f>HYPERLINK("http://m.12365auto.com/bbs/postcontent.aspx?tID=195443","国产宝马iX3 要出口全球？")</f>
        <v>国产宝马iX3 要出口全球？</v>
      </c>
      <c r="C747" s="2" t="s">
        <v>13</v>
      </c>
      <c r="D747" s="2" t="s">
        <v>23</v>
      </c>
      <c r="E747" s="2"/>
      <c r="F747" s="2" t="str">
        <f>HYPERLINK("http://m.12365auto.com/bbs/postcontent.aspx?tID=195443","http://m.12365auto.com/bbs/postcontent.aspx?tID=195443")</f>
        <v>http://m.12365auto.com/bbs/postcontent.aspx?tID=195443</v>
      </c>
      <c r="G747" s="2"/>
      <c r="H747" s="2" t="s">
        <v>1159</v>
      </c>
      <c r="I747" s="2" t="s">
        <v>15</v>
      </c>
      <c r="J747" s="2" t="s">
        <v>1145</v>
      </c>
      <c r="K747" s="2" t="s">
        <v>1158</v>
      </c>
      <c r="L747" s="2">
        <f t="shared" si="11"/>
        <v>150</v>
      </c>
    </row>
    <row r="748" spans="1:12" ht="25" customHeight="1">
      <c r="A748" s="2" t="s">
        <v>12</v>
      </c>
      <c r="B748" s="2" t="str">
        <f>HYPERLINK("http://bbs.12365auto.com/postcontent.aspx?tId=195442","1月合资轿车销量排行榜，丰田卡罗拉销量逼近大众朗逸")</f>
        <v>1月合资轿车销量排行榜，丰田卡罗拉销量逼近大众朗逸</v>
      </c>
      <c r="C748" s="2" t="s">
        <v>13</v>
      </c>
      <c r="D748" s="2" t="s">
        <v>12</v>
      </c>
      <c r="E748" s="2" t="s">
        <v>27</v>
      </c>
      <c r="F748" s="2" t="str">
        <f>HYPERLINK("http://bbs.12365auto.com/postcontent.aspx?tId=195442","http://bbs.12365auto.com/postcontent.aspx?tId=195442")</f>
        <v>http://bbs.12365auto.com/postcontent.aspx?tId=195442</v>
      </c>
      <c r="G748" s="2"/>
      <c r="H748" s="2" t="s">
        <v>1157</v>
      </c>
      <c r="I748" s="2" t="s">
        <v>15</v>
      </c>
      <c r="J748" s="2" t="s">
        <v>1145</v>
      </c>
      <c r="K748" s="2" t="s">
        <v>1158</v>
      </c>
      <c r="L748" s="2">
        <f t="shared" si="11"/>
        <v>150</v>
      </c>
    </row>
    <row r="749" spans="1:12" ht="25" customHeight="1">
      <c r="A749" s="2" t="s">
        <v>12</v>
      </c>
      <c r="B749" s="2" t="str">
        <f>HYPERLINK("http://bbs.12365auto.com/postcontent.aspx?tId=195443","国产宝马iX3 要出口全球？")</f>
        <v>国产宝马iX3 要出口全球？</v>
      </c>
      <c r="C749" s="2" t="s">
        <v>13</v>
      </c>
      <c r="D749" s="2" t="s">
        <v>12</v>
      </c>
      <c r="E749" s="2" t="s">
        <v>27</v>
      </c>
      <c r="F749" s="2" t="str">
        <f>HYPERLINK("http://bbs.12365auto.com/postcontent.aspx?tId=195443","http://bbs.12365auto.com/postcontent.aspx?tId=195443")</f>
        <v>http://bbs.12365auto.com/postcontent.aspx?tId=195443</v>
      </c>
      <c r="G749" s="2"/>
      <c r="H749" s="2" t="s">
        <v>1159</v>
      </c>
      <c r="I749" s="2" t="s">
        <v>15</v>
      </c>
      <c r="J749" s="2" t="s">
        <v>1145</v>
      </c>
      <c r="K749" s="2" t="s">
        <v>1158</v>
      </c>
      <c r="L749" s="2">
        <f t="shared" si="11"/>
        <v>150</v>
      </c>
    </row>
    <row r="750" spans="1:12" ht="25" customHeight="1">
      <c r="A750" s="2" t="s">
        <v>12</v>
      </c>
      <c r="B750" s="2" t="str">
        <f>HYPERLINK("http://www.12365auto.com/zlts/20200228/449144.shtml","吉利远景X6制动系统有漏油的现象")</f>
        <v>吉利远景X6制动系统有漏油的现象</v>
      </c>
      <c r="C750" s="2" t="s">
        <v>13</v>
      </c>
      <c r="D750" s="2" t="s">
        <v>12</v>
      </c>
      <c r="E750" s="2" t="s">
        <v>17</v>
      </c>
      <c r="F750" s="2" t="str">
        <f>HYPERLINK("http://www.12365auto.com/zlts/20200228/449144.shtml","http://www.12365auto.com/zlts/20200228/449144.shtml")</f>
        <v>http://www.12365auto.com/zlts/20200228/449144.shtml</v>
      </c>
      <c r="G750" s="2"/>
      <c r="H750" s="2" t="s">
        <v>1160</v>
      </c>
      <c r="I750" s="2" t="s">
        <v>19</v>
      </c>
      <c r="J750" s="2" t="s">
        <v>12</v>
      </c>
      <c r="K750" s="2" t="s">
        <v>1158</v>
      </c>
      <c r="L750" s="2">
        <f t="shared" si="11"/>
        <v>150</v>
      </c>
    </row>
    <row r="751" spans="1:12" ht="25" customHeight="1">
      <c r="A751" s="2" t="s">
        <v>12</v>
      </c>
      <c r="B751" s="2" t="str">
        <f>HYPERLINK("http://bbs.12365auto.com/postcontent.aspx?tID=195443","国产宝马iX3 要出口全球？")</f>
        <v>国产宝马iX3 要出口全球？</v>
      </c>
      <c r="C751" s="2" t="s">
        <v>13</v>
      </c>
      <c r="D751" s="2" t="s">
        <v>12</v>
      </c>
      <c r="E751" s="2" t="s">
        <v>28</v>
      </c>
      <c r="F751" s="2" t="str">
        <f>HYPERLINK("http://bbs.12365auto.com/postcontent.aspx?tID=195443","http://bbs.12365auto.com/postcontent.aspx?tID=195443")</f>
        <v>http://bbs.12365auto.com/postcontent.aspx?tID=195443</v>
      </c>
      <c r="G751" s="2"/>
      <c r="H751" s="2" t="s">
        <v>1161</v>
      </c>
      <c r="I751" s="2" t="s">
        <v>15</v>
      </c>
      <c r="J751" s="2" t="s">
        <v>1145</v>
      </c>
      <c r="K751" s="2" t="s">
        <v>1158</v>
      </c>
      <c r="L751" s="2">
        <f t="shared" si="11"/>
        <v>150</v>
      </c>
    </row>
    <row r="752" spans="1:12" ht="25" customHeight="1">
      <c r="A752" s="2" t="s">
        <v>12</v>
      </c>
      <c r="B752" s="2" t="str">
        <f>HYPERLINK("http://bbs.12365auto.com/postcontent.aspx?tID=195442","1月合资轿车销量排行榜，丰田卡罗拉销量逼近大众朗逸")</f>
        <v>1月合资轿车销量排行榜，丰田卡罗拉销量逼近大众朗逸</v>
      </c>
      <c r="C752" s="2" t="s">
        <v>13</v>
      </c>
      <c r="D752" s="2" t="s">
        <v>12</v>
      </c>
      <c r="E752" s="2" t="s">
        <v>28</v>
      </c>
      <c r="F752" s="2" t="str">
        <f>HYPERLINK("http://bbs.12365auto.com/postcontent.aspx?tID=195442","http://bbs.12365auto.com/postcontent.aspx?tID=195442")</f>
        <v>http://bbs.12365auto.com/postcontent.aspx?tID=195442</v>
      </c>
      <c r="G752" s="2"/>
      <c r="H752" s="2" t="s">
        <v>1162</v>
      </c>
      <c r="I752" s="2" t="s">
        <v>15</v>
      </c>
      <c r="J752" s="2" t="s">
        <v>1145</v>
      </c>
      <c r="K752" s="2" t="s">
        <v>1158</v>
      </c>
      <c r="L752" s="2">
        <f t="shared" si="11"/>
        <v>150</v>
      </c>
    </row>
    <row r="753" spans="1:12" ht="25" customHeight="1">
      <c r="A753" s="2" t="s">
        <v>12</v>
      </c>
      <c r="B753" s="2" t="str">
        <f>HYPERLINK("http://bbs.12365auto.com/postcontent.aspx?tID=195441","精致小巧城市代步神车 3.98万起宝骏制造省钱")</f>
        <v>精致小巧城市代步神车 3.98万起宝骏制造省钱</v>
      </c>
      <c r="C753" s="2" t="s">
        <v>13</v>
      </c>
      <c r="D753" s="2" t="s">
        <v>12</v>
      </c>
      <c r="E753" s="2" t="s">
        <v>28</v>
      </c>
      <c r="F753" s="2" t="str">
        <f>HYPERLINK("http://bbs.12365auto.com/postcontent.aspx?tID=195441","http://bbs.12365auto.com/postcontent.aspx?tID=195441")</f>
        <v>http://bbs.12365auto.com/postcontent.aspx?tID=195441</v>
      </c>
      <c r="G753" s="2"/>
      <c r="H753" s="2" t="s">
        <v>1163</v>
      </c>
      <c r="I753" s="2" t="s">
        <v>15</v>
      </c>
      <c r="J753" s="2" t="s">
        <v>1145</v>
      </c>
      <c r="K753" s="2" t="s">
        <v>1164</v>
      </c>
      <c r="L753" s="2">
        <f t="shared" si="11"/>
        <v>150</v>
      </c>
    </row>
    <row r="754" spans="1:12" ht="25" customHeight="1">
      <c r="A754" s="2" t="s">
        <v>12</v>
      </c>
      <c r="B754" s="2" t="str">
        <f>HYPERLINK("http://bbs.12365auto.com/postcontent.aspx?tId=195441","精致小巧城市代步神车 3.98万起宝骏制造省钱")</f>
        <v>精致小巧城市代步神车 3.98万起宝骏制造省钱</v>
      </c>
      <c r="C754" s="2" t="s">
        <v>13</v>
      </c>
      <c r="D754" s="2" t="s">
        <v>12</v>
      </c>
      <c r="E754" s="2" t="s">
        <v>27</v>
      </c>
      <c r="F754" s="2" t="str">
        <f>HYPERLINK("http://bbs.12365auto.com/postcontent.aspx?tId=195441","http://bbs.12365auto.com/postcontent.aspx?tId=195441")</f>
        <v>http://bbs.12365auto.com/postcontent.aspx?tId=195441</v>
      </c>
      <c r="G754" s="2"/>
      <c r="H754" s="2" t="s">
        <v>1165</v>
      </c>
      <c r="I754" s="2" t="s">
        <v>15</v>
      </c>
      <c r="J754" s="2" t="s">
        <v>1145</v>
      </c>
      <c r="K754" s="2" t="s">
        <v>1164</v>
      </c>
      <c r="L754" s="2">
        <f t="shared" si="11"/>
        <v>150</v>
      </c>
    </row>
    <row r="755" spans="1:12" ht="25" customHeight="1">
      <c r="A755" s="2" t="s">
        <v>12</v>
      </c>
      <c r="B755" s="2" t="str">
        <f>HYPERLINK("http://bbs.12365auto.com/postcontent.aspx?tId=195439","想买车的别急 全新一代起亚要K5来了 有望今年9月上市！")</f>
        <v>想买车的别急 全新一代起亚要K5来了 有望今年9月上市！</v>
      </c>
      <c r="C755" s="2" t="s">
        <v>13</v>
      </c>
      <c r="D755" s="2" t="s">
        <v>12</v>
      </c>
      <c r="E755" s="2" t="s">
        <v>27</v>
      </c>
      <c r="F755" s="2" t="str">
        <f>HYPERLINK("http://bbs.12365auto.com/postcontent.aspx?tId=195439","http://bbs.12365auto.com/postcontent.aspx?tId=195439")</f>
        <v>http://bbs.12365auto.com/postcontent.aspx?tId=195439</v>
      </c>
      <c r="G755" s="2"/>
      <c r="H755" s="2" t="s">
        <v>1166</v>
      </c>
      <c r="I755" s="2" t="s">
        <v>15</v>
      </c>
      <c r="J755" s="2" t="s">
        <v>1145</v>
      </c>
      <c r="K755" s="2" t="s">
        <v>1167</v>
      </c>
      <c r="L755" s="2">
        <f t="shared" si="11"/>
        <v>150</v>
      </c>
    </row>
    <row r="756" spans="1:12" ht="25" customHeight="1">
      <c r="A756" s="2" t="s">
        <v>12</v>
      </c>
      <c r="B756" s="2" t="str">
        <f>HYPERLINK("http://bbs.12365auto.com/postcontent.aspx?tId=195440","退出太阳能电池业务，松下与特斯拉关系再次降温")</f>
        <v>退出太阳能电池业务，松下与特斯拉关系再次降温</v>
      </c>
      <c r="C756" s="2" t="s">
        <v>13</v>
      </c>
      <c r="D756" s="2" t="s">
        <v>12</v>
      </c>
      <c r="E756" s="2" t="s">
        <v>27</v>
      </c>
      <c r="F756" s="2" t="str">
        <f>HYPERLINK("http://bbs.12365auto.com/postcontent.aspx?tId=195440","http://bbs.12365auto.com/postcontent.aspx?tId=195440")</f>
        <v>http://bbs.12365auto.com/postcontent.aspx?tId=195440</v>
      </c>
      <c r="G756" s="2"/>
      <c r="H756" s="2" t="s">
        <v>1168</v>
      </c>
      <c r="I756" s="2" t="s">
        <v>15</v>
      </c>
      <c r="J756" s="2" t="s">
        <v>1145</v>
      </c>
      <c r="K756" s="2" t="s">
        <v>1167</v>
      </c>
      <c r="L756" s="2">
        <f t="shared" si="11"/>
        <v>150</v>
      </c>
    </row>
    <row r="757" spans="1:12" ht="25" customHeight="1">
      <c r="A757" s="2" t="s">
        <v>12</v>
      </c>
      <c r="B757" s="2" t="str">
        <f>HYPERLINK("http://m.12365auto.com/news/20200228/419792.shtml","净利润44亿元 宁德时代发布2019年财报")</f>
        <v>净利润44亿元 宁德时代发布2019年财报</v>
      </c>
      <c r="C757" s="2" t="s">
        <v>13</v>
      </c>
      <c r="D757" s="2" t="s">
        <v>12</v>
      </c>
      <c r="E757" s="2"/>
      <c r="F757" s="2" t="str">
        <f>HYPERLINK("http://m.12365auto.com/news/20200228/419792.shtml","http://m.12365auto.com/news/20200228/419792.shtml")</f>
        <v>http://m.12365auto.com/news/20200228/419792.shtml</v>
      </c>
      <c r="G757" s="2"/>
      <c r="H757" s="2" t="s">
        <v>1169</v>
      </c>
      <c r="I757" s="2" t="s">
        <v>19</v>
      </c>
      <c r="J757" s="2" t="s">
        <v>1170</v>
      </c>
      <c r="K757" s="2" t="s">
        <v>1167</v>
      </c>
      <c r="L757" s="2">
        <f t="shared" si="11"/>
        <v>150</v>
      </c>
    </row>
    <row r="758" spans="1:12" ht="25" customHeight="1">
      <c r="A758" s="2" t="s">
        <v>12</v>
      </c>
      <c r="B758" s="2" t="str">
        <f>HYPERLINK("http://bbs.12365auto.com/postcontent.aspx?tID=195440","退出太阳能电池业务，松下与特斯拉关系再次降温")</f>
        <v>退出太阳能电池业务，松下与特斯拉关系再次降温</v>
      </c>
      <c r="C758" s="2" t="s">
        <v>13</v>
      </c>
      <c r="D758" s="2" t="s">
        <v>12</v>
      </c>
      <c r="E758" s="2" t="s">
        <v>28</v>
      </c>
      <c r="F758" s="2" t="str">
        <f>HYPERLINK("http://bbs.12365auto.com/postcontent.aspx?tID=195440","http://bbs.12365auto.com/postcontent.aspx?tID=195440")</f>
        <v>http://bbs.12365auto.com/postcontent.aspx?tID=195440</v>
      </c>
      <c r="G758" s="2"/>
      <c r="H758" s="2" t="s">
        <v>1171</v>
      </c>
      <c r="I758" s="2" t="s">
        <v>15</v>
      </c>
      <c r="J758" s="2" t="s">
        <v>1145</v>
      </c>
      <c r="K758" s="2" t="s">
        <v>1167</v>
      </c>
      <c r="L758" s="2">
        <f t="shared" si="11"/>
        <v>150</v>
      </c>
    </row>
    <row r="759" spans="1:12" ht="25" customHeight="1">
      <c r="A759" s="2" t="s">
        <v>12</v>
      </c>
      <c r="B759" s="2" t="str">
        <f>HYPERLINK("http://bbs.12365auto.com/postcontent.aspx?tID=195439","想买车的别急 全新一代起亚要K5来了 有望今年9月上市！")</f>
        <v>想买车的别急 全新一代起亚要K5来了 有望今年9月上市！</v>
      </c>
      <c r="C759" s="2" t="s">
        <v>13</v>
      </c>
      <c r="D759" s="2" t="s">
        <v>12</v>
      </c>
      <c r="E759" s="2" t="s">
        <v>28</v>
      </c>
      <c r="F759" s="2" t="str">
        <f>HYPERLINK("http://bbs.12365auto.com/postcontent.aspx?tID=195439","http://bbs.12365auto.com/postcontent.aspx?tID=195439")</f>
        <v>http://bbs.12365auto.com/postcontent.aspx?tID=195439</v>
      </c>
      <c r="G759" s="2"/>
      <c r="H759" s="2" t="s">
        <v>1172</v>
      </c>
      <c r="I759" s="2" t="s">
        <v>15</v>
      </c>
      <c r="J759" s="2" t="s">
        <v>1145</v>
      </c>
      <c r="K759" s="2" t="s">
        <v>1167</v>
      </c>
      <c r="L759" s="2">
        <f t="shared" si="11"/>
        <v>150</v>
      </c>
    </row>
    <row r="760" spans="1:12" ht="25" customHeight="1">
      <c r="A760" s="2" t="s">
        <v>12</v>
      </c>
      <c r="B760" s="2" t="str">
        <f>HYPERLINK("http://www.12365auto.com/news/20200228/419792.shtml","净利润44亿元 宁德时代发布2019年财报")</f>
        <v>净利润44亿元 宁德时代发布2019年财报</v>
      </c>
      <c r="C760" s="2" t="s">
        <v>13</v>
      </c>
      <c r="D760" s="2" t="s">
        <v>12</v>
      </c>
      <c r="E760" s="2" t="s">
        <v>276</v>
      </c>
      <c r="F760" s="2" t="str">
        <f>HYPERLINK("http://www.12365auto.com/news/20200228/419792.shtml","http://www.12365auto.com/news/20200228/419792.shtml")</f>
        <v>http://www.12365auto.com/news/20200228/419792.shtml</v>
      </c>
      <c r="G760" s="2"/>
      <c r="H760" s="2" t="s">
        <v>1173</v>
      </c>
      <c r="I760" s="2" t="s">
        <v>15</v>
      </c>
      <c r="J760" s="2" t="s">
        <v>12</v>
      </c>
      <c r="K760" s="2" t="s">
        <v>1167</v>
      </c>
      <c r="L760" s="2">
        <f t="shared" si="11"/>
        <v>150</v>
      </c>
    </row>
    <row r="761" spans="1:12" ht="25" customHeight="1">
      <c r="A761" s="2" t="s">
        <v>12</v>
      </c>
      <c r="B761" s="2" t="str">
        <f>HYPERLINK("http://bbs.12365auto.com/postcontent.aspx?tId=195438","北京5.72万个新能源指标全部放出，摇号难度再次被刷新！")</f>
        <v>北京5.72万个新能源指标全部放出，摇号难度再次被刷新！</v>
      </c>
      <c r="C761" s="2" t="s">
        <v>13</v>
      </c>
      <c r="D761" s="2" t="s">
        <v>12</v>
      </c>
      <c r="E761" s="2" t="s">
        <v>27</v>
      </c>
      <c r="F761" s="2" t="str">
        <f>HYPERLINK("http://bbs.12365auto.com/postcontent.aspx?tId=195438","http://bbs.12365auto.com/postcontent.aspx?tId=195438")</f>
        <v>http://bbs.12365auto.com/postcontent.aspx?tId=195438</v>
      </c>
      <c r="G761" s="2"/>
      <c r="H761" s="2" t="s">
        <v>1174</v>
      </c>
      <c r="I761" s="2" t="s">
        <v>15</v>
      </c>
      <c r="J761" s="2" t="s">
        <v>1145</v>
      </c>
      <c r="K761" s="2" t="s">
        <v>1175</v>
      </c>
      <c r="L761" s="2">
        <f t="shared" si="11"/>
        <v>150</v>
      </c>
    </row>
    <row r="762" spans="1:12" ht="25" customHeight="1">
      <c r="A762" s="2" t="s">
        <v>12</v>
      </c>
      <c r="B762" s="2" t="str">
        <f>HYPERLINK("http://bbs.12365auto.com/postcontent.aspx?tID=195438","北京5.72万个新能源指标全部放出，摇号难度再次被刷新！")</f>
        <v>北京5.72万个新能源指标全部放出，摇号难度再次被刷新！</v>
      </c>
      <c r="C762" s="2" t="s">
        <v>13</v>
      </c>
      <c r="D762" s="2" t="s">
        <v>12</v>
      </c>
      <c r="E762" s="2" t="s">
        <v>28</v>
      </c>
      <c r="F762" s="2" t="str">
        <f>HYPERLINK("http://bbs.12365auto.com/postcontent.aspx?tID=195438","http://bbs.12365auto.com/postcontent.aspx?tID=195438")</f>
        <v>http://bbs.12365auto.com/postcontent.aspx?tID=195438</v>
      </c>
      <c r="G762" s="2"/>
      <c r="H762" s="2" t="s">
        <v>1176</v>
      </c>
      <c r="I762" s="2" t="s">
        <v>15</v>
      </c>
      <c r="J762" s="2" t="s">
        <v>1145</v>
      </c>
      <c r="K762" s="2" t="s">
        <v>1175</v>
      </c>
      <c r="L762" s="2">
        <f t="shared" si="11"/>
        <v>150</v>
      </c>
    </row>
    <row r="763" spans="1:12" ht="25" customHeight="1">
      <c r="A763" s="2" t="s">
        <v>12</v>
      </c>
      <c r="B763" s="2" t="str">
        <f>HYPERLINK("http://m.12365auto.com/xcdg/20200228/419791.shtml","低调个性奶爸车 开箱理想ONE 增程6座版")</f>
        <v>低调个性奶爸车 开箱理想ONE 增程6座版</v>
      </c>
      <c r="C763" s="2" t="s">
        <v>13</v>
      </c>
      <c r="D763" s="2" t="s">
        <v>12</v>
      </c>
      <c r="E763" s="2"/>
      <c r="F763" s="2" t="str">
        <f>HYPERLINK("http://m.12365auto.com/xcdg/20200228/419791.shtml","http://m.12365auto.com/xcdg/20200228/419791.shtml")</f>
        <v>http://m.12365auto.com/xcdg/20200228/419791.shtml</v>
      </c>
      <c r="G763" s="2"/>
      <c r="H763" s="2" t="s">
        <v>1177</v>
      </c>
      <c r="I763" s="2" t="s">
        <v>19</v>
      </c>
      <c r="J763" s="2" t="s">
        <v>297</v>
      </c>
      <c r="K763" s="2" t="s">
        <v>1175</v>
      </c>
      <c r="L763" s="2">
        <f t="shared" si="11"/>
        <v>150</v>
      </c>
    </row>
    <row r="764" spans="1:12" ht="25" customHeight="1">
      <c r="A764" s="2" t="s">
        <v>12</v>
      </c>
      <c r="B764" s="2" t="str">
        <f>HYPERLINK("http://m.12365auto.com/xcdg/20200228/419790.shtml","解读低配车 大众迈腾280TSI DSG 舒适型")</f>
        <v>解读低配车 大众迈腾280TSI DSG 舒适型</v>
      </c>
      <c r="C764" s="2" t="s">
        <v>13</v>
      </c>
      <c r="D764" s="2" t="s">
        <v>12</v>
      </c>
      <c r="E764" s="2"/>
      <c r="F764" s="2" t="str">
        <f>HYPERLINK("http://m.12365auto.com/xcdg/20200228/419790.shtml","http://m.12365auto.com/xcdg/20200228/419790.shtml")</f>
        <v>http://m.12365auto.com/xcdg/20200228/419790.shtml</v>
      </c>
      <c r="G764" s="2"/>
      <c r="H764" s="2" t="s">
        <v>1178</v>
      </c>
      <c r="I764" s="2" t="s">
        <v>19</v>
      </c>
      <c r="J764" s="2" t="s">
        <v>1179</v>
      </c>
      <c r="K764" s="2" t="s">
        <v>1180</v>
      </c>
      <c r="L764" s="2">
        <f t="shared" si="11"/>
        <v>150</v>
      </c>
    </row>
    <row r="765" spans="1:12" ht="25" customHeight="1">
      <c r="A765" s="2" t="s">
        <v>12</v>
      </c>
      <c r="B765" s="2" t="str">
        <f>HYPERLINK("http://m.12365auto.com/news/20200228/419788.shtml","穆迪：预计2020年全球汽车销量下降2.5%")</f>
        <v>穆迪：预计2020年全球汽车销量下降2.5%</v>
      </c>
      <c r="C765" s="2" t="s">
        <v>13</v>
      </c>
      <c r="D765" s="2" t="s">
        <v>12</v>
      </c>
      <c r="E765" s="2"/>
      <c r="F765" s="2" t="str">
        <f>HYPERLINK("http://m.12365auto.com/news/20200228/419788.shtml","http://m.12365auto.com/news/20200228/419788.shtml")</f>
        <v>http://m.12365auto.com/news/20200228/419788.shtml</v>
      </c>
      <c r="G765" s="2"/>
      <c r="H765" s="2" t="s">
        <v>1181</v>
      </c>
      <c r="I765" s="2" t="s">
        <v>19</v>
      </c>
      <c r="J765" s="2" t="s">
        <v>274</v>
      </c>
      <c r="K765" s="2" t="s">
        <v>1182</v>
      </c>
      <c r="L765" s="2">
        <f t="shared" si="11"/>
        <v>150</v>
      </c>
    </row>
    <row r="766" spans="1:12" ht="25" customHeight="1">
      <c r="A766" s="2" t="s">
        <v>12</v>
      </c>
      <c r="B766" s="2" t="str">
        <f>HYPERLINK("http://www.12365auto.com/news/20200228/419788.shtml","穆迪：预计2020年全球汽车销量下降2.5%")</f>
        <v>穆迪：预计2020年全球汽车销量下降2.5%</v>
      </c>
      <c r="C766" s="2" t="s">
        <v>13</v>
      </c>
      <c r="D766" s="2" t="s">
        <v>12</v>
      </c>
      <c r="E766" s="2" t="s">
        <v>276</v>
      </c>
      <c r="F766" s="2" t="str">
        <f>HYPERLINK("http://www.12365auto.com/news/20200228/419788.shtml","http://www.12365auto.com/news/20200228/419788.shtml")</f>
        <v>http://www.12365auto.com/news/20200228/419788.shtml</v>
      </c>
      <c r="G766" s="2"/>
      <c r="H766" s="2" t="s">
        <v>1183</v>
      </c>
      <c r="I766" s="2" t="s">
        <v>15</v>
      </c>
      <c r="J766" s="2" t="s">
        <v>12</v>
      </c>
      <c r="K766" s="2" t="s">
        <v>1182</v>
      </c>
      <c r="L766" s="2">
        <f t="shared" si="11"/>
        <v>150</v>
      </c>
    </row>
    <row r="767" spans="1:12" ht="25" customHeight="1">
      <c r="A767" s="2" t="s">
        <v>12</v>
      </c>
      <c r="B767" s="2" t="str">
        <f>HYPERLINK("http://m.12365auto.com/news/20200228/419787.shtml","一汽丰田计划投建20万产能新能源车工厂")</f>
        <v>一汽丰田计划投建20万产能新能源车工厂</v>
      </c>
      <c r="C767" s="2" t="s">
        <v>13</v>
      </c>
      <c r="D767" s="2" t="s">
        <v>12</v>
      </c>
      <c r="E767" s="2"/>
      <c r="F767" s="2" t="str">
        <f>HYPERLINK("http://m.12365auto.com/news/20200228/419787.shtml","http://m.12365auto.com/news/20200228/419787.shtml")</f>
        <v>http://m.12365auto.com/news/20200228/419787.shtml</v>
      </c>
      <c r="G767" s="2"/>
      <c r="H767" s="2" t="s">
        <v>1184</v>
      </c>
      <c r="I767" s="2" t="s">
        <v>19</v>
      </c>
      <c r="J767" s="2" t="s">
        <v>1170</v>
      </c>
      <c r="K767" s="2" t="s">
        <v>1185</v>
      </c>
      <c r="L767" s="2">
        <f t="shared" si="11"/>
        <v>150</v>
      </c>
    </row>
    <row r="768" spans="1:12" ht="25" customHeight="1">
      <c r="A768" s="2" t="s">
        <v>12</v>
      </c>
      <c r="B768" s="2" t="str">
        <f>HYPERLINK("http://www.12365auto.com/news/20200228/419787.shtml","一汽丰田计划投建20万产能新能源车工厂")</f>
        <v>一汽丰田计划投建20万产能新能源车工厂</v>
      </c>
      <c r="C768" s="2" t="s">
        <v>13</v>
      </c>
      <c r="D768" s="2" t="s">
        <v>12</v>
      </c>
      <c r="E768" s="2" t="s">
        <v>276</v>
      </c>
      <c r="F768" s="2" t="str">
        <f>HYPERLINK("http://www.12365auto.com/news/20200228/419787.shtml","http://www.12365auto.com/news/20200228/419787.shtml")</f>
        <v>http://www.12365auto.com/news/20200228/419787.shtml</v>
      </c>
      <c r="G768" s="2"/>
      <c r="H768" s="2" t="s">
        <v>1186</v>
      </c>
      <c r="I768" s="2" t="s">
        <v>15</v>
      </c>
      <c r="J768" s="2" t="s">
        <v>12</v>
      </c>
      <c r="K768" s="2" t="s">
        <v>1185</v>
      </c>
      <c r="L768" s="2">
        <f t="shared" si="11"/>
        <v>150</v>
      </c>
    </row>
    <row r="769" spans="1:12" ht="25" customHeight="1">
      <c r="A769" s="2" t="s">
        <v>12</v>
      </c>
      <c r="B769" s="2" t="str">
        <f>HYPERLINK("http://m.12365auto.com/news/20200228/419786.shtml","中国公司进前十 美国发布自动驾驶报告")</f>
        <v>中国公司进前十 美国发布自动驾驶报告</v>
      </c>
      <c r="C769" s="2" t="s">
        <v>13</v>
      </c>
      <c r="D769" s="2" t="s">
        <v>12</v>
      </c>
      <c r="E769" s="2"/>
      <c r="F769" s="2" t="str">
        <f>HYPERLINK("http://m.12365auto.com/news/20200228/419786.shtml","http://m.12365auto.com/news/20200228/419786.shtml")</f>
        <v>http://m.12365auto.com/news/20200228/419786.shtml</v>
      </c>
      <c r="G769" s="2"/>
      <c r="H769" s="2" t="s">
        <v>1187</v>
      </c>
      <c r="I769" s="2" t="s">
        <v>19</v>
      </c>
      <c r="J769" s="2" t="s">
        <v>1188</v>
      </c>
      <c r="K769" s="2" t="s">
        <v>1189</v>
      </c>
      <c r="L769" s="2">
        <f t="shared" si="11"/>
        <v>150</v>
      </c>
    </row>
    <row r="770" spans="1:12" ht="25" customHeight="1">
      <c r="A770" s="2" t="s">
        <v>12</v>
      </c>
      <c r="B770" s="2" t="str">
        <f>HYPERLINK("http://www.12365auto.com/news/20200228/419786.shtml","中国公司进前十 美国发布自动驾驶报告")</f>
        <v>中国公司进前十 美国发布自动驾驶报告</v>
      </c>
      <c r="C770" s="2" t="s">
        <v>13</v>
      </c>
      <c r="D770" s="2" t="s">
        <v>12</v>
      </c>
      <c r="E770" s="2" t="s">
        <v>276</v>
      </c>
      <c r="F770" s="2" t="str">
        <f>HYPERLINK("http://www.12365auto.com/news/20200228/419786.shtml","http://www.12365auto.com/news/20200228/419786.shtml")</f>
        <v>http://www.12365auto.com/news/20200228/419786.shtml</v>
      </c>
      <c r="G770" s="2"/>
      <c r="H770" s="2" t="s">
        <v>1190</v>
      </c>
      <c r="I770" s="2" t="s">
        <v>15</v>
      </c>
      <c r="J770" s="2" t="s">
        <v>12</v>
      </c>
      <c r="K770" s="2" t="s">
        <v>1189</v>
      </c>
      <c r="L770" s="2">
        <f t="shared" si="11"/>
        <v>150</v>
      </c>
    </row>
    <row r="771" spans="1:12" ht="25" customHeight="1">
      <c r="A771" s="2" t="s">
        <v>12</v>
      </c>
      <c r="B771" s="2" t="str">
        <f>HYPERLINK("http://bbs.12365auto.com/postcontent.aspx?tID=195437","奔驰 E级W207改装WALD大包围")</f>
        <v>奔驰 E级W207改装WALD大包围</v>
      </c>
      <c r="C771" s="2" t="s">
        <v>13</v>
      </c>
      <c r="D771" s="2" t="s">
        <v>12</v>
      </c>
      <c r="E771" s="2" t="s">
        <v>214</v>
      </c>
      <c r="F771" s="2" t="str">
        <f>HYPERLINK("http://bbs.12365auto.com/postcontent.aspx?tID=195437","http://bbs.12365auto.com/postcontent.aspx?tID=195437")</f>
        <v>http://bbs.12365auto.com/postcontent.aspx?tID=195437</v>
      </c>
      <c r="G771" s="2"/>
      <c r="H771" s="2" t="s">
        <v>1191</v>
      </c>
      <c r="I771" s="2" t="s">
        <v>15</v>
      </c>
      <c r="J771" s="2" t="s">
        <v>145</v>
      </c>
      <c r="K771" s="2" t="s">
        <v>1189</v>
      </c>
      <c r="L771" s="2">
        <f t="shared" ref="L771:L834" si="12">LEN(H771)</f>
        <v>18</v>
      </c>
    </row>
    <row r="772" spans="1:12" ht="25" customHeight="1">
      <c r="A772" s="2" t="s">
        <v>12</v>
      </c>
      <c r="B772" s="2" t="str">
        <f>HYPERLINK("http://m.12365auto.com/news/20200228/419785.shtml","乘联会：2月前三周乘用车销量下降89%")</f>
        <v>乘联会：2月前三周乘用车销量下降89%</v>
      </c>
      <c r="C772" s="2" t="s">
        <v>13</v>
      </c>
      <c r="D772" s="2" t="s">
        <v>12</v>
      </c>
      <c r="E772" s="2"/>
      <c r="F772" s="2" t="str">
        <f>HYPERLINK("http://m.12365auto.com/news/20200228/419785.shtml","http://m.12365auto.com/news/20200228/419785.shtml")</f>
        <v>http://m.12365auto.com/news/20200228/419785.shtml</v>
      </c>
      <c r="G772" s="2"/>
      <c r="H772" s="2" t="s">
        <v>1192</v>
      </c>
      <c r="I772" s="2" t="s">
        <v>19</v>
      </c>
      <c r="J772" s="2" t="s">
        <v>274</v>
      </c>
      <c r="K772" s="2" t="s">
        <v>1193</v>
      </c>
      <c r="L772" s="2">
        <f t="shared" si="12"/>
        <v>150</v>
      </c>
    </row>
    <row r="773" spans="1:12" ht="25" customHeight="1">
      <c r="A773" s="2" t="s">
        <v>12</v>
      </c>
      <c r="B773" s="2" t="str">
        <f>HYPERLINK("http://www.12365auto.com/zlts/20200228/449141.shtml","北京BJ20车顶漏水存在严重安全隐患")</f>
        <v>北京BJ20车顶漏水存在严重安全隐患</v>
      </c>
      <c r="C773" s="2" t="s">
        <v>13</v>
      </c>
      <c r="D773" s="2" t="s">
        <v>12</v>
      </c>
      <c r="E773" s="2" t="s">
        <v>17</v>
      </c>
      <c r="F773" s="2" t="str">
        <f>HYPERLINK("http://www.12365auto.com/zlts/20200228/449141.shtml","http://www.12365auto.com/zlts/20200228/449141.shtml")</f>
        <v>http://www.12365auto.com/zlts/20200228/449141.shtml</v>
      </c>
      <c r="G773" s="2"/>
      <c r="H773" s="2" t="s">
        <v>1194</v>
      </c>
      <c r="I773" s="2" t="s">
        <v>19</v>
      </c>
      <c r="J773" s="2" t="s">
        <v>12</v>
      </c>
      <c r="K773" s="2" t="s">
        <v>1193</v>
      </c>
      <c r="L773" s="2">
        <f t="shared" si="12"/>
        <v>150</v>
      </c>
    </row>
    <row r="774" spans="1:12" ht="25" customHeight="1">
      <c r="A774" s="2" t="s">
        <v>12</v>
      </c>
      <c r="B774" s="2" t="str">
        <f>HYPERLINK("http://www.12365auto.com/zlts/20200228/449140.shtml","捷途X70发动机渗油希望尽快得到处理")</f>
        <v>捷途X70发动机渗油希望尽快得到处理</v>
      </c>
      <c r="C774" s="2" t="s">
        <v>13</v>
      </c>
      <c r="D774" s="2" t="s">
        <v>12</v>
      </c>
      <c r="E774" s="2" t="s">
        <v>17</v>
      </c>
      <c r="F774" s="2" t="str">
        <f>HYPERLINK("http://www.12365auto.com/zlts/20200228/449140.shtml","http://www.12365auto.com/zlts/20200228/449140.shtml")</f>
        <v>http://www.12365auto.com/zlts/20200228/449140.shtml</v>
      </c>
      <c r="G774" s="2"/>
      <c r="H774" s="2" t="s">
        <v>1195</v>
      </c>
      <c r="I774" s="2" t="s">
        <v>19</v>
      </c>
      <c r="J774" s="2" t="s">
        <v>12</v>
      </c>
      <c r="K774" s="2" t="s">
        <v>1193</v>
      </c>
      <c r="L774" s="2">
        <f t="shared" si="12"/>
        <v>150</v>
      </c>
    </row>
    <row r="775" spans="1:12" ht="25" customHeight="1">
      <c r="A775" s="2" t="s">
        <v>12</v>
      </c>
      <c r="B775" s="2" t="str">
        <f>HYPERLINK("http://m.12365auto.com/news/20200228/419784.shtml","2020年1月国内热销SUV/轿车/MPV排行榜")</f>
        <v>2020年1月国内热销SUV/轿车/MPV排行榜</v>
      </c>
      <c r="C775" s="2" t="s">
        <v>13</v>
      </c>
      <c r="D775" s="2" t="s">
        <v>12</v>
      </c>
      <c r="E775" s="2"/>
      <c r="F775" s="2" t="str">
        <f>HYPERLINK("http://m.12365auto.com/news/20200228/419784.shtml","http://m.12365auto.com/news/20200228/419784.shtml")</f>
        <v>http://m.12365auto.com/news/20200228/419784.shtml</v>
      </c>
      <c r="G775" s="2"/>
      <c r="H775" s="2" t="s">
        <v>1196</v>
      </c>
      <c r="I775" s="2" t="s">
        <v>19</v>
      </c>
      <c r="J775" s="2" t="s">
        <v>1197</v>
      </c>
      <c r="K775" s="2" t="s">
        <v>1193</v>
      </c>
      <c r="L775" s="2">
        <f t="shared" si="12"/>
        <v>150</v>
      </c>
    </row>
    <row r="776" spans="1:12" ht="25" customHeight="1">
      <c r="A776" s="2" t="s">
        <v>12</v>
      </c>
      <c r="B776" s="2" t="str">
        <f>HYPERLINK("http://www.12365auto.com/news/20200228/419785.shtml","乘联会：2月前三周乘用车销量下降89%")</f>
        <v>乘联会：2月前三周乘用车销量下降89%</v>
      </c>
      <c r="C776" s="2" t="s">
        <v>13</v>
      </c>
      <c r="D776" s="2" t="s">
        <v>12</v>
      </c>
      <c r="E776" s="2" t="s">
        <v>276</v>
      </c>
      <c r="F776" s="2" t="str">
        <f>HYPERLINK("http://www.12365auto.com/news/20200228/419785.shtml","http://www.12365auto.com/news/20200228/419785.shtml")</f>
        <v>http://www.12365auto.com/news/20200228/419785.shtml</v>
      </c>
      <c r="G776" s="2"/>
      <c r="H776" s="2" t="s">
        <v>1198</v>
      </c>
      <c r="I776" s="2" t="s">
        <v>15</v>
      </c>
      <c r="J776" s="2" t="s">
        <v>12</v>
      </c>
      <c r="K776" s="2" t="s">
        <v>1193</v>
      </c>
      <c r="L776" s="2">
        <f t="shared" si="12"/>
        <v>150</v>
      </c>
    </row>
    <row r="777" spans="1:12" ht="25" customHeight="1">
      <c r="A777" s="2" t="s">
        <v>12</v>
      </c>
      <c r="B777" s="2" t="str">
        <f>HYPERLINK("http://www.12365auto.com/news/20200228/419784.shtml","2020年1月国内热销SUV/轿车/MPV排行榜")</f>
        <v>2020年1月国内热销SUV/轿车/MPV排行榜</v>
      </c>
      <c r="C777" s="2" t="s">
        <v>13</v>
      </c>
      <c r="D777" s="2" t="s">
        <v>12</v>
      </c>
      <c r="E777" s="2" t="s">
        <v>276</v>
      </c>
      <c r="F777" s="2" t="str">
        <f>HYPERLINK("http://www.12365auto.com/news/20200228/419784.shtml","http://www.12365auto.com/news/20200228/419784.shtml")</f>
        <v>http://www.12365auto.com/news/20200228/419784.shtml</v>
      </c>
      <c r="G777" s="2"/>
      <c r="H777" s="2" t="s">
        <v>1199</v>
      </c>
      <c r="I777" s="2" t="s">
        <v>15</v>
      </c>
      <c r="J777" s="2" t="s">
        <v>12</v>
      </c>
      <c r="K777" s="2" t="s">
        <v>1193</v>
      </c>
      <c r="L777" s="2">
        <f t="shared" si="12"/>
        <v>150</v>
      </c>
    </row>
    <row r="778" spans="1:12" ht="25" customHeight="1">
      <c r="A778" s="2" t="s">
        <v>12</v>
      </c>
      <c r="B778" s="2" t="str">
        <f>HYPERLINK("http://www.12365auto.com/news/20200228/419783.shtml","福特汽车计划削减50亿美元保修成本")</f>
        <v>福特汽车计划削减50亿美元保修成本</v>
      </c>
      <c r="C778" s="2" t="s">
        <v>13</v>
      </c>
      <c r="D778" s="2" t="s">
        <v>12</v>
      </c>
      <c r="E778" s="2" t="s">
        <v>276</v>
      </c>
      <c r="F778" s="2" t="str">
        <f>HYPERLINK("http://www.12365auto.com/news/20200228/419783.shtml","http://www.12365auto.com/news/20200228/419783.shtml")</f>
        <v>http://www.12365auto.com/news/20200228/419783.shtml</v>
      </c>
      <c r="G778" s="2"/>
      <c r="H778" s="2" t="s">
        <v>1200</v>
      </c>
      <c r="I778" s="2" t="s">
        <v>15</v>
      </c>
      <c r="J778" s="2" t="s">
        <v>12</v>
      </c>
      <c r="K778" s="2" t="s">
        <v>1201</v>
      </c>
      <c r="L778" s="2">
        <f t="shared" si="12"/>
        <v>150</v>
      </c>
    </row>
    <row r="779" spans="1:12" ht="25" customHeight="1">
      <c r="A779" s="2" t="s">
        <v>12</v>
      </c>
      <c r="B779" s="2" t="str">
        <f>HYPERLINK("http://www.12365auto.com/news/20200228/419782.shtml","华晨宝马第三百万辆车下线 新里程碑")</f>
        <v>华晨宝马第三百万辆车下线 新里程碑</v>
      </c>
      <c r="C779" s="2" t="s">
        <v>13</v>
      </c>
      <c r="D779" s="2" t="s">
        <v>12</v>
      </c>
      <c r="E779" s="2" t="s">
        <v>276</v>
      </c>
      <c r="F779" s="2" t="str">
        <f>HYPERLINK("http://www.12365auto.com/news/20200228/419782.shtml","http://www.12365auto.com/news/20200228/419782.shtml")</f>
        <v>http://www.12365auto.com/news/20200228/419782.shtml</v>
      </c>
      <c r="G779" s="2"/>
      <c r="H779" s="2" t="s">
        <v>1202</v>
      </c>
      <c r="I779" s="2" t="s">
        <v>15</v>
      </c>
      <c r="J779" s="2" t="s">
        <v>12</v>
      </c>
      <c r="K779" s="2" t="s">
        <v>1203</v>
      </c>
      <c r="L779" s="2">
        <f t="shared" si="12"/>
        <v>150</v>
      </c>
    </row>
    <row r="780" spans="1:12" ht="25" customHeight="1">
      <c r="A780" s="2" t="s">
        <v>12</v>
      </c>
      <c r="B780" s="2" t="str">
        <f>HYPERLINK("http://m.12365auto.com/xcdg/20200228/419781.shtml","新雷诺塔利斯曼官图发布 颇具法式风情")</f>
        <v>新雷诺塔利斯曼官图发布 颇具法式风情</v>
      </c>
      <c r="C780" s="2" t="s">
        <v>13</v>
      </c>
      <c r="D780" s="2" t="s">
        <v>12</v>
      </c>
      <c r="E780" s="2"/>
      <c r="F780" s="2" t="str">
        <f>HYPERLINK("http://m.12365auto.com/xcdg/20200228/419781.shtml","http://m.12365auto.com/xcdg/20200228/419781.shtml")</f>
        <v>http://m.12365auto.com/xcdg/20200228/419781.shtml</v>
      </c>
      <c r="G780" s="2"/>
      <c r="H780" s="2" t="s">
        <v>1204</v>
      </c>
      <c r="I780" s="2" t="s">
        <v>19</v>
      </c>
      <c r="J780" s="2" t="s">
        <v>1205</v>
      </c>
      <c r="K780" s="2" t="s">
        <v>1206</v>
      </c>
      <c r="L780" s="2">
        <f t="shared" si="12"/>
        <v>150</v>
      </c>
    </row>
    <row r="781" spans="1:12" ht="25" customHeight="1">
      <c r="A781" s="2" t="s">
        <v>12</v>
      </c>
      <c r="B781" s="2" t="str">
        <f>HYPERLINK("http://www.12365auto.com/xcdg/20200228/419781.shtml","新雷诺塔利斯曼官图发布 颇具法式风情")</f>
        <v>新雷诺塔利斯曼官图发布 颇具法式风情</v>
      </c>
      <c r="C781" s="2" t="s">
        <v>13</v>
      </c>
      <c r="D781" s="2" t="s">
        <v>12</v>
      </c>
      <c r="E781" s="2" t="s">
        <v>216</v>
      </c>
      <c r="F781" s="2" t="str">
        <f>HYPERLINK("http://www.12365auto.com/xcdg/20200228/419781.shtml","http://www.12365auto.com/xcdg/20200228/419781.shtml")</f>
        <v>http://www.12365auto.com/xcdg/20200228/419781.shtml</v>
      </c>
      <c r="G781" s="2"/>
      <c r="H781" s="2" t="s">
        <v>1207</v>
      </c>
      <c r="I781" s="2" t="s">
        <v>15</v>
      </c>
      <c r="J781" s="2" t="s">
        <v>12</v>
      </c>
      <c r="K781" s="2" t="s">
        <v>1206</v>
      </c>
      <c r="L781" s="2">
        <f t="shared" si="12"/>
        <v>150</v>
      </c>
    </row>
    <row r="782" spans="1:12" ht="25" customHeight="1">
      <c r="A782" s="2" t="s">
        <v>12</v>
      </c>
      <c r="B782" s="2" t="str">
        <f>HYPERLINK("http://m.12365auto.com/xcdg/20200228/419780.shtml","全新一代福特F150谍照 将推出混动版本")</f>
        <v>全新一代福特F150谍照 将推出混动版本</v>
      </c>
      <c r="C782" s="2" t="s">
        <v>13</v>
      </c>
      <c r="D782" s="2" t="s">
        <v>12</v>
      </c>
      <c r="E782" s="2"/>
      <c r="F782" s="2" t="str">
        <f>HYPERLINK("http://m.12365auto.com/xcdg/20200228/419780.shtml","http://m.12365auto.com/xcdg/20200228/419780.shtml")</f>
        <v>http://m.12365auto.com/xcdg/20200228/419780.shtml</v>
      </c>
      <c r="G782" s="2"/>
      <c r="H782" s="2" t="s">
        <v>1208</v>
      </c>
      <c r="I782" s="2" t="s">
        <v>19</v>
      </c>
      <c r="J782" s="2" t="s">
        <v>751</v>
      </c>
      <c r="K782" s="2" t="s">
        <v>1209</v>
      </c>
      <c r="L782" s="2">
        <f t="shared" si="12"/>
        <v>150</v>
      </c>
    </row>
    <row r="783" spans="1:12" ht="25" customHeight="1">
      <c r="A783" s="2" t="s">
        <v>12</v>
      </c>
      <c r="B783" s="2" t="str">
        <f>HYPERLINK("http://www.12365auto.com/xcdg/20200228/419780.shtml","全新一代福特F150谍照 将推出混动版本")</f>
        <v>全新一代福特F150谍照 将推出混动版本</v>
      </c>
      <c r="C783" s="2" t="s">
        <v>13</v>
      </c>
      <c r="D783" s="2" t="s">
        <v>12</v>
      </c>
      <c r="E783" s="2" t="s">
        <v>224</v>
      </c>
      <c r="F783" s="2" t="str">
        <f>HYPERLINK("http://www.12365auto.com/xcdg/20200228/419780.shtml","http://www.12365auto.com/xcdg/20200228/419780.shtml")</f>
        <v>http://www.12365auto.com/xcdg/20200228/419780.shtml</v>
      </c>
      <c r="G783" s="2"/>
      <c r="H783" s="2" t="s">
        <v>1210</v>
      </c>
      <c r="I783" s="2" t="s">
        <v>15</v>
      </c>
      <c r="J783" s="2" t="s">
        <v>12</v>
      </c>
      <c r="K783" s="2" t="s">
        <v>1209</v>
      </c>
      <c r="L783" s="2">
        <f t="shared" si="12"/>
        <v>150</v>
      </c>
    </row>
    <row r="784" spans="1:12" ht="25" customHeight="1">
      <c r="A784" s="2" t="s">
        <v>12</v>
      </c>
      <c r="B784" s="2" t="str">
        <f>HYPERLINK("http://m.12365auto.com/xcdg/20200228/419779.shtml","现代45概念车量产版谍照 采用最新设计")</f>
        <v>现代45概念车量产版谍照 采用最新设计</v>
      </c>
      <c r="C784" s="2" t="s">
        <v>13</v>
      </c>
      <c r="D784" s="2" t="s">
        <v>12</v>
      </c>
      <c r="E784" s="2"/>
      <c r="F784" s="2" t="str">
        <f>HYPERLINK("http://m.12365auto.com/xcdg/20200228/419779.shtml","http://m.12365auto.com/xcdg/20200228/419779.shtml")</f>
        <v>http://m.12365auto.com/xcdg/20200228/419779.shtml</v>
      </c>
      <c r="G784" s="2"/>
      <c r="H784" s="2" t="s">
        <v>1211</v>
      </c>
      <c r="I784" s="2" t="s">
        <v>19</v>
      </c>
      <c r="J784" s="2" t="s">
        <v>751</v>
      </c>
      <c r="K784" s="2" t="s">
        <v>1212</v>
      </c>
      <c r="L784" s="2">
        <f t="shared" si="12"/>
        <v>150</v>
      </c>
    </row>
    <row r="785" spans="1:12" ht="25" customHeight="1">
      <c r="A785" s="2" t="s">
        <v>12</v>
      </c>
      <c r="B785" s="2" t="str">
        <f>HYPERLINK("http://www.12365auto.com/xcdg/20200228/419779.shtml","现代45概念车量产版谍照 采用最新设计")</f>
        <v>现代45概念车量产版谍照 采用最新设计</v>
      </c>
      <c r="C785" s="2" t="s">
        <v>13</v>
      </c>
      <c r="D785" s="2" t="s">
        <v>12</v>
      </c>
      <c r="E785" s="2" t="s">
        <v>224</v>
      </c>
      <c r="F785" s="2" t="str">
        <f>HYPERLINK("http://www.12365auto.com/xcdg/20200228/419779.shtml","http://www.12365auto.com/xcdg/20200228/419779.shtml")</f>
        <v>http://www.12365auto.com/xcdg/20200228/419779.shtml</v>
      </c>
      <c r="G785" s="2"/>
      <c r="H785" s="2" t="s">
        <v>1213</v>
      </c>
      <c r="I785" s="2" t="s">
        <v>15</v>
      </c>
      <c r="J785" s="2" t="s">
        <v>12</v>
      </c>
      <c r="K785" s="2" t="s">
        <v>1212</v>
      </c>
      <c r="L785" s="2">
        <f t="shared" si="12"/>
        <v>150</v>
      </c>
    </row>
    <row r="786" spans="1:12" ht="25" customHeight="1">
      <c r="A786" s="2" t="s">
        <v>12</v>
      </c>
      <c r="B786" s="2" t="str">
        <f>HYPERLINK("http://www.12365auto.com/zlts/20200228/449138.shtml","北京现代领动行驶中变速箱加速无力故障灯亮")</f>
        <v>北京现代领动行驶中变速箱加速无力故障灯亮</v>
      </c>
      <c r="C786" s="2" t="s">
        <v>13</v>
      </c>
      <c r="D786" s="2" t="s">
        <v>12</v>
      </c>
      <c r="E786" s="2" t="s">
        <v>17</v>
      </c>
      <c r="F786" s="2" t="str">
        <f>HYPERLINK("http://www.12365auto.com/zlts/20200228/449138.shtml","http://www.12365auto.com/zlts/20200228/449138.shtml")</f>
        <v>http://www.12365auto.com/zlts/20200228/449138.shtml</v>
      </c>
      <c r="G786" s="2"/>
      <c r="H786" s="2" t="s">
        <v>1214</v>
      </c>
      <c r="I786" s="2" t="s">
        <v>19</v>
      </c>
      <c r="J786" s="2" t="s">
        <v>12</v>
      </c>
      <c r="K786" s="2" t="s">
        <v>1212</v>
      </c>
      <c r="L786" s="2">
        <f t="shared" si="12"/>
        <v>150</v>
      </c>
    </row>
    <row r="787" spans="1:12" ht="25" customHeight="1">
      <c r="A787" s="2" t="s">
        <v>12</v>
      </c>
      <c r="B787" s="2" t="str">
        <f>HYPERLINK("http://www.12365auto.com/xcdg/20200228/419777.shtml","星越魅影骑士限量版 配备CN95空调滤芯")</f>
        <v>星越魅影骑士限量版 配备CN95空调滤芯</v>
      </c>
      <c r="C787" s="2" t="s">
        <v>13</v>
      </c>
      <c r="D787" s="2" t="s">
        <v>12</v>
      </c>
      <c r="E787" s="2" t="s">
        <v>216</v>
      </c>
      <c r="F787" s="2" t="str">
        <f>HYPERLINK("http://www.12365auto.com/xcdg/20200228/419777.shtml","http://www.12365auto.com/xcdg/20200228/419777.shtml")</f>
        <v>http://www.12365auto.com/xcdg/20200228/419777.shtml</v>
      </c>
      <c r="G787" s="2"/>
      <c r="H787" s="2" t="s">
        <v>1215</v>
      </c>
      <c r="I787" s="2" t="s">
        <v>15</v>
      </c>
      <c r="J787" s="2" t="s">
        <v>12</v>
      </c>
      <c r="K787" s="2" t="s">
        <v>1216</v>
      </c>
      <c r="L787" s="2">
        <f t="shared" si="12"/>
        <v>150</v>
      </c>
    </row>
    <row r="788" spans="1:12" ht="25" customHeight="1">
      <c r="A788" s="2" t="s">
        <v>12</v>
      </c>
      <c r="B788" s="2" t="str">
        <f>HYPERLINK("http://m.12365auto.com/xcdg/20200228/419777.shtml","星越魅影骑士限量版 配备CN95空调滤芯")</f>
        <v>星越魅影骑士限量版 配备CN95空调滤芯</v>
      </c>
      <c r="C788" s="2" t="s">
        <v>13</v>
      </c>
      <c r="D788" s="2" t="s">
        <v>12</v>
      </c>
      <c r="E788" s="2"/>
      <c r="F788" s="2" t="str">
        <f>HYPERLINK("http://m.12365auto.com/xcdg/20200228/419777.shtml","http://m.12365auto.com/xcdg/20200228/419777.shtml")</f>
        <v>http://m.12365auto.com/xcdg/20200228/419777.shtml</v>
      </c>
      <c r="G788" s="2"/>
      <c r="H788" s="2" t="s">
        <v>1217</v>
      </c>
      <c r="I788" s="2" t="s">
        <v>19</v>
      </c>
      <c r="J788" s="2" t="s">
        <v>1218</v>
      </c>
      <c r="K788" s="2" t="s">
        <v>1216</v>
      </c>
      <c r="L788" s="2">
        <f t="shared" si="12"/>
        <v>150</v>
      </c>
    </row>
    <row r="789" spans="1:12" ht="25" customHeight="1">
      <c r="A789" s="2" t="s">
        <v>12</v>
      </c>
      <c r="B789" s="2" t="str">
        <f>HYPERLINK("http://www.12365auto.com/xcdg/20200228/419776.shtml","金康SERES SF5年内上市 预售27.8万起")</f>
        <v>金康SERES SF5年内上市 预售27.8万起</v>
      </c>
      <c r="C789" s="2" t="s">
        <v>13</v>
      </c>
      <c r="D789" s="2" t="s">
        <v>12</v>
      </c>
      <c r="E789" s="2" t="s">
        <v>216</v>
      </c>
      <c r="F789" s="2" t="str">
        <f>HYPERLINK("http://www.12365auto.com/xcdg/20200228/419776.shtml","http://www.12365auto.com/xcdg/20200228/419776.shtml")</f>
        <v>http://www.12365auto.com/xcdg/20200228/419776.shtml</v>
      </c>
      <c r="G789" s="2"/>
      <c r="H789" s="2" t="s">
        <v>1219</v>
      </c>
      <c r="I789" s="2" t="s">
        <v>15</v>
      </c>
      <c r="J789" s="2" t="s">
        <v>12</v>
      </c>
      <c r="K789" s="2" t="s">
        <v>1220</v>
      </c>
      <c r="L789" s="2">
        <f t="shared" si="12"/>
        <v>150</v>
      </c>
    </row>
    <row r="790" spans="1:12" ht="25" customHeight="1">
      <c r="A790" s="2" t="s">
        <v>12</v>
      </c>
      <c r="B790" s="2" t="str">
        <f>HYPERLINK("http://m.12365auto.com/xcdg/20200228/419776.shtml","金康SERES SF5年内上市 预售27.8万起")</f>
        <v>金康SERES SF5年内上市 预售27.8万起</v>
      </c>
      <c r="C790" s="2" t="s">
        <v>13</v>
      </c>
      <c r="D790" s="2" t="s">
        <v>12</v>
      </c>
      <c r="E790" s="2"/>
      <c r="F790" s="2" t="str">
        <f>HYPERLINK("http://m.12365auto.com/xcdg/20200228/419776.shtml","http://m.12365auto.com/xcdg/20200228/419776.shtml")</f>
        <v>http://m.12365auto.com/xcdg/20200228/419776.shtml</v>
      </c>
      <c r="G790" s="2"/>
      <c r="H790" s="2" t="s">
        <v>1221</v>
      </c>
      <c r="I790" s="2" t="s">
        <v>19</v>
      </c>
      <c r="J790" s="2" t="s">
        <v>1222</v>
      </c>
      <c r="K790" s="2" t="s">
        <v>1220</v>
      </c>
      <c r="L790" s="2">
        <f t="shared" si="12"/>
        <v>150</v>
      </c>
    </row>
    <row r="791" spans="1:12" ht="25" customHeight="1">
      <c r="A791" s="2" t="s">
        <v>12</v>
      </c>
      <c r="B791" s="2" t="str">
        <f>HYPERLINK("http://www.12365auto.com/zlts/20200228/449137.shtml","东风本田思域锁车后转向灯一直闪烁")</f>
        <v>东风本田思域锁车后转向灯一直闪烁</v>
      </c>
      <c r="C791" s="2" t="s">
        <v>13</v>
      </c>
      <c r="D791" s="2" t="s">
        <v>12</v>
      </c>
      <c r="E791" s="2" t="s">
        <v>17</v>
      </c>
      <c r="F791" s="2" t="str">
        <f>HYPERLINK("http://www.12365auto.com/zlts/20200228/449137.shtml","http://www.12365auto.com/zlts/20200228/449137.shtml")</f>
        <v>http://www.12365auto.com/zlts/20200228/449137.shtml</v>
      </c>
      <c r="G791" s="2"/>
      <c r="H791" s="2" t="s">
        <v>1223</v>
      </c>
      <c r="I791" s="2" t="s">
        <v>19</v>
      </c>
      <c r="J791" s="2" t="s">
        <v>12</v>
      </c>
      <c r="K791" s="2" t="s">
        <v>1220</v>
      </c>
      <c r="L791" s="2">
        <f t="shared" si="12"/>
        <v>150</v>
      </c>
    </row>
    <row r="792" spans="1:12" ht="25" customHeight="1">
      <c r="A792" s="2" t="s">
        <v>12</v>
      </c>
      <c r="B792" s="2" t="str">
        <f>HYPERLINK("http://www.12365auto.com/xcdg/20200228/419775.shtml","宝马5系插混里程升级版上市 49.99万起")</f>
        <v>宝马5系插混里程升级版上市 49.99万起</v>
      </c>
      <c r="C792" s="2" t="s">
        <v>13</v>
      </c>
      <c r="D792" s="2" t="s">
        <v>12</v>
      </c>
      <c r="E792" s="2" t="s">
        <v>216</v>
      </c>
      <c r="F792" s="2" t="str">
        <f>HYPERLINK("http://www.12365auto.com/xcdg/20200228/419775.shtml","http://www.12365auto.com/xcdg/20200228/419775.shtml")</f>
        <v>http://www.12365auto.com/xcdg/20200228/419775.shtml</v>
      </c>
      <c r="G792" s="2"/>
      <c r="H792" s="2" t="s">
        <v>1224</v>
      </c>
      <c r="I792" s="2" t="s">
        <v>15</v>
      </c>
      <c r="J792" s="2" t="s">
        <v>12</v>
      </c>
      <c r="K792" s="2" t="s">
        <v>1225</v>
      </c>
      <c r="L792" s="2">
        <f t="shared" si="12"/>
        <v>150</v>
      </c>
    </row>
    <row r="793" spans="1:12" ht="25" customHeight="1">
      <c r="A793" s="2" t="s">
        <v>12</v>
      </c>
      <c r="B793" s="2" t="str">
        <f>HYPERLINK("http://m.12365auto.com/xcdg/20200228/419775.shtml","宝马5系插混里程升级版上市 49.99万起")</f>
        <v>宝马5系插混里程升级版上市 49.99万起</v>
      </c>
      <c r="C793" s="2" t="s">
        <v>13</v>
      </c>
      <c r="D793" s="2" t="s">
        <v>12</v>
      </c>
      <c r="E793" s="2"/>
      <c r="F793" s="2" t="str">
        <f>HYPERLINK("http://m.12365auto.com/xcdg/20200228/419775.shtml","http://m.12365auto.com/xcdg/20200228/419775.shtml")</f>
        <v>http://m.12365auto.com/xcdg/20200228/419775.shtml</v>
      </c>
      <c r="G793" s="2"/>
      <c r="H793" s="2" t="s">
        <v>1226</v>
      </c>
      <c r="I793" s="2" t="s">
        <v>19</v>
      </c>
      <c r="J793" s="2" t="s">
        <v>1218</v>
      </c>
      <c r="K793" s="2" t="s">
        <v>1225</v>
      </c>
      <c r="L793" s="2">
        <f t="shared" si="12"/>
        <v>150</v>
      </c>
    </row>
    <row r="794" spans="1:12" ht="25" customHeight="1">
      <c r="A794" s="2" t="s">
        <v>12</v>
      </c>
      <c r="B794" s="2" t="str">
        <f>HYPERLINK("http://www.12365auto.com/xcdg/20200228/419778.shtml","配合新鞋发售 AMG G 63喷涂AJ1黑绿涂装")</f>
        <v>配合新鞋发售 AMG G 63喷涂AJ1黑绿涂装</v>
      </c>
      <c r="C794" s="2" t="s">
        <v>13</v>
      </c>
      <c r="D794" s="2" t="s">
        <v>12</v>
      </c>
      <c r="E794" s="2" t="s">
        <v>216</v>
      </c>
      <c r="F794" s="2" t="str">
        <f>HYPERLINK("http://www.12365auto.com/xcdg/20200228/419778.shtml","http://www.12365auto.com/xcdg/20200228/419778.shtml")</f>
        <v>http://www.12365auto.com/xcdg/20200228/419778.shtml</v>
      </c>
      <c r="G794" s="2"/>
      <c r="H794" s="2" t="s">
        <v>1227</v>
      </c>
      <c r="I794" s="2" t="s">
        <v>15</v>
      </c>
      <c r="J794" s="2" t="s">
        <v>12</v>
      </c>
      <c r="K794" s="2" t="s">
        <v>1228</v>
      </c>
      <c r="L794" s="2">
        <f t="shared" si="12"/>
        <v>150</v>
      </c>
    </row>
    <row r="795" spans="1:12" ht="25" customHeight="1">
      <c r="A795" s="2" t="s">
        <v>12</v>
      </c>
      <c r="B795" s="2" t="str">
        <f>HYPERLINK("http://m.12365auto.com/xcdg/20200228/419778.shtml","配合新鞋发售 AMG G 63喷涂AJ1黑绿涂装")</f>
        <v>配合新鞋发售 AMG G 63喷涂AJ1黑绿涂装</v>
      </c>
      <c r="C795" s="2" t="s">
        <v>13</v>
      </c>
      <c r="D795" s="2" t="s">
        <v>12</v>
      </c>
      <c r="E795" s="2"/>
      <c r="F795" s="2" t="str">
        <f>HYPERLINK("http://m.12365auto.com/xcdg/20200228/419778.shtml","http://m.12365auto.com/xcdg/20200228/419778.shtml")</f>
        <v>http://m.12365auto.com/xcdg/20200228/419778.shtml</v>
      </c>
      <c r="G795" s="2"/>
      <c r="H795" s="2" t="s">
        <v>1229</v>
      </c>
      <c r="I795" s="2" t="s">
        <v>19</v>
      </c>
      <c r="J795" s="2" t="s">
        <v>1230</v>
      </c>
      <c r="K795" s="2" t="s">
        <v>1228</v>
      </c>
      <c r="L795" s="2">
        <f t="shared" si="12"/>
        <v>150</v>
      </c>
    </row>
    <row r="796" spans="1:12" ht="25" customHeight="1">
      <c r="A796" s="2" t="s">
        <v>12</v>
      </c>
      <c r="B796" s="2" t="str">
        <f>HYPERLINK("http://www.12365auto.com/xcdg/20200228/419773.shtml","全新宝马4系低伪装实车照 超大格栅上身")</f>
        <v>全新宝马4系低伪装实车照 超大格栅上身</v>
      </c>
      <c r="C796" s="2" t="s">
        <v>13</v>
      </c>
      <c r="D796" s="2" t="s">
        <v>12</v>
      </c>
      <c r="E796" s="2" t="s">
        <v>224</v>
      </c>
      <c r="F796" s="2" t="str">
        <f>HYPERLINK("http://www.12365auto.com/xcdg/20200228/419773.shtml","http://www.12365auto.com/xcdg/20200228/419773.shtml")</f>
        <v>http://www.12365auto.com/xcdg/20200228/419773.shtml</v>
      </c>
      <c r="G796" s="2"/>
      <c r="H796" s="2" t="s">
        <v>1231</v>
      </c>
      <c r="I796" s="2" t="s">
        <v>15</v>
      </c>
      <c r="J796" s="2" t="s">
        <v>12</v>
      </c>
      <c r="K796" s="2" t="s">
        <v>1232</v>
      </c>
      <c r="L796" s="2">
        <f t="shared" si="12"/>
        <v>150</v>
      </c>
    </row>
    <row r="797" spans="1:12" ht="25" customHeight="1">
      <c r="A797" s="2" t="s">
        <v>12</v>
      </c>
      <c r="B797" s="2" t="str">
        <f>HYPERLINK("http://m.12365auto.com/xcdg/20200228/419773.shtml","全新宝马4系低伪装实车照 超大格栅上身")</f>
        <v>全新宝马4系低伪装实车照 超大格栅上身</v>
      </c>
      <c r="C797" s="2" t="s">
        <v>13</v>
      </c>
      <c r="D797" s="2" t="s">
        <v>12</v>
      </c>
      <c r="E797" s="2"/>
      <c r="F797" s="2" t="str">
        <f>HYPERLINK("http://m.12365auto.com/xcdg/20200228/419773.shtml","http://m.12365auto.com/xcdg/20200228/419773.shtml")</f>
        <v>http://m.12365auto.com/xcdg/20200228/419773.shtml</v>
      </c>
      <c r="G797" s="2"/>
      <c r="H797" s="2" t="s">
        <v>1233</v>
      </c>
      <c r="I797" s="2" t="s">
        <v>19</v>
      </c>
      <c r="J797" s="2" t="s">
        <v>1222</v>
      </c>
      <c r="K797" s="2" t="s">
        <v>1232</v>
      </c>
      <c r="L797" s="2">
        <f t="shared" si="12"/>
        <v>150</v>
      </c>
    </row>
    <row r="798" spans="1:12" ht="25" customHeight="1">
      <c r="A798" s="2" t="s">
        <v>12</v>
      </c>
      <c r="B798" s="2" t="str">
        <f>HYPERLINK("http://www.12365auto.com/xcdg/20200228/419771.shtml","比亚迪汉动力消息曝光 全新中大型轿车")</f>
        <v>比亚迪汉动力消息曝光 全新中大型轿车</v>
      </c>
      <c r="C798" s="2" t="s">
        <v>13</v>
      </c>
      <c r="D798" s="2" t="s">
        <v>12</v>
      </c>
      <c r="E798" s="2" t="s">
        <v>216</v>
      </c>
      <c r="F798" s="2" t="str">
        <f>HYPERLINK("http://www.12365auto.com/xcdg/20200228/419771.shtml","http://www.12365auto.com/xcdg/20200228/419771.shtml")</f>
        <v>http://www.12365auto.com/xcdg/20200228/419771.shtml</v>
      </c>
      <c r="G798" s="2"/>
      <c r="H798" s="2" t="s">
        <v>1234</v>
      </c>
      <c r="I798" s="2" t="s">
        <v>15</v>
      </c>
      <c r="J798" s="2" t="s">
        <v>12</v>
      </c>
      <c r="K798" s="2" t="s">
        <v>1235</v>
      </c>
      <c r="L798" s="2">
        <f t="shared" si="12"/>
        <v>150</v>
      </c>
    </row>
    <row r="799" spans="1:12" ht="25" customHeight="1">
      <c r="A799" s="2" t="s">
        <v>12</v>
      </c>
      <c r="B799" s="2" t="str">
        <f>HYPERLINK("http://m.12365auto.com/xcdg/20200228/419771.shtml","比亚迪汉动力消息曝光 全新中大型轿车")</f>
        <v>比亚迪汉动力消息曝光 全新中大型轿车</v>
      </c>
      <c r="C799" s="2" t="s">
        <v>13</v>
      </c>
      <c r="D799" s="2" t="s">
        <v>12</v>
      </c>
      <c r="E799" s="2"/>
      <c r="F799" s="2" t="str">
        <f>HYPERLINK("http://m.12365auto.com/xcdg/20200228/419771.shtml","http://m.12365auto.com/xcdg/20200228/419771.shtml")</f>
        <v>http://m.12365auto.com/xcdg/20200228/419771.shtml</v>
      </c>
      <c r="G799" s="2"/>
      <c r="H799" s="2" t="s">
        <v>1236</v>
      </c>
      <c r="I799" s="2" t="s">
        <v>19</v>
      </c>
      <c r="J799" s="2" t="s">
        <v>751</v>
      </c>
      <c r="K799" s="2" t="s">
        <v>1235</v>
      </c>
      <c r="L799" s="2">
        <f t="shared" si="12"/>
        <v>150</v>
      </c>
    </row>
    <row r="800" spans="1:12" ht="25" customHeight="1">
      <c r="A800" s="2" t="s">
        <v>12</v>
      </c>
      <c r="B800" s="2" t="str">
        <f>HYPERLINK("http://www.12365auto.com/news/20200228/419770.shtml","领界热卖 领跑长安福特2020 开年销量大涨")</f>
        <v>领界热卖 领跑长安福特2020 开年销量大涨</v>
      </c>
      <c r="C800" s="2" t="s">
        <v>13</v>
      </c>
      <c r="D800" s="2" t="s">
        <v>12</v>
      </c>
      <c r="E800" s="2" t="s">
        <v>276</v>
      </c>
      <c r="F800" s="2" t="str">
        <f>HYPERLINK("http://www.12365auto.com/news/20200228/419770.shtml","http://www.12365auto.com/news/20200228/419770.shtml")</f>
        <v>http://www.12365auto.com/news/20200228/419770.shtml</v>
      </c>
      <c r="G800" s="2"/>
      <c r="H800" s="2" t="s">
        <v>1237</v>
      </c>
      <c r="I800" s="2" t="s">
        <v>15</v>
      </c>
      <c r="J800" s="2" t="s">
        <v>12</v>
      </c>
      <c r="K800" s="2" t="s">
        <v>1238</v>
      </c>
      <c r="L800" s="2">
        <f t="shared" si="12"/>
        <v>150</v>
      </c>
    </row>
    <row r="801" spans="1:12" ht="25" customHeight="1">
      <c r="A801" s="2" t="s">
        <v>12</v>
      </c>
      <c r="B801" s="2" t="str">
        <f>HYPERLINK("http://m.12365auto.com/news/20200228/419770.shtml","领界热卖 领跑长安福特2020 开年销量大涨")</f>
        <v>领界热卖 领跑长安福特2020 开年销量大涨</v>
      </c>
      <c r="C801" s="2" t="s">
        <v>13</v>
      </c>
      <c r="D801" s="2" t="s">
        <v>12</v>
      </c>
      <c r="E801" s="2"/>
      <c r="F801" s="2" t="str">
        <f>HYPERLINK("http://m.12365auto.com/news/20200228/419770.shtml","http://m.12365auto.com/news/20200228/419770.shtml")</f>
        <v>http://m.12365auto.com/news/20200228/419770.shtml</v>
      </c>
      <c r="G801" s="2"/>
      <c r="H801" s="2" t="s">
        <v>1239</v>
      </c>
      <c r="I801" s="2" t="s">
        <v>19</v>
      </c>
      <c r="J801" s="2" t="s">
        <v>739</v>
      </c>
      <c r="K801" s="2" t="s">
        <v>1238</v>
      </c>
      <c r="L801" s="2">
        <f t="shared" si="12"/>
        <v>150</v>
      </c>
    </row>
    <row r="802" spans="1:12" ht="25" customHeight="1">
      <c r="A802" s="2" t="s">
        <v>12</v>
      </c>
      <c r="B802" s="2" t="str">
        <f>HYPERLINK("http://m.12365auto.com/xcdg/20200228/419774.shtml","保时捷Cayenne Coupe GT谍照 动力超800马力")</f>
        <v>保时捷Cayenne Coupe GT谍照 动力超800马力</v>
      </c>
      <c r="C802" s="2" t="s">
        <v>13</v>
      </c>
      <c r="D802" s="2" t="s">
        <v>12</v>
      </c>
      <c r="E802" s="2"/>
      <c r="F802" s="2" t="str">
        <f>HYPERLINK("http://m.12365auto.com/xcdg/20200228/419774.shtml","http://m.12365auto.com/xcdg/20200228/419774.shtml")</f>
        <v>http://m.12365auto.com/xcdg/20200228/419774.shtml</v>
      </c>
      <c r="G802" s="2"/>
      <c r="H802" s="2" t="s">
        <v>1240</v>
      </c>
      <c r="I802" s="2" t="s">
        <v>19</v>
      </c>
      <c r="J802" s="2" t="s">
        <v>1241</v>
      </c>
      <c r="K802" s="2" t="s">
        <v>1242</v>
      </c>
      <c r="L802" s="2">
        <f t="shared" si="12"/>
        <v>150</v>
      </c>
    </row>
    <row r="803" spans="1:12" ht="25" customHeight="1">
      <c r="A803" s="2" t="s">
        <v>12</v>
      </c>
      <c r="B803" s="2" t="str">
        <f>HYPERLINK("http://www.12365auto.com/xcdg/20200228/419774.shtml","保时捷Cayenne Coupe GT谍照 动力超800马力")</f>
        <v>保时捷Cayenne Coupe GT谍照 动力超800马力</v>
      </c>
      <c r="C803" s="2" t="s">
        <v>13</v>
      </c>
      <c r="D803" s="2" t="s">
        <v>12</v>
      </c>
      <c r="E803" s="2" t="s">
        <v>224</v>
      </c>
      <c r="F803" s="2" t="str">
        <f>HYPERLINK("http://www.12365auto.com/xcdg/20200228/419774.shtml","http://www.12365auto.com/xcdg/20200228/419774.shtml")</f>
        <v>http://www.12365auto.com/xcdg/20200228/419774.shtml</v>
      </c>
      <c r="G803" s="2"/>
      <c r="H803" s="2" t="s">
        <v>1243</v>
      </c>
      <c r="I803" s="2" t="s">
        <v>15</v>
      </c>
      <c r="J803" s="2" t="s">
        <v>12</v>
      </c>
      <c r="K803" s="2" t="s">
        <v>1242</v>
      </c>
      <c r="L803" s="2">
        <f t="shared" si="12"/>
        <v>150</v>
      </c>
    </row>
    <row r="804" spans="1:12" ht="25" customHeight="1">
      <c r="A804" s="2" t="s">
        <v>12</v>
      </c>
      <c r="B804" s="2" t="str">
        <f>HYPERLINK("http://www.12365auto.com/xcdg/20200228/419769.shtml","艺术品般的内饰你见过吗？全新DS 9开箱解读")</f>
        <v>艺术品般的内饰你见过吗？全新DS 9开箱解读</v>
      </c>
      <c r="C804" s="2" t="s">
        <v>13</v>
      </c>
      <c r="D804" s="2" t="s">
        <v>12</v>
      </c>
      <c r="E804" s="2" t="s">
        <v>216</v>
      </c>
      <c r="F804" s="2" t="str">
        <f>HYPERLINK("http://www.12365auto.com/xcdg/20200228/419769.shtml","http://www.12365auto.com/xcdg/20200228/419769.shtml")</f>
        <v>http://www.12365auto.com/xcdg/20200228/419769.shtml</v>
      </c>
      <c r="G804" s="2"/>
      <c r="H804" s="2" t="s">
        <v>1244</v>
      </c>
      <c r="I804" s="2" t="s">
        <v>15</v>
      </c>
      <c r="J804" s="2" t="s">
        <v>12</v>
      </c>
      <c r="K804" s="2" t="s">
        <v>1245</v>
      </c>
      <c r="L804" s="2">
        <f t="shared" si="12"/>
        <v>150</v>
      </c>
    </row>
    <row r="805" spans="1:12" ht="25" customHeight="1">
      <c r="A805" s="2" t="s">
        <v>12</v>
      </c>
      <c r="B805" s="2" t="str">
        <f>HYPERLINK("http://m.12365auto.com/xcdg/20200228/419769.shtml","艺术品般的内饰你见过吗？全新DS 9开箱解读")</f>
        <v>艺术品般的内饰你见过吗？全新DS 9开箱解读</v>
      </c>
      <c r="C805" s="2" t="s">
        <v>13</v>
      </c>
      <c r="D805" s="2" t="s">
        <v>12</v>
      </c>
      <c r="E805" s="2"/>
      <c r="F805" s="2" t="str">
        <f>HYPERLINK("http://m.12365auto.com/xcdg/20200228/419769.shtml","http://m.12365auto.com/xcdg/20200228/419769.shtml")</f>
        <v>http://m.12365auto.com/xcdg/20200228/419769.shtml</v>
      </c>
      <c r="G805" s="2"/>
      <c r="H805" s="2" t="s">
        <v>1246</v>
      </c>
      <c r="I805" s="2" t="s">
        <v>19</v>
      </c>
      <c r="J805" s="2" t="s">
        <v>1247</v>
      </c>
      <c r="K805" s="2" t="s">
        <v>1245</v>
      </c>
      <c r="L805" s="2">
        <f t="shared" si="12"/>
        <v>150</v>
      </c>
    </row>
    <row r="806" spans="1:12" ht="25" customHeight="1">
      <c r="A806" s="2" t="s">
        <v>12</v>
      </c>
      <c r="B806" s="2" t="str">
        <f>HYPERLINK("http://www.12365auto.com/zlts/20200228/449134.shtml","一汽红旗H5高速行驶时发动机突然熄火")</f>
        <v>一汽红旗H5高速行驶时发动机突然熄火</v>
      </c>
      <c r="C806" s="2" t="s">
        <v>13</v>
      </c>
      <c r="D806" s="2" t="s">
        <v>12</v>
      </c>
      <c r="E806" s="2" t="s">
        <v>17</v>
      </c>
      <c r="F806" s="2" t="str">
        <f>HYPERLINK("http://www.12365auto.com/zlts/20200228/449134.shtml","http://www.12365auto.com/zlts/20200228/449134.shtml")</f>
        <v>http://www.12365auto.com/zlts/20200228/449134.shtml</v>
      </c>
      <c r="G806" s="2"/>
      <c r="H806" s="2" t="s">
        <v>1248</v>
      </c>
      <c r="I806" s="2" t="s">
        <v>19</v>
      </c>
      <c r="J806" s="2" t="s">
        <v>12</v>
      </c>
      <c r="K806" s="2" t="s">
        <v>1245</v>
      </c>
      <c r="L806" s="2">
        <f t="shared" si="12"/>
        <v>150</v>
      </c>
    </row>
    <row r="807" spans="1:12" ht="25" customHeight="1">
      <c r="A807" s="2" t="s">
        <v>12</v>
      </c>
      <c r="B807" s="2" t="str">
        <f>HYPERLINK("http://m.12365auto.com/xcdg/20200228/419772.shtml","官图发布 斯汀格夜空特别版将于澳洲开售")</f>
        <v>官图发布 斯汀格夜空特别版将于澳洲开售</v>
      </c>
      <c r="C807" s="2" t="s">
        <v>13</v>
      </c>
      <c r="D807" s="2" t="s">
        <v>12</v>
      </c>
      <c r="E807" s="2"/>
      <c r="F807" s="2" t="str">
        <f>HYPERLINK("http://m.12365auto.com/xcdg/20200228/419772.shtml","http://m.12365auto.com/xcdg/20200228/419772.shtml")</f>
        <v>http://m.12365auto.com/xcdg/20200228/419772.shtml</v>
      </c>
      <c r="G807" s="2"/>
      <c r="H807" s="2" t="s">
        <v>1249</v>
      </c>
      <c r="I807" s="2" t="s">
        <v>19</v>
      </c>
      <c r="J807" s="2" t="s">
        <v>1250</v>
      </c>
      <c r="K807" s="2" t="s">
        <v>1245</v>
      </c>
      <c r="L807" s="2">
        <f t="shared" si="12"/>
        <v>150</v>
      </c>
    </row>
    <row r="808" spans="1:12" ht="25" customHeight="1">
      <c r="A808" s="2" t="s">
        <v>12</v>
      </c>
      <c r="B808" s="2" t="str">
        <f>HYPERLINK("http://www.12365auto.com/xcdg/20200228/419772.shtml","官图发布 斯汀格夜空特别版将于澳洲开售")</f>
        <v>官图发布 斯汀格夜空特别版将于澳洲开售</v>
      </c>
      <c r="C808" s="2" t="s">
        <v>13</v>
      </c>
      <c r="D808" s="2" t="s">
        <v>12</v>
      </c>
      <c r="E808" s="2" t="s">
        <v>216</v>
      </c>
      <c r="F808" s="2" t="str">
        <f>HYPERLINK("http://www.12365auto.com/xcdg/20200228/419772.shtml","http://www.12365auto.com/xcdg/20200228/419772.shtml")</f>
        <v>http://www.12365auto.com/xcdg/20200228/419772.shtml</v>
      </c>
      <c r="G808" s="2"/>
      <c r="H808" s="2" t="s">
        <v>1251</v>
      </c>
      <c r="I808" s="2" t="s">
        <v>15</v>
      </c>
      <c r="J808" s="2" t="s">
        <v>12</v>
      </c>
      <c r="K808" s="2" t="s">
        <v>1245</v>
      </c>
      <c r="L808" s="2">
        <f t="shared" si="12"/>
        <v>150</v>
      </c>
    </row>
    <row r="809" spans="1:12" ht="25" customHeight="1">
      <c r="A809" s="2" t="s">
        <v>12</v>
      </c>
      <c r="B809" s="2" t="str">
        <f>HYPERLINK("http://www.12365auto.com/xcdg/20200228/419768.shtml","日内瓦车展提前看 全新高尔夫GTI/GTD了解下")</f>
        <v>日内瓦车展提前看 全新高尔夫GTI/GTD了解下</v>
      </c>
      <c r="C809" s="2" t="s">
        <v>13</v>
      </c>
      <c r="D809" s="2" t="s">
        <v>12</v>
      </c>
      <c r="E809" s="2" t="s">
        <v>216</v>
      </c>
      <c r="F809" s="2" t="str">
        <f>HYPERLINK("http://www.12365auto.com/xcdg/20200228/419768.shtml","http://www.12365auto.com/xcdg/20200228/419768.shtml")</f>
        <v>http://www.12365auto.com/xcdg/20200228/419768.shtml</v>
      </c>
      <c r="G809" s="2"/>
      <c r="H809" s="2" t="s">
        <v>1252</v>
      </c>
      <c r="I809" s="2" t="s">
        <v>15</v>
      </c>
      <c r="J809" s="2" t="s">
        <v>12</v>
      </c>
      <c r="K809" s="2" t="s">
        <v>1253</v>
      </c>
      <c r="L809" s="2">
        <f t="shared" si="12"/>
        <v>150</v>
      </c>
    </row>
    <row r="810" spans="1:12" ht="25" customHeight="1">
      <c r="A810" s="2" t="s">
        <v>12</v>
      </c>
      <c r="B810" s="2" t="str">
        <f>HYPERLINK("http://m.12365auto.com/xcdg/20200228/419768.shtml","日内瓦车展提前看 全新高尔夫GTI/GTD了解下")</f>
        <v>日内瓦车展提前看 全新高尔夫GTI/GTD了解下</v>
      </c>
      <c r="C810" s="2" t="s">
        <v>13</v>
      </c>
      <c r="D810" s="2" t="s">
        <v>12</v>
      </c>
      <c r="E810" s="2"/>
      <c r="F810" s="2" t="str">
        <f>HYPERLINK("http://m.12365auto.com/xcdg/20200228/419768.shtml","http://m.12365auto.com/xcdg/20200228/419768.shtml")</f>
        <v>http://m.12365auto.com/xcdg/20200228/419768.shtml</v>
      </c>
      <c r="G810" s="2"/>
      <c r="H810" s="2" t="s">
        <v>1254</v>
      </c>
      <c r="I810" s="2" t="s">
        <v>19</v>
      </c>
      <c r="J810" s="2" t="s">
        <v>1255</v>
      </c>
      <c r="K810" s="2" t="s">
        <v>1253</v>
      </c>
      <c r="L810" s="2">
        <f t="shared" si="12"/>
        <v>150</v>
      </c>
    </row>
    <row r="811" spans="1:12" ht="25" customHeight="1">
      <c r="A811" s="2" t="s">
        <v>12</v>
      </c>
      <c r="B811" s="2" t="str">
        <f>HYPERLINK("http://m.12365auto.com/xcdg/20200228/419767.shtml","搭10英寸大屏 配车内氛围灯 捷达VS7看这款")</f>
        <v>搭10英寸大屏 配车内氛围灯 捷达VS7看这款</v>
      </c>
      <c r="C811" s="2" t="s">
        <v>13</v>
      </c>
      <c r="D811" s="2" t="s">
        <v>12</v>
      </c>
      <c r="E811" s="2"/>
      <c r="F811" s="2" t="str">
        <f>HYPERLINK("http://m.12365auto.com/xcdg/20200228/419767.shtml","http://m.12365auto.com/xcdg/20200228/419767.shtml")</f>
        <v>http://m.12365auto.com/xcdg/20200228/419767.shtml</v>
      </c>
      <c r="G811" s="2"/>
      <c r="H811" s="2" t="s">
        <v>1256</v>
      </c>
      <c r="I811" s="2" t="s">
        <v>19</v>
      </c>
      <c r="J811" s="2" t="s">
        <v>1257</v>
      </c>
      <c r="K811" s="2" t="s">
        <v>1258</v>
      </c>
      <c r="L811" s="2">
        <f t="shared" si="12"/>
        <v>150</v>
      </c>
    </row>
    <row r="812" spans="1:12" ht="25" customHeight="1">
      <c r="A812" s="2" t="s">
        <v>12</v>
      </c>
      <c r="B812" s="2" t="str">
        <f>HYPERLINK("http://m.12365auto.com/xcdg/20200228/419789.shtml","价格不菲 全新宝马3系旅行版台湾地区上市")</f>
        <v>价格不菲 全新宝马3系旅行版台湾地区上市</v>
      </c>
      <c r="C812" s="2" t="s">
        <v>13</v>
      </c>
      <c r="D812" s="2" t="s">
        <v>12</v>
      </c>
      <c r="E812" s="2"/>
      <c r="F812" s="2" t="str">
        <f>HYPERLINK("http://m.12365auto.com/xcdg/20200228/419789.shtml","http://m.12365auto.com/xcdg/20200228/419789.shtml")</f>
        <v>http://m.12365auto.com/xcdg/20200228/419789.shtml</v>
      </c>
      <c r="G812" s="2"/>
      <c r="H812" s="2" t="s">
        <v>1259</v>
      </c>
      <c r="I812" s="2" t="s">
        <v>19</v>
      </c>
      <c r="J812" s="2" t="s">
        <v>369</v>
      </c>
      <c r="K812" s="2" t="s">
        <v>1260</v>
      </c>
      <c r="L812" s="2">
        <f t="shared" si="12"/>
        <v>150</v>
      </c>
    </row>
    <row r="813" spans="1:12" ht="25" customHeight="1">
      <c r="A813" s="2" t="s">
        <v>12</v>
      </c>
      <c r="B813" s="2" t="str">
        <f>HYPERLINK("http://www.12365auto.com/xcdg/20200228/419789.shtml","价格不菲 全新宝马3系旅行版台湾地区上市")</f>
        <v>价格不菲 全新宝马3系旅行版台湾地区上市</v>
      </c>
      <c r="C813" s="2" t="s">
        <v>13</v>
      </c>
      <c r="D813" s="2" t="s">
        <v>12</v>
      </c>
      <c r="E813" s="2" t="s">
        <v>245</v>
      </c>
      <c r="F813" s="2" t="str">
        <f>HYPERLINK("http://www.12365auto.com/xcdg/20200228/419789.shtml","http://www.12365auto.com/xcdg/20200228/419789.shtml")</f>
        <v>http://www.12365auto.com/xcdg/20200228/419789.shtml</v>
      </c>
      <c r="G813" s="2"/>
      <c r="H813" s="2" t="s">
        <v>1261</v>
      </c>
      <c r="I813" s="2" t="s">
        <v>19</v>
      </c>
      <c r="J813" s="2" t="s">
        <v>12</v>
      </c>
      <c r="K813" s="2" t="s">
        <v>1260</v>
      </c>
      <c r="L813" s="2">
        <f t="shared" si="12"/>
        <v>150</v>
      </c>
    </row>
    <row r="814" spans="1:12" ht="25" customHeight="1">
      <c r="A814" s="2" t="s">
        <v>12</v>
      </c>
      <c r="B814" s="2" t="str">
        <f>HYPERLINK("http://m.12365auto.com/xcdg/20200228/419766.shtml","绕不开的紧凑型轿车？看了它就不想买速腾")</f>
        <v>绕不开的紧凑型轿车？看了它就不想买速腾</v>
      </c>
      <c r="C814" s="2" t="s">
        <v>13</v>
      </c>
      <c r="D814" s="2" t="s">
        <v>12</v>
      </c>
      <c r="E814" s="2"/>
      <c r="F814" s="2" t="str">
        <f>HYPERLINK("http://m.12365auto.com/xcdg/20200228/419766.shtml","http://m.12365auto.com/xcdg/20200228/419766.shtml")</f>
        <v>http://m.12365auto.com/xcdg/20200228/419766.shtml</v>
      </c>
      <c r="G814" s="2"/>
      <c r="H814" s="2" t="s">
        <v>1262</v>
      </c>
      <c r="I814" s="2" t="s">
        <v>19</v>
      </c>
      <c r="J814" s="2" t="s">
        <v>1247</v>
      </c>
      <c r="K814" s="2" t="s">
        <v>1260</v>
      </c>
      <c r="L814" s="2">
        <f t="shared" si="12"/>
        <v>150</v>
      </c>
    </row>
    <row r="815" spans="1:12" ht="25" customHeight="1">
      <c r="A815" s="2" t="s">
        <v>12</v>
      </c>
      <c r="B815" s="2" t="str">
        <f>HYPERLINK("http://www.12365auto.com/xcdg/20200228/419765.shtml","大众新车下周亮相 新高尔夫GTI/新途观领衔")</f>
        <v>大众新车下周亮相 新高尔夫GTI/新途观领衔</v>
      </c>
      <c r="C815" s="2" t="s">
        <v>13</v>
      </c>
      <c r="D815" s="2" t="s">
        <v>12</v>
      </c>
      <c r="E815" s="2" t="s">
        <v>216</v>
      </c>
      <c r="F815" s="2" t="str">
        <f>HYPERLINK("http://www.12365auto.com/xcdg/20200228/419765.shtml","http://www.12365auto.com/xcdg/20200228/419765.shtml")</f>
        <v>http://www.12365auto.com/xcdg/20200228/419765.shtml</v>
      </c>
      <c r="G815" s="2"/>
      <c r="H815" s="2" t="s">
        <v>1263</v>
      </c>
      <c r="I815" s="2" t="s">
        <v>15</v>
      </c>
      <c r="J815" s="2" t="s">
        <v>12</v>
      </c>
      <c r="K815" s="2" t="s">
        <v>1264</v>
      </c>
      <c r="L815" s="2">
        <f t="shared" si="12"/>
        <v>150</v>
      </c>
    </row>
    <row r="816" spans="1:12" ht="25" customHeight="1">
      <c r="A816" s="2" t="s">
        <v>12</v>
      </c>
      <c r="B816" s="2" t="str">
        <f>HYPERLINK("http://m.12365auto.com/xcdg/20200228/419765.shtml","大众新车下周亮相 新高尔夫GTI/新途观领衔")</f>
        <v>大众新车下周亮相 新高尔夫GTI/新途观领衔</v>
      </c>
      <c r="C816" s="2" t="s">
        <v>13</v>
      </c>
      <c r="D816" s="2" t="s">
        <v>12</v>
      </c>
      <c r="E816" s="2"/>
      <c r="F816" s="2" t="str">
        <f>HYPERLINK("http://m.12365auto.com/xcdg/20200228/419765.shtml","http://m.12365auto.com/xcdg/20200228/419765.shtml")</f>
        <v>http://m.12365auto.com/xcdg/20200228/419765.shtml</v>
      </c>
      <c r="G816" s="2"/>
      <c r="H816" s="2" t="s">
        <v>1265</v>
      </c>
      <c r="I816" s="2" t="s">
        <v>19</v>
      </c>
      <c r="J816" s="2" t="s">
        <v>1266</v>
      </c>
      <c r="K816" s="2" t="s">
        <v>1264</v>
      </c>
      <c r="L816" s="2">
        <f t="shared" si="12"/>
        <v>150</v>
      </c>
    </row>
    <row r="817" spans="1:12" ht="25" customHeight="1">
      <c r="A817" s="2" t="s">
        <v>12</v>
      </c>
      <c r="B817" s="2" t="str">
        <f>HYPERLINK("http://www.12365auto.com/zlts/20200228/449131.shtml","上汽大众途昂转弯时有异响希望处理")</f>
        <v>上汽大众途昂转弯时有异响希望处理</v>
      </c>
      <c r="C817" s="2" t="s">
        <v>13</v>
      </c>
      <c r="D817" s="2" t="s">
        <v>12</v>
      </c>
      <c r="E817" s="2" t="s">
        <v>17</v>
      </c>
      <c r="F817" s="2" t="str">
        <f>HYPERLINK("http://www.12365auto.com/zlts/20200228/449131.shtml","http://www.12365auto.com/zlts/20200228/449131.shtml")</f>
        <v>http://www.12365auto.com/zlts/20200228/449131.shtml</v>
      </c>
      <c r="G817" s="2"/>
      <c r="H817" s="2" t="s">
        <v>1267</v>
      </c>
      <c r="I817" s="2" t="s">
        <v>19</v>
      </c>
      <c r="J817" s="2" t="s">
        <v>12</v>
      </c>
      <c r="K817" s="2" t="s">
        <v>1268</v>
      </c>
      <c r="L817" s="2">
        <f t="shared" si="12"/>
        <v>150</v>
      </c>
    </row>
    <row r="818" spans="1:12" ht="25" customHeight="1">
      <c r="A818" s="2" t="s">
        <v>12</v>
      </c>
      <c r="B818" s="2" t="str">
        <f>HYPERLINK("http://www.12365auto.com/xcdg/20200228/419764.shtml","续航600km 上汽MAXUS EUNIQ 6部分参数曝光")</f>
        <v>续航600km 上汽MAXUS EUNIQ 6部分参数曝光</v>
      </c>
      <c r="C818" s="2" t="s">
        <v>13</v>
      </c>
      <c r="D818" s="2" t="s">
        <v>12</v>
      </c>
      <c r="E818" s="2" t="s">
        <v>216</v>
      </c>
      <c r="F818" s="2" t="str">
        <f>HYPERLINK("http://www.12365auto.com/xcdg/20200228/419764.shtml","http://www.12365auto.com/xcdg/20200228/419764.shtml")</f>
        <v>http://www.12365auto.com/xcdg/20200228/419764.shtml</v>
      </c>
      <c r="G818" s="2"/>
      <c r="H818" s="2" t="s">
        <v>1269</v>
      </c>
      <c r="I818" s="2" t="s">
        <v>15</v>
      </c>
      <c r="J818" s="2" t="s">
        <v>12</v>
      </c>
      <c r="K818" s="2" t="s">
        <v>1270</v>
      </c>
      <c r="L818" s="2">
        <f t="shared" si="12"/>
        <v>150</v>
      </c>
    </row>
    <row r="819" spans="1:12" ht="25" customHeight="1">
      <c r="A819" s="2" t="s">
        <v>12</v>
      </c>
      <c r="B819" s="2" t="str">
        <f>HYPERLINK("http://bbs.12365auto.com/postcontent.aspx?tId=195436","这几款时尚帅气的豪华SUV 满足你对个性的追求")</f>
        <v>这几款时尚帅气的豪华SUV 满足你对个性的追求</v>
      </c>
      <c r="C819" s="2" t="s">
        <v>13</v>
      </c>
      <c r="D819" s="2" t="s">
        <v>12</v>
      </c>
      <c r="E819" s="2" t="s">
        <v>210</v>
      </c>
      <c r="F819" s="2" t="str">
        <f>HYPERLINK("http://bbs.12365auto.com/postcontent.aspx?tId=195436","http://bbs.12365auto.com/postcontent.aspx?tId=195436")</f>
        <v>http://bbs.12365auto.com/postcontent.aspx?tId=195436</v>
      </c>
      <c r="G819" s="2"/>
      <c r="H819" s="2" t="s">
        <v>966</v>
      </c>
      <c r="I819" s="2" t="s">
        <v>15</v>
      </c>
      <c r="J819" s="2" t="s">
        <v>683</v>
      </c>
      <c r="K819" s="2" t="s">
        <v>1271</v>
      </c>
      <c r="L819" s="2">
        <f t="shared" si="12"/>
        <v>150</v>
      </c>
    </row>
    <row r="820" spans="1:12" ht="25" customHeight="1">
      <c r="A820" s="2" t="s">
        <v>12</v>
      </c>
      <c r="B820" s="2" t="str">
        <f>HYPERLINK("http://m.12365auto.com/bbs/postcontent.aspx?tID=195436","这几款时尚帅气的豪华SUV 满足你对个性的追求")</f>
        <v>这几款时尚帅气的豪华SUV 满足你对个性的追求</v>
      </c>
      <c r="C820" s="2" t="s">
        <v>13</v>
      </c>
      <c r="D820" s="2" t="s">
        <v>23</v>
      </c>
      <c r="E820" s="2"/>
      <c r="F820" s="2" t="str">
        <f>HYPERLINK("http://m.12365auto.com/bbs/postcontent.aspx?tID=195436","http://m.12365auto.com/bbs/postcontent.aspx?tID=195436")</f>
        <v>http://m.12365auto.com/bbs/postcontent.aspx?tID=195436</v>
      </c>
      <c r="G820" s="2"/>
      <c r="H820" s="2" t="s">
        <v>966</v>
      </c>
      <c r="I820" s="2" t="s">
        <v>15</v>
      </c>
      <c r="J820" s="2" t="s">
        <v>683</v>
      </c>
      <c r="K820" s="2" t="s">
        <v>1271</v>
      </c>
      <c r="L820" s="2">
        <f t="shared" si="12"/>
        <v>150</v>
      </c>
    </row>
    <row r="821" spans="1:12" ht="25" customHeight="1">
      <c r="A821" s="2" t="s">
        <v>12</v>
      </c>
      <c r="B821" s="2" t="str">
        <f>HYPERLINK("http://bbs.12365auto.com/postcontent.aspx?tID=195436","这几款时尚帅气的豪华SUV 满足你对个性的追求")</f>
        <v>这几款时尚帅气的豪华SUV 满足你对个性的追求</v>
      </c>
      <c r="C821" s="2" t="s">
        <v>13</v>
      </c>
      <c r="D821" s="2" t="s">
        <v>12</v>
      </c>
      <c r="E821" s="2" t="s">
        <v>214</v>
      </c>
      <c r="F821" s="2" t="str">
        <f>HYPERLINK("http://bbs.12365auto.com/postcontent.aspx?tID=195436","http://bbs.12365auto.com/postcontent.aspx?tID=195436")</f>
        <v>http://bbs.12365auto.com/postcontent.aspx?tID=195436</v>
      </c>
      <c r="G821" s="2"/>
      <c r="H821" s="2" t="s">
        <v>961</v>
      </c>
      <c r="I821" s="2" t="s">
        <v>15</v>
      </c>
      <c r="J821" s="2" t="s">
        <v>683</v>
      </c>
      <c r="K821" s="2" t="s">
        <v>1271</v>
      </c>
      <c r="L821" s="2">
        <f t="shared" si="12"/>
        <v>150</v>
      </c>
    </row>
    <row r="822" spans="1:12" ht="25" customHeight="1">
      <c r="A822" s="2" t="s">
        <v>12</v>
      </c>
      <c r="B822" s="2" t="str">
        <f>HYPERLINK("http://bbs.12365auto.com/postcontent.aspx?tId=195435","适合年轻人的合资轿车推荐 15万就可以买顶配")</f>
        <v>适合年轻人的合资轿车推荐 15万就可以买顶配</v>
      </c>
      <c r="C822" s="2" t="s">
        <v>13</v>
      </c>
      <c r="D822" s="2" t="s">
        <v>12</v>
      </c>
      <c r="E822" s="2" t="s">
        <v>210</v>
      </c>
      <c r="F822" s="2" t="str">
        <f>HYPERLINK("http://bbs.12365auto.com/postcontent.aspx?tId=195435","http://bbs.12365auto.com/postcontent.aspx?tId=195435")</f>
        <v>http://bbs.12365auto.com/postcontent.aspx?tId=195435</v>
      </c>
      <c r="G822" s="2"/>
      <c r="H822" s="2" t="s">
        <v>1272</v>
      </c>
      <c r="I822" s="2" t="s">
        <v>15</v>
      </c>
      <c r="J822" s="2" t="s">
        <v>683</v>
      </c>
      <c r="K822" s="2" t="s">
        <v>1273</v>
      </c>
      <c r="L822" s="2">
        <f t="shared" si="12"/>
        <v>150</v>
      </c>
    </row>
    <row r="823" spans="1:12" ht="25" customHeight="1">
      <c r="A823" s="2" t="s">
        <v>12</v>
      </c>
      <c r="B823" s="2" t="str">
        <f>HYPERLINK("http://m.12365auto.com/bbs/postcontent.aspx?tID=195435","适合年轻人的合资轿车推荐 15万就可以买顶配")</f>
        <v>适合年轻人的合资轿车推荐 15万就可以买顶配</v>
      </c>
      <c r="C823" s="2" t="s">
        <v>13</v>
      </c>
      <c r="D823" s="2" t="s">
        <v>23</v>
      </c>
      <c r="E823" s="2"/>
      <c r="F823" s="2" t="str">
        <f>HYPERLINK("http://m.12365auto.com/bbs/postcontent.aspx?tID=195435","http://m.12365auto.com/bbs/postcontent.aspx?tID=195435")</f>
        <v>http://m.12365auto.com/bbs/postcontent.aspx?tID=195435</v>
      </c>
      <c r="G823" s="2"/>
      <c r="H823" s="2" t="s">
        <v>1272</v>
      </c>
      <c r="I823" s="2" t="s">
        <v>15</v>
      </c>
      <c r="J823" s="2" t="s">
        <v>683</v>
      </c>
      <c r="K823" s="2" t="s">
        <v>1273</v>
      </c>
      <c r="L823" s="2">
        <f t="shared" si="12"/>
        <v>150</v>
      </c>
    </row>
    <row r="824" spans="1:12" ht="25" customHeight="1">
      <c r="A824" s="2" t="s">
        <v>12</v>
      </c>
      <c r="B824" s="2" t="str">
        <f>HYPERLINK("http://bbs.12365auto.com/postcontent.aspx?tID=195435","适合年轻人的合资轿车推荐 15万就可以买顶配")</f>
        <v>适合年轻人的合资轿车推荐 15万就可以买顶配</v>
      </c>
      <c r="C824" s="2" t="s">
        <v>13</v>
      </c>
      <c r="D824" s="2" t="s">
        <v>12</v>
      </c>
      <c r="E824" s="2" t="s">
        <v>214</v>
      </c>
      <c r="F824" s="2" t="str">
        <f>HYPERLINK("http://bbs.12365auto.com/postcontent.aspx?tID=195435","http://bbs.12365auto.com/postcontent.aspx?tID=195435")</f>
        <v>http://bbs.12365auto.com/postcontent.aspx?tID=195435</v>
      </c>
      <c r="G824" s="2"/>
      <c r="H824" s="2" t="s">
        <v>1274</v>
      </c>
      <c r="I824" s="2" t="s">
        <v>15</v>
      </c>
      <c r="J824" s="2" t="s">
        <v>683</v>
      </c>
      <c r="K824" s="2" t="s">
        <v>1273</v>
      </c>
      <c r="L824" s="2">
        <f t="shared" si="12"/>
        <v>150</v>
      </c>
    </row>
    <row r="825" spans="1:12" ht="25" customHeight="1">
      <c r="A825" s="2" t="s">
        <v>12</v>
      </c>
      <c r="B825" s="2" t="str">
        <f>HYPERLINK("http://bbs.12365auto.com/postcontent.aspx?tId=195434","20万你还可以买这3款B级轿车 不会“烂大街”")</f>
        <v>20万你还可以买这3款B级轿车 不会“烂大街”</v>
      </c>
      <c r="C825" s="2" t="s">
        <v>13</v>
      </c>
      <c r="D825" s="2" t="s">
        <v>12</v>
      </c>
      <c r="E825" s="2" t="s">
        <v>210</v>
      </c>
      <c r="F825" s="2" t="str">
        <f>HYPERLINK("http://bbs.12365auto.com/postcontent.aspx?tId=195434","http://bbs.12365auto.com/postcontent.aspx?tId=195434")</f>
        <v>http://bbs.12365auto.com/postcontent.aspx?tId=195434</v>
      </c>
      <c r="G825" s="2"/>
      <c r="H825" s="2" t="s">
        <v>1275</v>
      </c>
      <c r="I825" s="2" t="s">
        <v>15</v>
      </c>
      <c r="J825" s="2" t="s">
        <v>1276</v>
      </c>
      <c r="K825" s="2" t="s">
        <v>1277</v>
      </c>
      <c r="L825" s="2">
        <f t="shared" si="12"/>
        <v>150</v>
      </c>
    </row>
    <row r="826" spans="1:12" ht="25" customHeight="1">
      <c r="A826" s="2" t="s">
        <v>12</v>
      </c>
      <c r="B826" s="2" t="str">
        <f>HYPERLINK("http://m.12365auto.com/bbs/postcontent.aspx?tID=195434","20万你还可以买这3款B级轿车 不会“烂大街”")</f>
        <v>20万你还可以买这3款B级轿车 不会“烂大街”</v>
      </c>
      <c r="C826" s="2" t="s">
        <v>13</v>
      </c>
      <c r="D826" s="2" t="s">
        <v>23</v>
      </c>
      <c r="E826" s="2"/>
      <c r="F826" s="2" t="str">
        <f>HYPERLINK("http://m.12365auto.com/bbs/postcontent.aspx?tID=195434","http://m.12365auto.com/bbs/postcontent.aspx?tID=195434")</f>
        <v>http://m.12365auto.com/bbs/postcontent.aspx?tID=195434</v>
      </c>
      <c r="G826" s="2"/>
      <c r="H826" s="2" t="s">
        <v>1275</v>
      </c>
      <c r="I826" s="2" t="s">
        <v>15</v>
      </c>
      <c r="J826" s="2" t="s">
        <v>1276</v>
      </c>
      <c r="K826" s="2" t="s">
        <v>1277</v>
      </c>
      <c r="L826" s="2">
        <f t="shared" si="12"/>
        <v>150</v>
      </c>
    </row>
    <row r="827" spans="1:12" ht="25" customHeight="1">
      <c r="A827" s="2" t="s">
        <v>12</v>
      </c>
      <c r="B827" s="2" t="str">
        <f>HYPERLINK("http://bbs.12365auto.com/postcontent.aspx?tID=195434","20万你还可以买这3款B级轿车 不会“烂大街”")</f>
        <v>20万你还可以买这3款B级轿车 不会“烂大街”</v>
      </c>
      <c r="C827" s="2" t="s">
        <v>13</v>
      </c>
      <c r="D827" s="2" t="s">
        <v>12</v>
      </c>
      <c r="E827" s="2" t="s">
        <v>214</v>
      </c>
      <c r="F827" s="2" t="str">
        <f>HYPERLINK("http://bbs.12365auto.com/postcontent.aspx?tID=195434","http://bbs.12365auto.com/postcontent.aspx?tID=195434")</f>
        <v>http://bbs.12365auto.com/postcontent.aspx?tID=195434</v>
      </c>
      <c r="G827" s="2"/>
      <c r="H827" s="2" t="s">
        <v>1278</v>
      </c>
      <c r="I827" s="2" t="s">
        <v>15</v>
      </c>
      <c r="J827" s="2" t="s">
        <v>1276</v>
      </c>
      <c r="K827" s="2" t="s">
        <v>1277</v>
      </c>
      <c r="L827" s="2">
        <f t="shared" si="12"/>
        <v>150</v>
      </c>
    </row>
    <row r="828" spans="1:12" ht="25" customHeight="1">
      <c r="A828" s="2" t="s">
        <v>12</v>
      </c>
      <c r="B828" s="2" t="str">
        <f>HYPERLINK("http://bbs.12365auto.com/postcontent.aspx?tId=195433","热血青年的梦 盘点中国市场上的亲民小钢炮")</f>
        <v>热血青年的梦 盘点中国市场上的亲民小钢炮</v>
      </c>
      <c r="C828" s="2" t="s">
        <v>13</v>
      </c>
      <c r="D828" s="2" t="s">
        <v>12</v>
      </c>
      <c r="E828" s="2" t="s">
        <v>210</v>
      </c>
      <c r="F828" s="2" t="str">
        <f>HYPERLINK("http://bbs.12365auto.com/postcontent.aspx?tId=195433","http://bbs.12365auto.com/postcontent.aspx?tId=195433")</f>
        <v>http://bbs.12365auto.com/postcontent.aspx?tId=195433</v>
      </c>
      <c r="G828" s="2"/>
      <c r="H828" s="2" t="s">
        <v>1279</v>
      </c>
      <c r="I828" s="2" t="s">
        <v>15</v>
      </c>
      <c r="J828" s="2" t="s">
        <v>1276</v>
      </c>
      <c r="K828" s="2" t="s">
        <v>1280</v>
      </c>
      <c r="L828" s="2">
        <f t="shared" si="12"/>
        <v>150</v>
      </c>
    </row>
    <row r="829" spans="1:12" ht="25" customHeight="1">
      <c r="A829" s="2" t="s">
        <v>12</v>
      </c>
      <c r="B829" s="2" t="str">
        <f>HYPERLINK("http://m.12365auto.com/bbs/postcontent.aspx?tID=195433","热血青年的梦 盘点中国市场上的亲民小钢炮")</f>
        <v>热血青年的梦 盘点中国市场上的亲民小钢炮</v>
      </c>
      <c r="C829" s="2" t="s">
        <v>13</v>
      </c>
      <c r="D829" s="2" t="s">
        <v>23</v>
      </c>
      <c r="E829" s="2"/>
      <c r="F829" s="2" t="str">
        <f>HYPERLINK("http://m.12365auto.com/bbs/postcontent.aspx?tID=195433","http://m.12365auto.com/bbs/postcontent.aspx?tID=195433")</f>
        <v>http://m.12365auto.com/bbs/postcontent.aspx?tID=195433</v>
      </c>
      <c r="G829" s="2"/>
      <c r="H829" s="2" t="s">
        <v>1279</v>
      </c>
      <c r="I829" s="2" t="s">
        <v>15</v>
      </c>
      <c r="J829" s="2" t="s">
        <v>1276</v>
      </c>
      <c r="K829" s="2" t="s">
        <v>1280</v>
      </c>
      <c r="L829" s="2">
        <f t="shared" si="12"/>
        <v>150</v>
      </c>
    </row>
    <row r="830" spans="1:12" ht="25" customHeight="1">
      <c r="A830" s="2" t="s">
        <v>12</v>
      </c>
      <c r="B830" s="2" t="str">
        <f>HYPERLINK("http://bbs.12365auto.com/postcontent.aspx?tID=195433","热血青年的梦 盘点中国市场上的亲民小钢炮")</f>
        <v>热血青年的梦 盘点中国市场上的亲民小钢炮</v>
      </c>
      <c r="C830" s="2" t="s">
        <v>13</v>
      </c>
      <c r="D830" s="2" t="s">
        <v>12</v>
      </c>
      <c r="E830" s="2" t="s">
        <v>214</v>
      </c>
      <c r="F830" s="2" t="str">
        <f>HYPERLINK("http://bbs.12365auto.com/postcontent.aspx?tID=195433","http://bbs.12365auto.com/postcontent.aspx?tID=195433")</f>
        <v>http://bbs.12365auto.com/postcontent.aspx?tID=195433</v>
      </c>
      <c r="G830" s="2"/>
      <c r="H830" s="2" t="s">
        <v>1281</v>
      </c>
      <c r="I830" s="2" t="s">
        <v>15</v>
      </c>
      <c r="J830" s="2" t="s">
        <v>1276</v>
      </c>
      <c r="K830" s="2" t="s">
        <v>1280</v>
      </c>
      <c r="L830" s="2">
        <f t="shared" si="12"/>
        <v>150</v>
      </c>
    </row>
    <row r="831" spans="1:12" ht="25" customHeight="1">
      <c r="A831" s="2" t="s">
        <v>12</v>
      </c>
      <c r="B831" s="2" t="str">
        <f>HYPERLINK("http://m.12365auto.com/zjdy/20200227/121723.shtml","吉利帝豪行驶时仪表台异响如何拆仪表台？")</f>
        <v>吉利帝豪行驶时仪表台异响如何拆仪表台？</v>
      </c>
      <c r="C831" s="2" t="s">
        <v>13</v>
      </c>
      <c r="D831" s="2" t="s">
        <v>12</v>
      </c>
      <c r="E831" s="2"/>
      <c r="F831" s="2" t="str">
        <f>HYPERLINK("http://m.12365auto.com/zjdy/20200227/121723.shtml","http://m.12365auto.com/zjdy/20200227/121723.shtml")</f>
        <v>http://m.12365auto.com/zjdy/20200227/121723.shtml</v>
      </c>
      <c r="G831" s="2"/>
      <c r="H831" s="2" t="s">
        <v>1282</v>
      </c>
      <c r="I831" s="2" t="s">
        <v>19</v>
      </c>
      <c r="J831" s="2" t="s">
        <v>12</v>
      </c>
      <c r="K831" s="2" t="s">
        <v>1283</v>
      </c>
      <c r="L831" s="2">
        <f t="shared" si="12"/>
        <v>50</v>
      </c>
    </row>
    <row r="832" spans="1:12" ht="25" customHeight="1">
      <c r="A832" s="2" t="s">
        <v>12</v>
      </c>
      <c r="B832" s="2" t="str">
        <f>HYPERLINK("http://www.12365auto.com/zlts/20200228/449129.shtml","北京现代菲斯塔内饰有黄斑 发动机有异响")</f>
        <v>北京现代菲斯塔内饰有黄斑 发动机有异响</v>
      </c>
      <c r="C832" s="2" t="s">
        <v>13</v>
      </c>
      <c r="D832" s="2" t="s">
        <v>12</v>
      </c>
      <c r="E832" s="2" t="s">
        <v>17</v>
      </c>
      <c r="F832" s="2" t="str">
        <f>HYPERLINK("http://www.12365auto.com/zlts/20200228/449129.shtml","http://www.12365auto.com/zlts/20200228/449129.shtml")</f>
        <v>http://www.12365auto.com/zlts/20200228/449129.shtml</v>
      </c>
      <c r="G832" s="2"/>
      <c r="H832" s="2" t="s">
        <v>1284</v>
      </c>
      <c r="I832" s="2" t="s">
        <v>15</v>
      </c>
      <c r="J832" s="2" t="s">
        <v>12</v>
      </c>
      <c r="K832" s="2" t="s">
        <v>1285</v>
      </c>
      <c r="L832" s="2">
        <f t="shared" si="12"/>
        <v>150</v>
      </c>
    </row>
    <row r="833" spans="1:12" ht="25" customHeight="1">
      <c r="A833" s="2" t="s">
        <v>12</v>
      </c>
      <c r="B833" s="2" t="str">
        <f>HYPERLINK("http://m.12365auto.com/zjdy/20200227/121724.shtml","福特蒙迪欧挂倒挡时顿挫如何处理？")</f>
        <v>福特蒙迪欧挂倒挡时顿挫如何处理？</v>
      </c>
      <c r="C833" s="2" t="s">
        <v>13</v>
      </c>
      <c r="D833" s="2" t="s">
        <v>12</v>
      </c>
      <c r="E833" s="2"/>
      <c r="F833" s="2" t="str">
        <f>HYPERLINK("http://m.12365auto.com/zjdy/20200227/121724.shtml","http://m.12365auto.com/zjdy/20200227/121724.shtml")</f>
        <v>http://m.12365auto.com/zjdy/20200227/121724.shtml</v>
      </c>
      <c r="G833" s="2"/>
      <c r="H833" s="2" t="s">
        <v>1286</v>
      </c>
      <c r="I833" s="2" t="s">
        <v>19</v>
      </c>
      <c r="J833" s="2" t="s">
        <v>12</v>
      </c>
      <c r="K833" s="2" t="s">
        <v>1287</v>
      </c>
      <c r="L833" s="2">
        <f t="shared" si="12"/>
        <v>64</v>
      </c>
    </row>
    <row r="834" spans="1:12" ht="25" customHeight="1">
      <c r="A834" s="2" t="s">
        <v>12</v>
      </c>
      <c r="B834" s="2" t="str">
        <f>HYPERLINK("http://m.12365auto.com/zjdy/20200227/121721.shtml","迈腾车顶部异响是什么原因该检查哪里？")</f>
        <v>迈腾车顶部异响是什么原因该检查哪里？</v>
      </c>
      <c r="C834" s="2" t="s">
        <v>13</v>
      </c>
      <c r="D834" s="2" t="s">
        <v>12</v>
      </c>
      <c r="E834" s="2"/>
      <c r="F834" s="2" t="str">
        <f>HYPERLINK("http://m.12365auto.com/zjdy/20200227/121721.shtml","http://m.12365auto.com/zjdy/20200227/121721.shtml")</f>
        <v>http://m.12365auto.com/zjdy/20200227/121721.shtml</v>
      </c>
      <c r="G834" s="2"/>
      <c r="H834" s="2" t="s">
        <v>1288</v>
      </c>
      <c r="I834" s="2" t="s">
        <v>19</v>
      </c>
      <c r="J834" s="2" t="s">
        <v>12</v>
      </c>
      <c r="K834" s="2" t="s">
        <v>1289</v>
      </c>
      <c r="L834" s="2">
        <f t="shared" si="12"/>
        <v>57</v>
      </c>
    </row>
    <row r="835" spans="1:12" ht="25" customHeight="1">
      <c r="A835" s="2" t="s">
        <v>12</v>
      </c>
      <c r="B835" s="2" t="str">
        <f>HYPERLINK("http://m.12365auto.com/zjdy/20200227/121719.shtml","以下几款哪款质量较好更值得购买？")</f>
        <v>以下几款哪款质量较好更值得购买？</v>
      </c>
      <c r="C835" s="2" t="s">
        <v>13</v>
      </c>
      <c r="D835" s="2" t="s">
        <v>12</v>
      </c>
      <c r="E835" s="2"/>
      <c r="F835" s="2" t="str">
        <f>HYPERLINK("http://m.12365auto.com/zjdy/20200227/121719.shtml","http://m.12365auto.com/zjdy/20200227/121719.shtml")</f>
        <v>http://m.12365auto.com/zjdy/20200227/121719.shtml</v>
      </c>
      <c r="G835" s="2"/>
      <c r="H835" s="2" t="s">
        <v>1290</v>
      </c>
      <c r="I835" s="2" t="s">
        <v>19</v>
      </c>
      <c r="J835" s="2" t="s">
        <v>12</v>
      </c>
      <c r="K835" s="2" t="s">
        <v>1291</v>
      </c>
      <c r="L835" s="2">
        <f t="shared" ref="L835:L898" si="13">LEN(H835)</f>
        <v>69</v>
      </c>
    </row>
    <row r="836" spans="1:12" ht="25" customHeight="1">
      <c r="A836" s="2" t="s">
        <v>12</v>
      </c>
      <c r="B836" s="2" t="str">
        <f>HYPERLINK("http://m.12365auto.com/zjdy/20200227/121716.shtml","海马8S这款车的质量怎么样值得购买吗？")</f>
        <v>海马8S这款车的质量怎么样值得购买吗？</v>
      </c>
      <c r="C836" s="2" t="s">
        <v>13</v>
      </c>
      <c r="D836" s="2" t="s">
        <v>12</v>
      </c>
      <c r="E836" s="2"/>
      <c r="F836" s="2" t="str">
        <f>HYPERLINK("http://m.12365auto.com/zjdy/20200227/121716.shtml","http://m.12365auto.com/zjdy/20200227/121716.shtml")</f>
        <v>http://m.12365auto.com/zjdy/20200227/121716.shtml</v>
      </c>
      <c r="G836" s="2"/>
      <c r="H836" s="2" t="s">
        <v>1292</v>
      </c>
      <c r="I836" s="2" t="s">
        <v>19</v>
      </c>
      <c r="J836" s="2" t="s">
        <v>12</v>
      </c>
      <c r="K836" s="2" t="s">
        <v>1291</v>
      </c>
      <c r="L836" s="2">
        <f t="shared" si="13"/>
        <v>25</v>
      </c>
    </row>
    <row r="837" spans="1:12" ht="25" customHeight="1">
      <c r="A837" s="2" t="s">
        <v>12</v>
      </c>
      <c r="B837" s="2" t="str">
        <f>HYPERLINK("http://m.12365auto.com/zjdy/20200227/121717.shtml","刚买的新车全车玻璃出现裂纹该如何维权？")</f>
        <v>刚买的新车全车玻璃出现裂纹该如何维权？</v>
      </c>
      <c r="C837" s="2" t="s">
        <v>13</v>
      </c>
      <c r="D837" s="2" t="s">
        <v>12</v>
      </c>
      <c r="E837" s="2"/>
      <c r="F837" s="2" t="str">
        <f>HYPERLINK("http://m.12365auto.com/zjdy/20200227/121717.shtml","http://m.12365auto.com/zjdy/20200227/121717.shtml")</f>
        <v>http://m.12365auto.com/zjdy/20200227/121717.shtml</v>
      </c>
      <c r="G837" s="2"/>
      <c r="H837" s="2" t="s">
        <v>1293</v>
      </c>
      <c r="I837" s="2" t="s">
        <v>19</v>
      </c>
      <c r="J837" s="2" t="s">
        <v>12</v>
      </c>
      <c r="K837" s="2" t="s">
        <v>1291</v>
      </c>
      <c r="L837" s="2">
        <f t="shared" si="13"/>
        <v>19</v>
      </c>
    </row>
    <row r="838" spans="1:12" ht="25" customHeight="1">
      <c r="A838" s="2" t="s">
        <v>12</v>
      </c>
      <c r="B838" s="2" t="str">
        <f>HYPERLINK("http://m.12365auto.com/zjdy/20200227/121722.shtml","冷车换挡困难热车消失是什么原因导致的？")</f>
        <v>冷车换挡困难热车消失是什么原因导致的？</v>
      </c>
      <c r="C838" s="2" t="s">
        <v>13</v>
      </c>
      <c r="D838" s="2" t="s">
        <v>12</v>
      </c>
      <c r="E838" s="2"/>
      <c r="F838" s="2" t="str">
        <f>HYPERLINK("http://m.12365auto.com/zjdy/20200227/121722.shtml","http://m.12365auto.com/zjdy/20200227/121722.shtml")</f>
        <v>http://m.12365auto.com/zjdy/20200227/121722.shtml</v>
      </c>
      <c r="G838" s="2"/>
      <c r="H838" s="2" t="s">
        <v>1294</v>
      </c>
      <c r="I838" s="2" t="s">
        <v>19</v>
      </c>
      <c r="J838" s="2" t="s">
        <v>12</v>
      </c>
      <c r="K838" s="2" t="s">
        <v>1291</v>
      </c>
      <c r="L838" s="2">
        <f t="shared" si="13"/>
        <v>42</v>
      </c>
    </row>
    <row r="839" spans="1:12" ht="25" customHeight="1">
      <c r="A839" s="2" t="s">
        <v>12</v>
      </c>
      <c r="B839" s="2" t="str">
        <f>HYPERLINK("http://m.12365auto.com/zjdy/20200227/121711.shtml","自动启停功能在什么情况下不能用？")</f>
        <v>自动启停功能在什么情况下不能用？</v>
      </c>
      <c r="C839" s="2" t="s">
        <v>13</v>
      </c>
      <c r="D839" s="2" t="s">
        <v>12</v>
      </c>
      <c r="E839" s="2"/>
      <c r="F839" s="2" t="str">
        <f>HYPERLINK("http://m.12365auto.com/zjdy/20200227/121711.shtml","http://m.12365auto.com/zjdy/20200227/121711.shtml")</f>
        <v>http://m.12365auto.com/zjdy/20200227/121711.shtml</v>
      </c>
      <c r="G839" s="2"/>
      <c r="H839" s="2" t="s">
        <v>1295</v>
      </c>
      <c r="I839" s="2" t="s">
        <v>19</v>
      </c>
      <c r="J839" s="2" t="s">
        <v>12</v>
      </c>
      <c r="K839" s="2" t="s">
        <v>1296</v>
      </c>
      <c r="L839" s="2">
        <f t="shared" si="13"/>
        <v>38</v>
      </c>
    </row>
    <row r="840" spans="1:12" ht="25" customHeight="1">
      <c r="A840" s="2" t="s">
        <v>12</v>
      </c>
      <c r="B840" s="2" t="str">
        <f>HYPERLINK("http://m.12365auto.com/zjdy/20200227/121725.shtml","宝骏360这款车落地价格8万元贵不贵？")</f>
        <v>宝骏360这款车落地价格8万元贵不贵？</v>
      </c>
      <c r="C840" s="2" t="s">
        <v>13</v>
      </c>
      <c r="D840" s="2" t="s">
        <v>12</v>
      </c>
      <c r="E840" s="2"/>
      <c r="F840" s="2" t="str">
        <f>HYPERLINK("http://m.12365auto.com/zjdy/20200227/121725.shtml","http://m.12365auto.com/zjdy/20200227/121725.shtml")</f>
        <v>http://m.12365auto.com/zjdy/20200227/121725.shtml</v>
      </c>
      <c r="G840" s="2"/>
      <c r="H840" s="2" t="s">
        <v>1297</v>
      </c>
      <c r="I840" s="2" t="s">
        <v>19</v>
      </c>
      <c r="J840" s="2" t="s">
        <v>12</v>
      </c>
      <c r="K840" s="2" t="s">
        <v>1296</v>
      </c>
      <c r="L840" s="2">
        <f t="shared" si="13"/>
        <v>32</v>
      </c>
    </row>
    <row r="841" spans="1:12" ht="25" customHeight="1">
      <c r="A841" s="2" t="s">
        <v>12</v>
      </c>
      <c r="B841" s="2" t="str">
        <f>HYPERLINK("http://m.12365auto.com/zjdy/20200227/121726.shtml","荣威i5经销商不给购车合同应该如何处理？")</f>
        <v>荣威i5经销商不给购车合同应该如何处理？</v>
      </c>
      <c r="C841" s="2" t="s">
        <v>13</v>
      </c>
      <c r="D841" s="2" t="s">
        <v>12</v>
      </c>
      <c r="E841" s="2"/>
      <c r="F841" s="2" t="str">
        <f>HYPERLINK("http://m.12365auto.com/zjdy/20200227/121726.shtml","http://m.12365auto.com/zjdy/20200227/121726.shtml")</f>
        <v>http://m.12365auto.com/zjdy/20200227/121726.shtml</v>
      </c>
      <c r="G841" s="2"/>
      <c r="H841" s="2" t="s">
        <v>1298</v>
      </c>
      <c r="I841" s="2" t="s">
        <v>19</v>
      </c>
      <c r="J841" s="2" t="s">
        <v>12</v>
      </c>
      <c r="K841" s="2" t="s">
        <v>1299</v>
      </c>
      <c r="L841" s="2">
        <f t="shared" si="13"/>
        <v>150</v>
      </c>
    </row>
    <row r="842" spans="1:12" ht="25" customHeight="1">
      <c r="A842" s="2" t="s">
        <v>12</v>
      </c>
      <c r="B842" s="2" t="str">
        <f>HYPERLINK("http://m.12365auto.com/zjdy/20200227/121720.shtml","2017款福特蒙迪欧变速箱异响怎么维权？")</f>
        <v>2017款福特蒙迪欧变速箱异响怎么维权？</v>
      </c>
      <c r="C842" s="2" t="s">
        <v>13</v>
      </c>
      <c r="D842" s="2" t="s">
        <v>12</v>
      </c>
      <c r="E842" s="2"/>
      <c r="F842" s="2" t="str">
        <f>HYPERLINK("http://m.12365auto.com/zjdy/20200227/121720.shtml","http://m.12365auto.com/zjdy/20200227/121720.shtml")</f>
        <v>http://m.12365auto.com/zjdy/20200227/121720.shtml</v>
      </c>
      <c r="G842" s="2"/>
      <c r="H842" s="2" t="s">
        <v>1300</v>
      </c>
      <c r="I842" s="2" t="s">
        <v>19</v>
      </c>
      <c r="J842" s="2" t="s">
        <v>12</v>
      </c>
      <c r="K842" s="2" t="s">
        <v>1301</v>
      </c>
      <c r="L842" s="2">
        <f t="shared" si="13"/>
        <v>20</v>
      </c>
    </row>
    <row r="843" spans="1:12" ht="25" customHeight="1">
      <c r="A843" s="2" t="s">
        <v>12</v>
      </c>
      <c r="B843" s="2" t="str">
        <f>HYPERLINK("http://m.12365auto.com/zjdy/20200228/121727.shtml","福克斯变速箱只有一挡是什么原因？")</f>
        <v>福克斯变速箱只有一挡是什么原因？</v>
      </c>
      <c r="C843" s="2" t="s">
        <v>13</v>
      </c>
      <c r="D843" s="2" t="s">
        <v>12</v>
      </c>
      <c r="E843" s="2"/>
      <c r="F843" s="2" t="str">
        <f>HYPERLINK("http://m.12365auto.com/zjdy/20200228/121727.shtml","http://m.12365auto.com/zjdy/20200228/121727.shtml")</f>
        <v>http://m.12365auto.com/zjdy/20200228/121727.shtml</v>
      </c>
      <c r="G843" s="2"/>
      <c r="H843" s="2" t="s">
        <v>1302</v>
      </c>
      <c r="I843" s="2" t="s">
        <v>19</v>
      </c>
      <c r="J843" s="2" t="s">
        <v>12</v>
      </c>
      <c r="K843" s="2" t="s">
        <v>1303</v>
      </c>
      <c r="L843" s="2">
        <f t="shared" si="13"/>
        <v>50</v>
      </c>
    </row>
    <row r="844" spans="1:12" ht="25" customHeight="1">
      <c r="A844" s="2" t="s">
        <v>12</v>
      </c>
      <c r="B844" s="2" t="str">
        <f>HYPERLINK("http://m.12365auto.com/xcdg/20200228/419762.shtml","动感新装 保时捷Taycan运动套件版官图发布")</f>
        <v>动感新装 保时捷Taycan运动套件版官图发布</v>
      </c>
      <c r="C844" s="2" t="s">
        <v>13</v>
      </c>
      <c r="D844" s="2" t="s">
        <v>12</v>
      </c>
      <c r="E844" s="2"/>
      <c r="F844" s="2" t="str">
        <f>HYPERLINK("http://m.12365auto.com/xcdg/20200228/419762.shtml","http://m.12365auto.com/xcdg/20200228/419762.shtml")</f>
        <v>http://m.12365auto.com/xcdg/20200228/419762.shtml</v>
      </c>
      <c r="G844" s="2"/>
      <c r="H844" s="2" t="s">
        <v>1304</v>
      </c>
      <c r="I844" s="2" t="s">
        <v>19</v>
      </c>
      <c r="J844" s="2" t="s">
        <v>1305</v>
      </c>
      <c r="K844" s="2" t="s">
        <v>1306</v>
      </c>
      <c r="L844" s="2">
        <f t="shared" si="13"/>
        <v>150</v>
      </c>
    </row>
    <row r="845" spans="1:12" ht="25" customHeight="1">
      <c r="A845" s="2" t="s">
        <v>12</v>
      </c>
      <c r="B845" s="2" t="str">
        <f>HYPERLINK("http://www.12365auto.com/xcdg/20200228/419762.shtml","动感新装 保时捷Taycan运动套件版官图发布")</f>
        <v>动感新装 保时捷Taycan运动套件版官图发布</v>
      </c>
      <c r="C845" s="2" t="s">
        <v>13</v>
      </c>
      <c r="D845" s="2" t="s">
        <v>12</v>
      </c>
      <c r="E845" s="2" t="s">
        <v>216</v>
      </c>
      <c r="F845" s="2" t="str">
        <f>HYPERLINK("http://www.12365auto.com/xcdg/20200228/419762.shtml","http://www.12365auto.com/xcdg/20200228/419762.shtml")</f>
        <v>http://www.12365auto.com/xcdg/20200228/419762.shtml</v>
      </c>
      <c r="G845" s="2"/>
      <c r="H845" s="2" t="s">
        <v>1307</v>
      </c>
      <c r="I845" s="2" t="s">
        <v>15</v>
      </c>
      <c r="J845" s="2" t="s">
        <v>12</v>
      </c>
      <c r="K845" s="2" t="s">
        <v>1306</v>
      </c>
      <c r="L845" s="2">
        <f t="shared" si="13"/>
        <v>150</v>
      </c>
    </row>
    <row r="846" spans="1:12" ht="25" customHeight="1">
      <c r="A846" s="2" t="s">
        <v>12</v>
      </c>
      <c r="B846" s="2" t="str">
        <f>HYPERLINK("http://m.12365auto.com/zjdy/20200227/121707.shtml","停放一天后车辆启动困难是什么原因？")</f>
        <v>停放一天后车辆启动困难是什么原因？</v>
      </c>
      <c r="C846" s="2" t="s">
        <v>13</v>
      </c>
      <c r="D846" s="2" t="s">
        <v>12</v>
      </c>
      <c r="E846" s="2"/>
      <c r="F846" s="2" t="str">
        <f>HYPERLINK("http://m.12365auto.com/zjdy/20200227/121707.shtml","http://m.12365auto.com/zjdy/20200227/121707.shtml")</f>
        <v>http://m.12365auto.com/zjdy/20200227/121707.shtml</v>
      </c>
      <c r="G846" s="2"/>
      <c r="H846" s="2" t="s">
        <v>1308</v>
      </c>
      <c r="I846" s="2" t="s">
        <v>19</v>
      </c>
      <c r="J846" s="2" t="s">
        <v>12</v>
      </c>
      <c r="K846" s="2" t="s">
        <v>1309</v>
      </c>
      <c r="L846" s="2">
        <f t="shared" si="13"/>
        <v>75</v>
      </c>
    </row>
    <row r="847" spans="1:12" ht="25" customHeight="1">
      <c r="A847" s="2" t="s">
        <v>12</v>
      </c>
      <c r="B847" s="2" t="str">
        <f>HYPERLINK("http://m.12365auto.com/zjdy/20200227/121708.shtml","平均油耗显示油耗突然增高是什么情况？")</f>
        <v>平均油耗显示油耗突然增高是什么情况？</v>
      </c>
      <c r="C847" s="2" t="s">
        <v>13</v>
      </c>
      <c r="D847" s="2" t="s">
        <v>12</v>
      </c>
      <c r="E847" s="2"/>
      <c r="F847" s="2" t="str">
        <f>HYPERLINK("http://m.12365auto.com/zjdy/20200227/121708.shtml","http://m.12365auto.com/zjdy/20200227/121708.shtml")</f>
        <v>http://m.12365auto.com/zjdy/20200227/121708.shtml</v>
      </c>
      <c r="G847" s="2"/>
      <c r="H847" s="2" t="s">
        <v>1310</v>
      </c>
      <c r="I847" s="2" t="s">
        <v>19</v>
      </c>
      <c r="J847" s="2" t="s">
        <v>12</v>
      </c>
      <c r="K847" s="2" t="s">
        <v>1311</v>
      </c>
      <c r="L847" s="2">
        <f t="shared" si="13"/>
        <v>30</v>
      </c>
    </row>
    <row r="848" spans="1:12" ht="25" customHeight="1">
      <c r="A848" s="2" t="s">
        <v>12</v>
      </c>
      <c r="B848" s="2" t="str">
        <f>HYPERLINK("http://www.12365auto.com/xcdg/20200228/419763.shtml","搭配混动系统 本田JAZZ更多信息曝光")</f>
        <v>搭配混动系统 本田JAZZ更多信息曝光</v>
      </c>
      <c r="C848" s="2" t="s">
        <v>13</v>
      </c>
      <c r="D848" s="2" t="s">
        <v>12</v>
      </c>
      <c r="E848" s="2" t="s">
        <v>216</v>
      </c>
      <c r="F848" s="2" t="str">
        <f>HYPERLINK("http://www.12365auto.com/xcdg/20200228/419763.shtml","http://www.12365auto.com/xcdg/20200228/419763.shtml")</f>
        <v>http://www.12365auto.com/xcdg/20200228/419763.shtml</v>
      </c>
      <c r="G848" s="2"/>
      <c r="H848" s="2" t="s">
        <v>1312</v>
      </c>
      <c r="I848" s="2" t="s">
        <v>15</v>
      </c>
      <c r="J848" s="2" t="s">
        <v>12</v>
      </c>
      <c r="K848" s="2" t="s">
        <v>1313</v>
      </c>
      <c r="L848" s="2">
        <f t="shared" si="13"/>
        <v>150</v>
      </c>
    </row>
    <row r="849" spans="1:12" ht="25" customHeight="1">
      <c r="A849" s="2" t="s">
        <v>12</v>
      </c>
      <c r="B849" s="2" t="str">
        <f>HYPERLINK("http://www.12365auto.com/zlts/20200228/449127.shtml","东风雪铁龙爱丽舍行驶过程中变速箱顿挫")</f>
        <v>东风雪铁龙爱丽舍行驶过程中变速箱顿挫</v>
      </c>
      <c r="C849" s="2" t="s">
        <v>13</v>
      </c>
      <c r="D849" s="2" t="s">
        <v>12</v>
      </c>
      <c r="E849" s="2" t="s">
        <v>17</v>
      </c>
      <c r="F849" s="2" t="str">
        <f>HYPERLINK("http://www.12365auto.com/zlts/20200228/449127.shtml","http://www.12365auto.com/zlts/20200228/449127.shtml")</f>
        <v>http://www.12365auto.com/zlts/20200228/449127.shtml</v>
      </c>
      <c r="G849" s="2"/>
      <c r="H849" s="2" t="s">
        <v>1314</v>
      </c>
      <c r="I849" s="2" t="s">
        <v>15</v>
      </c>
      <c r="J849" s="2" t="s">
        <v>12</v>
      </c>
      <c r="K849" s="2" t="s">
        <v>1315</v>
      </c>
      <c r="L849" s="2">
        <f t="shared" si="13"/>
        <v>150</v>
      </c>
    </row>
    <row r="850" spans="1:12" ht="25" customHeight="1">
      <c r="A850" s="2" t="s">
        <v>12</v>
      </c>
      <c r="B850" s="2" t="str">
        <f>HYPERLINK("http://www.12365auto.com/xcdg/20200228/419760.shtml","城市通勤小精灵 新款大众e-UP！新车图解")</f>
        <v>城市通勤小精灵 新款大众e-UP！新车图解</v>
      </c>
      <c r="C850" s="2" t="s">
        <v>13</v>
      </c>
      <c r="D850" s="2" t="s">
        <v>12</v>
      </c>
      <c r="E850" s="2" t="s">
        <v>216</v>
      </c>
      <c r="F850" s="2" t="str">
        <f>HYPERLINK("http://www.12365auto.com/xcdg/20200228/419760.shtml","http://www.12365auto.com/xcdg/20200228/419760.shtml")</f>
        <v>http://www.12365auto.com/xcdg/20200228/419760.shtml</v>
      </c>
      <c r="G850" s="2"/>
      <c r="H850" s="2" t="s">
        <v>1316</v>
      </c>
      <c r="I850" s="2" t="s">
        <v>15</v>
      </c>
      <c r="J850" s="2" t="s">
        <v>12</v>
      </c>
      <c r="K850" s="2" t="s">
        <v>1317</v>
      </c>
      <c r="L850" s="2">
        <f t="shared" si="13"/>
        <v>150</v>
      </c>
    </row>
    <row r="851" spans="1:12" ht="25" customHeight="1">
      <c r="A851" s="2" t="s">
        <v>12</v>
      </c>
      <c r="B851" s="2" t="str">
        <f>HYPERLINK("http://www.12365auto.com/news/20200228/419761.shtml","疫情期间 如何打造安全健康的车内环境")</f>
        <v>疫情期间 如何打造安全健康的车内环境</v>
      </c>
      <c r="C851" s="2" t="s">
        <v>13</v>
      </c>
      <c r="D851" s="2" t="s">
        <v>12</v>
      </c>
      <c r="E851" s="2" t="s">
        <v>372</v>
      </c>
      <c r="F851" s="2" t="str">
        <f>HYPERLINK("http://www.12365auto.com/news/20200228/419761.shtml","http://www.12365auto.com/news/20200228/419761.shtml")</f>
        <v>http://www.12365auto.com/news/20200228/419761.shtml</v>
      </c>
      <c r="G851" s="2"/>
      <c r="H851" s="2" t="s">
        <v>1318</v>
      </c>
      <c r="I851" s="2" t="s">
        <v>15</v>
      </c>
      <c r="J851" s="2" t="s">
        <v>12</v>
      </c>
      <c r="K851" s="2" t="s">
        <v>1317</v>
      </c>
      <c r="L851" s="2">
        <f t="shared" si="13"/>
        <v>150</v>
      </c>
    </row>
    <row r="852" spans="1:12" ht="25" customHeight="1">
      <c r="A852" s="2" t="s">
        <v>12</v>
      </c>
      <c r="B852" s="2" t="str">
        <f>HYPERLINK("http://www.12365auto.com/dcbg/20200228/419758.shtml","2019年度国内紧凑型车投诉排行榜")</f>
        <v>2019年度国内紧凑型车投诉排行榜</v>
      </c>
      <c r="C852" s="2" t="s">
        <v>13</v>
      </c>
      <c r="D852" s="2" t="s">
        <v>12</v>
      </c>
      <c r="E852" s="2" t="s">
        <v>1319</v>
      </c>
      <c r="F852" s="2" t="str">
        <f>HYPERLINK("http://www.12365auto.com/dcbg/20200228/419758.shtml","http://www.12365auto.com/dcbg/20200228/419758.shtml")</f>
        <v>http://www.12365auto.com/dcbg/20200228/419758.shtml</v>
      </c>
      <c r="G852" s="2"/>
      <c r="H852" s="2" t="s">
        <v>1320</v>
      </c>
      <c r="I852" s="2" t="s">
        <v>15</v>
      </c>
      <c r="J852" s="2" t="s">
        <v>12</v>
      </c>
      <c r="K852" s="2" t="s">
        <v>1317</v>
      </c>
      <c r="L852" s="2">
        <f t="shared" si="13"/>
        <v>150</v>
      </c>
    </row>
    <row r="853" spans="1:12" ht="25" customHeight="1">
      <c r="A853" s="2" t="s">
        <v>12</v>
      </c>
      <c r="B853" s="2" t="str">
        <f>HYPERLINK("http://m.12365auto.com/dcbg/20200228/419758.shtml","2019年度国内紧凑型车投诉排行榜")</f>
        <v>2019年度国内紧凑型车投诉排行榜</v>
      </c>
      <c r="C853" s="2" t="s">
        <v>13</v>
      </c>
      <c r="D853" s="2" t="s">
        <v>12</v>
      </c>
      <c r="E853" s="2"/>
      <c r="F853" s="2" t="str">
        <f>HYPERLINK("http://m.12365auto.com/dcbg/20200228/419758.shtml","http://m.12365auto.com/dcbg/20200228/419758.shtml")</f>
        <v>http://m.12365auto.com/dcbg/20200228/419758.shtml</v>
      </c>
      <c r="G853" s="2"/>
      <c r="H853" s="2" t="s">
        <v>1321</v>
      </c>
      <c r="I853" s="2" t="s">
        <v>19</v>
      </c>
      <c r="J853" s="2" t="s">
        <v>1322</v>
      </c>
      <c r="K853" s="2" t="s">
        <v>1317</v>
      </c>
      <c r="L853" s="2">
        <f t="shared" si="13"/>
        <v>150</v>
      </c>
    </row>
    <row r="854" spans="1:12" ht="25" customHeight="1">
      <c r="A854" s="2" t="s">
        <v>12</v>
      </c>
      <c r="B854" s="2" t="str">
        <f>HYPERLINK("http://m.12365auto.com/news/20200228/419761.shtml","疫情期间 如何打造安全健康的车内环境")</f>
        <v>疫情期间 如何打造安全健康的车内环境</v>
      </c>
      <c r="C854" s="2" t="s">
        <v>13</v>
      </c>
      <c r="D854" s="2" t="s">
        <v>12</v>
      </c>
      <c r="E854" s="2"/>
      <c r="F854" s="2" t="str">
        <f>HYPERLINK("http://m.12365auto.com/news/20200228/419761.shtml","http://m.12365auto.com/news/20200228/419761.shtml")</f>
        <v>http://m.12365auto.com/news/20200228/419761.shtml</v>
      </c>
      <c r="G854" s="2"/>
      <c r="H854" s="2" t="s">
        <v>1323</v>
      </c>
      <c r="I854" s="2" t="s">
        <v>19</v>
      </c>
      <c r="J854" s="2" t="s">
        <v>369</v>
      </c>
      <c r="K854" s="2" t="s">
        <v>1317</v>
      </c>
      <c r="L854" s="2">
        <f t="shared" si="13"/>
        <v>150</v>
      </c>
    </row>
    <row r="855" spans="1:12" ht="25" customHeight="1">
      <c r="A855" s="2" t="s">
        <v>12</v>
      </c>
      <c r="B855" s="2" t="str">
        <f>HYPERLINK("http://m.12365auto.com/xcdg/20200228/419760.shtml","城市通勤小精灵 新款大众e-UP！新车图解")</f>
        <v>城市通勤小精灵 新款大众e-UP！新车图解</v>
      </c>
      <c r="C855" s="2" t="s">
        <v>13</v>
      </c>
      <c r="D855" s="2" t="s">
        <v>12</v>
      </c>
      <c r="E855" s="2"/>
      <c r="F855" s="2" t="str">
        <f>HYPERLINK("http://m.12365auto.com/xcdg/20200228/419760.shtml","http://m.12365auto.com/xcdg/20200228/419760.shtml")</f>
        <v>http://m.12365auto.com/xcdg/20200228/419760.shtml</v>
      </c>
      <c r="G855" s="2"/>
      <c r="H855" s="2" t="s">
        <v>1324</v>
      </c>
      <c r="I855" s="2" t="s">
        <v>19</v>
      </c>
      <c r="J855" s="2" t="s">
        <v>1250</v>
      </c>
      <c r="K855" s="2" t="s">
        <v>1317</v>
      </c>
      <c r="L855" s="2">
        <f t="shared" si="13"/>
        <v>150</v>
      </c>
    </row>
    <row r="856" spans="1:12" ht="25" customHeight="1">
      <c r="A856" s="2" t="s">
        <v>12</v>
      </c>
      <c r="B856" s="2" t="str">
        <f>HYPERLINK("http://m.12365auto.com/xcdg/20200228/419759.shtml","推荐手动豪华型 一汽森雅R8购车指南")</f>
        <v>推荐手动豪华型 一汽森雅R8购车指南</v>
      </c>
      <c r="C856" s="2" t="s">
        <v>13</v>
      </c>
      <c r="D856" s="2" t="s">
        <v>12</v>
      </c>
      <c r="E856" s="2"/>
      <c r="F856" s="2" t="str">
        <f>HYPERLINK("http://m.12365auto.com/xcdg/20200228/419759.shtml","http://m.12365auto.com/xcdg/20200228/419759.shtml")</f>
        <v>http://m.12365auto.com/xcdg/20200228/419759.shtml</v>
      </c>
      <c r="G856" s="2"/>
      <c r="H856" s="2" t="s">
        <v>1325</v>
      </c>
      <c r="I856" s="2" t="s">
        <v>19</v>
      </c>
      <c r="J856" s="2" t="s">
        <v>1326</v>
      </c>
      <c r="K856" s="2" t="s">
        <v>1317</v>
      </c>
      <c r="L856" s="2">
        <f t="shared" si="13"/>
        <v>150</v>
      </c>
    </row>
    <row r="857" spans="1:12" ht="25" customHeight="1">
      <c r="A857" s="2" t="s">
        <v>12</v>
      </c>
      <c r="B857" s="2" t="str">
        <f>HYPERLINK("http://www.12365auto.com/zlts/20200228/449126.shtml","众泰Z300空调旋钮无法转动 轮拱处腐蚀")</f>
        <v>众泰Z300空调旋钮无法转动 轮拱处腐蚀</v>
      </c>
      <c r="C857" s="2" t="s">
        <v>13</v>
      </c>
      <c r="D857" s="2" t="s">
        <v>12</v>
      </c>
      <c r="E857" s="2" t="s">
        <v>17</v>
      </c>
      <c r="F857" s="2" t="str">
        <f>HYPERLINK("http://www.12365auto.com/zlts/20200228/449126.shtml","http://www.12365auto.com/zlts/20200228/449126.shtml")</f>
        <v>http://www.12365auto.com/zlts/20200228/449126.shtml</v>
      </c>
      <c r="G857" s="2"/>
      <c r="H857" s="2" t="s">
        <v>1327</v>
      </c>
      <c r="I857" s="2" t="s">
        <v>15</v>
      </c>
      <c r="J857" s="2" t="s">
        <v>12</v>
      </c>
      <c r="K857" s="2" t="s">
        <v>1328</v>
      </c>
      <c r="L857" s="2">
        <f t="shared" si="13"/>
        <v>150</v>
      </c>
    </row>
    <row r="858" spans="1:12" ht="25" customHeight="1">
      <c r="A858" s="2" t="s">
        <v>12</v>
      </c>
      <c r="B858" s="2" t="str">
        <f>HYPERLINK("http://www.12365auto.com/zlts/20200228/449124.shtml","广汽丰田汉兰达车顶外侧漆面有脱落的现象")</f>
        <v>广汽丰田汉兰达车顶外侧漆面有脱落的现象</v>
      </c>
      <c r="C858" s="2" t="s">
        <v>13</v>
      </c>
      <c r="D858" s="2" t="s">
        <v>12</v>
      </c>
      <c r="E858" s="2" t="s">
        <v>17</v>
      </c>
      <c r="F858" s="2" t="str">
        <f>HYPERLINK("http://www.12365auto.com/zlts/20200228/449124.shtml","http://www.12365auto.com/zlts/20200228/449124.shtml")</f>
        <v>http://www.12365auto.com/zlts/20200228/449124.shtml</v>
      </c>
      <c r="G858" s="2"/>
      <c r="H858" s="2" t="s">
        <v>1329</v>
      </c>
      <c r="I858" s="2" t="s">
        <v>19</v>
      </c>
      <c r="J858" s="2" t="s">
        <v>12</v>
      </c>
      <c r="K858" s="2" t="s">
        <v>1330</v>
      </c>
      <c r="L858" s="2">
        <f t="shared" si="13"/>
        <v>150</v>
      </c>
    </row>
    <row r="859" spans="1:12" ht="25" customHeight="1">
      <c r="A859" s="2" t="s">
        <v>12</v>
      </c>
      <c r="B859" s="2" t="str">
        <f>HYPERLINK("http://www.12365auto.com/zlts/20200227/449122.shtml","精灵smart fortwo行驶时车辆向右跑偏")</f>
        <v>精灵smart fortwo行驶时车辆向右跑偏</v>
      </c>
      <c r="C859" s="2" t="s">
        <v>13</v>
      </c>
      <c r="D859" s="2" t="s">
        <v>12</v>
      </c>
      <c r="E859" s="2"/>
      <c r="F859" s="2" t="str">
        <f>HYPERLINK("http://www.12365auto.com/zlts/20200227/449122.shtml","http://www.12365auto.com/zlts/20200227/449122.shtml")</f>
        <v>http://www.12365auto.com/zlts/20200227/449122.shtml</v>
      </c>
      <c r="G859" s="2"/>
      <c r="H859" s="3" t="s">
        <v>1331</v>
      </c>
      <c r="I859" s="2" t="s">
        <v>15</v>
      </c>
      <c r="J859" s="2" t="s">
        <v>12</v>
      </c>
      <c r="K859" s="2" t="s">
        <v>1332</v>
      </c>
      <c r="L859" s="2">
        <f t="shared" si="13"/>
        <v>128</v>
      </c>
    </row>
    <row r="860" spans="1:12" ht="25" customHeight="1">
      <c r="A860" s="2" t="s">
        <v>12</v>
      </c>
      <c r="B860" s="2" t="str">
        <f>HYPERLINK("http://www.12365auto.com/zlts/20200227/449110.shtml","相对于汽车本身我更愿意投诉旭龙别克汽车销售员")</f>
        <v>相对于汽车本身我更愿意投诉旭龙别克汽车销售员</v>
      </c>
      <c r="C860" s="2" t="s">
        <v>13</v>
      </c>
      <c r="D860" s="2" t="s">
        <v>12</v>
      </c>
      <c r="E860" s="2"/>
      <c r="F860" s="2" t="str">
        <f>HYPERLINK("http://www.12365auto.com/zlts/20200227/449110.shtml","http://www.12365auto.com/zlts/20200227/449110.shtml")</f>
        <v>http://www.12365auto.com/zlts/20200227/449110.shtml</v>
      </c>
      <c r="G860" s="2"/>
      <c r="H860" s="3" t="s">
        <v>1333</v>
      </c>
      <c r="I860" s="2" t="s">
        <v>15</v>
      </c>
      <c r="J860" s="2" t="s">
        <v>12</v>
      </c>
      <c r="K860" s="2" t="s">
        <v>1332</v>
      </c>
      <c r="L860" s="2">
        <f t="shared" si="13"/>
        <v>108</v>
      </c>
    </row>
    <row r="861" spans="1:12" ht="25" customHeight="1">
      <c r="A861" s="2" t="s">
        <v>12</v>
      </c>
      <c r="B861" s="2" t="str">
        <f>HYPERLINK("http://www.12365auto.com/zlts/20200227/449120.shtml","变速箱颤抖，油表高转数，车低速行驶！")</f>
        <v>变速箱颤抖，油表高转数，车低速行驶！</v>
      </c>
      <c r="C861" s="2" t="s">
        <v>13</v>
      </c>
      <c r="D861" s="2" t="s">
        <v>12</v>
      </c>
      <c r="E861" s="2"/>
      <c r="F861" s="2" t="str">
        <f>HYPERLINK("http://www.12365auto.com/zlts/20200227/449120.shtml","http://www.12365auto.com/zlts/20200227/449120.shtml")</f>
        <v>http://www.12365auto.com/zlts/20200227/449120.shtml</v>
      </c>
      <c r="G861" s="2"/>
      <c r="H861" s="3" t="s">
        <v>1334</v>
      </c>
      <c r="I861" s="2" t="s">
        <v>15</v>
      </c>
      <c r="J861" s="2" t="s">
        <v>12</v>
      </c>
      <c r="K861" s="2" t="s">
        <v>1332</v>
      </c>
      <c r="L861" s="2">
        <f t="shared" si="13"/>
        <v>104</v>
      </c>
    </row>
    <row r="862" spans="1:12" ht="25" customHeight="1">
      <c r="A862" s="2" t="s">
        <v>12</v>
      </c>
      <c r="B862" s="2" t="str">
        <f>HYPERLINK("http://www.12365auto.com/zlts/20200227/449109.shtml","没发到8档")</f>
        <v>没发到8档</v>
      </c>
      <c r="C862" s="2" t="s">
        <v>13</v>
      </c>
      <c r="D862" s="2" t="s">
        <v>12</v>
      </c>
      <c r="E862" s="2"/>
      <c r="F862" s="2" t="str">
        <f>HYPERLINK("http://www.12365auto.com/zlts/20200227/449109.shtml","http://www.12365auto.com/zlts/20200227/449109.shtml")</f>
        <v>http://www.12365auto.com/zlts/20200227/449109.shtml</v>
      </c>
      <c r="G862" s="2"/>
      <c r="H862" s="3" t="s">
        <v>1335</v>
      </c>
      <c r="I862" s="2" t="s">
        <v>15</v>
      </c>
      <c r="J862" s="2" t="s">
        <v>12</v>
      </c>
      <c r="K862" s="2" t="s">
        <v>1332</v>
      </c>
      <c r="L862" s="2">
        <f t="shared" si="13"/>
        <v>93</v>
      </c>
    </row>
    <row r="863" spans="1:12" ht="25" customHeight="1">
      <c r="A863" s="2" t="s">
        <v>12</v>
      </c>
      <c r="B863" s="2" t="str">
        <f>HYPERLINK("http://www.12365auto.com/zlts/20200227/449123.shtml","郑州日产途达50-60KM/H时变速箱拖挡")</f>
        <v>郑州日产途达50-60KM/H时变速箱拖挡</v>
      </c>
      <c r="C863" s="2" t="s">
        <v>13</v>
      </c>
      <c r="D863" s="2" t="s">
        <v>12</v>
      </c>
      <c r="E863" s="2" t="s">
        <v>17</v>
      </c>
      <c r="F863" s="2" t="str">
        <f>HYPERLINK("http://www.12365auto.com/zlts/20200227/449123.shtml","http://www.12365auto.com/zlts/20200227/449123.shtml")</f>
        <v>http://www.12365auto.com/zlts/20200227/449123.shtml</v>
      </c>
      <c r="G863" s="2"/>
      <c r="H863" s="2" t="s">
        <v>1336</v>
      </c>
      <c r="I863" s="2" t="s">
        <v>19</v>
      </c>
      <c r="J863" s="2" t="s">
        <v>12</v>
      </c>
      <c r="K863" s="2" t="s">
        <v>1337</v>
      </c>
      <c r="L863" s="2">
        <f t="shared" si="13"/>
        <v>150</v>
      </c>
    </row>
    <row r="864" spans="1:12" ht="25" customHeight="1">
      <c r="A864" s="2" t="s">
        <v>12</v>
      </c>
      <c r="B864" s="2" t="str">
        <f>HYPERLINK("http://www.12365auto.com/zlts/20200227/449119.shtml","吉利帝豪GSe远程操控不灵敏维修未解决")</f>
        <v>吉利帝豪GSe远程操控不灵敏维修未解决</v>
      </c>
      <c r="C864" s="2" t="s">
        <v>13</v>
      </c>
      <c r="D864" s="2" t="s">
        <v>12</v>
      </c>
      <c r="E864" s="2" t="s">
        <v>17</v>
      </c>
      <c r="F864" s="2" t="str">
        <f>HYPERLINK("http://www.12365auto.com/zlts/20200227/449119.shtml","http://www.12365auto.com/zlts/20200227/449119.shtml")</f>
        <v>http://www.12365auto.com/zlts/20200227/449119.shtml</v>
      </c>
      <c r="G864" s="2"/>
      <c r="H864" s="2" t="s">
        <v>1338</v>
      </c>
      <c r="I864" s="2" t="s">
        <v>19</v>
      </c>
      <c r="J864" s="2" t="s">
        <v>12</v>
      </c>
      <c r="K864" s="2" t="s">
        <v>1339</v>
      </c>
      <c r="L864" s="2">
        <f t="shared" si="13"/>
        <v>150</v>
      </c>
    </row>
    <row r="865" spans="1:12" ht="25" customHeight="1">
      <c r="A865" s="2" t="s">
        <v>12</v>
      </c>
      <c r="B865" s="2" t="str">
        <f>HYPERLINK("http://www.12365auto.com/zlts/20200227/449116.shtml","猎豹CS9雨刮器电机总成故障厂家不处理")</f>
        <v>猎豹CS9雨刮器电机总成故障厂家不处理</v>
      </c>
      <c r="C865" s="2" t="s">
        <v>13</v>
      </c>
      <c r="D865" s="2" t="s">
        <v>12</v>
      </c>
      <c r="E865" s="2" t="s">
        <v>17</v>
      </c>
      <c r="F865" s="2" t="str">
        <f>HYPERLINK("http://www.12365auto.com/zlts/20200227/449116.shtml","http://www.12365auto.com/zlts/20200227/449116.shtml")</f>
        <v>http://www.12365auto.com/zlts/20200227/449116.shtml</v>
      </c>
      <c r="G865" s="2"/>
      <c r="H865" s="2" t="s">
        <v>1340</v>
      </c>
      <c r="I865" s="2" t="s">
        <v>19</v>
      </c>
      <c r="J865" s="2" t="s">
        <v>12</v>
      </c>
      <c r="K865" s="2" t="s">
        <v>1341</v>
      </c>
      <c r="L865" s="2">
        <f t="shared" si="13"/>
        <v>150</v>
      </c>
    </row>
    <row r="866" spans="1:12" ht="25" customHeight="1">
      <c r="A866" s="2" t="s">
        <v>12</v>
      </c>
      <c r="B866" s="2" t="str">
        <f>HYPERLINK("http://www.12365auto.com/zlts/20200227/449100.shtml","发动机管子渗油")</f>
        <v>发动机管子渗油</v>
      </c>
      <c r="C866" s="2" t="s">
        <v>13</v>
      </c>
      <c r="D866" s="2" t="s">
        <v>12</v>
      </c>
      <c r="E866" s="2"/>
      <c r="F866" s="2" t="str">
        <f>HYPERLINK("http://www.12365auto.com/zlts/20200227/449100.shtml","http://www.12365auto.com/zlts/20200227/449100.shtml")</f>
        <v>http://www.12365auto.com/zlts/20200227/449100.shtml</v>
      </c>
      <c r="G866" s="2"/>
      <c r="H866" s="3" t="s">
        <v>1342</v>
      </c>
      <c r="I866" s="2" t="s">
        <v>15</v>
      </c>
      <c r="J866" s="2" t="s">
        <v>12</v>
      </c>
      <c r="K866" s="2" t="s">
        <v>1343</v>
      </c>
      <c r="L866" s="2">
        <f t="shared" si="13"/>
        <v>105</v>
      </c>
    </row>
    <row r="867" spans="1:12" ht="25" customHeight="1">
      <c r="A867" s="2" t="s">
        <v>12</v>
      </c>
      <c r="B867" s="2" t="str">
        <f>HYPERLINK("http://www.12365auto.com/zlts/20200227/449103.shtml","自动启停工作不正常，方向盘不加热")</f>
        <v>自动启停工作不正常，方向盘不加热</v>
      </c>
      <c r="C867" s="2" t="s">
        <v>13</v>
      </c>
      <c r="D867" s="2" t="s">
        <v>12</v>
      </c>
      <c r="E867" s="2"/>
      <c r="F867" s="2" t="str">
        <f>HYPERLINK("http://www.12365auto.com/zlts/20200227/449103.shtml","http://www.12365auto.com/zlts/20200227/449103.shtml")</f>
        <v>http://www.12365auto.com/zlts/20200227/449103.shtml</v>
      </c>
      <c r="G867" s="2"/>
      <c r="H867" s="3" t="s">
        <v>1344</v>
      </c>
      <c r="I867" s="2" t="s">
        <v>15</v>
      </c>
      <c r="J867" s="2" t="s">
        <v>12</v>
      </c>
      <c r="K867" s="2" t="s">
        <v>1345</v>
      </c>
      <c r="L867" s="2">
        <f t="shared" si="13"/>
        <v>91</v>
      </c>
    </row>
    <row r="868" spans="1:12" ht="25" customHeight="1">
      <c r="A868" s="2" t="s">
        <v>12</v>
      </c>
      <c r="B868" s="2" t="str">
        <f>HYPERLINK("http://bbs.12365auto.com/postcontent.aspx?tID=195432","捷途X70车身异响 车身生锈 问题一堆")</f>
        <v>捷途X70车身异响 车身生锈 问题一堆</v>
      </c>
      <c r="C868" s="2" t="s">
        <v>13</v>
      </c>
      <c r="D868" s="2" t="s">
        <v>12</v>
      </c>
      <c r="E868" s="2" t="s">
        <v>67</v>
      </c>
      <c r="F868" s="2" t="str">
        <f>HYPERLINK("http://bbs.12365auto.com/postcontent.aspx?tID=195432","http://bbs.12365auto.com/postcontent.aspx?tID=195432")</f>
        <v>http://bbs.12365auto.com/postcontent.aspx?tID=195432</v>
      </c>
      <c r="G868" s="2"/>
      <c r="H868" s="2" t="s">
        <v>1346</v>
      </c>
      <c r="I868" s="2" t="s">
        <v>15</v>
      </c>
      <c r="J868" s="2" t="s">
        <v>1347</v>
      </c>
      <c r="K868" s="2" t="s">
        <v>1348</v>
      </c>
      <c r="L868" s="2">
        <f t="shared" si="13"/>
        <v>66</v>
      </c>
    </row>
    <row r="869" spans="1:12" ht="25" customHeight="1">
      <c r="A869" s="2" t="s">
        <v>12</v>
      </c>
      <c r="B869" s="2" t="str">
        <f>HYPERLINK("http://m.12365auto.com/bbs/postcontent.aspx?tID=195432","捷途X70车身异响 车身生锈 问题一堆")</f>
        <v>捷途X70车身异响 车身生锈 问题一堆</v>
      </c>
      <c r="C869" s="2" t="s">
        <v>13</v>
      </c>
      <c r="D869" s="2" t="s">
        <v>23</v>
      </c>
      <c r="E869" s="2"/>
      <c r="F869" s="2" t="str">
        <f>HYPERLINK("http://m.12365auto.com/bbs/postcontent.aspx?tID=195432","http://m.12365auto.com/bbs/postcontent.aspx?tID=195432")</f>
        <v>http://m.12365auto.com/bbs/postcontent.aspx?tID=195432</v>
      </c>
      <c r="G869" s="2"/>
      <c r="H869" s="2" t="s">
        <v>1349</v>
      </c>
      <c r="I869" s="2" t="s">
        <v>15</v>
      </c>
      <c r="J869" s="2" t="s">
        <v>1347</v>
      </c>
      <c r="K869" s="2" t="s">
        <v>1348</v>
      </c>
      <c r="L869" s="2">
        <f t="shared" si="13"/>
        <v>47</v>
      </c>
    </row>
    <row r="870" spans="1:12" ht="25" customHeight="1">
      <c r="A870" s="2" t="s">
        <v>12</v>
      </c>
      <c r="B870" s="2" t="str">
        <f>HYPERLINK("http://bbs.12365auto.com/postcontent.aspx?tId=195432","捷途X70车身异响 车身生锈 问题一堆")</f>
        <v>捷途X70车身异响 车身生锈 问题一堆</v>
      </c>
      <c r="C870" s="2" t="s">
        <v>13</v>
      </c>
      <c r="D870" s="2" t="s">
        <v>12</v>
      </c>
      <c r="E870" s="2" t="s">
        <v>66</v>
      </c>
      <c r="F870" s="2" t="str">
        <f>HYPERLINK("http://bbs.12365auto.com/postcontent.aspx?tId=195432","http://bbs.12365auto.com/postcontent.aspx?tId=195432")</f>
        <v>http://bbs.12365auto.com/postcontent.aspx?tId=195432</v>
      </c>
      <c r="G870" s="2"/>
      <c r="H870" s="2" t="s">
        <v>1349</v>
      </c>
      <c r="I870" s="2" t="s">
        <v>15</v>
      </c>
      <c r="J870" s="2" t="s">
        <v>1347</v>
      </c>
      <c r="K870" s="2" t="s">
        <v>1348</v>
      </c>
      <c r="L870" s="2">
        <f t="shared" si="13"/>
        <v>47</v>
      </c>
    </row>
    <row r="871" spans="1:12" ht="25" customHeight="1">
      <c r="A871" s="2" t="s">
        <v>12</v>
      </c>
      <c r="B871" s="2" t="str">
        <f>HYPERLINK("http://www.12365auto.com/zlts/20200227/449111.shtml","上汽大众朗逸加速时变速箱换挡异响")</f>
        <v>上汽大众朗逸加速时变速箱换挡异响</v>
      </c>
      <c r="C871" s="2" t="s">
        <v>13</v>
      </c>
      <c r="D871" s="2" t="s">
        <v>12</v>
      </c>
      <c r="E871" s="2" t="s">
        <v>17</v>
      </c>
      <c r="F871" s="2" t="str">
        <f>HYPERLINK("http://www.12365auto.com/zlts/20200227/449111.shtml","http://www.12365auto.com/zlts/20200227/449111.shtml")</f>
        <v>http://www.12365auto.com/zlts/20200227/449111.shtml</v>
      </c>
      <c r="G871" s="2"/>
      <c r="H871" s="2" t="s">
        <v>1350</v>
      </c>
      <c r="I871" s="2" t="s">
        <v>19</v>
      </c>
      <c r="J871" s="2" t="s">
        <v>12</v>
      </c>
      <c r="K871" s="2" t="s">
        <v>1351</v>
      </c>
      <c r="L871" s="2">
        <f t="shared" si="13"/>
        <v>150</v>
      </c>
    </row>
    <row r="872" spans="1:12" ht="25" customHeight="1">
      <c r="A872" s="2" t="s">
        <v>12</v>
      </c>
      <c r="B872" s="2" t="str">
        <f>HYPERLINK("http://www.12365auto.com/zlts/20200227/449108.shtml","广汽本田飞度行驶时变速箱打滑 顿挫")</f>
        <v>广汽本田飞度行驶时变速箱打滑 顿挫</v>
      </c>
      <c r="C872" s="2" t="s">
        <v>13</v>
      </c>
      <c r="D872" s="2" t="s">
        <v>12</v>
      </c>
      <c r="E872" s="2" t="s">
        <v>17</v>
      </c>
      <c r="F872" s="2" t="str">
        <f>HYPERLINK("http://www.12365auto.com/zlts/20200227/449108.shtml","http://www.12365auto.com/zlts/20200227/449108.shtml")</f>
        <v>http://www.12365auto.com/zlts/20200227/449108.shtml</v>
      </c>
      <c r="G872" s="2"/>
      <c r="H872" s="2" t="s">
        <v>1352</v>
      </c>
      <c r="I872" s="2" t="s">
        <v>19</v>
      </c>
      <c r="J872" s="2" t="s">
        <v>12</v>
      </c>
      <c r="K872" s="2" t="s">
        <v>1353</v>
      </c>
      <c r="L872" s="2">
        <f t="shared" si="13"/>
        <v>150</v>
      </c>
    </row>
    <row r="873" spans="1:12" ht="25" customHeight="1">
      <c r="A873" s="2" t="s">
        <v>12</v>
      </c>
      <c r="B873" s="2" t="str">
        <f>HYPERLINK("http://www.12365auto.com/zlts/20200227/449092.shtml","车辆抖动，显示屏死机黑屏")</f>
        <v>车辆抖动，显示屏死机黑屏</v>
      </c>
      <c r="C873" s="2" t="s">
        <v>13</v>
      </c>
      <c r="D873" s="2" t="s">
        <v>12</v>
      </c>
      <c r="E873" s="2"/>
      <c r="F873" s="2" t="str">
        <f>HYPERLINK("http://www.12365auto.com/zlts/20200227/449092.shtml","http://www.12365auto.com/zlts/20200227/449092.shtml")</f>
        <v>http://www.12365auto.com/zlts/20200227/449092.shtml</v>
      </c>
      <c r="G873" s="2"/>
      <c r="H873" s="3" t="s">
        <v>1354</v>
      </c>
      <c r="I873" s="2" t="s">
        <v>15</v>
      </c>
      <c r="J873" s="2" t="s">
        <v>12</v>
      </c>
      <c r="K873" s="2" t="s">
        <v>1355</v>
      </c>
      <c r="L873" s="2">
        <f t="shared" si="13"/>
        <v>112</v>
      </c>
    </row>
    <row r="874" spans="1:12" ht="25" customHeight="1">
      <c r="A874" s="2" t="s">
        <v>12</v>
      </c>
      <c r="B874" s="2" t="str">
        <f>HYPERLINK("http://www.12365auto.com/zlts/20200227/449093.shtml","销售欺诈和拒绝履行服务")</f>
        <v>销售欺诈和拒绝履行服务</v>
      </c>
      <c r="C874" s="2" t="s">
        <v>13</v>
      </c>
      <c r="D874" s="2" t="s">
        <v>12</v>
      </c>
      <c r="E874" s="2"/>
      <c r="F874" s="2" t="str">
        <f>HYPERLINK("http://www.12365auto.com/zlts/20200227/449093.shtml","http://www.12365auto.com/zlts/20200227/449093.shtml")</f>
        <v>http://www.12365auto.com/zlts/20200227/449093.shtml</v>
      </c>
      <c r="G874" s="2"/>
      <c r="H874" s="3" t="s">
        <v>1356</v>
      </c>
      <c r="I874" s="2" t="s">
        <v>15</v>
      </c>
      <c r="J874" s="2" t="s">
        <v>12</v>
      </c>
      <c r="K874" s="2" t="s">
        <v>1357</v>
      </c>
      <c r="L874" s="2">
        <f t="shared" si="13"/>
        <v>87</v>
      </c>
    </row>
    <row r="875" spans="1:12" ht="25" customHeight="1">
      <c r="A875" s="2" t="s">
        <v>12</v>
      </c>
      <c r="B875" s="2" t="str">
        <f>HYPERLINK("http://www.12365auto.com/zlts/20200227/449091.shtml","离合器设计缺陷")</f>
        <v>离合器设计缺陷</v>
      </c>
      <c r="C875" s="2" t="s">
        <v>13</v>
      </c>
      <c r="D875" s="2" t="s">
        <v>12</v>
      </c>
      <c r="E875" s="2"/>
      <c r="F875" s="2" t="str">
        <f>HYPERLINK("http://www.12365auto.com/zlts/20200227/449091.shtml","http://www.12365auto.com/zlts/20200227/449091.shtml")</f>
        <v>http://www.12365auto.com/zlts/20200227/449091.shtml</v>
      </c>
      <c r="G875" s="2"/>
      <c r="H875" s="3" t="s">
        <v>1358</v>
      </c>
      <c r="I875" s="2" t="s">
        <v>15</v>
      </c>
      <c r="J875" s="2" t="s">
        <v>12</v>
      </c>
      <c r="K875" s="2" t="s">
        <v>1359</v>
      </c>
      <c r="L875" s="2">
        <f t="shared" si="13"/>
        <v>96</v>
      </c>
    </row>
    <row r="876" spans="1:12" ht="25" customHeight="1">
      <c r="A876" s="2" t="s">
        <v>12</v>
      </c>
      <c r="B876" s="2" t="str">
        <f>HYPERLINK("http://www.12365auto.com/zlts/20200227/449107.shtml","北京BJ20车窗和B柱有掉漆的现象")</f>
        <v>北京BJ20车窗和B柱有掉漆的现象</v>
      </c>
      <c r="C876" s="2" t="s">
        <v>13</v>
      </c>
      <c r="D876" s="2" t="s">
        <v>12</v>
      </c>
      <c r="E876" s="2" t="s">
        <v>17</v>
      </c>
      <c r="F876" s="2" t="str">
        <f>HYPERLINK("http://www.12365auto.com/zlts/20200227/449107.shtml","http://www.12365auto.com/zlts/20200227/449107.shtml")</f>
        <v>http://www.12365auto.com/zlts/20200227/449107.shtml</v>
      </c>
      <c r="G876" s="2"/>
      <c r="H876" s="2" t="s">
        <v>1360</v>
      </c>
      <c r="I876" s="2" t="s">
        <v>19</v>
      </c>
      <c r="J876" s="2" t="s">
        <v>12</v>
      </c>
      <c r="K876" s="2" t="s">
        <v>1361</v>
      </c>
      <c r="L876" s="2">
        <f t="shared" si="13"/>
        <v>150</v>
      </c>
    </row>
    <row r="877" spans="1:12" ht="25" customHeight="1">
      <c r="A877" s="2" t="s">
        <v>12</v>
      </c>
      <c r="B877" s="2" t="str">
        <f>HYPERLINK("http://www.12365auto.com/zlts/20200227/449106.shtml","广汽本田雅阁行驶中发动机熄火 无法启动")</f>
        <v>广汽本田雅阁行驶中发动机熄火 无法启动</v>
      </c>
      <c r="C877" s="2" t="s">
        <v>13</v>
      </c>
      <c r="D877" s="2" t="s">
        <v>12</v>
      </c>
      <c r="E877" s="2" t="s">
        <v>17</v>
      </c>
      <c r="F877" s="2" t="str">
        <f>HYPERLINK("http://www.12365auto.com/zlts/20200227/449106.shtml","http://www.12365auto.com/zlts/20200227/449106.shtml")</f>
        <v>http://www.12365auto.com/zlts/20200227/449106.shtml</v>
      </c>
      <c r="G877" s="2"/>
      <c r="H877" s="2" t="s">
        <v>1362</v>
      </c>
      <c r="I877" s="2" t="s">
        <v>19</v>
      </c>
      <c r="J877" s="2" t="s">
        <v>12</v>
      </c>
      <c r="K877" s="2" t="s">
        <v>1361</v>
      </c>
      <c r="L877" s="2">
        <f t="shared" si="13"/>
        <v>150</v>
      </c>
    </row>
    <row r="878" spans="1:12" ht="25" customHeight="1">
      <c r="A878" s="2" t="s">
        <v>12</v>
      </c>
      <c r="B878" s="2" t="str">
        <f>HYPERLINK("http://bbs.12365auto.com/postcontent.aspx?tID=195430","轩逸购买半年不到出现两次没电情况")</f>
        <v>轩逸购买半年不到出现两次没电情况</v>
      </c>
      <c r="C878" s="2" t="s">
        <v>13</v>
      </c>
      <c r="D878" s="2" t="s">
        <v>12</v>
      </c>
      <c r="E878" s="2" t="s">
        <v>67</v>
      </c>
      <c r="F878" s="2" t="str">
        <f>HYPERLINK("http://bbs.12365auto.com/postcontent.aspx?tID=195430","http://bbs.12365auto.com/postcontent.aspx?tID=195430")</f>
        <v>http://bbs.12365auto.com/postcontent.aspx?tID=195430</v>
      </c>
      <c r="G878" s="2"/>
      <c r="H878" s="2" t="s">
        <v>1363</v>
      </c>
      <c r="I878" s="2" t="s">
        <v>15</v>
      </c>
      <c r="J878" s="2" t="s">
        <v>1364</v>
      </c>
      <c r="K878" s="2" t="s">
        <v>1365</v>
      </c>
      <c r="L878" s="2">
        <f t="shared" si="13"/>
        <v>150</v>
      </c>
    </row>
    <row r="879" spans="1:12" ht="25" customHeight="1">
      <c r="A879" s="2" t="s">
        <v>12</v>
      </c>
      <c r="B879" s="2" t="str">
        <f>HYPERLINK("http://m.12365auto.com/bbs/postcontent.aspx?tID=195430","轩逸购买半年不到出现两次没电情况")</f>
        <v>轩逸购买半年不到出现两次没电情况</v>
      </c>
      <c r="C879" s="2" t="s">
        <v>13</v>
      </c>
      <c r="D879" s="2" t="s">
        <v>23</v>
      </c>
      <c r="E879" s="2"/>
      <c r="F879" s="2" t="str">
        <f>HYPERLINK("http://m.12365auto.com/bbs/postcontent.aspx?tID=195430","http://m.12365auto.com/bbs/postcontent.aspx?tID=195430")</f>
        <v>http://m.12365auto.com/bbs/postcontent.aspx?tID=195430</v>
      </c>
      <c r="G879" s="2"/>
      <c r="H879" s="2" t="s">
        <v>1366</v>
      </c>
      <c r="I879" s="2" t="s">
        <v>15</v>
      </c>
      <c r="J879" s="2" t="s">
        <v>1364</v>
      </c>
      <c r="K879" s="2" t="s">
        <v>1365</v>
      </c>
      <c r="L879" s="2">
        <f t="shared" si="13"/>
        <v>150</v>
      </c>
    </row>
    <row r="880" spans="1:12" ht="25" customHeight="1">
      <c r="A880" s="2" t="s">
        <v>12</v>
      </c>
      <c r="B880" s="2" t="str">
        <f>HYPERLINK("http://bbs.12365auto.com/postcontent.aspx?tId=195430","轩逸购买半年不到出现两次没电情况")</f>
        <v>轩逸购买半年不到出现两次没电情况</v>
      </c>
      <c r="C880" s="2" t="s">
        <v>13</v>
      </c>
      <c r="D880" s="2" t="s">
        <v>12</v>
      </c>
      <c r="E880" s="2" t="s">
        <v>66</v>
      </c>
      <c r="F880" s="2" t="str">
        <f>HYPERLINK("http://bbs.12365auto.com/postcontent.aspx?tId=195430","http://bbs.12365auto.com/postcontent.aspx?tId=195430")</f>
        <v>http://bbs.12365auto.com/postcontent.aspx?tId=195430</v>
      </c>
      <c r="G880" s="2"/>
      <c r="H880" s="2" t="s">
        <v>1366</v>
      </c>
      <c r="I880" s="2" t="s">
        <v>15</v>
      </c>
      <c r="J880" s="2" t="s">
        <v>1364</v>
      </c>
      <c r="K880" s="2" t="s">
        <v>1365</v>
      </c>
      <c r="L880" s="2">
        <f t="shared" si="13"/>
        <v>150</v>
      </c>
    </row>
    <row r="881" spans="1:12" ht="25" customHeight="1">
      <c r="A881" s="2" t="s">
        <v>12</v>
      </c>
      <c r="B881" s="2" t="str">
        <f>HYPERLINK("http://www.12365auto.com/zlts/20200227/449104.shtml","广汽丰田凯美瑞主驾驶位座椅起皮起皱")</f>
        <v>广汽丰田凯美瑞主驾驶位座椅起皮起皱</v>
      </c>
      <c r="C881" s="2" t="s">
        <v>13</v>
      </c>
      <c r="D881" s="2" t="s">
        <v>12</v>
      </c>
      <c r="E881" s="2" t="s">
        <v>17</v>
      </c>
      <c r="F881" s="2" t="str">
        <f>HYPERLINK("http://www.12365auto.com/zlts/20200227/449104.shtml","http://www.12365auto.com/zlts/20200227/449104.shtml")</f>
        <v>http://www.12365auto.com/zlts/20200227/449104.shtml</v>
      </c>
      <c r="G881" s="2"/>
      <c r="H881" s="2" t="s">
        <v>1367</v>
      </c>
      <c r="I881" s="2" t="s">
        <v>19</v>
      </c>
      <c r="J881" s="2" t="s">
        <v>12</v>
      </c>
      <c r="K881" s="2" t="s">
        <v>1368</v>
      </c>
      <c r="L881" s="2">
        <f t="shared" si="13"/>
        <v>150</v>
      </c>
    </row>
    <row r="882" spans="1:12" ht="25" customHeight="1">
      <c r="A882" s="2" t="s">
        <v>12</v>
      </c>
      <c r="B882" s="2" t="str">
        <f>HYPERLINK("http://www.12365auto.com/zlts/20200227/449098.shtml","一汽丰田卡罗拉韩泰轮胎爆胎4S店拒绝索赔")</f>
        <v>一汽丰田卡罗拉韩泰轮胎爆胎4S店拒绝索赔</v>
      </c>
      <c r="C882" s="2" t="s">
        <v>13</v>
      </c>
      <c r="D882" s="2" t="s">
        <v>12</v>
      </c>
      <c r="E882" s="2" t="s">
        <v>17</v>
      </c>
      <c r="F882" s="2" t="str">
        <f>HYPERLINK("http://www.12365auto.com/zlts/20200227/449098.shtml","http://www.12365auto.com/zlts/20200227/449098.shtml")</f>
        <v>http://www.12365auto.com/zlts/20200227/449098.shtml</v>
      </c>
      <c r="G882" s="2"/>
      <c r="H882" s="2" t="s">
        <v>1369</v>
      </c>
      <c r="I882" s="2" t="s">
        <v>19</v>
      </c>
      <c r="J882" s="2" t="s">
        <v>12</v>
      </c>
      <c r="K882" s="2" t="s">
        <v>1370</v>
      </c>
      <c r="L882" s="2">
        <f t="shared" si="13"/>
        <v>150</v>
      </c>
    </row>
    <row r="883" spans="1:12" ht="25" customHeight="1">
      <c r="A883" s="2" t="s">
        <v>12</v>
      </c>
      <c r="B883" s="2" t="str">
        <f>HYPERLINK("http://www.12365auto.com/zlts/20200227/449096.shtml","东风雪铁龙世嘉大灯和雨刮器自动启动")</f>
        <v>东风雪铁龙世嘉大灯和雨刮器自动启动</v>
      </c>
      <c r="C883" s="2" t="s">
        <v>13</v>
      </c>
      <c r="D883" s="2" t="s">
        <v>12</v>
      </c>
      <c r="E883" s="2" t="s">
        <v>17</v>
      </c>
      <c r="F883" s="2" t="str">
        <f>HYPERLINK("http://www.12365auto.com/zlts/20200227/449096.shtml","http://www.12365auto.com/zlts/20200227/449096.shtml")</f>
        <v>http://www.12365auto.com/zlts/20200227/449096.shtml</v>
      </c>
      <c r="G883" s="2"/>
      <c r="H883" s="2" t="s">
        <v>1371</v>
      </c>
      <c r="I883" s="2" t="s">
        <v>19</v>
      </c>
      <c r="J883" s="2" t="s">
        <v>12</v>
      </c>
      <c r="K883" s="2" t="s">
        <v>1372</v>
      </c>
      <c r="L883" s="2">
        <f t="shared" si="13"/>
        <v>150</v>
      </c>
    </row>
    <row r="884" spans="1:12" ht="25" customHeight="1">
      <c r="A884" s="2" t="s">
        <v>12</v>
      </c>
      <c r="B884" s="2" t="str">
        <f>HYPERLINK("http://www.12365auto.com/zlts/20200227/449076.shtml","发动机异响（异响声音同录制视频）")</f>
        <v>发动机异响（异响声音同录制视频）</v>
      </c>
      <c r="C884" s="2" t="s">
        <v>13</v>
      </c>
      <c r="D884" s="2" t="s">
        <v>12</v>
      </c>
      <c r="E884" s="2"/>
      <c r="F884" s="2" t="str">
        <f>HYPERLINK("http://www.12365auto.com/zlts/20200227/449076.shtml","http://www.12365auto.com/zlts/20200227/449076.shtml")</f>
        <v>http://www.12365auto.com/zlts/20200227/449076.shtml</v>
      </c>
      <c r="G884" s="2"/>
      <c r="H884" s="3" t="s">
        <v>1373</v>
      </c>
      <c r="I884" s="2" t="s">
        <v>15</v>
      </c>
      <c r="J884" s="2" t="s">
        <v>12</v>
      </c>
      <c r="K884" s="2" t="s">
        <v>1374</v>
      </c>
      <c r="L884" s="2">
        <f t="shared" si="13"/>
        <v>103</v>
      </c>
    </row>
    <row r="885" spans="1:12" ht="25" customHeight="1">
      <c r="A885" s="2" t="s">
        <v>12</v>
      </c>
      <c r="B885" s="2" t="str">
        <f>HYPERLINK("http://www.12365auto.com/zlts/20200227/449089.shtml","吉利博瑞行驶中电动助力转向故障")</f>
        <v>吉利博瑞行驶中电动助力转向故障</v>
      </c>
      <c r="C885" s="2" t="s">
        <v>13</v>
      </c>
      <c r="D885" s="2" t="s">
        <v>12</v>
      </c>
      <c r="E885" s="2" t="s">
        <v>17</v>
      </c>
      <c r="F885" s="2" t="str">
        <f>HYPERLINK("http://www.12365auto.com/zlts/20200227/449089.shtml","http://www.12365auto.com/zlts/20200227/449089.shtml")</f>
        <v>http://www.12365auto.com/zlts/20200227/449089.shtml</v>
      </c>
      <c r="G885" s="2"/>
      <c r="H885" s="2" t="s">
        <v>1375</v>
      </c>
      <c r="I885" s="2" t="s">
        <v>19</v>
      </c>
      <c r="J885" s="2" t="s">
        <v>12</v>
      </c>
      <c r="K885" s="2" t="s">
        <v>1376</v>
      </c>
      <c r="L885" s="2">
        <f t="shared" si="13"/>
        <v>150</v>
      </c>
    </row>
    <row r="886" spans="1:12" ht="25" customHeight="1">
      <c r="A886" s="2" t="s">
        <v>12</v>
      </c>
      <c r="B886" s="2" t="str">
        <f>HYPERLINK("http://www.12365auto.com/zlts/20200227/449073.shtml","2019款帕萨特设计有缺陷")</f>
        <v>2019款帕萨特设计有缺陷</v>
      </c>
      <c r="C886" s="2" t="s">
        <v>13</v>
      </c>
      <c r="D886" s="2" t="s">
        <v>12</v>
      </c>
      <c r="E886" s="2"/>
      <c r="F886" s="2" t="str">
        <f>HYPERLINK("http://www.12365auto.com/zlts/20200227/449073.shtml","http://www.12365auto.com/zlts/20200227/449073.shtml")</f>
        <v>http://www.12365auto.com/zlts/20200227/449073.shtml</v>
      </c>
      <c r="G886" s="2"/>
      <c r="H886" s="3" t="s">
        <v>1377</v>
      </c>
      <c r="I886" s="2" t="s">
        <v>15</v>
      </c>
      <c r="J886" s="2" t="s">
        <v>12</v>
      </c>
      <c r="K886" s="2" t="s">
        <v>1378</v>
      </c>
      <c r="L886" s="2">
        <f t="shared" si="13"/>
        <v>101</v>
      </c>
    </row>
    <row r="887" spans="1:12" ht="25" customHeight="1">
      <c r="A887" s="2" t="s">
        <v>12</v>
      </c>
      <c r="B887" s="2" t="str">
        <f>HYPERLINK("http://www.12365auto.com/zlts/20200227/449070.shtml","凸轮轴传感器螺母松动造成故障传感器及齿轮")</f>
        <v>凸轮轴传感器螺母松动造成故障传感器及齿轮</v>
      </c>
      <c r="C887" s="2" t="s">
        <v>13</v>
      </c>
      <c r="D887" s="2" t="s">
        <v>12</v>
      </c>
      <c r="E887" s="2"/>
      <c r="F887" s="2" t="str">
        <f>HYPERLINK("http://www.12365auto.com/zlts/20200227/449070.shtml","http://www.12365auto.com/zlts/20200227/449070.shtml")</f>
        <v>http://www.12365auto.com/zlts/20200227/449070.shtml</v>
      </c>
      <c r="G887" s="2"/>
      <c r="H887" s="3" t="s">
        <v>1379</v>
      </c>
      <c r="I887" s="2" t="s">
        <v>15</v>
      </c>
      <c r="J887" s="2" t="s">
        <v>12</v>
      </c>
      <c r="K887" s="2" t="s">
        <v>1380</v>
      </c>
      <c r="L887" s="2">
        <f t="shared" si="13"/>
        <v>104</v>
      </c>
    </row>
    <row r="888" spans="1:12" ht="25" customHeight="1">
      <c r="A888" s="2" t="s">
        <v>12</v>
      </c>
      <c r="B888" s="2" t="str">
        <f>HYPERLINK("http://www.12365auto.com/zlts/20200227/449067.shtml","冷天启动有异响")</f>
        <v>冷天启动有异响</v>
      </c>
      <c r="C888" s="2" t="s">
        <v>13</v>
      </c>
      <c r="D888" s="2" t="s">
        <v>12</v>
      </c>
      <c r="E888" s="2"/>
      <c r="F888" s="2" t="str">
        <f>HYPERLINK("http://www.12365auto.com/zlts/20200227/449067.shtml","http://www.12365auto.com/zlts/20200227/449067.shtml")</f>
        <v>http://www.12365auto.com/zlts/20200227/449067.shtml</v>
      </c>
      <c r="G888" s="2"/>
      <c r="H888" s="3" t="s">
        <v>1381</v>
      </c>
      <c r="I888" s="2" t="s">
        <v>15</v>
      </c>
      <c r="J888" s="2" t="s">
        <v>12</v>
      </c>
      <c r="K888" s="2" t="s">
        <v>1382</v>
      </c>
      <c r="L888" s="2">
        <f t="shared" si="13"/>
        <v>96</v>
      </c>
    </row>
    <row r="889" spans="1:12" ht="25" customHeight="1">
      <c r="A889" s="2" t="s">
        <v>12</v>
      </c>
      <c r="B889" s="2" t="str">
        <f>HYPERLINK("http://www.12365auto.com/zlts/20200227/449086.shtml","上汽大众帕萨特25%碰撞测试不合格")</f>
        <v>上汽大众帕萨特25%碰撞测试不合格</v>
      </c>
      <c r="C889" s="2" t="s">
        <v>13</v>
      </c>
      <c r="D889" s="2" t="s">
        <v>12</v>
      </c>
      <c r="E889" s="2" t="s">
        <v>17</v>
      </c>
      <c r="F889" s="2" t="str">
        <f>HYPERLINK("http://www.12365auto.com/zlts/20200227/449086.shtml","http://www.12365auto.com/zlts/20200227/449086.shtml")</f>
        <v>http://www.12365auto.com/zlts/20200227/449086.shtml</v>
      </c>
      <c r="G889" s="2"/>
      <c r="H889" s="2" t="s">
        <v>1383</v>
      </c>
      <c r="I889" s="2" t="s">
        <v>19</v>
      </c>
      <c r="J889" s="2" t="s">
        <v>12</v>
      </c>
      <c r="K889" s="2" t="s">
        <v>1384</v>
      </c>
      <c r="L889" s="2">
        <f t="shared" si="13"/>
        <v>150</v>
      </c>
    </row>
    <row r="890" spans="1:12" ht="25" customHeight="1">
      <c r="A890" s="2" t="s">
        <v>12</v>
      </c>
      <c r="B890" s="2" t="str">
        <f>HYPERLINK("http://m.12365auto.com/bbs/postcontent.aspx?tID=195429","日产无远虑 奇骏有近忧")</f>
        <v>日产无远虑 奇骏有近忧</v>
      </c>
      <c r="C890" s="2" t="s">
        <v>13</v>
      </c>
      <c r="D890" s="2" t="s">
        <v>23</v>
      </c>
      <c r="E890" s="2"/>
      <c r="F890" s="2" t="str">
        <f>HYPERLINK("http://m.12365auto.com/bbs/postcontent.aspx?tID=195429","http://m.12365auto.com/bbs/postcontent.aspx?tID=195429")</f>
        <v>http://m.12365auto.com/bbs/postcontent.aspx?tID=195429</v>
      </c>
      <c r="G890" s="2"/>
      <c r="H890" s="2" t="s">
        <v>1385</v>
      </c>
      <c r="I890" s="2" t="s">
        <v>15</v>
      </c>
      <c r="J890" s="2" t="s">
        <v>1386</v>
      </c>
      <c r="K890" s="2" t="s">
        <v>1387</v>
      </c>
      <c r="L890" s="2">
        <f t="shared" si="13"/>
        <v>150</v>
      </c>
    </row>
    <row r="891" spans="1:12" ht="25" customHeight="1">
      <c r="A891" s="2" t="s">
        <v>12</v>
      </c>
      <c r="B891" s="2" t="str">
        <f>HYPERLINK("http://bbs.12365auto.com/postcontent.aspx?tId=195429","日产无远虑 奇骏有近忧")</f>
        <v>日产无远虑 奇骏有近忧</v>
      </c>
      <c r="C891" s="2" t="s">
        <v>13</v>
      </c>
      <c r="D891" s="2" t="s">
        <v>12</v>
      </c>
      <c r="E891" s="2" t="s">
        <v>210</v>
      </c>
      <c r="F891" s="2" t="str">
        <f>HYPERLINK("http://bbs.12365auto.com/postcontent.aspx?tId=195429","http://bbs.12365auto.com/postcontent.aspx?tId=195429")</f>
        <v>http://bbs.12365auto.com/postcontent.aspx?tId=195429</v>
      </c>
      <c r="G891" s="2"/>
      <c r="H891" s="2" t="s">
        <v>1385</v>
      </c>
      <c r="I891" s="2" t="s">
        <v>15</v>
      </c>
      <c r="J891" s="2" t="s">
        <v>1386</v>
      </c>
      <c r="K891" s="2" t="s">
        <v>1387</v>
      </c>
      <c r="L891" s="2">
        <f t="shared" si="13"/>
        <v>150</v>
      </c>
    </row>
    <row r="892" spans="1:12" ht="25" customHeight="1">
      <c r="A892" s="2" t="s">
        <v>12</v>
      </c>
      <c r="B892" s="2" t="str">
        <f>HYPERLINK("http://bbs.12365auto.com/postcontent.aspx?tID=195429","日产无远虑 奇骏有近忧")</f>
        <v>日产无远虑 奇骏有近忧</v>
      </c>
      <c r="C892" s="2" t="s">
        <v>13</v>
      </c>
      <c r="D892" s="2" t="s">
        <v>12</v>
      </c>
      <c r="E892" s="2" t="s">
        <v>214</v>
      </c>
      <c r="F892" s="2" t="str">
        <f>HYPERLINK("http://bbs.12365auto.com/postcontent.aspx?tID=195429","http://bbs.12365auto.com/postcontent.aspx?tID=195429")</f>
        <v>http://bbs.12365auto.com/postcontent.aspx?tID=195429</v>
      </c>
      <c r="G892" s="2"/>
      <c r="H892" s="2" t="s">
        <v>1388</v>
      </c>
      <c r="I892" s="2" t="s">
        <v>15</v>
      </c>
      <c r="J892" s="2" t="s">
        <v>1386</v>
      </c>
      <c r="K892" s="2" t="s">
        <v>1387</v>
      </c>
      <c r="L892" s="2">
        <f t="shared" si="13"/>
        <v>150</v>
      </c>
    </row>
    <row r="893" spans="1:12" ht="25" customHeight="1">
      <c r="A893" s="2" t="s">
        <v>12</v>
      </c>
      <c r="B893" s="2" t="str">
        <f>HYPERLINK("http://www.12365auto.com/zlts/20200227/449084.shtml","东风日产天籁车身共振厂家否认质量问题")</f>
        <v>东风日产天籁车身共振厂家否认质量问题</v>
      </c>
      <c r="C893" s="2" t="s">
        <v>13</v>
      </c>
      <c r="D893" s="2" t="s">
        <v>12</v>
      </c>
      <c r="E893" s="2" t="s">
        <v>17</v>
      </c>
      <c r="F893" s="2" t="str">
        <f>HYPERLINK("http://www.12365auto.com/zlts/20200227/449084.shtml","http://www.12365auto.com/zlts/20200227/449084.shtml")</f>
        <v>http://www.12365auto.com/zlts/20200227/449084.shtml</v>
      </c>
      <c r="G893" s="2"/>
      <c r="H893" s="2" t="s">
        <v>1389</v>
      </c>
      <c r="I893" s="2" t="s">
        <v>19</v>
      </c>
      <c r="J893" s="2" t="s">
        <v>12</v>
      </c>
      <c r="K893" s="2" t="s">
        <v>1387</v>
      </c>
      <c r="L893" s="2">
        <f t="shared" si="13"/>
        <v>150</v>
      </c>
    </row>
    <row r="894" spans="1:12" ht="25" customHeight="1">
      <c r="A894" s="2" t="s">
        <v>12</v>
      </c>
      <c r="B894" s="2" t="str">
        <f>HYPERLINK("http://m.12365auto.com/bbs/postcontent.aspx?tID=195428","买汉兰达的后悔 本田放大招了 这款车颜值比汉兰达高")</f>
        <v>买汉兰达的后悔 本田放大招了 这款车颜值比汉兰达高</v>
      </c>
      <c r="C894" s="2" t="s">
        <v>13</v>
      </c>
      <c r="D894" s="2" t="s">
        <v>23</v>
      </c>
      <c r="E894" s="2"/>
      <c r="F894" s="2" t="str">
        <f>HYPERLINK("http://m.12365auto.com/bbs/postcontent.aspx?tID=195428","http://m.12365auto.com/bbs/postcontent.aspx?tID=195428")</f>
        <v>http://m.12365auto.com/bbs/postcontent.aspx?tID=195428</v>
      </c>
      <c r="G894" s="2"/>
      <c r="H894" s="2" t="s">
        <v>1390</v>
      </c>
      <c r="I894" s="2" t="s">
        <v>15</v>
      </c>
      <c r="J894" s="2" t="s">
        <v>1386</v>
      </c>
      <c r="K894" s="2" t="s">
        <v>1391</v>
      </c>
      <c r="L894" s="2">
        <f t="shared" si="13"/>
        <v>150</v>
      </c>
    </row>
    <row r="895" spans="1:12" ht="25" customHeight="1">
      <c r="A895" s="2" t="s">
        <v>12</v>
      </c>
      <c r="B895" s="2" t="str">
        <f>HYPERLINK("http://bbs.12365auto.com/postcontent.aspx?tId=195428","买汉兰达的后悔 本田放大招了 这款车颜值比汉兰达高")</f>
        <v>买汉兰达的后悔 本田放大招了 这款车颜值比汉兰达高</v>
      </c>
      <c r="C895" s="2" t="s">
        <v>13</v>
      </c>
      <c r="D895" s="2" t="s">
        <v>12</v>
      </c>
      <c r="E895" s="2" t="s">
        <v>210</v>
      </c>
      <c r="F895" s="2" t="str">
        <f>HYPERLINK("http://bbs.12365auto.com/postcontent.aspx?tId=195428","http://bbs.12365auto.com/postcontent.aspx?tId=195428")</f>
        <v>http://bbs.12365auto.com/postcontent.aspx?tId=195428</v>
      </c>
      <c r="G895" s="2"/>
      <c r="H895" s="2" t="s">
        <v>1390</v>
      </c>
      <c r="I895" s="2" t="s">
        <v>15</v>
      </c>
      <c r="J895" s="2" t="s">
        <v>1386</v>
      </c>
      <c r="K895" s="2" t="s">
        <v>1391</v>
      </c>
      <c r="L895" s="2">
        <f t="shared" si="13"/>
        <v>150</v>
      </c>
    </row>
    <row r="896" spans="1:12" ht="25" customHeight="1">
      <c r="A896" s="2" t="s">
        <v>12</v>
      </c>
      <c r="B896" s="2" t="str">
        <f>HYPERLINK("http://bbs.12365auto.com/postcontent.aspx?tID=195428","买汉兰达的后悔 本田放大招了 这款车颜值比汉兰达高")</f>
        <v>买汉兰达的后悔 本田放大招了 这款车颜值比汉兰达高</v>
      </c>
      <c r="C896" s="2" t="s">
        <v>13</v>
      </c>
      <c r="D896" s="2" t="s">
        <v>12</v>
      </c>
      <c r="E896" s="2" t="s">
        <v>214</v>
      </c>
      <c r="F896" s="2" t="str">
        <f>HYPERLINK("http://bbs.12365auto.com/postcontent.aspx?tID=195428","http://bbs.12365auto.com/postcontent.aspx?tID=195428")</f>
        <v>http://bbs.12365auto.com/postcontent.aspx?tID=195428</v>
      </c>
      <c r="G896" s="2"/>
      <c r="H896" s="2" t="s">
        <v>1392</v>
      </c>
      <c r="I896" s="2" t="s">
        <v>15</v>
      </c>
      <c r="J896" s="2" t="s">
        <v>1386</v>
      </c>
      <c r="K896" s="2" t="s">
        <v>1391</v>
      </c>
      <c r="L896" s="2">
        <f t="shared" si="13"/>
        <v>150</v>
      </c>
    </row>
    <row r="897" spans="1:12" ht="25" customHeight="1">
      <c r="A897" s="2" t="s">
        <v>12</v>
      </c>
      <c r="B897" s="2" t="str">
        <f>HYPERLINK("http://bbs.12365auto.com/postcontent.aspx?tID=195427","15左右速腾 1.4DSG,你们都行驶多少公里了？")</f>
        <v>15左右速腾 1.4DSG,你们都行驶多少公里了？</v>
      </c>
      <c r="C897" s="2" t="s">
        <v>13</v>
      </c>
      <c r="D897" s="2" t="s">
        <v>12</v>
      </c>
      <c r="E897" s="2" t="s">
        <v>1393</v>
      </c>
      <c r="F897" s="2" t="str">
        <f>HYPERLINK("http://bbs.12365auto.com/postcontent.aspx?tID=195427","http://bbs.12365auto.com/postcontent.aspx?tID=195427")</f>
        <v>http://bbs.12365auto.com/postcontent.aspx?tID=195427</v>
      </c>
      <c r="G897" s="2"/>
      <c r="H897" s="2" t="s">
        <v>1394</v>
      </c>
      <c r="I897" s="2" t="s">
        <v>15</v>
      </c>
      <c r="J897" s="2" t="s">
        <v>1395</v>
      </c>
      <c r="K897" s="2" t="s">
        <v>1391</v>
      </c>
      <c r="L897" s="2">
        <f t="shared" si="13"/>
        <v>55</v>
      </c>
    </row>
    <row r="898" spans="1:12" ht="25" customHeight="1">
      <c r="A898" s="2" t="s">
        <v>12</v>
      </c>
      <c r="B898" s="2" t="str">
        <f>HYPERLINK("http://m.12365auto.com/bbs/postcontent.aspx?tID=195427","15左右速腾 1.4DSG,你们都行驶多少公里了？")</f>
        <v>15左右速腾 1.4DSG,你们都行驶多少公里了？</v>
      </c>
      <c r="C898" s="2" t="s">
        <v>13</v>
      </c>
      <c r="D898" s="2" t="s">
        <v>23</v>
      </c>
      <c r="E898" s="2"/>
      <c r="F898" s="2" t="str">
        <f>HYPERLINK("http://m.12365auto.com/bbs/postcontent.aspx?tID=195427","http://m.12365auto.com/bbs/postcontent.aspx?tID=195427")</f>
        <v>http://m.12365auto.com/bbs/postcontent.aspx?tID=195427</v>
      </c>
      <c r="G898" s="2"/>
      <c r="H898" s="2" t="s">
        <v>1396</v>
      </c>
      <c r="I898" s="2" t="s">
        <v>15</v>
      </c>
      <c r="J898" s="2" t="s">
        <v>1395</v>
      </c>
      <c r="K898" s="2" t="s">
        <v>1391</v>
      </c>
      <c r="L898" s="2">
        <f t="shared" si="13"/>
        <v>30</v>
      </c>
    </row>
    <row r="899" spans="1:12" ht="25" customHeight="1">
      <c r="A899" s="2" t="s">
        <v>12</v>
      </c>
      <c r="B899" s="2" t="str">
        <f>HYPERLINK("http://bbs.12365auto.com/postcontent.aspx?tId=195427","15左右速腾 1.4DSG,你们都行驶多少公里了？")</f>
        <v>15左右速腾 1.4DSG,你们都行驶多少公里了？</v>
      </c>
      <c r="C899" s="2" t="s">
        <v>13</v>
      </c>
      <c r="D899" s="2" t="s">
        <v>12</v>
      </c>
      <c r="E899" s="2" t="s">
        <v>1397</v>
      </c>
      <c r="F899" s="2" t="str">
        <f>HYPERLINK("http://bbs.12365auto.com/postcontent.aspx?tId=195427","http://bbs.12365auto.com/postcontent.aspx?tId=195427")</f>
        <v>http://bbs.12365auto.com/postcontent.aspx?tId=195427</v>
      </c>
      <c r="G899" s="2"/>
      <c r="H899" s="2" t="s">
        <v>1396</v>
      </c>
      <c r="I899" s="2" t="s">
        <v>15</v>
      </c>
      <c r="J899" s="2" t="s">
        <v>1395</v>
      </c>
      <c r="K899" s="2" t="s">
        <v>1391</v>
      </c>
      <c r="L899" s="2">
        <f t="shared" ref="L899:L962" si="14">LEN(H899)</f>
        <v>30</v>
      </c>
    </row>
    <row r="900" spans="1:12" ht="25" customHeight="1">
      <c r="A900" s="2" t="s">
        <v>12</v>
      </c>
      <c r="B900" s="2" t="str">
        <f>HYPERLINK("http://m.12365auto.com/bbs/postcontent.aspx?tID=195426","奥迪Q5L越减配销量越高 是我们不懂车吗？")</f>
        <v>奥迪Q5L越减配销量越高 是我们不懂车吗？</v>
      </c>
      <c r="C900" s="2" t="s">
        <v>13</v>
      </c>
      <c r="D900" s="2" t="s">
        <v>23</v>
      </c>
      <c r="E900" s="2"/>
      <c r="F900" s="2" t="str">
        <f>HYPERLINK("http://m.12365auto.com/bbs/postcontent.aspx?tID=195426","http://m.12365auto.com/bbs/postcontent.aspx?tID=195426")</f>
        <v>http://m.12365auto.com/bbs/postcontent.aspx?tID=195426</v>
      </c>
      <c r="G900" s="2"/>
      <c r="H900" s="2" t="s">
        <v>1398</v>
      </c>
      <c r="I900" s="2" t="s">
        <v>15</v>
      </c>
      <c r="J900" s="2" t="s">
        <v>1386</v>
      </c>
      <c r="K900" s="2" t="s">
        <v>1399</v>
      </c>
      <c r="L900" s="2">
        <f t="shared" si="14"/>
        <v>150</v>
      </c>
    </row>
    <row r="901" spans="1:12" ht="25" customHeight="1">
      <c r="A901" s="2" t="s">
        <v>12</v>
      </c>
      <c r="B901" s="2" t="str">
        <f>HYPERLINK("http://bbs.12365auto.com/postcontent.aspx?tId=195426","奥迪Q5L越减配销量越高 是我们不懂车吗？")</f>
        <v>奥迪Q5L越减配销量越高 是我们不懂车吗？</v>
      </c>
      <c r="C901" s="2" t="s">
        <v>13</v>
      </c>
      <c r="D901" s="2" t="s">
        <v>12</v>
      </c>
      <c r="E901" s="2" t="s">
        <v>210</v>
      </c>
      <c r="F901" s="2" t="str">
        <f>HYPERLINK("http://bbs.12365auto.com/postcontent.aspx?tId=195426","http://bbs.12365auto.com/postcontent.aspx?tId=195426")</f>
        <v>http://bbs.12365auto.com/postcontent.aspx?tId=195426</v>
      </c>
      <c r="G901" s="2"/>
      <c r="H901" s="2" t="s">
        <v>1398</v>
      </c>
      <c r="I901" s="2" t="s">
        <v>15</v>
      </c>
      <c r="J901" s="2" t="s">
        <v>1386</v>
      </c>
      <c r="K901" s="2" t="s">
        <v>1399</v>
      </c>
      <c r="L901" s="2">
        <f t="shared" si="14"/>
        <v>150</v>
      </c>
    </row>
    <row r="902" spans="1:12" ht="25" customHeight="1">
      <c r="A902" s="2" t="s">
        <v>12</v>
      </c>
      <c r="B902" s="2" t="str">
        <f>HYPERLINK("http://bbs.12365auto.com/postcontent.aspx?tID=195426","奥迪Q5L越减配销量越高 是我们不懂车吗？")</f>
        <v>奥迪Q5L越减配销量越高 是我们不懂车吗？</v>
      </c>
      <c r="C902" s="2" t="s">
        <v>13</v>
      </c>
      <c r="D902" s="2" t="s">
        <v>12</v>
      </c>
      <c r="E902" s="2" t="s">
        <v>214</v>
      </c>
      <c r="F902" s="2" t="str">
        <f>HYPERLINK("http://bbs.12365auto.com/postcontent.aspx?tID=195426","http://bbs.12365auto.com/postcontent.aspx?tID=195426")</f>
        <v>http://bbs.12365auto.com/postcontent.aspx?tID=195426</v>
      </c>
      <c r="G902" s="2"/>
      <c r="H902" s="2" t="s">
        <v>1400</v>
      </c>
      <c r="I902" s="2" t="s">
        <v>15</v>
      </c>
      <c r="J902" s="2" t="s">
        <v>1386</v>
      </c>
      <c r="K902" s="2" t="s">
        <v>1399</v>
      </c>
      <c r="L902" s="2">
        <f t="shared" si="14"/>
        <v>150</v>
      </c>
    </row>
    <row r="903" spans="1:12" ht="25" customHeight="1">
      <c r="A903" s="2" t="s">
        <v>12</v>
      </c>
      <c r="B903" s="2" t="str">
        <f>HYPERLINK("http://m.12365auto.com/bbs/postcontent.aspx?tID=195425","15万的马自达SUV：应该买CX-4？还是CX-3？还是CX-30")</f>
        <v>15万的马自达SUV：应该买CX-4？还是CX-3？还是CX-30</v>
      </c>
      <c r="C903" s="2" t="s">
        <v>13</v>
      </c>
      <c r="D903" s="2" t="s">
        <v>23</v>
      </c>
      <c r="E903" s="2"/>
      <c r="F903" s="2" t="str">
        <f>HYPERLINK("http://m.12365auto.com/bbs/postcontent.aspx?tID=195425","http://m.12365auto.com/bbs/postcontent.aspx?tID=195425")</f>
        <v>http://m.12365auto.com/bbs/postcontent.aspx?tID=195425</v>
      </c>
      <c r="G903" s="2"/>
      <c r="H903" s="2" t="s">
        <v>1401</v>
      </c>
      <c r="I903" s="2" t="s">
        <v>15</v>
      </c>
      <c r="J903" s="2" t="s">
        <v>1386</v>
      </c>
      <c r="K903" s="2" t="s">
        <v>1402</v>
      </c>
      <c r="L903" s="2">
        <f t="shared" si="14"/>
        <v>150</v>
      </c>
    </row>
    <row r="904" spans="1:12" ht="25" customHeight="1">
      <c r="A904" s="2" t="s">
        <v>12</v>
      </c>
      <c r="B904" s="2" t="str">
        <f>HYPERLINK("http://bbs.12365auto.com/postcontent.aspx?tId=195425","15万的马自达SUV：应该买CX-4？还是CX-3？还是CX-30")</f>
        <v>15万的马自达SUV：应该买CX-4？还是CX-3？还是CX-30</v>
      </c>
      <c r="C904" s="2" t="s">
        <v>13</v>
      </c>
      <c r="D904" s="2" t="s">
        <v>12</v>
      </c>
      <c r="E904" s="2" t="s">
        <v>210</v>
      </c>
      <c r="F904" s="2" t="str">
        <f>HYPERLINK("http://bbs.12365auto.com/postcontent.aspx?tId=195425","http://bbs.12365auto.com/postcontent.aspx?tId=195425")</f>
        <v>http://bbs.12365auto.com/postcontent.aspx?tId=195425</v>
      </c>
      <c r="G904" s="2"/>
      <c r="H904" s="2" t="s">
        <v>1401</v>
      </c>
      <c r="I904" s="2" t="s">
        <v>15</v>
      </c>
      <c r="J904" s="2" t="s">
        <v>1386</v>
      </c>
      <c r="K904" s="2" t="s">
        <v>1402</v>
      </c>
      <c r="L904" s="2">
        <f t="shared" si="14"/>
        <v>150</v>
      </c>
    </row>
    <row r="905" spans="1:12" ht="25" customHeight="1">
      <c r="A905" s="2" t="s">
        <v>12</v>
      </c>
      <c r="B905" s="2" t="str">
        <f>HYPERLINK("http://bbs.12365auto.com/postcontent.aspx?tID=195425","15万的马自达SUV：应该买CX-4？还是CX-3？还是CX-30")</f>
        <v>15万的马自达SUV：应该买CX-4？还是CX-3？还是CX-30</v>
      </c>
      <c r="C905" s="2" t="s">
        <v>13</v>
      </c>
      <c r="D905" s="2" t="s">
        <v>12</v>
      </c>
      <c r="E905" s="2" t="s">
        <v>214</v>
      </c>
      <c r="F905" s="2" t="str">
        <f>HYPERLINK("http://bbs.12365auto.com/postcontent.aspx?tID=195425","http://bbs.12365auto.com/postcontent.aspx?tID=195425")</f>
        <v>http://bbs.12365auto.com/postcontent.aspx?tID=195425</v>
      </c>
      <c r="G905" s="2"/>
      <c r="H905" s="2" t="s">
        <v>1403</v>
      </c>
      <c r="I905" s="2" t="s">
        <v>15</v>
      </c>
      <c r="J905" s="2" t="s">
        <v>1386</v>
      </c>
      <c r="K905" s="2" t="s">
        <v>1402</v>
      </c>
      <c r="L905" s="2">
        <f t="shared" si="14"/>
        <v>150</v>
      </c>
    </row>
    <row r="906" spans="1:12" ht="25" customHeight="1">
      <c r="A906" s="2" t="s">
        <v>12</v>
      </c>
      <c r="B906" s="2" t="str">
        <f>HYPERLINK("http://bbs.12365auto.com/postcontent.aspx?tID=195424","吉利博越差点就拿了第一！丨1月份SUV销量排行榜")</f>
        <v>吉利博越差点就拿了第一！丨1月份SUV销量排行榜</v>
      </c>
      <c r="C906" s="2" t="s">
        <v>13</v>
      </c>
      <c r="D906" s="2" t="s">
        <v>12</v>
      </c>
      <c r="E906" s="2" t="s">
        <v>214</v>
      </c>
      <c r="F906" s="2" t="str">
        <f>HYPERLINK("http://bbs.12365auto.com/postcontent.aspx?tID=195424","http://bbs.12365auto.com/postcontent.aspx?tID=195424")</f>
        <v>http://bbs.12365auto.com/postcontent.aspx?tID=195424</v>
      </c>
      <c r="G906" s="2"/>
      <c r="H906" s="2" t="s">
        <v>1404</v>
      </c>
      <c r="I906" s="2" t="s">
        <v>15</v>
      </c>
      <c r="J906" s="2" t="s">
        <v>1386</v>
      </c>
      <c r="K906" s="2" t="s">
        <v>1405</v>
      </c>
      <c r="L906" s="2">
        <f t="shared" si="14"/>
        <v>150</v>
      </c>
    </row>
    <row r="907" spans="1:12" ht="25" customHeight="1">
      <c r="A907" s="2" t="s">
        <v>12</v>
      </c>
      <c r="B907" s="2" t="str">
        <f>HYPERLINK("http://m.12365auto.com/bbs/postcontent.aspx?tID=195424","吉利博越差点就拿了第一！丨1月份SUV销量排行榜")</f>
        <v>吉利博越差点就拿了第一！丨1月份SUV销量排行榜</v>
      </c>
      <c r="C907" s="2" t="s">
        <v>13</v>
      </c>
      <c r="D907" s="2" t="s">
        <v>23</v>
      </c>
      <c r="E907" s="2"/>
      <c r="F907" s="2" t="str">
        <f>HYPERLINK("http://m.12365auto.com/bbs/postcontent.aspx?tID=195424","http://m.12365auto.com/bbs/postcontent.aspx?tID=195424")</f>
        <v>http://m.12365auto.com/bbs/postcontent.aspx?tID=195424</v>
      </c>
      <c r="G907" s="2"/>
      <c r="H907" s="2" t="s">
        <v>1406</v>
      </c>
      <c r="I907" s="2" t="s">
        <v>15</v>
      </c>
      <c r="J907" s="2" t="s">
        <v>1386</v>
      </c>
      <c r="K907" s="2" t="s">
        <v>1405</v>
      </c>
      <c r="L907" s="2">
        <f t="shared" si="14"/>
        <v>150</v>
      </c>
    </row>
    <row r="908" spans="1:12" ht="25" customHeight="1">
      <c r="A908" s="2" t="s">
        <v>12</v>
      </c>
      <c r="B908" s="2" t="str">
        <f>HYPERLINK("http://bbs.12365auto.com/postcontent.aspx?tId=195424","吉利博越差点就拿了第一！丨1月份SUV销量排行榜")</f>
        <v>吉利博越差点就拿了第一！丨1月份SUV销量排行榜</v>
      </c>
      <c r="C908" s="2" t="s">
        <v>13</v>
      </c>
      <c r="D908" s="2" t="s">
        <v>12</v>
      </c>
      <c r="E908" s="2" t="s">
        <v>210</v>
      </c>
      <c r="F908" s="2" t="str">
        <f>HYPERLINK("http://bbs.12365auto.com/postcontent.aspx?tId=195424","http://bbs.12365auto.com/postcontent.aspx?tId=195424")</f>
        <v>http://bbs.12365auto.com/postcontent.aspx?tId=195424</v>
      </c>
      <c r="G908" s="2"/>
      <c r="H908" s="2" t="s">
        <v>1406</v>
      </c>
      <c r="I908" s="2" t="s">
        <v>15</v>
      </c>
      <c r="J908" s="2" t="s">
        <v>1386</v>
      </c>
      <c r="K908" s="2" t="s">
        <v>1405</v>
      </c>
      <c r="L908" s="2">
        <f t="shared" si="14"/>
        <v>150</v>
      </c>
    </row>
    <row r="909" spans="1:12" ht="25" customHeight="1">
      <c r="A909" s="2" t="s">
        <v>12</v>
      </c>
      <c r="B909" s="2" t="str">
        <f>HYPERLINK("http://bbs.12365auto.com/postcontent.aspx?tID=195423","国产的奥迪A7L 究竟要不要死等？")</f>
        <v>国产的奥迪A7L 究竟要不要死等？</v>
      </c>
      <c r="C909" s="2" t="s">
        <v>13</v>
      </c>
      <c r="D909" s="2" t="s">
        <v>12</v>
      </c>
      <c r="E909" s="2" t="s">
        <v>214</v>
      </c>
      <c r="F909" s="2" t="str">
        <f>HYPERLINK("http://bbs.12365auto.com/postcontent.aspx?tID=195423","http://bbs.12365auto.com/postcontent.aspx?tID=195423")</f>
        <v>http://bbs.12365auto.com/postcontent.aspx?tID=195423</v>
      </c>
      <c r="G909" s="2"/>
      <c r="H909" s="2" t="s">
        <v>1407</v>
      </c>
      <c r="I909" s="2" t="s">
        <v>15</v>
      </c>
      <c r="J909" s="2" t="s">
        <v>1386</v>
      </c>
      <c r="K909" s="2" t="s">
        <v>1408</v>
      </c>
      <c r="L909" s="2">
        <f t="shared" si="14"/>
        <v>150</v>
      </c>
    </row>
    <row r="910" spans="1:12" ht="25" customHeight="1">
      <c r="A910" s="2" t="s">
        <v>12</v>
      </c>
      <c r="B910" s="2" t="str">
        <f>HYPERLINK("http://m.12365auto.com/bbs/postcontent.aspx?tID=195423","国产的奥迪A7L 究竟要不要死等？")</f>
        <v>国产的奥迪A7L 究竟要不要死等？</v>
      </c>
      <c r="C910" s="2" t="s">
        <v>13</v>
      </c>
      <c r="D910" s="2" t="s">
        <v>23</v>
      </c>
      <c r="E910" s="2"/>
      <c r="F910" s="2" t="str">
        <f>HYPERLINK("http://m.12365auto.com/bbs/postcontent.aspx?tID=195423","http://m.12365auto.com/bbs/postcontent.aspx?tID=195423")</f>
        <v>http://m.12365auto.com/bbs/postcontent.aspx?tID=195423</v>
      </c>
      <c r="G910" s="2"/>
      <c r="H910" s="2" t="s">
        <v>1409</v>
      </c>
      <c r="I910" s="2" t="s">
        <v>15</v>
      </c>
      <c r="J910" s="2" t="s">
        <v>1386</v>
      </c>
      <c r="K910" s="2" t="s">
        <v>1408</v>
      </c>
      <c r="L910" s="2">
        <f t="shared" si="14"/>
        <v>150</v>
      </c>
    </row>
    <row r="911" spans="1:12" ht="25" customHeight="1">
      <c r="A911" s="2" t="s">
        <v>12</v>
      </c>
      <c r="B911" s="2" t="str">
        <f>HYPERLINK("http://bbs.12365auto.com/postcontent.aspx?tId=195423","国产的奥迪A7L 究竟要不要死等？")</f>
        <v>国产的奥迪A7L 究竟要不要死等？</v>
      </c>
      <c r="C911" s="2" t="s">
        <v>13</v>
      </c>
      <c r="D911" s="2" t="s">
        <v>12</v>
      </c>
      <c r="E911" s="2" t="s">
        <v>210</v>
      </c>
      <c r="F911" s="2" t="str">
        <f>HYPERLINK("http://bbs.12365auto.com/postcontent.aspx?tId=195423","http://bbs.12365auto.com/postcontent.aspx?tId=195423")</f>
        <v>http://bbs.12365auto.com/postcontent.aspx?tId=195423</v>
      </c>
      <c r="G911" s="2"/>
      <c r="H911" s="2" t="s">
        <v>1409</v>
      </c>
      <c r="I911" s="2" t="s">
        <v>15</v>
      </c>
      <c r="J911" s="2" t="s">
        <v>1386</v>
      </c>
      <c r="K911" s="2" t="s">
        <v>1408</v>
      </c>
      <c r="L911" s="2">
        <f t="shared" si="14"/>
        <v>150</v>
      </c>
    </row>
    <row r="912" spans="1:12" ht="25" customHeight="1">
      <c r="A912" s="2" t="s">
        <v>12</v>
      </c>
      <c r="B912" s="2" t="str">
        <f>HYPERLINK("http://m.12365auto.com/bbs/postcontent.aspx?tID=195421","不一定去抢亚洲龙 这丰田长超5米")</f>
        <v>不一定去抢亚洲龙 这丰田长超5米</v>
      </c>
      <c r="C912" s="2" t="s">
        <v>13</v>
      </c>
      <c r="D912" s="2" t="s">
        <v>23</v>
      </c>
      <c r="E912" s="2"/>
      <c r="F912" s="2" t="str">
        <f>HYPERLINK("http://m.12365auto.com/bbs/postcontent.aspx?tID=195421","http://m.12365auto.com/bbs/postcontent.aspx?tID=195421")</f>
        <v>http://m.12365auto.com/bbs/postcontent.aspx?tID=195421</v>
      </c>
      <c r="G912" s="2"/>
      <c r="H912" s="2" t="s">
        <v>1410</v>
      </c>
      <c r="I912" s="2" t="s">
        <v>15</v>
      </c>
      <c r="J912" s="2" t="s">
        <v>1386</v>
      </c>
      <c r="K912" s="2" t="s">
        <v>1411</v>
      </c>
      <c r="L912" s="2">
        <f t="shared" si="14"/>
        <v>150</v>
      </c>
    </row>
    <row r="913" spans="1:12" ht="25" customHeight="1">
      <c r="A913" s="2" t="s">
        <v>12</v>
      </c>
      <c r="B913" s="2" t="str">
        <f>HYPERLINK("http://m.12365auto.com/bbs/postcontent.aspx?tID=195422","丐版奥德赛提车半个月改装 颜值和实用配置升级")</f>
        <v>丐版奥德赛提车半个月改装 颜值和实用配置升级</v>
      </c>
      <c r="C913" s="2" t="s">
        <v>13</v>
      </c>
      <c r="D913" s="2" t="s">
        <v>23</v>
      </c>
      <c r="E913" s="2"/>
      <c r="F913" s="2" t="str">
        <f>HYPERLINK("http://m.12365auto.com/bbs/postcontent.aspx?tID=195422","http://m.12365auto.com/bbs/postcontent.aspx?tID=195422")</f>
        <v>http://m.12365auto.com/bbs/postcontent.aspx?tID=195422</v>
      </c>
      <c r="G913" s="2"/>
      <c r="H913" s="2" t="s">
        <v>1412</v>
      </c>
      <c r="I913" s="2" t="s">
        <v>15</v>
      </c>
      <c r="J913" s="2" t="s">
        <v>1386</v>
      </c>
      <c r="K913" s="2" t="s">
        <v>1411</v>
      </c>
      <c r="L913" s="2">
        <f t="shared" si="14"/>
        <v>150</v>
      </c>
    </row>
    <row r="914" spans="1:12" ht="25" customHeight="1">
      <c r="A914" s="2" t="s">
        <v>12</v>
      </c>
      <c r="B914" s="2" t="str">
        <f>HYPERLINK("http://bbs.12365auto.com/postcontent.aspx?tId=195421","不一定去抢亚洲龙 这丰田长超5米")</f>
        <v>不一定去抢亚洲龙 这丰田长超5米</v>
      </c>
      <c r="C914" s="2" t="s">
        <v>13</v>
      </c>
      <c r="D914" s="2" t="s">
        <v>12</v>
      </c>
      <c r="E914" s="2" t="s">
        <v>210</v>
      </c>
      <c r="F914" s="2" t="str">
        <f>HYPERLINK("http://bbs.12365auto.com/postcontent.aspx?tId=195421","http://bbs.12365auto.com/postcontent.aspx?tId=195421")</f>
        <v>http://bbs.12365auto.com/postcontent.aspx?tId=195421</v>
      </c>
      <c r="G914" s="2"/>
      <c r="H914" s="2" t="s">
        <v>1410</v>
      </c>
      <c r="I914" s="2" t="s">
        <v>15</v>
      </c>
      <c r="J914" s="2" t="s">
        <v>1386</v>
      </c>
      <c r="K914" s="2" t="s">
        <v>1411</v>
      </c>
      <c r="L914" s="2">
        <f t="shared" si="14"/>
        <v>150</v>
      </c>
    </row>
    <row r="915" spans="1:12" ht="25" customHeight="1">
      <c r="A915" s="2" t="s">
        <v>12</v>
      </c>
      <c r="B915" s="2" t="str">
        <f>HYPERLINK("http://bbs.12365auto.com/postcontent.aspx?tId=195422","丐版奥德赛提车半个月改装 颜值和实用配置升级")</f>
        <v>丐版奥德赛提车半个月改装 颜值和实用配置升级</v>
      </c>
      <c r="C915" s="2" t="s">
        <v>13</v>
      </c>
      <c r="D915" s="2" t="s">
        <v>12</v>
      </c>
      <c r="E915" s="2" t="s">
        <v>210</v>
      </c>
      <c r="F915" s="2" t="str">
        <f>HYPERLINK("http://bbs.12365auto.com/postcontent.aspx?tId=195422","http://bbs.12365auto.com/postcontent.aspx?tId=195422")</f>
        <v>http://bbs.12365auto.com/postcontent.aspx?tId=195422</v>
      </c>
      <c r="G915" s="2"/>
      <c r="H915" s="2" t="s">
        <v>1412</v>
      </c>
      <c r="I915" s="2" t="s">
        <v>15</v>
      </c>
      <c r="J915" s="2" t="s">
        <v>1386</v>
      </c>
      <c r="K915" s="2" t="s">
        <v>1411</v>
      </c>
      <c r="L915" s="2">
        <f t="shared" si="14"/>
        <v>150</v>
      </c>
    </row>
    <row r="916" spans="1:12" ht="25" customHeight="1">
      <c r="A916" s="2" t="s">
        <v>12</v>
      </c>
      <c r="B916" s="2" t="str">
        <f>HYPERLINK("http://bbs.12365auto.com/postcontent.aspx?tID=195421","不一定去抢亚洲龙 这丰田长超5米")</f>
        <v>不一定去抢亚洲龙 这丰田长超5米</v>
      </c>
      <c r="C916" s="2" t="s">
        <v>13</v>
      </c>
      <c r="D916" s="2" t="s">
        <v>12</v>
      </c>
      <c r="E916" s="2" t="s">
        <v>214</v>
      </c>
      <c r="F916" s="2" t="str">
        <f>HYPERLINK("http://bbs.12365auto.com/postcontent.aspx?tID=195421","http://bbs.12365auto.com/postcontent.aspx?tID=195421")</f>
        <v>http://bbs.12365auto.com/postcontent.aspx?tID=195421</v>
      </c>
      <c r="G916" s="2"/>
      <c r="H916" s="2" t="s">
        <v>1413</v>
      </c>
      <c r="I916" s="2" t="s">
        <v>15</v>
      </c>
      <c r="J916" s="2" t="s">
        <v>1386</v>
      </c>
      <c r="K916" s="2" t="s">
        <v>1411</v>
      </c>
      <c r="L916" s="2">
        <f t="shared" si="14"/>
        <v>150</v>
      </c>
    </row>
    <row r="917" spans="1:12" ht="25" customHeight="1">
      <c r="A917" s="2" t="s">
        <v>12</v>
      </c>
      <c r="B917" s="2" t="str">
        <f>HYPERLINK("http://bbs.12365auto.com/postcontent.aspx?tID=195422","丐版奥德赛提车半个月改装 颜值和实用配置升级")</f>
        <v>丐版奥德赛提车半个月改装 颜值和实用配置升级</v>
      </c>
      <c r="C917" s="2" t="s">
        <v>13</v>
      </c>
      <c r="D917" s="2" t="s">
        <v>12</v>
      </c>
      <c r="E917" s="2" t="s">
        <v>214</v>
      </c>
      <c r="F917" s="2" t="str">
        <f>HYPERLINK("http://bbs.12365auto.com/postcontent.aspx?tID=195422","http://bbs.12365auto.com/postcontent.aspx?tID=195422")</f>
        <v>http://bbs.12365auto.com/postcontent.aspx?tID=195422</v>
      </c>
      <c r="G917" s="2"/>
      <c r="H917" s="2" t="s">
        <v>1414</v>
      </c>
      <c r="I917" s="2" t="s">
        <v>15</v>
      </c>
      <c r="J917" s="2" t="s">
        <v>1386</v>
      </c>
      <c r="K917" s="2" t="s">
        <v>1411</v>
      </c>
      <c r="L917" s="2">
        <f t="shared" si="14"/>
        <v>150</v>
      </c>
    </row>
    <row r="918" spans="1:12" ht="25" customHeight="1">
      <c r="A918" s="2" t="s">
        <v>12</v>
      </c>
      <c r="B918" s="2" t="str">
        <f>HYPERLINK("http://bbs.12365auto.com/postcontent.aspx?tID=195420","本田皓影首撞 或因司机侧身拿副驾驶物品")</f>
        <v>本田皓影首撞 或因司机侧身拿副驾驶物品</v>
      </c>
      <c r="C918" s="2" t="s">
        <v>13</v>
      </c>
      <c r="D918" s="2" t="s">
        <v>12</v>
      </c>
      <c r="E918" s="2" t="s">
        <v>214</v>
      </c>
      <c r="F918" s="2" t="str">
        <f>HYPERLINK("http://bbs.12365auto.com/postcontent.aspx?tID=195420","http://bbs.12365auto.com/postcontent.aspx?tID=195420")</f>
        <v>http://bbs.12365auto.com/postcontent.aspx?tID=195420</v>
      </c>
      <c r="G918" s="2"/>
      <c r="H918" s="2" t="s">
        <v>1415</v>
      </c>
      <c r="I918" s="2" t="s">
        <v>15</v>
      </c>
      <c r="J918" s="2" t="s">
        <v>1386</v>
      </c>
      <c r="K918" s="2" t="s">
        <v>1416</v>
      </c>
      <c r="L918" s="2">
        <f t="shared" si="14"/>
        <v>150</v>
      </c>
    </row>
    <row r="919" spans="1:12" ht="25" customHeight="1">
      <c r="A919" s="2" t="s">
        <v>12</v>
      </c>
      <c r="B919" s="2" t="str">
        <f>HYPERLINK("http://m.12365auto.com/bbs/postcontent.aspx?tID=195420","本田皓影首撞 或因司机侧身拿副驾驶物品")</f>
        <v>本田皓影首撞 或因司机侧身拿副驾驶物品</v>
      </c>
      <c r="C919" s="2" t="s">
        <v>13</v>
      </c>
      <c r="D919" s="2" t="s">
        <v>23</v>
      </c>
      <c r="E919" s="2"/>
      <c r="F919" s="2" t="str">
        <f>HYPERLINK("http://m.12365auto.com/bbs/postcontent.aspx?tID=195420","http://m.12365auto.com/bbs/postcontent.aspx?tID=195420")</f>
        <v>http://m.12365auto.com/bbs/postcontent.aspx?tID=195420</v>
      </c>
      <c r="G919" s="2"/>
      <c r="H919" s="2" t="s">
        <v>1417</v>
      </c>
      <c r="I919" s="2" t="s">
        <v>15</v>
      </c>
      <c r="J919" s="2" t="s">
        <v>1386</v>
      </c>
      <c r="K919" s="2" t="s">
        <v>1416</v>
      </c>
      <c r="L919" s="2">
        <f t="shared" si="14"/>
        <v>150</v>
      </c>
    </row>
    <row r="920" spans="1:12" ht="25" customHeight="1">
      <c r="A920" s="2" t="s">
        <v>12</v>
      </c>
      <c r="B920" s="2" t="str">
        <f>HYPERLINK("http://bbs.12365auto.com/postcontent.aspx?tId=195420","本田皓影首撞 或因司机侧身拿副驾驶物品")</f>
        <v>本田皓影首撞 或因司机侧身拿副驾驶物品</v>
      </c>
      <c r="C920" s="2" t="s">
        <v>13</v>
      </c>
      <c r="D920" s="2" t="s">
        <v>12</v>
      </c>
      <c r="E920" s="2" t="s">
        <v>210</v>
      </c>
      <c r="F920" s="2" t="str">
        <f>HYPERLINK("http://bbs.12365auto.com/postcontent.aspx?tId=195420","http://bbs.12365auto.com/postcontent.aspx?tId=195420")</f>
        <v>http://bbs.12365auto.com/postcontent.aspx?tId=195420</v>
      </c>
      <c r="G920" s="2"/>
      <c r="H920" s="2" t="s">
        <v>1417</v>
      </c>
      <c r="I920" s="2" t="s">
        <v>15</v>
      </c>
      <c r="J920" s="2" t="s">
        <v>1386</v>
      </c>
      <c r="K920" s="2" t="s">
        <v>1416</v>
      </c>
      <c r="L920" s="2">
        <f t="shared" si="14"/>
        <v>150</v>
      </c>
    </row>
    <row r="921" spans="1:12" ht="25" customHeight="1">
      <c r="A921" s="2" t="s">
        <v>12</v>
      </c>
      <c r="B921" s="2" t="str">
        <f>HYPERLINK("http://bbs.12365auto.com/postcontent.aspx?tID=195419","都在说红旗H9好 那要卖四五十万")</f>
        <v>都在说红旗H9好 那要卖四五十万</v>
      </c>
      <c r="C921" s="2" t="s">
        <v>13</v>
      </c>
      <c r="D921" s="2" t="s">
        <v>12</v>
      </c>
      <c r="E921" s="2" t="s">
        <v>214</v>
      </c>
      <c r="F921" s="2" t="str">
        <f>HYPERLINK("http://bbs.12365auto.com/postcontent.aspx?tID=195419","http://bbs.12365auto.com/postcontent.aspx?tID=195419")</f>
        <v>http://bbs.12365auto.com/postcontent.aspx?tID=195419</v>
      </c>
      <c r="G921" s="2"/>
      <c r="H921" s="2" t="s">
        <v>1418</v>
      </c>
      <c r="I921" s="2" t="s">
        <v>15</v>
      </c>
      <c r="J921" s="2" t="s">
        <v>1386</v>
      </c>
      <c r="K921" s="2" t="s">
        <v>1419</v>
      </c>
      <c r="L921" s="2">
        <f t="shared" si="14"/>
        <v>150</v>
      </c>
    </row>
    <row r="922" spans="1:12" ht="25" customHeight="1">
      <c r="A922" s="2" t="s">
        <v>12</v>
      </c>
      <c r="B922" s="2" t="str">
        <f>HYPERLINK("http://m.12365auto.com/bbs/postcontent.aspx?tID=195419","都在说红旗H9好 那要卖四五十万")</f>
        <v>都在说红旗H9好 那要卖四五十万</v>
      </c>
      <c r="C922" s="2" t="s">
        <v>13</v>
      </c>
      <c r="D922" s="2" t="s">
        <v>23</v>
      </c>
      <c r="E922" s="2"/>
      <c r="F922" s="2" t="str">
        <f>HYPERLINK("http://m.12365auto.com/bbs/postcontent.aspx?tID=195419","http://m.12365auto.com/bbs/postcontent.aspx?tID=195419")</f>
        <v>http://m.12365auto.com/bbs/postcontent.aspx?tID=195419</v>
      </c>
      <c r="G922" s="2"/>
      <c r="H922" s="2" t="s">
        <v>1420</v>
      </c>
      <c r="I922" s="2" t="s">
        <v>15</v>
      </c>
      <c r="J922" s="2" t="s">
        <v>1386</v>
      </c>
      <c r="K922" s="2" t="s">
        <v>1419</v>
      </c>
      <c r="L922" s="2">
        <f t="shared" si="14"/>
        <v>150</v>
      </c>
    </row>
    <row r="923" spans="1:12" ht="25" customHeight="1">
      <c r="A923" s="2" t="s">
        <v>12</v>
      </c>
      <c r="B923" s="2" t="str">
        <f>HYPERLINK("http://bbs.12365auto.com/postcontent.aspx?tId=195419","都在说红旗H9好 那要卖四五十万")</f>
        <v>都在说红旗H9好 那要卖四五十万</v>
      </c>
      <c r="C923" s="2" t="s">
        <v>13</v>
      </c>
      <c r="D923" s="2" t="s">
        <v>12</v>
      </c>
      <c r="E923" s="2" t="s">
        <v>210</v>
      </c>
      <c r="F923" s="2" t="str">
        <f>HYPERLINK("http://bbs.12365auto.com/postcontent.aspx?tId=195419","http://bbs.12365auto.com/postcontent.aspx?tId=195419")</f>
        <v>http://bbs.12365auto.com/postcontent.aspx?tId=195419</v>
      </c>
      <c r="G923" s="2"/>
      <c r="H923" s="2" t="s">
        <v>1420</v>
      </c>
      <c r="I923" s="2" t="s">
        <v>15</v>
      </c>
      <c r="J923" s="2" t="s">
        <v>1386</v>
      </c>
      <c r="K923" s="2" t="s">
        <v>1419</v>
      </c>
      <c r="L923" s="2">
        <f t="shared" si="14"/>
        <v>150</v>
      </c>
    </row>
    <row r="924" spans="1:12" ht="25" customHeight="1">
      <c r="A924" s="2" t="s">
        <v>12</v>
      </c>
      <c r="B924" s="2" t="str">
        <f>HYPERLINK("http://www.12365auto.com/zlts/20200227/449083.shtml","上汽名爵6离合器异响 发动机报警挡杆异响")</f>
        <v>上汽名爵6离合器异响 发动机报警挡杆异响</v>
      </c>
      <c r="C924" s="2" t="s">
        <v>13</v>
      </c>
      <c r="D924" s="2" t="s">
        <v>12</v>
      </c>
      <c r="E924" s="2" t="s">
        <v>17</v>
      </c>
      <c r="F924" s="2" t="str">
        <f>HYPERLINK("http://www.12365auto.com/zlts/20200227/449083.shtml","http://www.12365auto.com/zlts/20200227/449083.shtml")</f>
        <v>http://www.12365auto.com/zlts/20200227/449083.shtml</v>
      </c>
      <c r="G924" s="2"/>
      <c r="H924" s="2" t="s">
        <v>1421</v>
      </c>
      <c r="I924" s="2" t="s">
        <v>19</v>
      </c>
      <c r="J924" s="2" t="s">
        <v>12</v>
      </c>
      <c r="K924" s="2" t="s">
        <v>1422</v>
      </c>
      <c r="L924" s="2">
        <f t="shared" si="14"/>
        <v>150</v>
      </c>
    </row>
    <row r="925" spans="1:12" ht="25" customHeight="1">
      <c r="A925" s="2" t="s">
        <v>12</v>
      </c>
      <c r="B925" s="2" t="str">
        <f>HYPERLINK("http://www.12365auto.com/zlts/20200227/449082.shtml","一汽大众探岳大灯有斑点手套箱无法关闭")</f>
        <v>一汽大众探岳大灯有斑点手套箱无法关闭</v>
      </c>
      <c r="C925" s="2" t="s">
        <v>13</v>
      </c>
      <c r="D925" s="2" t="s">
        <v>12</v>
      </c>
      <c r="E925" s="2" t="s">
        <v>17</v>
      </c>
      <c r="F925" s="2" t="str">
        <f>HYPERLINK("http://www.12365auto.com/zlts/20200227/449082.shtml","http://www.12365auto.com/zlts/20200227/449082.shtml")</f>
        <v>http://www.12365auto.com/zlts/20200227/449082.shtml</v>
      </c>
      <c r="G925" s="2"/>
      <c r="H925" s="2" t="s">
        <v>1423</v>
      </c>
      <c r="I925" s="2" t="s">
        <v>19</v>
      </c>
      <c r="J925" s="2" t="s">
        <v>12</v>
      </c>
      <c r="K925" s="2" t="s">
        <v>1424</v>
      </c>
      <c r="L925" s="2">
        <f t="shared" si="14"/>
        <v>150</v>
      </c>
    </row>
    <row r="926" spans="1:12" ht="25" customHeight="1">
      <c r="A926" s="2" t="s">
        <v>12</v>
      </c>
      <c r="B926" s="2" t="str">
        <f>HYPERLINK("http://bbs.12365auto.com/postcontent.aspx?tID=195418","买车必备常识之：教你火眼金睛辨车漆")</f>
        <v>买车必备常识之：教你火眼金睛辨车漆</v>
      </c>
      <c r="C926" s="2" t="s">
        <v>13</v>
      </c>
      <c r="D926" s="2" t="s">
        <v>12</v>
      </c>
      <c r="E926" s="2" t="s">
        <v>1393</v>
      </c>
      <c r="F926" s="2" t="str">
        <f>HYPERLINK("http://bbs.12365auto.com/postcontent.aspx?tID=195418","http://bbs.12365auto.com/postcontent.aspx?tID=195418")</f>
        <v>http://bbs.12365auto.com/postcontent.aspx?tID=195418</v>
      </c>
      <c r="G926" s="2"/>
      <c r="H926" s="2" t="s">
        <v>1425</v>
      </c>
      <c r="I926" s="2" t="s">
        <v>15</v>
      </c>
      <c r="J926" s="2" t="s">
        <v>1426</v>
      </c>
      <c r="K926" s="2" t="s">
        <v>1427</v>
      </c>
      <c r="L926" s="2">
        <f t="shared" si="14"/>
        <v>150</v>
      </c>
    </row>
    <row r="927" spans="1:12" ht="25" customHeight="1">
      <c r="A927" s="2" t="s">
        <v>12</v>
      </c>
      <c r="B927" s="2" t="str">
        <f>HYPERLINK("http://bbs.12365auto.com/postcontent.aspx?tId=195418","买车必备常识之：教你火眼金睛辨车漆")</f>
        <v>买车必备常识之：教你火眼金睛辨车漆</v>
      </c>
      <c r="C927" s="2" t="s">
        <v>13</v>
      </c>
      <c r="D927" s="2" t="s">
        <v>12</v>
      </c>
      <c r="E927" s="2" t="s">
        <v>1397</v>
      </c>
      <c r="F927" s="2" t="str">
        <f>HYPERLINK("http://bbs.12365auto.com/postcontent.aspx?tId=195418","http://bbs.12365auto.com/postcontent.aspx?tId=195418")</f>
        <v>http://bbs.12365auto.com/postcontent.aspx?tId=195418</v>
      </c>
      <c r="G927" s="2"/>
      <c r="H927" s="2" t="s">
        <v>1428</v>
      </c>
      <c r="I927" s="2" t="s">
        <v>15</v>
      </c>
      <c r="J927" s="2" t="s">
        <v>1426</v>
      </c>
      <c r="K927" s="2" t="s">
        <v>1427</v>
      </c>
      <c r="L927" s="2">
        <f t="shared" si="14"/>
        <v>150</v>
      </c>
    </row>
    <row r="928" spans="1:12" ht="25" customHeight="1">
      <c r="A928" s="2" t="s">
        <v>12</v>
      </c>
      <c r="B928" s="2" t="str">
        <f>HYPERLINK("http://www.12365auto.com/zlts/20200227/449078.shtml","上汽大众朗逸发动机故障灯报警希望处理")</f>
        <v>上汽大众朗逸发动机故障灯报警希望处理</v>
      </c>
      <c r="C928" s="2" t="s">
        <v>13</v>
      </c>
      <c r="D928" s="2" t="s">
        <v>12</v>
      </c>
      <c r="E928" s="2" t="s">
        <v>17</v>
      </c>
      <c r="F928" s="2" t="str">
        <f>HYPERLINK("http://www.12365auto.com/zlts/20200227/449078.shtml","http://www.12365auto.com/zlts/20200227/449078.shtml")</f>
        <v>http://www.12365auto.com/zlts/20200227/449078.shtml</v>
      </c>
      <c r="G928" s="2"/>
      <c r="H928" s="2" t="s">
        <v>1429</v>
      </c>
      <c r="I928" s="2" t="s">
        <v>19</v>
      </c>
      <c r="J928" s="2" t="s">
        <v>12</v>
      </c>
      <c r="K928" s="2" t="s">
        <v>1430</v>
      </c>
      <c r="L928" s="2">
        <f t="shared" si="14"/>
        <v>150</v>
      </c>
    </row>
    <row r="929" spans="1:12" ht="25" customHeight="1">
      <c r="A929" s="2" t="s">
        <v>12</v>
      </c>
      <c r="B929" s="2" t="str">
        <f>HYPERLINK("http://www.12365auto.com/zlts/20200227/449074.shtml","上汽大众朗逸发动机变速箱异响噪音大")</f>
        <v>上汽大众朗逸发动机变速箱异响噪音大</v>
      </c>
      <c r="C929" s="2" t="s">
        <v>13</v>
      </c>
      <c r="D929" s="2" t="s">
        <v>12</v>
      </c>
      <c r="E929" s="2" t="s">
        <v>17</v>
      </c>
      <c r="F929" s="2" t="str">
        <f>HYPERLINK("http://www.12365auto.com/zlts/20200227/449074.shtml","http://www.12365auto.com/zlts/20200227/449074.shtml")</f>
        <v>http://www.12365auto.com/zlts/20200227/449074.shtml</v>
      </c>
      <c r="G929" s="2"/>
      <c r="H929" s="2" t="s">
        <v>1431</v>
      </c>
      <c r="I929" s="2" t="s">
        <v>19</v>
      </c>
      <c r="J929" s="2" t="s">
        <v>12</v>
      </c>
      <c r="K929" s="2" t="s">
        <v>1432</v>
      </c>
      <c r="L929" s="2">
        <f t="shared" si="14"/>
        <v>150</v>
      </c>
    </row>
    <row r="930" spans="1:12" ht="25" customHeight="1">
      <c r="A930" s="2" t="s">
        <v>12</v>
      </c>
      <c r="B930" s="2" t="str">
        <f>HYPERLINK("http://www.12365auto.com/zlts/20200227/449063.shtml","东风雪铁龙C4L高压油泵故障要求处理")</f>
        <v>东风雪铁龙C4L高压油泵故障要求处理</v>
      </c>
      <c r="C930" s="2" t="s">
        <v>13</v>
      </c>
      <c r="D930" s="2" t="s">
        <v>12</v>
      </c>
      <c r="E930" s="2" t="s">
        <v>17</v>
      </c>
      <c r="F930" s="2" t="str">
        <f>HYPERLINK("http://www.12365auto.com/zlts/20200227/449063.shtml","http://www.12365auto.com/zlts/20200227/449063.shtml")</f>
        <v>http://www.12365auto.com/zlts/20200227/449063.shtml</v>
      </c>
      <c r="G930" s="2"/>
      <c r="H930" s="2" t="s">
        <v>1433</v>
      </c>
      <c r="I930" s="2" t="s">
        <v>19</v>
      </c>
      <c r="J930" s="2" t="s">
        <v>12</v>
      </c>
      <c r="K930" s="2" t="s">
        <v>1434</v>
      </c>
      <c r="L930" s="2">
        <f t="shared" si="14"/>
        <v>150</v>
      </c>
    </row>
    <row r="931" spans="1:12" ht="25" customHeight="1">
      <c r="A931" s="2" t="s">
        <v>12</v>
      </c>
      <c r="B931" s="2" t="str">
        <f>HYPERLINK("http://www.12365auto.com/zlts/20200227/449061.shtml#404","东风本田CRV刹车偏软，虚位大，下坡刹不住")</f>
        <v>东风本田CRV刹车偏软，虚位大，下坡刹不住</v>
      </c>
      <c r="C931" s="2" t="s">
        <v>13</v>
      </c>
      <c r="D931" s="2" t="s">
        <v>12</v>
      </c>
      <c r="E931" s="2"/>
      <c r="F931" s="2" t="str">
        <f>HYPERLINK("http://www.12365auto.com/zlts/20200227/449061.shtml#404","http://www.12365auto.com/zlts/20200227/449061.shtml#404")</f>
        <v>http://www.12365auto.com/zlts/20200227/449061.shtml#404</v>
      </c>
      <c r="G931" s="2"/>
      <c r="H931" s="3" t="s">
        <v>1435</v>
      </c>
      <c r="I931" s="2" t="s">
        <v>15</v>
      </c>
      <c r="J931" s="2" t="s">
        <v>12</v>
      </c>
      <c r="K931" s="2" t="s">
        <v>1436</v>
      </c>
      <c r="L931" s="2">
        <f t="shared" si="14"/>
        <v>121</v>
      </c>
    </row>
    <row r="932" spans="1:12" ht="25" customHeight="1">
      <c r="A932" s="2" t="s">
        <v>12</v>
      </c>
      <c r="B932" s="2" t="str">
        <f>HYPERLINK("http://www.12365auto.com/zlts/20200227/449062.shtml","东风本田CR-V机油增多希望尽快处理")</f>
        <v>东风本田CR-V机油增多希望尽快处理</v>
      </c>
      <c r="C932" s="2" t="s">
        <v>13</v>
      </c>
      <c r="D932" s="2" t="s">
        <v>12</v>
      </c>
      <c r="E932" s="2" t="s">
        <v>17</v>
      </c>
      <c r="F932" s="2" t="str">
        <f>HYPERLINK("http://www.12365auto.com/zlts/20200227/449062.shtml","http://www.12365auto.com/zlts/20200227/449062.shtml")</f>
        <v>http://www.12365auto.com/zlts/20200227/449062.shtml</v>
      </c>
      <c r="G932" s="2"/>
      <c r="H932" s="2" t="s">
        <v>1437</v>
      </c>
      <c r="I932" s="2" t="s">
        <v>19</v>
      </c>
      <c r="J932" s="2" t="s">
        <v>12</v>
      </c>
      <c r="K932" s="2" t="s">
        <v>1438</v>
      </c>
      <c r="L932" s="2">
        <f t="shared" si="14"/>
        <v>150</v>
      </c>
    </row>
    <row r="933" spans="1:12" ht="25" customHeight="1">
      <c r="A933" s="2" t="s">
        <v>12</v>
      </c>
      <c r="B933" s="2" t="str">
        <f>HYPERLINK("http://www.12365auto.com/zlts/20200227/449061.shtml","东风本田CR-V刹车偏软虚位大下坡刹不住")</f>
        <v>东风本田CR-V刹车偏软虚位大下坡刹不住</v>
      </c>
      <c r="C933" s="2" t="s">
        <v>13</v>
      </c>
      <c r="D933" s="2" t="s">
        <v>12</v>
      </c>
      <c r="E933" s="2" t="s">
        <v>17</v>
      </c>
      <c r="F933" s="2" t="str">
        <f>HYPERLINK("http://www.12365auto.com/zlts/20200227/449061.shtml","http://www.12365auto.com/zlts/20200227/449061.shtml")</f>
        <v>http://www.12365auto.com/zlts/20200227/449061.shtml</v>
      </c>
      <c r="G933" s="2"/>
      <c r="H933" s="2" t="s">
        <v>1439</v>
      </c>
      <c r="I933" s="2" t="s">
        <v>19</v>
      </c>
      <c r="J933" s="2" t="s">
        <v>12</v>
      </c>
      <c r="K933" s="2" t="s">
        <v>1440</v>
      </c>
      <c r="L933" s="2">
        <f t="shared" si="14"/>
        <v>150</v>
      </c>
    </row>
    <row r="934" spans="1:12" ht="25" customHeight="1">
      <c r="A934" s="2" t="s">
        <v>12</v>
      </c>
      <c r="B934" s="2" t="str">
        <f>HYPERLINK("http://www.12365auto.com/zlts/20200227/449060.shtml","吉利博越刹车异响 轻踩刹车无反应")</f>
        <v>吉利博越刹车异响 轻踩刹车无反应</v>
      </c>
      <c r="C934" s="2" t="s">
        <v>13</v>
      </c>
      <c r="D934" s="2" t="s">
        <v>12</v>
      </c>
      <c r="E934" s="2" t="s">
        <v>17</v>
      </c>
      <c r="F934" s="2" t="str">
        <f>HYPERLINK("http://www.12365auto.com/zlts/20200227/449060.shtml","http://www.12365auto.com/zlts/20200227/449060.shtml")</f>
        <v>http://www.12365auto.com/zlts/20200227/449060.shtml</v>
      </c>
      <c r="G934" s="2"/>
      <c r="H934" s="2" t="s">
        <v>1441</v>
      </c>
      <c r="I934" s="2" t="s">
        <v>15</v>
      </c>
      <c r="J934" s="2" t="s">
        <v>12</v>
      </c>
      <c r="K934" s="2" t="s">
        <v>1442</v>
      </c>
      <c r="L934" s="2">
        <f t="shared" si="14"/>
        <v>150</v>
      </c>
    </row>
    <row r="935" spans="1:12" ht="25" customHeight="1">
      <c r="A935" s="2" t="s">
        <v>12</v>
      </c>
      <c r="B935" s="2" t="str">
        <f>HYPERLINK("http://www.12365auto.com/zlts/20200227/449057.shtml","CVT波箱起步啸声好大，")</f>
        <v>CVT波箱起步啸声好大，</v>
      </c>
      <c r="C935" s="2" t="s">
        <v>13</v>
      </c>
      <c r="D935" s="2" t="s">
        <v>12</v>
      </c>
      <c r="E935" s="2"/>
      <c r="F935" s="2" t="str">
        <f>HYPERLINK("http://www.12365auto.com/zlts/20200227/449057.shtml","http://www.12365auto.com/zlts/20200227/449057.shtml")</f>
        <v>http://www.12365auto.com/zlts/20200227/449057.shtml</v>
      </c>
      <c r="G935" s="2"/>
      <c r="H935" s="3" t="s">
        <v>1443</v>
      </c>
      <c r="I935" s="2" t="s">
        <v>15</v>
      </c>
      <c r="J935" s="2" t="s">
        <v>12</v>
      </c>
      <c r="K935" s="2" t="s">
        <v>1444</v>
      </c>
      <c r="L935" s="2">
        <f t="shared" si="14"/>
        <v>104</v>
      </c>
    </row>
    <row r="936" spans="1:12" ht="25" customHeight="1">
      <c r="A936" s="2" t="s">
        <v>12</v>
      </c>
      <c r="B936" s="2" t="str">
        <f>HYPERLINK("http://bbs.12365auto.com/postcontent.aspx?tID=195412","车辆保养流程中需要留意的事项")</f>
        <v>车辆保养流程中需要留意的事项</v>
      </c>
      <c r="C936" s="2" t="s">
        <v>13</v>
      </c>
      <c r="D936" s="2" t="s">
        <v>12</v>
      </c>
      <c r="E936" s="2" t="s">
        <v>28</v>
      </c>
      <c r="F936" s="2" t="str">
        <f>HYPERLINK("http://bbs.12365auto.com/postcontent.aspx?tID=195412","http://bbs.12365auto.com/postcontent.aspx?tID=195412")</f>
        <v>http://bbs.12365auto.com/postcontent.aspx?tID=195412</v>
      </c>
      <c r="G936" s="2"/>
      <c r="H936" s="2" t="s">
        <v>1445</v>
      </c>
      <c r="I936" s="2" t="s">
        <v>15</v>
      </c>
      <c r="J936" s="2" t="s">
        <v>1446</v>
      </c>
      <c r="K936" s="2" t="s">
        <v>1447</v>
      </c>
      <c r="L936" s="2">
        <f t="shared" si="14"/>
        <v>150</v>
      </c>
    </row>
    <row r="937" spans="1:12" ht="25" customHeight="1">
      <c r="A937" s="2" t="s">
        <v>12</v>
      </c>
      <c r="B937" s="2" t="str">
        <f>HYPERLINK("http://bbs.12365auto.com/postcontent.aspx?tId=195412","车辆保养流程中需要留意的事项")</f>
        <v>车辆保养流程中需要留意的事项</v>
      </c>
      <c r="C937" s="2" t="s">
        <v>13</v>
      </c>
      <c r="D937" s="2" t="s">
        <v>12</v>
      </c>
      <c r="E937" s="2" t="s">
        <v>27</v>
      </c>
      <c r="F937" s="2" t="str">
        <f>HYPERLINK("http://bbs.12365auto.com/postcontent.aspx?tId=195412","http://bbs.12365auto.com/postcontent.aspx?tId=195412")</f>
        <v>http://bbs.12365auto.com/postcontent.aspx?tId=195412</v>
      </c>
      <c r="G937" s="2"/>
      <c r="H937" s="2" t="s">
        <v>1448</v>
      </c>
      <c r="I937" s="2" t="s">
        <v>15</v>
      </c>
      <c r="J937" s="2" t="s">
        <v>1446</v>
      </c>
      <c r="K937" s="2" t="s">
        <v>1447</v>
      </c>
      <c r="L937" s="2">
        <f t="shared" si="14"/>
        <v>150</v>
      </c>
    </row>
    <row r="938" spans="1:12" ht="25" customHeight="1">
      <c r="A938" s="2" t="s">
        <v>12</v>
      </c>
      <c r="B938" s="2" t="str">
        <f>HYPERLINK("http://m.12365auto.com/bbs/postcontent.aspx?tID=195412","车辆保养流程中需要留意的事项")</f>
        <v>车辆保养流程中需要留意的事项</v>
      </c>
      <c r="C938" s="2" t="s">
        <v>13</v>
      </c>
      <c r="D938" s="2" t="s">
        <v>23</v>
      </c>
      <c r="E938" s="2"/>
      <c r="F938" s="2" t="str">
        <f>HYPERLINK("http://m.12365auto.com/bbs/postcontent.aspx?tID=195412","http://m.12365auto.com/bbs/postcontent.aspx?tID=195412")</f>
        <v>http://m.12365auto.com/bbs/postcontent.aspx?tID=195412</v>
      </c>
      <c r="G938" s="2"/>
      <c r="H938" s="2" t="s">
        <v>1448</v>
      </c>
      <c r="I938" s="2" t="s">
        <v>15</v>
      </c>
      <c r="J938" s="2" t="s">
        <v>1446</v>
      </c>
      <c r="K938" s="2" t="s">
        <v>1447</v>
      </c>
      <c r="L938" s="2">
        <f t="shared" si="14"/>
        <v>150</v>
      </c>
    </row>
    <row r="939" spans="1:12" ht="25" customHeight="1">
      <c r="A939" s="2" t="s">
        <v>12</v>
      </c>
      <c r="B939" s="2" t="str">
        <f>HYPERLINK("http://www.12365auto.com/zlts/20200227/449053.shtml","一汽大众宝来起步倒车异响 玻璃上升时下降")</f>
        <v>一汽大众宝来起步倒车异响 玻璃上升时下降</v>
      </c>
      <c r="C939" s="2" t="s">
        <v>13</v>
      </c>
      <c r="D939" s="2" t="s">
        <v>12</v>
      </c>
      <c r="E939" s="2" t="s">
        <v>17</v>
      </c>
      <c r="F939" s="2" t="str">
        <f>HYPERLINK("http://www.12365auto.com/zlts/20200227/449053.shtml","http://www.12365auto.com/zlts/20200227/449053.shtml")</f>
        <v>http://www.12365auto.com/zlts/20200227/449053.shtml</v>
      </c>
      <c r="G939" s="2"/>
      <c r="H939" s="2" t="s">
        <v>1449</v>
      </c>
      <c r="I939" s="2" t="s">
        <v>19</v>
      </c>
      <c r="J939" s="2" t="s">
        <v>12</v>
      </c>
      <c r="K939" s="2" t="s">
        <v>1450</v>
      </c>
      <c r="L939" s="2">
        <f t="shared" si="14"/>
        <v>150</v>
      </c>
    </row>
    <row r="940" spans="1:12" ht="25" customHeight="1">
      <c r="A940" s="2" t="s">
        <v>12</v>
      </c>
      <c r="B940" s="2" t="str">
        <f>HYPERLINK("http://www.12365auto.com/zlts/20200227/449051.shtml","广汽三菱欧蓝德发动机共振抖动存在质量问题")</f>
        <v>广汽三菱欧蓝德发动机共振抖动存在质量问题</v>
      </c>
      <c r="C940" s="2" t="s">
        <v>13</v>
      </c>
      <c r="D940" s="2" t="s">
        <v>12</v>
      </c>
      <c r="E940" s="2" t="s">
        <v>17</v>
      </c>
      <c r="F940" s="2" t="str">
        <f>HYPERLINK("http://www.12365auto.com/zlts/20200227/449051.shtml","http://www.12365auto.com/zlts/20200227/449051.shtml")</f>
        <v>http://www.12365auto.com/zlts/20200227/449051.shtml</v>
      </c>
      <c r="G940" s="2"/>
      <c r="H940" s="2" t="s">
        <v>1451</v>
      </c>
      <c r="I940" s="2" t="s">
        <v>19</v>
      </c>
      <c r="J940" s="2" t="s">
        <v>12</v>
      </c>
      <c r="K940" s="2" t="s">
        <v>1452</v>
      </c>
      <c r="L940" s="2">
        <f t="shared" si="14"/>
        <v>150</v>
      </c>
    </row>
    <row r="941" spans="1:12" ht="25" customHeight="1">
      <c r="A941" s="2" t="s">
        <v>12</v>
      </c>
      <c r="B941" s="2" t="str">
        <f>HYPERLINK("http://m.12365auto.com/zjdy/20200227/121706.shtml","2017款GS4日间行车灯损坏可以质保吗？")</f>
        <v>2017款GS4日间行车灯损坏可以质保吗？</v>
      </c>
      <c r="C941" s="2" t="s">
        <v>13</v>
      </c>
      <c r="D941" s="2" t="s">
        <v>12</v>
      </c>
      <c r="E941" s="2"/>
      <c r="F941" s="2" t="str">
        <f>HYPERLINK("http://m.12365auto.com/zjdy/20200227/121706.shtml","http://m.12365auto.com/zjdy/20200227/121706.shtml")</f>
        <v>http://m.12365auto.com/zjdy/20200227/121706.shtml</v>
      </c>
      <c r="G941" s="2"/>
      <c r="H941" s="2" t="s">
        <v>1453</v>
      </c>
      <c r="I941" s="2" t="s">
        <v>19</v>
      </c>
      <c r="J941" s="2" t="s">
        <v>12</v>
      </c>
      <c r="K941" s="2" t="s">
        <v>1454</v>
      </c>
      <c r="L941" s="2">
        <f t="shared" si="14"/>
        <v>24</v>
      </c>
    </row>
    <row r="942" spans="1:12" ht="25" customHeight="1">
      <c r="A942" s="2" t="s">
        <v>12</v>
      </c>
      <c r="B942" s="2" t="str">
        <f>HYPERLINK("http://m.12365auto.com/zjdy/20200227/121705.shtml","磨合期过后双离合变速箱油需要更换吗？")</f>
        <v>磨合期过后双离合变速箱油需要更换吗？</v>
      </c>
      <c r="C942" s="2" t="s">
        <v>13</v>
      </c>
      <c r="D942" s="2" t="s">
        <v>12</v>
      </c>
      <c r="E942" s="2"/>
      <c r="F942" s="2" t="str">
        <f>HYPERLINK("http://m.12365auto.com/zjdy/20200227/121705.shtml","http://m.12365auto.com/zjdy/20200227/121705.shtml")</f>
        <v>http://m.12365auto.com/zjdy/20200227/121705.shtml</v>
      </c>
      <c r="G942" s="2"/>
      <c r="H942" s="2" t="s">
        <v>1455</v>
      </c>
      <c r="I942" s="2" t="s">
        <v>19</v>
      </c>
      <c r="J942" s="2" t="s">
        <v>12</v>
      </c>
      <c r="K942" s="2" t="s">
        <v>1456</v>
      </c>
      <c r="L942" s="2">
        <f t="shared" si="14"/>
        <v>18</v>
      </c>
    </row>
    <row r="943" spans="1:12" ht="25" customHeight="1">
      <c r="A943" s="2" t="s">
        <v>12</v>
      </c>
      <c r="B943" s="2" t="str">
        <f>HYPERLINK("http://m.12365auto.com/zhgg/20200227/419757.shtml","因定位不准 奔驰召回部分进口及国产汽车")</f>
        <v>因定位不准 奔驰召回部分进口及国产汽车</v>
      </c>
      <c r="C943" s="2" t="s">
        <v>13</v>
      </c>
      <c r="D943" s="2" t="s">
        <v>12</v>
      </c>
      <c r="E943" s="2"/>
      <c r="F943" s="2" t="str">
        <f>HYPERLINK("http://m.12365auto.com/zhgg/20200227/419757.shtml","http://m.12365auto.com/zhgg/20200227/419757.shtml")</f>
        <v>http://m.12365auto.com/zhgg/20200227/419757.shtml</v>
      </c>
      <c r="G943" s="2"/>
      <c r="H943" s="2" t="s">
        <v>1457</v>
      </c>
      <c r="I943" s="2" t="s">
        <v>19</v>
      </c>
      <c r="J943" s="2" t="s">
        <v>1458</v>
      </c>
      <c r="K943" s="2" t="s">
        <v>1459</v>
      </c>
      <c r="L943" s="2">
        <f t="shared" si="14"/>
        <v>150</v>
      </c>
    </row>
    <row r="944" spans="1:12" ht="25" customHeight="1">
      <c r="A944" s="2" t="s">
        <v>12</v>
      </c>
      <c r="B944" s="2" t="str">
        <f>HYPERLINK("http://www.12365auto.com/zhgg/20200227/419757.shtml","因定位不准 奔驰召回部分进口及国产汽车")</f>
        <v>因定位不准 奔驰召回部分进口及国产汽车</v>
      </c>
      <c r="C944" s="2" t="s">
        <v>13</v>
      </c>
      <c r="D944" s="2" t="s">
        <v>12</v>
      </c>
      <c r="E944" s="2" t="s">
        <v>1460</v>
      </c>
      <c r="F944" s="2" t="str">
        <f>HYPERLINK("http://www.12365auto.com/zhgg/20200227/419757.shtml","http://www.12365auto.com/zhgg/20200227/419757.shtml")</f>
        <v>http://www.12365auto.com/zhgg/20200227/419757.shtml</v>
      </c>
      <c r="G944" s="2"/>
      <c r="H944" s="2" t="s">
        <v>1461</v>
      </c>
      <c r="I944" s="2" t="s">
        <v>15</v>
      </c>
      <c r="J944" s="2" t="s">
        <v>12</v>
      </c>
      <c r="K944" s="2" t="s">
        <v>1459</v>
      </c>
      <c r="L944" s="2">
        <f t="shared" si="14"/>
        <v>150</v>
      </c>
    </row>
    <row r="945" spans="1:12" ht="25" customHeight="1">
      <c r="A945" s="2" t="s">
        <v>12</v>
      </c>
      <c r="B945" s="2" t="str">
        <f>HYPERLINK("http://www.12365auto.com/zlts/20200227/449048.shtml","上汽荣威i6新能源大灯开关损坏 售后不予索赔")</f>
        <v>上汽荣威i6新能源大灯开关损坏 售后不予索赔</v>
      </c>
      <c r="C945" s="2" t="s">
        <v>13</v>
      </c>
      <c r="D945" s="2" t="s">
        <v>12</v>
      </c>
      <c r="E945" s="2" t="s">
        <v>17</v>
      </c>
      <c r="F945" s="2" t="str">
        <f>HYPERLINK("http://www.12365auto.com/zlts/20200227/449048.shtml","http://www.12365auto.com/zlts/20200227/449048.shtml")</f>
        <v>http://www.12365auto.com/zlts/20200227/449048.shtml</v>
      </c>
      <c r="G945" s="2"/>
      <c r="H945" s="2" t="s">
        <v>1462</v>
      </c>
      <c r="I945" s="2" t="s">
        <v>15</v>
      </c>
      <c r="J945" s="2" t="s">
        <v>12</v>
      </c>
      <c r="K945" s="2" t="s">
        <v>1463</v>
      </c>
      <c r="L945" s="2">
        <f t="shared" si="14"/>
        <v>150</v>
      </c>
    </row>
    <row r="946" spans="1:12" ht="25" customHeight="1">
      <c r="A946" s="2" t="s">
        <v>12</v>
      </c>
      <c r="B946" s="2" t="str">
        <f>HYPERLINK("http://m.12365auto.com/zjdy/20200227/121703.shtml","吉利缤瑞6速双离合变速箱质量如何？")</f>
        <v>吉利缤瑞6速双离合变速箱质量如何？</v>
      </c>
      <c r="C946" s="2" t="s">
        <v>13</v>
      </c>
      <c r="D946" s="2" t="s">
        <v>12</v>
      </c>
      <c r="E946" s="2"/>
      <c r="F946" s="2" t="str">
        <f>HYPERLINK("http://m.12365auto.com/zjdy/20200227/121703.shtml","http://m.12365auto.com/zjdy/20200227/121703.shtml")</f>
        <v>http://m.12365auto.com/zjdy/20200227/121703.shtml</v>
      </c>
      <c r="G946" s="2"/>
      <c r="H946" s="2" t="s">
        <v>1464</v>
      </c>
      <c r="I946" s="2" t="s">
        <v>19</v>
      </c>
      <c r="J946" s="2" t="s">
        <v>12</v>
      </c>
      <c r="K946" s="2" t="s">
        <v>1465</v>
      </c>
      <c r="L946" s="2">
        <f t="shared" si="14"/>
        <v>112</v>
      </c>
    </row>
    <row r="947" spans="1:12" ht="25" customHeight="1">
      <c r="A947" s="2" t="s">
        <v>12</v>
      </c>
      <c r="B947" s="2" t="str">
        <f>HYPERLINK("http://m.12365auto.com/zjdy/20200227/121704.shtml","吉利远景X3空调出风口出热风是什么原因？")</f>
        <v>吉利远景X3空调出风口出热风是什么原因？</v>
      </c>
      <c r="C947" s="2" t="s">
        <v>13</v>
      </c>
      <c r="D947" s="2" t="s">
        <v>12</v>
      </c>
      <c r="E947" s="2"/>
      <c r="F947" s="2" t="str">
        <f>HYPERLINK("http://m.12365auto.com/zjdy/20200227/121704.shtml","http://m.12365auto.com/zjdy/20200227/121704.shtml")</f>
        <v>http://m.12365auto.com/zjdy/20200227/121704.shtml</v>
      </c>
      <c r="G947" s="2"/>
      <c r="H947" s="2" t="s">
        <v>1466</v>
      </c>
      <c r="I947" s="2" t="s">
        <v>19</v>
      </c>
      <c r="J947" s="2" t="s">
        <v>12</v>
      </c>
      <c r="K947" s="2" t="s">
        <v>1465</v>
      </c>
      <c r="L947" s="2">
        <f t="shared" si="14"/>
        <v>21</v>
      </c>
    </row>
    <row r="948" spans="1:12" ht="25" customHeight="1">
      <c r="A948" s="2" t="s">
        <v>12</v>
      </c>
      <c r="B948" s="2" t="str">
        <f>HYPERLINK("http://m.12365auto.com/zhgg/20200227/419756.shtml","因高田气囊问题 宝马再次召回国产及进口3系")</f>
        <v>因高田气囊问题 宝马再次召回国产及进口3系</v>
      </c>
      <c r="C948" s="2" t="s">
        <v>13</v>
      </c>
      <c r="D948" s="2" t="s">
        <v>12</v>
      </c>
      <c r="E948" s="2"/>
      <c r="F948" s="2" t="str">
        <f>HYPERLINK("http://m.12365auto.com/zhgg/20200227/419756.shtml","http://m.12365auto.com/zhgg/20200227/419756.shtml")</f>
        <v>http://m.12365auto.com/zhgg/20200227/419756.shtml</v>
      </c>
      <c r="G948" s="2"/>
      <c r="H948" s="2" t="s">
        <v>1467</v>
      </c>
      <c r="I948" s="2" t="s">
        <v>19</v>
      </c>
      <c r="J948" s="2" t="s">
        <v>1458</v>
      </c>
      <c r="K948" s="2" t="s">
        <v>1468</v>
      </c>
      <c r="L948" s="2">
        <f t="shared" si="14"/>
        <v>150</v>
      </c>
    </row>
    <row r="949" spans="1:12" ht="25" customHeight="1">
      <c r="A949" s="2" t="s">
        <v>12</v>
      </c>
      <c r="B949" s="2" t="str">
        <f>HYPERLINK("http://www.12365auto.com/zhgg/20200227/419756.shtml","因高田气囊问题 宝马再次召回国产及进口3系")</f>
        <v>因高田气囊问题 宝马再次召回国产及进口3系</v>
      </c>
      <c r="C949" s="2" t="s">
        <v>13</v>
      </c>
      <c r="D949" s="2" t="s">
        <v>12</v>
      </c>
      <c r="E949" s="2" t="s">
        <v>1460</v>
      </c>
      <c r="F949" s="2" t="str">
        <f>HYPERLINK("http://www.12365auto.com/zhgg/20200227/419756.shtml","http://www.12365auto.com/zhgg/20200227/419756.shtml")</f>
        <v>http://www.12365auto.com/zhgg/20200227/419756.shtml</v>
      </c>
      <c r="G949" s="2"/>
      <c r="H949" s="2" t="s">
        <v>1469</v>
      </c>
      <c r="I949" s="2" t="s">
        <v>15</v>
      </c>
      <c r="J949" s="2" t="s">
        <v>12</v>
      </c>
      <c r="K949" s="2" t="s">
        <v>1468</v>
      </c>
      <c r="L949" s="2">
        <f t="shared" si="14"/>
        <v>150</v>
      </c>
    </row>
    <row r="950" spans="1:12" ht="25" customHeight="1">
      <c r="A950" s="2" t="s">
        <v>12</v>
      </c>
      <c r="B950" s="2" t="str">
        <f>HYPERLINK("http://www.12365auto.com/zlts/20200227/449047.shtml","进口路虎揽胜运动版发电机故障希望厂家给予补偿")</f>
        <v>进口路虎揽胜运动版发电机故障希望厂家给予补偿</v>
      </c>
      <c r="C950" s="2" t="s">
        <v>13</v>
      </c>
      <c r="D950" s="2" t="s">
        <v>12</v>
      </c>
      <c r="E950" s="2" t="s">
        <v>17</v>
      </c>
      <c r="F950" s="2" t="str">
        <f>HYPERLINK("http://www.12365auto.com/zlts/20200227/449047.shtml","http://www.12365auto.com/zlts/20200227/449047.shtml")</f>
        <v>http://www.12365auto.com/zlts/20200227/449047.shtml</v>
      </c>
      <c r="G950" s="2"/>
      <c r="H950" s="2" t="s">
        <v>1470</v>
      </c>
      <c r="I950" s="2" t="s">
        <v>19</v>
      </c>
      <c r="J950" s="2" t="s">
        <v>12</v>
      </c>
      <c r="K950" s="2" t="s">
        <v>1471</v>
      </c>
      <c r="L950" s="2">
        <f t="shared" si="14"/>
        <v>150</v>
      </c>
    </row>
    <row r="951" spans="1:12" ht="25" customHeight="1">
      <c r="A951" s="2" t="s">
        <v>12</v>
      </c>
      <c r="B951" s="2" t="str">
        <f>HYPERLINK("http://www.12365auto.com/zlts/20200227/449042.shtml","东风标致308电磁阀故障导致抖动严重")</f>
        <v>东风标致308电磁阀故障导致抖动严重</v>
      </c>
      <c r="C951" s="2" t="s">
        <v>13</v>
      </c>
      <c r="D951" s="2" t="s">
        <v>12</v>
      </c>
      <c r="E951" s="2" t="s">
        <v>17</v>
      </c>
      <c r="F951" s="2" t="str">
        <f>HYPERLINK("http://www.12365auto.com/zlts/20200227/449042.shtml","http://www.12365auto.com/zlts/20200227/449042.shtml")</f>
        <v>http://www.12365auto.com/zlts/20200227/449042.shtml</v>
      </c>
      <c r="G951" s="2"/>
      <c r="H951" s="2" t="s">
        <v>1472</v>
      </c>
      <c r="I951" s="2" t="s">
        <v>15</v>
      </c>
      <c r="J951" s="2" t="s">
        <v>12</v>
      </c>
      <c r="K951" s="2" t="s">
        <v>1473</v>
      </c>
      <c r="L951" s="2">
        <f t="shared" si="14"/>
        <v>150</v>
      </c>
    </row>
    <row r="952" spans="1:12" ht="25" customHeight="1">
      <c r="A952" s="2" t="s">
        <v>12</v>
      </c>
      <c r="B952" s="2" t="str">
        <f>HYPERLINK("http://www.12365auto.com/zlts/20200227/449040.shtml","上汽名爵HS右前车门喇叭存在异响")</f>
        <v>上汽名爵HS右前车门喇叭存在异响</v>
      </c>
      <c r="C952" s="2" t="s">
        <v>13</v>
      </c>
      <c r="D952" s="2" t="s">
        <v>12</v>
      </c>
      <c r="E952" s="2" t="s">
        <v>17</v>
      </c>
      <c r="F952" s="2" t="str">
        <f>HYPERLINK("http://www.12365auto.com/zlts/20200227/449040.shtml","http://www.12365auto.com/zlts/20200227/449040.shtml")</f>
        <v>http://www.12365auto.com/zlts/20200227/449040.shtml</v>
      </c>
      <c r="G952" s="2"/>
      <c r="H952" s="2" t="s">
        <v>1474</v>
      </c>
      <c r="I952" s="2" t="s">
        <v>19</v>
      </c>
      <c r="J952" s="2" t="s">
        <v>12</v>
      </c>
      <c r="K952" s="2" t="s">
        <v>1475</v>
      </c>
      <c r="L952" s="2">
        <f t="shared" si="14"/>
        <v>150</v>
      </c>
    </row>
    <row r="953" spans="1:12" ht="25" customHeight="1">
      <c r="A953" s="2" t="s">
        <v>12</v>
      </c>
      <c r="B953" s="2" t="str">
        <f>HYPERLINK("http://www.12365auto.com/zlts/20200227/449038.shtml","华晨宝马3系发动机气门室盖漏油")</f>
        <v>华晨宝马3系发动机气门室盖漏油</v>
      </c>
      <c r="C953" s="2" t="s">
        <v>13</v>
      </c>
      <c r="D953" s="2" t="s">
        <v>12</v>
      </c>
      <c r="E953" s="2" t="s">
        <v>17</v>
      </c>
      <c r="F953" s="2" t="str">
        <f>HYPERLINK("http://www.12365auto.com/zlts/20200227/449038.shtml","http://www.12365auto.com/zlts/20200227/449038.shtml")</f>
        <v>http://www.12365auto.com/zlts/20200227/449038.shtml</v>
      </c>
      <c r="G953" s="2"/>
      <c r="H953" s="2" t="s">
        <v>1476</v>
      </c>
      <c r="I953" s="2" t="s">
        <v>19</v>
      </c>
      <c r="J953" s="2" t="s">
        <v>12</v>
      </c>
      <c r="K953" s="2" t="s">
        <v>1477</v>
      </c>
      <c r="L953" s="2">
        <f t="shared" si="14"/>
        <v>150</v>
      </c>
    </row>
    <row r="954" spans="1:12" ht="25" customHeight="1">
      <c r="A954" s="2" t="s">
        <v>12</v>
      </c>
      <c r="B954" s="2" t="str">
        <f>HYPERLINK("http://www.12365auto.com/zlts/20200227/449037.shtml","吉利帝豪GS减震器及座椅过硬影响舒适性")</f>
        <v>吉利帝豪GS减震器及座椅过硬影响舒适性</v>
      </c>
      <c r="C954" s="2" t="s">
        <v>13</v>
      </c>
      <c r="D954" s="2" t="s">
        <v>12</v>
      </c>
      <c r="E954" s="2" t="s">
        <v>17</v>
      </c>
      <c r="F954" s="2" t="str">
        <f>HYPERLINK("http://www.12365auto.com/zlts/20200227/449037.shtml","http://www.12365auto.com/zlts/20200227/449037.shtml")</f>
        <v>http://www.12365auto.com/zlts/20200227/449037.shtml</v>
      </c>
      <c r="G954" s="2"/>
      <c r="H954" s="2" t="s">
        <v>1478</v>
      </c>
      <c r="I954" s="2" t="s">
        <v>15</v>
      </c>
      <c r="J954" s="2" t="s">
        <v>12</v>
      </c>
      <c r="K954" s="2" t="s">
        <v>1479</v>
      </c>
      <c r="L954" s="2">
        <f t="shared" si="14"/>
        <v>150</v>
      </c>
    </row>
    <row r="955" spans="1:12" ht="25" customHeight="1">
      <c r="A955" s="2" t="s">
        <v>12</v>
      </c>
      <c r="B955" s="2" t="str">
        <f>HYPERLINK("http://www.12365auto.com/zlts/20200227/449036.shtml","吉利帝豪GS低速行驶时变速箱明显顿挫")</f>
        <v>吉利帝豪GS低速行驶时变速箱明显顿挫</v>
      </c>
      <c r="C955" s="2" t="s">
        <v>13</v>
      </c>
      <c r="D955" s="2" t="s">
        <v>12</v>
      </c>
      <c r="E955" s="2" t="s">
        <v>17</v>
      </c>
      <c r="F955" s="2" t="str">
        <f>HYPERLINK("http://www.12365auto.com/zlts/20200227/449036.shtml","http://www.12365auto.com/zlts/20200227/449036.shtml")</f>
        <v>http://www.12365auto.com/zlts/20200227/449036.shtml</v>
      </c>
      <c r="G955" s="2"/>
      <c r="H955" s="2" t="s">
        <v>1480</v>
      </c>
      <c r="I955" s="2" t="s">
        <v>19</v>
      </c>
      <c r="J955" s="2" t="s">
        <v>12</v>
      </c>
      <c r="K955" s="2" t="s">
        <v>1481</v>
      </c>
      <c r="L955" s="2">
        <f t="shared" si="14"/>
        <v>150</v>
      </c>
    </row>
    <row r="956" spans="1:12" ht="25" customHeight="1">
      <c r="A956" s="2" t="s">
        <v>12</v>
      </c>
      <c r="B956" s="2" t="str">
        <f>HYPERLINK("http://bbs.12365auto.com/postcontent.aspx?tId=195411","名爵HS新车电瓶亏电严重无法打火")</f>
        <v>名爵HS新车电瓶亏电严重无法打火</v>
      </c>
      <c r="C956" s="2" t="s">
        <v>13</v>
      </c>
      <c r="D956" s="2" t="s">
        <v>12</v>
      </c>
      <c r="E956" s="2" t="s">
        <v>66</v>
      </c>
      <c r="F956" s="2" t="str">
        <f>HYPERLINK("http://bbs.12365auto.com/postcontent.aspx?tId=195411","http://bbs.12365auto.com/postcontent.aspx?tId=195411")</f>
        <v>http://bbs.12365auto.com/postcontent.aspx?tId=195411</v>
      </c>
      <c r="G956" s="2"/>
      <c r="H956" s="2" t="s">
        <v>1482</v>
      </c>
      <c r="I956" s="2" t="s">
        <v>15</v>
      </c>
      <c r="J956" s="2" t="s">
        <v>1483</v>
      </c>
      <c r="K956" s="2" t="s">
        <v>1484</v>
      </c>
      <c r="L956" s="2">
        <f t="shared" si="14"/>
        <v>145</v>
      </c>
    </row>
    <row r="957" spans="1:12" ht="25" customHeight="1">
      <c r="A957" s="2" t="s">
        <v>12</v>
      </c>
      <c r="B957" s="2" t="str">
        <f>HYPERLINK("http://bbs.12365auto.com/postcontent.aspx?tID=195411","名爵HS新车电瓶亏电严重无法打火")</f>
        <v>名爵HS新车电瓶亏电严重无法打火</v>
      </c>
      <c r="C957" s="2" t="s">
        <v>13</v>
      </c>
      <c r="D957" s="2" t="s">
        <v>12</v>
      </c>
      <c r="E957" s="2" t="s">
        <v>67</v>
      </c>
      <c r="F957" s="2" t="str">
        <f>HYPERLINK("http://bbs.12365auto.com/postcontent.aspx?tID=195411","http://bbs.12365auto.com/postcontent.aspx?tID=195411")</f>
        <v>http://bbs.12365auto.com/postcontent.aspx?tID=195411</v>
      </c>
      <c r="G957" s="2"/>
      <c r="H957" s="2" t="s">
        <v>1485</v>
      </c>
      <c r="I957" s="2" t="s">
        <v>15</v>
      </c>
      <c r="J957" s="2" t="s">
        <v>1483</v>
      </c>
      <c r="K957" s="2" t="s">
        <v>1484</v>
      </c>
      <c r="L957" s="2">
        <f t="shared" si="14"/>
        <v>150</v>
      </c>
    </row>
    <row r="958" spans="1:12" ht="25" customHeight="1">
      <c r="A958" s="2" t="s">
        <v>12</v>
      </c>
      <c r="B958" s="2" t="str">
        <f>HYPERLINK("http://m.12365auto.com/bbs/postcontent.aspx?tID=195411","名爵HS新车电瓶亏电严重无法打火")</f>
        <v>名爵HS新车电瓶亏电严重无法打火</v>
      </c>
      <c r="C958" s="2" t="s">
        <v>13</v>
      </c>
      <c r="D958" s="2" t="s">
        <v>23</v>
      </c>
      <c r="E958" s="2"/>
      <c r="F958" s="2" t="str">
        <f>HYPERLINK("http://m.12365auto.com/bbs/postcontent.aspx?tID=195411","http://m.12365auto.com/bbs/postcontent.aspx?tID=195411")</f>
        <v>http://m.12365auto.com/bbs/postcontent.aspx?tID=195411</v>
      </c>
      <c r="G958" s="2"/>
      <c r="H958" s="2" t="s">
        <v>1482</v>
      </c>
      <c r="I958" s="2" t="s">
        <v>15</v>
      </c>
      <c r="J958" s="2" t="s">
        <v>1483</v>
      </c>
      <c r="K958" s="2" t="s">
        <v>1484</v>
      </c>
      <c r="L958" s="2">
        <f t="shared" si="14"/>
        <v>145</v>
      </c>
    </row>
    <row r="959" spans="1:12" ht="25" customHeight="1">
      <c r="A959" s="2" t="s">
        <v>12</v>
      </c>
      <c r="B959" s="2" t="str">
        <f>HYPERLINK("http://www.12365auto.com/zlts/20200227/449034.shtml","斯柯达晶锐事故维修配件到货周期长")</f>
        <v>斯柯达晶锐事故维修配件到货周期长</v>
      </c>
      <c r="C959" s="2" t="s">
        <v>13</v>
      </c>
      <c r="D959" s="2" t="s">
        <v>12</v>
      </c>
      <c r="E959" s="2" t="s">
        <v>17</v>
      </c>
      <c r="F959" s="2" t="str">
        <f>HYPERLINK("http://www.12365auto.com/zlts/20200227/449034.shtml","http://www.12365auto.com/zlts/20200227/449034.shtml")</f>
        <v>http://www.12365auto.com/zlts/20200227/449034.shtml</v>
      </c>
      <c r="G959" s="2"/>
      <c r="H959" s="2" t="s">
        <v>1486</v>
      </c>
      <c r="I959" s="2" t="s">
        <v>15</v>
      </c>
      <c r="J959" s="2" t="s">
        <v>12</v>
      </c>
      <c r="K959" s="2" t="s">
        <v>1487</v>
      </c>
      <c r="L959" s="2">
        <f t="shared" si="14"/>
        <v>150</v>
      </c>
    </row>
    <row r="960" spans="1:12" ht="25" customHeight="1">
      <c r="A960" s="2" t="s">
        <v>12</v>
      </c>
      <c r="B960" s="2" t="str">
        <f>HYPERLINK("http://m.12365auto.com/zjdy/20200227/121702.shtml","凯越中控工作台开胶翘起是什么原因？")</f>
        <v>凯越中控工作台开胶翘起是什么原因？</v>
      </c>
      <c r="C960" s="2" t="s">
        <v>13</v>
      </c>
      <c r="D960" s="2" t="s">
        <v>12</v>
      </c>
      <c r="E960" s="2"/>
      <c r="F960" s="2" t="str">
        <f>HYPERLINK("http://m.12365auto.com/zjdy/20200227/121702.shtml","http://m.12365auto.com/zjdy/20200227/121702.shtml")</f>
        <v>http://m.12365auto.com/zjdy/20200227/121702.shtml</v>
      </c>
      <c r="G960" s="2"/>
      <c r="H960" s="2" t="s">
        <v>1488</v>
      </c>
      <c r="I960" s="2" t="s">
        <v>19</v>
      </c>
      <c r="J960" s="2" t="s">
        <v>12</v>
      </c>
      <c r="K960" s="2" t="s">
        <v>1489</v>
      </c>
      <c r="L960" s="2">
        <f t="shared" si="14"/>
        <v>17</v>
      </c>
    </row>
    <row r="961" spans="1:12" ht="25" customHeight="1">
      <c r="A961" s="2" t="s">
        <v>12</v>
      </c>
      <c r="B961" s="2" t="str">
        <f>HYPERLINK("http://m.12365auto.com/zjdy/20200227/121701.shtml","桑塔纳仪表盘雪花标志闪烁是为什么？")</f>
        <v>桑塔纳仪表盘雪花标志闪烁是为什么？</v>
      </c>
      <c r="C961" s="2" t="s">
        <v>13</v>
      </c>
      <c r="D961" s="2" t="s">
        <v>12</v>
      </c>
      <c r="E961" s="2"/>
      <c r="F961" s="2" t="str">
        <f>HYPERLINK("http://m.12365auto.com/zjdy/20200227/121701.shtml","http://m.12365auto.com/zjdy/20200227/121701.shtml")</f>
        <v>http://m.12365auto.com/zjdy/20200227/121701.shtml</v>
      </c>
      <c r="G961" s="2"/>
      <c r="H961" s="2" t="s">
        <v>1490</v>
      </c>
      <c r="I961" s="2" t="s">
        <v>19</v>
      </c>
      <c r="J961" s="2" t="s">
        <v>12</v>
      </c>
      <c r="K961" s="2" t="s">
        <v>1489</v>
      </c>
      <c r="L961" s="2">
        <f t="shared" si="14"/>
        <v>33</v>
      </c>
    </row>
    <row r="962" spans="1:12" ht="25" customHeight="1">
      <c r="A962" s="2" t="s">
        <v>12</v>
      </c>
      <c r="B962" s="2" t="str">
        <f>HYPERLINK("http://www.12365auto.com/zlts/20200227/449029.shtml","一汽大众高尔夫刹车与天窗有异响现象")</f>
        <v>一汽大众高尔夫刹车与天窗有异响现象</v>
      </c>
      <c r="C962" s="2" t="s">
        <v>13</v>
      </c>
      <c r="D962" s="2" t="s">
        <v>12</v>
      </c>
      <c r="E962" s="2" t="s">
        <v>17</v>
      </c>
      <c r="F962" s="2" t="str">
        <f>HYPERLINK("http://www.12365auto.com/zlts/20200227/449029.shtml","http://www.12365auto.com/zlts/20200227/449029.shtml")</f>
        <v>http://www.12365auto.com/zlts/20200227/449029.shtml</v>
      </c>
      <c r="G962" s="2"/>
      <c r="H962" s="2" t="s">
        <v>1491</v>
      </c>
      <c r="I962" s="2" t="s">
        <v>15</v>
      </c>
      <c r="J962" s="2" t="s">
        <v>12</v>
      </c>
      <c r="K962" s="2" t="s">
        <v>1492</v>
      </c>
      <c r="L962" s="2">
        <f t="shared" si="14"/>
        <v>150</v>
      </c>
    </row>
    <row r="963" spans="1:12" ht="25" customHeight="1">
      <c r="A963" s="2" t="s">
        <v>12</v>
      </c>
      <c r="B963" s="2" t="str">
        <f>HYPERLINK("http://m.12365auto.com/zjdy/20200227/121700.shtml","T600开空调主副驾驶吹风温度不同怎么办？")</f>
        <v>T600开空调主副驾驶吹风温度不同怎么办？</v>
      </c>
      <c r="C963" s="2" t="s">
        <v>13</v>
      </c>
      <c r="D963" s="2" t="s">
        <v>12</v>
      </c>
      <c r="E963" s="2"/>
      <c r="F963" s="2" t="str">
        <f>HYPERLINK("http://m.12365auto.com/zjdy/20200227/121700.shtml","http://m.12365auto.com/zjdy/20200227/121700.shtml")</f>
        <v>http://m.12365auto.com/zjdy/20200227/121700.shtml</v>
      </c>
      <c r="G963" s="2"/>
      <c r="H963" s="2" t="s">
        <v>1493</v>
      </c>
      <c r="I963" s="2" t="s">
        <v>19</v>
      </c>
      <c r="J963" s="2" t="s">
        <v>12</v>
      </c>
      <c r="K963" s="2" t="s">
        <v>1494</v>
      </c>
      <c r="L963" s="2">
        <f t="shared" ref="L963:L1026" si="15">LEN(H963)</f>
        <v>57</v>
      </c>
    </row>
    <row r="964" spans="1:12" ht="25" customHeight="1">
      <c r="A964" s="2" t="s">
        <v>12</v>
      </c>
      <c r="B964" s="2" t="str">
        <f>HYPERLINK("http://m.12365auto.com/zjdy/20200227/121699.shtml","上汽大众朗逸启停功能异常是什么原因？")</f>
        <v>上汽大众朗逸启停功能异常是什么原因？</v>
      </c>
      <c r="C964" s="2" t="s">
        <v>13</v>
      </c>
      <c r="D964" s="2" t="s">
        <v>12</v>
      </c>
      <c r="E964" s="2"/>
      <c r="F964" s="2" t="str">
        <f>HYPERLINK("http://m.12365auto.com/zjdy/20200227/121699.shtml","http://m.12365auto.com/zjdy/20200227/121699.shtml")</f>
        <v>http://m.12365auto.com/zjdy/20200227/121699.shtml</v>
      </c>
      <c r="G964" s="2"/>
      <c r="H964" s="2" t="s">
        <v>1495</v>
      </c>
      <c r="I964" s="2" t="s">
        <v>19</v>
      </c>
      <c r="J964" s="2" t="s">
        <v>12</v>
      </c>
      <c r="K964" s="2" t="s">
        <v>1496</v>
      </c>
      <c r="L964" s="2">
        <f t="shared" si="15"/>
        <v>28</v>
      </c>
    </row>
    <row r="965" spans="1:12" ht="25" customHeight="1">
      <c r="A965" s="2" t="s">
        <v>12</v>
      </c>
      <c r="B965" s="2" t="str">
        <f>HYPERLINK("http://www.12365auto.com/zlts/20200227/449027.shtml","一汽大众高尔夫嘉旅发动机有规律哒哒异响")</f>
        <v>一汽大众高尔夫嘉旅发动机有规律哒哒异响</v>
      </c>
      <c r="C965" s="2" t="s">
        <v>13</v>
      </c>
      <c r="D965" s="2" t="s">
        <v>12</v>
      </c>
      <c r="E965" s="2" t="s">
        <v>17</v>
      </c>
      <c r="F965" s="2" t="str">
        <f>HYPERLINK("http://www.12365auto.com/zlts/20200227/449027.shtml","http://www.12365auto.com/zlts/20200227/449027.shtml")</f>
        <v>http://www.12365auto.com/zlts/20200227/449027.shtml</v>
      </c>
      <c r="G965" s="2"/>
      <c r="H965" s="2" t="s">
        <v>1497</v>
      </c>
      <c r="I965" s="2" t="s">
        <v>15</v>
      </c>
      <c r="J965" s="2" t="s">
        <v>12</v>
      </c>
      <c r="K965" s="2" t="s">
        <v>1498</v>
      </c>
      <c r="L965" s="2">
        <f t="shared" si="15"/>
        <v>150</v>
      </c>
    </row>
    <row r="966" spans="1:12" ht="25" customHeight="1">
      <c r="A966" s="2" t="s">
        <v>12</v>
      </c>
      <c r="B966" s="2" t="str">
        <f>HYPERLINK("http://www.12365auto.com/zlts/20200227/449026.shtml","一汽红旗H5转向平衡杆断裂不予质保")</f>
        <v>一汽红旗H5转向平衡杆断裂不予质保</v>
      </c>
      <c r="C966" s="2" t="s">
        <v>13</v>
      </c>
      <c r="D966" s="2" t="s">
        <v>12</v>
      </c>
      <c r="E966" s="2" t="s">
        <v>17</v>
      </c>
      <c r="F966" s="2" t="str">
        <f>HYPERLINK("http://www.12365auto.com/zlts/20200227/449026.shtml","http://www.12365auto.com/zlts/20200227/449026.shtml")</f>
        <v>http://www.12365auto.com/zlts/20200227/449026.shtml</v>
      </c>
      <c r="G966" s="2"/>
      <c r="H966" s="2" t="s">
        <v>1499</v>
      </c>
      <c r="I966" s="2" t="s">
        <v>19</v>
      </c>
      <c r="J966" s="2" t="s">
        <v>12</v>
      </c>
      <c r="K966" s="2" t="s">
        <v>1500</v>
      </c>
      <c r="L966" s="2">
        <f t="shared" si="15"/>
        <v>150</v>
      </c>
    </row>
    <row r="967" spans="1:12" ht="25" customHeight="1">
      <c r="A967" s="2" t="s">
        <v>12</v>
      </c>
      <c r="B967" s="2" t="str">
        <f>HYPERLINK("http://www.12365auto.com/zlts/20200227/449023.shtml","吉利远景X3发动机异响 气门油封漏气")</f>
        <v>吉利远景X3发动机异响 气门油封漏气</v>
      </c>
      <c r="C967" s="2" t="s">
        <v>13</v>
      </c>
      <c r="D967" s="2" t="s">
        <v>12</v>
      </c>
      <c r="E967" s="2" t="s">
        <v>17</v>
      </c>
      <c r="F967" s="2" t="str">
        <f>HYPERLINK("http://www.12365auto.com/zlts/20200227/449023.shtml","http://www.12365auto.com/zlts/20200227/449023.shtml")</f>
        <v>http://www.12365auto.com/zlts/20200227/449023.shtml</v>
      </c>
      <c r="G967" s="2"/>
      <c r="H967" s="2" t="s">
        <v>1501</v>
      </c>
      <c r="I967" s="2" t="s">
        <v>19</v>
      </c>
      <c r="J967" s="2" t="s">
        <v>12</v>
      </c>
      <c r="K967" s="2" t="s">
        <v>1502</v>
      </c>
      <c r="L967" s="2">
        <f t="shared" si="15"/>
        <v>150</v>
      </c>
    </row>
    <row r="968" spans="1:12" ht="25" customHeight="1">
      <c r="A968" s="2" t="s">
        <v>12</v>
      </c>
      <c r="B968" s="2" t="str">
        <f>HYPERLINK("http://www.12365auto.com/zlts/20200227/449021.shtml","长安马自达昂克赛拉右前避震器漏油导致异响")</f>
        <v>长安马自达昂克赛拉右前避震器漏油导致异响</v>
      </c>
      <c r="C968" s="2" t="s">
        <v>13</v>
      </c>
      <c r="D968" s="2" t="s">
        <v>12</v>
      </c>
      <c r="E968" s="2" t="s">
        <v>17</v>
      </c>
      <c r="F968" s="2" t="str">
        <f>HYPERLINK("http://www.12365auto.com/zlts/20200227/449021.shtml","http://www.12365auto.com/zlts/20200227/449021.shtml")</f>
        <v>http://www.12365auto.com/zlts/20200227/449021.shtml</v>
      </c>
      <c r="G968" s="2"/>
      <c r="H968" s="2" t="s">
        <v>1503</v>
      </c>
      <c r="I968" s="2" t="s">
        <v>19</v>
      </c>
      <c r="J968" s="2" t="s">
        <v>12</v>
      </c>
      <c r="K968" s="2" t="s">
        <v>1504</v>
      </c>
      <c r="L968" s="2">
        <f t="shared" si="15"/>
        <v>150</v>
      </c>
    </row>
    <row r="969" spans="1:12" ht="25" customHeight="1">
      <c r="A969" s="2" t="s">
        <v>12</v>
      </c>
      <c r="B969" s="2" t="str">
        <f>HYPERLINK("http://m.12365auto.com/zjdy/20200227/121698.shtml","奥迪A3和宝马1系哪款值得购买？")</f>
        <v>奥迪A3和宝马1系哪款值得购买？</v>
      </c>
      <c r="C969" s="2" t="s">
        <v>13</v>
      </c>
      <c r="D969" s="2" t="s">
        <v>12</v>
      </c>
      <c r="E969" s="2"/>
      <c r="F969" s="2" t="str">
        <f>HYPERLINK("http://m.12365auto.com/zjdy/20200227/121698.shtml","http://m.12365auto.com/zjdy/20200227/121698.shtml")</f>
        <v>http://m.12365auto.com/zjdy/20200227/121698.shtml</v>
      </c>
      <c r="G969" s="2"/>
      <c r="H969" s="2" t="s">
        <v>1505</v>
      </c>
      <c r="I969" s="2" t="s">
        <v>19</v>
      </c>
      <c r="J969" s="2" t="s">
        <v>12</v>
      </c>
      <c r="K969" s="2" t="s">
        <v>1506</v>
      </c>
      <c r="L969" s="2">
        <f t="shared" si="15"/>
        <v>28</v>
      </c>
    </row>
    <row r="970" spans="1:12" ht="25" customHeight="1">
      <c r="A970" s="2" t="s">
        <v>12</v>
      </c>
      <c r="B970" s="2" t="str">
        <f>HYPERLINK("http://www.12365auto.com/zlts/20200227/449020.shtml","江淮瑞风S4电瓶亏电更换配件未解决")</f>
        <v>江淮瑞风S4电瓶亏电更换配件未解决</v>
      </c>
      <c r="C970" s="2" t="s">
        <v>13</v>
      </c>
      <c r="D970" s="2" t="s">
        <v>12</v>
      </c>
      <c r="E970" s="2" t="s">
        <v>17</v>
      </c>
      <c r="F970" s="2" t="str">
        <f>HYPERLINK("http://www.12365auto.com/zlts/20200227/449020.shtml","http://www.12365auto.com/zlts/20200227/449020.shtml")</f>
        <v>http://www.12365auto.com/zlts/20200227/449020.shtml</v>
      </c>
      <c r="G970" s="2"/>
      <c r="H970" s="2" t="s">
        <v>1507</v>
      </c>
      <c r="I970" s="2" t="s">
        <v>15</v>
      </c>
      <c r="J970" s="2" t="s">
        <v>12</v>
      </c>
      <c r="K970" s="2" t="s">
        <v>1508</v>
      </c>
      <c r="L970" s="2">
        <f t="shared" si="15"/>
        <v>150</v>
      </c>
    </row>
    <row r="971" spans="1:12" ht="25" customHeight="1">
      <c r="A971" s="2" t="s">
        <v>12</v>
      </c>
      <c r="B971" s="2" t="str">
        <f>HYPERLINK("http://www.12365auto.com/zlts/20200227/449019.shtml","进口奔驰C级发动机点火延迟 故障灯亮")</f>
        <v>进口奔驰C级发动机点火延迟 故障灯亮</v>
      </c>
      <c r="C971" s="2" t="s">
        <v>13</v>
      </c>
      <c r="D971" s="2" t="s">
        <v>12</v>
      </c>
      <c r="E971" s="2" t="s">
        <v>17</v>
      </c>
      <c r="F971" s="2" t="str">
        <f>HYPERLINK("http://www.12365auto.com/zlts/20200227/449019.shtml","http://www.12365auto.com/zlts/20200227/449019.shtml")</f>
        <v>http://www.12365auto.com/zlts/20200227/449019.shtml</v>
      </c>
      <c r="G971" s="2"/>
      <c r="H971" s="2" t="s">
        <v>1509</v>
      </c>
      <c r="I971" s="2" t="s">
        <v>15</v>
      </c>
      <c r="J971" s="2" t="s">
        <v>12</v>
      </c>
      <c r="K971" s="2" t="s">
        <v>1508</v>
      </c>
      <c r="L971" s="2">
        <f t="shared" si="15"/>
        <v>150</v>
      </c>
    </row>
    <row r="972" spans="1:12" ht="25" customHeight="1">
      <c r="A972" s="2" t="s">
        <v>12</v>
      </c>
      <c r="B972" s="2" t="str">
        <f>HYPERLINK("http://m.12365auto.com/zjdy/20200227/121696.shtml","2019款雷凌有哪些隐藏功能可以刷出来？")</f>
        <v>2019款雷凌有哪些隐藏功能可以刷出来？</v>
      </c>
      <c r="C972" s="2" t="s">
        <v>13</v>
      </c>
      <c r="D972" s="2" t="s">
        <v>12</v>
      </c>
      <c r="E972" s="2"/>
      <c r="F972" s="2" t="str">
        <f>HYPERLINK("http://m.12365auto.com/zjdy/20200227/121696.shtml","http://m.12365auto.com/zjdy/20200227/121696.shtml")</f>
        <v>http://m.12365auto.com/zjdy/20200227/121696.shtml</v>
      </c>
      <c r="G972" s="2"/>
      <c r="H972" s="2" t="s">
        <v>1510</v>
      </c>
      <c r="I972" s="2" t="s">
        <v>19</v>
      </c>
      <c r="J972" s="2" t="s">
        <v>12</v>
      </c>
      <c r="K972" s="2" t="s">
        <v>1511</v>
      </c>
      <c r="L972" s="2">
        <f t="shared" si="15"/>
        <v>27</v>
      </c>
    </row>
    <row r="973" spans="1:12" ht="25" customHeight="1">
      <c r="A973" s="2" t="s">
        <v>12</v>
      </c>
      <c r="B973" s="2" t="str">
        <f>HYPERLINK("http://m.12365auto.com/zjdy/20200227/121695.shtml","阿特兹和华晨宝马1系哪款车值得购买？")</f>
        <v>阿特兹和华晨宝马1系哪款车值得购买？</v>
      </c>
      <c r="C973" s="2" t="s">
        <v>13</v>
      </c>
      <c r="D973" s="2" t="s">
        <v>12</v>
      </c>
      <c r="E973" s="2"/>
      <c r="F973" s="2" t="str">
        <f>HYPERLINK("http://m.12365auto.com/zjdy/20200227/121695.shtml","http://m.12365auto.com/zjdy/20200227/121695.shtml")</f>
        <v>http://m.12365auto.com/zjdy/20200227/121695.shtml</v>
      </c>
      <c r="G973" s="2"/>
      <c r="H973" s="2" t="s">
        <v>1512</v>
      </c>
      <c r="I973" s="2" t="s">
        <v>19</v>
      </c>
      <c r="J973" s="2" t="s">
        <v>12</v>
      </c>
      <c r="K973" s="2" t="s">
        <v>1513</v>
      </c>
      <c r="L973" s="2">
        <f t="shared" si="15"/>
        <v>53</v>
      </c>
    </row>
    <row r="974" spans="1:12" ht="25" customHeight="1">
      <c r="A974" s="2" t="s">
        <v>12</v>
      </c>
      <c r="B974" s="2" t="str">
        <f>HYPERLINK("http://m.12365auto.com/zjdy/20200227/121694.shtml","长安CS75 PLUS质量如何可以考虑入手吗？")</f>
        <v>长安CS75 PLUS质量如何可以考虑入手吗？</v>
      </c>
      <c r="C974" s="2" t="s">
        <v>13</v>
      </c>
      <c r="D974" s="2" t="s">
        <v>12</v>
      </c>
      <c r="E974" s="2"/>
      <c r="F974" s="2" t="str">
        <f>HYPERLINK("http://m.12365auto.com/zjdy/20200227/121694.shtml","http://m.12365auto.com/zjdy/20200227/121694.shtml")</f>
        <v>http://m.12365auto.com/zjdy/20200227/121694.shtml</v>
      </c>
      <c r="G974" s="2"/>
      <c r="H974" s="2" t="s">
        <v>1514</v>
      </c>
      <c r="I974" s="2" t="s">
        <v>19</v>
      </c>
      <c r="J974" s="2" t="s">
        <v>12</v>
      </c>
      <c r="K974" s="2" t="s">
        <v>1515</v>
      </c>
      <c r="L974" s="2">
        <f t="shared" si="15"/>
        <v>41</v>
      </c>
    </row>
    <row r="975" spans="1:12" ht="25" customHeight="1">
      <c r="A975" s="2" t="s">
        <v>12</v>
      </c>
      <c r="B975" s="2" t="str">
        <f>HYPERLINK("http://www.12365auto.com/zlts/20200227/449014.shtml","北京BJ20后视镜立柱断裂无解决方案")</f>
        <v>北京BJ20后视镜立柱断裂无解决方案</v>
      </c>
      <c r="C975" s="2" t="s">
        <v>13</v>
      </c>
      <c r="D975" s="2" t="s">
        <v>12</v>
      </c>
      <c r="E975" s="2" t="s">
        <v>17</v>
      </c>
      <c r="F975" s="2" t="str">
        <f>HYPERLINK("http://www.12365auto.com/zlts/20200227/449014.shtml","http://www.12365auto.com/zlts/20200227/449014.shtml")</f>
        <v>http://www.12365auto.com/zlts/20200227/449014.shtml</v>
      </c>
      <c r="G975" s="2"/>
      <c r="H975" s="2" t="s">
        <v>1516</v>
      </c>
      <c r="I975" s="2" t="s">
        <v>15</v>
      </c>
      <c r="J975" s="2" t="s">
        <v>12</v>
      </c>
      <c r="K975" s="2" t="s">
        <v>1517</v>
      </c>
      <c r="L975" s="2">
        <f t="shared" si="15"/>
        <v>150</v>
      </c>
    </row>
    <row r="976" spans="1:12" ht="25" customHeight="1">
      <c r="A976" s="2" t="s">
        <v>12</v>
      </c>
      <c r="B976" s="2" t="str">
        <f>HYPERLINK("http://www.12365auto.com/zlts/20200227/449012.shtml","一汽丰田RAV4荣放发动机抖动故障灯亮")</f>
        <v>一汽丰田RAV4荣放发动机抖动故障灯亮</v>
      </c>
      <c r="C976" s="2" t="s">
        <v>13</v>
      </c>
      <c r="D976" s="2" t="s">
        <v>12</v>
      </c>
      <c r="E976" s="2" t="s">
        <v>17</v>
      </c>
      <c r="F976" s="2" t="str">
        <f>HYPERLINK("http://www.12365auto.com/zlts/20200227/449012.shtml","http://www.12365auto.com/zlts/20200227/449012.shtml")</f>
        <v>http://www.12365auto.com/zlts/20200227/449012.shtml</v>
      </c>
      <c r="G976" s="2"/>
      <c r="H976" s="2" t="s">
        <v>1518</v>
      </c>
      <c r="I976" s="2" t="s">
        <v>15</v>
      </c>
      <c r="J976" s="2" t="s">
        <v>12</v>
      </c>
      <c r="K976" s="2" t="s">
        <v>1519</v>
      </c>
      <c r="L976" s="2">
        <f t="shared" si="15"/>
        <v>150</v>
      </c>
    </row>
    <row r="977" spans="1:12" ht="25" customHeight="1">
      <c r="A977" s="2" t="s">
        <v>12</v>
      </c>
      <c r="B977" s="2" t="str">
        <f>HYPERLINK("http://www.12365auto.com/zlts/20200227/449010.shtml","海马S5续航里程不显示 断电后里程自动清零")</f>
        <v>海马S5续航里程不显示 断电后里程自动清零</v>
      </c>
      <c r="C977" s="2" t="s">
        <v>13</v>
      </c>
      <c r="D977" s="2" t="s">
        <v>12</v>
      </c>
      <c r="E977" s="2" t="s">
        <v>17</v>
      </c>
      <c r="F977" s="2" t="str">
        <f>HYPERLINK("http://www.12365auto.com/zlts/20200227/449010.shtml","http://www.12365auto.com/zlts/20200227/449010.shtml")</f>
        <v>http://www.12365auto.com/zlts/20200227/449010.shtml</v>
      </c>
      <c r="G977" s="2"/>
      <c r="H977" s="2" t="s">
        <v>1520</v>
      </c>
      <c r="I977" s="2" t="s">
        <v>19</v>
      </c>
      <c r="J977" s="2" t="s">
        <v>12</v>
      </c>
      <c r="K977" s="2" t="s">
        <v>1521</v>
      </c>
      <c r="L977" s="2">
        <f t="shared" si="15"/>
        <v>150</v>
      </c>
    </row>
    <row r="978" spans="1:12" ht="25" customHeight="1">
      <c r="A978" s="2" t="s">
        <v>12</v>
      </c>
      <c r="B978" s="2" t="str">
        <f>HYPERLINK("http://www.12365auto.com/zlts/20200227/449006.shtml","一汽奔腾T99变速箱顿挫异响希望厂家处理")</f>
        <v>一汽奔腾T99变速箱顿挫异响希望厂家处理</v>
      </c>
      <c r="C978" s="2" t="s">
        <v>13</v>
      </c>
      <c r="D978" s="2" t="s">
        <v>12</v>
      </c>
      <c r="E978" s="2" t="s">
        <v>17</v>
      </c>
      <c r="F978" s="2" t="str">
        <f>HYPERLINK("http://www.12365auto.com/zlts/20200227/449006.shtml","http://www.12365auto.com/zlts/20200227/449006.shtml")</f>
        <v>http://www.12365auto.com/zlts/20200227/449006.shtml</v>
      </c>
      <c r="G978" s="2"/>
      <c r="H978" s="2" t="s">
        <v>1522</v>
      </c>
      <c r="I978" s="2" t="s">
        <v>19</v>
      </c>
      <c r="J978" s="2" t="s">
        <v>12</v>
      </c>
      <c r="K978" s="2" t="s">
        <v>1523</v>
      </c>
      <c r="L978" s="2">
        <f t="shared" si="15"/>
        <v>150</v>
      </c>
    </row>
    <row r="979" spans="1:12" ht="25" customHeight="1">
      <c r="A979" s="2" t="s">
        <v>12</v>
      </c>
      <c r="B979" s="2" t="str">
        <f>HYPERLINK("http://www.12365auto.com/zlts/20200227/449004.shtml","广汽三菱欧蓝德加满油行驶顿挫严重")</f>
        <v>广汽三菱欧蓝德加满油行驶顿挫严重</v>
      </c>
      <c r="C979" s="2" t="s">
        <v>13</v>
      </c>
      <c r="D979" s="2" t="s">
        <v>12</v>
      </c>
      <c r="E979" s="2" t="s">
        <v>17</v>
      </c>
      <c r="F979" s="2" t="str">
        <f>HYPERLINK("http://www.12365auto.com/zlts/20200227/449004.shtml","http://www.12365auto.com/zlts/20200227/449004.shtml")</f>
        <v>http://www.12365auto.com/zlts/20200227/449004.shtml</v>
      </c>
      <c r="G979" s="2"/>
      <c r="H979" s="2" t="s">
        <v>1524</v>
      </c>
      <c r="I979" s="2" t="s">
        <v>19</v>
      </c>
      <c r="J979" s="2" t="s">
        <v>12</v>
      </c>
      <c r="K979" s="2" t="s">
        <v>1525</v>
      </c>
      <c r="L979" s="2">
        <f t="shared" si="15"/>
        <v>150</v>
      </c>
    </row>
    <row r="980" spans="1:12" ht="25" customHeight="1">
      <c r="A980" s="2" t="s">
        <v>12</v>
      </c>
      <c r="B980" s="2" t="str">
        <f>HYPERLINK("http://www.12365auto.com/zlts/20200227/449005.shtml","观致3方向卡滞 刹车盘磨损 中控台异响")</f>
        <v>观致3方向卡滞 刹车盘磨损 中控台异响</v>
      </c>
      <c r="C980" s="2" t="s">
        <v>13</v>
      </c>
      <c r="D980" s="2" t="s">
        <v>12</v>
      </c>
      <c r="E980" s="2" t="s">
        <v>17</v>
      </c>
      <c r="F980" s="2" t="str">
        <f>HYPERLINK("http://www.12365auto.com/zlts/20200227/449005.shtml","http://www.12365auto.com/zlts/20200227/449005.shtml")</f>
        <v>http://www.12365auto.com/zlts/20200227/449005.shtml</v>
      </c>
      <c r="G980" s="2"/>
      <c r="H980" s="2" t="s">
        <v>1526</v>
      </c>
      <c r="I980" s="2" t="s">
        <v>19</v>
      </c>
      <c r="J980" s="2" t="s">
        <v>12</v>
      </c>
      <c r="K980" s="2" t="s">
        <v>1525</v>
      </c>
      <c r="L980" s="2">
        <f t="shared" si="15"/>
        <v>150</v>
      </c>
    </row>
    <row r="981" spans="1:12" ht="25" customHeight="1">
      <c r="A981" s="2" t="s">
        <v>12</v>
      </c>
      <c r="B981" s="2" t="str">
        <f>HYPERLINK("http://m.12365auto.com/news/20200227/419754.shtml","小车窗大学问 解读车窗角标的含义")</f>
        <v>小车窗大学问 解读车窗角标的含义</v>
      </c>
      <c r="C981" s="2" t="s">
        <v>13</v>
      </c>
      <c r="D981" s="2" t="s">
        <v>12</v>
      </c>
      <c r="E981" s="2"/>
      <c r="F981" s="2" t="str">
        <f>HYPERLINK("http://m.12365auto.com/news/20200227/419754.shtml","http://m.12365auto.com/news/20200227/419754.shtml")</f>
        <v>http://m.12365auto.com/news/20200227/419754.shtml</v>
      </c>
      <c r="G981" s="2"/>
      <c r="H981" s="2" t="s">
        <v>1527</v>
      </c>
      <c r="I981" s="2" t="s">
        <v>19</v>
      </c>
      <c r="J981" s="2" t="s">
        <v>12</v>
      </c>
      <c r="K981" s="2" t="s">
        <v>1528</v>
      </c>
      <c r="L981" s="2">
        <f t="shared" si="15"/>
        <v>150</v>
      </c>
    </row>
    <row r="982" spans="1:12" ht="25" customHeight="1">
      <c r="A982" s="2" t="s">
        <v>12</v>
      </c>
      <c r="B982" s="2" t="str">
        <f>HYPERLINK("http://www.12365auto.com/news/20200227/419754.shtml","小车窗大学问 解读车窗角标的含义")</f>
        <v>小车窗大学问 解读车窗角标的含义</v>
      </c>
      <c r="C982" s="2" t="s">
        <v>13</v>
      </c>
      <c r="D982" s="2" t="s">
        <v>12</v>
      </c>
      <c r="E982" s="2" t="s">
        <v>372</v>
      </c>
      <c r="F982" s="2" t="str">
        <f>HYPERLINK("http://www.12365auto.com/news/20200227/419754.shtml","http://www.12365auto.com/news/20200227/419754.shtml")</f>
        <v>http://www.12365auto.com/news/20200227/419754.shtml</v>
      </c>
      <c r="G982" s="2"/>
      <c r="H982" s="2" t="s">
        <v>1529</v>
      </c>
      <c r="I982" s="2" t="s">
        <v>15</v>
      </c>
      <c r="J982" s="2" t="s">
        <v>12</v>
      </c>
      <c r="K982" s="2" t="s">
        <v>1528</v>
      </c>
      <c r="L982" s="2">
        <f t="shared" si="15"/>
        <v>150</v>
      </c>
    </row>
    <row r="983" spans="1:12" ht="25" customHeight="1">
      <c r="A983" s="2" t="s">
        <v>12</v>
      </c>
      <c r="B983" s="2" t="str">
        <f>HYPERLINK("http://www.12365auto.com/zlts/20200227/449000.shtml","上汽名爵3发动机正时链条拉长导致缸体破损")</f>
        <v>上汽名爵3发动机正时链条拉长导致缸体破损</v>
      </c>
      <c r="C983" s="2" t="s">
        <v>13</v>
      </c>
      <c r="D983" s="2" t="s">
        <v>12</v>
      </c>
      <c r="E983" s="2" t="s">
        <v>17</v>
      </c>
      <c r="F983" s="2" t="str">
        <f>HYPERLINK("http://www.12365auto.com/zlts/20200227/449000.shtml","http://www.12365auto.com/zlts/20200227/449000.shtml")</f>
        <v>http://www.12365auto.com/zlts/20200227/449000.shtml</v>
      </c>
      <c r="G983" s="2"/>
      <c r="H983" s="2" t="s">
        <v>1530</v>
      </c>
      <c r="I983" s="2" t="s">
        <v>19</v>
      </c>
      <c r="J983" s="2" t="s">
        <v>12</v>
      </c>
      <c r="K983" s="2" t="s">
        <v>1531</v>
      </c>
      <c r="L983" s="2">
        <f t="shared" si="15"/>
        <v>150</v>
      </c>
    </row>
    <row r="984" spans="1:12" ht="25" customHeight="1">
      <c r="A984" s="2" t="s">
        <v>12</v>
      </c>
      <c r="B984" s="2" t="str">
        <f>HYPERLINK("http://m.12365auto.com/news/20200227/419753.shtml","春暖花开之际 行车安全要注意")</f>
        <v>春暖花开之际 行车安全要注意</v>
      </c>
      <c r="C984" s="2" t="s">
        <v>13</v>
      </c>
      <c r="D984" s="2" t="s">
        <v>12</v>
      </c>
      <c r="E984" s="2"/>
      <c r="F984" s="2" t="str">
        <f>HYPERLINK("http://m.12365auto.com/news/20200227/419753.shtml","http://m.12365auto.com/news/20200227/419753.shtml")</f>
        <v>http://m.12365auto.com/news/20200227/419753.shtml</v>
      </c>
      <c r="G984" s="2"/>
      <c r="H984" s="2" t="s">
        <v>1532</v>
      </c>
      <c r="I984" s="2" t="s">
        <v>19</v>
      </c>
      <c r="J984" s="2" t="s">
        <v>12</v>
      </c>
      <c r="K984" s="2" t="s">
        <v>1531</v>
      </c>
      <c r="L984" s="2">
        <f t="shared" si="15"/>
        <v>150</v>
      </c>
    </row>
    <row r="985" spans="1:12" ht="25" customHeight="1">
      <c r="A985" s="2" t="s">
        <v>12</v>
      </c>
      <c r="B985" s="2" t="str">
        <f>HYPERLINK("http://www.12365auto.com/news/20200227/419753.shtml","春暖花开之际 行车安全要注意")</f>
        <v>春暖花开之际 行车安全要注意</v>
      </c>
      <c r="C985" s="2" t="s">
        <v>13</v>
      </c>
      <c r="D985" s="2" t="s">
        <v>12</v>
      </c>
      <c r="E985" s="2" t="s">
        <v>372</v>
      </c>
      <c r="F985" s="2" t="str">
        <f>HYPERLINK("http://www.12365auto.com/news/20200227/419753.shtml","http://www.12365auto.com/news/20200227/419753.shtml")</f>
        <v>http://www.12365auto.com/news/20200227/419753.shtml</v>
      </c>
      <c r="G985" s="2"/>
      <c r="H985" s="2" t="s">
        <v>1533</v>
      </c>
      <c r="I985" s="2" t="s">
        <v>15</v>
      </c>
      <c r="J985" s="2" t="s">
        <v>12</v>
      </c>
      <c r="K985" s="2" t="s">
        <v>1531</v>
      </c>
      <c r="L985" s="2">
        <f t="shared" si="15"/>
        <v>150</v>
      </c>
    </row>
    <row r="986" spans="1:12" ht="25" customHeight="1">
      <c r="A986" s="2" t="s">
        <v>12</v>
      </c>
      <c r="B986" s="2" t="str">
        <f>HYPERLINK("http://m.12365auto.com/xcdg/20200227/419752.shtml","全场景驾控辅助互 领克05智能科技配置曝光")</f>
        <v>全场景驾控辅助互 领克05智能科技配置曝光</v>
      </c>
      <c r="C986" s="2" t="s">
        <v>13</v>
      </c>
      <c r="D986" s="2" t="s">
        <v>12</v>
      </c>
      <c r="E986" s="2"/>
      <c r="F986" s="2" t="str">
        <f>HYPERLINK("http://m.12365auto.com/xcdg/20200227/419752.shtml","http://m.12365auto.com/xcdg/20200227/419752.shtml")</f>
        <v>http://m.12365auto.com/xcdg/20200227/419752.shtml</v>
      </c>
      <c r="G986" s="2"/>
      <c r="H986" s="2" t="s">
        <v>1534</v>
      </c>
      <c r="I986" s="2" t="s">
        <v>19</v>
      </c>
      <c r="J986" s="2" t="s">
        <v>1535</v>
      </c>
      <c r="K986" s="2" t="s">
        <v>1536</v>
      </c>
      <c r="L986" s="2">
        <f t="shared" si="15"/>
        <v>150</v>
      </c>
    </row>
    <row r="987" spans="1:12" ht="25" customHeight="1">
      <c r="A987" s="2" t="s">
        <v>12</v>
      </c>
      <c r="B987" s="2" t="str">
        <f>HYPERLINK("http://www.12365auto.com/xcdg/20200227/419752.shtml","全场景驾控辅助互 领克05智能科技配置曝光")</f>
        <v>全场景驾控辅助互 领克05智能科技配置曝光</v>
      </c>
      <c r="C987" s="2" t="s">
        <v>13</v>
      </c>
      <c r="D987" s="2" t="s">
        <v>12</v>
      </c>
      <c r="E987" s="2" t="s">
        <v>245</v>
      </c>
      <c r="F987" s="2" t="str">
        <f>HYPERLINK("http://www.12365auto.com/xcdg/20200227/419752.shtml","http://www.12365auto.com/xcdg/20200227/419752.shtml")</f>
        <v>http://www.12365auto.com/xcdg/20200227/419752.shtml</v>
      </c>
      <c r="G987" s="2"/>
      <c r="H987" s="2" t="s">
        <v>1537</v>
      </c>
      <c r="I987" s="2" t="s">
        <v>19</v>
      </c>
      <c r="J987" s="2" t="s">
        <v>12</v>
      </c>
      <c r="K987" s="2" t="s">
        <v>1536</v>
      </c>
      <c r="L987" s="2">
        <f t="shared" si="15"/>
        <v>150</v>
      </c>
    </row>
    <row r="988" spans="1:12" ht="25" customHeight="1">
      <c r="A988" s="2" t="s">
        <v>12</v>
      </c>
      <c r="B988" s="2" t="str">
        <f>HYPERLINK("http://m.12365auto.com/xcdg/20200227/419751.shtml","搭载高性能碳化硅模块 比亚迪汉EV配置曝光")</f>
        <v>搭载高性能碳化硅模块 比亚迪汉EV配置曝光</v>
      </c>
      <c r="C988" s="2" t="s">
        <v>13</v>
      </c>
      <c r="D988" s="2" t="s">
        <v>12</v>
      </c>
      <c r="E988" s="2"/>
      <c r="F988" s="2" t="str">
        <f>HYPERLINK("http://m.12365auto.com/xcdg/20200227/419751.shtml","http://m.12365auto.com/xcdg/20200227/419751.shtml")</f>
        <v>http://m.12365auto.com/xcdg/20200227/419751.shtml</v>
      </c>
      <c r="G988" s="2"/>
      <c r="H988" s="2" t="s">
        <v>1538</v>
      </c>
      <c r="I988" s="2" t="s">
        <v>19</v>
      </c>
      <c r="J988" s="2" t="s">
        <v>1539</v>
      </c>
      <c r="K988" s="2" t="s">
        <v>1540</v>
      </c>
      <c r="L988" s="2">
        <f t="shared" si="15"/>
        <v>150</v>
      </c>
    </row>
    <row r="989" spans="1:12" ht="25" customHeight="1">
      <c r="A989" s="2" t="s">
        <v>12</v>
      </c>
      <c r="B989" s="2" t="str">
        <f>HYPERLINK("http://www.12365auto.com/xcdg/20200227/419751.shtml","搭载高性能碳化硅模块 比亚迪汉EV配置曝光")</f>
        <v>搭载高性能碳化硅模块 比亚迪汉EV配置曝光</v>
      </c>
      <c r="C989" s="2" t="s">
        <v>13</v>
      </c>
      <c r="D989" s="2" t="s">
        <v>12</v>
      </c>
      <c r="E989" s="2" t="s">
        <v>245</v>
      </c>
      <c r="F989" s="2" t="str">
        <f>HYPERLINK("http://www.12365auto.com/xcdg/20200227/419751.shtml","http://www.12365auto.com/xcdg/20200227/419751.shtml")</f>
        <v>http://www.12365auto.com/xcdg/20200227/419751.shtml</v>
      </c>
      <c r="G989" s="2"/>
      <c r="H989" s="2" t="s">
        <v>1541</v>
      </c>
      <c r="I989" s="2" t="s">
        <v>19</v>
      </c>
      <c r="J989" s="2" t="s">
        <v>12</v>
      </c>
      <c r="K989" s="2" t="s">
        <v>1540</v>
      </c>
      <c r="L989" s="2">
        <f t="shared" si="15"/>
        <v>150</v>
      </c>
    </row>
    <row r="990" spans="1:12" ht="25" customHeight="1">
      <c r="A990" s="2" t="s">
        <v>12</v>
      </c>
      <c r="B990" s="2" t="str">
        <f>HYPERLINK("http://m.12365auto.com/news/20200227/419750.shtml","获百万订单 亚马逊挑战汽车圈的Siri？")</f>
        <v>获百万订单 亚马逊挑战汽车圈的Siri？</v>
      </c>
      <c r="C990" s="2" t="s">
        <v>13</v>
      </c>
      <c r="D990" s="2" t="s">
        <v>12</v>
      </c>
      <c r="E990" s="2"/>
      <c r="F990" s="2" t="str">
        <f>HYPERLINK("http://m.12365auto.com/news/20200227/419750.shtml","http://m.12365auto.com/news/20200227/419750.shtml")</f>
        <v>http://m.12365auto.com/news/20200227/419750.shtml</v>
      </c>
      <c r="G990" s="2"/>
      <c r="H990" s="2" t="s">
        <v>1542</v>
      </c>
      <c r="I990" s="2" t="s">
        <v>19</v>
      </c>
      <c r="J990" s="2" t="s">
        <v>1543</v>
      </c>
      <c r="K990" s="2" t="s">
        <v>1544</v>
      </c>
      <c r="L990" s="2">
        <f t="shared" si="15"/>
        <v>150</v>
      </c>
    </row>
    <row r="991" spans="1:12" ht="25" customHeight="1">
      <c r="A991" s="2" t="s">
        <v>12</v>
      </c>
      <c r="B991" s="2" t="str">
        <f>HYPERLINK("http://www.12365auto.com/news/20200227/419750.shtml","获百万订单 亚马逊挑战汽车圈的Siri？")</f>
        <v>获百万订单 亚马逊挑战汽车圈的Siri？</v>
      </c>
      <c r="C991" s="2" t="s">
        <v>13</v>
      </c>
      <c r="D991" s="2" t="s">
        <v>12</v>
      </c>
      <c r="E991" s="2" t="s">
        <v>282</v>
      </c>
      <c r="F991" s="2" t="str">
        <f>HYPERLINK("http://www.12365auto.com/news/20200227/419750.shtml","http://www.12365auto.com/news/20200227/419750.shtml")</f>
        <v>http://www.12365auto.com/news/20200227/419750.shtml</v>
      </c>
      <c r="G991" s="2"/>
      <c r="H991" s="2" t="s">
        <v>1545</v>
      </c>
      <c r="I991" s="2" t="s">
        <v>19</v>
      </c>
      <c r="J991" s="2" t="s">
        <v>12</v>
      </c>
      <c r="K991" s="2" t="s">
        <v>1544</v>
      </c>
      <c r="L991" s="2">
        <f t="shared" si="15"/>
        <v>150</v>
      </c>
    </row>
    <row r="992" spans="1:12" ht="25" customHeight="1">
      <c r="A992" s="2" t="s">
        <v>12</v>
      </c>
      <c r="B992" s="2" t="str">
        <f>HYPERLINK("http://m.12365auto.com/scbg/20200227/419749.shtml","进入战前最后阶段 法拉利F1第二轮季前测试")</f>
        <v>进入战前最后阶段 法拉利F1第二轮季前测试</v>
      </c>
      <c r="C992" s="2" t="s">
        <v>13</v>
      </c>
      <c r="D992" s="2" t="s">
        <v>12</v>
      </c>
      <c r="E992" s="2"/>
      <c r="F992" s="2" t="str">
        <f>HYPERLINK("http://m.12365auto.com/scbg/20200227/419749.shtml","http://m.12365auto.com/scbg/20200227/419749.shtml")</f>
        <v>http://m.12365auto.com/scbg/20200227/419749.shtml</v>
      </c>
      <c r="G992" s="2"/>
      <c r="H992" s="2" t="s">
        <v>1546</v>
      </c>
      <c r="I992" s="2" t="s">
        <v>19</v>
      </c>
      <c r="J992" s="2" t="s">
        <v>760</v>
      </c>
      <c r="K992" s="2" t="s">
        <v>1547</v>
      </c>
      <c r="L992" s="2">
        <f t="shared" si="15"/>
        <v>150</v>
      </c>
    </row>
    <row r="993" spans="1:12" ht="25" customHeight="1">
      <c r="A993" s="2" t="s">
        <v>12</v>
      </c>
      <c r="B993" s="2" t="str">
        <f>HYPERLINK("http://www.12365auto.com/scbg/20200227/419749.shtml","进入战前最后阶段 法拉利F1第二轮季前测试")</f>
        <v>进入战前最后阶段 法拉利F1第二轮季前测试</v>
      </c>
      <c r="C993" s="2" t="s">
        <v>13</v>
      </c>
      <c r="D993" s="2" t="s">
        <v>12</v>
      </c>
      <c r="E993" s="2" t="s">
        <v>1548</v>
      </c>
      <c r="F993" s="2" t="str">
        <f>HYPERLINK("http://www.12365auto.com/scbg/20200227/419749.shtml","http://www.12365auto.com/scbg/20200227/419749.shtml")</f>
        <v>http://www.12365auto.com/scbg/20200227/419749.shtml</v>
      </c>
      <c r="G993" s="2"/>
      <c r="H993" s="2" t="s">
        <v>1549</v>
      </c>
      <c r="I993" s="2" t="s">
        <v>15</v>
      </c>
      <c r="J993" s="2" t="s">
        <v>12</v>
      </c>
      <c r="K993" s="2" t="s">
        <v>1547</v>
      </c>
      <c r="L993" s="2">
        <f t="shared" si="15"/>
        <v>150</v>
      </c>
    </row>
    <row r="994" spans="1:12" ht="25" customHeight="1">
      <c r="A994" s="2" t="s">
        <v>12</v>
      </c>
      <c r="B994" s="2" t="str">
        <f>HYPERLINK("http://m.12365auto.com/zjdy/20200227/121693.shtml","车速50KM/H双离合器变速箱挡位在几挡？")</f>
        <v>车速50KM/H双离合器变速箱挡位在几挡？</v>
      </c>
      <c r="C994" s="2" t="s">
        <v>13</v>
      </c>
      <c r="D994" s="2" t="s">
        <v>12</v>
      </c>
      <c r="E994" s="2"/>
      <c r="F994" s="2" t="str">
        <f>HYPERLINK("http://m.12365auto.com/zjdy/20200227/121693.shtml","http://m.12365auto.com/zjdy/20200227/121693.shtml")</f>
        <v>http://m.12365auto.com/zjdy/20200227/121693.shtml</v>
      </c>
      <c r="G994" s="2"/>
      <c r="H994" s="2" t="s">
        <v>1550</v>
      </c>
      <c r="I994" s="2" t="s">
        <v>19</v>
      </c>
      <c r="J994" s="2" t="s">
        <v>12</v>
      </c>
      <c r="K994" s="2" t="s">
        <v>1551</v>
      </c>
      <c r="L994" s="2">
        <f t="shared" si="15"/>
        <v>13</v>
      </c>
    </row>
    <row r="995" spans="1:12" ht="25" customHeight="1">
      <c r="A995" s="2" t="s">
        <v>12</v>
      </c>
      <c r="B995" s="2" t="str">
        <f>HYPERLINK("http://m.12365auto.com/xcdg/20200227/419748.shtml","高手对决只争朝夕 红旗HS5对比昂科威")</f>
        <v>高手对决只争朝夕 红旗HS5对比昂科威</v>
      </c>
      <c r="C995" s="2" t="s">
        <v>13</v>
      </c>
      <c r="D995" s="2" t="s">
        <v>12</v>
      </c>
      <c r="E995" s="2"/>
      <c r="F995" s="2" t="str">
        <f>HYPERLINK("http://m.12365auto.com/xcdg/20200227/419748.shtml","http://m.12365auto.com/xcdg/20200227/419748.shtml")</f>
        <v>http://m.12365auto.com/xcdg/20200227/419748.shtml</v>
      </c>
      <c r="G995" s="2"/>
      <c r="H995" s="2" t="s">
        <v>1552</v>
      </c>
      <c r="I995" s="2" t="s">
        <v>19</v>
      </c>
      <c r="J995" s="2" t="s">
        <v>1553</v>
      </c>
      <c r="K995" s="2" t="s">
        <v>1554</v>
      </c>
      <c r="L995" s="2">
        <f t="shared" si="15"/>
        <v>150</v>
      </c>
    </row>
    <row r="996" spans="1:12" ht="25" customHeight="1">
      <c r="A996" s="2" t="s">
        <v>12</v>
      </c>
      <c r="B996" s="2" t="str">
        <f>HYPERLINK("http://m.12365auto.com/news/20200227/419747.shtml","否认“混改”传闻 江淮与蔚来做出回应")</f>
        <v>否认“混改”传闻 江淮与蔚来做出回应</v>
      </c>
      <c r="C996" s="2" t="s">
        <v>13</v>
      </c>
      <c r="D996" s="2" t="s">
        <v>12</v>
      </c>
      <c r="E996" s="2"/>
      <c r="F996" s="2" t="str">
        <f>HYPERLINK("http://m.12365auto.com/news/20200227/419747.shtml","http://m.12365auto.com/news/20200227/419747.shtml")</f>
        <v>http://m.12365auto.com/news/20200227/419747.shtml</v>
      </c>
      <c r="G996" s="2"/>
      <c r="H996" s="2" t="s">
        <v>1555</v>
      </c>
      <c r="I996" s="2" t="s">
        <v>19</v>
      </c>
      <c r="J996" s="2" t="s">
        <v>286</v>
      </c>
      <c r="K996" s="2" t="s">
        <v>1556</v>
      </c>
      <c r="L996" s="2">
        <f t="shared" si="15"/>
        <v>150</v>
      </c>
    </row>
    <row r="997" spans="1:12" ht="25" customHeight="1">
      <c r="A997" s="2" t="s">
        <v>12</v>
      </c>
      <c r="B997" s="2" t="str">
        <f>HYPERLINK("http://m.12365auto.com/xcdg/20200227/419746.shtml","和长安凯程同平台 标致海外发布全新皮卡")</f>
        <v>和长安凯程同平台 标致海外发布全新皮卡</v>
      </c>
      <c r="C997" s="2" t="s">
        <v>13</v>
      </c>
      <c r="D997" s="2" t="s">
        <v>12</v>
      </c>
      <c r="E997" s="2"/>
      <c r="F997" s="2" t="str">
        <f>HYPERLINK("http://m.12365auto.com/xcdg/20200227/419746.shtml","http://m.12365auto.com/xcdg/20200227/419746.shtml")</f>
        <v>http://m.12365auto.com/xcdg/20200227/419746.shtml</v>
      </c>
      <c r="G997" s="2"/>
      <c r="H997" s="2" t="s">
        <v>1557</v>
      </c>
      <c r="I997" s="2" t="s">
        <v>19</v>
      </c>
      <c r="J997" s="2" t="s">
        <v>1558</v>
      </c>
      <c r="K997" s="2" t="s">
        <v>1556</v>
      </c>
      <c r="L997" s="2">
        <f t="shared" si="15"/>
        <v>150</v>
      </c>
    </row>
    <row r="998" spans="1:12" ht="25" customHeight="1">
      <c r="A998" s="2" t="s">
        <v>12</v>
      </c>
      <c r="B998" s="2" t="str">
        <f>HYPERLINK("http://www.12365auto.com/news/20200227/419747.shtml","否认“混改”传闻 江淮与蔚来做出回应")</f>
        <v>否认“混改”传闻 江淮与蔚来做出回应</v>
      </c>
      <c r="C998" s="2" t="s">
        <v>13</v>
      </c>
      <c r="D998" s="2" t="s">
        <v>12</v>
      </c>
      <c r="E998" s="2" t="s">
        <v>282</v>
      </c>
      <c r="F998" s="2" t="str">
        <f>HYPERLINK("http://www.12365auto.com/news/20200227/419747.shtml","http://www.12365auto.com/news/20200227/419747.shtml")</f>
        <v>http://www.12365auto.com/news/20200227/419747.shtml</v>
      </c>
      <c r="G998" s="2"/>
      <c r="H998" s="2" t="s">
        <v>1559</v>
      </c>
      <c r="I998" s="2" t="s">
        <v>19</v>
      </c>
      <c r="J998" s="2" t="s">
        <v>12</v>
      </c>
      <c r="K998" s="2" t="s">
        <v>1556</v>
      </c>
      <c r="L998" s="2">
        <f t="shared" si="15"/>
        <v>150</v>
      </c>
    </row>
    <row r="999" spans="1:12" ht="25" customHeight="1">
      <c r="A999" s="2" t="s">
        <v>12</v>
      </c>
      <c r="B999" s="2" t="str">
        <f>HYPERLINK("http://www.12365auto.com/xcdg/20200227/419746.shtml","和长安凯程同平台 标致海外发布全新皮卡")</f>
        <v>和长安凯程同平台 标致海外发布全新皮卡</v>
      </c>
      <c r="C999" s="2" t="s">
        <v>13</v>
      </c>
      <c r="D999" s="2" t="s">
        <v>12</v>
      </c>
      <c r="E999" s="2" t="s">
        <v>245</v>
      </c>
      <c r="F999" s="2" t="str">
        <f>HYPERLINK("http://www.12365auto.com/xcdg/20200227/419746.shtml","http://www.12365auto.com/xcdg/20200227/419746.shtml")</f>
        <v>http://www.12365auto.com/xcdg/20200227/419746.shtml</v>
      </c>
      <c r="G999" s="2"/>
      <c r="H999" s="2" t="s">
        <v>1560</v>
      </c>
      <c r="I999" s="2" t="s">
        <v>19</v>
      </c>
      <c r="J999" s="2" t="s">
        <v>12</v>
      </c>
      <c r="K999" s="2" t="s">
        <v>1556</v>
      </c>
      <c r="L999" s="2">
        <f t="shared" si="15"/>
        <v>150</v>
      </c>
    </row>
    <row r="1000" spans="1:12" ht="25" customHeight="1">
      <c r="A1000" s="2" t="s">
        <v>12</v>
      </c>
      <c r="B1000" s="2" t="str">
        <f>HYPERLINK("http://m.12365auto.com/xcdg/20200227/419745.shtml","或三季度上市 新款宝马5系插混版曝光")</f>
        <v>或三季度上市 新款宝马5系插混版曝光</v>
      </c>
      <c r="C1000" s="2" t="s">
        <v>13</v>
      </c>
      <c r="D1000" s="2" t="s">
        <v>12</v>
      </c>
      <c r="E1000" s="2"/>
      <c r="F1000" s="2" t="str">
        <f>HYPERLINK("http://m.12365auto.com/xcdg/20200227/419745.shtml","http://m.12365auto.com/xcdg/20200227/419745.shtml")</f>
        <v>http://m.12365auto.com/xcdg/20200227/419745.shtml</v>
      </c>
      <c r="G1000" s="2"/>
      <c r="H1000" s="2" t="s">
        <v>1561</v>
      </c>
      <c r="I1000" s="2" t="s">
        <v>19</v>
      </c>
      <c r="J1000" s="2" t="s">
        <v>1562</v>
      </c>
      <c r="K1000" s="2" t="s">
        <v>1563</v>
      </c>
      <c r="L1000" s="2">
        <f t="shared" si="15"/>
        <v>150</v>
      </c>
    </row>
    <row r="1001" spans="1:12" ht="25" customHeight="1">
      <c r="A1001" s="2" t="s">
        <v>12</v>
      </c>
      <c r="B1001" s="2" t="str">
        <f>HYPERLINK("http://www.12365auto.com/xcdg/20200227/419745.shtml","或三季度上市 新款宝马5系插混版曝光")</f>
        <v>或三季度上市 新款宝马5系插混版曝光</v>
      </c>
      <c r="C1001" s="2" t="s">
        <v>13</v>
      </c>
      <c r="D1001" s="2" t="s">
        <v>12</v>
      </c>
      <c r="E1001" s="2" t="s">
        <v>224</v>
      </c>
      <c r="F1001" s="2" t="str">
        <f>HYPERLINK("http://www.12365auto.com/xcdg/20200227/419745.shtml","http://www.12365auto.com/xcdg/20200227/419745.shtml")</f>
        <v>http://www.12365auto.com/xcdg/20200227/419745.shtml</v>
      </c>
      <c r="G1001" s="2"/>
      <c r="H1001" s="2" t="s">
        <v>1564</v>
      </c>
      <c r="I1001" s="2" t="s">
        <v>15</v>
      </c>
      <c r="J1001" s="2" t="s">
        <v>12</v>
      </c>
      <c r="K1001" s="2" t="s">
        <v>1563</v>
      </c>
      <c r="L1001" s="2">
        <f t="shared" si="15"/>
        <v>150</v>
      </c>
    </row>
    <row r="1002" spans="1:12" ht="25" customHeight="1">
      <c r="A1002" s="2" t="s">
        <v>12</v>
      </c>
      <c r="B1002" s="2" t="str">
        <f>HYPERLINK("http://m.12365auto.com/news/20200227/419744.shtml","外媒：蔚来2023年收支平衡前会再烧140亿")</f>
        <v>外媒：蔚来2023年收支平衡前会再烧140亿</v>
      </c>
      <c r="C1002" s="2" t="s">
        <v>13</v>
      </c>
      <c r="D1002" s="2" t="s">
        <v>12</v>
      </c>
      <c r="E1002" s="2"/>
      <c r="F1002" s="2" t="str">
        <f>HYPERLINK("http://m.12365auto.com/news/20200227/419744.shtml","http://m.12365auto.com/news/20200227/419744.shtml")</f>
        <v>http://m.12365auto.com/news/20200227/419744.shtml</v>
      </c>
      <c r="G1002" s="2"/>
      <c r="H1002" s="2" t="s">
        <v>1565</v>
      </c>
      <c r="I1002" s="2" t="s">
        <v>19</v>
      </c>
      <c r="J1002" s="2" t="s">
        <v>958</v>
      </c>
      <c r="K1002" s="2" t="s">
        <v>1566</v>
      </c>
      <c r="L1002" s="2">
        <f t="shared" si="15"/>
        <v>150</v>
      </c>
    </row>
    <row r="1003" spans="1:12" ht="25" customHeight="1">
      <c r="A1003" s="2" t="s">
        <v>12</v>
      </c>
      <c r="B1003" s="2" t="str">
        <f>HYPERLINK("http://www.12365auto.com/news/20200227/419744.shtml","外媒：蔚来2023年收支平衡前会再烧140亿")</f>
        <v>外媒：蔚来2023年收支平衡前会再烧140亿</v>
      </c>
      <c r="C1003" s="2" t="s">
        <v>13</v>
      </c>
      <c r="D1003" s="2" t="s">
        <v>12</v>
      </c>
      <c r="E1003" s="2" t="s">
        <v>282</v>
      </c>
      <c r="F1003" s="2" t="str">
        <f>HYPERLINK("http://www.12365auto.com/news/20200227/419744.shtml","http://www.12365auto.com/news/20200227/419744.shtml")</f>
        <v>http://www.12365auto.com/news/20200227/419744.shtml</v>
      </c>
      <c r="G1003" s="2"/>
      <c r="H1003" s="2" t="s">
        <v>1567</v>
      </c>
      <c r="I1003" s="2" t="s">
        <v>19</v>
      </c>
      <c r="J1003" s="2" t="s">
        <v>12</v>
      </c>
      <c r="K1003" s="2" t="s">
        <v>1566</v>
      </c>
      <c r="L1003" s="2">
        <f t="shared" si="15"/>
        <v>150</v>
      </c>
    </row>
    <row r="1004" spans="1:12" ht="25" customHeight="1">
      <c r="A1004" s="2" t="s">
        <v>12</v>
      </c>
      <c r="B1004" s="2" t="str">
        <f>HYPERLINK("http://www.12365auto.com/zlts/20200227/448981.shtml","哈弗F7x车联网故障多功能显示无效")</f>
        <v>哈弗F7x车联网故障多功能显示无效</v>
      </c>
      <c r="C1004" s="2" t="s">
        <v>13</v>
      </c>
      <c r="D1004" s="2" t="s">
        <v>12</v>
      </c>
      <c r="E1004" s="2"/>
      <c r="F1004" s="2" t="str">
        <f>HYPERLINK("http://www.12365auto.com/zlts/20200227/448981.shtml","http://www.12365auto.com/zlts/20200227/448981.shtml")</f>
        <v>http://www.12365auto.com/zlts/20200227/448981.shtml</v>
      </c>
      <c r="G1004" s="2"/>
      <c r="H1004" s="3" t="s">
        <v>1568</v>
      </c>
      <c r="I1004" s="2" t="s">
        <v>15</v>
      </c>
      <c r="J1004" s="2" t="s">
        <v>12</v>
      </c>
      <c r="K1004" s="2" t="s">
        <v>1569</v>
      </c>
      <c r="L1004" s="2">
        <f t="shared" si="15"/>
        <v>107</v>
      </c>
    </row>
    <row r="1005" spans="1:12" ht="25" customHeight="1">
      <c r="A1005" s="2" t="s">
        <v>12</v>
      </c>
      <c r="B1005" s="2" t="str">
        <f>HYPERLINK("http://m.12365auto.com/zjdy/20200227/121692.shtml","发动机动力不足是哪几种因素导致的？")</f>
        <v>发动机动力不足是哪几种因素导致的？</v>
      </c>
      <c r="C1005" s="2" t="s">
        <v>13</v>
      </c>
      <c r="D1005" s="2" t="s">
        <v>12</v>
      </c>
      <c r="E1005" s="2"/>
      <c r="F1005" s="2" t="str">
        <f>HYPERLINK("http://m.12365auto.com/zjdy/20200227/121692.shtml","http://m.12365auto.com/zjdy/20200227/121692.shtml")</f>
        <v>http://m.12365auto.com/zjdy/20200227/121692.shtml</v>
      </c>
      <c r="G1005" s="2"/>
      <c r="H1005" s="2" t="s">
        <v>1570</v>
      </c>
      <c r="I1005" s="2" t="s">
        <v>19</v>
      </c>
      <c r="J1005" s="2" t="s">
        <v>12</v>
      </c>
      <c r="K1005" s="2" t="s">
        <v>1571</v>
      </c>
      <c r="L1005" s="2">
        <f t="shared" si="15"/>
        <v>30</v>
      </c>
    </row>
    <row r="1006" spans="1:12" ht="25" customHeight="1">
      <c r="A1006" s="2" t="s">
        <v>12</v>
      </c>
      <c r="B1006" s="2" t="str">
        <f>HYPERLINK("http://m.12365auto.com/news/20200227/419743.shtml","大众ID.3软件存在问题 或将推迟上市时间")</f>
        <v>大众ID.3软件存在问题 或将推迟上市时间</v>
      </c>
      <c r="C1006" s="2" t="s">
        <v>13</v>
      </c>
      <c r="D1006" s="2" t="s">
        <v>12</v>
      </c>
      <c r="E1006" s="2"/>
      <c r="F1006" s="2" t="str">
        <f>HYPERLINK("http://m.12365auto.com/news/20200227/419743.shtml","http://m.12365auto.com/news/20200227/419743.shtml")</f>
        <v>http://m.12365auto.com/news/20200227/419743.shtml</v>
      </c>
      <c r="G1006" s="2"/>
      <c r="H1006" s="2" t="s">
        <v>1572</v>
      </c>
      <c r="I1006" s="2" t="s">
        <v>19</v>
      </c>
      <c r="J1006" s="2" t="s">
        <v>1573</v>
      </c>
      <c r="K1006" s="2" t="s">
        <v>1574</v>
      </c>
      <c r="L1006" s="2">
        <f t="shared" si="15"/>
        <v>150</v>
      </c>
    </row>
    <row r="1007" spans="1:12" ht="25" customHeight="1">
      <c r="A1007" s="2" t="s">
        <v>12</v>
      </c>
      <c r="B1007" s="2" t="str">
        <f>HYPERLINK("http://www.12365auto.com/news/20200227/419743.shtml","大众ID.3软件存在问题 或将推迟上市时间")</f>
        <v>大众ID.3软件存在问题 或将推迟上市时间</v>
      </c>
      <c r="C1007" s="2" t="s">
        <v>13</v>
      </c>
      <c r="D1007" s="2" t="s">
        <v>12</v>
      </c>
      <c r="E1007" s="2" t="s">
        <v>282</v>
      </c>
      <c r="F1007" s="2" t="str">
        <f>HYPERLINK("http://www.12365auto.com/news/20200227/419743.shtml","http://www.12365auto.com/news/20200227/419743.shtml")</f>
        <v>http://www.12365auto.com/news/20200227/419743.shtml</v>
      </c>
      <c r="G1007" s="2"/>
      <c r="H1007" s="2" t="s">
        <v>1575</v>
      </c>
      <c r="I1007" s="2" t="s">
        <v>19</v>
      </c>
      <c r="J1007" s="2" t="s">
        <v>12</v>
      </c>
      <c r="K1007" s="2" t="s">
        <v>1574</v>
      </c>
      <c r="L1007" s="2">
        <f t="shared" si="15"/>
        <v>150</v>
      </c>
    </row>
    <row r="1008" spans="1:12" ht="25" customHeight="1">
      <c r="A1008" s="2" t="s">
        <v>12</v>
      </c>
      <c r="B1008" s="2" t="str">
        <f>HYPERLINK("http://www.12365auto.com/xcdg/20200227/419742.shtml","奔驰C级AMG高性能版谍照 或配V6插混系统")</f>
        <v>奔驰C级AMG高性能版谍照 或配V6插混系统</v>
      </c>
      <c r="C1008" s="2" t="s">
        <v>13</v>
      </c>
      <c r="D1008" s="2" t="s">
        <v>12</v>
      </c>
      <c r="E1008" s="2" t="s">
        <v>224</v>
      </c>
      <c r="F1008" s="2" t="str">
        <f>HYPERLINK("http://www.12365auto.com/xcdg/20200227/419742.shtml","http://www.12365auto.com/xcdg/20200227/419742.shtml")</f>
        <v>http://www.12365auto.com/xcdg/20200227/419742.shtml</v>
      </c>
      <c r="G1008" s="2"/>
      <c r="H1008" s="2" t="s">
        <v>1576</v>
      </c>
      <c r="I1008" s="2" t="s">
        <v>15</v>
      </c>
      <c r="J1008" s="2" t="s">
        <v>12</v>
      </c>
      <c r="K1008" s="2" t="s">
        <v>1577</v>
      </c>
      <c r="L1008" s="2">
        <f t="shared" si="15"/>
        <v>150</v>
      </c>
    </row>
    <row r="1009" spans="1:12" ht="25" customHeight="1">
      <c r="A1009" s="2" t="s">
        <v>12</v>
      </c>
      <c r="B1009" s="2" t="str">
        <f>HYPERLINK("http://m.12365auto.com/xcdg/20200227/419742.shtml","奔驰C级AMG高性能版谍照 或配V6插混系统")</f>
        <v>奔驰C级AMG高性能版谍照 或配V6插混系统</v>
      </c>
      <c r="C1009" s="2" t="s">
        <v>13</v>
      </c>
      <c r="D1009" s="2" t="s">
        <v>12</v>
      </c>
      <c r="E1009" s="2"/>
      <c r="F1009" s="2" t="str">
        <f>HYPERLINK("http://m.12365auto.com/xcdg/20200227/419742.shtml","http://m.12365auto.com/xcdg/20200227/419742.shtml")</f>
        <v>http://m.12365auto.com/xcdg/20200227/419742.shtml</v>
      </c>
      <c r="G1009" s="2"/>
      <c r="H1009" s="2" t="s">
        <v>1578</v>
      </c>
      <c r="I1009" s="2" t="s">
        <v>19</v>
      </c>
      <c r="J1009" s="2" t="s">
        <v>706</v>
      </c>
      <c r="K1009" s="2" t="s">
        <v>1577</v>
      </c>
      <c r="L1009" s="2">
        <f t="shared" si="15"/>
        <v>150</v>
      </c>
    </row>
    <row r="1010" spans="1:12" ht="25" customHeight="1">
      <c r="A1010" s="2" t="s">
        <v>12</v>
      </c>
      <c r="B1010" s="2" t="str">
        <f>HYPERLINK("http://www.12365auto.com/zlts/20200227/448993.shtml","众泰云100车辆启动卡顿 脚刹及手刹失灵")</f>
        <v>众泰云100车辆启动卡顿 脚刹及手刹失灵</v>
      </c>
      <c r="C1010" s="2" t="s">
        <v>13</v>
      </c>
      <c r="D1010" s="2" t="s">
        <v>12</v>
      </c>
      <c r="E1010" s="2" t="s">
        <v>17</v>
      </c>
      <c r="F1010" s="2" t="str">
        <f>HYPERLINK("http://www.12365auto.com/zlts/20200227/448993.shtml","http://www.12365auto.com/zlts/20200227/448993.shtml")</f>
        <v>http://www.12365auto.com/zlts/20200227/448993.shtml</v>
      </c>
      <c r="G1010" s="2"/>
      <c r="H1010" s="2" t="s">
        <v>1579</v>
      </c>
      <c r="I1010" s="2" t="s">
        <v>19</v>
      </c>
      <c r="J1010" s="2" t="s">
        <v>12</v>
      </c>
      <c r="K1010" s="2" t="s">
        <v>1580</v>
      </c>
      <c r="L1010" s="2">
        <f t="shared" si="15"/>
        <v>150</v>
      </c>
    </row>
    <row r="1011" spans="1:12" ht="25" customHeight="1">
      <c r="A1011" s="2" t="s">
        <v>12</v>
      </c>
      <c r="B1011" s="2" t="str">
        <f>HYPERLINK("http://www.12365auto.com/zlts/20200227/448992.shtml","一汽解放J6P高速行驶中正新轮胎爆胎")</f>
        <v>一汽解放J6P高速行驶中正新轮胎爆胎</v>
      </c>
      <c r="C1011" s="2" t="s">
        <v>13</v>
      </c>
      <c r="D1011" s="2" t="s">
        <v>12</v>
      </c>
      <c r="E1011" s="2" t="s">
        <v>17</v>
      </c>
      <c r="F1011" s="2" t="str">
        <f>HYPERLINK("http://www.12365auto.com/zlts/20200227/448992.shtml","http://www.12365auto.com/zlts/20200227/448992.shtml")</f>
        <v>http://www.12365auto.com/zlts/20200227/448992.shtml</v>
      </c>
      <c r="G1011" s="2"/>
      <c r="H1011" s="2" t="s">
        <v>1581</v>
      </c>
      <c r="I1011" s="2" t="s">
        <v>19</v>
      </c>
      <c r="J1011" s="2" t="s">
        <v>12</v>
      </c>
      <c r="K1011" s="2" t="s">
        <v>1582</v>
      </c>
      <c r="L1011" s="2">
        <f t="shared" si="15"/>
        <v>150</v>
      </c>
    </row>
    <row r="1012" spans="1:12" ht="25" customHeight="1">
      <c r="A1012" s="2" t="s">
        <v>12</v>
      </c>
      <c r="B1012" s="2" t="str">
        <f>HYPERLINK("http://www.12365auto.com/zlts/20200227/448991.shtml","海马M3车身多处位置生锈并且腐烂")</f>
        <v>海马M3车身多处位置生锈并且腐烂</v>
      </c>
      <c r="C1012" s="2" t="s">
        <v>13</v>
      </c>
      <c r="D1012" s="2" t="s">
        <v>12</v>
      </c>
      <c r="E1012" s="2" t="s">
        <v>17</v>
      </c>
      <c r="F1012" s="2" t="str">
        <f>HYPERLINK("http://www.12365auto.com/zlts/20200227/448991.shtml","http://www.12365auto.com/zlts/20200227/448991.shtml")</f>
        <v>http://www.12365auto.com/zlts/20200227/448991.shtml</v>
      </c>
      <c r="G1012" s="2"/>
      <c r="H1012" s="2" t="s">
        <v>1583</v>
      </c>
      <c r="I1012" s="2" t="s">
        <v>19</v>
      </c>
      <c r="J1012" s="2" t="s">
        <v>12</v>
      </c>
      <c r="K1012" s="2" t="s">
        <v>1584</v>
      </c>
      <c r="L1012" s="2">
        <f t="shared" si="15"/>
        <v>150</v>
      </c>
    </row>
    <row r="1013" spans="1:12" ht="25" customHeight="1">
      <c r="A1013" s="2" t="s">
        <v>12</v>
      </c>
      <c r="B1013" s="2" t="str">
        <f>HYPERLINK("http://www.12365auto.com/zlts/20200227/448990.shtml","进口奔驰B级销售活动未兑现倒车影像白屏")</f>
        <v>进口奔驰B级销售活动未兑现倒车影像白屏</v>
      </c>
      <c r="C1013" s="2" t="s">
        <v>13</v>
      </c>
      <c r="D1013" s="2" t="s">
        <v>12</v>
      </c>
      <c r="E1013" s="2" t="s">
        <v>17</v>
      </c>
      <c r="F1013" s="2" t="str">
        <f>HYPERLINK("http://www.12365auto.com/zlts/20200227/448990.shtml","http://www.12365auto.com/zlts/20200227/448990.shtml")</f>
        <v>http://www.12365auto.com/zlts/20200227/448990.shtml</v>
      </c>
      <c r="G1013" s="2"/>
      <c r="H1013" s="2" t="s">
        <v>1585</v>
      </c>
      <c r="I1013" s="2" t="s">
        <v>19</v>
      </c>
      <c r="J1013" s="2" t="s">
        <v>12</v>
      </c>
      <c r="K1013" s="2" t="s">
        <v>1586</v>
      </c>
      <c r="L1013" s="2">
        <f t="shared" si="15"/>
        <v>150</v>
      </c>
    </row>
    <row r="1014" spans="1:12" ht="25" customHeight="1">
      <c r="A1014" s="2" t="s">
        <v>12</v>
      </c>
      <c r="B1014" s="2" t="str">
        <f>HYPERLINK("http://www.12365auto.com/zlts/20200227/448989.shtml","一汽大众蔚领防盗系统损坏导致无法启动")</f>
        <v>一汽大众蔚领防盗系统损坏导致无法启动</v>
      </c>
      <c r="C1014" s="2" t="s">
        <v>13</v>
      </c>
      <c r="D1014" s="2" t="s">
        <v>12</v>
      </c>
      <c r="E1014" s="2" t="s">
        <v>17</v>
      </c>
      <c r="F1014" s="2" t="str">
        <f>HYPERLINK("http://www.12365auto.com/zlts/20200227/448989.shtml","http://www.12365auto.com/zlts/20200227/448989.shtml")</f>
        <v>http://www.12365auto.com/zlts/20200227/448989.shtml</v>
      </c>
      <c r="G1014" s="2"/>
      <c r="H1014" s="2" t="s">
        <v>1587</v>
      </c>
      <c r="I1014" s="2" t="s">
        <v>19</v>
      </c>
      <c r="J1014" s="2" t="s">
        <v>12</v>
      </c>
      <c r="K1014" s="2" t="s">
        <v>1588</v>
      </c>
      <c r="L1014" s="2">
        <f t="shared" si="15"/>
        <v>150</v>
      </c>
    </row>
    <row r="1015" spans="1:12" ht="25" customHeight="1">
      <c r="A1015" s="2" t="s">
        <v>12</v>
      </c>
      <c r="B1015" s="2" t="str">
        <f>HYPERLINK("http://www.12365auto.com/xcdg/20200227/419741.shtml","路虎卫士英国售价公布 起售价约合36.5万元")</f>
        <v>路虎卫士英国售价公布 起售价约合36.5万元</v>
      </c>
      <c r="C1015" s="2" t="s">
        <v>13</v>
      </c>
      <c r="D1015" s="2" t="s">
        <v>12</v>
      </c>
      <c r="E1015" s="2" t="s">
        <v>216</v>
      </c>
      <c r="F1015" s="2" t="str">
        <f>HYPERLINK("http://www.12365auto.com/xcdg/20200227/419741.shtml","http://www.12365auto.com/xcdg/20200227/419741.shtml")</f>
        <v>http://www.12365auto.com/xcdg/20200227/419741.shtml</v>
      </c>
      <c r="G1015" s="2"/>
      <c r="H1015" s="2" t="s">
        <v>1589</v>
      </c>
      <c r="I1015" s="2" t="s">
        <v>15</v>
      </c>
      <c r="J1015" s="2" t="s">
        <v>12</v>
      </c>
      <c r="K1015" s="2" t="s">
        <v>1588</v>
      </c>
      <c r="L1015" s="2">
        <f t="shared" si="15"/>
        <v>150</v>
      </c>
    </row>
    <row r="1016" spans="1:12" ht="25" customHeight="1">
      <c r="A1016" s="2" t="s">
        <v>12</v>
      </c>
      <c r="B1016" s="2" t="str">
        <f>HYPERLINK("http://m.12365auto.com/xcdg/20200227/419741.shtml","路虎卫士英国售价公布 起售价约合36.5万元")</f>
        <v>路虎卫士英国售价公布 起售价约合36.5万元</v>
      </c>
      <c r="C1016" s="2" t="s">
        <v>13</v>
      </c>
      <c r="D1016" s="2" t="s">
        <v>12</v>
      </c>
      <c r="E1016" s="2"/>
      <c r="F1016" s="2" t="str">
        <f>HYPERLINK("http://m.12365auto.com/xcdg/20200227/419741.shtml","http://m.12365auto.com/xcdg/20200227/419741.shtml")</f>
        <v>http://m.12365auto.com/xcdg/20200227/419741.shtml</v>
      </c>
      <c r="G1016" s="2"/>
      <c r="H1016" s="2" t="s">
        <v>1590</v>
      </c>
      <c r="I1016" s="2" t="s">
        <v>19</v>
      </c>
      <c r="J1016" s="2" t="s">
        <v>706</v>
      </c>
      <c r="K1016" s="2" t="s">
        <v>1588</v>
      </c>
      <c r="L1016" s="2">
        <f t="shared" si="15"/>
        <v>150</v>
      </c>
    </row>
    <row r="1017" spans="1:12" ht="25" customHeight="1">
      <c r="A1017" s="2" t="s">
        <v>12</v>
      </c>
      <c r="B1017" s="2" t="str">
        <f>HYPERLINK("http://www.12365auto.com/xcdg/20200227/419740.shtml","保时捷Taycan Turbo特别版 应用碳纤维材料")</f>
        <v>保时捷Taycan Turbo特别版 应用碳纤维材料</v>
      </c>
      <c r="C1017" s="2" t="s">
        <v>13</v>
      </c>
      <c r="D1017" s="2" t="s">
        <v>12</v>
      </c>
      <c r="E1017" s="2" t="s">
        <v>216</v>
      </c>
      <c r="F1017" s="2" t="str">
        <f>HYPERLINK("http://www.12365auto.com/xcdg/20200227/419740.shtml","http://www.12365auto.com/xcdg/20200227/419740.shtml")</f>
        <v>http://www.12365auto.com/xcdg/20200227/419740.shtml</v>
      </c>
      <c r="G1017" s="2"/>
      <c r="H1017" s="2" t="s">
        <v>1591</v>
      </c>
      <c r="I1017" s="2" t="s">
        <v>15</v>
      </c>
      <c r="J1017" s="2" t="s">
        <v>12</v>
      </c>
      <c r="K1017" s="2" t="s">
        <v>1592</v>
      </c>
      <c r="L1017" s="2">
        <f t="shared" si="15"/>
        <v>150</v>
      </c>
    </row>
    <row r="1018" spans="1:12" ht="25" customHeight="1">
      <c r="A1018" s="2" t="s">
        <v>12</v>
      </c>
      <c r="B1018" s="2" t="str">
        <f>HYPERLINK("http://m.12365auto.com/xcdg/20200227/419740.shtml","保时捷Taycan Turbo特别版 应用碳纤维材料")</f>
        <v>保时捷Taycan Turbo特别版 应用碳纤维材料</v>
      </c>
      <c r="C1018" s="2" t="s">
        <v>13</v>
      </c>
      <c r="D1018" s="2" t="s">
        <v>12</v>
      </c>
      <c r="E1018" s="2"/>
      <c r="F1018" s="2" t="str">
        <f>HYPERLINK("http://m.12365auto.com/xcdg/20200227/419740.shtml","http://m.12365auto.com/xcdg/20200227/419740.shtml")</f>
        <v>http://m.12365auto.com/xcdg/20200227/419740.shtml</v>
      </c>
      <c r="G1018" s="2"/>
      <c r="H1018" s="2" t="s">
        <v>1593</v>
      </c>
      <c r="I1018" s="2" t="s">
        <v>19</v>
      </c>
      <c r="J1018" s="2" t="s">
        <v>706</v>
      </c>
      <c r="K1018" s="2" t="s">
        <v>1592</v>
      </c>
      <c r="L1018" s="2">
        <f t="shared" si="15"/>
        <v>150</v>
      </c>
    </row>
    <row r="1019" spans="1:12" ht="25" customHeight="1">
      <c r="A1019" s="2" t="s">
        <v>12</v>
      </c>
      <c r="B1019" s="2" t="str">
        <f>HYPERLINK("http://www.12365auto.com/xcdg/20200227/419739.shtml","KTM发布新X-Bow GT2赛车 最大功率达600马力")</f>
        <v>KTM发布新X-Bow GT2赛车 最大功率达600马力</v>
      </c>
      <c r="C1019" s="2" t="s">
        <v>13</v>
      </c>
      <c r="D1019" s="2" t="s">
        <v>12</v>
      </c>
      <c r="E1019" s="2" t="s">
        <v>216</v>
      </c>
      <c r="F1019" s="2" t="str">
        <f>HYPERLINK("http://www.12365auto.com/xcdg/20200227/419739.shtml","http://www.12365auto.com/xcdg/20200227/419739.shtml")</f>
        <v>http://www.12365auto.com/xcdg/20200227/419739.shtml</v>
      </c>
      <c r="G1019" s="2"/>
      <c r="H1019" s="2" t="s">
        <v>1594</v>
      </c>
      <c r="I1019" s="2" t="s">
        <v>15</v>
      </c>
      <c r="J1019" s="2" t="s">
        <v>12</v>
      </c>
      <c r="K1019" s="2" t="s">
        <v>1595</v>
      </c>
      <c r="L1019" s="2">
        <f t="shared" si="15"/>
        <v>150</v>
      </c>
    </row>
    <row r="1020" spans="1:12" ht="25" customHeight="1">
      <c r="A1020" s="2" t="s">
        <v>12</v>
      </c>
      <c r="B1020" s="2" t="str">
        <f>HYPERLINK("http://m.12365auto.com/xcdg/20200227/419739.shtml","KTM发布新X-Bow GT2赛车 最大功率达600马力")</f>
        <v>KTM发布新X-Bow GT2赛车 最大功率达600马力</v>
      </c>
      <c r="C1020" s="2" t="s">
        <v>13</v>
      </c>
      <c r="D1020" s="2" t="s">
        <v>12</v>
      </c>
      <c r="E1020" s="2"/>
      <c r="F1020" s="2" t="str">
        <f>HYPERLINK("http://m.12365auto.com/xcdg/20200227/419739.shtml","http://m.12365auto.com/xcdg/20200227/419739.shtml")</f>
        <v>http://m.12365auto.com/xcdg/20200227/419739.shtml</v>
      </c>
      <c r="G1020" s="2"/>
      <c r="H1020" s="2" t="s">
        <v>1594</v>
      </c>
      <c r="I1020" s="2" t="s">
        <v>19</v>
      </c>
      <c r="J1020" s="2" t="s">
        <v>706</v>
      </c>
      <c r="K1020" s="2" t="s">
        <v>1595</v>
      </c>
      <c r="L1020" s="2">
        <f t="shared" si="15"/>
        <v>150</v>
      </c>
    </row>
    <row r="1021" spans="1:12" ht="25" customHeight="1">
      <c r="A1021" s="2" t="s">
        <v>12</v>
      </c>
      <c r="B1021" s="2" t="str">
        <f>HYPERLINK("http://www.12365auto.com/xcdg/20200227/419738.shtml","有效增加能效比 宝马iX3测试空气动力轮圈")</f>
        <v>有效增加能效比 宝马iX3测试空气动力轮圈</v>
      </c>
      <c r="C1021" s="2" t="s">
        <v>13</v>
      </c>
      <c r="D1021" s="2" t="s">
        <v>12</v>
      </c>
      <c r="E1021" s="2" t="s">
        <v>224</v>
      </c>
      <c r="F1021" s="2" t="str">
        <f>HYPERLINK("http://www.12365auto.com/xcdg/20200227/419738.shtml","http://www.12365auto.com/xcdg/20200227/419738.shtml")</f>
        <v>http://www.12365auto.com/xcdg/20200227/419738.shtml</v>
      </c>
      <c r="G1021" s="2"/>
      <c r="H1021" s="2" t="s">
        <v>1596</v>
      </c>
      <c r="I1021" s="2" t="s">
        <v>15</v>
      </c>
      <c r="J1021" s="2" t="s">
        <v>12</v>
      </c>
      <c r="K1021" s="2" t="s">
        <v>1597</v>
      </c>
      <c r="L1021" s="2">
        <f t="shared" si="15"/>
        <v>150</v>
      </c>
    </row>
    <row r="1022" spans="1:12" ht="25" customHeight="1">
      <c r="A1022" s="2" t="s">
        <v>12</v>
      </c>
      <c r="B1022" s="2" t="str">
        <f>HYPERLINK("http://m.12365auto.com/xcdg/20200227/419738.shtml","有效增加能效比 宝马iX3测试空气动力轮圈")</f>
        <v>有效增加能效比 宝马iX3测试空气动力轮圈</v>
      </c>
      <c r="C1022" s="2" t="s">
        <v>13</v>
      </c>
      <c r="D1022" s="2" t="s">
        <v>12</v>
      </c>
      <c r="E1022" s="2"/>
      <c r="F1022" s="2" t="str">
        <f>HYPERLINK("http://m.12365auto.com/xcdg/20200227/419738.shtml","http://m.12365auto.com/xcdg/20200227/419738.shtml")</f>
        <v>http://m.12365auto.com/xcdg/20200227/419738.shtml</v>
      </c>
      <c r="G1022" s="2"/>
      <c r="H1022" s="2" t="s">
        <v>1598</v>
      </c>
      <c r="I1022" s="2" t="s">
        <v>19</v>
      </c>
      <c r="J1022" s="2" t="s">
        <v>238</v>
      </c>
      <c r="K1022" s="2" t="s">
        <v>1597</v>
      </c>
      <c r="L1022" s="2">
        <f t="shared" si="15"/>
        <v>150</v>
      </c>
    </row>
    <row r="1023" spans="1:12" ht="25" customHeight="1">
      <c r="A1023" s="2" t="s">
        <v>12</v>
      </c>
      <c r="B1023" s="2" t="str">
        <f>HYPERLINK("http://m.12365auto.com/xcdg/20200227/419737.shtml","性能与环保间的平衡 大众途锐R推插电混动版")</f>
        <v>性能与环保间的平衡 大众途锐R推插电混动版</v>
      </c>
      <c r="C1023" s="2" t="s">
        <v>13</v>
      </c>
      <c r="D1023" s="2" t="s">
        <v>12</v>
      </c>
      <c r="E1023" s="2"/>
      <c r="F1023" s="2" t="str">
        <f>HYPERLINK("http://m.12365auto.com/xcdg/20200227/419737.shtml","http://m.12365auto.com/xcdg/20200227/419737.shtml")</f>
        <v>http://m.12365auto.com/xcdg/20200227/419737.shtml</v>
      </c>
      <c r="G1023" s="2"/>
      <c r="H1023" s="2" t="s">
        <v>1599</v>
      </c>
      <c r="I1023" s="2" t="s">
        <v>19</v>
      </c>
      <c r="J1023" s="2" t="s">
        <v>238</v>
      </c>
      <c r="K1023" s="2" t="s">
        <v>1600</v>
      </c>
      <c r="L1023" s="2">
        <f t="shared" si="15"/>
        <v>150</v>
      </c>
    </row>
    <row r="1024" spans="1:12" ht="25" customHeight="1">
      <c r="A1024" s="2" t="s">
        <v>12</v>
      </c>
      <c r="B1024" s="2" t="str">
        <f>HYPERLINK("http://www.12365auto.com/xcdg/20200227/419737.shtml","性能与环保间的平衡 大众途锐R推插电混动版")</f>
        <v>性能与环保间的平衡 大众途锐R推插电混动版</v>
      </c>
      <c r="C1024" s="2" t="s">
        <v>13</v>
      </c>
      <c r="D1024" s="2" t="s">
        <v>12</v>
      </c>
      <c r="E1024" s="2" t="s">
        <v>216</v>
      </c>
      <c r="F1024" s="2" t="str">
        <f>HYPERLINK("http://www.12365auto.com/xcdg/20200227/419737.shtml","http://www.12365auto.com/xcdg/20200227/419737.shtml")</f>
        <v>http://www.12365auto.com/xcdg/20200227/419737.shtml</v>
      </c>
      <c r="G1024" s="2"/>
      <c r="H1024" s="2" t="s">
        <v>1601</v>
      </c>
      <c r="I1024" s="2" t="s">
        <v>15</v>
      </c>
      <c r="J1024" s="2" t="s">
        <v>12</v>
      </c>
      <c r="K1024" s="2" t="s">
        <v>1600</v>
      </c>
      <c r="L1024" s="2">
        <f t="shared" si="15"/>
        <v>150</v>
      </c>
    </row>
    <row r="1025" spans="1:12" ht="25" customHeight="1">
      <c r="A1025" s="2" t="s">
        <v>12</v>
      </c>
      <c r="B1025" s="2" t="str">
        <f>HYPERLINK("http://m.12365auto.com/news/20200227/419736.shtml","增夜间辨识度 海拉为宝马X6提供照明系统")</f>
        <v>增夜间辨识度 海拉为宝马X6提供照明系统</v>
      </c>
      <c r="C1025" s="2" t="s">
        <v>13</v>
      </c>
      <c r="D1025" s="2" t="s">
        <v>12</v>
      </c>
      <c r="E1025" s="2"/>
      <c r="F1025" s="2" t="str">
        <f>HYPERLINK("http://m.12365auto.com/news/20200227/419736.shtml","http://m.12365auto.com/news/20200227/419736.shtml")</f>
        <v>http://m.12365auto.com/news/20200227/419736.shtml</v>
      </c>
      <c r="G1025" s="2"/>
      <c r="H1025" s="2" t="s">
        <v>1602</v>
      </c>
      <c r="I1025" s="2" t="s">
        <v>19</v>
      </c>
      <c r="J1025" s="2" t="s">
        <v>238</v>
      </c>
      <c r="K1025" s="2" t="s">
        <v>1603</v>
      </c>
      <c r="L1025" s="2">
        <f t="shared" si="15"/>
        <v>150</v>
      </c>
    </row>
    <row r="1026" spans="1:12" ht="25" customHeight="1">
      <c r="A1026" s="2" t="s">
        <v>12</v>
      </c>
      <c r="B1026" s="2" t="str">
        <f>HYPERLINK("http://www.12365auto.com/news/20200227/419736.shtml","增夜间辨识度 海拉为宝马X6提供照明系统")</f>
        <v>增夜间辨识度 海拉为宝马X6提供照明系统</v>
      </c>
      <c r="C1026" s="2" t="s">
        <v>13</v>
      </c>
      <c r="D1026" s="2" t="s">
        <v>12</v>
      </c>
      <c r="E1026" s="2" t="s">
        <v>276</v>
      </c>
      <c r="F1026" s="2" t="str">
        <f>HYPERLINK("http://www.12365auto.com/news/20200227/419736.shtml","http://www.12365auto.com/news/20200227/419736.shtml")</f>
        <v>http://www.12365auto.com/news/20200227/419736.shtml</v>
      </c>
      <c r="G1026" s="2"/>
      <c r="H1026" s="2" t="s">
        <v>1604</v>
      </c>
      <c r="I1026" s="2" t="s">
        <v>15</v>
      </c>
      <c r="J1026" s="2" t="s">
        <v>12</v>
      </c>
      <c r="K1026" s="2" t="s">
        <v>1603</v>
      </c>
      <c r="L1026" s="2">
        <f t="shared" si="15"/>
        <v>150</v>
      </c>
    </row>
    <row r="1027" spans="1:12" ht="25" customHeight="1">
      <c r="A1027" s="2" t="s">
        <v>12</v>
      </c>
      <c r="B1027" s="2" t="str">
        <f>HYPERLINK("http://m.12365auto.com/news/20200227/419735.shtml","刷新性能认知 Rimac C_Two将亮相日内瓦车展")</f>
        <v>刷新性能认知 Rimac C_Two将亮相日内瓦车展</v>
      </c>
      <c r="C1027" s="2" t="s">
        <v>13</v>
      </c>
      <c r="D1027" s="2" t="s">
        <v>12</v>
      </c>
      <c r="E1027" s="2"/>
      <c r="F1027" s="2" t="str">
        <f>HYPERLINK("http://m.12365auto.com/news/20200227/419735.shtml","http://m.12365auto.com/news/20200227/419735.shtml")</f>
        <v>http://m.12365auto.com/news/20200227/419735.shtml</v>
      </c>
      <c r="G1027" s="2"/>
      <c r="H1027" s="2" t="s">
        <v>1605</v>
      </c>
      <c r="I1027" s="2" t="s">
        <v>19</v>
      </c>
      <c r="J1027" s="2" t="s">
        <v>238</v>
      </c>
      <c r="K1027" s="2" t="s">
        <v>1606</v>
      </c>
      <c r="L1027" s="2">
        <f t="shared" ref="L1027:L1090" si="16">LEN(H1027)</f>
        <v>150</v>
      </c>
    </row>
    <row r="1028" spans="1:12" ht="25" customHeight="1">
      <c r="A1028" s="2" t="s">
        <v>12</v>
      </c>
      <c r="B1028" s="2" t="str">
        <f>HYPERLINK("http://www.12365auto.com/news/20200227/419735.shtml","刷新性能认知 Rimac C_Two将亮相日内瓦车展")</f>
        <v>刷新性能认知 Rimac C_Two将亮相日内瓦车展</v>
      </c>
      <c r="C1028" s="2" t="s">
        <v>13</v>
      </c>
      <c r="D1028" s="2" t="s">
        <v>12</v>
      </c>
      <c r="E1028" s="2" t="s">
        <v>276</v>
      </c>
      <c r="F1028" s="2" t="str">
        <f>HYPERLINK("http://www.12365auto.com/news/20200227/419735.shtml","http://www.12365auto.com/news/20200227/419735.shtml")</f>
        <v>http://www.12365auto.com/news/20200227/419735.shtml</v>
      </c>
      <c r="G1028" s="2"/>
      <c r="H1028" s="2" t="s">
        <v>1607</v>
      </c>
      <c r="I1028" s="2" t="s">
        <v>15</v>
      </c>
      <c r="J1028" s="2" t="s">
        <v>12</v>
      </c>
      <c r="K1028" s="2" t="s">
        <v>1606</v>
      </c>
      <c r="L1028" s="2">
        <f t="shared" si="16"/>
        <v>150</v>
      </c>
    </row>
    <row r="1029" spans="1:12" ht="25" customHeight="1">
      <c r="A1029" s="2" t="s">
        <v>12</v>
      </c>
      <c r="B1029" s="2" t="str">
        <f>HYPERLINK("http://m.12365auto.com/news/20200227/419734.shtml","大众汽车增设新职位 加快推集团电气化发展")</f>
        <v>大众汽车增设新职位 加快推集团电气化发展</v>
      </c>
      <c r="C1029" s="2" t="s">
        <v>13</v>
      </c>
      <c r="D1029" s="2" t="s">
        <v>12</v>
      </c>
      <c r="E1029" s="2"/>
      <c r="F1029" s="2" t="str">
        <f>HYPERLINK("http://m.12365auto.com/news/20200227/419734.shtml","http://m.12365auto.com/news/20200227/419734.shtml")</f>
        <v>http://m.12365auto.com/news/20200227/419734.shtml</v>
      </c>
      <c r="G1029" s="2"/>
      <c r="H1029" s="2" t="s">
        <v>1608</v>
      </c>
      <c r="I1029" s="2" t="s">
        <v>19</v>
      </c>
      <c r="J1029" s="2" t="s">
        <v>1076</v>
      </c>
      <c r="K1029" s="2" t="s">
        <v>1609</v>
      </c>
      <c r="L1029" s="2">
        <f t="shared" si="16"/>
        <v>150</v>
      </c>
    </row>
    <row r="1030" spans="1:12" ht="25" customHeight="1">
      <c r="A1030" s="2" t="s">
        <v>12</v>
      </c>
      <c r="B1030" s="2" t="str">
        <f>HYPERLINK("http://www.12365auto.com/news/20200227/419734.shtml","大众汽车增设新职位 加快推集团电气化发展")</f>
        <v>大众汽车增设新职位 加快推集团电气化发展</v>
      </c>
      <c r="C1030" s="2" t="s">
        <v>13</v>
      </c>
      <c r="D1030" s="2" t="s">
        <v>12</v>
      </c>
      <c r="E1030" s="2" t="s">
        <v>276</v>
      </c>
      <c r="F1030" s="2" t="str">
        <f>HYPERLINK("http://www.12365auto.com/news/20200227/419734.shtml","http://www.12365auto.com/news/20200227/419734.shtml")</f>
        <v>http://www.12365auto.com/news/20200227/419734.shtml</v>
      </c>
      <c r="G1030" s="2"/>
      <c r="H1030" s="2" t="s">
        <v>1610</v>
      </c>
      <c r="I1030" s="2" t="s">
        <v>15</v>
      </c>
      <c r="J1030" s="2" t="s">
        <v>12</v>
      </c>
      <c r="K1030" s="2" t="s">
        <v>1609</v>
      </c>
      <c r="L1030" s="2">
        <f t="shared" si="16"/>
        <v>150</v>
      </c>
    </row>
    <row r="1031" spans="1:12" ht="25" customHeight="1">
      <c r="A1031" s="2" t="s">
        <v>12</v>
      </c>
      <c r="B1031" s="2" t="str">
        <f>HYPERLINK("http://www.12365auto.com/zlts/20200227/448983.shtml","请求厂家召回或者更换变速箱")</f>
        <v>请求厂家召回或者更换变速箱</v>
      </c>
      <c r="C1031" s="2" t="s">
        <v>13</v>
      </c>
      <c r="D1031" s="2" t="s">
        <v>12</v>
      </c>
      <c r="E1031" s="2"/>
      <c r="F1031" s="2" t="str">
        <f>HYPERLINK("http://www.12365auto.com/zlts/20200227/448983.shtml","http://www.12365auto.com/zlts/20200227/448983.shtml")</f>
        <v>http://www.12365auto.com/zlts/20200227/448983.shtml</v>
      </c>
      <c r="G1031" s="2"/>
      <c r="H1031" s="3" t="s">
        <v>1611</v>
      </c>
      <c r="I1031" s="2" t="s">
        <v>15</v>
      </c>
      <c r="J1031" s="2" t="s">
        <v>12</v>
      </c>
      <c r="K1031" s="2" t="s">
        <v>1612</v>
      </c>
      <c r="L1031" s="2">
        <f t="shared" si="16"/>
        <v>99</v>
      </c>
    </row>
    <row r="1032" spans="1:12" ht="25" customHeight="1">
      <c r="A1032" s="2" t="s">
        <v>12</v>
      </c>
      <c r="B1032" s="2" t="str">
        <f>HYPERLINK("http://www.12365auto.com/zlts/20200227/448987.shtml","上汽大众途安变速箱抖动无解决方案")</f>
        <v>上汽大众途安变速箱抖动无解决方案</v>
      </c>
      <c r="C1032" s="2" t="s">
        <v>13</v>
      </c>
      <c r="D1032" s="2" t="s">
        <v>12</v>
      </c>
      <c r="E1032" s="2" t="s">
        <v>17</v>
      </c>
      <c r="F1032" s="2" t="str">
        <f>HYPERLINK("http://www.12365auto.com/zlts/20200227/448987.shtml","http://www.12365auto.com/zlts/20200227/448987.shtml")</f>
        <v>http://www.12365auto.com/zlts/20200227/448987.shtml</v>
      </c>
      <c r="G1032" s="2"/>
      <c r="H1032" s="2" t="s">
        <v>1613</v>
      </c>
      <c r="I1032" s="2" t="s">
        <v>19</v>
      </c>
      <c r="J1032" s="2" t="s">
        <v>12</v>
      </c>
      <c r="K1032" s="2" t="s">
        <v>1614</v>
      </c>
      <c r="L1032" s="2">
        <f t="shared" si="16"/>
        <v>150</v>
      </c>
    </row>
    <row r="1033" spans="1:12" ht="25" customHeight="1">
      <c r="A1033" s="2" t="s">
        <v>12</v>
      </c>
      <c r="B1033" s="2" t="str">
        <f>HYPERLINK("http://m.12365auto.com/xcdg/20200227/419733.shtml","1900马力纯电超跑/仅5辆 日内瓦车展发布")</f>
        <v>1900马力纯电超跑/仅5辆 日内瓦车展发布</v>
      </c>
      <c r="C1033" s="2" t="s">
        <v>13</v>
      </c>
      <c r="D1033" s="2" t="s">
        <v>12</v>
      </c>
      <c r="E1033" s="2"/>
      <c r="F1033" s="2" t="str">
        <f>HYPERLINK("http://m.12365auto.com/xcdg/20200227/419733.shtml","http://m.12365auto.com/xcdg/20200227/419733.shtml")</f>
        <v>http://m.12365auto.com/xcdg/20200227/419733.shtml</v>
      </c>
      <c r="G1033" s="2"/>
      <c r="H1033" s="2" t="s">
        <v>1615</v>
      </c>
      <c r="I1033" s="2" t="s">
        <v>19</v>
      </c>
      <c r="J1033" s="2" t="s">
        <v>230</v>
      </c>
      <c r="K1033" s="2" t="s">
        <v>1616</v>
      </c>
      <c r="L1033" s="2">
        <f t="shared" si="16"/>
        <v>150</v>
      </c>
    </row>
    <row r="1034" spans="1:12" ht="25" customHeight="1">
      <c r="A1034" s="2" t="s">
        <v>12</v>
      </c>
      <c r="B1034" s="2" t="str">
        <f>HYPERLINK("http://www.12365auto.com/xcdg/20200227/419733.shtml","1900马力纯电超跑/仅5辆 日内瓦车展发布")</f>
        <v>1900马力纯电超跑/仅5辆 日内瓦车展发布</v>
      </c>
      <c r="C1034" s="2" t="s">
        <v>13</v>
      </c>
      <c r="D1034" s="2" t="s">
        <v>12</v>
      </c>
      <c r="E1034" s="2" t="s">
        <v>216</v>
      </c>
      <c r="F1034" s="2" t="str">
        <f>HYPERLINK("http://www.12365auto.com/xcdg/20200227/419733.shtml","http://www.12365auto.com/xcdg/20200227/419733.shtml")</f>
        <v>http://www.12365auto.com/xcdg/20200227/419733.shtml</v>
      </c>
      <c r="G1034" s="2"/>
      <c r="H1034" s="2" t="s">
        <v>1617</v>
      </c>
      <c r="I1034" s="2" t="s">
        <v>15</v>
      </c>
      <c r="J1034" s="2" t="s">
        <v>12</v>
      </c>
      <c r="K1034" s="2" t="s">
        <v>1616</v>
      </c>
      <c r="L1034" s="2">
        <f t="shared" si="16"/>
        <v>150</v>
      </c>
    </row>
    <row r="1035" spans="1:12" ht="25" customHeight="1">
      <c r="A1035" s="2" t="s">
        <v>12</v>
      </c>
      <c r="B1035" s="2" t="str">
        <f>HYPERLINK("http://m.12365auto.com/xcdg/20200227/419732.shtml","售价小幅上涨 丰田凯美瑞四驱版将登陆北美")</f>
        <v>售价小幅上涨 丰田凯美瑞四驱版将登陆北美</v>
      </c>
      <c r="C1035" s="2" t="s">
        <v>13</v>
      </c>
      <c r="D1035" s="2" t="s">
        <v>12</v>
      </c>
      <c r="E1035" s="2"/>
      <c r="F1035" s="2" t="str">
        <f>HYPERLINK("http://m.12365auto.com/xcdg/20200227/419732.shtml","http://m.12365auto.com/xcdg/20200227/419732.shtml")</f>
        <v>http://m.12365auto.com/xcdg/20200227/419732.shtml</v>
      </c>
      <c r="G1035" s="2"/>
      <c r="H1035" s="2" t="s">
        <v>1618</v>
      </c>
      <c r="I1035" s="2" t="s">
        <v>19</v>
      </c>
      <c r="J1035" s="2" t="s">
        <v>1619</v>
      </c>
      <c r="K1035" s="2" t="s">
        <v>1620</v>
      </c>
      <c r="L1035" s="2">
        <f t="shared" si="16"/>
        <v>150</v>
      </c>
    </row>
    <row r="1036" spans="1:12" ht="25" customHeight="1">
      <c r="A1036" s="2" t="s">
        <v>12</v>
      </c>
      <c r="B1036" s="2" t="str">
        <f>HYPERLINK("http://www.12365auto.com/xcdg/20200227/419732.shtml","售价小幅上涨 丰田凯美瑞四驱版将登陆北美")</f>
        <v>售价小幅上涨 丰田凯美瑞四驱版将登陆北美</v>
      </c>
      <c r="C1036" s="2" t="s">
        <v>13</v>
      </c>
      <c r="D1036" s="2" t="s">
        <v>12</v>
      </c>
      <c r="E1036" s="2" t="s">
        <v>216</v>
      </c>
      <c r="F1036" s="2" t="str">
        <f>HYPERLINK("http://www.12365auto.com/xcdg/20200227/419732.shtml","http://www.12365auto.com/xcdg/20200227/419732.shtml")</f>
        <v>http://www.12365auto.com/xcdg/20200227/419732.shtml</v>
      </c>
      <c r="G1036" s="2"/>
      <c r="H1036" s="2" t="s">
        <v>1621</v>
      </c>
      <c r="I1036" s="2" t="s">
        <v>15</v>
      </c>
      <c r="J1036" s="2" t="s">
        <v>12</v>
      </c>
      <c r="K1036" s="2" t="s">
        <v>1620</v>
      </c>
      <c r="L1036" s="2">
        <f t="shared" si="16"/>
        <v>150</v>
      </c>
    </row>
    <row r="1037" spans="1:12" ht="25" customHeight="1">
      <c r="A1037" s="2" t="s">
        <v>12</v>
      </c>
      <c r="B1037" s="2" t="str">
        <f>HYPERLINK("http://m.12365auto.com/xcdg/20200227/419731.shtml","超跑已安排 玛莎拉蒂Levante插混版先试水")</f>
        <v>超跑已安排 玛莎拉蒂Levante插混版先试水</v>
      </c>
      <c r="C1037" s="2" t="s">
        <v>13</v>
      </c>
      <c r="D1037" s="2" t="s">
        <v>12</v>
      </c>
      <c r="E1037" s="2"/>
      <c r="F1037" s="2" t="str">
        <f>HYPERLINK("http://m.12365auto.com/xcdg/20200227/419731.shtml","http://m.12365auto.com/xcdg/20200227/419731.shtml")</f>
        <v>http://m.12365auto.com/xcdg/20200227/419731.shtml</v>
      </c>
      <c r="G1037" s="2"/>
      <c r="H1037" s="2" t="s">
        <v>1622</v>
      </c>
      <c r="I1037" s="2" t="s">
        <v>19</v>
      </c>
      <c r="J1037" s="2" t="s">
        <v>1623</v>
      </c>
      <c r="K1037" s="2" t="s">
        <v>1624</v>
      </c>
      <c r="L1037" s="2">
        <f t="shared" si="16"/>
        <v>150</v>
      </c>
    </row>
    <row r="1038" spans="1:12" ht="25" customHeight="1">
      <c r="A1038" s="2" t="s">
        <v>12</v>
      </c>
      <c r="B1038" s="2" t="str">
        <f>HYPERLINK("http://www.12365auto.com/xcdg/20200227/419731.shtml","超跑已安排 玛莎拉蒂Levante插混版先试水")</f>
        <v>超跑已安排 玛莎拉蒂Levante插混版先试水</v>
      </c>
      <c r="C1038" s="2" t="s">
        <v>13</v>
      </c>
      <c r="D1038" s="2" t="s">
        <v>12</v>
      </c>
      <c r="E1038" s="2" t="s">
        <v>216</v>
      </c>
      <c r="F1038" s="2" t="str">
        <f>HYPERLINK("http://www.12365auto.com/xcdg/20200227/419731.shtml","http://www.12365auto.com/xcdg/20200227/419731.shtml")</f>
        <v>http://www.12365auto.com/xcdg/20200227/419731.shtml</v>
      </c>
      <c r="G1038" s="2"/>
      <c r="H1038" s="2" t="s">
        <v>1625</v>
      </c>
      <c r="I1038" s="2" t="s">
        <v>15</v>
      </c>
      <c r="J1038" s="2" t="s">
        <v>12</v>
      </c>
      <c r="K1038" s="2" t="s">
        <v>1624</v>
      </c>
      <c r="L1038" s="2">
        <f t="shared" si="16"/>
        <v>150</v>
      </c>
    </row>
    <row r="1039" spans="1:12" ht="25" customHeight="1">
      <c r="A1039" s="2" t="s">
        <v>12</v>
      </c>
      <c r="B1039" s="2" t="str">
        <f>HYPERLINK("http://m.12365auto.com/xcdg/20200227/419730.shtml","100%意大利研制 玛莎拉蒂总裁7月投产")</f>
        <v>100%意大利研制 玛莎拉蒂总裁7月投产</v>
      </c>
      <c r="C1039" s="2" t="s">
        <v>13</v>
      </c>
      <c r="D1039" s="2" t="s">
        <v>12</v>
      </c>
      <c r="E1039" s="2"/>
      <c r="F1039" s="2" t="str">
        <f>HYPERLINK("http://m.12365auto.com/xcdg/20200227/419730.shtml","http://m.12365auto.com/xcdg/20200227/419730.shtml")</f>
        <v>http://m.12365auto.com/xcdg/20200227/419730.shtml</v>
      </c>
      <c r="G1039" s="2"/>
      <c r="H1039" s="2" t="s">
        <v>1626</v>
      </c>
      <c r="I1039" s="2" t="s">
        <v>19</v>
      </c>
      <c r="J1039" s="2" t="s">
        <v>1069</v>
      </c>
      <c r="K1039" s="2" t="s">
        <v>1627</v>
      </c>
      <c r="L1039" s="2">
        <f t="shared" si="16"/>
        <v>150</v>
      </c>
    </row>
    <row r="1040" spans="1:12" ht="25" customHeight="1">
      <c r="A1040" s="2" t="s">
        <v>12</v>
      </c>
      <c r="B1040" s="2" t="str">
        <f>HYPERLINK("http://www.12365auto.com/xcdg/20200227/419730.shtml","100%意大利研制 玛莎拉蒂总裁7月投产")</f>
        <v>100%意大利研制 玛莎拉蒂总裁7月投产</v>
      </c>
      <c r="C1040" s="2" t="s">
        <v>13</v>
      </c>
      <c r="D1040" s="2" t="s">
        <v>12</v>
      </c>
      <c r="E1040" s="2" t="s">
        <v>216</v>
      </c>
      <c r="F1040" s="2" t="str">
        <f>HYPERLINK("http://www.12365auto.com/xcdg/20200227/419730.shtml","http://www.12365auto.com/xcdg/20200227/419730.shtml")</f>
        <v>http://www.12365auto.com/xcdg/20200227/419730.shtml</v>
      </c>
      <c r="G1040" s="2"/>
      <c r="H1040" s="2" t="s">
        <v>1628</v>
      </c>
      <c r="I1040" s="2" t="s">
        <v>15</v>
      </c>
      <c r="J1040" s="2" t="s">
        <v>12</v>
      </c>
      <c r="K1040" s="2" t="s">
        <v>1627</v>
      </c>
      <c r="L1040" s="2">
        <f t="shared" si="16"/>
        <v>150</v>
      </c>
    </row>
    <row r="1041" spans="1:12" ht="25" customHeight="1">
      <c r="A1041" s="2" t="s">
        <v>12</v>
      </c>
      <c r="B1041" s="2" t="str">
        <f>HYPERLINK("http://m.12365auto.com/scbg/20200227/419729.shtml","开空调高速更省电？菲斯塔冬季能耗实测")</f>
        <v>开空调高速更省电？菲斯塔冬季能耗实测</v>
      </c>
      <c r="C1041" s="2" t="s">
        <v>13</v>
      </c>
      <c r="D1041" s="2" t="s">
        <v>12</v>
      </c>
      <c r="E1041" s="2"/>
      <c r="F1041" s="2" t="str">
        <f>HYPERLINK("http://m.12365auto.com/scbg/20200227/419729.shtml","http://m.12365auto.com/scbg/20200227/419729.shtml")</f>
        <v>http://m.12365auto.com/scbg/20200227/419729.shtml</v>
      </c>
      <c r="G1041" s="2"/>
      <c r="H1041" s="2" t="s">
        <v>1629</v>
      </c>
      <c r="I1041" s="2" t="s">
        <v>19</v>
      </c>
      <c r="J1041" s="2" t="s">
        <v>1247</v>
      </c>
      <c r="K1041" s="2" t="s">
        <v>1630</v>
      </c>
      <c r="L1041" s="2">
        <f t="shared" si="16"/>
        <v>150</v>
      </c>
    </row>
    <row r="1042" spans="1:12" ht="25" customHeight="1">
      <c r="A1042" s="2" t="s">
        <v>12</v>
      </c>
      <c r="B1042" s="2" t="str">
        <f>HYPERLINK("http://www.12365auto.com/scbg/20200227/419729.shtml","开空调高速更省电？菲斯塔冬季能耗实测")</f>
        <v>开空调高速更省电？菲斯塔冬季能耗实测</v>
      </c>
      <c r="C1042" s="2" t="s">
        <v>13</v>
      </c>
      <c r="D1042" s="2" t="s">
        <v>12</v>
      </c>
      <c r="E1042" s="2" t="s">
        <v>1548</v>
      </c>
      <c r="F1042" s="2" t="str">
        <f>HYPERLINK("http://www.12365auto.com/scbg/20200227/419729.shtml","http://www.12365auto.com/scbg/20200227/419729.shtml")</f>
        <v>http://www.12365auto.com/scbg/20200227/419729.shtml</v>
      </c>
      <c r="G1042" s="2"/>
      <c r="H1042" s="2" t="s">
        <v>1631</v>
      </c>
      <c r="I1042" s="2" t="s">
        <v>15</v>
      </c>
      <c r="J1042" s="2" t="s">
        <v>12</v>
      </c>
      <c r="K1042" s="2" t="s">
        <v>1630</v>
      </c>
      <c r="L1042" s="2">
        <f t="shared" si="16"/>
        <v>150</v>
      </c>
    </row>
    <row r="1043" spans="1:12" ht="25" customHeight="1">
      <c r="A1043" s="2" t="s">
        <v>12</v>
      </c>
      <c r="B1043" s="2" t="str">
        <f>HYPERLINK("http://www.12365auto.com/zlts/20200227/448982.shtml","东风本田哥瑞冷车启动发动机异响严重")</f>
        <v>东风本田哥瑞冷车启动发动机异响严重</v>
      </c>
      <c r="C1043" s="2" t="s">
        <v>13</v>
      </c>
      <c r="D1043" s="2" t="s">
        <v>12</v>
      </c>
      <c r="E1043" s="2" t="s">
        <v>17</v>
      </c>
      <c r="F1043" s="2" t="str">
        <f>HYPERLINK("http://www.12365auto.com/zlts/20200227/448982.shtml","http://www.12365auto.com/zlts/20200227/448982.shtml")</f>
        <v>http://www.12365auto.com/zlts/20200227/448982.shtml</v>
      </c>
      <c r="G1043" s="2"/>
      <c r="H1043" s="2" t="s">
        <v>1632</v>
      </c>
      <c r="I1043" s="2" t="s">
        <v>19</v>
      </c>
      <c r="J1043" s="2" t="s">
        <v>12</v>
      </c>
      <c r="K1043" s="2" t="s">
        <v>1633</v>
      </c>
      <c r="L1043" s="2">
        <f t="shared" si="16"/>
        <v>150</v>
      </c>
    </row>
    <row r="1044" spans="1:12" ht="25" customHeight="1">
      <c r="A1044" s="2" t="s">
        <v>12</v>
      </c>
      <c r="B1044" s="2" t="str">
        <f>HYPERLINK("http://www.12365auto.com/xcdg/20200227/419728.shtml","奔驰大G改装大马力皮卡 售440万")</f>
        <v>奔驰大G改装大马力皮卡 售440万</v>
      </c>
      <c r="C1044" s="2" t="s">
        <v>13</v>
      </c>
      <c r="D1044" s="2" t="s">
        <v>12</v>
      </c>
      <c r="E1044" s="2" t="s">
        <v>216</v>
      </c>
      <c r="F1044" s="2" t="str">
        <f>HYPERLINK("http://www.12365auto.com/xcdg/20200227/419728.shtml","http://www.12365auto.com/xcdg/20200227/419728.shtml")</f>
        <v>http://www.12365auto.com/xcdg/20200227/419728.shtml</v>
      </c>
      <c r="G1044" s="2"/>
      <c r="H1044" s="2" t="s">
        <v>1634</v>
      </c>
      <c r="I1044" s="2" t="s">
        <v>15</v>
      </c>
      <c r="J1044" s="2" t="s">
        <v>12</v>
      </c>
      <c r="K1044" s="2" t="s">
        <v>1635</v>
      </c>
      <c r="L1044" s="2">
        <f t="shared" si="16"/>
        <v>150</v>
      </c>
    </row>
    <row r="1045" spans="1:12" ht="25" customHeight="1">
      <c r="A1045" s="2" t="s">
        <v>12</v>
      </c>
      <c r="B1045" s="2" t="str">
        <f>HYPERLINK("http://m.12365auto.com/xcdg/20200227/419727.shtml","极具质感 雷诺新款塔利斯曼官图发布")</f>
        <v>极具质感 雷诺新款塔利斯曼官图发布</v>
      </c>
      <c r="C1045" s="2" t="s">
        <v>13</v>
      </c>
      <c r="D1045" s="2" t="s">
        <v>12</v>
      </c>
      <c r="E1045" s="2"/>
      <c r="F1045" s="2" t="str">
        <f>HYPERLINK("http://m.12365auto.com/xcdg/20200227/419727.shtml","http://m.12365auto.com/xcdg/20200227/419727.shtml")</f>
        <v>http://m.12365auto.com/xcdg/20200227/419727.shtml</v>
      </c>
      <c r="G1045" s="2"/>
      <c r="H1045" s="2" t="s">
        <v>1636</v>
      </c>
      <c r="I1045" s="2" t="s">
        <v>19</v>
      </c>
      <c r="J1045" s="2" t="s">
        <v>1637</v>
      </c>
      <c r="K1045" s="2" t="s">
        <v>1638</v>
      </c>
      <c r="L1045" s="2">
        <f t="shared" si="16"/>
        <v>150</v>
      </c>
    </row>
    <row r="1046" spans="1:12" ht="25" customHeight="1">
      <c r="A1046" s="2" t="s">
        <v>12</v>
      </c>
      <c r="B1046" s="2" t="str">
        <f>HYPERLINK("http://www.12365auto.com/xcdg/20200227/419727.shtml","极具质感 雷诺新款塔利斯曼官图发布")</f>
        <v>极具质感 雷诺新款塔利斯曼官图发布</v>
      </c>
      <c r="C1046" s="2" t="s">
        <v>13</v>
      </c>
      <c r="D1046" s="2" t="s">
        <v>12</v>
      </c>
      <c r="E1046" s="2" t="s">
        <v>216</v>
      </c>
      <c r="F1046" s="2" t="str">
        <f>HYPERLINK("http://www.12365auto.com/xcdg/20200227/419727.shtml","http://www.12365auto.com/xcdg/20200227/419727.shtml")</f>
        <v>http://www.12365auto.com/xcdg/20200227/419727.shtml</v>
      </c>
      <c r="G1046" s="2"/>
      <c r="H1046" s="2" t="s">
        <v>1639</v>
      </c>
      <c r="I1046" s="2" t="s">
        <v>15</v>
      </c>
      <c r="J1046" s="2" t="s">
        <v>12</v>
      </c>
      <c r="K1046" s="2" t="s">
        <v>1638</v>
      </c>
      <c r="L1046" s="2">
        <f t="shared" si="16"/>
        <v>150</v>
      </c>
    </row>
    <row r="1047" spans="1:12" ht="25" customHeight="1">
      <c r="A1047" s="2" t="s">
        <v>12</v>
      </c>
      <c r="B1047" s="2" t="str">
        <f>HYPERLINK("http://m.12365auto.com/zjdy/20200227/121691.shtml","汽车核心部件出现故障问题是否可以延保？")</f>
        <v>汽车核心部件出现故障问题是否可以延保？</v>
      </c>
      <c r="C1047" s="2" t="s">
        <v>13</v>
      </c>
      <c r="D1047" s="2" t="s">
        <v>12</v>
      </c>
      <c r="E1047" s="2"/>
      <c r="F1047" s="2" t="str">
        <f>HYPERLINK("http://m.12365auto.com/zjdy/20200227/121691.shtml","http://m.12365auto.com/zjdy/20200227/121691.shtml")</f>
        <v>http://m.12365auto.com/zjdy/20200227/121691.shtml</v>
      </c>
      <c r="G1047" s="2"/>
      <c r="H1047" s="2" t="s">
        <v>1640</v>
      </c>
      <c r="I1047" s="2" t="s">
        <v>19</v>
      </c>
      <c r="J1047" s="2" t="s">
        <v>12</v>
      </c>
      <c r="K1047" s="2" t="s">
        <v>1641</v>
      </c>
      <c r="L1047" s="2">
        <f t="shared" si="16"/>
        <v>150</v>
      </c>
    </row>
    <row r="1048" spans="1:12" ht="25" customHeight="1">
      <c r="A1048" s="2" t="s">
        <v>12</v>
      </c>
      <c r="B1048" s="2" t="str">
        <f>HYPERLINK("http://m.12365auto.com/news/20200227/419726.shtml","两份公告/300亿元 宁德时代产能再扩张")</f>
        <v>两份公告/300亿元 宁德时代产能再扩张</v>
      </c>
      <c r="C1048" s="2" t="s">
        <v>13</v>
      </c>
      <c r="D1048" s="2" t="s">
        <v>12</v>
      </c>
      <c r="E1048" s="2"/>
      <c r="F1048" s="2" t="str">
        <f>HYPERLINK("http://m.12365auto.com/news/20200227/419726.shtml","http://m.12365auto.com/news/20200227/419726.shtml")</f>
        <v>http://m.12365auto.com/news/20200227/419726.shtml</v>
      </c>
      <c r="G1048" s="2"/>
      <c r="H1048" s="2" t="s">
        <v>1642</v>
      </c>
      <c r="I1048" s="2" t="s">
        <v>19</v>
      </c>
      <c r="J1048" s="2" t="s">
        <v>1643</v>
      </c>
      <c r="K1048" s="2" t="s">
        <v>1644</v>
      </c>
      <c r="L1048" s="2">
        <f t="shared" si="16"/>
        <v>150</v>
      </c>
    </row>
    <row r="1049" spans="1:12" ht="25" customHeight="1">
      <c r="A1049" s="2" t="s">
        <v>12</v>
      </c>
      <c r="B1049" s="2" t="str">
        <f>HYPERLINK("http://bbs.12365auto.com/postcontent.aspx?tID=195407","奥迪A4 2.0T高功率仍有动力提升空间 艾森ECU升级增加")</f>
        <v>奥迪A4 2.0T高功率仍有动力提升空间 艾森ECU升级增加</v>
      </c>
      <c r="C1049" s="2" t="s">
        <v>13</v>
      </c>
      <c r="D1049" s="2" t="s">
        <v>12</v>
      </c>
      <c r="E1049" s="2" t="s">
        <v>28</v>
      </c>
      <c r="F1049" s="2" t="str">
        <f>HYPERLINK("http://bbs.12365auto.com/postcontent.aspx?tID=195407","http://bbs.12365auto.com/postcontent.aspx?tID=195407")</f>
        <v>http://bbs.12365auto.com/postcontent.aspx?tID=195407</v>
      </c>
      <c r="G1049" s="2"/>
      <c r="H1049" s="2" t="s">
        <v>1645</v>
      </c>
      <c r="I1049" s="2" t="s">
        <v>15</v>
      </c>
      <c r="J1049" s="2" t="s">
        <v>1646</v>
      </c>
      <c r="K1049" s="2" t="s">
        <v>1644</v>
      </c>
      <c r="L1049" s="2">
        <f t="shared" si="16"/>
        <v>150</v>
      </c>
    </row>
    <row r="1050" spans="1:12" ht="25" customHeight="1">
      <c r="A1050" s="2" t="s">
        <v>12</v>
      </c>
      <c r="B1050" s="2" t="str">
        <f>HYPERLINK("http://bbs.12365auto.com/postcontent.aspx?tId=195407","奥迪A4 2.0T高功率仍有动力提升空间 艾森ECU升级增加")</f>
        <v>奥迪A4 2.0T高功率仍有动力提升空间 艾森ECU升级增加</v>
      </c>
      <c r="C1050" s="2" t="s">
        <v>13</v>
      </c>
      <c r="D1050" s="2" t="s">
        <v>12</v>
      </c>
      <c r="E1050" s="2" t="s">
        <v>27</v>
      </c>
      <c r="F1050" s="2" t="str">
        <f>HYPERLINK("http://bbs.12365auto.com/postcontent.aspx?tId=195407","http://bbs.12365auto.com/postcontent.aspx?tId=195407")</f>
        <v>http://bbs.12365auto.com/postcontent.aspx?tId=195407</v>
      </c>
      <c r="G1050" s="2"/>
      <c r="H1050" s="2" t="s">
        <v>1647</v>
      </c>
      <c r="I1050" s="2" t="s">
        <v>15</v>
      </c>
      <c r="J1050" s="2" t="s">
        <v>1646</v>
      </c>
      <c r="K1050" s="2" t="s">
        <v>1644</v>
      </c>
      <c r="L1050" s="2">
        <f t="shared" si="16"/>
        <v>150</v>
      </c>
    </row>
    <row r="1051" spans="1:12" ht="25" customHeight="1">
      <c r="A1051" s="2" t="s">
        <v>12</v>
      </c>
      <c r="B1051" s="2" t="str">
        <f>HYPERLINK("http://m.12365auto.com/bbs/postcontent.aspx?tID=195407","奥迪A4 2.0T高功率仍有动力提升空间 艾森ECU升级增加")</f>
        <v>奥迪A4 2.0T高功率仍有动力提升空间 艾森ECU升级增加</v>
      </c>
      <c r="C1051" s="2" t="s">
        <v>13</v>
      </c>
      <c r="D1051" s="2" t="s">
        <v>23</v>
      </c>
      <c r="E1051" s="2"/>
      <c r="F1051" s="2" t="str">
        <f>HYPERLINK("http://m.12365auto.com/bbs/postcontent.aspx?tID=195407","http://m.12365auto.com/bbs/postcontent.aspx?tID=195407")</f>
        <v>http://m.12365auto.com/bbs/postcontent.aspx?tID=195407</v>
      </c>
      <c r="G1051" s="2"/>
      <c r="H1051" s="2" t="s">
        <v>1647</v>
      </c>
      <c r="I1051" s="2" t="s">
        <v>15</v>
      </c>
      <c r="J1051" s="2" t="s">
        <v>1646</v>
      </c>
      <c r="K1051" s="2" t="s">
        <v>1644</v>
      </c>
      <c r="L1051" s="2">
        <f t="shared" si="16"/>
        <v>150</v>
      </c>
    </row>
    <row r="1052" spans="1:12" ht="25" customHeight="1">
      <c r="A1052" s="2" t="s">
        <v>12</v>
      </c>
      <c r="B1052" s="2" t="str">
        <f>HYPERLINK("http://www.12365auto.com/news/20200227/419726.shtml","两份公告/300亿元 宁德时代产能再扩张")</f>
        <v>两份公告/300亿元 宁德时代产能再扩张</v>
      </c>
      <c r="C1052" s="2" t="s">
        <v>13</v>
      </c>
      <c r="D1052" s="2" t="s">
        <v>12</v>
      </c>
      <c r="E1052" s="2" t="s">
        <v>276</v>
      </c>
      <c r="F1052" s="2" t="str">
        <f>HYPERLINK("http://www.12365auto.com/news/20200227/419726.shtml","http://www.12365auto.com/news/20200227/419726.shtml")</f>
        <v>http://www.12365auto.com/news/20200227/419726.shtml</v>
      </c>
      <c r="G1052" s="2"/>
      <c r="H1052" s="2" t="s">
        <v>1648</v>
      </c>
      <c r="I1052" s="2" t="s">
        <v>15</v>
      </c>
      <c r="J1052" s="2" t="s">
        <v>12</v>
      </c>
      <c r="K1052" s="2" t="s">
        <v>1644</v>
      </c>
      <c r="L1052" s="2">
        <f t="shared" si="16"/>
        <v>150</v>
      </c>
    </row>
    <row r="1053" spans="1:12" ht="25" customHeight="1">
      <c r="A1053" s="2" t="s">
        <v>12</v>
      </c>
      <c r="B1053" s="2" t="str">
        <f>HYPERLINK("http://m.12365auto.com/news/20200227/419725.shtml","国家监管平台调整新能源汽车接入规则")</f>
        <v>国家监管平台调整新能源汽车接入规则</v>
      </c>
      <c r="C1053" s="2" t="s">
        <v>13</v>
      </c>
      <c r="D1053" s="2" t="s">
        <v>12</v>
      </c>
      <c r="E1053" s="2"/>
      <c r="F1053" s="2" t="str">
        <f>HYPERLINK("http://m.12365auto.com/news/20200227/419725.shtml","http://m.12365auto.com/news/20200227/419725.shtml")</f>
        <v>http://m.12365auto.com/news/20200227/419725.shtml</v>
      </c>
      <c r="G1053" s="2"/>
      <c r="H1053" s="2" t="s">
        <v>1649</v>
      </c>
      <c r="I1053" s="2" t="s">
        <v>19</v>
      </c>
      <c r="J1053" s="2" t="s">
        <v>274</v>
      </c>
      <c r="K1053" s="2" t="s">
        <v>1650</v>
      </c>
      <c r="L1053" s="2">
        <f t="shared" si="16"/>
        <v>150</v>
      </c>
    </row>
    <row r="1054" spans="1:12" ht="25" customHeight="1">
      <c r="A1054" s="2" t="s">
        <v>12</v>
      </c>
      <c r="B1054" s="2" t="str">
        <f>HYPERLINK("http://www.12365auto.com/news/20200227/419725.shtml","国家监管平台调整新能源汽车接入规则")</f>
        <v>国家监管平台调整新能源汽车接入规则</v>
      </c>
      <c r="C1054" s="2" t="s">
        <v>13</v>
      </c>
      <c r="D1054" s="2" t="s">
        <v>12</v>
      </c>
      <c r="E1054" s="2" t="s">
        <v>276</v>
      </c>
      <c r="F1054" s="2" t="str">
        <f>HYPERLINK("http://www.12365auto.com/news/20200227/419725.shtml","http://www.12365auto.com/news/20200227/419725.shtml")</f>
        <v>http://www.12365auto.com/news/20200227/419725.shtml</v>
      </c>
      <c r="G1054" s="2"/>
      <c r="H1054" s="2" t="s">
        <v>1651</v>
      </c>
      <c r="I1054" s="2" t="s">
        <v>15</v>
      </c>
      <c r="J1054" s="2" t="s">
        <v>12</v>
      </c>
      <c r="K1054" s="2" t="s">
        <v>1650</v>
      </c>
      <c r="L1054" s="2">
        <f t="shared" si="16"/>
        <v>150</v>
      </c>
    </row>
    <row r="1055" spans="1:12" ht="25" customHeight="1">
      <c r="A1055" s="2" t="s">
        <v>12</v>
      </c>
      <c r="B1055" s="2" t="str">
        <f>HYPERLINK("http://m.12365auto.com/news/20200227/419724.shtml","较传统材料轻30% 丰田LQ推创新汽车门板")</f>
        <v>较传统材料轻30% 丰田LQ推创新汽车门板</v>
      </c>
      <c r="C1055" s="2" t="s">
        <v>13</v>
      </c>
      <c r="D1055" s="2" t="s">
        <v>12</v>
      </c>
      <c r="E1055" s="2"/>
      <c r="F1055" s="2" t="str">
        <f>HYPERLINK("http://m.12365auto.com/news/20200227/419724.shtml","http://m.12365auto.com/news/20200227/419724.shtml")</f>
        <v>http://m.12365auto.com/news/20200227/419724.shtml</v>
      </c>
      <c r="G1055" s="2"/>
      <c r="H1055" s="2" t="s">
        <v>1652</v>
      </c>
      <c r="I1055" s="2" t="s">
        <v>19</v>
      </c>
      <c r="J1055" s="2" t="s">
        <v>1653</v>
      </c>
      <c r="K1055" s="2" t="s">
        <v>1654</v>
      </c>
      <c r="L1055" s="2">
        <f t="shared" si="16"/>
        <v>150</v>
      </c>
    </row>
    <row r="1056" spans="1:12" ht="25" customHeight="1">
      <c r="A1056" s="2" t="s">
        <v>12</v>
      </c>
      <c r="B1056" s="2" t="str">
        <f>HYPERLINK("http://www.12365auto.com/news/20200227/419724.shtml","较传统材料轻30% 丰田LQ推创新汽车门板")</f>
        <v>较传统材料轻30% 丰田LQ推创新汽车门板</v>
      </c>
      <c r="C1056" s="2" t="s">
        <v>13</v>
      </c>
      <c r="D1056" s="2" t="s">
        <v>12</v>
      </c>
      <c r="E1056" s="2" t="s">
        <v>276</v>
      </c>
      <c r="F1056" s="2" t="str">
        <f>HYPERLINK("http://www.12365auto.com/news/20200227/419724.shtml","http://www.12365auto.com/news/20200227/419724.shtml")</f>
        <v>http://www.12365auto.com/news/20200227/419724.shtml</v>
      </c>
      <c r="G1056" s="2"/>
      <c r="H1056" s="2" t="s">
        <v>1655</v>
      </c>
      <c r="I1056" s="2" t="s">
        <v>15</v>
      </c>
      <c r="J1056" s="2" t="s">
        <v>12</v>
      </c>
      <c r="K1056" s="2" t="s">
        <v>1654</v>
      </c>
      <c r="L1056" s="2">
        <f t="shared" si="16"/>
        <v>150</v>
      </c>
    </row>
    <row r="1057" spans="1:12" ht="25" customHeight="1">
      <c r="A1057" s="2" t="s">
        <v>12</v>
      </c>
      <c r="B1057" s="2" t="str">
        <f>HYPERLINK("http://m.12365auto.com/xcdg/20200227/419723.shtml","DS全新概念车官图发布 配备多项黑科技")</f>
        <v>DS全新概念车官图发布 配备多项黑科技</v>
      </c>
      <c r="C1057" s="2" t="s">
        <v>13</v>
      </c>
      <c r="D1057" s="2" t="s">
        <v>12</v>
      </c>
      <c r="E1057" s="2"/>
      <c r="F1057" s="2" t="str">
        <f>HYPERLINK("http://m.12365auto.com/xcdg/20200227/419723.shtml","http://m.12365auto.com/xcdg/20200227/419723.shtml")</f>
        <v>http://m.12365auto.com/xcdg/20200227/419723.shtml</v>
      </c>
      <c r="G1057" s="2"/>
      <c r="H1057" s="2" t="s">
        <v>1656</v>
      </c>
      <c r="I1057" s="2" t="s">
        <v>19</v>
      </c>
      <c r="J1057" s="2" t="s">
        <v>1657</v>
      </c>
      <c r="K1057" s="2" t="s">
        <v>1658</v>
      </c>
      <c r="L1057" s="2">
        <f t="shared" si="16"/>
        <v>150</v>
      </c>
    </row>
    <row r="1058" spans="1:12" ht="25" customHeight="1">
      <c r="A1058" s="2" t="s">
        <v>12</v>
      </c>
      <c r="B1058" s="2" t="str">
        <f>HYPERLINK("http://www.12365auto.com/xcdg/20200227/419723.shtml","DS全新概念车官图发布 配备多项黑科技")</f>
        <v>DS全新概念车官图发布 配备多项黑科技</v>
      </c>
      <c r="C1058" s="2" t="s">
        <v>13</v>
      </c>
      <c r="D1058" s="2" t="s">
        <v>12</v>
      </c>
      <c r="E1058" s="2" t="s">
        <v>216</v>
      </c>
      <c r="F1058" s="2" t="str">
        <f>HYPERLINK("http://www.12365auto.com/xcdg/20200227/419723.shtml","http://www.12365auto.com/xcdg/20200227/419723.shtml")</f>
        <v>http://www.12365auto.com/xcdg/20200227/419723.shtml</v>
      </c>
      <c r="G1058" s="2"/>
      <c r="H1058" s="2" t="s">
        <v>1659</v>
      </c>
      <c r="I1058" s="2" t="s">
        <v>15</v>
      </c>
      <c r="J1058" s="2" t="s">
        <v>12</v>
      </c>
      <c r="K1058" s="2" t="s">
        <v>1658</v>
      </c>
      <c r="L1058" s="2">
        <f t="shared" si="16"/>
        <v>150</v>
      </c>
    </row>
    <row r="1059" spans="1:12" ht="25" customHeight="1">
      <c r="A1059" s="2" t="s">
        <v>12</v>
      </c>
      <c r="B1059" s="2" t="str">
        <f>HYPERLINK("http://bbs.12365auto.com/postcontent.aspx?tID=195406","吉利远景变速箱有问题的大家商量一下")</f>
        <v>吉利远景变速箱有问题的大家商量一下</v>
      </c>
      <c r="C1059" s="2" t="s">
        <v>13</v>
      </c>
      <c r="D1059" s="2" t="s">
        <v>12</v>
      </c>
      <c r="E1059" s="2" t="s">
        <v>1660</v>
      </c>
      <c r="F1059" s="2" t="str">
        <f>HYPERLINK("http://bbs.12365auto.com/postcontent.aspx?tID=195406","http://bbs.12365auto.com/postcontent.aspx?tID=195406")</f>
        <v>http://bbs.12365auto.com/postcontent.aspx?tID=195406</v>
      </c>
      <c r="G1059" s="2"/>
      <c r="H1059" s="2" t="s">
        <v>1661</v>
      </c>
      <c r="I1059" s="2" t="s">
        <v>15</v>
      </c>
      <c r="J1059" s="2" t="s">
        <v>1662</v>
      </c>
      <c r="K1059" s="2" t="s">
        <v>1663</v>
      </c>
      <c r="L1059" s="2">
        <f t="shared" si="16"/>
        <v>150</v>
      </c>
    </row>
    <row r="1060" spans="1:12" ht="25" customHeight="1">
      <c r="A1060" s="2" t="s">
        <v>12</v>
      </c>
      <c r="B1060" s="2" t="str">
        <f>HYPERLINK("http://bbs.12365auto.com/postcontent.aspx?tId=195406","吉利远景变速箱有问题的大家商量一下")</f>
        <v>吉利远景变速箱有问题的大家商量一下</v>
      </c>
      <c r="C1060" s="2" t="s">
        <v>13</v>
      </c>
      <c r="D1060" s="2" t="s">
        <v>12</v>
      </c>
      <c r="E1060" s="2" t="s">
        <v>1664</v>
      </c>
      <c r="F1060" s="2" t="str">
        <f>HYPERLINK("http://bbs.12365auto.com/postcontent.aspx?tId=195406","http://bbs.12365auto.com/postcontent.aspx?tId=195406")</f>
        <v>http://bbs.12365auto.com/postcontent.aspx?tId=195406</v>
      </c>
      <c r="G1060" s="2"/>
      <c r="H1060" s="2" t="s">
        <v>1665</v>
      </c>
      <c r="I1060" s="2" t="s">
        <v>15</v>
      </c>
      <c r="J1060" s="2" t="s">
        <v>1662</v>
      </c>
      <c r="K1060" s="2" t="s">
        <v>1663</v>
      </c>
      <c r="L1060" s="2">
        <f t="shared" si="16"/>
        <v>96</v>
      </c>
    </row>
    <row r="1061" spans="1:12" ht="25" customHeight="1">
      <c r="A1061" s="2" t="s">
        <v>12</v>
      </c>
      <c r="B1061" s="2" t="str">
        <f>HYPERLINK("http://m.12365auto.com/bbs/postcontent.aspx?tID=195406","吉利远景变速箱有问题的大家商量一下")</f>
        <v>吉利远景变速箱有问题的大家商量一下</v>
      </c>
      <c r="C1061" s="2" t="s">
        <v>13</v>
      </c>
      <c r="D1061" s="2" t="s">
        <v>23</v>
      </c>
      <c r="E1061" s="2"/>
      <c r="F1061" s="2" t="str">
        <f>HYPERLINK("http://m.12365auto.com/bbs/postcontent.aspx?tID=195406","http://m.12365auto.com/bbs/postcontent.aspx?tID=195406")</f>
        <v>http://m.12365auto.com/bbs/postcontent.aspx?tID=195406</v>
      </c>
      <c r="G1061" s="2"/>
      <c r="H1061" s="2" t="s">
        <v>1665</v>
      </c>
      <c r="I1061" s="2" t="s">
        <v>15</v>
      </c>
      <c r="J1061" s="2" t="s">
        <v>1662</v>
      </c>
      <c r="K1061" s="2" t="s">
        <v>1663</v>
      </c>
      <c r="L1061" s="2">
        <f t="shared" si="16"/>
        <v>96</v>
      </c>
    </row>
    <row r="1062" spans="1:12" ht="25" customHeight="1">
      <c r="A1062" s="2" t="s">
        <v>12</v>
      </c>
      <c r="B1062" s="2" t="str">
        <f>HYPERLINK("http://m.12365auto.com/bbs/postcontent.aspx?tID=195405","本田缤智发动机怠速抖动")</f>
        <v>本田缤智发动机怠速抖动</v>
      </c>
      <c r="C1062" s="2" t="s">
        <v>13</v>
      </c>
      <c r="D1062" s="2" t="s">
        <v>23</v>
      </c>
      <c r="E1062" s="2"/>
      <c r="F1062" s="2" t="str">
        <f>HYPERLINK("http://m.12365auto.com/bbs/postcontent.aspx?tID=195405","http://m.12365auto.com/bbs/postcontent.aspx?tID=195405")</f>
        <v>http://m.12365auto.com/bbs/postcontent.aspx?tID=195405</v>
      </c>
      <c r="G1062" s="2"/>
      <c r="H1062" s="2" t="s">
        <v>1666</v>
      </c>
      <c r="I1062" s="2" t="s">
        <v>15</v>
      </c>
      <c r="J1062" s="2" t="s">
        <v>1667</v>
      </c>
      <c r="K1062" s="2" t="s">
        <v>1668</v>
      </c>
      <c r="L1062" s="2">
        <f t="shared" si="16"/>
        <v>79</v>
      </c>
    </row>
    <row r="1063" spans="1:12" ht="25" customHeight="1">
      <c r="A1063" s="2" t="s">
        <v>12</v>
      </c>
      <c r="B1063" s="2" t="str">
        <f>HYPERLINK("http://m.12365auto.com/bbs/postcontent.aspx?tID=195404","北京现代领动转向沉重")</f>
        <v>北京现代领动转向沉重</v>
      </c>
      <c r="C1063" s="2" t="s">
        <v>13</v>
      </c>
      <c r="D1063" s="2" t="s">
        <v>23</v>
      </c>
      <c r="E1063" s="2"/>
      <c r="F1063" s="2" t="str">
        <f>HYPERLINK("http://m.12365auto.com/bbs/postcontent.aspx?tID=195404","http://m.12365auto.com/bbs/postcontent.aspx?tID=195404")</f>
        <v>http://m.12365auto.com/bbs/postcontent.aspx?tID=195404</v>
      </c>
      <c r="G1063" s="2"/>
      <c r="H1063" s="2" t="s">
        <v>1669</v>
      </c>
      <c r="I1063" s="2" t="s">
        <v>15</v>
      </c>
      <c r="J1063" s="2" t="s">
        <v>1670</v>
      </c>
      <c r="K1063" s="2" t="s">
        <v>1668</v>
      </c>
      <c r="L1063" s="2">
        <f t="shared" si="16"/>
        <v>150</v>
      </c>
    </row>
    <row r="1064" spans="1:12" ht="25" customHeight="1">
      <c r="A1064" s="2" t="s">
        <v>12</v>
      </c>
      <c r="B1064" s="2" t="str">
        <f>HYPERLINK("http://bbs.12365auto.com/postcontent.aspx?tID=195404","北京现代领动转向沉重")</f>
        <v>北京现代领动转向沉重</v>
      </c>
      <c r="C1064" s="2" t="s">
        <v>13</v>
      </c>
      <c r="D1064" s="2" t="s">
        <v>12</v>
      </c>
      <c r="E1064" s="2" t="s">
        <v>67</v>
      </c>
      <c r="F1064" s="2" t="str">
        <f>HYPERLINK("http://bbs.12365auto.com/postcontent.aspx?tID=195404","http://bbs.12365auto.com/postcontent.aspx?tID=195404")</f>
        <v>http://bbs.12365auto.com/postcontent.aspx?tID=195404</v>
      </c>
      <c r="G1064" s="2"/>
      <c r="H1064" s="2" t="s">
        <v>1671</v>
      </c>
      <c r="I1064" s="2" t="s">
        <v>15</v>
      </c>
      <c r="J1064" s="2" t="s">
        <v>1670</v>
      </c>
      <c r="K1064" s="2" t="s">
        <v>1668</v>
      </c>
      <c r="L1064" s="2">
        <f t="shared" si="16"/>
        <v>150</v>
      </c>
    </row>
    <row r="1065" spans="1:12" ht="25" customHeight="1">
      <c r="A1065" s="2" t="s">
        <v>12</v>
      </c>
      <c r="B1065" s="2" t="str">
        <f>HYPERLINK("http://bbs.12365auto.com/postcontent.aspx?tID=195405","本田缤智发动机怠速抖动")</f>
        <v>本田缤智发动机怠速抖动</v>
      </c>
      <c r="C1065" s="2" t="s">
        <v>13</v>
      </c>
      <c r="D1065" s="2" t="s">
        <v>12</v>
      </c>
      <c r="E1065" s="2" t="s">
        <v>67</v>
      </c>
      <c r="F1065" s="2" t="str">
        <f>HYPERLINK("http://bbs.12365auto.com/postcontent.aspx?tID=195405","http://bbs.12365auto.com/postcontent.aspx?tID=195405")</f>
        <v>http://bbs.12365auto.com/postcontent.aspx?tID=195405</v>
      </c>
      <c r="G1065" s="2"/>
      <c r="H1065" s="2" t="s">
        <v>1672</v>
      </c>
      <c r="I1065" s="2" t="s">
        <v>15</v>
      </c>
      <c r="J1065" s="2" t="s">
        <v>1667</v>
      </c>
      <c r="K1065" s="2" t="s">
        <v>1668</v>
      </c>
      <c r="L1065" s="2">
        <f t="shared" si="16"/>
        <v>90</v>
      </c>
    </row>
    <row r="1066" spans="1:12" ht="25" customHeight="1">
      <c r="A1066" s="2" t="s">
        <v>12</v>
      </c>
      <c r="B1066" s="2" t="str">
        <f>HYPERLINK("http://bbs.12365auto.com/postcontent.aspx?tId=195404","北京现代领动转向沉重")</f>
        <v>北京现代领动转向沉重</v>
      </c>
      <c r="C1066" s="2" t="s">
        <v>13</v>
      </c>
      <c r="D1066" s="2" t="s">
        <v>12</v>
      </c>
      <c r="E1066" s="2" t="s">
        <v>66</v>
      </c>
      <c r="F1066" s="2" t="str">
        <f>HYPERLINK("http://bbs.12365auto.com/postcontent.aspx?tId=195404","http://bbs.12365auto.com/postcontent.aspx?tId=195404")</f>
        <v>http://bbs.12365auto.com/postcontent.aspx?tId=195404</v>
      </c>
      <c r="G1066" s="2"/>
      <c r="H1066" s="2" t="s">
        <v>1669</v>
      </c>
      <c r="I1066" s="2" t="s">
        <v>15</v>
      </c>
      <c r="J1066" s="2" t="s">
        <v>1670</v>
      </c>
      <c r="K1066" s="2" t="s">
        <v>1668</v>
      </c>
      <c r="L1066" s="2">
        <f t="shared" si="16"/>
        <v>150</v>
      </c>
    </row>
    <row r="1067" spans="1:12" ht="25" customHeight="1">
      <c r="A1067" s="2" t="s">
        <v>12</v>
      </c>
      <c r="B1067" s="2" t="str">
        <f>HYPERLINK("http://bbs.12365auto.com/postcontent.aspx?tId=195405","本田缤智发动机怠速抖动")</f>
        <v>本田缤智发动机怠速抖动</v>
      </c>
      <c r="C1067" s="2" t="s">
        <v>13</v>
      </c>
      <c r="D1067" s="2" t="s">
        <v>12</v>
      </c>
      <c r="E1067" s="2" t="s">
        <v>66</v>
      </c>
      <c r="F1067" s="2" t="str">
        <f>HYPERLINK("http://bbs.12365auto.com/postcontent.aspx?tId=195405","http://bbs.12365auto.com/postcontent.aspx?tId=195405")</f>
        <v>http://bbs.12365auto.com/postcontent.aspx?tId=195405</v>
      </c>
      <c r="G1067" s="2"/>
      <c r="H1067" s="2" t="s">
        <v>1666</v>
      </c>
      <c r="I1067" s="2" t="s">
        <v>15</v>
      </c>
      <c r="J1067" s="2" t="s">
        <v>1667</v>
      </c>
      <c r="K1067" s="2" t="s">
        <v>1668</v>
      </c>
      <c r="L1067" s="2">
        <f t="shared" si="16"/>
        <v>79</v>
      </c>
    </row>
    <row r="1068" spans="1:12" ht="25" customHeight="1">
      <c r="A1068" s="2" t="s">
        <v>12</v>
      </c>
      <c r="B1068" s="2" t="str">
        <f>HYPERLINK("http://m.12365auto.com/bbs/postcontent.aspx?tID=195403","远景螺丝生锈 车窗座椅异响 中控黑屏")</f>
        <v>远景螺丝生锈 车窗座椅异响 中控黑屏</v>
      </c>
      <c r="C1068" s="2" t="s">
        <v>13</v>
      </c>
      <c r="D1068" s="2" t="s">
        <v>23</v>
      </c>
      <c r="E1068" s="2"/>
      <c r="F1068" s="2" t="str">
        <f>HYPERLINK("http://m.12365auto.com/bbs/postcontent.aspx?tID=195403","http://m.12365auto.com/bbs/postcontent.aspx?tID=195403")</f>
        <v>http://m.12365auto.com/bbs/postcontent.aspx?tID=195403</v>
      </c>
      <c r="G1068" s="2"/>
      <c r="H1068" s="2" t="s">
        <v>1673</v>
      </c>
      <c r="I1068" s="2" t="s">
        <v>15</v>
      </c>
      <c r="J1068" s="2" t="s">
        <v>1674</v>
      </c>
      <c r="K1068" s="2" t="s">
        <v>1675</v>
      </c>
      <c r="L1068" s="2">
        <f t="shared" si="16"/>
        <v>50</v>
      </c>
    </row>
    <row r="1069" spans="1:12" ht="25" customHeight="1">
      <c r="A1069" s="2" t="s">
        <v>12</v>
      </c>
      <c r="B1069" s="2" t="str">
        <f>HYPERLINK("http://bbs.12365auto.com/postcontent.aspx?tID=195403","远景螺丝生锈 车窗座椅异响 中控黑屏")</f>
        <v>远景螺丝生锈 车窗座椅异响 中控黑屏</v>
      </c>
      <c r="C1069" s="2" t="s">
        <v>13</v>
      </c>
      <c r="D1069" s="2" t="s">
        <v>12</v>
      </c>
      <c r="E1069" s="2" t="s">
        <v>67</v>
      </c>
      <c r="F1069" s="2" t="str">
        <f>HYPERLINK("http://bbs.12365auto.com/postcontent.aspx?tID=195403","http://bbs.12365auto.com/postcontent.aspx?tID=195403")</f>
        <v>http://bbs.12365auto.com/postcontent.aspx?tID=195403</v>
      </c>
      <c r="G1069" s="2"/>
      <c r="H1069" s="2" t="s">
        <v>1676</v>
      </c>
      <c r="I1069" s="2" t="s">
        <v>15</v>
      </c>
      <c r="J1069" s="2" t="s">
        <v>1674</v>
      </c>
      <c r="K1069" s="2" t="s">
        <v>1675</v>
      </c>
      <c r="L1069" s="2">
        <f t="shared" si="16"/>
        <v>68</v>
      </c>
    </row>
    <row r="1070" spans="1:12" ht="25" customHeight="1">
      <c r="A1070" s="2" t="s">
        <v>12</v>
      </c>
      <c r="B1070" s="2" t="str">
        <f>HYPERLINK("http://bbs.12365auto.com/postcontent.aspx?tId=195403","远景螺丝生锈 车窗座椅异响 中控黑屏")</f>
        <v>远景螺丝生锈 车窗座椅异响 中控黑屏</v>
      </c>
      <c r="C1070" s="2" t="s">
        <v>13</v>
      </c>
      <c r="D1070" s="2" t="s">
        <v>12</v>
      </c>
      <c r="E1070" s="2" t="s">
        <v>66</v>
      </c>
      <c r="F1070" s="2" t="str">
        <f>HYPERLINK("http://bbs.12365auto.com/postcontent.aspx?tId=195403","http://bbs.12365auto.com/postcontent.aspx?tId=195403")</f>
        <v>http://bbs.12365auto.com/postcontent.aspx?tId=195403</v>
      </c>
      <c r="G1070" s="2"/>
      <c r="H1070" s="2" t="s">
        <v>1673</v>
      </c>
      <c r="I1070" s="2" t="s">
        <v>15</v>
      </c>
      <c r="J1070" s="2" t="s">
        <v>1674</v>
      </c>
      <c r="K1070" s="2" t="s">
        <v>1675</v>
      </c>
      <c r="L1070" s="2">
        <f t="shared" si="16"/>
        <v>50</v>
      </c>
    </row>
    <row r="1071" spans="1:12" ht="25" customHeight="1">
      <c r="A1071" s="2" t="s">
        <v>12</v>
      </c>
      <c r="B1071" s="2" t="str">
        <f>HYPERLINK("http://m.12365auto.com/bbs/postcontent.aspx?tID=195401","长安睿骋邓禄普轮胎开裂 爆胎")</f>
        <v>长安睿骋邓禄普轮胎开裂 爆胎</v>
      </c>
      <c r="C1071" s="2" t="s">
        <v>13</v>
      </c>
      <c r="D1071" s="2" t="s">
        <v>23</v>
      </c>
      <c r="E1071" s="2"/>
      <c r="F1071" s="2" t="str">
        <f>HYPERLINK("http://m.12365auto.com/bbs/postcontent.aspx?tID=195401","http://m.12365auto.com/bbs/postcontent.aspx?tID=195401")</f>
        <v>http://m.12365auto.com/bbs/postcontent.aspx?tID=195401</v>
      </c>
      <c r="G1071" s="2"/>
      <c r="H1071" s="2" t="s">
        <v>1677</v>
      </c>
      <c r="I1071" s="2" t="s">
        <v>15</v>
      </c>
      <c r="J1071" s="2" t="s">
        <v>1678</v>
      </c>
      <c r="K1071" s="2" t="s">
        <v>1679</v>
      </c>
      <c r="L1071" s="2">
        <f t="shared" si="16"/>
        <v>76</v>
      </c>
    </row>
    <row r="1072" spans="1:12" ht="25" customHeight="1">
      <c r="A1072" s="2" t="s">
        <v>12</v>
      </c>
      <c r="B1072" s="2" t="str">
        <f>HYPERLINK("http://m.12365auto.com/bbs/postcontent.aspx?tID=195402&amp;i=1","北京奔驰GLB新车无法启动")</f>
        <v>北京奔驰GLB新车无法启动</v>
      </c>
      <c r="C1072" s="2" t="s">
        <v>13</v>
      </c>
      <c r="D1072" s="2" t="s">
        <v>23</v>
      </c>
      <c r="E1072" s="2"/>
      <c r="F1072" s="2" t="str">
        <f>HYPERLINK("http://m.12365auto.com/bbs/postcontent.aspx?tID=195402&amp;i=1","http://m.12365auto.com/bbs/postcontent.aspx?tID=195402&amp;i=1")</f>
        <v>http://m.12365auto.com/bbs/postcontent.aspx?tID=195402&amp;i=1</v>
      </c>
      <c r="G1072" s="2"/>
      <c r="H1072" s="2" t="s">
        <v>1680</v>
      </c>
      <c r="I1072" s="2" t="s">
        <v>15</v>
      </c>
      <c r="J1072" s="2" t="s">
        <v>1681</v>
      </c>
      <c r="K1072" s="2" t="s">
        <v>1679</v>
      </c>
      <c r="L1072" s="2">
        <f t="shared" si="16"/>
        <v>150</v>
      </c>
    </row>
    <row r="1073" spans="1:12" ht="25" customHeight="1">
      <c r="A1073" s="2" t="s">
        <v>12</v>
      </c>
      <c r="B1073" s="2" t="str">
        <f>HYPERLINK("http://m.12365auto.com/bbs/postcontent.aspx?tID=195402","北京奔驰GLB新车无法启动")</f>
        <v>北京奔驰GLB新车无法启动</v>
      </c>
      <c r="C1073" s="2" t="s">
        <v>13</v>
      </c>
      <c r="D1073" s="2" t="s">
        <v>23</v>
      </c>
      <c r="E1073" s="2"/>
      <c r="F1073" s="2" t="str">
        <f>HYPERLINK("http://m.12365auto.com/bbs/postcontent.aspx?tID=195402","http://m.12365auto.com/bbs/postcontent.aspx?tID=195402")</f>
        <v>http://m.12365auto.com/bbs/postcontent.aspx?tID=195402</v>
      </c>
      <c r="G1073" s="2"/>
      <c r="H1073" s="2" t="s">
        <v>1680</v>
      </c>
      <c r="I1073" s="2" t="s">
        <v>15</v>
      </c>
      <c r="J1073" s="2" t="s">
        <v>1681</v>
      </c>
      <c r="K1073" s="2" t="s">
        <v>1679</v>
      </c>
      <c r="L1073" s="2">
        <f t="shared" si="16"/>
        <v>150</v>
      </c>
    </row>
    <row r="1074" spans="1:12" ht="25" customHeight="1">
      <c r="A1074" s="2" t="s">
        <v>12</v>
      </c>
      <c r="B1074" s="2" t="str">
        <f>HYPERLINK("http://bbs.12365auto.com/postcontent.aspx?tID=195401","长安睿骋邓禄普轮胎开裂 爆胎")</f>
        <v>长安睿骋邓禄普轮胎开裂 爆胎</v>
      </c>
      <c r="C1074" s="2" t="s">
        <v>13</v>
      </c>
      <c r="D1074" s="2" t="s">
        <v>12</v>
      </c>
      <c r="E1074" s="2" t="s">
        <v>67</v>
      </c>
      <c r="F1074" s="2" t="str">
        <f>HYPERLINK("http://bbs.12365auto.com/postcontent.aspx?tID=195401","http://bbs.12365auto.com/postcontent.aspx?tID=195401")</f>
        <v>http://bbs.12365auto.com/postcontent.aspx?tID=195401</v>
      </c>
      <c r="G1074" s="2"/>
      <c r="H1074" s="2" t="s">
        <v>1682</v>
      </c>
      <c r="I1074" s="2" t="s">
        <v>15</v>
      </c>
      <c r="J1074" s="2" t="s">
        <v>1678</v>
      </c>
      <c r="K1074" s="2" t="s">
        <v>1679</v>
      </c>
      <c r="L1074" s="2">
        <f t="shared" si="16"/>
        <v>90</v>
      </c>
    </row>
    <row r="1075" spans="1:12" ht="25" customHeight="1">
      <c r="A1075" s="2" t="s">
        <v>12</v>
      </c>
      <c r="B1075" s="2" t="str">
        <f>HYPERLINK("http://bbs.12365auto.com/postcontent.aspx?tID=195402","北京奔驰GLB新车无法启动")</f>
        <v>北京奔驰GLB新车无法启动</v>
      </c>
      <c r="C1075" s="2" t="s">
        <v>13</v>
      </c>
      <c r="D1075" s="2" t="s">
        <v>12</v>
      </c>
      <c r="E1075" s="2" t="s">
        <v>67</v>
      </c>
      <c r="F1075" s="2" t="str">
        <f>HYPERLINK("http://bbs.12365auto.com/postcontent.aspx?tID=195402","http://bbs.12365auto.com/postcontent.aspx?tID=195402")</f>
        <v>http://bbs.12365auto.com/postcontent.aspx?tID=195402</v>
      </c>
      <c r="G1075" s="2"/>
      <c r="H1075" s="2" t="s">
        <v>1683</v>
      </c>
      <c r="I1075" s="2" t="s">
        <v>15</v>
      </c>
      <c r="J1075" s="2" t="s">
        <v>1681</v>
      </c>
      <c r="K1075" s="2" t="s">
        <v>1679</v>
      </c>
      <c r="L1075" s="2">
        <f t="shared" si="16"/>
        <v>150</v>
      </c>
    </row>
    <row r="1076" spans="1:12" ht="25" customHeight="1">
      <c r="A1076" s="2" t="s">
        <v>12</v>
      </c>
      <c r="B1076" s="2" t="str">
        <f>HYPERLINK("http://bbs.12365auto.com/postcontent.aspx?tId=195401","长安睿骋邓禄普轮胎开裂 爆胎")</f>
        <v>长安睿骋邓禄普轮胎开裂 爆胎</v>
      </c>
      <c r="C1076" s="2" t="s">
        <v>13</v>
      </c>
      <c r="D1076" s="2" t="s">
        <v>12</v>
      </c>
      <c r="E1076" s="2" t="s">
        <v>66</v>
      </c>
      <c r="F1076" s="2" t="str">
        <f>HYPERLINK("http://bbs.12365auto.com/postcontent.aspx?tId=195401","http://bbs.12365auto.com/postcontent.aspx?tId=195401")</f>
        <v>http://bbs.12365auto.com/postcontent.aspx?tId=195401</v>
      </c>
      <c r="G1076" s="2"/>
      <c r="H1076" s="2" t="s">
        <v>1677</v>
      </c>
      <c r="I1076" s="2" t="s">
        <v>15</v>
      </c>
      <c r="J1076" s="2" t="s">
        <v>1678</v>
      </c>
      <c r="K1076" s="2" t="s">
        <v>1679</v>
      </c>
      <c r="L1076" s="2">
        <f t="shared" si="16"/>
        <v>76</v>
      </c>
    </row>
    <row r="1077" spans="1:12" ht="25" customHeight="1">
      <c r="A1077" s="2" t="s">
        <v>12</v>
      </c>
      <c r="B1077" s="2" t="str">
        <f>HYPERLINK("http://bbs.12365auto.com/postcontent.aspx?tId=195402","北京奔驰GLB新车无法启动")</f>
        <v>北京奔驰GLB新车无法启动</v>
      </c>
      <c r="C1077" s="2" t="s">
        <v>13</v>
      </c>
      <c r="D1077" s="2" t="s">
        <v>12</v>
      </c>
      <c r="E1077" s="2" t="s">
        <v>66</v>
      </c>
      <c r="F1077" s="2" t="str">
        <f>HYPERLINK("http://bbs.12365auto.com/postcontent.aspx?tId=195402","http://bbs.12365auto.com/postcontent.aspx?tId=195402")</f>
        <v>http://bbs.12365auto.com/postcontent.aspx?tId=195402</v>
      </c>
      <c r="G1077" s="2"/>
      <c r="H1077" s="2" t="s">
        <v>1680</v>
      </c>
      <c r="I1077" s="2" t="s">
        <v>15</v>
      </c>
      <c r="J1077" s="2" t="s">
        <v>1681</v>
      </c>
      <c r="K1077" s="2" t="s">
        <v>1679</v>
      </c>
      <c r="L1077" s="2">
        <f t="shared" si="16"/>
        <v>150</v>
      </c>
    </row>
    <row r="1078" spans="1:12" ht="25" customHeight="1">
      <c r="A1078" s="2" t="s">
        <v>12</v>
      </c>
      <c r="B1078" s="2" t="str">
        <f>HYPERLINK("http://bbs.12365auto.com/postcontent.aspx?tID=195400","本田思域优科豪马轮胎不同程度掉皮")</f>
        <v>本田思域优科豪马轮胎不同程度掉皮</v>
      </c>
      <c r="C1078" s="2" t="s">
        <v>13</v>
      </c>
      <c r="D1078" s="2" t="s">
        <v>12</v>
      </c>
      <c r="E1078" s="2" t="s">
        <v>67</v>
      </c>
      <c r="F1078" s="2" t="str">
        <f>HYPERLINK("http://bbs.12365auto.com/postcontent.aspx?tID=195400","http://bbs.12365auto.com/postcontent.aspx?tID=195400")</f>
        <v>http://bbs.12365auto.com/postcontent.aspx?tID=195400</v>
      </c>
      <c r="G1078" s="2"/>
      <c r="H1078" s="2" t="s">
        <v>1684</v>
      </c>
      <c r="I1078" s="2" t="s">
        <v>15</v>
      </c>
      <c r="J1078" s="2" t="s">
        <v>1685</v>
      </c>
      <c r="K1078" s="2" t="s">
        <v>1686</v>
      </c>
      <c r="L1078" s="2">
        <f t="shared" si="16"/>
        <v>78</v>
      </c>
    </row>
    <row r="1079" spans="1:12" ht="25" customHeight="1">
      <c r="A1079" s="2" t="s">
        <v>12</v>
      </c>
      <c r="B1079" s="2" t="str">
        <f>HYPERLINK("http://bbs.12365auto.com/postcontent.aspx?tId=195400","本田思域优科豪马轮胎不同程度掉皮")</f>
        <v>本田思域优科豪马轮胎不同程度掉皮</v>
      </c>
      <c r="C1079" s="2" t="s">
        <v>13</v>
      </c>
      <c r="D1079" s="2" t="s">
        <v>12</v>
      </c>
      <c r="E1079" s="2" t="s">
        <v>66</v>
      </c>
      <c r="F1079" s="2" t="str">
        <f>HYPERLINK("http://bbs.12365auto.com/postcontent.aspx?tId=195400","http://bbs.12365auto.com/postcontent.aspx?tId=195400")</f>
        <v>http://bbs.12365auto.com/postcontent.aspx?tId=195400</v>
      </c>
      <c r="G1079" s="2"/>
      <c r="H1079" s="2" t="s">
        <v>1687</v>
      </c>
      <c r="I1079" s="2" t="s">
        <v>15</v>
      </c>
      <c r="J1079" s="2" t="s">
        <v>1685</v>
      </c>
      <c r="K1079" s="2" t="s">
        <v>1686</v>
      </c>
      <c r="L1079" s="2">
        <f t="shared" si="16"/>
        <v>62</v>
      </c>
    </row>
    <row r="1080" spans="1:12" ht="25" customHeight="1">
      <c r="A1080" s="2" t="s">
        <v>12</v>
      </c>
      <c r="B1080" s="2" t="str">
        <f>HYPERLINK("http://m.12365auto.com/bbs/postcontent.aspx?tID=195398","大众朗逸车内异味严重 半轴油封渗油")</f>
        <v>大众朗逸车内异味严重 半轴油封渗油</v>
      </c>
      <c r="C1080" s="2" t="s">
        <v>13</v>
      </c>
      <c r="D1080" s="2" t="s">
        <v>23</v>
      </c>
      <c r="E1080" s="2"/>
      <c r="F1080" s="2" t="str">
        <f>HYPERLINK("http://m.12365auto.com/bbs/postcontent.aspx?tID=195398","http://m.12365auto.com/bbs/postcontent.aspx?tID=195398")</f>
        <v>http://m.12365auto.com/bbs/postcontent.aspx?tID=195398</v>
      </c>
      <c r="G1080" s="2"/>
      <c r="H1080" s="2" t="s">
        <v>1688</v>
      </c>
      <c r="I1080" s="2" t="s">
        <v>15</v>
      </c>
      <c r="J1080" s="2" t="s">
        <v>1689</v>
      </c>
      <c r="K1080" s="2" t="s">
        <v>1690</v>
      </c>
      <c r="L1080" s="2">
        <f t="shared" si="16"/>
        <v>114</v>
      </c>
    </row>
    <row r="1081" spans="1:12" ht="25" customHeight="1">
      <c r="A1081" s="2" t="s">
        <v>12</v>
      </c>
      <c r="B1081" s="2" t="str">
        <f>HYPERLINK("http://m.12365auto.com/bbs/postcontent.aspx?tID=195399","海马S5变速箱故障灯闪烁")</f>
        <v>海马S5变速箱故障灯闪烁</v>
      </c>
      <c r="C1081" s="2" t="s">
        <v>13</v>
      </c>
      <c r="D1081" s="2" t="s">
        <v>23</v>
      </c>
      <c r="E1081" s="2"/>
      <c r="F1081" s="2" t="str">
        <f>HYPERLINK("http://m.12365auto.com/bbs/postcontent.aspx?tID=195399","http://m.12365auto.com/bbs/postcontent.aspx?tID=195399")</f>
        <v>http://m.12365auto.com/bbs/postcontent.aspx?tID=195399</v>
      </c>
      <c r="G1081" s="2"/>
      <c r="H1081" s="2" t="s">
        <v>1691</v>
      </c>
      <c r="I1081" s="2" t="s">
        <v>15</v>
      </c>
      <c r="J1081" s="2" t="s">
        <v>1692</v>
      </c>
      <c r="K1081" s="2" t="s">
        <v>1690</v>
      </c>
      <c r="L1081" s="2">
        <f t="shared" si="16"/>
        <v>24</v>
      </c>
    </row>
    <row r="1082" spans="1:12" ht="25" customHeight="1">
      <c r="A1082" s="2" t="s">
        <v>12</v>
      </c>
      <c r="B1082" s="2" t="str">
        <f>HYPERLINK("http://bbs.12365auto.com/postcontent.aspx?tID=195399","海马S5变速箱故障灯闪烁")</f>
        <v>海马S5变速箱故障灯闪烁</v>
      </c>
      <c r="C1082" s="2" t="s">
        <v>13</v>
      </c>
      <c r="D1082" s="2" t="s">
        <v>12</v>
      </c>
      <c r="E1082" s="2" t="s">
        <v>67</v>
      </c>
      <c r="F1082" s="2" t="str">
        <f>HYPERLINK("http://bbs.12365auto.com/postcontent.aspx?tID=195399","http://bbs.12365auto.com/postcontent.aspx?tID=195399")</f>
        <v>http://bbs.12365auto.com/postcontent.aspx?tID=195399</v>
      </c>
      <c r="G1082" s="2"/>
      <c r="H1082" s="2" t="s">
        <v>1693</v>
      </c>
      <c r="I1082" s="2" t="s">
        <v>15</v>
      </c>
      <c r="J1082" s="2" t="s">
        <v>1692</v>
      </c>
      <c r="K1082" s="2" t="s">
        <v>1690</v>
      </c>
      <c r="L1082" s="2">
        <f t="shared" si="16"/>
        <v>36</v>
      </c>
    </row>
    <row r="1083" spans="1:12" ht="25" customHeight="1">
      <c r="A1083" s="2" t="s">
        <v>12</v>
      </c>
      <c r="B1083" s="2" t="str">
        <f>HYPERLINK("http://bbs.12365auto.com/postcontent.aspx?tID=195398","大众朗逸车内异味严重 半轴油封渗油")</f>
        <v>大众朗逸车内异味严重 半轴油封渗油</v>
      </c>
      <c r="C1083" s="2" t="s">
        <v>13</v>
      </c>
      <c r="D1083" s="2" t="s">
        <v>12</v>
      </c>
      <c r="E1083" s="2" t="s">
        <v>67</v>
      </c>
      <c r="F1083" s="2" t="str">
        <f>HYPERLINK("http://bbs.12365auto.com/postcontent.aspx?tID=195398","http://bbs.12365auto.com/postcontent.aspx?tID=195398")</f>
        <v>http://bbs.12365auto.com/postcontent.aspx?tID=195398</v>
      </c>
      <c r="G1083" s="2"/>
      <c r="H1083" s="2" t="s">
        <v>1694</v>
      </c>
      <c r="I1083" s="2" t="s">
        <v>15</v>
      </c>
      <c r="J1083" s="2" t="s">
        <v>1689</v>
      </c>
      <c r="K1083" s="2" t="s">
        <v>1690</v>
      </c>
      <c r="L1083" s="2">
        <f t="shared" si="16"/>
        <v>131</v>
      </c>
    </row>
    <row r="1084" spans="1:12" ht="25" customHeight="1">
      <c r="A1084" s="2" t="s">
        <v>12</v>
      </c>
      <c r="B1084" s="2" t="str">
        <f>HYPERLINK("http://www.12365auto.com/zlts/20200227/448979.shtml","一汽大众高尔夫嘉旅变速箱换挡机构损坏")</f>
        <v>一汽大众高尔夫嘉旅变速箱换挡机构损坏</v>
      </c>
      <c r="C1084" s="2" t="s">
        <v>13</v>
      </c>
      <c r="D1084" s="2" t="s">
        <v>12</v>
      </c>
      <c r="E1084" s="2" t="s">
        <v>17</v>
      </c>
      <c r="F1084" s="2" t="str">
        <f>HYPERLINK("http://www.12365auto.com/zlts/20200227/448979.shtml","http://www.12365auto.com/zlts/20200227/448979.shtml")</f>
        <v>http://www.12365auto.com/zlts/20200227/448979.shtml</v>
      </c>
      <c r="G1084" s="2"/>
      <c r="H1084" s="2" t="s">
        <v>1695</v>
      </c>
      <c r="I1084" s="2" t="s">
        <v>15</v>
      </c>
      <c r="J1084" s="2" t="s">
        <v>12</v>
      </c>
      <c r="K1084" s="2" t="s">
        <v>1690</v>
      </c>
      <c r="L1084" s="2">
        <f t="shared" si="16"/>
        <v>150</v>
      </c>
    </row>
    <row r="1085" spans="1:12" ht="25" customHeight="1">
      <c r="A1085" s="2" t="s">
        <v>12</v>
      </c>
      <c r="B1085" s="2" t="str">
        <f>HYPERLINK("http://bbs.12365auto.com/postcontent.aspx?tId=195398","大众朗逸车内异味严重 半轴油封渗油")</f>
        <v>大众朗逸车内异味严重 半轴油封渗油</v>
      </c>
      <c r="C1085" s="2" t="s">
        <v>13</v>
      </c>
      <c r="D1085" s="2" t="s">
        <v>12</v>
      </c>
      <c r="E1085" s="2" t="s">
        <v>66</v>
      </c>
      <c r="F1085" s="2" t="str">
        <f>HYPERLINK("http://bbs.12365auto.com/postcontent.aspx?tId=195398","http://bbs.12365auto.com/postcontent.aspx?tId=195398")</f>
        <v>http://bbs.12365auto.com/postcontent.aspx?tId=195398</v>
      </c>
      <c r="G1085" s="2"/>
      <c r="H1085" s="2" t="s">
        <v>1688</v>
      </c>
      <c r="I1085" s="2" t="s">
        <v>15</v>
      </c>
      <c r="J1085" s="2" t="s">
        <v>1689</v>
      </c>
      <c r="K1085" s="2" t="s">
        <v>1690</v>
      </c>
      <c r="L1085" s="2">
        <f t="shared" si="16"/>
        <v>114</v>
      </c>
    </row>
    <row r="1086" spans="1:12" ht="25" customHeight="1">
      <c r="A1086" s="2" t="s">
        <v>12</v>
      </c>
      <c r="B1086" s="2" t="str">
        <f>HYPERLINK("http://bbs.12365auto.com/postcontent.aspx?tId=195399","海马S5变速箱故障灯闪烁")</f>
        <v>海马S5变速箱故障灯闪烁</v>
      </c>
      <c r="C1086" s="2" t="s">
        <v>13</v>
      </c>
      <c r="D1086" s="2" t="s">
        <v>12</v>
      </c>
      <c r="E1086" s="2" t="s">
        <v>66</v>
      </c>
      <c r="F1086" s="2" t="str">
        <f>HYPERLINK("http://bbs.12365auto.com/postcontent.aspx?tId=195399","http://bbs.12365auto.com/postcontent.aspx?tId=195399")</f>
        <v>http://bbs.12365auto.com/postcontent.aspx?tId=195399</v>
      </c>
      <c r="G1086" s="2"/>
      <c r="H1086" s="2" t="s">
        <v>1691</v>
      </c>
      <c r="I1086" s="2" t="s">
        <v>15</v>
      </c>
      <c r="J1086" s="2" t="s">
        <v>1692</v>
      </c>
      <c r="K1086" s="2" t="s">
        <v>1690</v>
      </c>
      <c r="L1086" s="2">
        <f t="shared" si="16"/>
        <v>24</v>
      </c>
    </row>
    <row r="1087" spans="1:12" ht="25" customHeight="1">
      <c r="A1087" s="2" t="s">
        <v>12</v>
      </c>
      <c r="B1087" s="2" t="str">
        <f>HYPERLINK("http://m.12365auto.com/bbs/postcontent.aspx?tID=195397","本田飞度启动机损坏发动机无法启动")</f>
        <v>本田飞度启动机损坏发动机无法启动</v>
      </c>
      <c r="C1087" s="2" t="s">
        <v>13</v>
      </c>
      <c r="D1087" s="2" t="s">
        <v>23</v>
      </c>
      <c r="E1087" s="2"/>
      <c r="F1087" s="2" t="str">
        <f>HYPERLINK("http://m.12365auto.com/bbs/postcontent.aspx?tID=195397","http://m.12365auto.com/bbs/postcontent.aspx?tID=195397")</f>
        <v>http://m.12365auto.com/bbs/postcontent.aspx?tID=195397</v>
      </c>
      <c r="G1087" s="2"/>
      <c r="H1087" s="2" t="s">
        <v>1696</v>
      </c>
      <c r="I1087" s="2" t="s">
        <v>15</v>
      </c>
      <c r="J1087" s="2" t="s">
        <v>1697</v>
      </c>
      <c r="K1087" s="2" t="s">
        <v>1698</v>
      </c>
      <c r="L1087" s="2">
        <f t="shared" si="16"/>
        <v>138</v>
      </c>
    </row>
    <row r="1088" spans="1:12" ht="25" customHeight="1">
      <c r="A1088" s="2" t="s">
        <v>12</v>
      </c>
      <c r="B1088" s="2" t="str">
        <f>HYPERLINK("http://bbs.12365auto.com/postcontent.aspx?tID=195397","本田飞度启动机损坏发动机无法启动")</f>
        <v>本田飞度启动机损坏发动机无法启动</v>
      </c>
      <c r="C1088" s="2" t="s">
        <v>13</v>
      </c>
      <c r="D1088" s="2" t="s">
        <v>12</v>
      </c>
      <c r="E1088" s="2" t="s">
        <v>67</v>
      </c>
      <c r="F1088" s="2" t="str">
        <f>HYPERLINK("http://bbs.12365auto.com/postcontent.aspx?tID=195397","http://bbs.12365auto.com/postcontent.aspx?tID=195397")</f>
        <v>http://bbs.12365auto.com/postcontent.aspx?tID=195397</v>
      </c>
      <c r="G1088" s="2"/>
      <c r="H1088" s="2" t="s">
        <v>1699</v>
      </c>
      <c r="I1088" s="2" t="s">
        <v>15</v>
      </c>
      <c r="J1088" s="2" t="s">
        <v>1697</v>
      </c>
      <c r="K1088" s="2" t="s">
        <v>1698</v>
      </c>
      <c r="L1088" s="2">
        <f t="shared" si="16"/>
        <v>150</v>
      </c>
    </row>
    <row r="1089" spans="1:12" ht="25" customHeight="1">
      <c r="A1089" s="2" t="s">
        <v>12</v>
      </c>
      <c r="B1089" s="2" t="str">
        <f>HYPERLINK("http://bbs.12365auto.com/postcontent.aspx?tId=195397","本田飞度启动机损坏发动机无法启动")</f>
        <v>本田飞度启动机损坏发动机无法启动</v>
      </c>
      <c r="C1089" s="2" t="s">
        <v>13</v>
      </c>
      <c r="D1089" s="2" t="s">
        <v>12</v>
      </c>
      <c r="E1089" s="2" t="s">
        <v>66</v>
      </c>
      <c r="F1089" s="2" t="str">
        <f>HYPERLINK("http://bbs.12365auto.com/postcontent.aspx?tId=195397","http://bbs.12365auto.com/postcontent.aspx?tId=195397")</f>
        <v>http://bbs.12365auto.com/postcontent.aspx?tId=195397</v>
      </c>
      <c r="G1089" s="2"/>
      <c r="H1089" s="2" t="s">
        <v>1696</v>
      </c>
      <c r="I1089" s="2" t="s">
        <v>15</v>
      </c>
      <c r="J1089" s="2" t="s">
        <v>1697</v>
      </c>
      <c r="K1089" s="2" t="s">
        <v>1698</v>
      </c>
      <c r="L1089" s="2">
        <f t="shared" si="16"/>
        <v>138</v>
      </c>
    </row>
    <row r="1090" spans="1:12" ht="25" customHeight="1">
      <c r="A1090" s="2" t="s">
        <v>12</v>
      </c>
      <c r="B1090" s="2" t="str">
        <f>HYPERLINK("http://m.12365auto.com/xcdg/20200227/419722.shtml","行情低迷优惠更大？4款热销家用SUV推荐")</f>
        <v>行情低迷优惠更大？4款热销家用SUV推荐</v>
      </c>
      <c r="C1090" s="2" t="s">
        <v>13</v>
      </c>
      <c r="D1090" s="2" t="s">
        <v>12</v>
      </c>
      <c r="E1090" s="2"/>
      <c r="F1090" s="2" t="str">
        <f>HYPERLINK("http://m.12365auto.com/xcdg/20200227/419722.shtml","http://m.12365auto.com/xcdg/20200227/419722.shtml")</f>
        <v>http://m.12365auto.com/xcdg/20200227/419722.shtml</v>
      </c>
      <c r="G1090" s="2"/>
      <c r="H1090" s="2" t="s">
        <v>1700</v>
      </c>
      <c r="I1090" s="2" t="s">
        <v>19</v>
      </c>
      <c r="J1090" s="2" t="s">
        <v>1701</v>
      </c>
      <c r="K1090" s="2" t="s">
        <v>1698</v>
      </c>
      <c r="L1090" s="2">
        <f t="shared" si="16"/>
        <v>150</v>
      </c>
    </row>
    <row r="1091" spans="1:12" ht="25" customHeight="1">
      <c r="A1091" s="2" t="s">
        <v>12</v>
      </c>
      <c r="B1091" s="2" t="str">
        <f>HYPERLINK("http://m.12365auto.com/bbs/postcontent.aspx?tID=195396","华晨宝马5系刹车片及刹车盘异常磨损")</f>
        <v>华晨宝马5系刹车片及刹车盘异常磨损</v>
      </c>
      <c r="C1091" s="2" t="s">
        <v>13</v>
      </c>
      <c r="D1091" s="2" t="s">
        <v>23</v>
      </c>
      <c r="E1091" s="2"/>
      <c r="F1091" s="2" t="str">
        <f>HYPERLINK("http://m.12365auto.com/bbs/postcontent.aspx?tID=195396","http://m.12365auto.com/bbs/postcontent.aspx?tID=195396")</f>
        <v>http://m.12365auto.com/bbs/postcontent.aspx?tID=195396</v>
      </c>
      <c r="G1091" s="2"/>
      <c r="H1091" s="2" t="s">
        <v>1702</v>
      </c>
      <c r="I1091" s="2" t="s">
        <v>15</v>
      </c>
      <c r="J1091" s="2" t="s">
        <v>1703</v>
      </c>
      <c r="K1091" s="2" t="s">
        <v>1704</v>
      </c>
      <c r="L1091" s="2">
        <f t="shared" ref="L1091:L1154" si="17">LEN(H1091)</f>
        <v>150</v>
      </c>
    </row>
    <row r="1092" spans="1:12" ht="25" customHeight="1">
      <c r="A1092" s="2" t="s">
        <v>12</v>
      </c>
      <c r="B1092" s="2" t="str">
        <f>HYPERLINK("http://bbs.12365auto.com/postcontent.aspx?tID=195396","华晨宝马5系刹车片及刹车盘异常磨损")</f>
        <v>华晨宝马5系刹车片及刹车盘异常磨损</v>
      </c>
      <c r="C1092" s="2" t="s">
        <v>13</v>
      </c>
      <c r="D1092" s="2" t="s">
        <v>12</v>
      </c>
      <c r="E1092" s="2" t="s">
        <v>67</v>
      </c>
      <c r="F1092" s="2" t="str">
        <f>HYPERLINK("http://bbs.12365auto.com/postcontent.aspx?tID=195396","http://bbs.12365auto.com/postcontent.aspx?tID=195396")</f>
        <v>http://bbs.12365auto.com/postcontent.aspx?tID=195396</v>
      </c>
      <c r="G1092" s="2"/>
      <c r="H1092" s="2" t="s">
        <v>1705</v>
      </c>
      <c r="I1092" s="2" t="s">
        <v>15</v>
      </c>
      <c r="J1092" s="2" t="s">
        <v>1703</v>
      </c>
      <c r="K1092" s="2" t="s">
        <v>1704</v>
      </c>
      <c r="L1092" s="2">
        <f t="shared" si="17"/>
        <v>150</v>
      </c>
    </row>
    <row r="1093" spans="1:12" ht="25" customHeight="1">
      <c r="A1093" s="2" t="s">
        <v>12</v>
      </c>
      <c r="B1093" s="2" t="str">
        <f>HYPERLINK("http://bbs.12365auto.com/postcontent.aspx?tId=195396","华晨宝马5系刹车片及刹车盘异常磨损")</f>
        <v>华晨宝马5系刹车片及刹车盘异常磨损</v>
      </c>
      <c r="C1093" s="2" t="s">
        <v>13</v>
      </c>
      <c r="D1093" s="2" t="s">
        <v>12</v>
      </c>
      <c r="E1093" s="2" t="s">
        <v>66</v>
      </c>
      <c r="F1093" s="2" t="str">
        <f>HYPERLINK("http://bbs.12365auto.com/postcontent.aspx?tId=195396","http://bbs.12365auto.com/postcontent.aspx?tId=195396")</f>
        <v>http://bbs.12365auto.com/postcontent.aspx?tId=195396</v>
      </c>
      <c r="G1093" s="2"/>
      <c r="H1093" s="2" t="s">
        <v>1702</v>
      </c>
      <c r="I1093" s="2" t="s">
        <v>15</v>
      </c>
      <c r="J1093" s="2" t="s">
        <v>1703</v>
      </c>
      <c r="K1093" s="2" t="s">
        <v>1704</v>
      </c>
      <c r="L1093" s="2">
        <f t="shared" si="17"/>
        <v>150</v>
      </c>
    </row>
    <row r="1094" spans="1:12" ht="25" customHeight="1">
      <c r="A1094" s="2" t="s">
        <v>12</v>
      </c>
      <c r="B1094" s="2" t="str">
        <f>HYPERLINK("http://m.12365auto.com/xcdg/20200227/419721.shtml","面子上要过得去 30万级豪华SUV推荐")</f>
        <v>面子上要过得去 30万级豪华SUV推荐</v>
      </c>
      <c r="C1094" s="2" t="s">
        <v>13</v>
      </c>
      <c r="D1094" s="2" t="s">
        <v>12</v>
      </c>
      <c r="E1094" s="2"/>
      <c r="F1094" s="2" t="str">
        <f>HYPERLINK("http://m.12365auto.com/xcdg/20200227/419721.shtml","http://m.12365auto.com/xcdg/20200227/419721.shtml")</f>
        <v>http://m.12365auto.com/xcdg/20200227/419721.shtml</v>
      </c>
      <c r="G1094" s="2"/>
      <c r="H1094" s="2" t="s">
        <v>1706</v>
      </c>
      <c r="I1094" s="2" t="s">
        <v>19</v>
      </c>
      <c r="J1094" s="2" t="s">
        <v>1707</v>
      </c>
      <c r="K1094" s="2" t="s">
        <v>1708</v>
      </c>
      <c r="L1094" s="2">
        <f t="shared" si="17"/>
        <v>150</v>
      </c>
    </row>
    <row r="1095" spans="1:12" ht="25" customHeight="1">
      <c r="A1095" s="2" t="s">
        <v>12</v>
      </c>
      <c r="B1095" s="2" t="str">
        <f>HYPERLINK("http://m.12365auto.com/xcdg/20200227/419720.shtml","老对手新竞争 奇瑞瑞虎7对比长安CS55 PLUS")</f>
        <v>老对手新竞争 奇瑞瑞虎7对比长安CS55 PLUS</v>
      </c>
      <c r="C1095" s="2" t="s">
        <v>13</v>
      </c>
      <c r="D1095" s="2" t="s">
        <v>12</v>
      </c>
      <c r="E1095" s="2"/>
      <c r="F1095" s="2" t="str">
        <f>HYPERLINK("http://m.12365auto.com/xcdg/20200227/419720.shtml","http://m.12365auto.com/xcdg/20200227/419720.shtml")</f>
        <v>http://m.12365auto.com/xcdg/20200227/419720.shtml</v>
      </c>
      <c r="G1095" s="2"/>
      <c r="H1095" s="2" t="s">
        <v>1709</v>
      </c>
      <c r="I1095" s="2" t="s">
        <v>19</v>
      </c>
      <c r="J1095" s="2" t="s">
        <v>1710</v>
      </c>
      <c r="K1095" s="2" t="s">
        <v>1711</v>
      </c>
      <c r="L1095" s="2">
        <f t="shared" si="17"/>
        <v>150</v>
      </c>
    </row>
    <row r="1096" spans="1:12" ht="25" customHeight="1">
      <c r="A1096" s="2" t="s">
        <v>12</v>
      </c>
      <c r="B1096" s="2" t="str">
        <f>HYPERLINK("http://m.12365auto.com/xcdg/20200227/419719.shtml","德日平民小车对决 Polo/飞度选谁更值？")</f>
        <v>德日平民小车对决 Polo/飞度选谁更值？</v>
      </c>
      <c r="C1096" s="2" t="s">
        <v>13</v>
      </c>
      <c r="D1096" s="2" t="s">
        <v>12</v>
      </c>
      <c r="E1096" s="2"/>
      <c r="F1096" s="2" t="str">
        <f>HYPERLINK("http://m.12365auto.com/xcdg/20200227/419719.shtml","http://m.12365auto.com/xcdg/20200227/419719.shtml")</f>
        <v>http://m.12365auto.com/xcdg/20200227/419719.shtml</v>
      </c>
      <c r="G1096" s="2"/>
      <c r="H1096" s="2" t="s">
        <v>1712</v>
      </c>
      <c r="I1096" s="2" t="s">
        <v>19</v>
      </c>
      <c r="J1096" s="2" t="s">
        <v>1713</v>
      </c>
      <c r="K1096" s="2" t="s">
        <v>1714</v>
      </c>
      <c r="L1096" s="2">
        <f t="shared" si="17"/>
        <v>150</v>
      </c>
    </row>
    <row r="1097" spans="1:12" ht="25" customHeight="1">
      <c r="A1097" s="2" t="s">
        <v>12</v>
      </c>
      <c r="B1097" s="2" t="str">
        <f>HYPERLINK("http://m.12365auto.com/xcdg/20200227/419718.shtml","不想开轿车了 卡罗拉换购创界是否适合?")</f>
        <v>不想开轿车了 卡罗拉换购创界是否适合?</v>
      </c>
      <c r="C1097" s="2" t="s">
        <v>13</v>
      </c>
      <c r="D1097" s="2" t="s">
        <v>12</v>
      </c>
      <c r="E1097" s="2"/>
      <c r="F1097" s="2" t="str">
        <f>HYPERLINK("http://m.12365auto.com/xcdg/20200227/419718.shtml","http://m.12365auto.com/xcdg/20200227/419718.shtml")</f>
        <v>http://m.12365auto.com/xcdg/20200227/419718.shtml</v>
      </c>
      <c r="G1097" s="2"/>
      <c r="H1097" s="2" t="s">
        <v>1715</v>
      </c>
      <c r="I1097" s="2" t="s">
        <v>19</v>
      </c>
      <c r="J1097" s="2" t="s">
        <v>1716</v>
      </c>
      <c r="K1097" s="2" t="s">
        <v>1717</v>
      </c>
      <c r="L1097" s="2">
        <f t="shared" si="17"/>
        <v>150</v>
      </c>
    </row>
    <row r="1098" spans="1:12" ht="25" customHeight="1">
      <c r="A1098" s="2" t="s">
        <v>12</v>
      </c>
      <c r="B1098" s="2" t="str">
        <f>HYPERLINK("http://m.12365auto.com/zjdy/20200227/121690.shtml","节温器有几种表现形式都是什么？")</f>
        <v>节温器有几种表现形式都是什么？</v>
      </c>
      <c r="C1098" s="2" t="s">
        <v>13</v>
      </c>
      <c r="D1098" s="2" t="s">
        <v>12</v>
      </c>
      <c r="E1098" s="2"/>
      <c r="F1098" s="2" t="str">
        <f>HYPERLINK("http://m.12365auto.com/zjdy/20200227/121690.shtml","http://m.12365auto.com/zjdy/20200227/121690.shtml")</f>
        <v>http://m.12365auto.com/zjdy/20200227/121690.shtml</v>
      </c>
      <c r="G1098" s="2"/>
      <c r="H1098" s="2" t="s">
        <v>1718</v>
      </c>
      <c r="I1098" s="2" t="s">
        <v>19</v>
      </c>
      <c r="J1098" s="2" t="s">
        <v>12</v>
      </c>
      <c r="K1098" s="2" t="s">
        <v>1719</v>
      </c>
      <c r="L1098" s="2">
        <f t="shared" si="17"/>
        <v>15</v>
      </c>
    </row>
    <row r="1099" spans="1:12" ht="25" customHeight="1">
      <c r="A1099" s="2" t="s">
        <v>12</v>
      </c>
      <c r="B1099" s="2" t="str">
        <f>HYPERLINK("http://m.12365auto.com/zjdy/20200227/121689.shtml","新款卡罗拉1.2T发动机整体质量如何？")</f>
        <v>新款卡罗拉1.2T发动机整体质量如何？</v>
      </c>
      <c r="C1099" s="2" t="s">
        <v>13</v>
      </c>
      <c r="D1099" s="2" t="s">
        <v>12</v>
      </c>
      <c r="E1099" s="2"/>
      <c r="F1099" s="2" t="str">
        <f>HYPERLINK("http://m.12365auto.com/zjdy/20200227/121689.shtml","http://m.12365auto.com/zjdy/20200227/121689.shtml")</f>
        <v>http://m.12365auto.com/zjdy/20200227/121689.shtml</v>
      </c>
      <c r="G1099" s="2"/>
      <c r="H1099" s="2" t="s">
        <v>1720</v>
      </c>
      <c r="I1099" s="2" t="s">
        <v>19</v>
      </c>
      <c r="J1099" s="2" t="s">
        <v>12</v>
      </c>
      <c r="K1099" s="2" t="s">
        <v>1719</v>
      </c>
      <c r="L1099" s="2">
        <f t="shared" si="17"/>
        <v>57</v>
      </c>
    </row>
    <row r="1100" spans="1:12" ht="25" customHeight="1">
      <c r="A1100" s="2" t="s">
        <v>12</v>
      </c>
      <c r="B1100" s="2" t="str">
        <f>HYPERLINK("http://m.12365auto.com/xcdg/20200227/419717.shtml","续航超400km 20万左右纯电动车推荐")</f>
        <v>续航超400km 20万左右纯电动车推荐</v>
      </c>
      <c r="C1100" s="2" t="s">
        <v>13</v>
      </c>
      <c r="D1100" s="2" t="s">
        <v>12</v>
      </c>
      <c r="E1100" s="2"/>
      <c r="F1100" s="2" t="str">
        <f>HYPERLINK("http://m.12365auto.com/xcdg/20200227/419717.shtml","http://m.12365auto.com/xcdg/20200227/419717.shtml")</f>
        <v>http://m.12365auto.com/xcdg/20200227/419717.shtml</v>
      </c>
      <c r="G1100" s="2"/>
      <c r="H1100" s="2" t="s">
        <v>1721</v>
      </c>
      <c r="I1100" s="2" t="s">
        <v>19</v>
      </c>
      <c r="J1100" s="2" t="s">
        <v>1722</v>
      </c>
      <c r="K1100" s="2" t="s">
        <v>1723</v>
      </c>
      <c r="L1100" s="2">
        <f t="shared" si="17"/>
        <v>150</v>
      </c>
    </row>
    <row r="1101" spans="1:12" ht="25" customHeight="1">
      <c r="A1101" s="2" t="s">
        <v>12</v>
      </c>
      <c r="B1101" s="2" t="str">
        <f>HYPERLINK("http://m.12365auto.com/xcdg/20200227/419716.shtml","埃尔法还能做得更高端？雷克萨斯LM值吗")</f>
        <v>埃尔法还能做得更高端？雷克萨斯LM值吗</v>
      </c>
      <c r="C1101" s="2" t="s">
        <v>13</v>
      </c>
      <c r="D1101" s="2" t="s">
        <v>12</v>
      </c>
      <c r="E1101" s="2"/>
      <c r="F1101" s="2" t="str">
        <f>HYPERLINK("http://m.12365auto.com/xcdg/20200227/419716.shtml","http://m.12365auto.com/xcdg/20200227/419716.shtml")</f>
        <v>http://m.12365auto.com/xcdg/20200227/419716.shtml</v>
      </c>
      <c r="G1101" s="2"/>
      <c r="H1101" s="2" t="s">
        <v>1724</v>
      </c>
      <c r="I1101" s="2" t="s">
        <v>19</v>
      </c>
      <c r="J1101" s="2" t="s">
        <v>1713</v>
      </c>
      <c r="K1101" s="2" t="s">
        <v>1725</v>
      </c>
      <c r="L1101" s="2">
        <f t="shared" si="17"/>
        <v>150</v>
      </c>
    </row>
    <row r="1102" spans="1:12" ht="25" customHeight="1">
      <c r="A1102" s="2" t="s">
        <v>12</v>
      </c>
      <c r="B1102" s="2" t="str">
        <f>HYPERLINK("http://m.12365auto.com/xcdg/20200227/419715.shtml","成本低还不限号 这三款电动车一定适合你")</f>
        <v>成本低还不限号 这三款电动车一定适合你</v>
      </c>
      <c r="C1102" s="2" t="s">
        <v>13</v>
      </c>
      <c r="D1102" s="2" t="s">
        <v>12</v>
      </c>
      <c r="E1102" s="2"/>
      <c r="F1102" s="2" t="str">
        <f>HYPERLINK("http://m.12365auto.com/xcdg/20200227/419715.shtml","http://m.12365auto.com/xcdg/20200227/419715.shtml")</f>
        <v>http://m.12365auto.com/xcdg/20200227/419715.shtml</v>
      </c>
      <c r="G1102" s="2"/>
      <c r="H1102" s="2" t="s">
        <v>1726</v>
      </c>
      <c r="I1102" s="2" t="s">
        <v>19</v>
      </c>
      <c r="J1102" s="2" t="s">
        <v>1727</v>
      </c>
      <c r="K1102" s="2" t="s">
        <v>1728</v>
      </c>
      <c r="L1102" s="2">
        <f t="shared" si="17"/>
        <v>150</v>
      </c>
    </row>
    <row r="1103" spans="1:12" ht="25" customHeight="1">
      <c r="A1103" s="2" t="s">
        <v>12</v>
      </c>
      <c r="B1103" s="2" t="str">
        <f>HYPERLINK("http://m.12365auto.com/xcdg/20200227/419714.shtml","个头儿大/买高配 升级15万元自主SUV选谁")</f>
        <v>个头儿大/买高配 升级15万元自主SUV选谁</v>
      </c>
      <c r="C1103" s="2" t="s">
        <v>13</v>
      </c>
      <c r="D1103" s="2" t="s">
        <v>12</v>
      </c>
      <c r="E1103" s="2"/>
      <c r="F1103" s="2" t="str">
        <f>HYPERLINK("http://m.12365auto.com/xcdg/20200227/419714.shtml","http://m.12365auto.com/xcdg/20200227/419714.shtml")</f>
        <v>http://m.12365auto.com/xcdg/20200227/419714.shtml</v>
      </c>
      <c r="G1103" s="2"/>
      <c r="H1103" s="2" t="s">
        <v>1729</v>
      </c>
      <c r="I1103" s="2" t="s">
        <v>19</v>
      </c>
      <c r="J1103" s="2" t="s">
        <v>1730</v>
      </c>
      <c r="K1103" s="2" t="s">
        <v>1731</v>
      </c>
      <c r="L1103" s="2">
        <f t="shared" si="17"/>
        <v>150</v>
      </c>
    </row>
    <row r="1104" spans="1:12" ht="25" customHeight="1">
      <c r="A1104" s="2" t="s">
        <v>12</v>
      </c>
      <c r="B1104" s="2" t="str">
        <f>HYPERLINK("http://m.12365auto.com/xcdg/20200227/419713.shtml","手握50万买啥车？四款最具代表性的SUV")</f>
        <v>手握50万买啥车？四款最具代表性的SUV</v>
      </c>
      <c r="C1104" s="2" t="s">
        <v>13</v>
      </c>
      <c r="D1104" s="2" t="s">
        <v>12</v>
      </c>
      <c r="E1104" s="2"/>
      <c r="F1104" s="2" t="str">
        <f>HYPERLINK("http://m.12365auto.com/xcdg/20200227/419713.shtml","http://m.12365auto.com/xcdg/20200227/419713.shtml")</f>
        <v>http://m.12365auto.com/xcdg/20200227/419713.shtml</v>
      </c>
      <c r="G1104" s="2"/>
      <c r="H1104" s="2" t="s">
        <v>1732</v>
      </c>
      <c r="I1104" s="2" t="s">
        <v>19</v>
      </c>
      <c r="J1104" s="2" t="s">
        <v>1733</v>
      </c>
      <c r="K1104" s="2" t="s">
        <v>1734</v>
      </c>
      <c r="L1104" s="2">
        <f t="shared" si="17"/>
        <v>150</v>
      </c>
    </row>
    <row r="1105" spans="1:12" ht="25" customHeight="1">
      <c r="A1105" s="2" t="s">
        <v>12</v>
      </c>
      <c r="B1105" s="2" t="str">
        <f>HYPERLINK("http://m.12365auto.com/xcdg/20200227/419712.shtml","家用车换越野车 买辆哈弗H9合适吗？")</f>
        <v>家用车换越野车 买辆哈弗H9合适吗？</v>
      </c>
      <c r="C1105" s="2" t="s">
        <v>13</v>
      </c>
      <c r="D1105" s="2" t="s">
        <v>12</v>
      </c>
      <c r="E1105" s="2"/>
      <c r="F1105" s="2" t="str">
        <f>HYPERLINK("http://m.12365auto.com/xcdg/20200227/419712.shtml","http://m.12365auto.com/xcdg/20200227/419712.shtml")</f>
        <v>http://m.12365auto.com/xcdg/20200227/419712.shtml</v>
      </c>
      <c r="G1105" s="2"/>
      <c r="H1105" s="2" t="s">
        <v>1735</v>
      </c>
      <c r="I1105" s="2" t="s">
        <v>19</v>
      </c>
      <c r="J1105" s="2" t="s">
        <v>1722</v>
      </c>
      <c r="K1105" s="2" t="s">
        <v>1736</v>
      </c>
      <c r="L1105" s="2">
        <f t="shared" si="17"/>
        <v>150</v>
      </c>
    </row>
    <row r="1106" spans="1:12" ht="25" customHeight="1">
      <c r="A1106" s="2" t="s">
        <v>12</v>
      </c>
      <c r="B1106" s="2" t="str">
        <f>HYPERLINK("http://www.12365auto.com/xcdg/20200227/419711.shtml","Czinger 21C动力曝光 2.88L V8+双电机")</f>
        <v>Czinger 21C动力曝光 2.88L V8+双电机</v>
      </c>
      <c r="C1106" s="2" t="s">
        <v>13</v>
      </c>
      <c r="D1106" s="2" t="s">
        <v>12</v>
      </c>
      <c r="E1106" s="2" t="s">
        <v>216</v>
      </c>
      <c r="F1106" s="2" t="str">
        <f>HYPERLINK("http://www.12365auto.com/xcdg/20200227/419711.shtml","http://www.12365auto.com/xcdg/20200227/419711.shtml")</f>
        <v>http://www.12365auto.com/xcdg/20200227/419711.shtml</v>
      </c>
      <c r="G1106" s="2"/>
      <c r="H1106" s="2" t="s">
        <v>1737</v>
      </c>
      <c r="I1106" s="2" t="s">
        <v>15</v>
      </c>
      <c r="J1106" s="2" t="s">
        <v>12</v>
      </c>
      <c r="K1106" s="2" t="s">
        <v>1738</v>
      </c>
      <c r="L1106" s="2">
        <f t="shared" si="17"/>
        <v>150</v>
      </c>
    </row>
    <row r="1107" spans="1:12" ht="25" customHeight="1">
      <c r="A1107" s="2" t="s">
        <v>12</v>
      </c>
      <c r="B1107" s="2" t="str">
        <f>HYPERLINK("http://m.12365auto.com/xcdg/20200227/419711.shtml","Czinger 21C动力曝光 2.88L V8+双电机")</f>
        <v>Czinger 21C动力曝光 2.88L V8+双电机</v>
      </c>
      <c r="C1107" s="2" t="s">
        <v>13</v>
      </c>
      <c r="D1107" s="2" t="s">
        <v>12</v>
      </c>
      <c r="E1107" s="2"/>
      <c r="F1107" s="2" t="str">
        <f>HYPERLINK("http://m.12365auto.com/xcdg/20200227/419711.shtml","http://m.12365auto.com/xcdg/20200227/419711.shtml")</f>
        <v>http://m.12365auto.com/xcdg/20200227/419711.shtml</v>
      </c>
      <c r="G1107" s="2"/>
      <c r="H1107" s="2" t="s">
        <v>1739</v>
      </c>
      <c r="I1107" s="2" t="s">
        <v>19</v>
      </c>
      <c r="J1107" s="2" t="s">
        <v>1740</v>
      </c>
      <c r="K1107" s="2" t="s">
        <v>1738</v>
      </c>
      <c r="L1107" s="2">
        <f t="shared" si="17"/>
        <v>150</v>
      </c>
    </row>
    <row r="1108" spans="1:12" ht="25" customHeight="1">
      <c r="A1108" s="2" t="s">
        <v>12</v>
      </c>
      <c r="B1108" s="2" t="str">
        <f>HYPERLINK("http://www.12365auto.com/xcdg/20200227/419710.shtml","阿斯顿·马丁DB11 V8影子特别版官图")</f>
        <v>阿斯顿·马丁DB11 V8影子特别版官图</v>
      </c>
      <c r="C1108" s="2" t="s">
        <v>13</v>
      </c>
      <c r="D1108" s="2" t="s">
        <v>12</v>
      </c>
      <c r="E1108" s="2" t="s">
        <v>216</v>
      </c>
      <c r="F1108" s="2" t="str">
        <f>HYPERLINK("http://www.12365auto.com/xcdg/20200227/419710.shtml","http://www.12365auto.com/xcdg/20200227/419710.shtml")</f>
        <v>http://www.12365auto.com/xcdg/20200227/419710.shtml</v>
      </c>
      <c r="G1108" s="2"/>
      <c r="H1108" s="2" t="s">
        <v>1741</v>
      </c>
      <c r="I1108" s="2" t="s">
        <v>15</v>
      </c>
      <c r="J1108" s="2" t="s">
        <v>12</v>
      </c>
      <c r="K1108" s="2" t="s">
        <v>1742</v>
      </c>
      <c r="L1108" s="2">
        <f t="shared" si="17"/>
        <v>150</v>
      </c>
    </row>
    <row r="1109" spans="1:12" ht="25" customHeight="1">
      <c r="A1109" s="2" t="s">
        <v>12</v>
      </c>
      <c r="B1109" s="2" t="str">
        <f>HYPERLINK("http://www.12365auto.com/zlts/20200227/448973.shtml","广汽本田雅阁三元催化器损坏不予质保")</f>
        <v>广汽本田雅阁三元催化器损坏不予质保</v>
      </c>
      <c r="C1109" s="2" t="s">
        <v>13</v>
      </c>
      <c r="D1109" s="2" t="s">
        <v>12</v>
      </c>
      <c r="E1109" s="2" t="s">
        <v>17</v>
      </c>
      <c r="F1109" s="2" t="str">
        <f>HYPERLINK("http://www.12365auto.com/zlts/20200227/448973.shtml","http://www.12365auto.com/zlts/20200227/448973.shtml")</f>
        <v>http://www.12365auto.com/zlts/20200227/448973.shtml</v>
      </c>
      <c r="G1109" s="2"/>
      <c r="H1109" s="2" t="s">
        <v>1743</v>
      </c>
      <c r="I1109" s="2" t="s">
        <v>15</v>
      </c>
      <c r="J1109" s="2" t="s">
        <v>12</v>
      </c>
      <c r="K1109" s="2" t="s">
        <v>1742</v>
      </c>
      <c r="L1109" s="2">
        <f t="shared" si="17"/>
        <v>150</v>
      </c>
    </row>
    <row r="1110" spans="1:12" ht="25" customHeight="1">
      <c r="A1110" s="2" t="s">
        <v>12</v>
      </c>
      <c r="B1110" s="2" t="str">
        <f>HYPERLINK("http://m.12365auto.com/xcdg/20200227/419710.shtml","阿斯顿·马丁DB11 V8影子特别版官图")</f>
        <v>阿斯顿·马丁DB11 V8影子特别版官图</v>
      </c>
      <c r="C1110" s="2" t="s">
        <v>13</v>
      </c>
      <c r="D1110" s="2" t="s">
        <v>12</v>
      </c>
      <c r="E1110" s="2"/>
      <c r="F1110" s="2" t="str">
        <f>HYPERLINK("http://m.12365auto.com/xcdg/20200227/419710.shtml","http://m.12365auto.com/xcdg/20200227/419710.shtml")</f>
        <v>http://m.12365auto.com/xcdg/20200227/419710.shtml</v>
      </c>
      <c r="G1110" s="2"/>
      <c r="H1110" s="2" t="s">
        <v>1744</v>
      </c>
      <c r="I1110" s="2" t="s">
        <v>19</v>
      </c>
      <c r="J1110" s="2" t="s">
        <v>1197</v>
      </c>
      <c r="K1110" s="2" t="s">
        <v>1742</v>
      </c>
      <c r="L1110" s="2">
        <f t="shared" si="17"/>
        <v>150</v>
      </c>
    </row>
    <row r="1111" spans="1:12" ht="25" customHeight="1">
      <c r="A1111" s="2" t="s">
        <v>12</v>
      </c>
      <c r="B1111" s="2" t="str">
        <f>HYPERLINK("http://m.12365auto.com/xcdg/20200227/419709.shtml","胜达/KX7的探索者？全新索兰托动力解读")</f>
        <v>胜达/KX7的探索者？全新索兰托动力解读</v>
      </c>
      <c r="C1111" s="2" t="s">
        <v>13</v>
      </c>
      <c r="D1111" s="2" t="s">
        <v>12</v>
      </c>
      <c r="E1111" s="2"/>
      <c r="F1111" s="2" t="str">
        <f>HYPERLINK("http://m.12365auto.com/xcdg/20200227/419709.shtml","http://m.12365auto.com/xcdg/20200227/419709.shtml")</f>
        <v>http://m.12365auto.com/xcdg/20200227/419709.shtml</v>
      </c>
      <c r="G1111" s="2"/>
      <c r="H1111" s="2" t="s">
        <v>1745</v>
      </c>
      <c r="I1111" s="2" t="s">
        <v>19</v>
      </c>
      <c r="J1111" s="2" t="s">
        <v>1746</v>
      </c>
      <c r="K1111" s="2" t="s">
        <v>1747</v>
      </c>
      <c r="L1111" s="2">
        <f t="shared" si="17"/>
        <v>150</v>
      </c>
    </row>
    <row r="1112" spans="1:12" ht="25" customHeight="1">
      <c r="A1112" s="2" t="s">
        <v>12</v>
      </c>
      <c r="B1112" s="2" t="str">
        <f>HYPERLINK("http://www.12365auto.com/xcdg/20200227/419708.shtml","高端定制化 宾利Bacalar内饰预告图发布")</f>
        <v>高端定制化 宾利Bacalar内饰预告图发布</v>
      </c>
      <c r="C1112" s="2" t="s">
        <v>13</v>
      </c>
      <c r="D1112" s="2" t="s">
        <v>12</v>
      </c>
      <c r="E1112" s="2" t="s">
        <v>216</v>
      </c>
      <c r="F1112" s="2" t="str">
        <f>HYPERLINK("http://www.12365auto.com/xcdg/20200227/419708.shtml","http://www.12365auto.com/xcdg/20200227/419708.shtml")</f>
        <v>http://www.12365auto.com/xcdg/20200227/419708.shtml</v>
      </c>
      <c r="G1112" s="2"/>
      <c r="H1112" s="2" t="s">
        <v>1748</v>
      </c>
      <c r="I1112" s="2" t="s">
        <v>15</v>
      </c>
      <c r="J1112" s="2" t="s">
        <v>12</v>
      </c>
      <c r="K1112" s="2" t="s">
        <v>1749</v>
      </c>
      <c r="L1112" s="2">
        <f t="shared" si="17"/>
        <v>150</v>
      </c>
    </row>
    <row r="1113" spans="1:12" ht="25" customHeight="1">
      <c r="A1113" s="2" t="s">
        <v>12</v>
      </c>
      <c r="B1113" s="2" t="str">
        <f>HYPERLINK("http://m.12365auto.com/xcdg/20200227/419708.shtml","高端定制化 宾利Bacalar内饰预告图发布")</f>
        <v>高端定制化 宾利Bacalar内饰预告图发布</v>
      </c>
      <c r="C1113" s="2" t="s">
        <v>13</v>
      </c>
      <c r="D1113" s="2" t="s">
        <v>12</v>
      </c>
      <c r="E1113" s="2"/>
      <c r="F1113" s="2" t="str">
        <f>HYPERLINK("http://m.12365auto.com/xcdg/20200227/419708.shtml","http://m.12365auto.com/xcdg/20200227/419708.shtml")</f>
        <v>http://m.12365auto.com/xcdg/20200227/419708.shtml</v>
      </c>
      <c r="G1113" s="2"/>
      <c r="H1113" s="2" t="s">
        <v>1750</v>
      </c>
      <c r="I1113" s="2" t="s">
        <v>19</v>
      </c>
      <c r="J1113" s="2" t="s">
        <v>781</v>
      </c>
      <c r="K1113" s="2" t="s">
        <v>1749</v>
      </c>
      <c r="L1113" s="2">
        <f t="shared" si="17"/>
        <v>150</v>
      </c>
    </row>
    <row r="1114" spans="1:12" ht="25" customHeight="1">
      <c r="A1114" s="2" t="s">
        <v>12</v>
      </c>
      <c r="B1114" s="2" t="str">
        <f>HYPERLINK("http://www.12365auto.com/zlts/20200227/448970.shtml","吉利帝豪新能源购车缴纳里程押金未退还")</f>
        <v>吉利帝豪新能源购车缴纳里程押金未退还</v>
      </c>
      <c r="C1114" s="2" t="s">
        <v>13</v>
      </c>
      <c r="D1114" s="2" t="s">
        <v>12</v>
      </c>
      <c r="E1114" s="2" t="s">
        <v>17</v>
      </c>
      <c r="F1114" s="2" t="str">
        <f>HYPERLINK("http://www.12365auto.com/zlts/20200227/448970.shtml","http://www.12365auto.com/zlts/20200227/448970.shtml")</f>
        <v>http://www.12365auto.com/zlts/20200227/448970.shtml</v>
      </c>
      <c r="G1114" s="2"/>
      <c r="H1114" s="2" t="s">
        <v>1751</v>
      </c>
      <c r="I1114" s="2" t="s">
        <v>19</v>
      </c>
      <c r="J1114" s="2" t="s">
        <v>12</v>
      </c>
      <c r="K1114" s="2" t="s">
        <v>1752</v>
      </c>
      <c r="L1114" s="2">
        <f t="shared" si="17"/>
        <v>150</v>
      </c>
    </row>
    <row r="1115" spans="1:12" ht="25" customHeight="1">
      <c r="A1115" s="2" t="s">
        <v>12</v>
      </c>
      <c r="B1115" s="2" t="str">
        <f>HYPERLINK("http://www.12365auto.com/news/20200227/419707.shtml","电动Isetta？Microlino将推第二代车型")</f>
        <v>电动Isetta？Microlino将推第二代车型</v>
      </c>
      <c r="C1115" s="2" t="s">
        <v>13</v>
      </c>
      <c r="D1115" s="2" t="s">
        <v>12</v>
      </c>
      <c r="E1115" s="2" t="s">
        <v>276</v>
      </c>
      <c r="F1115" s="2" t="str">
        <f>HYPERLINK("http://www.12365auto.com/news/20200227/419707.shtml","http://www.12365auto.com/news/20200227/419707.shtml")</f>
        <v>http://www.12365auto.com/news/20200227/419707.shtml</v>
      </c>
      <c r="G1115" s="2"/>
      <c r="H1115" s="2" t="s">
        <v>1753</v>
      </c>
      <c r="I1115" s="2" t="s">
        <v>15</v>
      </c>
      <c r="J1115" s="2" t="s">
        <v>12</v>
      </c>
      <c r="K1115" s="2" t="s">
        <v>1752</v>
      </c>
      <c r="L1115" s="2">
        <f t="shared" si="17"/>
        <v>150</v>
      </c>
    </row>
    <row r="1116" spans="1:12" ht="25" customHeight="1">
      <c r="A1116" s="2" t="s">
        <v>12</v>
      </c>
      <c r="B1116" s="2" t="str">
        <f>HYPERLINK("http://m.12365auto.com/news/20200227/419707.shtml","电动Isetta？Microlino将推第二代车型")</f>
        <v>电动Isetta？Microlino将推第二代车型</v>
      </c>
      <c r="C1116" s="2" t="s">
        <v>13</v>
      </c>
      <c r="D1116" s="2" t="s">
        <v>12</v>
      </c>
      <c r="E1116" s="2"/>
      <c r="F1116" s="2" t="str">
        <f>HYPERLINK("http://m.12365auto.com/news/20200227/419707.shtml","http://m.12365auto.com/news/20200227/419707.shtml")</f>
        <v>http://m.12365auto.com/news/20200227/419707.shtml</v>
      </c>
      <c r="G1116" s="2"/>
      <c r="H1116" s="2" t="s">
        <v>1754</v>
      </c>
      <c r="I1116" s="2" t="s">
        <v>19</v>
      </c>
      <c r="J1116" s="2" t="s">
        <v>332</v>
      </c>
      <c r="K1116" s="2" t="s">
        <v>1752</v>
      </c>
      <c r="L1116" s="2">
        <f t="shared" si="17"/>
        <v>150</v>
      </c>
    </row>
    <row r="1117" spans="1:12" ht="25" customHeight="1">
      <c r="A1117" s="2" t="s">
        <v>12</v>
      </c>
      <c r="B1117" s="2" t="str">
        <f>HYPERLINK("http://www.12365auto.com/news/20200227/419706.shtml","GFG将于日内瓦车展推出全新纯电动跑车")</f>
        <v>GFG将于日内瓦车展推出全新纯电动跑车</v>
      </c>
      <c r="C1117" s="2" t="s">
        <v>13</v>
      </c>
      <c r="D1117" s="2" t="s">
        <v>12</v>
      </c>
      <c r="E1117" s="2" t="s">
        <v>276</v>
      </c>
      <c r="F1117" s="2" t="str">
        <f>HYPERLINK("http://www.12365auto.com/news/20200227/419706.shtml","http://www.12365auto.com/news/20200227/419706.shtml")</f>
        <v>http://www.12365auto.com/news/20200227/419706.shtml</v>
      </c>
      <c r="G1117" s="2"/>
      <c r="H1117" s="2" t="s">
        <v>1755</v>
      </c>
      <c r="I1117" s="2" t="s">
        <v>15</v>
      </c>
      <c r="J1117" s="2" t="s">
        <v>12</v>
      </c>
      <c r="K1117" s="2" t="s">
        <v>1756</v>
      </c>
      <c r="L1117" s="2">
        <f t="shared" si="17"/>
        <v>150</v>
      </c>
    </row>
    <row r="1118" spans="1:12" ht="25" customHeight="1">
      <c r="A1118" s="2" t="s">
        <v>12</v>
      </c>
      <c r="B1118" s="2" t="str">
        <f>HYPERLINK("http://m.12365auto.com/news/20200227/419706.shtml","GFG将于日内瓦车展推出全新纯电动跑车")</f>
        <v>GFG将于日内瓦车展推出全新纯电动跑车</v>
      </c>
      <c r="C1118" s="2" t="s">
        <v>13</v>
      </c>
      <c r="D1118" s="2" t="s">
        <v>12</v>
      </c>
      <c r="E1118" s="2"/>
      <c r="F1118" s="2" t="str">
        <f>HYPERLINK("http://m.12365auto.com/news/20200227/419706.shtml","http://m.12365auto.com/news/20200227/419706.shtml")</f>
        <v>http://m.12365auto.com/news/20200227/419706.shtml</v>
      </c>
      <c r="G1118" s="2"/>
      <c r="H1118" s="2" t="s">
        <v>1757</v>
      </c>
      <c r="I1118" s="2" t="s">
        <v>19</v>
      </c>
      <c r="J1118" s="2" t="s">
        <v>332</v>
      </c>
      <c r="K1118" s="2" t="s">
        <v>1756</v>
      </c>
      <c r="L1118" s="2">
        <f t="shared" si="17"/>
        <v>150</v>
      </c>
    </row>
    <row r="1119" spans="1:12" ht="25" customHeight="1">
      <c r="A1119" s="2" t="s">
        <v>12</v>
      </c>
      <c r="B1119" s="2" t="str">
        <f>HYPERLINK("http://www.12365auto.com/xcdg/20200227/419705.shtml","日内瓦车展首发 Cupra Formentor预告图")</f>
        <v>日内瓦车展首发 Cupra Formentor预告图</v>
      </c>
      <c r="C1119" s="2" t="s">
        <v>13</v>
      </c>
      <c r="D1119" s="2" t="s">
        <v>12</v>
      </c>
      <c r="E1119" s="2" t="s">
        <v>216</v>
      </c>
      <c r="F1119" s="2" t="str">
        <f>HYPERLINK("http://www.12365auto.com/xcdg/20200227/419705.shtml","http://www.12365auto.com/xcdg/20200227/419705.shtml")</f>
        <v>http://www.12365auto.com/xcdg/20200227/419705.shtml</v>
      </c>
      <c r="G1119" s="2"/>
      <c r="H1119" s="2" t="s">
        <v>1758</v>
      </c>
      <c r="I1119" s="2" t="s">
        <v>15</v>
      </c>
      <c r="J1119" s="2" t="s">
        <v>12</v>
      </c>
      <c r="K1119" s="2" t="s">
        <v>1759</v>
      </c>
      <c r="L1119" s="2">
        <f t="shared" si="17"/>
        <v>150</v>
      </c>
    </row>
    <row r="1120" spans="1:12" ht="25" customHeight="1">
      <c r="A1120" s="2" t="s">
        <v>12</v>
      </c>
      <c r="B1120" s="2" t="str">
        <f>HYPERLINK("http://m.12365auto.com/xcdg/20200227/419705.shtml","日内瓦车展首发 Cupra Formentor预告图")</f>
        <v>日内瓦车展首发 Cupra Formentor预告图</v>
      </c>
      <c r="C1120" s="2" t="s">
        <v>13</v>
      </c>
      <c r="D1120" s="2" t="s">
        <v>12</v>
      </c>
      <c r="E1120" s="2"/>
      <c r="F1120" s="2" t="str">
        <f>HYPERLINK("http://m.12365auto.com/xcdg/20200227/419705.shtml","http://m.12365auto.com/xcdg/20200227/419705.shtml")</f>
        <v>http://m.12365auto.com/xcdg/20200227/419705.shtml</v>
      </c>
      <c r="G1120" s="2"/>
      <c r="H1120" s="2" t="s">
        <v>1760</v>
      </c>
      <c r="I1120" s="2" t="s">
        <v>19</v>
      </c>
      <c r="J1120" s="2" t="s">
        <v>295</v>
      </c>
      <c r="K1120" s="2" t="s">
        <v>1759</v>
      </c>
      <c r="L1120" s="2">
        <f t="shared" si="17"/>
        <v>150</v>
      </c>
    </row>
    <row r="1121" spans="1:12" ht="25" customHeight="1">
      <c r="A1121" s="2" t="s">
        <v>12</v>
      </c>
      <c r="B1121" s="2" t="str">
        <f>HYPERLINK("http://www.12365auto.com/zlts/20200227/448968.shtml","一汽大众探岳变速箱升降挡异响 天窗卡滞")</f>
        <v>一汽大众探岳变速箱升降挡异响 天窗卡滞</v>
      </c>
      <c r="C1121" s="2" t="s">
        <v>13</v>
      </c>
      <c r="D1121" s="2" t="s">
        <v>12</v>
      </c>
      <c r="E1121" s="2" t="s">
        <v>17</v>
      </c>
      <c r="F1121" s="2" t="str">
        <f>HYPERLINK("http://www.12365auto.com/zlts/20200227/448968.shtml","http://www.12365auto.com/zlts/20200227/448968.shtml")</f>
        <v>http://www.12365auto.com/zlts/20200227/448968.shtml</v>
      </c>
      <c r="G1121" s="2"/>
      <c r="H1121" s="2" t="s">
        <v>1761</v>
      </c>
      <c r="I1121" s="2" t="s">
        <v>19</v>
      </c>
      <c r="J1121" s="2" t="s">
        <v>12</v>
      </c>
      <c r="K1121" s="2" t="s">
        <v>1762</v>
      </c>
      <c r="L1121" s="2">
        <f t="shared" si="17"/>
        <v>150</v>
      </c>
    </row>
    <row r="1122" spans="1:12" ht="25" customHeight="1">
      <c r="A1122" s="2" t="s">
        <v>12</v>
      </c>
      <c r="B1122" s="2" t="str">
        <f>HYPERLINK("http://www.12365auto.com/news/20200227/419704.shtml","中韩疫情原因 现代汽车韩国4家工厂再停产")</f>
        <v>中韩疫情原因 现代汽车韩国4家工厂再停产</v>
      </c>
      <c r="C1122" s="2" t="s">
        <v>13</v>
      </c>
      <c r="D1122" s="2" t="s">
        <v>12</v>
      </c>
      <c r="E1122" s="2" t="s">
        <v>276</v>
      </c>
      <c r="F1122" s="2" t="str">
        <f>HYPERLINK("http://www.12365auto.com/news/20200227/419704.shtml","http://www.12365auto.com/news/20200227/419704.shtml")</f>
        <v>http://www.12365auto.com/news/20200227/419704.shtml</v>
      </c>
      <c r="G1122" s="2"/>
      <c r="H1122" s="2" t="s">
        <v>1763</v>
      </c>
      <c r="I1122" s="2" t="s">
        <v>15</v>
      </c>
      <c r="J1122" s="2" t="s">
        <v>12</v>
      </c>
      <c r="K1122" s="2" t="s">
        <v>1764</v>
      </c>
      <c r="L1122" s="2">
        <f t="shared" si="17"/>
        <v>150</v>
      </c>
    </row>
    <row r="1123" spans="1:12" ht="25" customHeight="1">
      <c r="A1123" s="2" t="s">
        <v>12</v>
      </c>
      <c r="B1123" s="2" t="str">
        <f>HYPERLINK("http://m.12365auto.com/news/20200227/419704.shtml","中韩疫情原因 现代汽车韩国4家工厂再停产")</f>
        <v>中韩疫情原因 现代汽车韩国4家工厂再停产</v>
      </c>
      <c r="C1123" s="2" t="s">
        <v>13</v>
      </c>
      <c r="D1123" s="2" t="s">
        <v>12</v>
      </c>
      <c r="E1123" s="2"/>
      <c r="F1123" s="2" t="str">
        <f>HYPERLINK("http://m.12365auto.com/news/20200227/419704.shtml","http://m.12365auto.com/news/20200227/419704.shtml")</f>
        <v>http://m.12365auto.com/news/20200227/419704.shtml</v>
      </c>
      <c r="G1123" s="2"/>
      <c r="H1123" s="2" t="s">
        <v>1765</v>
      </c>
      <c r="I1123" s="2" t="s">
        <v>19</v>
      </c>
      <c r="J1123" s="2" t="s">
        <v>12</v>
      </c>
      <c r="K1123" s="2" t="s">
        <v>1764</v>
      </c>
      <c r="L1123" s="2">
        <f t="shared" si="17"/>
        <v>150</v>
      </c>
    </row>
    <row r="1124" spans="1:12" ht="25" customHeight="1">
      <c r="A1124" s="2" t="s">
        <v>12</v>
      </c>
      <c r="B1124" s="2" t="str">
        <f>HYPERLINK("http://www.12365auto.com/news/20200227/419703.shtml","凌云股份：公司目前不是特斯拉电池壳供应商")</f>
        <v>凌云股份：公司目前不是特斯拉电池壳供应商</v>
      </c>
      <c r="C1124" s="2" t="s">
        <v>13</v>
      </c>
      <c r="D1124" s="2" t="s">
        <v>12</v>
      </c>
      <c r="E1124" s="2" t="s">
        <v>276</v>
      </c>
      <c r="F1124" s="2" t="str">
        <f>HYPERLINK("http://www.12365auto.com/news/20200227/419703.shtml","http://www.12365auto.com/news/20200227/419703.shtml")</f>
        <v>http://www.12365auto.com/news/20200227/419703.shtml</v>
      </c>
      <c r="G1124" s="2"/>
      <c r="H1124" s="2" t="s">
        <v>1766</v>
      </c>
      <c r="I1124" s="2" t="s">
        <v>15</v>
      </c>
      <c r="J1124" s="2" t="s">
        <v>12</v>
      </c>
      <c r="K1124" s="2" t="s">
        <v>1767</v>
      </c>
      <c r="L1124" s="2">
        <f t="shared" si="17"/>
        <v>150</v>
      </c>
    </row>
    <row r="1125" spans="1:12" ht="25" customHeight="1">
      <c r="A1125" s="2" t="s">
        <v>12</v>
      </c>
      <c r="B1125" s="2" t="str">
        <f>HYPERLINK("http://m.12365auto.com/news/20200227/419703.shtml","凌云股份：公司目前不是特斯拉电池壳供应商")</f>
        <v>凌云股份：公司目前不是特斯拉电池壳供应商</v>
      </c>
      <c r="C1125" s="2" t="s">
        <v>13</v>
      </c>
      <c r="D1125" s="2" t="s">
        <v>12</v>
      </c>
      <c r="E1125" s="2"/>
      <c r="F1125" s="2" t="str">
        <f>HYPERLINK("http://m.12365auto.com/news/20200227/419703.shtml","http://m.12365auto.com/news/20200227/419703.shtml")</f>
        <v>http://m.12365auto.com/news/20200227/419703.shtml</v>
      </c>
      <c r="G1125" s="2"/>
      <c r="H1125" s="2" t="s">
        <v>1768</v>
      </c>
      <c r="I1125" s="2" t="s">
        <v>19</v>
      </c>
      <c r="J1125" s="2" t="s">
        <v>12</v>
      </c>
      <c r="K1125" s="2" t="s">
        <v>1767</v>
      </c>
      <c r="L1125" s="2">
        <f t="shared" si="17"/>
        <v>150</v>
      </c>
    </row>
    <row r="1126" spans="1:12" ht="25" customHeight="1">
      <c r="A1126" s="2" t="s">
        <v>12</v>
      </c>
      <c r="B1126" s="2" t="str">
        <f>HYPERLINK("http://www.12365auto.com/news/20200227/419702.shtml","智能汽车顶层设计出炉 万亿规模市场待挖掘")</f>
        <v>智能汽车顶层设计出炉 万亿规模市场待挖掘</v>
      </c>
      <c r="C1126" s="2" t="s">
        <v>13</v>
      </c>
      <c r="D1126" s="2" t="s">
        <v>12</v>
      </c>
      <c r="E1126" s="2" t="s">
        <v>276</v>
      </c>
      <c r="F1126" s="2" t="str">
        <f>HYPERLINK("http://www.12365auto.com/news/20200227/419702.shtml","http://www.12365auto.com/news/20200227/419702.shtml")</f>
        <v>http://www.12365auto.com/news/20200227/419702.shtml</v>
      </c>
      <c r="G1126" s="2"/>
      <c r="H1126" s="2" t="s">
        <v>1769</v>
      </c>
      <c r="I1126" s="2" t="s">
        <v>15</v>
      </c>
      <c r="J1126" s="2" t="s">
        <v>12</v>
      </c>
      <c r="K1126" s="2" t="s">
        <v>1770</v>
      </c>
      <c r="L1126" s="2">
        <f t="shared" si="17"/>
        <v>150</v>
      </c>
    </row>
    <row r="1127" spans="1:12" ht="25" customHeight="1">
      <c r="A1127" s="2" t="s">
        <v>12</v>
      </c>
      <c r="B1127" s="2" t="str">
        <f>HYPERLINK("http://m.12365auto.com/news/20200227/419702.shtml","智能汽车顶层设计出炉 万亿规模市场待挖掘")</f>
        <v>智能汽车顶层设计出炉 万亿规模市场待挖掘</v>
      </c>
      <c r="C1127" s="2" t="s">
        <v>13</v>
      </c>
      <c r="D1127" s="2" t="s">
        <v>12</v>
      </c>
      <c r="E1127" s="2"/>
      <c r="F1127" s="2" t="str">
        <f>HYPERLINK("http://m.12365auto.com/news/20200227/419702.shtml","http://m.12365auto.com/news/20200227/419702.shtml")</f>
        <v>http://m.12365auto.com/news/20200227/419702.shtml</v>
      </c>
      <c r="G1127" s="2"/>
      <c r="H1127" s="2" t="s">
        <v>1771</v>
      </c>
      <c r="I1127" s="2" t="s">
        <v>19</v>
      </c>
      <c r="J1127" s="2" t="s">
        <v>12</v>
      </c>
      <c r="K1127" s="2" t="s">
        <v>1770</v>
      </c>
      <c r="L1127" s="2">
        <f t="shared" si="17"/>
        <v>150</v>
      </c>
    </row>
    <row r="1128" spans="1:12" ht="25" customHeight="1">
      <c r="A1128" s="2" t="s">
        <v>12</v>
      </c>
      <c r="B1128" s="2" t="str">
        <f>HYPERLINK("http://www.12365auto.com/xcdg/20200227/419701.shtml","吉利星越魅影骑士限量版 采用亚瑟蓝配色")</f>
        <v>吉利星越魅影骑士限量版 采用亚瑟蓝配色</v>
      </c>
      <c r="C1128" s="2" t="s">
        <v>13</v>
      </c>
      <c r="D1128" s="2" t="s">
        <v>12</v>
      </c>
      <c r="E1128" s="2" t="s">
        <v>216</v>
      </c>
      <c r="F1128" s="2" t="str">
        <f>HYPERLINK("http://www.12365auto.com/xcdg/20200227/419701.shtml","http://www.12365auto.com/xcdg/20200227/419701.shtml")</f>
        <v>http://www.12365auto.com/xcdg/20200227/419701.shtml</v>
      </c>
      <c r="G1128" s="2"/>
      <c r="H1128" s="2" t="s">
        <v>1772</v>
      </c>
      <c r="I1128" s="2" t="s">
        <v>15</v>
      </c>
      <c r="J1128" s="2" t="s">
        <v>12</v>
      </c>
      <c r="K1128" s="2" t="s">
        <v>1773</v>
      </c>
      <c r="L1128" s="2">
        <f t="shared" si="17"/>
        <v>150</v>
      </c>
    </row>
    <row r="1129" spans="1:12" ht="25" customHeight="1">
      <c r="A1129" s="2" t="s">
        <v>12</v>
      </c>
      <c r="B1129" s="2" t="str">
        <f>HYPERLINK("http://m.12365auto.com/xcdg/20200227/419701.shtml","吉利星越魅影骑士限量版 采用亚瑟蓝配色")</f>
        <v>吉利星越魅影骑士限量版 采用亚瑟蓝配色</v>
      </c>
      <c r="C1129" s="2" t="s">
        <v>13</v>
      </c>
      <c r="D1129" s="2" t="s">
        <v>12</v>
      </c>
      <c r="E1129" s="2"/>
      <c r="F1129" s="2" t="str">
        <f>HYPERLINK("http://m.12365auto.com/xcdg/20200227/419701.shtml","http://m.12365auto.com/xcdg/20200227/419701.shtml")</f>
        <v>http://m.12365auto.com/xcdg/20200227/419701.shtml</v>
      </c>
      <c r="G1129" s="2"/>
      <c r="H1129" s="2" t="s">
        <v>1774</v>
      </c>
      <c r="I1129" s="2" t="s">
        <v>19</v>
      </c>
      <c r="J1129" s="2" t="s">
        <v>1775</v>
      </c>
      <c r="K1129" s="2" t="s">
        <v>1773</v>
      </c>
      <c r="L1129" s="2">
        <f t="shared" si="17"/>
        <v>150</v>
      </c>
    </row>
    <row r="1130" spans="1:12" ht="25" customHeight="1">
      <c r="A1130" s="2" t="s">
        <v>12</v>
      </c>
      <c r="B1130" s="2" t="str">
        <f>HYPERLINK("http://www.12365auto.com/xcdg/20200227/419700.shtml","斯柯达明锐RS谍照曝光 将亮相日内瓦车展")</f>
        <v>斯柯达明锐RS谍照曝光 将亮相日内瓦车展</v>
      </c>
      <c r="C1130" s="2" t="s">
        <v>13</v>
      </c>
      <c r="D1130" s="2" t="s">
        <v>12</v>
      </c>
      <c r="E1130" s="2" t="s">
        <v>224</v>
      </c>
      <c r="F1130" s="2" t="str">
        <f>HYPERLINK("http://www.12365auto.com/xcdg/20200227/419700.shtml","http://www.12365auto.com/xcdg/20200227/419700.shtml")</f>
        <v>http://www.12365auto.com/xcdg/20200227/419700.shtml</v>
      </c>
      <c r="G1130" s="2"/>
      <c r="H1130" s="2" t="s">
        <v>1776</v>
      </c>
      <c r="I1130" s="2" t="s">
        <v>15</v>
      </c>
      <c r="J1130" s="2" t="s">
        <v>12</v>
      </c>
      <c r="K1130" s="2" t="s">
        <v>1777</v>
      </c>
      <c r="L1130" s="2">
        <f t="shared" si="17"/>
        <v>150</v>
      </c>
    </row>
    <row r="1131" spans="1:12" ht="25" customHeight="1">
      <c r="A1131" s="2" t="s">
        <v>12</v>
      </c>
      <c r="B1131" s="2" t="str">
        <f>HYPERLINK("http://m.12365auto.com/xcdg/20200227/419700.shtml","斯柯达明锐RS谍照曝光 将亮相日内瓦车展")</f>
        <v>斯柯达明锐RS谍照曝光 将亮相日内瓦车展</v>
      </c>
      <c r="C1131" s="2" t="s">
        <v>13</v>
      </c>
      <c r="D1131" s="2" t="s">
        <v>12</v>
      </c>
      <c r="E1131" s="2"/>
      <c r="F1131" s="2" t="str">
        <f>HYPERLINK("http://m.12365auto.com/xcdg/20200227/419700.shtml","http://m.12365auto.com/xcdg/20200227/419700.shtml")</f>
        <v>http://m.12365auto.com/xcdg/20200227/419700.shtml</v>
      </c>
      <c r="G1131" s="2"/>
      <c r="H1131" s="2" t="s">
        <v>1778</v>
      </c>
      <c r="I1131" s="2" t="s">
        <v>19</v>
      </c>
      <c r="J1131" s="2" t="s">
        <v>1779</v>
      </c>
      <c r="K1131" s="2" t="s">
        <v>1777</v>
      </c>
      <c r="L1131" s="2">
        <f t="shared" si="17"/>
        <v>150</v>
      </c>
    </row>
    <row r="1132" spans="1:12" ht="25" customHeight="1">
      <c r="A1132" s="2" t="s">
        <v>12</v>
      </c>
      <c r="B1132" s="2" t="str">
        <f>HYPERLINK("http://www.12365auto.com/xcdg/20200227/419699.shtml","2021款宝马4系敞篷车型谍照 有望年内发布")</f>
        <v>2021款宝马4系敞篷车型谍照 有望年内发布</v>
      </c>
      <c r="C1132" s="2" t="s">
        <v>13</v>
      </c>
      <c r="D1132" s="2" t="s">
        <v>12</v>
      </c>
      <c r="E1132" s="2" t="s">
        <v>224</v>
      </c>
      <c r="F1132" s="2" t="str">
        <f>HYPERLINK("http://www.12365auto.com/xcdg/20200227/419699.shtml","http://www.12365auto.com/xcdg/20200227/419699.shtml")</f>
        <v>http://www.12365auto.com/xcdg/20200227/419699.shtml</v>
      </c>
      <c r="G1132" s="2"/>
      <c r="H1132" s="2" t="s">
        <v>1780</v>
      </c>
      <c r="I1132" s="2" t="s">
        <v>15</v>
      </c>
      <c r="J1132" s="2" t="s">
        <v>12</v>
      </c>
      <c r="K1132" s="2" t="s">
        <v>1781</v>
      </c>
      <c r="L1132" s="2">
        <f t="shared" si="17"/>
        <v>150</v>
      </c>
    </row>
    <row r="1133" spans="1:12" ht="25" customHeight="1">
      <c r="A1133" s="2" t="s">
        <v>12</v>
      </c>
      <c r="B1133" s="2" t="str">
        <f>HYPERLINK("http://m.12365auto.com/xcdg/20200227/419699.shtml","2021款宝马4系敞篷车型谍照 有望年内发布")</f>
        <v>2021款宝马4系敞篷车型谍照 有望年内发布</v>
      </c>
      <c r="C1133" s="2" t="s">
        <v>13</v>
      </c>
      <c r="D1133" s="2" t="s">
        <v>12</v>
      </c>
      <c r="E1133" s="2"/>
      <c r="F1133" s="2" t="str">
        <f>HYPERLINK("http://m.12365auto.com/xcdg/20200227/419699.shtml","http://m.12365auto.com/xcdg/20200227/419699.shtml")</f>
        <v>http://m.12365auto.com/xcdg/20200227/419699.shtml</v>
      </c>
      <c r="G1133" s="2"/>
      <c r="H1133" s="2" t="s">
        <v>1782</v>
      </c>
      <c r="I1133" s="2" t="s">
        <v>19</v>
      </c>
      <c r="J1133" s="2" t="s">
        <v>1779</v>
      </c>
      <c r="K1133" s="2" t="s">
        <v>1781</v>
      </c>
      <c r="L1133" s="2">
        <f t="shared" si="17"/>
        <v>150</v>
      </c>
    </row>
    <row r="1134" spans="1:12" ht="25" customHeight="1">
      <c r="A1134" s="2" t="s">
        <v>12</v>
      </c>
      <c r="B1134" s="2" t="str">
        <f>HYPERLINK("http://www.12365auto.com/xcdg/20200227/419698.shtml","Jeep大瓦格尼谍照 预计6月底特律车展发布")</f>
        <v>Jeep大瓦格尼谍照 预计6月底特律车展发布</v>
      </c>
      <c r="C1134" s="2" t="s">
        <v>13</v>
      </c>
      <c r="D1134" s="2" t="s">
        <v>12</v>
      </c>
      <c r="E1134" s="2" t="s">
        <v>224</v>
      </c>
      <c r="F1134" s="2" t="str">
        <f>HYPERLINK("http://www.12365auto.com/xcdg/20200227/419698.shtml","http://www.12365auto.com/xcdg/20200227/419698.shtml")</f>
        <v>http://www.12365auto.com/xcdg/20200227/419698.shtml</v>
      </c>
      <c r="G1134" s="2"/>
      <c r="H1134" s="2" t="s">
        <v>1783</v>
      </c>
      <c r="I1134" s="2" t="s">
        <v>15</v>
      </c>
      <c r="J1134" s="2" t="s">
        <v>12</v>
      </c>
      <c r="K1134" s="2" t="s">
        <v>1784</v>
      </c>
      <c r="L1134" s="2">
        <f t="shared" si="17"/>
        <v>150</v>
      </c>
    </row>
    <row r="1135" spans="1:12" ht="25" customHeight="1">
      <c r="A1135" s="2" t="s">
        <v>12</v>
      </c>
      <c r="B1135" s="2" t="str">
        <f>HYPERLINK("http://m.12365auto.com/xcdg/20200227/419698.shtml","Jeep大瓦格尼谍照 预计6月底特律车展发布")</f>
        <v>Jeep大瓦格尼谍照 预计6月底特律车展发布</v>
      </c>
      <c r="C1135" s="2" t="s">
        <v>13</v>
      </c>
      <c r="D1135" s="2" t="s">
        <v>12</v>
      </c>
      <c r="E1135" s="2"/>
      <c r="F1135" s="2" t="str">
        <f>HYPERLINK("http://m.12365auto.com/xcdg/20200227/419698.shtml","http://m.12365auto.com/xcdg/20200227/419698.shtml")</f>
        <v>http://m.12365auto.com/xcdg/20200227/419698.shtml</v>
      </c>
      <c r="G1135" s="2"/>
      <c r="H1135" s="2" t="s">
        <v>1785</v>
      </c>
      <c r="I1135" s="2" t="s">
        <v>19</v>
      </c>
      <c r="J1135" s="2" t="s">
        <v>1779</v>
      </c>
      <c r="K1135" s="2" t="s">
        <v>1784</v>
      </c>
      <c r="L1135" s="2">
        <f t="shared" si="17"/>
        <v>150</v>
      </c>
    </row>
    <row r="1136" spans="1:12" ht="25" customHeight="1">
      <c r="A1136" s="2" t="s">
        <v>12</v>
      </c>
      <c r="B1136" s="2" t="str">
        <f>HYPERLINK("http://m.12365auto.com/xcdg/20200227/419697.shtml","还说新能源无聊？AMG GT 73或超800马力")</f>
        <v>还说新能源无聊？AMG GT 73或超800马力</v>
      </c>
      <c r="C1136" s="2" t="s">
        <v>13</v>
      </c>
      <c r="D1136" s="2" t="s">
        <v>12</v>
      </c>
      <c r="E1136" s="2"/>
      <c r="F1136" s="2" t="str">
        <f>HYPERLINK("http://m.12365auto.com/xcdg/20200227/419697.shtml","http://m.12365auto.com/xcdg/20200227/419697.shtml")</f>
        <v>http://m.12365auto.com/xcdg/20200227/419697.shtml</v>
      </c>
      <c r="G1136" s="2"/>
      <c r="H1136" s="2" t="s">
        <v>1786</v>
      </c>
      <c r="I1136" s="2" t="s">
        <v>19</v>
      </c>
      <c r="J1136" s="2" t="s">
        <v>1558</v>
      </c>
      <c r="K1136" s="2" t="s">
        <v>1787</v>
      </c>
      <c r="L1136" s="2">
        <f t="shared" si="17"/>
        <v>150</v>
      </c>
    </row>
    <row r="1137" spans="1:12" ht="25" customHeight="1">
      <c r="A1137" s="2" t="s">
        <v>12</v>
      </c>
      <c r="B1137" s="2" t="str">
        <f>HYPERLINK("http://www.12365auto.com/xcdg/20200227/419697.shtml","还说新能源无聊？AMG GT 73或超800马力")</f>
        <v>还说新能源无聊？AMG GT 73或超800马力</v>
      </c>
      <c r="C1137" s="2" t="s">
        <v>13</v>
      </c>
      <c r="D1137" s="2" t="s">
        <v>12</v>
      </c>
      <c r="E1137" s="2" t="s">
        <v>224</v>
      </c>
      <c r="F1137" s="2" t="str">
        <f>HYPERLINK("http://www.12365auto.com/xcdg/20200227/419697.shtml","http://www.12365auto.com/xcdg/20200227/419697.shtml")</f>
        <v>http://www.12365auto.com/xcdg/20200227/419697.shtml</v>
      </c>
      <c r="G1137" s="2"/>
      <c r="H1137" s="2" t="s">
        <v>1788</v>
      </c>
      <c r="I1137" s="2" t="s">
        <v>15</v>
      </c>
      <c r="J1137" s="2" t="s">
        <v>12</v>
      </c>
      <c r="K1137" s="2" t="s">
        <v>1787</v>
      </c>
      <c r="L1137" s="2">
        <f t="shared" si="17"/>
        <v>150</v>
      </c>
    </row>
    <row r="1138" spans="1:12" ht="25" customHeight="1">
      <c r="A1138" s="2" t="s">
        <v>12</v>
      </c>
      <c r="B1138" s="2" t="str">
        <f>HYPERLINK("http://bbs.12365auto.com/postcontent.aspx?tID=195395","再说国产车没有“好货” 你就OUT了")</f>
        <v>再说国产车没有“好货” 你就OUT了</v>
      </c>
      <c r="C1138" s="2" t="s">
        <v>13</v>
      </c>
      <c r="D1138" s="2" t="s">
        <v>12</v>
      </c>
      <c r="E1138" s="2" t="s">
        <v>214</v>
      </c>
      <c r="F1138" s="2" t="str">
        <f>HYPERLINK("http://bbs.12365auto.com/postcontent.aspx?tID=195395","http://bbs.12365auto.com/postcontent.aspx?tID=195395")</f>
        <v>http://bbs.12365auto.com/postcontent.aspx?tID=195395</v>
      </c>
      <c r="G1138" s="2"/>
      <c r="H1138" s="2" t="s">
        <v>1789</v>
      </c>
      <c r="I1138" s="2" t="s">
        <v>15</v>
      </c>
      <c r="J1138" s="2" t="s">
        <v>1790</v>
      </c>
      <c r="K1138" s="2" t="s">
        <v>1787</v>
      </c>
      <c r="L1138" s="2">
        <f t="shared" si="17"/>
        <v>150</v>
      </c>
    </row>
    <row r="1139" spans="1:12" ht="25" customHeight="1">
      <c r="A1139" s="2" t="s">
        <v>12</v>
      </c>
      <c r="B1139" s="2" t="str">
        <f>HYPERLINK("http://m.12365auto.com/bbs/postcontent.aspx?tID=195395","再说国产车没有“好货” 你就OUT了")</f>
        <v>再说国产车没有“好货” 你就OUT了</v>
      </c>
      <c r="C1139" s="2" t="s">
        <v>13</v>
      </c>
      <c r="D1139" s="2" t="s">
        <v>23</v>
      </c>
      <c r="E1139" s="2"/>
      <c r="F1139" s="2" t="str">
        <f>HYPERLINK("http://m.12365auto.com/bbs/postcontent.aspx?tID=195395","http://m.12365auto.com/bbs/postcontent.aspx?tID=195395")</f>
        <v>http://m.12365auto.com/bbs/postcontent.aspx?tID=195395</v>
      </c>
      <c r="G1139" s="2"/>
      <c r="H1139" s="2" t="s">
        <v>1791</v>
      </c>
      <c r="I1139" s="2" t="s">
        <v>15</v>
      </c>
      <c r="J1139" s="2" t="s">
        <v>1790</v>
      </c>
      <c r="K1139" s="2" t="s">
        <v>1787</v>
      </c>
      <c r="L1139" s="2">
        <f t="shared" si="17"/>
        <v>150</v>
      </c>
    </row>
    <row r="1140" spans="1:12" ht="25" customHeight="1">
      <c r="A1140" s="2" t="s">
        <v>12</v>
      </c>
      <c r="B1140" s="2" t="str">
        <f>HYPERLINK("http://bbs.12365auto.com/postcontent.aspx?tId=195395","再说国产车没有“好货” 你就OUT了")</f>
        <v>再说国产车没有“好货” 你就OUT了</v>
      </c>
      <c r="C1140" s="2" t="s">
        <v>13</v>
      </c>
      <c r="D1140" s="2" t="s">
        <v>12</v>
      </c>
      <c r="E1140" s="2" t="s">
        <v>210</v>
      </c>
      <c r="F1140" s="2" t="str">
        <f>HYPERLINK("http://bbs.12365auto.com/postcontent.aspx?tId=195395","http://bbs.12365auto.com/postcontent.aspx?tId=195395")</f>
        <v>http://bbs.12365auto.com/postcontent.aspx?tId=195395</v>
      </c>
      <c r="G1140" s="2"/>
      <c r="H1140" s="2" t="s">
        <v>1791</v>
      </c>
      <c r="I1140" s="2" t="s">
        <v>15</v>
      </c>
      <c r="J1140" s="2" t="s">
        <v>1790</v>
      </c>
      <c r="K1140" s="2" t="s">
        <v>1787</v>
      </c>
      <c r="L1140" s="2">
        <f t="shared" si="17"/>
        <v>150</v>
      </c>
    </row>
    <row r="1141" spans="1:12" ht="25" customHeight="1">
      <c r="A1141" s="2" t="s">
        <v>12</v>
      </c>
      <c r="B1141" s="2" t="str">
        <f>HYPERLINK("http://m.12365auto.com/xcdg/20200227/419696.shtml","最大功率245马力 新高尔夫GTI预告图发布")</f>
        <v>最大功率245马力 新高尔夫GTI预告图发布</v>
      </c>
      <c r="C1141" s="2" t="s">
        <v>13</v>
      </c>
      <c r="D1141" s="2" t="s">
        <v>12</v>
      </c>
      <c r="E1141" s="2"/>
      <c r="F1141" s="2" t="str">
        <f>HYPERLINK("http://m.12365auto.com/xcdg/20200227/419696.shtml","http://m.12365auto.com/xcdg/20200227/419696.shtml")</f>
        <v>http://m.12365auto.com/xcdg/20200227/419696.shtml</v>
      </c>
      <c r="G1141" s="2"/>
      <c r="H1141" s="2" t="s">
        <v>1792</v>
      </c>
      <c r="I1141" s="2" t="s">
        <v>19</v>
      </c>
      <c r="J1141" s="2" t="s">
        <v>1558</v>
      </c>
      <c r="K1141" s="2" t="s">
        <v>1793</v>
      </c>
      <c r="L1141" s="2">
        <f t="shared" si="17"/>
        <v>150</v>
      </c>
    </row>
    <row r="1142" spans="1:12" ht="25" customHeight="1">
      <c r="A1142" s="2" t="s">
        <v>12</v>
      </c>
      <c r="B1142" s="2" t="str">
        <f>HYPERLINK("http://www.12365auto.com/xcdg/20200227/419696.shtml","最大功率245马力 新高尔夫GTI预告图发布")</f>
        <v>最大功率245马力 新高尔夫GTI预告图发布</v>
      </c>
      <c r="C1142" s="2" t="s">
        <v>13</v>
      </c>
      <c r="D1142" s="2" t="s">
        <v>12</v>
      </c>
      <c r="E1142" s="2" t="s">
        <v>216</v>
      </c>
      <c r="F1142" s="2" t="str">
        <f>HYPERLINK("http://www.12365auto.com/xcdg/20200227/419696.shtml","http://www.12365auto.com/xcdg/20200227/419696.shtml")</f>
        <v>http://www.12365auto.com/xcdg/20200227/419696.shtml</v>
      </c>
      <c r="G1142" s="2"/>
      <c r="H1142" s="2" t="s">
        <v>1794</v>
      </c>
      <c r="I1142" s="2" t="s">
        <v>15</v>
      </c>
      <c r="J1142" s="2" t="s">
        <v>12</v>
      </c>
      <c r="K1142" s="2" t="s">
        <v>1793</v>
      </c>
      <c r="L1142" s="2">
        <f t="shared" si="17"/>
        <v>150</v>
      </c>
    </row>
    <row r="1143" spans="1:12" ht="25" customHeight="1">
      <c r="A1143" s="2" t="s">
        <v>12</v>
      </c>
      <c r="B1143" s="2" t="str">
        <f>HYPERLINK("http://bbs.12365auto.com/postcontent.aspx?tID=195394","有空间更有实力！这几款MPV最低不到8万元")</f>
        <v>有空间更有实力！这几款MPV最低不到8万元</v>
      </c>
      <c r="C1143" s="2" t="s">
        <v>13</v>
      </c>
      <c r="D1143" s="2" t="s">
        <v>12</v>
      </c>
      <c r="E1143" s="2" t="s">
        <v>214</v>
      </c>
      <c r="F1143" s="2" t="str">
        <f>HYPERLINK("http://bbs.12365auto.com/postcontent.aspx?tID=195394","http://bbs.12365auto.com/postcontent.aspx?tID=195394")</f>
        <v>http://bbs.12365auto.com/postcontent.aspx?tID=195394</v>
      </c>
      <c r="G1143" s="2"/>
      <c r="H1143" s="2" t="s">
        <v>1795</v>
      </c>
      <c r="I1143" s="2" t="s">
        <v>15</v>
      </c>
      <c r="J1143" s="2" t="s">
        <v>1790</v>
      </c>
      <c r="K1143" s="2" t="s">
        <v>1793</v>
      </c>
      <c r="L1143" s="2">
        <f t="shared" si="17"/>
        <v>150</v>
      </c>
    </row>
    <row r="1144" spans="1:12" ht="25" customHeight="1">
      <c r="A1144" s="2" t="s">
        <v>12</v>
      </c>
      <c r="B1144" s="2" t="str">
        <f>HYPERLINK("http://bbs.12365auto.com/postcontent.aspx?tID=195392","5款自主最美内饰车 排第一的你认可吗？")</f>
        <v>5款自主最美内饰车 排第一的你认可吗？</v>
      </c>
      <c r="C1144" s="2" t="s">
        <v>13</v>
      </c>
      <c r="D1144" s="2" t="s">
        <v>12</v>
      </c>
      <c r="E1144" s="2" t="s">
        <v>214</v>
      </c>
      <c r="F1144" s="2" t="str">
        <f>HYPERLINK("http://bbs.12365auto.com/postcontent.aspx?tID=195392","http://bbs.12365auto.com/postcontent.aspx?tID=195392")</f>
        <v>http://bbs.12365auto.com/postcontent.aspx?tID=195392</v>
      </c>
      <c r="G1144" s="2"/>
      <c r="H1144" s="2" t="s">
        <v>1796</v>
      </c>
      <c r="I1144" s="2" t="s">
        <v>15</v>
      </c>
      <c r="J1144" s="2" t="s">
        <v>1790</v>
      </c>
      <c r="K1144" s="2" t="s">
        <v>1793</v>
      </c>
      <c r="L1144" s="2">
        <f t="shared" si="17"/>
        <v>150</v>
      </c>
    </row>
    <row r="1145" spans="1:12" ht="25" customHeight="1">
      <c r="A1145" s="2" t="s">
        <v>12</v>
      </c>
      <c r="B1145" s="2" t="str">
        <f>HYPERLINK("http://bbs.12365auto.com/postcontent.aspx?tID=195393","新款“屌丝三宝”能屌出新高度吗？")</f>
        <v>新款“屌丝三宝”能屌出新高度吗？</v>
      </c>
      <c r="C1145" s="2" t="s">
        <v>13</v>
      </c>
      <c r="D1145" s="2" t="s">
        <v>12</v>
      </c>
      <c r="E1145" s="2" t="s">
        <v>214</v>
      </c>
      <c r="F1145" s="2" t="str">
        <f>HYPERLINK("http://bbs.12365auto.com/postcontent.aspx?tID=195393","http://bbs.12365auto.com/postcontent.aspx?tID=195393")</f>
        <v>http://bbs.12365auto.com/postcontent.aspx?tID=195393</v>
      </c>
      <c r="G1145" s="2"/>
      <c r="H1145" s="2" t="s">
        <v>1797</v>
      </c>
      <c r="I1145" s="2" t="s">
        <v>15</v>
      </c>
      <c r="J1145" s="2" t="s">
        <v>1790</v>
      </c>
      <c r="K1145" s="2" t="s">
        <v>1793</v>
      </c>
      <c r="L1145" s="2">
        <f t="shared" si="17"/>
        <v>150</v>
      </c>
    </row>
    <row r="1146" spans="1:12" ht="25" customHeight="1">
      <c r="A1146" s="2" t="s">
        <v>12</v>
      </c>
      <c r="B1146" s="2" t="str">
        <f>HYPERLINK("http://m.12365auto.com/bbs/postcontent.aspx?tID=195393","新款“屌丝三宝”能屌出新高度吗？")</f>
        <v>新款“屌丝三宝”能屌出新高度吗？</v>
      </c>
      <c r="C1146" s="2" t="s">
        <v>13</v>
      </c>
      <c r="D1146" s="2" t="s">
        <v>23</v>
      </c>
      <c r="E1146" s="2"/>
      <c r="F1146" s="2" t="str">
        <f>HYPERLINK("http://m.12365auto.com/bbs/postcontent.aspx?tID=195393","http://m.12365auto.com/bbs/postcontent.aspx?tID=195393")</f>
        <v>http://m.12365auto.com/bbs/postcontent.aspx?tID=195393</v>
      </c>
      <c r="G1146" s="2"/>
      <c r="H1146" s="2" t="s">
        <v>1798</v>
      </c>
      <c r="I1146" s="2" t="s">
        <v>15</v>
      </c>
      <c r="J1146" s="2" t="s">
        <v>1790</v>
      </c>
      <c r="K1146" s="2" t="s">
        <v>1793</v>
      </c>
      <c r="L1146" s="2">
        <f t="shared" si="17"/>
        <v>150</v>
      </c>
    </row>
    <row r="1147" spans="1:12" ht="25" customHeight="1">
      <c r="A1147" s="2" t="s">
        <v>12</v>
      </c>
      <c r="B1147" s="2" t="str">
        <f>HYPERLINK("http://m.12365auto.com/bbs/postcontent.aspx?tID=195394","有空间更有实力！这几款MPV最低不到8万元")</f>
        <v>有空间更有实力！这几款MPV最低不到8万元</v>
      </c>
      <c r="C1147" s="2" t="s">
        <v>13</v>
      </c>
      <c r="D1147" s="2" t="s">
        <v>23</v>
      </c>
      <c r="E1147" s="2"/>
      <c r="F1147" s="2" t="str">
        <f>HYPERLINK("http://m.12365auto.com/bbs/postcontent.aspx?tID=195394","http://m.12365auto.com/bbs/postcontent.aspx?tID=195394")</f>
        <v>http://m.12365auto.com/bbs/postcontent.aspx?tID=195394</v>
      </c>
      <c r="G1147" s="2"/>
      <c r="H1147" s="2" t="s">
        <v>1799</v>
      </c>
      <c r="I1147" s="2" t="s">
        <v>15</v>
      </c>
      <c r="J1147" s="2" t="s">
        <v>1790</v>
      </c>
      <c r="K1147" s="2" t="s">
        <v>1793</v>
      </c>
      <c r="L1147" s="2">
        <f t="shared" si="17"/>
        <v>150</v>
      </c>
    </row>
    <row r="1148" spans="1:12" ht="25" customHeight="1">
      <c r="A1148" s="2" t="s">
        <v>12</v>
      </c>
      <c r="B1148" s="2" t="str">
        <f>HYPERLINK("http://m.12365auto.com/bbs/postcontent.aspx?tID=195392","5款自主最美内饰车 排第一的你认可吗？")</f>
        <v>5款自主最美内饰车 排第一的你认可吗？</v>
      </c>
      <c r="C1148" s="2" t="s">
        <v>13</v>
      </c>
      <c r="D1148" s="2" t="s">
        <v>23</v>
      </c>
      <c r="E1148" s="2"/>
      <c r="F1148" s="2" t="str">
        <f>HYPERLINK("http://m.12365auto.com/bbs/postcontent.aspx?tID=195392","http://m.12365auto.com/bbs/postcontent.aspx?tID=195392")</f>
        <v>http://m.12365auto.com/bbs/postcontent.aspx?tID=195392</v>
      </c>
      <c r="G1148" s="2"/>
      <c r="H1148" s="2" t="s">
        <v>1800</v>
      </c>
      <c r="I1148" s="2" t="s">
        <v>15</v>
      </c>
      <c r="J1148" s="2" t="s">
        <v>1790</v>
      </c>
      <c r="K1148" s="2" t="s">
        <v>1793</v>
      </c>
      <c r="L1148" s="2">
        <f t="shared" si="17"/>
        <v>150</v>
      </c>
    </row>
    <row r="1149" spans="1:12" ht="25" customHeight="1">
      <c r="A1149" s="2" t="s">
        <v>12</v>
      </c>
      <c r="B1149" s="2" t="str">
        <f>HYPERLINK("http://bbs.12365auto.com/postcontent.aspx?tId=195392","5款自主最美内饰车 排第一的你认可吗？")</f>
        <v>5款自主最美内饰车 排第一的你认可吗？</v>
      </c>
      <c r="C1149" s="2" t="s">
        <v>13</v>
      </c>
      <c r="D1149" s="2" t="s">
        <v>12</v>
      </c>
      <c r="E1149" s="2" t="s">
        <v>210</v>
      </c>
      <c r="F1149" s="2" t="str">
        <f>HYPERLINK("http://bbs.12365auto.com/postcontent.aspx?tId=195392","http://bbs.12365auto.com/postcontent.aspx?tId=195392")</f>
        <v>http://bbs.12365auto.com/postcontent.aspx?tId=195392</v>
      </c>
      <c r="G1149" s="2"/>
      <c r="H1149" s="2" t="s">
        <v>1800</v>
      </c>
      <c r="I1149" s="2" t="s">
        <v>15</v>
      </c>
      <c r="J1149" s="2" t="s">
        <v>1790</v>
      </c>
      <c r="K1149" s="2" t="s">
        <v>1793</v>
      </c>
      <c r="L1149" s="2">
        <f t="shared" si="17"/>
        <v>150</v>
      </c>
    </row>
    <row r="1150" spans="1:12" ht="25" customHeight="1">
      <c r="A1150" s="2" t="s">
        <v>12</v>
      </c>
      <c r="B1150" s="2" t="str">
        <f>HYPERLINK("http://bbs.12365auto.com/postcontent.aspx?tId=195394","有空间更有实力！这几款MPV最低不到8万元")</f>
        <v>有空间更有实力！这几款MPV最低不到8万元</v>
      </c>
      <c r="C1150" s="2" t="s">
        <v>13</v>
      </c>
      <c r="D1150" s="2" t="s">
        <v>12</v>
      </c>
      <c r="E1150" s="2" t="s">
        <v>210</v>
      </c>
      <c r="F1150" s="2" t="str">
        <f>HYPERLINK("http://bbs.12365auto.com/postcontent.aspx?tId=195394","http://bbs.12365auto.com/postcontent.aspx?tId=195394")</f>
        <v>http://bbs.12365auto.com/postcontent.aspx?tId=195394</v>
      </c>
      <c r="G1150" s="2"/>
      <c r="H1150" s="2" t="s">
        <v>1799</v>
      </c>
      <c r="I1150" s="2" t="s">
        <v>15</v>
      </c>
      <c r="J1150" s="2" t="s">
        <v>1790</v>
      </c>
      <c r="K1150" s="2" t="s">
        <v>1793</v>
      </c>
      <c r="L1150" s="2">
        <f t="shared" si="17"/>
        <v>150</v>
      </c>
    </row>
    <row r="1151" spans="1:12" ht="25" customHeight="1">
      <c r="A1151" s="2" t="s">
        <v>12</v>
      </c>
      <c r="B1151" s="2" t="str">
        <f>HYPERLINK("http://bbs.12365auto.com/postcontent.aspx?tId=195393","新款“屌丝三宝”能屌出新高度吗？")</f>
        <v>新款“屌丝三宝”能屌出新高度吗？</v>
      </c>
      <c r="C1151" s="2" t="s">
        <v>13</v>
      </c>
      <c r="D1151" s="2" t="s">
        <v>12</v>
      </c>
      <c r="E1151" s="2" t="s">
        <v>210</v>
      </c>
      <c r="F1151" s="2" t="str">
        <f>HYPERLINK("http://bbs.12365auto.com/postcontent.aspx?tId=195393","http://bbs.12365auto.com/postcontent.aspx?tId=195393")</f>
        <v>http://bbs.12365auto.com/postcontent.aspx?tId=195393</v>
      </c>
      <c r="G1151" s="2"/>
      <c r="H1151" s="2" t="s">
        <v>1798</v>
      </c>
      <c r="I1151" s="2" t="s">
        <v>15</v>
      </c>
      <c r="J1151" s="2" t="s">
        <v>1790</v>
      </c>
      <c r="K1151" s="2" t="s">
        <v>1793</v>
      </c>
      <c r="L1151" s="2">
        <f t="shared" si="17"/>
        <v>150</v>
      </c>
    </row>
    <row r="1152" spans="1:12" ht="25" customHeight="1">
      <c r="A1152" s="2" t="s">
        <v>12</v>
      </c>
      <c r="B1152" s="2" t="str">
        <f>HYPERLINK("http://bbs.12365auto.com/postcontent.aspx?tID=195390","家庭用MPV需要具备哪些素质？")</f>
        <v>家庭用MPV需要具备哪些素质？</v>
      </c>
      <c r="C1152" s="2" t="s">
        <v>13</v>
      </c>
      <c r="D1152" s="2" t="s">
        <v>12</v>
      </c>
      <c r="E1152" s="2" t="s">
        <v>214</v>
      </c>
      <c r="F1152" s="2" t="str">
        <f>HYPERLINK("http://bbs.12365auto.com/postcontent.aspx?tID=195390","http://bbs.12365auto.com/postcontent.aspx?tID=195390")</f>
        <v>http://bbs.12365auto.com/postcontent.aspx?tID=195390</v>
      </c>
      <c r="G1152" s="2"/>
      <c r="H1152" s="2" t="s">
        <v>1801</v>
      </c>
      <c r="I1152" s="2" t="s">
        <v>15</v>
      </c>
      <c r="J1152" s="2" t="s">
        <v>1790</v>
      </c>
      <c r="K1152" s="2" t="s">
        <v>1802</v>
      </c>
      <c r="L1152" s="2">
        <f t="shared" si="17"/>
        <v>150</v>
      </c>
    </row>
    <row r="1153" spans="1:12" ht="25" customHeight="1">
      <c r="A1153" s="2" t="s">
        <v>12</v>
      </c>
      <c r="B1153" s="2" t="str">
        <f>HYPERLINK("http://bbs.12365auto.com/postcontent.aspx?tID=195391","这些不保值的二手好车 你值得拥有")</f>
        <v>这些不保值的二手好车 你值得拥有</v>
      </c>
      <c r="C1153" s="2" t="s">
        <v>13</v>
      </c>
      <c r="D1153" s="2" t="s">
        <v>12</v>
      </c>
      <c r="E1153" s="2" t="s">
        <v>214</v>
      </c>
      <c r="F1153" s="2" t="str">
        <f>HYPERLINK("http://bbs.12365auto.com/postcontent.aspx?tID=195391","http://bbs.12365auto.com/postcontent.aspx?tID=195391")</f>
        <v>http://bbs.12365auto.com/postcontent.aspx?tID=195391</v>
      </c>
      <c r="G1153" s="2"/>
      <c r="H1153" s="2" t="s">
        <v>1803</v>
      </c>
      <c r="I1153" s="2" t="s">
        <v>15</v>
      </c>
      <c r="J1153" s="2" t="s">
        <v>1790</v>
      </c>
      <c r="K1153" s="2" t="s">
        <v>1802</v>
      </c>
      <c r="L1153" s="2">
        <f t="shared" si="17"/>
        <v>150</v>
      </c>
    </row>
    <row r="1154" spans="1:12" ht="25" customHeight="1">
      <c r="A1154" s="2" t="s">
        <v>12</v>
      </c>
      <c r="B1154" s="2" t="str">
        <f>HYPERLINK("http://m.12365auto.com/bbs/postcontent.aspx?tID=195391","这些不保值的二手好车 你值得拥有")</f>
        <v>这些不保值的二手好车 你值得拥有</v>
      </c>
      <c r="C1154" s="2" t="s">
        <v>13</v>
      </c>
      <c r="D1154" s="2" t="s">
        <v>23</v>
      </c>
      <c r="E1154" s="2"/>
      <c r="F1154" s="2" t="str">
        <f>HYPERLINK("http://m.12365auto.com/bbs/postcontent.aspx?tID=195391","http://m.12365auto.com/bbs/postcontent.aspx?tID=195391")</f>
        <v>http://m.12365auto.com/bbs/postcontent.aspx?tID=195391</v>
      </c>
      <c r="G1154" s="2"/>
      <c r="H1154" s="2" t="s">
        <v>1804</v>
      </c>
      <c r="I1154" s="2" t="s">
        <v>15</v>
      </c>
      <c r="J1154" s="2" t="s">
        <v>1790</v>
      </c>
      <c r="K1154" s="2" t="s">
        <v>1802</v>
      </c>
      <c r="L1154" s="2">
        <f t="shared" si="17"/>
        <v>150</v>
      </c>
    </row>
    <row r="1155" spans="1:12" ht="25" customHeight="1">
      <c r="A1155" s="2" t="s">
        <v>12</v>
      </c>
      <c r="B1155" s="2" t="str">
        <f>HYPERLINK("http://m.12365auto.com/bbs/postcontent.aspx?tID=195390","家庭用MPV需要具备哪些素质？")</f>
        <v>家庭用MPV需要具备哪些素质？</v>
      </c>
      <c r="C1155" s="2" t="s">
        <v>13</v>
      </c>
      <c r="D1155" s="2" t="s">
        <v>23</v>
      </c>
      <c r="E1155" s="2"/>
      <c r="F1155" s="2" t="str">
        <f>HYPERLINK("http://m.12365auto.com/bbs/postcontent.aspx?tID=195390","http://m.12365auto.com/bbs/postcontent.aspx?tID=195390")</f>
        <v>http://m.12365auto.com/bbs/postcontent.aspx?tID=195390</v>
      </c>
      <c r="G1155" s="2"/>
      <c r="H1155" s="2" t="s">
        <v>1805</v>
      </c>
      <c r="I1155" s="2" t="s">
        <v>15</v>
      </c>
      <c r="J1155" s="2" t="s">
        <v>1790</v>
      </c>
      <c r="K1155" s="2" t="s">
        <v>1802</v>
      </c>
      <c r="L1155" s="2">
        <f t="shared" ref="L1155:L1218" si="18">LEN(H1155)</f>
        <v>150</v>
      </c>
    </row>
    <row r="1156" spans="1:12" ht="25" customHeight="1">
      <c r="A1156" s="2" t="s">
        <v>12</v>
      </c>
      <c r="B1156" s="2" t="str">
        <f>HYPERLINK("http://bbs.12365auto.com/postcontent.aspx?tId=195391","这些不保值的二手好车 你值得拥有")</f>
        <v>这些不保值的二手好车 你值得拥有</v>
      </c>
      <c r="C1156" s="2" t="s">
        <v>13</v>
      </c>
      <c r="D1156" s="2" t="s">
        <v>12</v>
      </c>
      <c r="E1156" s="2" t="s">
        <v>210</v>
      </c>
      <c r="F1156" s="2" t="str">
        <f>HYPERLINK("http://bbs.12365auto.com/postcontent.aspx?tId=195391","http://bbs.12365auto.com/postcontent.aspx?tId=195391")</f>
        <v>http://bbs.12365auto.com/postcontent.aspx?tId=195391</v>
      </c>
      <c r="G1156" s="2"/>
      <c r="H1156" s="2" t="s">
        <v>1804</v>
      </c>
      <c r="I1156" s="2" t="s">
        <v>15</v>
      </c>
      <c r="J1156" s="2" t="s">
        <v>1790</v>
      </c>
      <c r="K1156" s="2" t="s">
        <v>1802</v>
      </c>
      <c r="L1156" s="2">
        <f t="shared" si="18"/>
        <v>150</v>
      </c>
    </row>
    <row r="1157" spans="1:12" ht="25" customHeight="1">
      <c r="A1157" s="2" t="s">
        <v>12</v>
      </c>
      <c r="B1157" s="2" t="str">
        <f>HYPERLINK("http://bbs.12365auto.com/postcontent.aspx?tId=195390","家庭用MPV需要具备哪些素质？")</f>
        <v>家庭用MPV需要具备哪些素质？</v>
      </c>
      <c r="C1157" s="2" t="s">
        <v>13</v>
      </c>
      <c r="D1157" s="2" t="s">
        <v>12</v>
      </c>
      <c r="E1157" s="2" t="s">
        <v>210</v>
      </c>
      <c r="F1157" s="2" t="str">
        <f>HYPERLINK("http://bbs.12365auto.com/postcontent.aspx?tId=195390","http://bbs.12365auto.com/postcontent.aspx?tId=195390")</f>
        <v>http://bbs.12365auto.com/postcontent.aspx?tId=195390</v>
      </c>
      <c r="G1157" s="2"/>
      <c r="H1157" s="2" t="s">
        <v>1805</v>
      </c>
      <c r="I1157" s="2" t="s">
        <v>15</v>
      </c>
      <c r="J1157" s="2" t="s">
        <v>1790</v>
      </c>
      <c r="K1157" s="2" t="s">
        <v>1802</v>
      </c>
      <c r="L1157" s="2">
        <f t="shared" si="18"/>
        <v>150</v>
      </c>
    </row>
    <row r="1158" spans="1:12" ht="25" customHeight="1">
      <c r="A1158" s="2" t="s">
        <v>12</v>
      </c>
      <c r="B1158" s="2" t="str">
        <f>HYPERLINK("http://bbs.12365auto.com/postcontent.aspx?tId=195387","如果你喜欢旅行车 不能错过它")</f>
        <v>如果你喜欢旅行车 不能错过它</v>
      </c>
      <c r="C1158" s="2" t="s">
        <v>13</v>
      </c>
      <c r="D1158" s="2" t="s">
        <v>12</v>
      </c>
      <c r="E1158" s="2" t="s">
        <v>210</v>
      </c>
      <c r="F1158" s="2" t="str">
        <f>HYPERLINK("http://bbs.12365auto.com/postcontent.aspx?tId=195387","http://bbs.12365auto.com/postcontent.aspx?tId=195387")</f>
        <v>http://bbs.12365auto.com/postcontent.aspx?tId=195387</v>
      </c>
      <c r="G1158" s="2"/>
      <c r="H1158" s="2" t="s">
        <v>1806</v>
      </c>
      <c r="I1158" s="2" t="s">
        <v>15</v>
      </c>
      <c r="J1158" s="2" t="s">
        <v>1790</v>
      </c>
      <c r="K1158" s="2" t="s">
        <v>1807</v>
      </c>
      <c r="L1158" s="2">
        <f t="shared" si="18"/>
        <v>150</v>
      </c>
    </row>
    <row r="1159" spans="1:12" ht="25" customHeight="1">
      <c r="A1159" s="2" t="s">
        <v>12</v>
      </c>
      <c r="B1159" s="2" t="str">
        <f>HYPERLINK("http://bbs.12365auto.com/postcontent.aspx?tId=195388","4款落魄的B级车 档次不低 销量扎心了")</f>
        <v>4款落魄的B级车 档次不低 销量扎心了</v>
      </c>
      <c r="C1159" s="2" t="s">
        <v>13</v>
      </c>
      <c r="D1159" s="2" t="s">
        <v>12</v>
      </c>
      <c r="E1159" s="2" t="s">
        <v>210</v>
      </c>
      <c r="F1159" s="2" t="str">
        <f>HYPERLINK("http://bbs.12365auto.com/postcontent.aspx?tId=195388","http://bbs.12365auto.com/postcontent.aspx?tId=195388")</f>
        <v>http://bbs.12365auto.com/postcontent.aspx?tId=195388</v>
      </c>
      <c r="G1159" s="2"/>
      <c r="H1159" s="2" t="s">
        <v>1808</v>
      </c>
      <c r="I1159" s="2" t="s">
        <v>15</v>
      </c>
      <c r="J1159" s="2" t="s">
        <v>1790</v>
      </c>
      <c r="K1159" s="2" t="s">
        <v>1807</v>
      </c>
      <c r="L1159" s="2">
        <f t="shared" si="18"/>
        <v>150</v>
      </c>
    </row>
    <row r="1160" spans="1:12" ht="25" customHeight="1">
      <c r="A1160" s="2" t="s">
        <v>12</v>
      </c>
      <c r="B1160" s="2" t="str">
        <f>HYPERLINK("http://bbs.12365auto.com/postcontent.aspx?tID=195389","年货再多也不怕装不下 “大屁股”旅行车推荐")</f>
        <v>年货再多也不怕装不下 “大屁股”旅行车推荐</v>
      </c>
      <c r="C1160" s="2" t="s">
        <v>13</v>
      </c>
      <c r="D1160" s="2" t="s">
        <v>12</v>
      </c>
      <c r="E1160" s="2" t="s">
        <v>214</v>
      </c>
      <c r="F1160" s="2" t="str">
        <f>HYPERLINK("http://bbs.12365auto.com/postcontent.aspx?tID=195389","http://bbs.12365auto.com/postcontent.aspx?tID=195389")</f>
        <v>http://bbs.12365auto.com/postcontent.aspx?tID=195389</v>
      </c>
      <c r="G1160" s="2"/>
      <c r="H1160" s="2" t="s">
        <v>1809</v>
      </c>
      <c r="I1160" s="2" t="s">
        <v>15</v>
      </c>
      <c r="J1160" s="2" t="s">
        <v>1790</v>
      </c>
      <c r="K1160" s="2" t="s">
        <v>1807</v>
      </c>
      <c r="L1160" s="2">
        <f t="shared" si="18"/>
        <v>150</v>
      </c>
    </row>
    <row r="1161" spans="1:12" ht="25" customHeight="1">
      <c r="A1161" s="2" t="s">
        <v>12</v>
      </c>
      <c r="B1161" s="2" t="str">
        <f>HYPERLINK("http://bbs.12365auto.com/postcontent.aspx?tID=195387","如果你喜欢旅行车 不能错过它")</f>
        <v>如果你喜欢旅行车 不能错过它</v>
      </c>
      <c r="C1161" s="2" t="s">
        <v>13</v>
      </c>
      <c r="D1161" s="2" t="s">
        <v>12</v>
      </c>
      <c r="E1161" s="2" t="s">
        <v>214</v>
      </c>
      <c r="F1161" s="2" t="str">
        <f>HYPERLINK("http://bbs.12365auto.com/postcontent.aspx?tID=195387","http://bbs.12365auto.com/postcontent.aspx?tID=195387")</f>
        <v>http://bbs.12365auto.com/postcontent.aspx?tID=195387</v>
      </c>
      <c r="G1161" s="2"/>
      <c r="H1161" s="2" t="s">
        <v>1810</v>
      </c>
      <c r="I1161" s="2" t="s">
        <v>15</v>
      </c>
      <c r="J1161" s="2" t="s">
        <v>1790</v>
      </c>
      <c r="K1161" s="2" t="s">
        <v>1807</v>
      </c>
      <c r="L1161" s="2">
        <f t="shared" si="18"/>
        <v>150</v>
      </c>
    </row>
    <row r="1162" spans="1:12" ht="25" customHeight="1">
      <c r="A1162" s="2" t="s">
        <v>12</v>
      </c>
      <c r="B1162" s="2" t="str">
        <f>HYPERLINK("http://bbs.12365auto.com/postcontent.aspx?tID=195388","4款落魄的B级车 档次不低 销量扎心了")</f>
        <v>4款落魄的B级车 档次不低 销量扎心了</v>
      </c>
      <c r="C1162" s="2" t="s">
        <v>13</v>
      </c>
      <c r="D1162" s="2" t="s">
        <v>12</v>
      </c>
      <c r="E1162" s="2" t="s">
        <v>214</v>
      </c>
      <c r="F1162" s="2" t="str">
        <f>HYPERLINK("http://bbs.12365auto.com/postcontent.aspx?tID=195388","http://bbs.12365auto.com/postcontent.aspx?tID=195388")</f>
        <v>http://bbs.12365auto.com/postcontent.aspx?tID=195388</v>
      </c>
      <c r="G1162" s="2"/>
      <c r="H1162" s="2" t="s">
        <v>1811</v>
      </c>
      <c r="I1162" s="2" t="s">
        <v>15</v>
      </c>
      <c r="J1162" s="2" t="s">
        <v>1790</v>
      </c>
      <c r="K1162" s="2" t="s">
        <v>1807</v>
      </c>
      <c r="L1162" s="2">
        <f t="shared" si="18"/>
        <v>150</v>
      </c>
    </row>
    <row r="1163" spans="1:12" ht="25" customHeight="1">
      <c r="A1163" s="2" t="s">
        <v>12</v>
      </c>
      <c r="B1163" s="2" t="str">
        <f>HYPERLINK("http://m.12365auto.com/bbs/postcontent.aspx?tID=195389","年货再多也不怕装不下 “大屁股”旅行车推荐")</f>
        <v>年货再多也不怕装不下 “大屁股”旅行车推荐</v>
      </c>
      <c r="C1163" s="2" t="s">
        <v>13</v>
      </c>
      <c r="D1163" s="2" t="s">
        <v>23</v>
      </c>
      <c r="E1163" s="2"/>
      <c r="F1163" s="2" t="str">
        <f>HYPERLINK("http://m.12365auto.com/bbs/postcontent.aspx?tID=195389","http://m.12365auto.com/bbs/postcontent.aspx?tID=195389")</f>
        <v>http://m.12365auto.com/bbs/postcontent.aspx?tID=195389</v>
      </c>
      <c r="G1163" s="2"/>
      <c r="H1163" s="2" t="s">
        <v>1812</v>
      </c>
      <c r="I1163" s="2" t="s">
        <v>15</v>
      </c>
      <c r="J1163" s="2" t="s">
        <v>1790</v>
      </c>
      <c r="K1163" s="2" t="s">
        <v>1807</v>
      </c>
      <c r="L1163" s="2">
        <f t="shared" si="18"/>
        <v>150</v>
      </c>
    </row>
    <row r="1164" spans="1:12" ht="25" customHeight="1">
      <c r="A1164" s="2" t="s">
        <v>12</v>
      </c>
      <c r="B1164" s="2" t="str">
        <f>HYPERLINK("http://m.12365auto.com/bbs/postcontent.aspx?tID=195388","4款落魄的B级车 档次不低 销量扎心了")</f>
        <v>4款落魄的B级车 档次不低 销量扎心了</v>
      </c>
      <c r="C1164" s="2" t="s">
        <v>13</v>
      </c>
      <c r="D1164" s="2" t="s">
        <v>23</v>
      </c>
      <c r="E1164" s="2"/>
      <c r="F1164" s="2" t="str">
        <f>HYPERLINK("http://m.12365auto.com/bbs/postcontent.aspx?tID=195388","http://m.12365auto.com/bbs/postcontent.aspx?tID=195388")</f>
        <v>http://m.12365auto.com/bbs/postcontent.aspx?tID=195388</v>
      </c>
      <c r="G1164" s="2"/>
      <c r="H1164" s="2" t="s">
        <v>1808</v>
      </c>
      <c r="I1164" s="2" t="s">
        <v>15</v>
      </c>
      <c r="J1164" s="2" t="s">
        <v>1790</v>
      </c>
      <c r="K1164" s="2" t="s">
        <v>1807</v>
      </c>
      <c r="L1164" s="2">
        <f t="shared" si="18"/>
        <v>150</v>
      </c>
    </row>
    <row r="1165" spans="1:12" ht="25" customHeight="1">
      <c r="A1165" s="2" t="s">
        <v>12</v>
      </c>
      <c r="B1165" s="2" t="str">
        <f>HYPERLINK("http://m.12365auto.com/bbs/postcontent.aspx?tID=195387","如果你喜欢旅行车 不能错过它")</f>
        <v>如果你喜欢旅行车 不能错过它</v>
      </c>
      <c r="C1165" s="2" t="s">
        <v>13</v>
      </c>
      <c r="D1165" s="2" t="s">
        <v>23</v>
      </c>
      <c r="E1165" s="2"/>
      <c r="F1165" s="2" t="str">
        <f>HYPERLINK("http://m.12365auto.com/bbs/postcontent.aspx?tID=195387","http://m.12365auto.com/bbs/postcontent.aspx?tID=195387")</f>
        <v>http://m.12365auto.com/bbs/postcontent.aspx?tID=195387</v>
      </c>
      <c r="G1165" s="2"/>
      <c r="H1165" s="2" t="s">
        <v>1806</v>
      </c>
      <c r="I1165" s="2" t="s">
        <v>15</v>
      </c>
      <c r="J1165" s="2" t="s">
        <v>1790</v>
      </c>
      <c r="K1165" s="2" t="s">
        <v>1807</v>
      </c>
      <c r="L1165" s="2">
        <f t="shared" si="18"/>
        <v>150</v>
      </c>
    </row>
    <row r="1166" spans="1:12" ht="25" customHeight="1">
      <c r="A1166" s="2" t="s">
        <v>12</v>
      </c>
      <c r="B1166" s="2" t="str">
        <f>HYPERLINK("http://bbs.12365auto.com/postcontent.aspx?tId=195389","年货再多也不怕装不下 “大屁股”旅行车推荐")</f>
        <v>年货再多也不怕装不下 “大屁股”旅行车推荐</v>
      </c>
      <c r="C1166" s="2" t="s">
        <v>13</v>
      </c>
      <c r="D1166" s="2" t="s">
        <v>12</v>
      </c>
      <c r="E1166" s="2" t="s">
        <v>210</v>
      </c>
      <c r="F1166" s="2" t="str">
        <f>HYPERLINK("http://bbs.12365auto.com/postcontent.aspx?tId=195389","http://bbs.12365auto.com/postcontent.aspx?tId=195389")</f>
        <v>http://bbs.12365auto.com/postcontent.aspx?tId=195389</v>
      </c>
      <c r="G1166" s="2"/>
      <c r="H1166" s="2" t="s">
        <v>1812</v>
      </c>
      <c r="I1166" s="2" t="s">
        <v>15</v>
      </c>
      <c r="J1166" s="2" t="s">
        <v>1790</v>
      </c>
      <c r="K1166" s="2" t="s">
        <v>1807</v>
      </c>
      <c r="L1166" s="2">
        <f t="shared" si="18"/>
        <v>150</v>
      </c>
    </row>
    <row r="1167" spans="1:12" ht="25" customHeight="1">
      <c r="A1167" s="2" t="s">
        <v>12</v>
      </c>
      <c r="B1167" s="2" t="str">
        <f>HYPERLINK("http://bbs.12365auto.com/postcontent.aspx?tId=195386","狂野 粗犷 霸气 这4款美系中型SUV你喜欢吗？")</f>
        <v>狂野 粗犷 霸气 这4款美系中型SUV你喜欢吗？</v>
      </c>
      <c r="C1167" s="2" t="s">
        <v>13</v>
      </c>
      <c r="D1167" s="2" t="s">
        <v>12</v>
      </c>
      <c r="E1167" s="2" t="s">
        <v>210</v>
      </c>
      <c r="F1167" s="2" t="str">
        <f>HYPERLINK("http://bbs.12365auto.com/postcontent.aspx?tId=195386","http://bbs.12365auto.com/postcontent.aspx?tId=195386")</f>
        <v>http://bbs.12365auto.com/postcontent.aspx?tId=195386</v>
      </c>
      <c r="G1167" s="2"/>
      <c r="H1167" s="2" t="s">
        <v>1813</v>
      </c>
      <c r="I1167" s="2" t="s">
        <v>15</v>
      </c>
      <c r="J1167" s="2" t="s">
        <v>1790</v>
      </c>
      <c r="K1167" s="2" t="s">
        <v>1814</v>
      </c>
      <c r="L1167" s="2">
        <f t="shared" si="18"/>
        <v>150</v>
      </c>
    </row>
    <row r="1168" spans="1:12" ht="25" customHeight="1">
      <c r="A1168" s="2" t="s">
        <v>12</v>
      </c>
      <c r="B1168" s="2" t="str">
        <f>HYPERLINK("http://bbs.12365auto.com/postcontent.aspx?tId=195385","买哪款都不会错 这5款上新不久的SUV是真的强")</f>
        <v>买哪款都不会错 这5款上新不久的SUV是真的强</v>
      </c>
      <c r="C1168" s="2" t="s">
        <v>13</v>
      </c>
      <c r="D1168" s="2" t="s">
        <v>12</v>
      </c>
      <c r="E1168" s="2" t="s">
        <v>210</v>
      </c>
      <c r="F1168" s="2" t="str">
        <f>HYPERLINK("http://bbs.12365auto.com/postcontent.aspx?tId=195385","http://bbs.12365auto.com/postcontent.aspx?tId=195385")</f>
        <v>http://bbs.12365auto.com/postcontent.aspx?tId=195385</v>
      </c>
      <c r="G1168" s="2"/>
      <c r="H1168" s="2" t="s">
        <v>1815</v>
      </c>
      <c r="I1168" s="2" t="s">
        <v>15</v>
      </c>
      <c r="J1168" s="2" t="s">
        <v>1790</v>
      </c>
      <c r="K1168" s="2" t="s">
        <v>1814</v>
      </c>
      <c r="L1168" s="2">
        <f t="shared" si="18"/>
        <v>150</v>
      </c>
    </row>
    <row r="1169" spans="1:12" ht="25" customHeight="1">
      <c r="A1169" s="2" t="s">
        <v>12</v>
      </c>
      <c r="B1169" s="2" t="str">
        <f>HYPERLINK("http://bbs.12365auto.com/postcontent.aspx?tID=195385","买哪款都不会错 这5款上新不久的SUV是真的强")</f>
        <v>买哪款都不会错 这5款上新不久的SUV是真的强</v>
      </c>
      <c r="C1169" s="2" t="s">
        <v>13</v>
      </c>
      <c r="D1169" s="2" t="s">
        <v>12</v>
      </c>
      <c r="E1169" s="2" t="s">
        <v>214</v>
      </c>
      <c r="F1169" s="2" t="str">
        <f>HYPERLINK("http://bbs.12365auto.com/postcontent.aspx?tID=195385","http://bbs.12365auto.com/postcontent.aspx?tID=195385")</f>
        <v>http://bbs.12365auto.com/postcontent.aspx?tID=195385</v>
      </c>
      <c r="G1169" s="2"/>
      <c r="H1169" s="2" t="s">
        <v>1816</v>
      </c>
      <c r="I1169" s="2" t="s">
        <v>15</v>
      </c>
      <c r="J1169" s="2" t="s">
        <v>1790</v>
      </c>
      <c r="K1169" s="2" t="s">
        <v>1814</v>
      </c>
      <c r="L1169" s="2">
        <f t="shared" si="18"/>
        <v>150</v>
      </c>
    </row>
    <row r="1170" spans="1:12" ht="25" customHeight="1">
      <c r="A1170" s="2" t="s">
        <v>12</v>
      </c>
      <c r="B1170" s="2" t="str">
        <f>HYPERLINK("http://bbs.12365auto.com/postcontent.aspx?tID=195386","狂野 粗犷 霸气 这4款美系中型SUV你喜欢吗？")</f>
        <v>狂野 粗犷 霸气 这4款美系中型SUV你喜欢吗？</v>
      </c>
      <c r="C1170" s="2" t="s">
        <v>13</v>
      </c>
      <c r="D1170" s="2" t="s">
        <v>12</v>
      </c>
      <c r="E1170" s="2" t="s">
        <v>214</v>
      </c>
      <c r="F1170" s="2" t="str">
        <f>HYPERLINK("http://bbs.12365auto.com/postcontent.aspx?tID=195386","http://bbs.12365auto.com/postcontent.aspx?tID=195386")</f>
        <v>http://bbs.12365auto.com/postcontent.aspx?tID=195386</v>
      </c>
      <c r="G1170" s="2"/>
      <c r="H1170" s="2" t="s">
        <v>1817</v>
      </c>
      <c r="I1170" s="2" t="s">
        <v>15</v>
      </c>
      <c r="J1170" s="2" t="s">
        <v>1790</v>
      </c>
      <c r="K1170" s="2" t="s">
        <v>1814</v>
      </c>
      <c r="L1170" s="2">
        <f t="shared" si="18"/>
        <v>150</v>
      </c>
    </row>
    <row r="1171" spans="1:12" ht="25" customHeight="1">
      <c r="A1171" s="2" t="s">
        <v>12</v>
      </c>
      <c r="B1171" s="2" t="str">
        <f>HYPERLINK("http://m.12365auto.com/bbs/postcontent.aspx?tID=195386","狂野 粗犷 霸气 这4款美系中型SUV你喜欢吗？")</f>
        <v>狂野 粗犷 霸气 这4款美系中型SUV你喜欢吗？</v>
      </c>
      <c r="C1171" s="2" t="s">
        <v>13</v>
      </c>
      <c r="D1171" s="2" t="s">
        <v>23</v>
      </c>
      <c r="E1171" s="2"/>
      <c r="F1171" s="2" t="str">
        <f>HYPERLINK("http://m.12365auto.com/bbs/postcontent.aspx?tID=195386","http://m.12365auto.com/bbs/postcontent.aspx?tID=195386")</f>
        <v>http://m.12365auto.com/bbs/postcontent.aspx?tID=195386</v>
      </c>
      <c r="G1171" s="2"/>
      <c r="H1171" s="2" t="s">
        <v>1813</v>
      </c>
      <c r="I1171" s="2" t="s">
        <v>15</v>
      </c>
      <c r="J1171" s="2" t="s">
        <v>1790</v>
      </c>
      <c r="K1171" s="2" t="s">
        <v>1814</v>
      </c>
      <c r="L1171" s="2">
        <f t="shared" si="18"/>
        <v>150</v>
      </c>
    </row>
    <row r="1172" spans="1:12" ht="25" customHeight="1">
      <c r="A1172" s="2" t="s">
        <v>12</v>
      </c>
      <c r="B1172" s="2" t="str">
        <f>HYPERLINK("http://bbs.12365auto.com/postcontent.aspx?tId=195384","买MPV还是7座SUV？不想清楚钱就花得太不值了")</f>
        <v>买MPV还是7座SUV？不想清楚钱就花得太不值了</v>
      </c>
      <c r="C1172" s="2" t="s">
        <v>13</v>
      </c>
      <c r="D1172" s="2" t="s">
        <v>12</v>
      </c>
      <c r="E1172" s="2" t="s">
        <v>210</v>
      </c>
      <c r="F1172" s="2" t="str">
        <f>HYPERLINK("http://bbs.12365auto.com/postcontent.aspx?tId=195384","http://bbs.12365auto.com/postcontent.aspx?tId=195384")</f>
        <v>http://bbs.12365auto.com/postcontent.aspx?tId=195384</v>
      </c>
      <c r="G1172" s="2"/>
      <c r="H1172" s="2" t="s">
        <v>1818</v>
      </c>
      <c r="I1172" s="2" t="s">
        <v>15</v>
      </c>
      <c r="J1172" s="2" t="s">
        <v>1790</v>
      </c>
      <c r="K1172" s="2" t="s">
        <v>1819</v>
      </c>
      <c r="L1172" s="2">
        <f t="shared" si="18"/>
        <v>150</v>
      </c>
    </row>
    <row r="1173" spans="1:12" ht="25" customHeight="1">
      <c r="A1173" s="2" t="s">
        <v>12</v>
      </c>
      <c r="B1173" s="2" t="str">
        <f>HYPERLINK("http://www.12365auto.com/zlts/20200227/448966.shtml","威马EX5电瓶断电无法启动要求厂家解决")</f>
        <v>威马EX5电瓶断电无法启动要求厂家解决</v>
      </c>
      <c r="C1173" s="2" t="s">
        <v>13</v>
      </c>
      <c r="D1173" s="2" t="s">
        <v>12</v>
      </c>
      <c r="E1173" s="2" t="s">
        <v>17</v>
      </c>
      <c r="F1173" s="2" t="str">
        <f>HYPERLINK("http://www.12365auto.com/zlts/20200227/448966.shtml","http://www.12365auto.com/zlts/20200227/448966.shtml")</f>
        <v>http://www.12365auto.com/zlts/20200227/448966.shtml</v>
      </c>
      <c r="G1173" s="2"/>
      <c r="H1173" s="2" t="s">
        <v>1820</v>
      </c>
      <c r="I1173" s="2" t="s">
        <v>15</v>
      </c>
      <c r="J1173" s="2" t="s">
        <v>12</v>
      </c>
      <c r="K1173" s="2" t="s">
        <v>1819</v>
      </c>
      <c r="L1173" s="2">
        <f t="shared" si="18"/>
        <v>150</v>
      </c>
    </row>
    <row r="1174" spans="1:12" ht="25" customHeight="1">
      <c r="A1174" s="2" t="s">
        <v>12</v>
      </c>
      <c r="B1174" s="2" t="str">
        <f>HYPERLINK("http://m.12365auto.com/xcdg/20200227/419695.shtml","大众Polo三厢版官图曝光 今夏于俄罗斯上市")</f>
        <v>大众Polo三厢版官图曝光 今夏于俄罗斯上市</v>
      </c>
      <c r="C1174" s="2" t="s">
        <v>13</v>
      </c>
      <c r="D1174" s="2" t="s">
        <v>12</v>
      </c>
      <c r="E1174" s="2"/>
      <c r="F1174" s="2" t="str">
        <f>HYPERLINK("http://m.12365auto.com/xcdg/20200227/419695.shtml","http://m.12365auto.com/xcdg/20200227/419695.shtml")</f>
        <v>http://m.12365auto.com/xcdg/20200227/419695.shtml</v>
      </c>
      <c r="G1174" s="2"/>
      <c r="H1174" s="2" t="s">
        <v>1821</v>
      </c>
      <c r="I1174" s="2" t="s">
        <v>19</v>
      </c>
      <c r="J1174" s="2" t="s">
        <v>984</v>
      </c>
      <c r="K1174" s="2" t="s">
        <v>1819</v>
      </c>
      <c r="L1174" s="2">
        <f t="shared" si="18"/>
        <v>150</v>
      </c>
    </row>
    <row r="1175" spans="1:12" ht="25" customHeight="1">
      <c r="A1175" s="2" t="s">
        <v>12</v>
      </c>
      <c r="B1175" s="2" t="str">
        <f>HYPERLINK("http://bbs.12365auto.com/postcontent.aspx?tID=195384","买MPV还是7座SUV？不想清楚钱就花得太不值了")</f>
        <v>买MPV还是7座SUV？不想清楚钱就花得太不值了</v>
      </c>
      <c r="C1175" s="2" t="s">
        <v>13</v>
      </c>
      <c r="D1175" s="2" t="s">
        <v>12</v>
      </c>
      <c r="E1175" s="2" t="s">
        <v>214</v>
      </c>
      <c r="F1175" s="2" t="str">
        <f>HYPERLINK("http://bbs.12365auto.com/postcontent.aspx?tID=195384","http://bbs.12365auto.com/postcontent.aspx?tID=195384")</f>
        <v>http://bbs.12365auto.com/postcontent.aspx?tID=195384</v>
      </c>
      <c r="G1175" s="2"/>
      <c r="H1175" s="2" t="s">
        <v>1822</v>
      </c>
      <c r="I1175" s="2" t="s">
        <v>15</v>
      </c>
      <c r="J1175" s="2" t="s">
        <v>1790</v>
      </c>
      <c r="K1175" s="2" t="s">
        <v>1819</v>
      </c>
      <c r="L1175" s="2">
        <f t="shared" si="18"/>
        <v>150</v>
      </c>
    </row>
    <row r="1176" spans="1:12" ht="25" customHeight="1">
      <c r="A1176" s="2" t="s">
        <v>12</v>
      </c>
      <c r="B1176" s="2" t="str">
        <f>HYPERLINK("http://www.12365auto.com/xcdg/20200227/419695.shtml","大众Polo三厢版官图曝光 今夏于俄罗斯上市")</f>
        <v>大众Polo三厢版官图曝光 今夏于俄罗斯上市</v>
      </c>
      <c r="C1176" s="2" t="s">
        <v>13</v>
      </c>
      <c r="D1176" s="2" t="s">
        <v>12</v>
      </c>
      <c r="E1176" s="2" t="s">
        <v>245</v>
      </c>
      <c r="F1176" s="2" t="str">
        <f>HYPERLINK("http://www.12365auto.com/xcdg/20200227/419695.shtml","http://www.12365auto.com/xcdg/20200227/419695.shtml")</f>
        <v>http://www.12365auto.com/xcdg/20200227/419695.shtml</v>
      </c>
      <c r="G1176" s="2"/>
      <c r="H1176" s="2" t="s">
        <v>1823</v>
      </c>
      <c r="I1176" s="2" t="s">
        <v>19</v>
      </c>
      <c r="J1176" s="2" t="s">
        <v>12</v>
      </c>
      <c r="K1176" s="2" t="s">
        <v>1819</v>
      </c>
      <c r="L1176" s="2">
        <f t="shared" si="18"/>
        <v>150</v>
      </c>
    </row>
    <row r="1177" spans="1:12" ht="25" customHeight="1">
      <c r="A1177" s="2" t="s">
        <v>12</v>
      </c>
      <c r="B1177" s="2" t="str">
        <f>HYPERLINK("http://www.12365auto.com/zlts/20200227/448965.shtml","东风标致308油表不准严重影响使用")</f>
        <v>东风标致308油表不准严重影响使用</v>
      </c>
      <c r="C1177" s="2" t="s">
        <v>13</v>
      </c>
      <c r="D1177" s="2" t="s">
        <v>12</v>
      </c>
      <c r="E1177" s="2" t="s">
        <v>17</v>
      </c>
      <c r="F1177" s="2" t="str">
        <f>HYPERLINK("http://www.12365auto.com/zlts/20200227/448965.shtml","http://www.12365auto.com/zlts/20200227/448965.shtml")</f>
        <v>http://www.12365auto.com/zlts/20200227/448965.shtml</v>
      </c>
      <c r="G1177" s="2"/>
      <c r="H1177" s="2" t="s">
        <v>1824</v>
      </c>
      <c r="I1177" s="2" t="s">
        <v>19</v>
      </c>
      <c r="J1177" s="2" t="s">
        <v>12</v>
      </c>
      <c r="K1177" s="2" t="s">
        <v>1825</v>
      </c>
      <c r="L1177" s="2">
        <f t="shared" si="18"/>
        <v>150</v>
      </c>
    </row>
    <row r="1178" spans="1:12" ht="25" customHeight="1">
      <c r="A1178" s="2" t="s">
        <v>12</v>
      </c>
      <c r="B1178" s="2" t="str">
        <f>HYPERLINK("http://m.12365auto.com/news/20200227/419694.shtml","东风雪铁龙新车规划 年内推天逸PHEV/C3L等")</f>
        <v>东风雪铁龙新车规划 年内推天逸PHEV/C3L等</v>
      </c>
      <c r="C1178" s="2" t="s">
        <v>13</v>
      </c>
      <c r="D1178" s="2" t="s">
        <v>12</v>
      </c>
      <c r="E1178" s="2"/>
      <c r="F1178" s="2" t="str">
        <f>HYPERLINK("http://m.12365auto.com/news/20200227/419694.shtml","http://m.12365auto.com/news/20200227/419694.shtml")</f>
        <v>http://m.12365auto.com/news/20200227/419694.shtml</v>
      </c>
      <c r="G1178" s="2"/>
      <c r="H1178" s="2" t="s">
        <v>1826</v>
      </c>
      <c r="I1178" s="2" t="s">
        <v>19</v>
      </c>
      <c r="J1178" s="2" t="s">
        <v>1827</v>
      </c>
      <c r="K1178" s="2" t="s">
        <v>1828</v>
      </c>
      <c r="L1178" s="2">
        <f t="shared" si="18"/>
        <v>150</v>
      </c>
    </row>
    <row r="1179" spans="1:12" ht="25" customHeight="1">
      <c r="A1179" s="2" t="s">
        <v>12</v>
      </c>
      <c r="B1179" s="2" t="str">
        <f>HYPERLINK("http://www.12365auto.com/news/20200227/419694.shtml","东风雪铁龙新车规划 年内推天逸PHEV/C3L等")</f>
        <v>东风雪铁龙新车规划 年内推天逸PHEV/C3L等</v>
      </c>
      <c r="C1179" s="2" t="s">
        <v>13</v>
      </c>
      <c r="D1179" s="2" t="s">
        <v>12</v>
      </c>
      <c r="E1179" s="2" t="s">
        <v>282</v>
      </c>
      <c r="F1179" s="2" t="str">
        <f>HYPERLINK("http://www.12365auto.com/news/20200227/419694.shtml","http://www.12365auto.com/news/20200227/419694.shtml")</f>
        <v>http://www.12365auto.com/news/20200227/419694.shtml</v>
      </c>
      <c r="G1179" s="2"/>
      <c r="H1179" s="2" t="s">
        <v>1829</v>
      </c>
      <c r="I1179" s="2" t="s">
        <v>19</v>
      </c>
      <c r="J1179" s="2" t="s">
        <v>12</v>
      </c>
      <c r="K1179" s="2" t="s">
        <v>1828</v>
      </c>
      <c r="L1179" s="2">
        <f t="shared" si="18"/>
        <v>150</v>
      </c>
    </row>
    <row r="1180" spans="1:12" ht="25" customHeight="1">
      <c r="A1180" s="2" t="s">
        <v>12</v>
      </c>
      <c r="B1180" s="2" t="str">
        <f>HYPERLINK("http://m.12365auto.com/xcdg/20200227/419693.shtml","谁更有面子？35万元豪华品牌SUV奥迪对路虎")</f>
        <v>谁更有面子？35万元豪华品牌SUV奥迪对路虎</v>
      </c>
      <c r="C1180" s="2" t="s">
        <v>13</v>
      </c>
      <c r="D1180" s="2" t="s">
        <v>12</v>
      </c>
      <c r="E1180" s="2"/>
      <c r="F1180" s="2" t="str">
        <f>HYPERLINK("http://m.12365auto.com/xcdg/20200227/419693.shtml","http://m.12365auto.com/xcdg/20200227/419693.shtml")</f>
        <v>http://m.12365auto.com/xcdg/20200227/419693.shtml</v>
      </c>
      <c r="G1180" s="2"/>
      <c r="H1180" s="2" t="s">
        <v>1830</v>
      </c>
      <c r="I1180" s="2" t="s">
        <v>19</v>
      </c>
      <c r="J1180" s="2" t="s">
        <v>1831</v>
      </c>
      <c r="K1180" s="2" t="s">
        <v>1832</v>
      </c>
      <c r="L1180" s="2">
        <f t="shared" si="18"/>
        <v>150</v>
      </c>
    </row>
    <row r="1181" spans="1:12" ht="25" customHeight="1">
      <c r="A1181" s="2" t="s">
        <v>12</v>
      </c>
      <c r="B1181" s="2" t="str">
        <f>HYPERLINK("http://m.12365auto.com/news/20200227/419692.shtml","哪吒U将3月下旬上市 工厂已正式复工")</f>
        <v>哪吒U将3月下旬上市 工厂已正式复工</v>
      </c>
      <c r="C1181" s="2" t="s">
        <v>13</v>
      </c>
      <c r="D1181" s="2" t="s">
        <v>12</v>
      </c>
      <c r="E1181" s="2"/>
      <c r="F1181" s="2" t="str">
        <f>HYPERLINK("http://m.12365auto.com/news/20200227/419692.shtml","http://m.12365auto.com/news/20200227/419692.shtml")</f>
        <v>http://m.12365auto.com/news/20200227/419692.shtml</v>
      </c>
      <c r="G1181" s="2"/>
      <c r="H1181" s="2" t="s">
        <v>1833</v>
      </c>
      <c r="I1181" s="2" t="s">
        <v>19</v>
      </c>
      <c r="J1181" s="2" t="s">
        <v>1834</v>
      </c>
      <c r="K1181" s="2" t="s">
        <v>1835</v>
      </c>
      <c r="L1181" s="2">
        <f t="shared" si="18"/>
        <v>149</v>
      </c>
    </row>
    <row r="1182" spans="1:12" ht="25" customHeight="1">
      <c r="A1182" s="2" t="s">
        <v>12</v>
      </c>
      <c r="B1182" s="2" t="str">
        <f>HYPERLINK("http://www.12365auto.com/news/20200227/419692.shtml","哪吒U将3月下旬上市 工厂已正式复工")</f>
        <v>哪吒U将3月下旬上市 工厂已正式复工</v>
      </c>
      <c r="C1182" s="2" t="s">
        <v>13</v>
      </c>
      <c r="D1182" s="2" t="s">
        <v>12</v>
      </c>
      <c r="E1182" s="2" t="s">
        <v>282</v>
      </c>
      <c r="F1182" s="2" t="str">
        <f>HYPERLINK("http://www.12365auto.com/news/20200227/419692.shtml","http://www.12365auto.com/news/20200227/419692.shtml")</f>
        <v>http://www.12365auto.com/news/20200227/419692.shtml</v>
      </c>
      <c r="G1182" s="2"/>
      <c r="H1182" s="2" t="s">
        <v>1836</v>
      </c>
      <c r="I1182" s="2" t="s">
        <v>19</v>
      </c>
      <c r="J1182" s="2" t="s">
        <v>12</v>
      </c>
      <c r="K1182" s="2" t="s">
        <v>1835</v>
      </c>
      <c r="L1182" s="2">
        <f t="shared" si="18"/>
        <v>149</v>
      </c>
    </row>
    <row r="1183" spans="1:12" ht="25" customHeight="1">
      <c r="A1183" s="2" t="s">
        <v>12</v>
      </c>
      <c r="B1183" s="2" t="str">
        <f>HYPERLINK("http://m.12365auto.com/xcdg/20200227/419691.shtml","新马王诞生？LaFerrari拉法继任者Stallone")</f>
        <v>新马王诞生？LaFerrari拉法继任者Stallone</v>
      </c>
      <c r="C1183" s="2" t="s">
        <v>13</v>
      </c>
      <c r="D1183" s="2" t="s">
        <v>12</v>
      </c>
      <c r="E1183" s="2"/>
      <c r="F1183" s="2" t="str">
        <f>HYPERLINK("http://m.12365auto.com/xcdg/20200227/419691.shtml","http://m.12365auto.com/xcdg/20200227/419691.shtml")</f>
        <v>http://m.12365auto.com/xcdg/20200227/419691.shtml</v>
      </c>
      <c r="G1183" s="2"/>
      <c r="H1183" s="2" t="s">
        <v>1837</v>
      </c>
      <c r="I1183" s="2" t="s">
        <v>19</v>
      </c>
      <c r="J1183" s="2" t="s">
        <v>1009</v>
      </c>
      <c r="K1183" s="2" t="s">
        <v>1838</v>
      </c>
      <c r="L1183" s="2">
        <f t="shared" si="18"/>
        <v>150</v>
      </c>
    </row>
    <row r="1184" spans="1:12" ht="25" customHeight="1">
      <c r="A1184" s="2" t="s">
        <v>12</v>
      </c>
      <c r="B1184" s="2" t="str">
        <f>HYPERLINK("http://bbs.12365auto.com/postcontent.aspx?tID=195382","发动机气缸为什么不是均匀磨损")</f>
        <v>发动机气缸为什么不是均匀磨损</v>
      </c>
      <c r="C1184" s="2" t="s">
        <v>13</v>
      </c>
      <c r="D1184" s="2" t="s">
        <v>12</v>
      </c>
      <c r="E1184" s="2" t="s">
        <v>67</v>
      </c>
      <c r="F1184" s="2" t="str">
        <f>HYPERLINK("http://bbs.12365auto.com/postcontent.aspx?tID=195382","http://bbs.12365auto.com/postcontent.aspx?tID=195382")</f>
        <v>http://bbs.12365auto.com/postcontent.aspx?tID=195382</v>
      </c>
      <c r="G1184" s="2"/>
      <c r="H1184" s="2" t="s">
        <v>1839</v>
      </c>
      <c r="I1184" s="2" t="s">
        <v>15</v>
      </c>
      <c r="J1184" s="2" t="s">
        <v>1840</v>
      </c>
      <c r="K1184" s="2" t="s">
        <v>1838</v>
      </c>
      <c r="L1184" s="2">
        <f t="shared" si="18"/>
        <v>150</v>
      </c>
    </row>
    <row r="1185" spans="1:12" ht="25" customHeight="1">
      <c r="A1185" s="2" t="s">
        <v>12</v>
      </c>
      <c r="B1185" s="2" t="str">
        <f>HYPERLINK("http://bbs.12365auto.com/postcontent.aspx?tID=195383","汽车玻璃水可以用自来水代替吗")</f>
        <v>汽车玻璃水可以用自来水代替吗</v>
      </c>
      <c r="C1185" s="2" t="s">
        <v>13</v>
      </c>
      <c r="D1185" s="2" t="s">
        <v>12</v>
      </c>
      <c r="E1185" s="2" t="s">
        <v>67</v>
      </c>
      <c r="F1185" s="2" t="str">
        <f>HYPERLINK("http://bbs.12365auto.com/postcontent.aspx?tID=195383","http://bbs.12365auto.com/postcontent.aspx?tID=195383")</f>
        <v>http://bbs.12365auto.com/postcontent.aspx?tID=195383</v>
      </c>
      <c r="G1185" s="2"/>
      <c r="H1185" s="2" t="s">
        <v>1841</v>
      </c>
      <c r="I1185" s="2" t="s">
        <v>15</v>
      </c>
      <c r="J1185" s="2" t="s">
        <v>1840</v>
      </c>
      <c r="K1185" s="2" t="s">
        <v>1838</v>
      </c>
      <c r="L1185" s="2">
        <f t="shared" si="18"/>
        <v>150</v>
      </c>
    </row>
    <row r="1186" spans="1:12" ht="25" customHeight="1">
      <c r="A1186" s="2" t="s">
        <v>12</v>
      </c>
      <c r="B1186" s="2" t="str">
        <f>HYPERLINK("http://www.12365auto.com/xcdg/20200227/419691.shtml","新马王诞生？LaFerrari拉法继任者Stallone")</f>
        <v>新马王诞生？LaFerrari拉法继任者Stallone</v>
      </c>
      <c r="C1186" s="2" t="s">
        <v>13</v>
      </c>
      <c r="D1186" s="2" t="s">
        <v>12</v>
      </c>
      <c r="E1186" s="2" t="s">
        <v>245</v>
      </c>
      <c r="F1186" s="2" t="str">
        <f>HYPERLINK("http://www.12365auto.com/xcdg/20200227/419691.shtml","http://www.12365auto.com/xcdg/20200227/419691.shtml")</f>
        <v>http://www.12365auto.com/xcdg/20200227/419691.shtml</v>
      </c>
      <c r="G1186" s="2"/>
      <c r="H1186" s="2" t="s">
        <v>1842</v>
      </c>
      <c r="I1186" s="2" t="s">
        <v>19</v>
      </c>
      <c r="J1186" s="2" t="s">
        <v>12</v>
      </c>
      <c r="K1186" s="2" t="s">
        <v>1838</v>
      </c>
      <c r="L1186" s="2">
        <f t="shared" si="18"/>
        <v>150</v>
      </c>
    </row>
    <row r="1187" spans="1:12" ht="25" customHeight="1">
      <c r="A1187" s="2" t="s">
        <v>12</v>
      </c>
      <c r="B1187" s="2" t="str">
        <f>HYPERLINK("http://m.12365auto.com/bbs/postcontent.aspx?tID=195383","汽车玻璃水可以用自来水代替吗")</f>
        <v>汽车玻璃水可以用自来水代替吗</v>
      </c>
      <c r="C1187" s="2" t="s">
        <v>13</v>
      </c>
      <c r="D1187" s="2" t="s">
        <v>23</v>
      </c>
      <c r="E1187" s="2"/>
      <c r="F1187" s="2" t="str">
        <f>HYPERLINK("http://m.12365auto.com/bbs/postcontent.aspx?tID=195383","http://m.12365auto.com/bbs/postcontent.aspx?tID=195383")</f>
        <v>http://m.12365auto.com/bbs/postcontent.aspx?tID=195383</v>
      </c>
      <c r="G1187" s="2"/>
      <c r="H1187" s="2" t="s">
        <v>1843</v>
      </c>
      <c r="I1187" s="2" t="s">
        <v>15</v>
      </c>
      <c r="J1187" s="2" t="s">
        <v>1840</v>
      </c>
      <c r="K1187" s="2" t="s">
        <v>1838</v>
      </c>
      <c r="L1187" s="2">
        <f t="shared" si="18"/>
        <v>150</v>
      </c>
    </row>
    <row r="1188" spans="1:12" ht="25" customHeight="1">
      <c r="A1188" s="2" t="s">
        <v>12</v>
      </c>
      <c r="B1188" s="2" t="str">
        <f>HYPERLINK("http://m.12365auto.com/bbs/postcontent.aspx?tID=195382","发动机气缸为什么不是均匀磨损")</f>
        <v>发动机气缸为什么不是均匀磨损</v>
      </c>
      <c r="C1188" s="2" t="s">
        <v>13</v>
      </c>
      <c r="D1188" s="2" t="s">
        <v>23</v>
      </c>
      <c r="E1188" s="2"/>
      <c r="F1188" s="2" t="str">
        <f>HYPERLINK("http://m.12365auto.com/bbs/postcontent.aspx?tID=195382","http://m.12365auto.com/bbs/postcontent.aspx?tID=195382")</f>
        <v>http://m.12365auto.com/bbs/postcontent.aspx?tID=195382</v>
      </c>
      <c r="G1188" s="2"/>
      <c r="H1188" s="2" t="s">
        <v>1844</v>
      </c>
      <c r="I1188" s="2" t="s">
        <v>15</v>
      </c>
      <c r="J1188" s="2" t="s">
        <v>1840</v>
      </c>
      <c r="K1188" s="2" t="s">
        <v>1838</v>
      </c>
      <c r="L1188" s="2">
        <f t="shared" si="18"/>
        <v>150</v>
      </c>
    </row>
    <row r="1189" spans="1:12" ht="25" customHeight="1">
      <c r="A1189" s="2" t="s">
        <v>12</v>
      </c>
      <c r="B1189" s="2" t="str">
        <f>HYPERLINK("http://bbs.12365auto.com/postcontent.aspx?tId=195383","汽车玻璃水可以用自来水代替吗")</f>
        <v>汽车玻璃水可以用自来水代替吗</v>
      </c>
      <c r="C1189" s="2" t="s">
        <v>13</v>
      </c>
      <c r="D1189" s="2" t="s">
        <v>12</v>
      </c>
      <c r="E1189" s="2" t="s">
        <v>66</v>
      </c>
      <c r="F1189" s="2" t="str">
        <f>HYPERLINK("http://bbs.12365auto.com/postcontent.aspx?tId=195383","http://bbs.12365auto.com/postcontent.aspx?tId=195383")</f>
        <v>http://bbs.12365auto.com/postcontent.aspx?tId=195383</v>
      </c>
      <c r="G1189" s="2"/>
      <c r="H1189" s="2" t="s">
        <v>1843</v>
      </c>
      <c r="I1189" s="2" t="s">
        <v>15</v>
      </c>
      <c r="J1189" s="2" t="s">
        <v>1840</v>
      </c>
      <c r="K1189" s="2" t="s">
        <v>1838</v>
      </c>
      <c r="L1189" s="2">
        <f t="shared" si="18"/>
        <v>150</v>
      </c>
    </row>
    <row r="1190" spans="1:12" ht="25" customHeight="1">
      <c r="A1190" s="2" t="s">
        <v>12</v>
      </c>
      <c r="B1190" s="2" t="str">
        <f>HYPERLINK("http://bbs.12365auto.com/postcontent.aspx?tId=195382","发动机气缸为什么不是均匀磨损")</f>
        <v>发动机气缸为什么不是均匀磨损</v>
      </c>
      <c r="C1190" s="2" t="s">
        <v>13</v>
      </c>
      <c r="D1190" s="2" t="s">
        <v>12</v>
      </c>
      <c r="E1190" s="2" t="s">
        <v>66</v>
      </c>
      <c r="F1190" s="2" t="str">
        <f>HYPERLINK("http://bbs.12365auto.com/postcontent.aspx?tId=195382","http://bbs.12365auto.com/postcontent.aspx?tId=195382")</f>
        <v>http://bbs.12365auto.com/postcontent.aspx?tId=195382</v>
      </c>
      <c r="G1190" s="2"/>
      <c r="H1190" s="2" t="s">
        <v>1844</v>
      </c>
      <c r="I1190" s="2" t="s">
        <v>15</v>
      </c>
      <c r="J1190" s="2" t="s">
        <v>1840</v>
      </c>
      <c r="K1190" s="2" t="s">
        <v>1838</v>
      </c>
      <c r="L1190" s="2">
        <f t="shared" si="18"/>
        <v>150</v>
      </c>
    </row>
    <row r="1191" spans="1:12" ht="25" customHeight="1">
      <c r="A1191" s="2" t="s">
        <v>12</v>
      </c>
      <c r="B1191" s="2" t="str">
        <f>HYPERLINK("http://www.12365auto.com/zlts/20200227/448964.shtml","华晨宝马5系新能源车内存在有毒气体")</f>
        <v>华晨宝马5系新能源车内存在有毒气体</v>
      </c>
      <c r="C1191" s="2" t="s">
        <v>13</v>
      </c>
      <c r="D1191" s="2" t="s">
        <v>12</v>
      </c>
      <c r="E1191" s="2" t="s">
        <v>17</v>
      </c>
      <c r="F1191" s="2" t="str">
        <f>HYPERLINK("http://www.12365auto.com/zlts/20200227/448964.shtml","http://www.12365auto.com/zlts/20200227/448964.shtml")</f>
        <v>http://www.12365auto.com/zlts/20200227/448964.shtml</v>
      </c>
      <c r="G1191" s="2"/>
      <c r="H1191" s="2" t="s">
        <v>1845</v>
      </c>
      <c r="I1191" s="2" t="s">
        <v>15</v>
      </c>
      <c r="J1191" s="2" t="s">
        <v>12</v>
      </c>
      <c r="K1191" s="2" t="s">
        <v>1846</v>
      </c>
      <c r="L1191" s="2">
        <f t="shared" si="18"/>
        <v>150</v>
      </c>
    </row>
    <row r="1192" spans="1:12" ht="25" customHeight="1">
      <c r="A1192" s="2" t="s">
        <v>12</v>
      </c>
      <c r="B1192" s="2" t="str">
        <f>HYPERLINK("http://bbs.12365auto.com/postcontent.aspx?tID=195379","同一厂家同一车型不同排量的发动机可以互换吗")</f>
        <v>同一厂家同一车型不同排量的发动机可以互换吗</v>
      </c>
      <c r="C1192" s="2" t="s">
        <v>13</v>
      </c>
      <c r="D1192" s="2" t="s">
        <v>12</v>
      </c>
      <c r="E1192" s="2" t="s">
        <v>67</v>
      </c>
      <c r="F1192" s="2" t="str">
        <f>HYPERLINK("http://bbs.12365auto.com/postcontent.aspx?tID=195379","http://bbs.12365auto.com/postcontent.aspx?tID=195379")</f>
        <v>http://bbs.12365auto.com/postcontent.aspx?tID=195379</v>
      </c>
      <c r="G1192" s="2"/>
      <c r="H1192" s="2" t="s">
        <v>1847</v>
      </c>
      <c r="I1192" s="2" t="s">
        <v>15</v>
      </c>
      <c r="J1192" s="2" t="s">
        <v>1840</v>
      </c>
      <c r="K1192" s="2" t="s">
        <v>1846</v>
      </c>
      <c r="L1192" s="2">
        <f t="shared" si="18"/>
        <v>150</v>
      </c>
    </row>
    <row r="1193" spans="1:12" ht="25" customHeight="1">
      <c r="A1193" s="2" t="s">
        <v>12</v>
      </c>
      <c r="B1193" s="2" t="str">
        <f>HYPERLINK("http://bbs.12365auto.com/postcontent.aspx?tID=195381","世界越野车之王太脱拉你听说过吗")</f>
        <v>世界越野车之王太脱拉你听说过吗</v>
      </c>
      <c r="C1193" s="2" t="s">
        <v>13</v>
      </c>
      <c r="D1193" s="2" t="s">
        <v>12</v>
      </c>
      <c r="E1193" s="2" t="s">
        <v>67</v>
      </c>
      <c r="F1193" s="2" t="str">
        <f>HYPERLINK("http://bbs.12365auto.com/postcontent.aspx?tID=195381","http://bbs.12365auto.com/postcontent.aspx?tID=195381")</f>
        <v>http://bbs.12365auto.com/postcontent.aspx?tID=195381</v>
      </c>
      <c r="G1193" s="2"/>
      <c r="H1193" s="2" t="s">
        <v>1848</v>
      </c>
      <c r="I1193" s="2" t="s">
        <v>15</v>
      </c>
      <c r="J1193" s="2" t="s">
        <v>1840</v>
      </c>
      <c r="K1193" s="2" t="s">
        <v>1846</v>
      </c>
      <c r="L1193" s="2">
        <f t="shared" si="18"/>
        <v>150</v>
      </c>
    </row>
    <row r="1194" spans="1:12" ht="25" customHeight="1">
      <c r="A1194" s="2" t="s">
        <v>12</v>
      </c>
      <c r="B1194" s="2" t="str">
        <f>HYPERLINK("http://bbs.12365auto.com/postcontent.aspx?tID=195380","电瓶桩头上的白绿色粉末是什么东西")</f>
        <v>电瓶桩头上的白绿色粉末是什么东西</v>
      </c>
      <c r="C1194" s="2" t="s">
        <v>13</v>
      </c>
      <c r="D1194" s="2" t="s">
        <v>12</v>
      </c>
      <c r="E1194" s="2" t="s">
        <v>67</v>
      </c>
      <c r="F1194" s="2" t="str">
        <f>HYPERLINK("http://bbs.12365auto.com/postcontent.aspx?tID=195380","http://bbs.12365auto.com/postcontent.aspx?tID=195380")</f>
        <v>http://bbs.12365auto.com/postcontent.aspx?tID=195380</v>
      </c>
      <c r="G1194" s="2"/>
      <c r="H1194" s="2" t="s">
        <v>1849</v>
      </c>
      <c r="I1194" s="2" t="s">
        <v>15</v>
      </c>
      <c r="J1194" s="2" t="s">
        <v>1840</v>
      </c>
      <c r="K1194" s="2" t="s">
        <v>1846</v>
      </c>
      <c r="L1194" s="2">
        <f t="shared" si="18"/>
        <v>150</v>
      </c>
    </row>
    <row r="1195" spans="1:12" ht="25" customHeight="1">
      <c r="A1195" s="2" t="s">
        <v>12</v>
      </c>
      <c r="B1195" s="2" t="str">
        <f>HYPERLINK("http://m.12365auto.com/bbs/postcontent.aspx?tID=195381","世界越野车之王太脱拉你听说过吗")</f>
        <v>世界越野车之王太脱拉你听说过吗</v>
      </c>
      <c r="C1195" s="2" t="s">
        <v>13</v>
      </c>
      <c r="D1195" s="2" t="s">
        <v>23</v>
      </c>
      <c r="E1195" s="2"/>
      <c r="F1195" s="2" t="str">
        <f>HYPERLINK("http://m.12365auto.com/bbs/postcontent.aspx?tID=195381","http://m.12365auto.com/bbs/postcontent.aspx?tID=195381")</f>
        <v>http://m.12365auto.com/bbs/postcontent.aspx?tID=195381</v>
      </c>
      <c r="G1195" s="2"/>
      <c r="H1195" s="2" t="s">
        <v>1850</v>
      </c>
      <c r="I1195" s="2" t="s">
        <v>15</v>
      </c>
      <c r="J1195" s="2" t="s">
        <v>1840</v>
      </c>
      <c r="K1195" s="2" t="s">
        <v>1846</v>
      </c>
      <c r="L1195" s="2">
        <f t="shared" si="18"/>
        <v>150</v>
      </c>
    </row>
    <row r="1196" spans="1:12" ht="25" customHeight="1">
      <c r="A1196" s="2" t="s">
        <v>12</v>
      </c>
      <c r="B1196" s="2" t="str">
        <f>HYPERLINK("http://m.12365auto.com/bbs/postcontent.aspx?tID=195380","电瓶桩头上的白绿色粉末是什么东西")</f>
        <v>电瓶桩头上的白绿色粉末是什么东西</v>
      </c>
      <c r="C1196" s="2" t="s">
        <v>13</v>
      </c>
      <c r="D1196" s="2" t="s">
        <v>23</v>
      </c>
      <c r="E1196" s="2"/>
      <c r="F1196" s="2" t="str">
        <f>HYPERLINK("http://m.12365auto.com/bbs/postcontent.aspx?tID=195380","http://m.12365auto.com/bbs/postcontent.aspx?tID=195380")</f>
        <v>http://m.12365auto.com/bbs/postcontent.aspx?tID=195380</v>
      </c>
      <c r="G1196" s="2"/>
      <c r="H1196" s="2" t="s">
        <v>1851</v>
      </c>
      <c r="I1196" s="2" t="s">
        <v>15</v>
      </c>
      <c r="J1196" s="2" t="s">
        <v>1840</v>
      </c>
      <c r="K1196" s="2" t="s">
        <v>1846</v>
      </c>
      <c r="L1196" s="2">
        <f t="shared" si="18"/>
        <v>150</v>
      </c>
    </row>
    <row r="1197" spans="1:12" ht="25" customHeight="1">
      <c r="A1197" s="2" t="s">
        <v>12</v>
      </c>
      <c r="B1197" s="2" t="str">
        <f>HYPERLINK("http://m.12365auto.com/bbs/postcontent.aspx?tID=195379","同一厂家同一车型不同排量的发动机可以互换吗")</f>
        <v>同一厂家同一车型不同排量的发动机可以互换吗</v>
      </c>
      <c r="C1197" s="2" t="s">
        <v>13</v>
      </c>
      <c r="D1197" s="2" t="s">
        <v>23</v>
      </c>
      <c r="E1197" s="2"/>
      <c r="F1197" s="2" t="str">
        <f>HYPERLINK("http://m.12365auto.com/bbs/postcontent.aspx?tID=195379","http://m.12365auto.com/bbs/postcontent.aspx?tID=195379")</f>
        <v>http://m.12365auto.com/bbs/postcontent.aspx?tID=195379</v>
      </c>
      <c r="G1197" s="2"/>
      <c r="H1197" s="2" t="s">
        <v>1852</v>
      </c>
      <c r="I1197" s="2" t="s">
        <v>15</v>
      </c>
      <c r="J1197" s="2" t="s">
        <v>1840</v>
      </c>
      <c r="K1197" s="2" t="s">
        <v>1846</v>
      </c>
      <c r="L1197" s="2">
        <f t="shared" si="18"/>
        <v>150</v>
      </c>
    </row>
    <row r="1198" spans="1:12" ht="25" customHeight="1">
      <c r="A1198" s="2" t="s">
        <v>12</v>
      </c>
      <c r="B1198" s="2" t="str">
        <f>HYPERLINK("http://bbs.12365auto.com/postcontent.aspx?tId=195381","世界越野车之王太脱拉你听说过吗")</f>
        <v>世界越野车之王太脱拉你听说过吗</v>
      </c>
      <c r="C1198" s="2" t="s">
        <v>13</v>
      </c>
      <c r="D1198" s="2" t="s">
        <v>12</v>
      </c>
      <c r="E1198" s="2" t="s">
        <v>66</v>
      </c>
      <c r="F1198" s="2" t="str">
        <f>HYPERLINK("http://bbs.12365auto.com/postcontent.aspx?tId=195381","http://bbs.12365auto.com/postcontent.aspx?tId=195381")</f>
        <v>http://bbs.12365auto.com/postcontent.aspx?tId=195381</v>
      </c>
      <c r="G1198" s="2"/>
      <c r="H1198" s="2" t="s">
        <v>1850</v>
      </c>
      <c r="I1198" s="2" t="s">
        <v>15</v>
      </c>
      <c r="J1198" s="2" t="s">
        <v>1840</v>
      </c>
      <c r="K1198" s="2" t="s">
        <v>1846</v>
      </c>
      <c r="L1198" s="2">
        <f t="shared" si="18"/>
        <v>150</v>
      </c>
    </row>
    <row r="1199" spans="1:12" ht="25" customHeight="1">
      <c r="A1199" s="2" t="s">
        <v>12</v>
      </c>
      <c r="B1199" s="2" t="str">
        <f>HYPERLINK("http://bbs.12365auto.com/postcontent.aspx?tId=195380","电瓶桩头上的白绿色粉末是什么东西")</f>
        <v>电瓶桩头上的白绿色粉末是什么东西</v>
      </c>
      <c r="C1199" s="2" t="s">
        <v>13</v>
      </c>
      <c r="D1199" s="2" t="s">
        <v>12</v>
      </c>
      <c r="E1199" s="2" t="s">
        <v>66</v>
      </c>
      <c r="F1199" s="2" t="str">
        <f>HYPERLINK("http://bbs.12365auto.com/postcontent.aspx?tId=195380","http://bbs.12365auto.com/postcontent.aspx?tId=195380")</f>
        <v>http://bbs.12365auto.com/postcontent.aspx?tId=195380</v>
      </c>
      <c r="G1199" s="2"/>
      <c r="H1199" s="2" t="s">
        <v>1851</v>
      </c>
      <c r="I1199" s="2" t="s">
        <v>15</v>
      </c>
      <c r="J1199" s="2" t="s">
        <v>1840</v>
      </c>
      <c r="K1199" s="2" t="s">
        <v>1846</v>
      </c>
      <c r="L1199" s="2">
        <f t="shared" si="18"/>
        <v>150</v>
      </c>
    </row>
    <row r="1200" spans="1:12" ht="25" customHeight="1">
      <c r="A1200" s="2" t="s">
        <v>12</v>
      </c>
      <c r="B1200" s="2" t="str">
        <f>HYPERLINK("http://bbs.12365auto.com/postcontent.aspx?tId=195379","同一厂家同一车型不同排量的发动机可以互换吗")</f>
        <v>同一厂家同一车型不同排量的发动机可以互换吗</v>
      </c>
      <c r="C1200" s="2" t="s">
        <v>13</v>
      </c>
      <c r="D1200" s="2" t="s">
        <v>12</v>
      </c>
      <c r="E1200" s="2" t="s">
        <v>66</v>
      </c>
      <c r="F1200" s="2" t="str">
        <f>HYPERLINK("http://bbs.12365auto.com/postcontent.aspx?tId=195379","http://bbs.12365auto.com/postcontent.aspx?tId=195379")</f>
        <v>http://bbs.12365auto.com/postcontent.aspx?tId=195379</v>
      </c>
      <c r="G1200" s="2"/>
      <c r="H1200" s="2" t="s">
        <v>1852</v>
      </c>
      <c r="I1200" s="2" t="s">
        <v>15</v>
      </c>
      <c r="J1200" s="2" t="s">
        <v>1840</v>
      </c>
      <c r="K1200" s="2" t="s">
        <v>1846</v>
      </c>
      <c r="L1200" s="2">
        <f t="shared" si="18"/>
        <v>150</v>
      </c>
    </row>
    <row r="1201" spans="1:12" ht="25" customHeight="1">
      <c r="A1201" s="2" t="s">
        <v>12</v>
      </c>
      <c r="B1201" s="2" t="str">
        <f>HYPERLINK("http://m.12365auto.com/bbs/postcontent.aspx?tID=195377","20厘米高的台阶 多长的坡道可以让汽车轻松上下")</f>
        <v>20厘米高的台阶 多长的坡道可以让汽车轻松上下</v>
      </c>
      <c r="C1201" s="2" t="s">
        <v>13</v>
      </c>
      <c r="D1201" s="2" t="s">
        <v>23</v>
      </c>
      <c r="E1201" s="2"/>
      <c r="F1201" s="2" t="str">
        <f>HYPERLINK("http://m.12365auto.com/bbs/postcontent.aspx?tID=195377","http://m.12365auto.com/bbs/postcontent.aspx?tID=195377")</f>
        <v>http://m.12365auto.com/bbs/postcontent.aspx?tID=195377</v>
      </c>
      <c r="G1201" s="2"/>
      <c r="H1201" s="2" t="s">
        <v>1853</v>
      </c>
      <c r="I1201" s="2" t="s">
        <v>15</v>
      </c>
      <c r="J1201" s="2" t="s">
        <v>1840</v>
      </c>
      <c r="K1201" s="2" t="s">
        <v>1854</v>
      </c>
      <c r="L1201" s="2">
        <f t="shared" si="18"/>
        <v>150</v>
      </c>
    </row>
    <row r="1202" spans="1:12" ht="25" customHeight="1">
      <c r="A1202" s="2" t="s">
        <v>12</v>
      </c>
      <c r="B1202" s="2" t="str">
        <f>HYPERLINK("http://bbs.12365auto.com/postcontent.aspx?tId=195377","20厘米高的台阶 多长的坡道可以让汽车轻松上下")</f>
        <v>20厘米高的台阶 多长的坡道可以让汽车轻松上下</v>
      </c>
      <c r="C1202" s="2" t="s">
        <v>13</v>
      </c>
      <c r="D1202" s="2" t="s">
        <v>12</v>
      </c>
      <c r="E1202" s="2" t="s">
        <v>66</v>
      </c>
      <c r="F1202" s="2" t="str">
        <f>HYPERLINK("http://bbs.12365auto.com/postcontent.aspx?tId=195377","http://bbs.12365auto.com/postcontent.aspx?tId=195377")</f>
        <v>http://bbs.12365auto.com/postcontent.aspx?tId=195377</v>
      </c>
      <c r="G1202" s="2"/>
      <c r="H1202" s="2" t="s">
        <v>1853</v>
      </c>
      <c r="I1202" s="2" t="s">
        <v>15</v>
      </c>
      <c r="J1202" s="2" t="s">
        <v>1840</v>
      </c>
      <c r="K1202" s="2" t="s">
        <v>1854</v>
      </c>
      <c r="L1202" s="2">
        <f t="shared" si="18"/>
        <v>150</v>
      </c>
    </row>
    <row r="1203" spans="1:12" ht="25" customHeight="1">
      <c r="A1203" s="2" t="s">
        <v>12</v>
      </c>
      <c r="B1203" s="2" t="str">
        <f>HYPERLINK("http://bbs.12365auto.com/postcontent.aspx?tID=195377","20厘米高的台阶 多长的坡道可以让汽车轻松上下")</f>
        <v>20厘米高的台阶 多长的坡道可以让汽车轻松上下</v>
      </c>
      <c r="C1203" s="2" t="s">
        <v>13</v>
      </c>
      <c r="D1203" s="2" t="s">
        <v>12</v>
      </c>
      <c r="E1203" s="2" t="s">
        <v>67</v>
      </c>
      <c r="F1203" s="2" t="str">
        <f>HYPERLINK("http://bbs.12365auto.com/postcontent.aspx?tID=195377","http://bbs.12365auto.com/postcontent.aspx?tID=195377")</f>
        <v>http://bbs.12365auto.com/postcontent.aspx?tID=195377</v>
      </c>
      <c r="G1203" s="2"/>
      <c r="H1203" s="2" t="s">
        <v>1855</v>
      </c>
      <c r="I1203" s="2" t="s">
        <v>15</v>
      </c>
      <c r="J1203" s="2" t="s">
        <v>1840</v>
      </c>
      <c r="K1203" s="2" t="s">
        <v>1854</v>
      </c>
      <c r="L1203" s="2">
        <f t="shared" si="18"/>
        <v>150</v>
      </c>
    </row>
    <row r="1204" spans="1:12" ht="25" customHeight="1">
      <c r="A1204" s="2" t="s">
        <v>12</v>
      </c>
      <c r="B1204" s="2" t="str">
        <f>HYPERLINK("http://m.12365auto.com/bbs/postcontent.aspx?tID=195376","机油在发动机中是如何循环流动的")</f>
        <v>机油在发动机中是如何循环流动的</v>
      </c>
      <c r="C1204" s="2" t="s">
        <v>13</v>
      </c>
      <c r="D1204" s="2" t="s">
        <v>23</v>
      </c>
      <c r="E1204" s="2"/>
      <c r="F1204" s="2" t="str">
        <f>HYPERLINK("http://m.12365auto.com/bbs/postcontent.aspx?tID=195376","http://m.12365auto.com/bbs/postcontent.aspx?tID=195376")</f>
        <v>http://m.12365auto.com/bbs/postcontent.aspx?tID=195376</v>
      </c>
      <c r="G1204" s="2"/>
      <c r="H1204" s="2" t="s">
        <v>1856</v>
      </c>
      <c r="I1204" s="2" t="s">
        <v>15</v>
      </c>
      <c r="J1204" s="2" t="s">
        <v>1840</v>
      </c>
      <c r="K1204" s="2" t="s">
        <v>1857</v>
      </c>
      <c r="L1204" s="2">
        <f t="shared" si="18"/>
        <v>150</v>
      </c>
    </row>
    <row r="1205" spans="1:12" ht="25" customHeight="1">
      <c r="A1205" s="2" t="s">
        <v>12</v>
      </c>
      <c r="B1205" s="2" t="str">
        <f>HYPERLINK("http://bbs.12365auto.com/postcontent.aspx?tId=195376","机油在发动机中是如何循环流动的")</f>
        <v>机油在发动机中是如何循环流动的</v>
      </c>
      <c r="C1205" s="2" t="s">
        <v>13</v>
      </c>
      <c r="D1205" s="2" t="s">
        <v>12</v>
      </c>
      <c r="E1205" s="2" t="s">
        <v>66</v>
      </c>
      <c r="F1205" s="2" t="str">
        <f>HYPERLINK("http://bbs.12365auto.com/postcontent.aspx?tId=195376","http://bbs.12365auto.com/postcontent.aspx?tId=195376")</f>
        <v>http://bbs.12365auto.com/postcontent.aspx?tId=195376</v>
      </c>
      <c r="G1205" s="2"/>
      <c r="H1205" s="2" t="s">
        <v>1856</v>
      </c>
      <c r="I1205" s="2" t="s">
        <v>15</v>
      </c>
      <c r="J1205" s="2" t="s">
        <v>1840</v>
      </c>
      <c r="K1205" s="2" t="s">
        <v>1857</v>
      </c>
      <c r="L1205" s="2">
        <f t="shared" si="18"/>
        <v>150</v>
      </c>
    </row>
    <row r="1206" spans="1:12" ht="25" customHeight="1">
      <c r="A1206" s="2" t="s">
        <v>12</v>
      </c>
      <c r="B1206" s="2" t="str">
        <f>HYPERLINK("http://bbs.12365auto.com/postcontent.aspx?tID=195376","机油在发动机中是如何循环流动的")</f>
        <v>机油在发动机中是如何循环流动的</v>
      </c>
      <c r="C1206" s="2" t="s">
        <v>13</v>
      </c>
      <c r="D1206" s="2" t="s">
        <v>12</v>
      </c>
      <c r="E1206" s="2" t="s">
        <v>67</v>
      </c>
      <c r="F1206" s="2" t="str">
        <f>HYPERLINK("http://bbs.12365auto.com/postcontent.aspx?tID=195376","http://bbs.12365auto.com/postcontent.aspx?tID=195376")</f>
        <v>http://bbs.12365auto.com/postcontent.aspx?tID=195376</v>
      </c>
      <c r="G1206" s="2"/>
      <c r="H1206" s="2" t="s">
        <v>1858</v>
      </c>
      <c r="I1206" s="2" t="s">
        <v>15</v>
      </c>
      <c r="J1206" s="2" t="s">
        <v>1840</v>
      </c>
      <c r="K1206" s="2" t="s">
        <v>1857</v>
      </c>
      <c r="L1206" s="2">
        <f t="shared" si="18"/>
        <v>150</v>
      </c>
    </row>
    <row r="1207" spans="1:12" ht="25" customHeight="1">
      <c r="A1207" s="2" t="s">
        <v>12</v>
      </c>
      <c r="B1207" s="2" t="str">
        <f>HYPERLINK("http://www.12365auto.com/xcdg/20200227/419690.shtml","新款现代i30官图发布 将日内瓦车展亮相")</f>
        <v>新款现代i30官图发布 将日内瓦车展亮相</v>
      </c>
      <c r="C1207" s="2" t="s">
        <v>13</v>
      </c>
      <c r="D1207" s="2" t="s">
        <v>12</v>
      </c>
      <c r="E1207" s="2" t="s">
        <v>216</v>
      </c>
      <c r="F1207" s="2" t="str">
        <f>HYPERLINK("http://www.12365auto.com/xcdg/20200227/419690.shtml","http://www.12365auto.com/xcdg/20200227/419690.shtml")</f>
        <v>http://www.12365auto.com/xcdg/20200227/419690.shtml</v>
      </c>
      <c r="G1207" s="2"/>
      <c r="H1207" s="2" t="s">
        <v>1859</v>
      </c>
      <c r="I1207" s="2" t="s">
        <v>15</v>
      </c>
      <c r="J1207" s="2" t="s">
        <v>12</v>
      </c>
      <c r="K1207" s="2" t="s">
        <v>1860</v>
      </c>
      <c r="L1207" s="2">
        <f t="shared" si="18"/>
        <v>150</v>
      </c>
    </row>
    <row r="1208" spans="1:12" ht="25" customHeight="1">
      <c r="A1208" s="2" t="s">
        <v>12</v>
      </c>
      <c r="B1208" s="2" t="str">
        <f>HYPERLINK("http://m.12365auto.com/xcdg/20200227/419690.shtml","新款现代i30官图发布 将日内瓦车展亮相")</f>
        <v>新款现代i30官图发布 将日内瓦车展亮相</v>
      </c>
      <c r="C1208" s="2" t="s">
        <v>13</v>
      </c>
      <c r="D1208" s="2" t="s">
        <v>12</v>
      </c>
      <c r="E1208" s="2"/>
      <c r="F1208" s="2" t="str">
        <f>HYPERLINK("http://m.12365auto.com/xcdg/20200227/419690.shtml","http://m.12365auto.com/xcdg/20200227/419690.shtml")</f>
        <v>http://m.12365auto.com/xcdg/20200227/419690.shtml</v>
      </c>
      <c r="G1208" s="2"/>
      <c r="H1208" s="2" t="s">
        <v>1861</v>
      </c>
      <c r="I1208" s="2" t="s">
        <v>19</v>
      </c>
      <c r="J1208" s="2" t="s">
        <v>1205</v>
      </c>
      <c r="K1208" s="2" t="s">
        <v>1860</v>
      </c>
      <c r="L1208" s="2">
        <f t="shared" si="18"/>
        <v>150</v>
      </c>
    </row>
    <row r="1209" spans="1:12" ht="25" customHeight="1">
      <c r="A1209" s="2" t="s">
        <v>12</v>
      </c>
      <c r="B1209" s="2" t="str">
        <f>HYPERLINK("http://m.12365auto.com/bbs/postcontent.aspx?tID=195375","为何一个车轮出现故障 ABS就会停止整个系统的工作")</f>
        <v>为何一个车轮出现故障 ABS就会停止整个系统的工作</v>
      </c>
      <c r="C1209" s="2" t="s">
        <v>13</v>
      </c>
      <c r="D1209" s="2" t="s">
        <v>23</v>
      </c>
      <c r="E1209" s="2"/>
      <c r="F1209" s="2" t="str">
        <f>HYPERLINK("http://m.12365auto.com/bbs/postcontent.aspx?tID=195375","http://m.12365auto.com/bbs/postcontent.aspx?tID=195375")</f>
        <v>http://m.12365auto.com/bbs/postcontent.aspx?tID=195375</v>
      </c>
      <c r="G1209" s="2"/>
      <c r="H1209" s="2" t="s">
        <v>1862</v>
      </c>
      <c r="I1209" s="2" t="s">
        <v>15</v>
      </c>
      <c r="J1209" s="2" t="s">
        <v>1840</v>
      </c>
      <c r="K1209" s="2" t="s">
        <v>1860</v>
      </c>
      <c r="L1209" s="2">
        <f t="shared" si="18"/>
        <v>150</v>
      </c>
    </row>
    <row r="1210" spans="1:12" ht="25" customHeight="1">
      <c r="A1210" s="2" t="s">
        <v>12</v>
      </c>
      <c r="B1210" s="2" t="str">
        <f>HYPERLINK("http://bbs.12365auto.com/postcontent.aspx?tId=195375","为何一个车轮出现故障 ABS就会停止整个系统的工作")</f>
        <v>为何一个车轮出现故障 ABS就会停止整个系统的工作</v>
      </c>
      <c r="C1210" s="2" t="s">
        <v>13</v>
      </c>
      <c r="D1210" s="2" t="s">
        <v>12</v>
      </c>
      <c r="E1210" s="2" t="s">
        <v>66</v>
      </c>
      <c r="F1210" s="2" t="str">
        <f>HYPERLINK("http://bbs.12365auto.com/postcontent.aspx?tId=195375","http://bbs.12365auto.com/postcontent.aspx?tId=195375")</f>
        <v>http://bbs.12365auto.com/postcontent.aspx?tId=195375</v>
      </c>
      <c r="G1210" s="2"/>
      <c r="H1210" s="2" t="s">
        <v>1862</v>
      </c>
      <c r="I1210" s="2" t="s">
        <v>15</v>
      </c>
      <c r="J1210" s="2" t="s">
        <v>1840</v>
      </c>
      <c r="K1210" s="2" t="s">
        <v>1860</v>
      </c>
      <c r="L1210" s="2">
        <f t="shared" si="18"/>
        <v>150</v>
      </c>
    </row>
    <row r="1211" spans="1:12" ht="25" customHeight="1">
      <c r="A1211" s="2" t="s">
        <v>12</v>
      </c>
      <c r="B1211" s="2" t="str">
        <f>HYPERLINK("http://bbs.12365auto.com/postcontent.aspx?tID=195375","为何一个车轮出现故障 ABS就会停止整个系统的工作")</f>
        <v>为何一个车轮出现故障 ABS就会停止整个系统的工作</v>
      </c>
      <c r="C1211" s="2" t="s">
        <v>13</v>
      </c>
      <c r="D1211" s="2" t="s">
        <v>12</v>
      </c>
      <c r="E1211" s="2" t="s">
        <v>67</v>
      </c>
      <c r="F1211" s="2" t="str">
        <f>HYPERLINK("http://bbs.12365auto.com/postcontent.aspx?tID=195375","http://bbs.12365auto.com/postcontent.aspx?tID=195375")</f>
        <v>http://bbs.12365auto.com/postcontent.aspx?tID=195375</v>
      </c>
      <c r="G1211" s="2"/>
      <c r="H1211" s="2" t="s">
        <v>1863</v>
      </c>
      <c r="I1211" s="2" t="s">
        <v>15</v>
      </c>
      <c r="J1211" s="2" t="s">
        <v>1840</v>
      </c>
      <c r="K1211" s="2" t="s">
        <v>1860</v>
      </c>
      <c r="L1211" s="2">
        <f t="shared" si="18"/>
        <v>150</v>
      </c>
    </row>
    <row r="1212" spans="1:12" ht="25" customHeight="1">
      <c r="A1212" s="2" t="s">
        <v>12</v>
      </c>
      <c r="B1212" s="2" t="str">
        <f>HYPERLINK("http://m.12365auto.com/xcdg/20200227/419689.shtml","新款奥迪A4L疑似售价曝光 或30.8万起售")</f>
        <v>新款奥迪A4L疑似售价曝光 或30.8万起售</v>
      </c>
      <c r="C1212" s="2" t="s">
        <v>13</v>
      </c>
      <c r="D1212" s="2" t="s">
        <v>12</v>
      </c>
      <c r="E1212" s="2"/>
      <c r="F1212" s="2" t="str">
        <f>HYPERLINK("http://m.12365auto.com/xcdg/20200227/419689.shtml","http://m.12365auto.com/xcdg/20200227/419689.shtml")</f>
        <v>http://m.12365auto.com/xcdg/20200227/419689.shtml</v>
      </c>
      <c r="G1212" s="2"/>
      <c r="H1212" s="2" t="s">
        <v>1864</v>
      </c>
      <c r="I1212" s="2" t="s">
        <v>19</v>
      </c>
      <c r="J1212" s="2" t="s">
        <v>1205</v>
      </c>
      <c r="K1212" s="2" t="s">
        <v>1865</v>
      </c>
      <c r="L1212" s="2">
        <f t="shared" si="18"/>
        <v>150</v>
      </c>
    </row>
    <row r="1213" spans="1:12" ht="25" customHeight="1">
      <c r="A1213" s="2" t="s">
        <v>12</v>
      </c>
      <c r="B1213" s="2" t="str">
        <f>HYPERLINK("http://www.12365auto.com/xcdg/20200227/419689.shtml","新款奥迪A4L疑似售价曝光 或30.8万起售")</f>
        <v>新款奥迪A4L疑似售价曝光 或30.8万起售</v>
      </c>
      <c r="C1213" s="2" t="s">
        <v>13</v>
      </c>
      <c r="D1213" s="2" t="s">
        <v>12</v>
      </c>
      <c r="E1213" s="2" t="s">
        <v>216</v>
      </c>
      <c r="F1213" s="2" t="str">
        <f>HYPERLINK("http://www.12365auto.com/xcdg/20200227/419689.shtml","http://www.12365auto.com/xcdg/20200227/419689.shtml")</f>
        <v>http://www.12365auto.com/xcdg/20200227/419689.shtml</v>
      </c>
      <c r="G1213" s="2"/>
      <c r="H1213" s="2" t="s">
        <v>1866</v>
      </c>
      <c r="I1213" s="2" t="s">
        <v>15</v>
      </c>
      <c r="J1213" s="2" t="s">
        <v>12</v>
      </c>
      <c r="K1213" s="2" t="s">
        <v>1865</v>
      </c>
      <c r="L1213" s="2">
        <f t="shared" si="18"/>
        <v>150</v>
      </c>
    </row>
    <row r="1214" spans="1:12" ht="25" customHeight="1">
      <c r="A1214" s="2" t="s">
        <v>12</v>
      </c>
      <c r="B1214" s="2" t="str">
        <f>HYPERLINK("http://m.12365auto.com/bbs/postcontent.aspx?tID=195374","欧洲人长的人高马大 为什么会喜欢两厢小车")</f>
        <v>欧洲人长的人高马大 为什么会喜欢两厢小车</v>
      </c>
      <c r="C1214" s="2" t="s">
        <v>13</v>
      </c>
      <c r="D1214" s="2" t="s">
        <v>23</v>
      </c>
      <c r="E1214" s="2"/>
      <c r="F1214" s="2" t="str">
        <f>HYPERLINK("http://m.12365auto.com/bbs/postcontent.aspx?tID=195374","http://m.12365auto.com/bbs/postcontent.aspx?tID=195374")</f>
        <v>http://m.12365auto.com/bbs/postcontent.aspx?tID=195374</v>
      </c>
      <c r="G1214" s="2"/>
      <c r="H1214" s="2" t="s">
        <v>1867</v>
      </c>
      <c r="I1214" s="2" t="s">
        <v>15</v>
      </c>
      <c r="J1214" s="2" t="s">
        <v>1840</v>
      </c>
      <c r="K1214" s="2" t="s">
        <v>1868</v>
      </c>
      <c r="L1214" s="2">
        <f t="shared" si="18"/>
        <v>150</v>
      </c>
    </row>
    <row r="1215" spans="1:12" ht="25" customHeight="1">
      <c r="A1215" s="2" t="s">
        <v>12</v>
      </c>
      <c r="B1215" s="2" t="str">
        <f>HYPERLINK("http://bbs.12365auto.com/postcontent.aspx?tId=195374","欧洲人长的人高马大 为什么会喜欢两厢小车")</f>
        <v>欧洲人长的人高马大 为什么会喜欢两厢小车</v>
      </c>
      <c r="C1215" s="2" t="s">
        <v>13</v>
      </c>
      <c r="D1215" s="2" t="s">
        <v>12</v>
      </c>
      <c r="E1215" s="2" t="s">
        <v>66</v>
      </c>
      <c r="F1215" s="2" t="str">
        <f>HYPERLINK("http://bbs.12365auto.com/postcontent.aspx?tId=195374","http://bbs.12365auto.com/postcontent.aspx?tId=195374")</f>
        <v>http://bbs.12365auto.com/postcontent.aspx?tId=195374</v>
      </c>
      <c r="G1215" s="2"/>
      <c r="H1215" s="2" t="s">
        <v>1867</v>
      </c>
      <c r="I1215" s="2" t="s">
        <v>15</v>
      </c>
      <c r="J1215" s="2" t="s">
        <v>1840</v>
      </c>
      <c r="K1215" s="2" t="s">
        <v>1868</v>
      </c>
      <c r="L1215" s="2">
        <f t="shared" si="18"/>
        <v>150</v>
      </c>
    </row>
    <row r="1216" spans="1:12" ht="25" customHeight="1">
      <c r="A1216" s="2" t="s">
        <v>12</v>
      </c>
      <c r="B1216" s="2" t="str">
        <f>HYPERLINK("http://bbs.12365auto.com/postcontent.aspx?tID=195374","欧洲人长的人高马大 为什么会喜欢两厢小车")</f>
        <v>欧洲人长的人高马大 为什么会喜欢两厢小车</v>
      </c>
      <c r="C1216" s="2" t="s">
        <v>13</v>
      </c>
      <c r="D1216" s="2" t="s">
        <v>12</v>
      </c>
      <c r="E1216" s="2" t="s">
        <v>67</v>
      </c>
      <c r="F1216" s="2" t="str">
        <f>HYPERLINK("http://bbs.12365auto.com/postcontent.aspx?tID=195374","http://bbs.12365auto.com/postcontent.aspx?tID=195374")</f>
        <v>http://bbs.12365auto.com/postcontent.aspx?tID=195374</v>
      </c>
      <c r="G1216" s="2"/>
      <c r="H1216" s="2" t="s">
        <v>1869</v>
      </c>
      <c r="I1216" s="2" t="s">
        <v>15</v>
      </c>
      <c r="J1216" s="2" t="s">
        <v>1840</v>
      </c>
      <c r="K1216" s="2" t="s">
        <v>1868</v>
      </c>
      <c r="L1216" s="2">
        <f t="shared" si="18"/>
        <v>150</v>
      </c>
    </row>
    <row r="1217" spans="1:12" ht="25" customHeight="1">
      <c r="A1217" s="2" t="s">
        <v>12</v>
      </c>
      <c r="B1217" s="2" t="str">
        <f>HYPERLINK("http://www.12365auto.com/xcdg/20200227/419688.shtml","天逸C5 AIRCROSS PHEV消息 将5月份上市")</f>
        <v>天逸C5 AIRCROSS PHEV消息 将5月份上市</v>
      </c>
      <c r="C1217" s="2" t="s">
        <v>13</v>
      </c>
      <c r="D1217" s="2" t="s">
        <v>12</v>
      </c>
      <c r="E1217" s="2" t="s">
        <v>216</v>
      </c>
      <c r="F1217" s="2" t="str">
        <f>HYPERLINK("http://www.12365auto.com/xcdg/20200227/419688.shtml","http://www.12365auto.com/xcdg/20200227/419688.shtml")</f>
        <v>http://www.12365auto.com/xcdg/20200227/419688.shtml</v>
      </c>
      <c r="G1217" s="2"/>
      <c r="H1217" s="2" t="s">
        <v>1870</v>
      </c>
      <c r="I1217" s="2" t="s">
        <v>15</v>
      </c>
      <c r="J1217" s="2" t="s">
        <v>12</v>
      </c>
      <c r="K1217" s="2" t="s">
        <v>1871</v>
      </c>
      <c r="L1217" s="2">
        <f t="shared" si="18"/>
        <v>150</v>
      </c>
    </row>
    <row r="1218" spans="1:12" ht="25" customHeight="1">
      <c r="A1218" s="2" t="s">
        <v>12</v>
      </c>
      <c r="B1218" s="2" t="str">
        <f>HYPERLINK("http://m.12365auto.com/xcdg/20200227/419688.shtml","天逸C5 AIRCROSS PHEV消息 将5月份上市")</f>
        <v>天逸C5 AIRCROSS PHEV消息 将5月份上市</v>
      </c>
      <c r="C1218" s="2" t="s">
        <v>13</v>
      </c>
      <c r="D1218" s="2" t="s">
        <v>12</v>
      </c>
      <c r="E1218" s="2"/>
      <c r="F1218" s="2" t="str">
        <f>HYPERLINK("http://m.12365auto.com/xcdg/20200227/419688.shtml","http://m.12365auto.com/xcdg/20200227/419688.shtml")</f>
        <v>http://m.12365auto.com/xcdg/20200227/419688.shtml</v>
      </c>
      <c r="G1218" s="2"/>
      <c r="H1218" s="2" t="s">
        <v>1872</v>
      </c>
      <c r="I1218" s="2" t="s">
        <v>19</v>
      </c>
      <c r="J1218" s="2" t="s">
        <v>751</v>
      </c>
      <c r="K1218" s="2" t="s">
        <v>1871</v>
      </c>
      <c r="L1218" s="2">
        <f t="shared" si="18"/>
        <v>150</v>
      </c>
    </row>
    <row r="1219" spans="1:12" ht="25" customHeight="1">
      <c r="A1219" s="2" t="s">
        <v>12</v>
      </c>
      <c r="B1219" s="2" t="str">
        <f>HYPERLINK("http://m.12365auto.com/bbs/postcontent.aspx?tID=195373","为啥越野车轮胎厚而跑车轮胎薄")</f>
        <v>为啥越野车轮胎厚而跑车轮胎薄</v>
      </c>
      <c r="C1219" s="2" t="s">
        <v>13</v>
      </c>
      <c r="D1219" s="2" t="s">
        <v>23</v>
      </c>
      <c r="E1219" s="2"/>
      <c r="F1219" s="2" t="str">
        <f>HYPERLINK("http://m.12365auto.com/bbs/postcontent.aspx?tID=195373","http://m.12365auto.com/bbs/postcontent.aspx?tID=195373")</f>
        <v>http://m.12365auto.com/bbs/postcontent.aspx?tID=195373</v>
      </c>
      <c r="G1219" s="2"/>
      <c r="H1219" s="2" t="s">
        <v>1873</v>
      </c>
      <c r="I1219" s="2" t="s">
        <v>15</v>
      </c>
      <c r="J1219" s="2" t="s">
        <v>1840</v>
      </c>
      <c r="K1219" s="2" t="s">
        <v>1871</v>
      </c>
      <c r="L1219" s="2">
        <f t="shared" ref="L1219:L1282" si="19">LEN(H1219)</f>
        <v>150</v>
      </c>
    </row>
    <row r="1220" spans="1:12" ht="25" customHeight="1">
      <c r="A1220" s="2" t="s">
        <v>12</v>
      </c>
      <c r="B1220" s="2" t="str">
        <f>HYPERLINK("http://bbs.12365auto.com/postcontent.aspx?tId=195373","为啥越野车轮胎厚而跑车轮胎薄")</f>
        <v>为啥越野车轮胎厚而跑车轮胎薄</v>
      </c>
      <c r="C1220" s="2" t="s">
        <v>13</v>
      </c>
      <c r="D1220" s="2" t="s">
        <v>12</v>
      </c>
      <c r="E1220" s="2" t="s">
        <v>66</v>
      </c>
      <c r="F1220" s="2" t="str">
        <f>HYPERLINK("http://bbs.12365auto.com/postcontent.aspx?tId=195373","http://bbs.12365auto.com/postcontent.aspx?tId=195373")</f>
        <v>http://bbs.12365auto.com/postcontent.aspx?tId=195373</v>
      </c>
      <c r="G1220" s="2"/>
      <c r="H1220" s="2" t="s">
        <v>1873</v>
      </c>
      <c r="I1220" s="2" t="s">
        <v>15</v>
      </c>
      <c r="J1220" s="2" t="s">
        <v>1840</v>
      </c>
      <c r="K1220" s="2" t="s">
        <v>1871</v>
      </c>
      <c r="L1220" s="2">
        <f t="shared" si="19"/>
        <v>150</v>
      </c>
    </row>
    <row r="1221" spans="1:12" ht="25" customHeight="1">
      <c r="A1221" s="2" t="s">
        <v>12</v>
      </c>
      <c r="B1221" s="2" t="str">
        <f>HYPERLINK("http://bbs.12365auto.com/postcontent.aspx?tID=195373","为啥越野车轮胎厚而跑车轮胎薄")</f>
        <v>为啥越野车轮胎厚而跑车轮胎薄</v>
      </c>
      <c r="C1221" s="2" t="s">
        <v>13</v>
      </c>
      <c r="D1221" s="2" t="s">
        <v>12</v>
      </c>
      <c r="E1221" s="2" t="s">
        <v>67</v>
      </c>
      <c r="F1221" s="2" t="str">
        <f>HYPERLINK("http://bbs.12365auto.com/postcontent.aspx?tID=195373","http://bbs.12365auto.com/postcontent.aspx?tID=195373")</f>
        <v>http://bbs.12365auto.com/postcontent.aspx?tID=195373</v>
      </c>
      <c r="G1221" s="2"/>
      <c r="H1221" s="2" t="s">
        <v>1874</v>
      </c>
      <c r="I1221" s="2" t="s">
        <v>15</v>
      </c>
      <c r="J1221" s="2" t="s">
        <v>1840</v>
      </c>
      <c r="K1221" s="2" t="s">
        <v>1871</v>
      </c>
      <c r="L1221" s="2">
        <f t="shared" si="19"/>
        <v>150</v>
      </c>
    </row>
    <row r="1222" spans="1:12" ht="25" customHeight="1">
      <c r="A1222" s="2" t="s">
        <v>12</v>
      </c>
      <c r="B1222" s="2" t="str">
        <f>HYPERLINK("http://m.12365auto.com/xcdg/20200227/419687.shtml","指南者PHEV年内上市 或延续海外版动力")</f>
        <v>指南者PHEV年内上市 或延续海外版动力</v>
      </c>
      <c r="C1222" s="2" t="s">
        <v>13</v>
      </c>
      <c r="D1222" s="2" t="s">
        <v>12</v>
      </c>
      <c r="E1222" s="2"/>
      <c r="F1222" s="2" t="str">
        <f>HYPERLINK("http://m.12365auto.com/xcdg/20200227/419687.shtml","http://m.12365auto.com/xcdg/20200227/419687.shtml")</f>
        <v>http://m.12365auto.com/xcdg/20200227/419687.shtml</v>
      </c>
      <c r="G1222" s="2"/>
      <c r="H1222" s="2" t="s">
        <v>1875</v>
      </c>
      <c r="I1222" s="2" t="s">
        <v>19</v>
      </c>
      <c r="J1222" s="2" t="s">
        <v>751</v>
      </c>
      <c r="K1222" s="2" t="s">
        <v>1876</v>
      </c>
      <c r="L1222" s="2">
        <f t="shared" si="19"/>
        <v>150</v>
      </c>
    </row>
    <row r="1223" spans="1:12" ht="25" customHeight="1">
      <c r="A1223" s="2" t="s">
        <v>12</v>
      </c>
      <c r="B1223" s="2" t="str">
        <f>HYPERLINK("http://www.12365auto.com/xcdg/20200227/419687.shtml","指南者PHEV年内上市 或延续海外版动力")</f>
        <v>指南者PHEV年内上市 或延续海外版动力</v>
      </c>
      <c r="C1223" s="2" t="s">
        <v>13</v>
      </c>
      <c r="D1223" s="2" t="s">
        <v>12</v>
      </c>
      <c r="E1223" s="2" t="s">
        <v>216</v>
      </c>
      <c r="F1223" s="2" t="str">
        <f>HYPERLINK("http://www.12365auto.com/xcdg/20200227/419687.shtml","http://www.12365auto.com/xcdg/20200227/419687.shtml")</f>
        <v>http://www.12365auto.com/xcdg/20200227/419687.shtml</v>
      </c>
      <c r="G1223" s="2"/>
      <c r="H1223" s="2" t="s">
        <v>1877</v>
      </c>
      <c r="I1223" s="2" t="s">
        <v>15</v>
      </c>
      <c r="J1223" s="2" t="s">
        <v>12</v>
      </c>
      <c r="K1223" s="2" t="s">
        <v>1876</v>
      </c>
      <c r="L1223" s="2">
        <f t="shared" si="19"/>
        <v>150</v>
      </c>
    </row>
    <row r="1224" spans="1:12" ht="25" customHeight="1">
      <c r="A1224" s="2" t="s">
        <v>12</v>
      </c>
      <c r="B1224" s="2" t="str">
        <f>HYPERLINK("http://www.12365auto.com/news/20200227/419686.shtml","全新X5 M/X6 M领衔 宝马高性能产品规划")</f>
        <v>全新X5 M/X6 M领衔 宝马高性能产品规划</v>
      </c>
      <c r="C1224" s="2" t="s">
        <v>13</v>
      </c>
      <c r="D1224" s="2" t="s">
        <v>12</v>
      </c>
      <c r="E1224" s="2" t="s">
        <v>276</v>
      </c>
      <c r="F1224" s="2" t="str">
        <f>HYPERLINK("http://www.12365auto.com/news/20200227/419686.shtml","http://www.12365auto.com/news/20200227/419686.shtml")</f>
        <v>http://www.12365auto.com/news/20200227/419686.shtml</v>
      </c>
      <c r="G1224" s="2"/>
      <c r="H1224" s="2" t="s">
        <v>1878</v>
      </c>
      <c r="I1224" s="2" t="s">
        <v>15</v>
      </c>
      <c r="J1224" s="2" t="s">
        <v>12</v>
      </c>
      <c r="K1224" s="2" t="s">
        <v>1879</v>
      </c>
      <c r="L1224" s="2">
        <f t="shared" si="19"/>
        <v>150</v>
      </c>
    </row>
    <row r="1225" spans="1:12" ht="25" customHeight="1">
      <c r="A1225" s="2" t="s">
        <v>12</v>
      </c>
      <c r="B1225" s="2" t="str">
        <f>HYPERLINK("http://m.12365auto.com/news/20200227/419686.shtml","全新X5 M/X6 M领衔 宝马高性能产品规划")</f>
        <v>全新X5 M/X6 M领衔 宝马高性能产品规划</v>
      </c>
      <c r="C1225" s="2" t="s">
        <v>13</v>
      </c>
      <c r="D1225" s="2" t="s">
        <v>12</v>
      </c>
      <c r="E1225" s="2"/>
      <c r="F1225" s="2" t="str">
        <f>HYPERLINK("http://m.12365auto.com/news/20200227/419686.shtml","http://m.12365auto.com/news/20200227/419686.shtml")</f>
        <v>http://m.12365auto.com/news/20200227/419686.shtml</v>
      </c>
      <c r="G1225" s="2"/>
      <c r="H1225" s="2" t="s">
        <v>1880</v>
      </c>
      <c r="I1225" s="2" t="s">
        <v>19</v>
      </c>
      <c r="J1225" s="2" t="s">
        <v>1218</v>
      </c>
      <c r="K1225" s="2" t="s">
        <v>1879</v>
      </c>
      <c r="L1225" s="2">
        <f t="shared" si="19"/>
        <v>150</v>
      </c>
    </row>
    <row r="1226" spans="1:12" ht="25" customHeight="1">
      <c r="A1226" s="2" t="s">
        <v>12</v>
      </c>
      <c r="B1226" s="2" t="str">
        <f>HYPERLINK("http://www.12365auto.com/news/20200227/419685.shtml","投资总额超百亿 合肥重金“迎娶”蔚来中国")</f>
        <v>投资总额超百亿 合肥重金“迎娶”蔚来中国</v>
      </c>
      <c r="C1226" s="2" t="s">
        <v>13</v>
      </c>
      <c r="D1226" s="2" t="s">
        <v>12</v>
      </c>
      <c r="E1226" s="2" t="s">
        <v>276</v>
      </c>
      <c r="F1226" s="2" t="str">
        <f>HYPERLINK("http://www.12365auto.com/news/20200227/419685.shtml","http://www.12365auto.com/news/20200227/419685.shtml")</f>
        <v>http://www.12365auto.com/news/20200227/419685.shtml</v>
      </c>
      <c r="G1226" s="2"/>
      <c r="H1226" s="2" t="s">
        <v>1881</v>
      </c>
      <c r="I1226" s="2" t="s">
        <v>15</v>
      </c>
      <c r="J1226" s="2" t="s">
        <v>12</v>
      </c>
      <c r="K1226" s="2" t="s">
        <v>1882</v>
      </c>
      <c r="L1226" s="2">
        <f t="shared" si="19"/>
        <v>150</v>
      </c>
    </row>
    <row r="1227" spans="1:12" ht="25" customHeight="1">
      <c r="A1227" s="2" t="s">
        <v>12</v>
      </c>
      <c r="B1227" s="2" t="str">
        <f>HYPERLINK("http://m.12365auto.com/news/20200227/419685.shtml","投资总额超百亿 合肥重金“迎娶”蔚来中国")</f>
        <v>投资总额超百亿 合肥重金“迎娶”蔚来中国</v>
      </c>
      <c r="C1227" s="2" t="s">
        <v>13</v>
      </c>
      <c r="D1227" s="2" t="s">
        <v>12</v>
      </c>
      <c r="E1227" s="2"/>
      <c r="F1227" s="2" t="str">
        <f>HYPERLINK("http://m.12365auto.com/news/20200227/419685.shtml","http://m.12365auto.com/news/20200227/419685.shtml")</f>
        <v>http://m.12365auto.com/news/20200227/419685.shtml</v>
      </c>
      <c r="G1227" s="2"/>
      <c r="H1227" s="2" t="s">
        <v>1883</v>
      </c>
      <c r="I1227" s="2" t="s">
        <v>19</v>
      </c>
      <c r="J1227" s="2" t="s">
        <v>1884</v>
      </c>
      <c r="K1227" s="2" t="s">
        <v>1882</v>
      </c>
      <c r="L1227" s="2">
        <f t="shared" si="19"/>
        <v>150</v>
      </c>
    </row>
    <row r="1228" spans="1:12" ht="25" customHeight="1">
      <c r="A1228" s="2" t="s">
        <v>12</v>
      </c>
      <c r="B1228" s="2" t="str">
        <f>HYPERLINK("http://www.12365auto.com/xcdg/20200227/419684.shtml","搭载1.3T发动机 奔驰新GLA预计第二季度上市")</f>
        <v>搭载1.3T发动机 奔驰新GLA预计第二季度上市</v>
      </c>
      <c r="C1228" s="2" t="s">
        <v>13</v>
      </c>
      <c r="D1228" s="2" t="s">
        <v>12</v>
      </c>
      <c r="E1228" s="2" t="s">
        <v>216</v>
      </c>
      <c r="F1228" s="2" t="str">
        <f>HYPERLINK("http://www.12365auto.com/xcdg/20200227/419684.shtml","http://www.12365auto.com/xcdg/20200227/419684.shtml")</f>
        <v>http://www.12365auto.com/xcdg/20200227/419684.shtml</v>
      </c>
      <c r="G1228" s="2"/>
      <c r="H1228" s="2" t="s">
        <v>1885</v>
      </c>
      <c r="I1228" s="2" t="s">
        <v>15</v>
      </c>
      <c r="J1228" s="2" t="s">
        <v>12</v>
      </c>
      <c r="K1228" s="2" t="s">
        <v>1886</v>
      </c>
      <c r="L1228" s="2">
        <f t="shared" si="19"/>
        <v>150</v>
      </c>
    </row>
    <row r="1229" spans="1:12" ht="25" customHeight="1">
      <c r="A1229" s="2" t="s">
        <v>12</v>
      </c>
      <c r="B1229" s="2" t="str">
        <f>HYPERLINK("http://m.12365auto.com/xcdg/20200227/419684.shtml","搭载1.3T发动机 奔驰新GLA预计第二季度上市")</f>
        <v>搭载1.3T发动机 奔驰新GLA预计第二季度上市</v>
      </c>
      <c r="C1229" s="2" t="s">
        <v>13</v>
      </c>
      <c r="D1229" s="2" t="s">
        <v>12</v>
      </c>
      <c r="E1229" s="2"/>
      <c r="F1229" s="2" t="str">
        <f>HYPERLINK("http://m.12365auto.com/xcdg/20200227/419684.shtml","http://m.12365auto.com/xcdg/20200227/419684.shtml")</f>
        <v>http://m.12365auto.com/xcdg/20200227/419684.shtml</v>
      </c>
      <c r="G1229" s="2"/>
      <c r="H1229" s="2" t="s">
        <v>1887</v>
      </c>
      <c r="I1229" s="2" t="s">
        <v>19</v>
      </c>
      <c r="J1229" s="2" t="s">
        <v>768</v>
      </c>
      <c r="K1229" s="2" t="s">
        <v>1886</v>
      </c>
      <c r="L1229" s="2">
        <f t="shared" si="19"/>
        <v>150</v>
      </c>
    </row>
    <row r="1230" spans="1:12" ht="25" customHeight="1">
      <c r="A1230" s="2" t="s">
        <v>12</v>
      </c>
      <c r="B1230" s="2" t="str">
        <f>HYPERLINK("http://m.12365auto.com/news/20200227/419683.shtml","奥迪践行可持续发展 A3座椅将采用再生材料")</f>
        <v>奥迪践行可持续发展 A3座椅将采用再生材料</v>
      </c>
      <c r="C1230" s="2" t="s">
        <v>13</v>
      </c>
      <c r="D1230" s="2" t="s">
        <v>12</v>
      </c>
      <c r="E1230" s="2"/>
      <c r="F1230" s="2" t="str">
        <f>HYPERLINK("http://m.12365auto.com/news/20200227/419683.shtml","http://m.12365auto.com/news/20200227/419683.shtml")</f>
        <v>http://m.12365auto.com/news/20200227/419683.shtml</v>
      </c>
      <c r="G1230" s="2"/>
      <c r="H1230" s="2" t="s">
        <v>1888</v>
      </c>
      <c r="I1230" s="2" t="s">
        <v>19</v>
      </c>
      <c r="J1230" s="2" t="s">
        <v>1076</v>
      </c>
      <c r="K1230" s="2" t="s">
        <v>1889</v>
      </c>
      <c r="L1230" s="2">
        <f t="shared" si="19"/>
        <v>150</v>
      </c>
    </row>
    <row r="1231" spans="1:12" ht="25" customHeight="1">
      <c r="A1231" s="2" t="s">
        <v>12</v>
      </c>
      <c r="B1231" s="2" t="str">
        <f>HYPERLINK("http://www.12365auto.com/news/20200227/419683.shtml","奥迪践行可持续发展 A3座椅将采用再生材料")</f>
        <v>奥迪践行可持续发展 A3座椅将采用再生材料</v>
      </c>
      <c r="C1231" s="2" t="s">
        <v>13</v>
      </c>
      <c r="D1231" s="2" t="s">
        <v>12</v>
      </c>
      <c r="E1231" s="2" t="s">
        <v>276</v>
      </c>
      <c r="F1231" s="2" t="str">
        <f>HYPERLINK("http://www.12365auto.com/news/20200227/419683.shtml","http://www.12365auto.com/news/20200227/419683.shtml")</f>
        <v>http://www.12365auto.com/news/20200227/419683.shtml</v>
      </c>
      <c r="G1231" s="2"/>
      <c r="H1231" s="2" t="s">
        <v>1890</v>
      </c>
      <c r="I1231" s="2" t="s">
        <v>15</v>
      </c>
      <c r="J1231" s="2" t="s">
        <v>12</v>
      </c>
      <c r="K1231" s="2" t="s">
        <v>1889</v>
      </c>
      <c r="L1231" s="2">
        <f t="shared" si="19"/>
        <v>150</v>
      </c>
    </row>
    <row r="1232" spans="1:12" ht="25" customHeight="1">
      <c r="A1232" s="2" t="s">
        <v>12</v>
      </c>
      <c r="B1232" s="2" t="str">
        <f>HYPERLINK("http://www.12365auto.com/xcdg/20200227/419682.shtml","曝宝马i4概念车预告图 将于日内瓦车展首发")</f>
        <v>曝宝马i4概念车预告图 将于日内瓦车展首发</v>
      </c>
      <c r="C1232" s="2" t="s">
        <v>13</v>
      </c>
      <c r="D1232" s="2" t="s">
        <v>12</v>
      </c>
      <c r="E1232" s="2" t="s">
        <v>216</v>
      </c>
      <c r="F1232" s="2" t="str">
        <f>HYPERLINK("http://www.12365auto.com/xcdg/20200227/419682.shtml","http://www.12365auto.com/xcdg/20200227/419682.shtml")</f>
        <v>http://www.12365auto.com/xcdg/20200227/419682.shtml</v>
      </c>
      <c r="G1232" s="2"/>
      <c r="H1232" s="2" t="s">
        <v>1891</v>
      </c>
      <c r="I1232" s="2" t="s">
        <v>15</v>
      </c>
      <c r="J1232" s="2" t="s">
        <v>12</v>
      </c>
      <c r="K1232" s="2" t="s">
        <v>1892</v>
      </c>
      <c r="L1232" s="2">
        <f t="shared" si="19"/>
        <v>150</v>
      </c>
    </row>
    <row r="1233" spans="1:12" ht="25" customHeight="1">
      <c r="A1233" s="2" t="s">
        <v>12</v>
      </c>
      <c r="B1233" s="2" t="str">
        <f>HYPERLINK("http://m.12365auto.com/xcdg/20200227/419682.shtml","曝宝马i4概念车预告图 将于日内瓦车展首发")</f>
        <v>曝宝马i4概念车预告图 将于日内瓦车展首发</v>
      </c>
      <c r="C1233" s="2" t="s">
        <v>13</v>
      </c>
      <c r="D1233" s="2" t="s">
        <v>12</v>
      </c>
      <c r="E1233" s="2"/>
      <c r="F1233" s="2" t="str">
        <f>HYPERLINK("http://m.12365auto.com/xcdg/20200227/419682.shtml","http://m.12365auto.com/xcdg/20200227/419682.shtml")</f>
        <v>http://m.12365auto.com/xcdg/20200227/419682.shtml</v>
      </c>
      <c r="G1233" s="2"/>
      <c r="H1233" s="2" t="s">
        <v>1893</v>
      </c>
      <c r="I1233" s="2" t="s">
        <v>19</v>
      </c>
      <c r="J1233" s="2" t="s">
        <v>1076</v>
      </c>
      <c r="K1233" s="2" t="s">
        <v>1892</v>
      </c>
      <c r="L1233" s="2">
        <f t="shared" si="19"/>
        <v>150</v>
      </c>
    </row>
    <row r="1234" spans="1:12" ht="25" customHeight="1">
      <c r="A1234" s="2" t="s">
        <v>12</v>
      </c>
      <c r="B1234" s="2" t="str">
        <f>HYPERLINK("http://www.12365auto.com/news/20200227/419681.shtml","汽车空调中的黑科技 首次在荣威Ei5身上实现")</f>
        <v>汽车空调中的黑科技 首次在荣威Ei5身上实现</v>
      </c>
      <c r="C1234" s="2" t="s">
        <v>13</v>
      </c>
      <c r="D1234" s="2" t="s">
        <v>12</v>
      </c>
      <c r="E1234" s="2" t="s">
        <v>276</v>
      </c>
      <c r="F1234" s="2" t="str">
        <f>HYPERLINK("http://www.12365auto.com/news/20200227/419681.shtml","http://www.12365auto.com/news/20200227/419681.shtml")</f>
        <v>http://www.12365auto.com/news/20200227/419681.shtml</v>
      </c>
      <c r="G1234" s="2"/>
      <c r="H1234" s="2" t="s">
        <v>1894</v>
      </c>
      <c r="I1234" s="2" t="s">
        <v>15</v>
      </c>
      <c r="J1234" s="2" t="s">
        <v>12</v>
      </c>
      <c r="K1234" s="2" t="s">
        <v>1895</v>
      </c>
      <c r="L1234" s="2">
        <f t="shared" si="19"/>
        <v>150</v>
      </c>
    </row>
    <row r="1235" spans="1:12" ht="25" customHeight="1">
      <c r="A1235" s="2" t="s">
        <v>12</v>
      </c>
      <c r="B1235" s="2" t="str">
        <f>HYPERLINK("http://m.12365auto.com/news/20200227/419681.shtml","汽车空调中的黑科技 首次在荣威Ei5身上实现")</f>
        <v>汽车空调中的黑科技 首次在荣威Ei5身上实现</v>
      </c>
      <c r="C1235" s="2" t="s">
        <v>13</v>
      </c>
      <c r="D1235" s="2" t="s">
        <v>12</v>
      </c>
      <c r="E1235" s="2"/>
      <c r="F1235" s="2" t="str">
        <f>HYPERLINK("http://m.12365auto.com/news/20200227/419681.shtml","http://m.12365auto.com/news/20200227/419681.shtml")</f>
        <v>http://m.12365auto.com/news/20200227/419681.shtml</v>
      </c>
      <c r="G1235" s="2"/>
      <c r="H1235" s="2" t="s">
        <v>1896</v>
      </c>
      <c r="I1235" s="2" t="s">
        <v>19</v>
      </c>
      <c r="J1235" s="2" t="s">
        <v>1099</v>
      </c>
      <c r="K1235" s="2" t="s">
        <v>1895</v>
      </c>
      <c r="L1235" s="2">
        <f t="shared" si="19"/>
        <v>150</v>
      </c>
    </row>
    <row r="1236" spans="1:12" ht="25" customHeight="1">
      <c r="A1236" s="2" t="s">
        <v>12</v>
      </c>
      <c r="B1236" s="2" t="str">
        <f>HYPERLINK("http://www.12365auto.com/zlts/20200227/448960.shtml","一汽奔腾X40车门关闭后仪表指示灯亮")</f>
        <v>一汽奔腾X40车门关闭后仪表指示灯亮</v>
      </c>
      <c r="C1236" s="2" t="s">
        <v>13</v>
      </c>
      <c r="D1236" s="2" t="s">
        <v>12</v>
      </c>
      <c r="E1236" s="2" t="s">
        <v>17</v>
      </c>
      <c r="F1236" s="2" t="str">
        <f>HYPERLINK("http://www.12365auto.com/zlts/20200227/448960.shtml","http://www.12365auto.com/zlts/20200227/448960.shtml")</f>
        <v>http://www.12365auto.com/zlts/20200227/448960.shtml</v>
      </c>
      <c r="G1236" s="2"/>
      <c r="H1236" s="2" t="s">
        <v>1897</v>
      </c>
      <c r="I1236" s="2" t="s">
        <v>19</v>
      </c>
      <c r="J1236" s="2" t="s">
        <v>12</v>
      </c>
      <c r="K1236" s="2" t="s">
        <v>1898</v>
      </c>
      <c r="L1236" s="2">
        <f t="shared" si="19"/>
        <v>150</v>
      </c>
    </row>
    <row r="1237" spans="1:12" ht="25" customHeight="1">
      <c r="A1237" s="2" t="s">
        <v>12</v>
      </c>
      <c r="B1237" s="2" t="str">
        <f>HYPERLINK("http://m.12365auto.com/bbs/postcontent.aspx?tID=195372","小编侃车第153期：热血沸腾！ 2020年日内瓦车展入华新车前瞻")</f>
        <v>小编侃车第153期：热血沸腾！ 2020年日内瓦车展入华新车前瞻</v>
      </c>
      <c r="C1237" s="2" t="s">
        <v>13</v>
      </c>
      <c r="D1237" s="2" t="s">
        <v>23</v>
      </c>
      <c r="E1237" s="2"/>
      <c r="F1237" s="2" t="str">
        <f>HYPERLINK("http://m.12365auto.com/bbs/postcontent.aspx?tID=195372","http://m.12365auto.com/bbs/postcontent.aspx?tID=195372")</f>
        <v>http://m.12365auto.com/bbs/postcontent.aspx?tID=195372</v>
      </c>
      <c r="G1237" s="2"/>
      <c r="H1237" s="2" t="s">
        <v>1899</v>
      </c>
      <c r="I1237" s="2" t="s">
        <v>15</v>
      </c>
      <c r="J1237" s="2" t="s">
        <v>1900</v>
      </c>
      <c r="K1237" s="2" t="s">
        <v>1898</v>
      </c>
      <c r="L1237" s="2">
        <f t="shared" si="19"/>
        <v>150</v>
      </c>
    </row>
    <row r="1238" spans="1:12" ht="25" customHeight="1">
      <c r="A1238" s="2" t="s">
        <v>12</v>
      </c>
      <c r="B1238" s="2" t="str">
        <f>HYPERLINK("http://bbs.12365auto.com/postcontent.aspx?tID=195372","小编侃车第153期：热血沸腾！ 2020年日内瓦车展入华新车前瞻")</f>
        <v>小编侃车第153期：热血沸腾！ 2020年日内瓦车展入华新车前瞻</v>
      </c>
      <c r="C1238" s="2" t="s">
        <v>13</v>
      </c>
      <c r="D1238" s="2" t="s">
        <v>12</v>
      </c>
      <c r="E1238" s="2" t="s">
        <v>214</v>
      </c>
      <c r="F1238" s="2" t="str">
        <f>HYPERLINK("http://bbs.12365auto.com/postcontent.aspx?tID=195372","http://bbs.12365auto.com/postcontent.aspx?tID=195372")</f>
        <v>http://bbs.12365auto.com/postcontent.aspx?tID=195372</v>
      </c>
      <c r="G1238" s="2"/>
      <c r="H1238" s="2" t="s">
        <v>1901</v>
      </c>
      <c r="I1238" s="2" t="s">
        <v>15</v>
      </c>
      <c r="J1238" s="2" t="s">
        <v>1900</v>
      </c>
      <c r="K1238" s="2" t="s">
        <v>1898</v>
      </c>
      <c r="L1238" s="2">
        <f t="shared" si="19"/>
        <v>150</v>
      </c>
    </row>
    <row r="1239" spans="1:12" ht="25" customHeight="1">
      <c r="A1239" s="2" t="s">
        <v>12</v>
      </c>
      <c r="B1239" s="2" t="str">
        <f>HYPERLINK("http://bbs.12365auto.com/postcontent.aspx?tId=195372","小编侃车第153期：热血沸腾！ 2020年日内瓦车展入华新车前瞻")</f>
        <v>小编侃车第153期：热血沸腾！ 2020年日内瓦车展入华新车前瞻</v>
      </c>
      <c r="C1239" s="2" t="s">
        <v>13</v>
      </c>
      <c r="D1239" s="2" t="s">
        <v>12</v>
      </c>
      <c r="E1239" s="2" t="s">
        <v>210</v>
      </c>
      <c r="F1239" s="2" t="str">
        <f>HYPERLINK("http://bbs.12365auto.com/postcontent.aspx?tId=195372","http://bbs.12365auto.com/postcontent.aspx?tId=195372")</f>
        <v>http://bbs.12365auto.com/postcontent.aspx?tId=195372</v>
      </c>
      <c r="G1239" s="2"/>
      <c r="H1239" s="2" t="s">
        <v>1899</v>
      </c>
      <c r="I1239" s="2" t="s">
        <v>15</v>
      </c>
      <c r="J1239" s="2" t="s">
        <v>1900</v>
      </c>
      <c r="K1239" s="2" t="s">
        <v>1898</v>
      </c>
      <c r="L1239" s="2">
        <f t="shared" si="19"/>
        <v>150</v>
      </c>
    </row>
    <row r="1240" spans="1:12" ht="25" customHeight="1">
      <c r="A1240" s="2" t="s">
        <v>12</v>
      </c>
      <c r="B1240" s="2" t="str">
        <f>HYPERLINK("http://m.12365auto.com/bbs/postcontent.aspx?tID=195371","获得王健林5亿投资的董明珠汽车 发展的如何了？")</f>
        <v>获得王健林5亿投资的董明珠汽车 发展的如何了？</v>
      </c>
      <c r="C1240" s="2" t="s">
        <v>13</v>
      </c>
      <c r="D1240" s="2" t="s">
        <v>23</v>
      </c>
      <c r="E1240" s="2"/>
      <c r="F1240" s="2" t="str">
        <f>HYPERLINK("http://m.12365auto.com/bbs/postcontent.aspx?tID=195371","http://m.12365auto.com/bbs/postcontent.aspx?tID=195371")</f>
        <v>http://m.12365auto.com/bbs/postcontent.aspx?tID=195371</v>
      </c>
      <c r="G1240" s="2"/>
      <c r="H1240" s="2" t="s">
        <v>1902</v>
      </c>
      <c r="I1240" s="2" t="s">
        <v>15</v>
      </c>
      <c r="J1240" s="2" t="s">
        <v>1903</v>
      </c>
      <c r="K1240" s="2" t="s">
        <v>1904</v>
      </c>
      <c r="L1240" s="2">
        <f t="shared" si="19"/>
        <v>150</v>
      </c>
    </row>
    <row r="1241" spans="1:12" ht="25" customHeight="1">
      <c r="A1241" s="2" t="s">
        <v>12</v>
      </c>
      <c r="B1241" s="2" t="str">
        <f>HYPERLINK("http://bbs.12365auto.com/postcontent.aspx?tID=195371","获得王健林5亿投资的董明珠汽车 发展的如何了？")</f>
        <v>获得王健林5亿投资的董明珠汽车 发展的如何了？</v>
      </c>
      <c r="C1241" s="2" t="s">
        <v>13</v>
      </c>
      <c r="D1241" s="2" t="s">
        <v>12</v>
      </c>
      <c r="E1241" s="2" t="s">
        <v>28</v>
      </c>
      <c r="F1241" s="2" t="str">
        <f>HYPERLINK("http://bbs.12365auto.com/postcontent.aspx?tID=195371","http://bbs.12365auto.com/postcontent.aspx?tID=195371")</f>
        <v>http://bbs.12365auto.com/postcontent.aspx?tID=195371</v>
      </c>
      <c r="G1241" s="2"/>
      <c r="H1241" s="2" t="s">
        <v>1905</v>
      </c>
      <c r="I1241" s="2" t="s">
        <v>15</v>
      </c>
      <c r="J1241" s="2" t="s">
        <v>1903</v>
      </c>
      <c r="K1241" s="2" t="s">
        <v>1904</v>
      </c>
      <c r="L1241" s="2">
        <f t="shared" si="19"/>
        <v>150</v>
      </c>
    </row>
    <row r="1242" spans="1:12" ht="25" customHeight="1">
      <c r="A1242" s="2" t="s">
        <v>12</v>
      </c>
      <c r="B1242" s="2" t="str">
        <f>HYPERLINK("http://bbs.12365auto.com/postcontent.aspx?tId=195371","获得王健林5亿投资的董明珠汽车 发展的如何了？")</f>
        <v>获得王健林5亿投资的董明珠汽车 发展的如何了？</v>
      </c>
      <c r="C1242" s="2" t="s">
        <v>13</v>
      </c>
      <c r="D1242" s="2" t="s">
        <v>12</v>
      </c>
      <c r="E1242" s="2" t="s">
        <v>27</v>
      </c>
      <c r="F1242" s="2" t="str">
        <f>HYPERLINK("http://bbs.12365auto.com/postcontent.aspx?tId=195371","http://bbs.12365auto.com/postcontent.aspx?tId=195371")</f>
        <v>http://bbs.12365auto.com/postcontent.aspx?tId=195371</v>
      </c>
      <c r="G1242" s="2"/>
      <c r="H1242" s="2" t="s">
        <v>1902</v>
      </c>
      <c r="I1242" s="2" t="s">
        <v>15</v>
      </c>
      <c r="J1242" s="2" t="s">
        <v>1903</v>
      </c>
      <c r="K1242" s="2" t="s">
        <v>1904</v>
      </c>
      <c r="L1242" s="2">
        <f t="shared" si="19"/>
        <v>150</v>
      </c>
    </row>
    <row r="1243" spans="1:12" ht="25" customHeight="1">
      <c r="A1243" s="2" t="s">
        <v>12</v>
      </c>
      <c r="B1243" s="2" t="str">
        <f>HYPERLINK("http://bbs.12365auto.com/postcontent.aspx?tID=195370","国之重器——高效发动机")</f>
        <v>国之重器——高效发动机</v>
      </c>
      <c r="C1243" s="2" t="s">
        <v>13</v>
      </c>
      <c r="D1243" s="2" t="s">
        <v>12</v>
      </c>
      <c r="E1243" s="2" t="s">
        <v>28</v>
      </c>
      <c r="F1243" s="2" t="str">
        <f>HYPERLINK("http://bbs.12365auto.com/postcontent.aspx?tID=195370","http://bbs.12365auto.com/postcontent.aspx?tID=195370")</f>
        <v>http://bbs.12365auto.com/postcontent.aspx?tID=195370</v>
      </c>
      <c r="G1243" s="2"/>
      <c r="H1243" s="2" t="s">
        <v>1906</v>
      </c>
      <c r="I1243" s="2" t="s">
        <v>15</v>
      </c>
      <c r="J1243" s="2" t="s">
        <v>1903</v>
      </c>
      <c r="K1243" s="2" t="s">
        <v>1907</v>
      </c>
      <c r="L1243" s="2">
        <f t="shared" si="19"/>
        <v>150</v>
      </c>
    </row>
    <row r="1244" spans="1:12" ht="25" customHeight="1">
      <c r="A1244" s="2" t="s">
        <v>12</v>
      </c>
      <c r="B1244" s="2" t="str">
        <f>HYPERLINK("http://m.12365auto.com/bbs/postcontent.aspx?tID=195370","国之重器——高效发动机")</f>
        <v>国之重器——高效发动机</v>
      </c>
      <c r="C1244" s="2" t="s">
        <v>13</v>
      </c>
      <c r="D1244" s="2" t="s">
        <v>23</v>
      </c>
      <c r="E1244" s="2"/>
      <c r="F1244" s="2" t="str">
        <f>HYPERLINK("http://m.12365auto.com/bbs/postcontent.aspx?tID=195370","http://m.12365auto.com/bbs/postcontent.aspx?tID=195370")</f>
        <v>http://m.12365auto.com/bbs/postcontent.aspx?tID=195370</v>
      </c>
      <c r="G1244" s="2"/>
      <c r="H1244" s="2" t="s">
        <v>1908</v>
      </c>
      <c r="I1244" s="2" t="s">
        <v>15</v>
      </c>
      <c r="J1244" s="2" t="s">
        <v>1903</v>
      </c>
      <c r="K1244" s="2" t="s">
        <v>1907</v>
      </c>
      <c r="L1244" s="2">
        <f t="shared" si="19"/>
        <v>150</v>
      </c>
    </row>
    <row r="1245" spans="1:12" ht="25" customHeight="1">
      <c r="A1245" s="2" t="s">
        <v>12</v>
      </c>
      <c r="B1245" s="2" t="str">
        <f>HYPERLINK("http://m.12365auto.com/bbs/postcontent.aspx?tID=195369","新能源缺点暴露")</f>
        <v>新能源缺点暴露</v>
      </c>
      <c r="C1245" s="2" t="s">
        <v>13</v>
      </c>
      <c r="D1245" s="2" t="s">
        <v>23</v>
      </c>
      <c r="E1245" s="2"/>
      <c r="F1245" s="2" t="str">
        <f>HYPERLINK("http://m.12365auto.com/bbs/postcontent.aspx?tID=195369","http://m.12365auto.com/bbs/postcontent.aspx?tID=195369")</f>
        <v>http://m.12365auto.com/bbs/postcontent.aspx?tID=195369</v>
      </c>
      <c r="G1245" s="2"/>
      <c r="H1245" s="2" t="s">
        <v>1909</v>
      </c>
      <c r="I1245" s="2" t="s">
        <v>15</v>
      </c>
      <c r="J1245" s="2" t="s">
        <v>1903</v>
      </c>
      <c r="K1245" s="2" t="s">
        <v>1907</v>
      </c>
      <c r="L1245" s="2">
        <f t="shared" si="19"/>
        <v>150</v>
      </c>
    </row>
    <row r="1246" spans="1:12" ht="25" customHeight="1">
      <c r="A1246" s="2" t="s">
        <v>12</v>
      </c>
      <c r="B1246" s="2" t="str">
        <f>HYPERLINK("http://www.12365auto.com/news/20200227/419680.shtml","采取有效防疫举措 捷豹路虎在华恢复办公")</f>
        <v>采取有效防疫举措 捷豹路虎在华恢复办公</v>
      </c>
      <c r="C1246" s="2" t="s">
        <v>13</v>
      </c>
      <c r="D1246" s="2" t="s">
        <v>12</v>
      </c>
      <c r="E1246" s="2" t="s">
        <v>276</v>
      </c>
      <c r="F1246" s="2" t="str">
        <f>HYPERLINK("http://www.12365auto.com/news/20200227/419680.shtml","http://www.12365auto.com/news/20200227/419680.shtml")</f>
        <v>http://www.12365auto.com/news/20200227/419680.shtml</v>
      </c>
      <c r="G1246" s="2"/>
      <c r="H1246" s="2" t="s">
        <v>1910</v>
      </c>
      <c r="I1246" s="2" t="s">
        <v>15</v>
      </c>
      <c r="J1246" s="2" t="s">
        <v>12</v>
      </c>
      <c r="K1246" s="2" t="s">
        <v>1907</v>
      </c>
      <c r="L1246" s="2">
        <f t="shared" si="19"/>
        <v>150</v>
      </c>
    </row>
    <row r="1247" spans="1:12" ht="25" customHeight="1">
      <c r="A1247" s="2" t="s">
        <v>12</v>
      </c>
      <c r="B1247" s="2" t="str">
        <f>HYPERLINK("http://bbs.12365auto.com/postcontent.aspx?tID=195369","新能源缺点暴露")</f>
        <v>新能源缺点暴露</v>
      </c>
      <c r="C1247" s="2" t="s">
        <v>13</v>
      </c>
      <c r="D1247" s="2" t="s">
        <v>12</v>
      </c>
      <c r="E1247" s="2" t="s">
        <v>28</v>
      </c>
      <c r="F1247" s="2" t="str">
        <f>HYPERLINK("http://bbs.12365auto.com/postcontent.aspx?tID=195369","http://bbs.12365auto.com/postcontent.aspx?tID=195369")</f>
        <v>http://bbs.12365auto.com/postcontent.aspx?tID=195369</v>
      </c>
      <c r="G1247" s="2"/>
      <c r="H1247" s="2" t="s">
        <v>1911</v>
      </c>
      <c r="I1247" s="2" t="s">
        <v>15</v>
      </c>
      <c r="J1247" s="2" t="s">
        <v>1903</v>
      </c>
      <c r="K1247" s="2" t="s">
        <v>1907</v>
      </c>
      <c r="L1247" s="2">
        <f t="shared" si="19"/>
        <v>150</v>
      </c>
    </row>
    <row r="1248" spans="1:12" ht="25" customHeight="1">
      <c r="A1248" s="2" t="s">
        <v>12</v>
      </c>
      <c r="B1248" s="2" t="str">
        <f>HYPERLINK("http://bbs.12365auto.com/postcontent.aspx?tId=195370","国之重器——高效发动机")</f>
        <v>国之重器——高效发动机</v>
      </c>
      <c r="C1248" s="2" t="s">
        <v>13</v>
      </c>
      <c r="D1248" s="2" t="s">
        <v>12</v>
      </c>
      <c r="E1248" s="2" t="s">
        <v>27</v>
      </c>
      <c r="F1248" s="2" t="str">
        <f>HYPERLINK("http://bbs.12365auto.com/postcontent.aspx?tId=195370","http://bbs.12365auto.com/postcontent.aspx?tId=195370")</f>
        <v>http://bbs.12365auto.com/postcontent.aspx?tId=195370</v>
      </c>
      <c r="G1248" s="2"/>
      <c r="H1248" s="2" t="s">
        <v>1908</v>
      </c>
      <c r="I1248" s="2" t="s">
        <v>15</v>
      </c>
      <c r="J1248" s="2" t="s">
        <v>1903</v>
      </c>
      <c r="K1248" s="2" t="s">
        <v>1907</v>
      </c>
      <c r="L1248" s="2">
        <f t="shared" si="19"/>
        <v>150</v>
      </c>
    </row>
    <row r="1249" spans="1:12" ht="25" customHeight="1">
      <c r="A1249" s="2" t="s">
        <v>12</v>
      </c>
      <c r="B1249" s="2" t="str">
        <f>HYPERLINK("http://m.12365auto.com/news/20200227/419680.shtml","采取有效防疫举措 捷豹路虎在华恢复办公")</f>
        <v>采取有效防疫举措 捷豹路虎在华恢复办公</v>
      </c>
      <c r="C1249" s="2" t="s">
        <v>13</v>
      </c>
      <c r="D1249" s="2" t="s">
        <v>12</v>
      </c>
      <c r="E1249" s="2"/>
      <c r="F1249" s="2" t="str">
        <f>HYPERLINK("http://m.12365auto.com/news/20200227/419680.shtml","http://m.12365auto.com/news/20200227/419680.shtml")</f>
        <v>http://m.12365auto.com/news/20200227/419680.shtml</v>
      </c>
      <c r="G1249" s="2"/>
      <c r="H1249" s="2" t="s">
        <v>1912</v>
      </c>
      <c r="I1249" s="2" t="s">
        <v>19</v>
      </c>
      <c r="J1249" s="2" t="s">
        <v>236</v>
      </c>
      <c r="K1249" s="2" t="s">
        <v>1907</v>
      </c>
      <c r="L1249" s="2">
        <f t="shared" si="19"/>
        <v>150</v>
      </c>
    </row>
    <row r="1250" spans="1:12" ht="25" customHeight="1">
      <c r="A1250" s="2" t="s">
        <v>12</v>
      </c>
      <c r="B1250" s="2" t="str">
        <f>HYPERLINK("http://bbs.12365auto.com/postcontent.aspx?tId=195369","新能源缺点暴露")</f>
        <v>新能源缺点暴露</v>
      </c>
      <c r="C1250" s="2" t="s">
        <v>13</v>
      </c>
      <c r="D1250" s="2" t="s">
        <v>12</v>
      </c>
      <c r="E1250" s="2" t="s">
        <v>27</v>
      </c>
      <c r="F1250" s="2" t="str">
        <f>HYPERLINK("http://bbs.12365auto.com/postcontent.aspx?tId=195369","http://bbs.12365auto.com/postcontent.aspx?tId=195369")</f>
        <v>http://bbs.12365auto.com/postcontent.aspx?tId=195369</v>
      </c>
      <c r="G1250" s="2"/>
      <c r="H1250" s="2" t="s">
        <v>1909</v>
      </c>
      <c r="I1250" s="2" t="s">
        <v>15</v>
      </c>
      <c r="J1250" s="2" t="s">
        <v>1903</v>
      </c>
      <c r="K1250" s="2" t="s">
        <v>1907</v>
      </c>
      <c r="L1250" s="2">
        <f t="shared" si="19"/>
        <v>150</v>
      </c>
    </row>
    <row r="1251" spans="1:12" ht="25" customHeight="1">
      <c r="A1251" s="2" t="s">
        <v>12</v>
      </c>
      <c r="B1251" s="2" t="str">
        <f>HYPERLINK("http://bbs.12365auto.com/postcontent.aspx?tID=195368","贷款购车合适吗")</f>
        <v>贷款购车合适吗</v>
      </c>
      <c r="C1251" s="2" t="s">
        <v>13</v>
      </c>
      <c r="D1251" s="2" t="s">
        <v>12</v>
      </c>
      <c r="E1251" s="2" t="s">
        <v>28</v>
      </c>
      <c r="F1251" s="2" t="str">
        <f>HYPERLINK("http://bbs.12365auto.com/postcontent.aspx?tID=195368","http://bbs.12365auto.com/postcontent.aspx?tID=195368")</f>
        <v>http://bbs.12365auto.com/postcontent.aspx?tID=195368</v>
      </c>
      <c r="G1251" s="2"/>
      <c r="H1251" s="2" t="s">
        <v>1913</v>
      </c>
      <c r="I1251" s="2" t="s">
        <v>15</v>
      </c>
      <c r="J1251" s="2" t="s">
        <v>1903</v>
      </c>
      <c r="K1251" s="2" t="s">
        <v>1914</v>
      </c>
      <c r="L1251" s="2">
        <f t="shared" si="19"/>
        <v>150</v>
      </c>
    </row>
    <row r="1252" spans="1:12" ht="25" customHeight="1">
      <c r="A1252" s="2" t="s">
        <v>12</v>
      </c>
      <c r="B1252" s="2" t="str">
        <f>HYPERLINK("http://m.12365auto.com/bbs/postcontent.aspx?tID=195368","贷款购车合适吗")</f>
        <v>贷款购车合适吗</v>
      </c>
      <c r="C1252" s="2" t="s">
        <v>13</v>
      </c>
      <c r="D1252" s="2" t="s">
        <v>23</v>
      </c>
      <c r="E1252" s="2"/>
      <c r="F1252" s="2" t="str">
        <f>HYPERLINK("http://m.12365auto.com/bbs/postcontent.aspx?tID=195368","http://m.12365auto.com/bbs/postcontent.aspx?tID=195368")</f>
        <v>http://m.12365auto.com/bbs/postcontent.aspx?tID=195368</v>
      </c>
      <c r="G1252" s="2"/>
      <c r="H1252" s="2" t="s">
        <v>1915</v>
      </c>
      <c r="I1252" s="2" t="s">
        <v>15</v>
      </c>
      <c r="J1252" s="2" t="s">
        <v>1903</v>
      </c>
      <c r="K1252" s="2" t="s">
        <v>1914</v>
      </c>
      <c r="L1252" s="2">
        <f t="shared" si="19"/>
        <v>150</v>
      </c>
    </row>
    <row r="1253" spans="1:12" ht="25" customHeight="1">
      <c r="A1253" s="2" t="s">
        <v>12</v>
      </c>
      <c r="B1253" s="2" t="str">
        <f>HYPERLINK("http://m.12365auto.com/bbs/postcontent.aspx?tID=195367","法国PSA汽车集团：2019年实现创纪录的利润")</f>
        <v>法国PSA汽车集团：2019年实现创纪录的利润</v>
      </c>
      <c r="C1253" s="2" t="s">
        <v>13</v>
      </c>
      <c r="D1253" s="2" t="s">
        <v>23</v>
      </c>
      <c r="E1253" s="2"/>
      <c r="F1253" s="2" t="str">
        <f>HYPERLINK("http://m.12365auto.com/bbs/postcontent.aspx?tID=195367","http://m.12365auto.com/bbs/postcontent.aspx?tID=195367")</f>
        <v>http://m.12365auto.com/bbs/postcontent.aspx?tID=195367</v>
      </c>
      <c r="G1253" s="2"/>
      <c r="H1253" s="2" t="s">
        <v>1916</v>
      </c>
      <c r="I1253" s="2" t="s">
        <v>15</v>
      </c>
      <c r="J1253" s="2" t="s">
        <v>1903</v>
      </c>
      <c r="K1253" s="2" t="s">
        <v>1914</v>
      </c>
      <c r="L1253" s="2">
        <f t="shared" si="19"/>
        <v>150</v>
      </c>
    </row>
    <row r="1254" spans="1:12" ht="25" customHeight="1">
      <c r="A1254" s="2" t="s">
        <v>12</v>
      </c>
      <c r="B1254" s="2" t="str">
        <f>HYPERLINK("http://bbs.12365auto.com/postcontent.aspx?tID=195367","法国PSA汽车集团：2019年实现创纪录的利润")</f>
        <v>法国PSA汽车集团：2019年实现创纪录的利润</v>
      </c>
      <c r="C1254" s="2" t="s">
        <v>13</v>
      </c>
      <c r="D1254" s="2" t="s">
        <v>12</v>
      </c>
      <c r="E1254" s="2" t="s">
        <v>28</v>
      </c>
      <c r="F1254" s="2" t="str">
        <f>HYPERLINK("http://bbs.12365auto.com/postcontent.aspx?tID=195367","http://bbs.12365auto.com/postcontent.aspx?tID=195367")</f>
        <v>http://bbs.12365auto.com/postcontent.aspx?tID=195367</v>
      </c>
      <c r="G1254" s="2"/>
      <c r="H1254" s="2" t="s">
        <v>1917</v>
      </c>
      <c r="I1254" s="2" t="s">
        <v>15</v>
      </c>
      <c r="J1254" s="2" t="s">
        <v>1903</v>
      </c>
      <c r="K1254" s="2" t="s">
        <v>1914</v>
      </c>
      <c r="L1254" s="2">
        <f t="shared" si="19"/>
        <v>150</v>
      </c>
    </row>
    <row r="1255" spans="1:12" ht="25" customHeight="1">
      <c r="A1255" s="2" t="s">
        <v>12</v>
      </c>
      <c r="B1255" s="2" t="str">
        <f>HYPERLINK("http://bbs.12365auto.com/postcontent.aspx?tId=195367","法国PSA汽车集团：2019年实现创纪录的利润")</f>
        <v>法国PSA汽车集团：2019年实现创纪录的利润</v>
      </c>
      <c r="C1255" s="2" t="s">
        <v>13</v>
      </c>
      <c r="D1255" s="2" t="s">
        <v>12</v>
      </c>
      <c r="E1255" s="2" t="s">
        <v>27</v>
      </c>
      <c r="F1255" s="2" t="str">
        <f>HYPERLINK("http://bbs.12365auto.com/postcontent.aspx?tId=195367","http://bbs.12365auto.com/postcontent.aspx?tId=195367")</f>
        <v>http://bbs.12365auto.com/postcontent.aspx?tId=195367</v>
      </c>
      <c r="G1255" s="2"/>
      <c r="H1255" s="2" t="s">
        <v>1916</v>
      </c>
      <c r="I1255" s="2" t="s">
        <v>15</v>
      </c>
      <c r="J1255" s="2" t="s">
        <v>1903</v>
      </c>
      <c r="K1255" s="2" t="s">
        <v>1914</v>
      </c>
      <c r="L1255" s="2">
        <f t="shared" si="19"/>
        <v>150</v>
      </c>
    </row>
    <row r="1256" spans="1:12" ht="25" customHeight="1">
      <c r="A1256" s="2" t="s">
        <v>12</v>
      </c>
      <c r="B1256" s="2" t="str">
        <f>HYPERLINK("http://bbs.12365auto.com/postcontent.aspx?tId=195368","贷款购车合适吗")</f>
        <v>贷款购车合适吗</v>
      </c>
      <c r="C1256" s="2" t="s">
        <v>13</v>
      </c>
      <c r="D1256" s="2" t="s">
        <v>12</v>
      </c>
      <c r="E1256" s="2" t="s">
        <v>27</v>
      </c>
      <c r="F1256" s="2" t="str">
        <f>HYPERLINK("http://bbs.12365auto.com/postcontent.aspx?tId=195368","http://bbs.12365auto.com/postcontent.aspx?tId=195368")</f>
        <v>http://bbs.12365auto.com/postcontent.aspx?tId=195368</v>
      </c>
      <c r="G1256" s="2"/>
      <c r="H1256" s="2" t="s">
        <v>1915</v>
      </c>
      <c r="I1256" s="2" t="s">
        <v>15</v>
      </c>
      <c r="J1256" s="2" t="s">
        <v>1903</v>
      </c>
      <c r="K1256" s="2" t="s">
        <v>1914</v>
      </c>
      <c r="L1256" s="2">
        <f t="shared" si="19"/>
        <v>150</v>
      </c>
    </row>
    <row r="1257" spans="1:12" ht="25" customHeight="1">
      <c r="A1257" s="2" t="s">
        <v>12</v>
      </c>
      <c r="B1257" s="2" t="str">
        <f>HYPERLINK("http://bbs.12365auto.com/postcontent.aspx?tID=195366","苹果汽车动态座椅专利曝光")</f>
        <v>苹果汽车动态座椅专利曝光</v>
      </c>
      <c r="C1257" s="2" t="s">
        <v>13</v>
      </c>
      <c r="D1257" s="2" t="s">
        <v>12</v>
      </c>
      <c r="E1257" s="2" t="s">
        <v>28</v>
      </c>
      <c r="F1257" s="2" t="str">
        <f>HYPERLINK("http://bbs.12365auto.com/postcontent.aspx?tID=195366","http://bbs.12365auto.com/postcontent.aspx?tID=195366")</f>
        <v>http://bbs.12365auto.com/postcontent.aspx?tID=195366</v>
      </c>
      <c r="G1257" s="2"/>
      <c r="H1257" s="2" t="s">
        <v>1918</v>
      </c>
      <c r="I1257" s="2" t="s">
        <v>15</v>
      </c>
      <c r="J1257" s="2" t="s">
        <v>1903</v>
      </c>
      <c r="K1257" s="2" t="s">
        <v>1919</v>
      </c>
      <c r="L1257" s="2">
        <f t="shared" si="19"/>
        <v>150</v>
      </c>
    </row>
    <row r="1258" spans="1:12" ht="25" customHeight="1">
      <c r="A1258" s="2" t="s">
        <v>12</v>
      </c>
      <c r="B1258" s="2" t="str">
        <f>HYPERLINK("http://m.12365auto.com/bbs/postcontent.aspx?tID=195366","苹果汽车动态座椅专利曝光")</f>
        <v>苹果汽车动态座椅专利曝光</v>
      </c>
      <c r="C1258" s="2" t="s">
        <v>13</v>
      </c>
      <c r="D1258" s="2" t="s">
        <v>23</v>
      </c>
      <c r="E1258" s="2"/>
      <c r="F1258" s="2" t="str">
        <f>HYPERLINK("http://m.12365auto.com/bbs/postcontent.aspx?tID=195366","http://m.12365auto.com/bbs/postcontent.aspx?tID=195366")</f>
        <v>http://m.12365auto.com/bbs/postcontent.aspx?tID=195366</v>
      </c>
      <c r="G1258" s="2"/>
      <c r="H1258" s="2" t="s">
        <v>1920</v>
      </c>
      <c r="I1258" s="2" t="s">
        <v>15</v>
      </c>
      <c r="J1258" s="2" t="s">
        <v>1903</v>
      </c>
      <c r="K1258" s="2" t="s">
        <v>1919</v>
      </c>
      <c r="L1258" s="2">
        <f t="shared" si="19"/>
        <v>150</v>
      </c>
    </row>
    <row r="1259" spans="1:12" ht="25" customHeight="1">
      <c r="A1259" s="2" t="s">
        <v>12</v>
      </c>
      <c r="B1259" s="2" t="str">
        <f>HYPERLINK("http://www.12365auto.com/xcdg/20200227/419679.shtml","推荐自动悦享版 捷达VS7购车手册")</f>
        <v>推荐自动悦享版 捷达VS7购车手册</v>
      </c>
      <c r="C1259" s="2" t="s">
        <v>13</v>
      </c>
      <c r="D1259" s="2" t="s">
        <v>12</v>
      </c>
      <c r="E1259" s="2" t="s">
        <v>216</v>
      </c>
      <c r="F1259" s="2" t="str">
        <f>HYPERLINK("http://www.12365auto.com/xcdg/20200227/419679.shtml","http://www.12365auto.com/xcdg/20200227/419679.shtml")</f>
        <v>http://www.12365auto.com/xcdg/20200227/419679.shtml</v>
      </c>
      <c r="G1259" s="2"/>
      <c r="H1259" s="2" t="s">
        <v>1921</v>
      </c>
      <c r="I1259" s="2" t="s">
        <v>15</v>
      </c>
      <c r="J1259" s="2" t="s">
        <v>12</v>
      </c>
      <c r="K1259" s="2" t="s">
        <v>1919</v>
      </c>
      <c r="L1259" s="2">
        <f t="shared" si="19"/>
        <v>150</v>
      </c>
    </row>
    <row r="1260" spans="1:12" ht="25" customHeight="1">
      <c r="A1260" s="2" t="s">
        <v>12</v>
      </c>
      <c r="B1260" s="2" t="str">
        <f>HYPERLINK("http://m.12365auto.com/xcdg/20200227/419679.shtml","推荐自动悦享版 捷达VS7购车手册")</f>
        <v>推荐自动悦享版 捷达VS7购车手册</v>
      </c>
      <c r="C1260" s="2" t="s">
        <v>13</v>
      </c>
      <c r="D1260" s="2" t="s">
        <v>12</v>
      </c>
      <c r="E1260" s="2"/>
      <c r="F1260" s="2" t="str">
        <f>HYPERLINK("http://m.12365auto.com/xcdg/20200227/419679.shtml","http://m.12365auto.com/xcdg/20200227/419679.shtml")</f>
        <v>http://m.12365auto.com/xcdg/20200227/419679.shtml</v>
      </c>
      <c r="G1260" s="2"/>
      <c r="H1260" s="2" t="s">
        <v>1922</v>
      </c>
      <c r="I1260" s="2" t="s">
        <v>19</v>
      </c>
      <c r="J1260" s="2" t="s">
        <v>1923</v>
      </c>
      <c r="K1260" s="2" t="s">
        <v>1919</v>
      </c>
      <c r="L1260" s="2">
        <f t="shared" si="19"/>
        <v>150</v>
      </c>
    </row>
    <row r="1261" spans="1:12" ht="25" customHeight="1">
      <c r="A1261" s="2" t="s">
        <v>12</v>
      </c>
      <c r="B1261" s="2" t="str">
        <f>HYPERLINK("http://bbs.12365auto.com/postcontent.aspx?tId=195366","苹果汽车动态座椅专利曝光")</f>
        <v>苹果汽车动态座椅专利曝光</v>
      </c>
      <c r="C1261" s="2" t="s">
        <v>13</v>
      </c>
      <c r="D1261" s="2" t="s">
        <v>12</v>
      </c>
      <c r="E1261" s="2" t="s">
        <v>27</v>
      </c>
      <c r="F1261" s="2" t="str">
        <f>HYPERLINK("http://bbs.12365auto.com/postcontent.aspx?tId=195366","http://bbs.12365auto.com/postcontent.aspx?tId=195366")</f>
        <v>http://bbs.12365auto.com/postcontent.aspx?tId=195366</v>
      </c>
      <c r="G1261" s="2"/>
      <c r="H1261" s="2" t="s">
        <v>1920</v>
      </c>
      <c r="I1261" s="2" t="s">
        <v>15</v>
      </c>
      <c r="J1261" s="2" t="s">
        <v>1903</v>
      </c>
      <c r="K1261" s="2" t="s">
        <v>1919</v>
      </c>
      <c r="L1261" s="2">
        <f t="shared" si="19"/>
        <v>150</v>
      </c>
    </row>
    <row r="1262" spans="1:12" ht="25" customHeight="1">
      <c r="A1262" s="2" t="s">
        <v>12</v>
      </c>
      <c r="B1262" s="2" t="str">
        <f>HYPERLINK("http://m.12365auto.com/bbs/postcontent.aspx?tID=195365","吉利换回四缸机 是醒悟还是迷失？")</f>
        <v>吉利换回四缸机 是醒悟还是迷失？</v>
      </c>
      <c r="C1262" s="2" t="s">
        <v>13</v>
      </c>
      <c r="D1262" s="2" t="s">
        <v>23</v>
      </c>
      <c r="E1262" s="2"/>
      <c r="F1262" s="2" t="str">
        <f>HYPERLINK("http://m.12365auto.com/bbs/postcontent.aspx?tID=195365","http://m.12365auto.com/bbs/postcontent.aspx?tID=195365")</f>
        <v>http://m.12365auto.com/bbs/postcontent.aspx?tID=195365</v>
      </c>
      <c r="G1262" s="2"/>
      <c r="H1262" s="2" t="s">
        <v>1924</v>
      </c>
      <c r="I1262" s="2" t="s">
        <v>15</v>
      </c>
      <c r="J1262" s="2" t="s">
        <v>1903</v>
      </c>
      <c r="K1262" s="2" t="s">
        <v>1925</v>
      </c>
      <c r="L1262" s="2">
        <f t="shared" si="19"/>
        <v>150</v>
      </c>
    </row>
    <row r="1263" spans="1:12" ht="25" customHeight="1">
      <c r="A1263" s="2" t="s">
        <v>12</v>
      </c>
      <c r="B1263" s="2" t="str">
        <f>HYPERLINK("http://bbs.12365auto.com/postcontent.aspx?tID=195365","吉利换回四缸机 是醒悟还是迷失？")</f>
        <v>吉利换回四缸机 是醒悟还是迷失？</v>
      </c>
      <c r="C1263" s="2" t="s">
        <v>13</v>
      </c>
      <c r="D1263" s="2" t="s">
        <v>12</v>
      </c>
      <c r="E1263" s="2" t="s">
        <v>28</v>
      </c>
      <c r="F1263" s="2" t="str">
        <f>HYPERLINK("http://bbs.12365auto.com/postcontent.aspx?tID=195365","http://bbs.12365auto.com/postcontent.aspx?tID=195365")</f>
        <v>http://bbs.12365auto.com/postcontent.aspx?tID=195365</v>
      </c>
      <c r="G1263" s="2"/>
      <c r="H1263" s="2" t="s">
        <v>1926</v>
      </c>
      <c r="I1263" s="2" t="s">
        <v>15</v>
      </c>
      <c r="J1263" s="2" t="s">
        <v>1903</v>
      </c>
      <c r="K1263" s="2" t="s">
        <v>1925</v>
      </c>
      <c r="L1263" s="2">
        <f t="shared" si="19"/>
        <v>150</v>
      </c>
    </row>
    <row r="1264" spans="1:12" ht="25" customHeight="1">
      <c r="A1264" s="2" t="s">
        <v>12</v>
      </c>
      <c r="B1264" s="2" t="str">
        <f>HYPERLINK("http://bbs.12365auto.com/postcontent.aspx?tId=195365","吉利换回四缸机 是醒悟还是迷失？")</f>
        <v>吉利换回四缸机 是醒悟还是迷失？</v>
      </c>
      <c r="C1264" s="2" t="s">
        <v>13</v>
      </c>
      <c r="D1264" s="2" t="s">
        <v>12</v>
      </c>
      <c r="E1264" s="2" t="s">
        <v>27</v>
      </c>
      <c r="F1264" s="2" t="str">
        <f>HYPERLINK("http://bbs.12365auto.com/postcontent.aspx?tId=195365","http://bbs.12365auto.com/postcontent.aspx?tId=195365")</f>
        <v>http://bbs.12365auto.com/postcontent.aspx?tId=195365</v>
      </c>
      <c r="G1264" s="2"/>
      <c r="H1264" s="2" t="s">
        <v>1924</v>
      </c>
      <c r="I1264" s="2" t="s">
        <v>15</v>
      </c>
      <c r="J1264" s="2" t="s">
        <v>1903</v>
      </c>
      <c r="K1264" s="2" t="s">
        <v>1925</v>
      </c>
      <c r="L1264" s="2">
        <f t="shared" si="19"/>
        <v>150</v>
      </c>
    </row>
    <row r="1265" spans="1:12" ht="25" customHeight="1">
      <c r="A1265" s="2" t="s">
        <v>12</v>
      </c>
      <c r="B1265" s="2" t="str">
        <f>HYPERLINK("http://m.12365auto.com/bbs/postcontent.aspx?tID=195364","马自达：降价是不可能的 饿死也不会降价")</f>
        <v>马自达：降价是不可能的 饿死也不会降价</v>
      </c>
      <c r="C1265" s="2" t="s">
        <v>13</v>
      </c>
      <c r="D1265" s="2" t="s">
        <v>23</v>
      </c>
      <c r="E1265" s="2"/>
      <c r="F1265" s="2" t="str">
        <f>HYPERLINK("http://m.12365auto.com/bbs/postcontent.aspx?tID=195364","http://m.12365auto.com/bbs/postcontent.aspx?tID=195364")</f>
        <v>http://m.12365auto.com/bbs/postcontent.aspx?tID=195364</v>
      </c>
      <c r="G1265" s="2"/>
      <c r="H1265" s="2" t="s">
        <v>1927</v>
      </c>
      <c r="I1265" s="2" t="s">
        <v>15</v>
      </c>
      <c r="J1265" s="2" t="s">
        <v>1903</v>
      </c>
      <c r="K1265" s="2" t="s">
        <v>1928</v>
      </c>
      <c r="L1265" s="2">
        <f t="shared" si="19"/>
        <v>150</v>
      </c>
    </row>
    <row r="1266" spans="1:12" ht="25" customHeight="1">
      <c r="A1266" s="2" t="s">
        <v>12</v>
      </c>
      <c r="B1266" s="2" t="str">
        <f>HYPERLINK("http://bbs.12365auto.com/postcontent.aspx?tID=195364","马自达：降价是不可能的 饿死也不会降价")</f>
        <v>马自达：降价是不可能的 饿死也不会降价</v>
      </c>
      <c r="C1266" s="2" t="s">
        <v>13</v>
      </c>
      <c r="D1266" s="2" t="s">
        <v>12</v>
      </c>
      <c r="E1266" s="2" t="s">
        <v>28</v>
      </c>
      <c r="F1266" s="2" t="str">
        <f>HYPERLINK("http://bbs.12365auto.com/postcontent.aspx?tID=195364","http://bbs.12365auto.com/postcontent.aspx?tID=195364")</f>
        <v>http://bbs.12365auto.com/postcontent.aspx?tID=195364</v>
      </c>
      <c r="G1266" s="2"/>
      <c r="H1266" s="2" t="s">
        <v>1929</v>
      </c>
      <c r="I1266" s="2" t="s">
        <v>15</v>
      </c>
      <c r="J1266" s="2" t="s">
        <v>1903</v>
      </c>
      <c r="K1266" s="2" t="s">
        <v>1928</v>
      </c>
      <c r="L1266" s="2">
        <f t="shared" si="19"/>
        <v>150</v>
      </c>
    </row>
    <row r="1267" spans="1:12" ht="25" customHeight="1">
      <c r="A1267" s="2" t="s">
        <v>12</v>
      </c>
      <c r="B1267" s="2" t="str">
        <f>HYPERLINK("http://bbs.12365auto.com/postcontent.aspx?tId=195364","马自达：降价是不可能的 饿死也不会降价")</f>
        <v>马自达：降价是不可能的 饿死也不会降价</v>
      </c>
      <c r="C1267" s="2" t="s">
        <v>13</v>
      </c>
      <c r="D1267" s="2" t="s">
        <v>12</v>
      </c>
      <c r="E1267" s="2" t="s">
        <v>27</v>
      </c>
      <c r="F1267" s="2" t="str">
        <f>HYPERLINK("http://bbs.12365auto.com/postcontent.aspx?tId=195364","http://bbs.12365auto.com/postcontent.aspx?tId=195364")</f>
        <v>http://bbs.12365auto.com/postcontent.aspx?tId=195364</v>
      </c>
      <c r="G1267" s="2"/>
      <c r="H1267" s="2" t="s">
        <v>1927</v>
      </c>
      <c r="I1267" s="2" t="s">
        <v>15</v>
      </c>
      <c r="J1267" s="2" t="s">
        <v>1903</v>
      </c>
      <c r="K1267" s="2" t="s">
        <v>1928</v>
      </c>
      <c r="L1267" s="2">
        <f t="shared" si="19"/>
        <v>150</v>
      </c>
    </row>
    <row r="1268" spans="1:12" ht="25" customHeight="1">
      <c r="A1268" s="2" t="s">
        <v>12</v>
      </c>
      <c r="B1268" s="2" t="str">
        <f>HYPERLINK("http://www.12365auto.com/zlts/20200227/448958.shtml","东风悦达起亚KX3傲跑无导航及QQ音乐")</f>
        <v>东风悦达起亚KX3傲跑无导航及QQ音乐</v>
      </c>
      <c r="C1268" s="2" t="s">
        <v>13</v>
      </c>
      <c r="D1268" s="2" t="s">
        <v>12</v>
      </c>
      <c r="E1268" s="2" t="s">
        <v>17</v>
      </c>
      <c r="F1268" s="2" t="str">
        <f>HYPERLINK("http://www.12365auto.com/zlts/20200227/448958.shtml","http://www.12365auto.com/zlts/20200227/448958.shtml")</f>
        <v>http://www.12365auto.com/zlts/20200227/448958.shtml</v>
      </c>
      <c r="G1268" s="2"/>
      <c r="H1268" s="2" t="s">
        <v>1930</v>
      </c>
      <c r="I1268" s="2" t="s">
        <v>15</v>
      </c>
      <c r="J1268" s="2" t="s">
        <v>12</v>
      </c>
      <c r="K1268" s="2" t="s">
        <v>1931</v>
      </c>
      <c r="L1268" s="2">
        <f t="shared" si="19"/>
        <v>150</v>
      </c>
    </row>
    <row r="1269" spans="1:12" ht="25" customHeight="1">
      <c r="A1269" s="2" t="s">
        <v>12</v>
      </c>
      <c r="B1269" s="2" t="str">
        <f>HYPERLINK("http://m.12365auto.com/xcdg/20200227/419678.shtml","长城皮卡两款新品即将于本周六上市")</f>
        <v>长城皮卡两款新品即将于本周六上市</v>
      </c>
      <c r="C1269" s="2" t="s">
        <v>13</v>
      </c>
      <c r="D1269" s="2" t="s">
        <v>12</v>
      </c>
      <c r="E1269" s="2"/>
      <c r="F1269" s="2" t="str">
        <f>HYPERLINK("http://m.12365auto.com/xcdg/20200227/419678.shtml","http://m.12365auto.com/xcdg/20200227/419678.shtml")</f>
        <v>http://m.12365auto.com/xcdg/20200227/419678.shtml</v>
      </c>
      <c r="G1269" s="2"/>
      <c r="H1269" s="2" t="s">
        <v>1932</v>
      </c>
      <c r="I1269" s="2" t="s">
        <v>19</v>
      </c>
      <c r="J1269" s="2" t="s">
        <v>1933</v>
      </c>
      <c r="K1269" s="2" t="s">
        <v>1931</v>
      </c>
      <c r="L1269" s="2">
        <f t="shared" si="19"/>
        <v>150</v>
      </c>
    </row>
    <row r="1270" spans="1:12" ht="25" customHeight="1">
      <c r="A1270" s="2" t="s">
        <v>12</v>
      </c>
      <c r="B1270" s="2" t="str">
        <f>HYPERLINK("http://www.12365auto.com/xcdg/20200227/419678.shtml","长城皮卡两款新品即将于本周六上市")</f>
        <v>长城皮卡两款新品即将于本周六上市</v>
      </c>
      <c r="C1270" s="2" t="s">
        <v>13</v>
      </c>
      <c r="D1270" s="2" t="s">
        <v>12</v>
      </c>
      <c r="E1270" s="2" t="s">
        <v>216</v>
      </c>
      <c r="F1270" s="2" t="str">
        <f>HYPERLINK("http://www.12365auto.com/xcdg/20200227/419678.shtml","http://www.12365auto.com/xcdg/20200227/419678.shtml")</f>
        <v>http://www.12365auto.com/xcdg/20200227/419678.shtml</v>
      </c>
      <c r="G1270" s="2"/>
      <c r="H1270" s="2" t="s">
        <v>1934</v>
      </c>
      <c r="I1270" s="2" t="s">
        <v>15</v>
      </c>
      <c r="J1270" s="2" t="s">
        <v>12</v>
      </c>
      <c r="K1270" s="2" t="s">
        <v>1931</v>
      </c>
      <c r="L1270" s="2">
        <f t="shared" si="19"/>
        <v>150</v>
      </c>
    </row>
    <row r="1271" spans="1:12" ht="25" customHeight="1">
      <c r="A1271" s="2" t="s">
        <v>12</v>
      </c>
      <c r="B1271" s="2" t="str">
        <f>HYPERLINK("http://m.12365auto.com/bbs/postcontent.aspx?tID=195362","北京新能源指标“开闸放水”")</f>
        <v>北京新能源指标“开闸放水”</v>
      </c>
      <c r="C1271" s="2" t="s">
        <v>13</v>
      </c>
      <c r="D1271" s="2" t="s">
        <v>23</v>
      </c>
      <c r="E1271" s="2"/>
      <c r="F1271" s="2" t="str">
        <f>HYPERLINK("http://m.12365auto.com/bbs/postcontent.aspx?tID=195362","http://m.12365auto.com/bbs/postcontent.aspx?tID=195362")</f>
        <v>http://m.12365auto.com/bbs/postcontent.aspx?tID=195362</v>
      </c>
      <c r="G1271" s="2"/>
      <c r="H1271" s="2" t="s">
        <v>1935</v>
      </c>
      <c r="I1271" s="2" t="s">
        <v>15</v>
      </c>
      <c r="J1271" s="2" t="s">
        <v>1903</v>
      </c>
      <c r="K1271" s="2" t="s">
        <v>1936</v>
      </c>
      <c r="L1271" s="2">
        <f t="shared" si="19"/>
        <v>150</v>
      </c>
    </row>
    <row r="1272" spans="1:12" ht="25" customHeight="1">
      <c r="A1272" s="2" t="s">
        <v>12</v>
      </c>
      <c r="B1272" s="2" t="str">
        <f>HYPERLINK("http://m.12365auto.com/bbs/postcontent.aspx?tID=195363","蔚来和理想 好一对难兄难弟")</f>
        <v>蔚来和理想 好一对难兄难弟</v>
      </c>
      <c r="C1272" s="2" t="s">
        <v>13</v>
      </c>
      <c r="D1272" s="2" t="s">
        <v>23</v>
      </c>
      <c r="E1272" s="2"/>
      <c r="F1272" s="2" t="str">
        <f>HYPERLINK("http://m.12365auto.com/bbs/postcontent.aspx?tID=195363","http://m.12365auto.com/bbs/postcontent.aspx?tID=195363")</f>
        <v>http://m.12365auto.com/bbs/postcontent.aspx?tID=195363</v>
      </c>
      <c r="G1272" s="2"/>
      <c r="H1272" s="2" t="s">
        <v>1937</v>
      </c>
      <c r="I1272" s="2" t="s">
        <v>15</v>
      </c>
      <c r="J1272" s="2" t="s">
        <v>1903</v>
      </c>
      <c r="K1272" s="2" t="s">
        <v>1936</v>
      </c>
      <c r="L1272" s="2">
        <f t="shared" si="19"/>
        <v>150</v>
      </c>
    </row>
    <row r="1273" spans="1:12" ht="25" customHeight="1">
      <c r="A1273" s="2" t="s">
        <v>12</v>
      </c>
      <c r="B1273" s="2" t="str">
        <f>HYPERLINK("http://bbs.12365auto.com/postcontent.aspx?tID=195362","北京新能源指标“开闸放水”")</f>
        <v>北京新能源指标“开闸放水”</v>
      </c>
      <c r="C1273" s="2" t="s">
        <v>13</v>
      </c>
      <c r="D1273" s="2" t="s">
        <v>12</v>
      </c>
      <c r="E1273" s="2" t="s">
        <v>28</v>
      </c>
      <c r="F1273" s="2" t="str">
        <f>HYPERLINK("http://bbs.12365auto.com/postcontent.aspx?tID=195362","http://bbs.12365auto.com/postcontent.aspx?tID=195362")</f>
        <v>http://bbs.12365auto.com/postcontent.aspx?tID=195362</v>
      </c>
      <c r="G1273" s="2"/>
      <c r="H1273" s="2" t="s">
        <v>1938</v>
      </c>
      <c r="I1273" s="2" t="s">
        <v>15</v>
      </c>
      <c r="J1273" s="2" t="s">
        <v>1903</v>
      </c>
      <c r="K1273" s="2" t="s">
        <v>1936</v>
      </c>
      <c r="L1273" s="2">
        <f t="shared" si="19"/>
        <v>150</v>
      </c>
    </row>
    <row r="1274" spans="1:12" ht="25" customHeight="1">
      <c r="A1274" s="2" t="s">
        <v>12</v>
      </c>
      <c r="B1274" s="2" t="str">
        <f>HYPERLINK("http://bbs.12365auto.com/postcontent.aspx?tID=195363","蔚来和理想 好一对难兄难弟")</f>
        <v>蔚来和理想 好一对难兄难弟</v>
      </c>
      <c r="C1274" s="2" t="s">
        <v>13</v>
      </c>
      <c r="D1274" s="2" t="s">
        <v>12</v>
      </c>
      <c r="E1274" s="2" t="s">
        <v>28</v>
      </c>
      <c r="F1274" s="2" t="str">
        <f>HYPERLINK("http://bbs.12365auto.com/postcontent.aspx?tID=195363","http://bbs.12365auto.com/postcontent.aspx?tID=195363")</f>
        <v>http://bbs.12365auto.com/postcontent.aspx?tID=195363</v>
      </c>
      <c r="G1274" s="2"/>
      <c r="H1274" s="2" t="s">
        <v>1939</v>
      </c>
      <c r="I1274" s="2" t="s">
        <v>15</v>
      </c>
      <c r="J1274" s="2" t="s">
        <v>1903</v>
      </c>
      <c r="K1274" s="2" t="s">
        <v>1936</v>
      </c>
      <c r="L1274" s="2">
        <f t="shared" si="19"/>
        <v>150</v>
      </c>
    </row>
    <row r="1275" spans="1:12" ht="25" customHeight="1">
      <c r="A1275" s="2" t="s">
        <v>12</v>
      </c>
      <c r="B1275" s="2" t="str">
        <f>HYPERLINK("http://bbs.12365auto.com/postcontent.aspx?tId=195362","北京新能源指标“开闸放水”")</f>
        <v>北京新能源指标“开闸放水”</v>
      </c>
      <c r="C1275" s="2" t="s">
        <v>13</v>
      </c>
      <c r="D1275" s="2" t="s">
        <v>12</v>
      </c>
      <c r="E1275" s="2" t="s">
        <v>27</v>
      </c>
      <c r="F1275" s="2" t="str">
        <f>HYPERLINK("http://bbs.12365auto.com/postcontent.aspx?tId=195362","http://bbs.12365auto.com/postcontent.aspx?tId=195362")</f>
        <v>http://bbs.12365auto.com/postcontent.aspx?tId=195362</v>
      </c>
      <c r="G1275" s="2"/>
      <c r="H1275" s="2" t="s">
        <v>1935</v>
      </c>
      <c r="I1275" s="2" t="s">
        <v>15</v>
      </c>
      <c r="J1275" s="2" t="s">
        <v>1903</v>
      </c>
      <c r="K1275" s="2" t="s">
        <v>1936</v>
      </c>
      <c r="L1275" s="2">
        <f t="shared" si="19"/>
        <v>150</v>
      </c>
    </row>
    <row r="1276" spans="1:12" ht="25" customHeight="1">
      <c r="A1276" s="2" t="s">
        <v>12</v>
      </c>
      <c r="B1276" s="2" t="str">
        <f>HYPERLINK("http://bbs.12365auto.com/postcontent.aspx?tId=195363","蔚来和理想 好一对难兄难弟")</f>
        <v>蔚来和理想 好一对难兄难弟</v>
      </c>
      <c r="C1276" s="2" t="s">
        <v>13</v>
      </c>
      <c r="D1276" s="2" t="s">
        <v>12</v>
      </c>
      <c r="E1276" s="2" t="s">
        <v>27</v>
      </c>
      <c r="F1276" s="2" t="str">
        <f>HYPERLINK("http://bbs.12365auto.com/postcontent.aspx?tId=195363","http://bbs.12365auto.com/postcontent.aspx?tId=195363")</f>
        <v>http://bbs.12365auto.com/postcontent.aspx?tId=195363</v>
      </c>
      <c r="G1276" s="2"/>
      <c r="H1276" s="2" t="s">
        <v>1937</v>
      </c>
      <c r="I1276" s="2" t="s">
        <v>15</v>
      </c>
      <c r="J1276" s="2" t="s">
        <v>1903</v>
      </c>
      <c r="K1276" s="2" t="s">
        <v>1936</v>
      </c>
      <c r="L1276" s="2">
        <f t="shared" si="19"/>
        <v>150</v>
      </c>
    </row>
    <row r="1277" spans="1:12" ht="25" customHeight="1">
      <c r="A1277" s="2" t="s">
        <v>12</v>
      </c>
      <c r="B1277" s="2" t="str">
        <f>HYPERLINK("http://www.12365auto.com/zlts/20200227/448957.shtml","吉利帝豪GL左右大灯进水4S店无法解决")</f>
        <v>吉利帝豪GL左右大灯进水4S店无法解决</v>
      </c>
      <c r="C1277" s="2" t="s">
        <v>13</v>
      </c>
      <c r="D1277" s="2" t="s">
        <v>12</v>
      </c>
      <c r="E1277" s="2" t="s">
        <v>17</v>
      </c>
      <c r="F1277" s="2" t="str">
        <f>HYPERLINK("http://www.12365auto.com/zlts/20200227/448957.shtml","http://www.12365auto.com/zlts/20200227/448957.shtml")</f>
        <v>http://www.12365auto.com/zlts/20200227/448957.shtml</v>
      </c>
      <c r="G1277" s="2"/>
      <c r="H1277" s="2" t="s">
        <v>1940</v>
      </c>
      <c r="I1277" s="2" t="s">
        <v>19</v>
      </c>
      <c r="J1277" s="2" t="s">
        <v>12</v>
      </c>
      <c r="K1277" s="2" t="s">
        <v>1941</v>
      </c>
      <c r="L1277" s="2">
        <f t="shared" si="19"/>
        <v>150</v>
      </c>
    </row>
    <row r="1278" spans="1:12" ht="25" customHeight="1">
      <c r="A1278" s="2" t="s">
        <v>12</v>
      </c>
      <c r="B1278" s="2" t="str">
        <f>HYPERLINK("http://m.12365auto.com/xcdg/20200227/419677.shtml","置换送保养 福特四驱SUV不到25万买顶配")</f>
        <v>置换送保养 福特四驱SUV不到25万买顶配</v>
      </c>
      <c r="C1278" s="2" t="s">
        <v>13</v>
      </c>
      <c r="D1278" s="2" t="s">
        <v>12</v>
      </c>
      <c r="E1278" s="2"/>
      <c r="F1278" s="2" t="str">
        <f>HYPERLINK("http://m.12365auto.com/xcdg/20200227/419677.shtml","http://m.12365auto.com/xcdg/20200227/419677.shtml")</f>
        <v>http://m.12365auto.com/xcdg/20200227/419677.shtml</v>
      </c>
      <c r="G1278" s="2"/>
      <c r="H1278" s="2" t="s">
        <v>1942</v>
      </c>
      <c r="I1278" s="2" t="s">
        <v>19</v>
      </c>
      <c r="J1278" s="2" t="s">
        <v>1247</v>
      </c>
      <c r="K1278" s="2" t="s">
        <v>1941</v>
      </c>
      <c r="L1278" s="2">
        <f t="shared" si="19"/>
        <v>150</v>
      </c>
    </row>
    <row r="1279" spans="1:12" ht="25" customHeight="1">
      <c r="A1279" s="2" t="s">
        <v>12</v>
      </c>
      <c r="B1279" s="2" t="str">
        <f>HYPERLINK("http://m.12365auto.com/xcdg/20200227/419676.shtml","置换优惠超3万/20万出头买高配 新迈腾超值")</f>
        <v>置换优惠超3万/20万出头买高配 新迈腾超值</v>
      </c>
      <c r="C1279" s="2" t="s">
        <v>13</v>
      </c>
      <c r="D1279" s="2" t="s">
        <v>12</v>
      </c>
      <c r="E1279" s="2"/>
      <c r="F1279" s="2" t="str">
        <f>HYPERLINK("http://m.12365auto.com/xcdg/20200227/419676.shtml","http://m.12365auto.com/xcdg/20200227/419676.shtml")</f>
        <v>http://m.12365auto.com/xcdg/20200227/419676.shtml</v>
      </c>
      <c r="G1279" s="2"/>
      <c r="H1279" s="2" t="s">
        <v>1943</v>
      </c>
      <c r="I1279" s="2" t="s">
        <v>19</v>
      </c>
      <c r="J1279" s="2" t="s">
        <v>1247</v>
      </c>
      <c r="K1279" s="2" t="s">
        <v>1944</v>
      </c>
      <c r="L1279" s="2">
        <f t="shared" si="19"/>
        <v>150</v>
      </c>
    </row>
    <row r="1280" spans="1:12" ht="25" customHeight="1">
      <c r="A1280" s="2" t="s">
        <v>12</v>
      </c>
      <c r="B1280" s="2" t="str">
        <f>HYPERLINK("http://bbs.12365auto.com/postcontent.aspx?tID=195361","宝马3系改装M3 LB宽体大包围")</f>
        <v>宝马3系改装M3 LB宽体大包围</v>
      </c>
      <c r="C1280" s="2" t="s">
        <v>13</v>
      </c>
      <c r="D1280" s="2" t="s">
        <v>12</v>
      </c>
      <c r="E1280" s="2" t="s">
        <v>28</v>
      </c>
      <c r="F1280" s="2" t="str">
        <f>HYPERLINK("http://bbs.12365auto.com/postcontent.aspx?tID=195361","http://bbs.12365auto.com/postcontent.aspx?tID=195361")</f>
        <v>http://bbs.12365auto.com/postcontent.aspx?tID=195361</v>
      </c>
      <c r="G1280" s="2"/>
      <c r="H1280" s="2" t="s">
        <v>1945</v>
      </c>
      <c r="I1280" s="2" t="s">
        <v>15</v>
      </c>
      <c r="J1280" s="2" t="s">
        <v>145</v>
      </c>
      <c r="K1280" s="2" t="s">
        <v>1946</v>
      </c>
      <c r="L1280" s="2">
        <f t="shared" si="19"/>
        <v>16</v>
      </c>
    </row>
    <row r="1281" spans="1:12" ht="25" customHeight="1">
      <c r="A1281" s="2" t="s">
        <v>12</v>
      </c>
      <c r="B1281" s="2" t="str">
        <f>HYPERLINK("http://m.12365auto.com/xcdg/20200227/419675.shtml","油耗仅4L的“家轿王” 新卡罗拉怎么选")</f>
        <v>油耗仅4L的“家轿王” 新卡罗拉怎么选</v>
      </c>
      <c r="C1281" s="2" t="s">
        <v>13</v>
      </c>
      <c r="D1281" s="2" t="s">
        <v>12</v>
      </c>
      <c r="E1281" s="2"/>
      <c r="F1281" s="2" t="str">
        <f>HYPERLINK("http://m.12365auto.com/xcdg/20200227/419675.shtml","http://m.12365auto.com/xcdg/20200227/419675.shtml")</f>
        <v>http://m.12365auto.com/xcdg/20200227/419675.shtml</v>
      </c>
      <c r="G1281" s="2"/>
      <c r="H1281" s="2" t="s">
        <v>1947</v>
      </c>
      <c r="I1281" s="2" t="s">
        <v>19</v>
      </c>
      <c r="J1281" s="2" t="s">
        <v>1257</v>
      </c>
      <c r="K1281" s="2" t="s">
        <v>1946</v>
      </c>
      <c r="L1281" s="2">
        <f t="shared" si="19"/>
        <v>150</v>
      </c>
    </row>
    <row r="1282" spans="1:12" ht="25" customHeight="1">
      <c r="A1282" s="2" t="s">
        <v>12</v>
      </c>
      <c r="B1282" s="2" t="str">
        <f>HYPERLINK("http://m.12365auto.com/xcdg/20200227/419674.shtml","宝马全新轿跑亮相 售价30万奔驰CLA有压力了")</f>
        <v>宝马全新轿跑亮相 售价30万奔驰CLA有压力了</v>
      </c>
      <c r="C1282" s="2" t="s">
        <v>13</v>
      </c>
      <c r="D1282" s="2" t="s">
        <v>12</v>
      </c>
      <c r="E1282" s="2"/>
      <c r="F1282" s="2" t="str">
        <f>HYPERLINK("http://m.12365auto.com/xcdg/20200227/419674.shtml","http://m.12365auto.com/xcdg/20200227/419674.shtml")</f>
        <v>http://m.12365auto.com/xcdg/20200227/419674.shtml</v>
      </c>
      <c r="G1282" s="2"/>
      <c r="H1282" s="2" t="s">
        <v>1948</v>
      </c>
      <c r="I1282" s="2" t="s">
        <v>19</v>
      </c>
      <c r="J1282" s="2" t="s">
        <v>1247</v>
      </c>
      <c r="K1282" s="2" t="s">
        <v>1949</v>
      </c>
      <c r="L1282" s="2">
        <f t="shared" si="19"/>
        <v>150</v>
      </c>
    </row>
    <row r="1283" spans="1:12" ht="25" customHeight="1">
      <c r="A1283" s="2" t="s">
        <v>12</v>
      </c>
      <c r="B1283" s="2" t="str">
        <f>HYPERLINK("http://www.12365auto.com/xcdg/20200227/419674.shtml","宝马全新轿跑亮相 售价30万奔驰CLA有压力了")</f>
        <v>宝马全新轿跑亮相 售价30万奔驰CLA有压力了</v>
      </c>
      <c r="C1283" s="2" t="s">
        <v>13</v>
      </c>
      <c r="D1283" s="2" t="s">
        <v>12</v>
      </c>
      <c r="E1283" s="2" t="s">
        <v>216</v>
      </c>
      <c r="F1283" s="2" t="str">
        <f>HYPERLINK("http://www.12365auto.com/xcdg/20200227/419674.shtml","http://www.12365auto.com/xcdg/20200227/419674.shtml")</f>
        <v>http://www.12365auto.com/xcdg/20200227/419674.shtml</v>
      </c>
      <c r="G1283" s="2"/>
      <c r="H1283" s="2" t="s">
        <v>1950</v>
      </c>
      <c r="I1283" s="2" t="s">
        <v>15</v>
      </c>
      <c r="J1283" s="2" t="s">
        <v>12</v>
      </c>
      <c r="K1283" s="2" t="s">
        <v>1949</v>
      </c>
      <c r="L1283" s="2">
        <f t="shared" ref="L1283:L1346" si="20">LEN(H1283)</f>
        <v>150</v>
      </c>
    </row>
    <row r="1284" spans="1:12" ht="25" customHeight="1">
      <c r="A1284" s="2" t="s">
        <v>12</v>
      </c>
      <c r="B1284" s="2" t="str">
        <f>HYPERLINK("http://m.12365auto.com/parts/20200227/419673.shtml","制动距离缩短30% 智能轮胎安全性提升")</f>
        <v>制动距离缩短30% 智能轮胎安全性提升</v>
      </c>
      <c r="C1284" s="2" t="s">
        <v>13</v>
      </c>
      <c r="D1284" s="2" t="s">
        <v>12</v>
      </c>
      <c r="E1284" s="2"/>
      <c r="F1284" s="2" t="str">
        <f>HYPERLINK("http://m.12365auto.com/parts/20200227/419673.shtml","http://m.12365auto.com/parts/20200227/419673.shtml")</f>
        <v>http://m.12365auto.com/parts/20200227/419673.shtml</v>
      </c>
      <c r="G1284" s="2"/>
      <c r="H1284" s="2" t="s">
        <v>1951</v>
      </c>
      <c r="I1284" s="2" t="s">
        <v>19</v>
      </c>
      <c r="J1284" s="2" t="s">
        <v>12</v>
      </c>
      <c r="K1284" s="2" t="s">
        <v>1952</v>
      </c>
      <c r="L1284" s="2">
        <f t="shared" si="20"/>
        <v>150</v>
      </c>
    </row>
    <row r="1285" spans="1:12" ht="25" customHeight="1">
      <c r="A1285" s="2" t="s">
        <v>12</v>
      </c>
      <c r="B1285" s="2" t="str">
        <f>HYPERLINK("http://www.12365auto.com/parts/20200227/419673.shtml","制动距离缩短30% 智能轮胎安全性提升")</f>
        <v>制动距离缩短30% 智能轮胎安全性提升</v>
      </c>
      <c r="C1285" s="2" t="s">
        <v>13</v>
      </c>
      <c r="D1285" s="2" t="s">
        <v>12</v>
      </c>
      <c r="E1285" s="2" t="s">
        <v>240</v>
      </c>
      <c r="F1285" s="2" t="str">
        <f>HYPERLINK("http://www.12365auto.com/parts/20200227/419673.shtml","http://www.12365auto.com/parts/20200227/419673.shtml")</f>
        <v>http://www.12365auto.com/parts/20200227/419673.shtml</v>
      </c>
      <c r="G1285" s="2"/>
      <c r="H1285" s="2" t="s">
        <v>1953</v>
      </c>
      <c r="I1285" s="2" t="s">
        <v>15</v>
      </c>
      <c r="J1285" s="2" t="s">
        <v>12</v>
      </c>
      <c r="K1285" s="2" t="s">
        <v>1952</v>
      </c>
      <c r="L1285" s="2">
        <f t="shared" si="20"/>
        <v>150</v>
      </c>
    </row>
    <row r="1286" spans="1:12" ht="25" customHeight="1">
      <c r="A1286" s="2" t="s">
        <v>12</v>
      </c>
      <c r="B1286" s="2" t="str">
        <f>HYPERLINK("http://m.12365auto.com/zjdy/20200227/121688.shtml","海马S5熄火后仪表盘故障灯常亮是为什么？")</f>
        <v>海马S5熄火后仪表盘故障灯常亮是为什么？</v>
      </c>
      <c r="C1286" s="2" t="s">
        <v>13</v>
      </c>
      <c r="D1286" s="2" t="s">
        <v>12</v>
      </c>
      <c r="E1286" s="2"/>
      <c r="F1286" s="2" t="str">
        <f>HYPERLINK("http://m.12365auto.com/zjdy/20200227/121688.shtml","http://m.12365auto.com/zjdy/20200227/121688.shtml")</f>
        <v>http://m.12365auto.com/zjdy/20200227/121688.shtml</v>
      </c>
      <c r="G1286" s="2"/>
      <c r="H1286" s="2" t="s">
        <v>1954</v>
      </c>
      <c r="I1286" s="2" t="s">
        <v>19</v>
      </c>
      <c r="J1286" s="2" t="s">
        <v>12</v>
      </c>
      <c r="K1286" s="2" t="s">
        <v>1955</v>
      </c>
      <c r="L1286" s="2">
        <f t="shared" si="20"/>
        <v>59</v>
      </c>
    </row>
    <row r="1287" spans="1:12" ht="25" customHeight="1">
      <c r="A1287" s="2" t="s">
        <v>12</v>
      </c>
      <c r="B1287" s="2" t="str">
        <f>HYPERLINK("http://m.12365auto.com/xcdg/20200227/419672.shtml","金杯T20S/T22S正式上市 售3.59-4.29万")</f>
        <v>金杯T20S/T22S正式上市 售3.59-4.29万</v>
      </c>
      <c r="C1287" s="2" t="s">
        <v>13</v>
      </c>
      <c r="D1287" s="2" t="s">
        <v>12</v>
      </c>
      <c r="E1287" s="2"/>
      <c r="F1287" s="2" t="str">
        <f>HYPERLINK("http://m.12365auto.com/xcdg/20200227/419672.shtml","http://m.12365auto.com/xcdg/20200227/419672.shtml")</f>
        <v>http://m.12365auto.com/xcdg/20200227/419672.shtml</v>
      </c>
      <c r="G1287" s="2"/>
      <c r="H1287" s="2" t="s">
        <v>1956</v>
      </c>
      <c r="I1287" s="2" t="s">
        <v>19</v>
      </c>
      <c r="J1287" s="2" t="s">
        <v>295</v>
      </c>
      <c r="K1287" s="2" t="s">
        <v>1957</v>
      </c>
      <c r="L1287" s="2">
        <f t="shared" si="20"/>
        <v>150</v>
      </c>
    </row>
    <row r="1288" spans="1:12" ht="25" customHeight="1">
      <c r="A1288" s="2" t="s">
        <v>12</v>
      </c>
      <c r="B1288" s="2" t="str">
        <f>HYPERLINK("http://www.12365auto.com/xcdg/20200227/419672.shtml","金杯T20S/T22S正式上市 售3.59-4.29万")</f>
        <v>金杯T20S/T22S正式上市 售3.59-4.29万</v>
      </c>
      <c r="C1288" s="2" t="s">
        <v>13</v>
      </c>
      <c r="D1288" s="2" t="s">
        <v>12</v>
      </c>
      <c r="E1288" s="2" t="s">
        <v>216</v>
      </c>
      <c r="F1288" s="2" t="str">
        <f>HYPERLINK("http://www.12365auto.com/xcdg/20200227/419672.shtml","http://www.12365auto.com/xcdg/20200227/419672.shtml")</f>
        <v>http://www.12365auto.com/xcdg/20200227/419672.shtml</v>
      </c>
      <c r="G1288" s="2"/>
      <c r="H1288" s="2" t="s">
        <v>1958</v>
      </c>
      <c r="I1288" s="2" t="s">
        <v>15</v>
      </c>
      <c r="J1288" s="2" t="s">
        <v>12</v>
      </c>
      <c r="K1288" s="2" t="s">
        <v>1957</v>
      </c>
      <c r="L1288" s="2">
        <f t="shared" si="20"/>
        <v>150</v>
      </c>
    </row>
    <row r="1289" spans="1:12" ht="25" customHeight="1">
      <c r="A1289" s="2" t="s">
        <v>12</v>
      </c>
      <c r="B1289" s="2" t="str">
        <f>HYPERLINK("http://m.12365auto.com/bbs/postcontent.aspx?tID=195360","为啥你全责？路口让右你一定要知道！")</f>
        <v>为啥你全责？路口让右你一定要知道！</v>
      </c>
      <c r="C1289" s="2" t="s">
        <v>13</v>
      </c>
      <c r="D1289" s="2" t="s">
        <v>23</v>
      </c>
      <c r="E1289" s="2"/>
      <c r="F1289" s="2" t="str">
        <f>HYPERLINK("http://m.12365auto.com/bbs/postcontent.aspx?tID=195360","http://m.12365auto.com/bbs/postcontent.aspx?tID=195360")</f>
        <v>http://m.12365auto.com/bbs/postcontent.aspx?tID=195360</v>
      </c>
      <c r="G1289" s="2"/>
      <c r="H1289" s="2" t="s">
        <v>1959</v>
      </c>
      <c r="I1289" s="2" t="s">
        <v>15</v>
      </c>
      <c r="J1289" s="2" t="s">
        <v>1960</v>
      </c>
      <c r="K1289" s="2" t="s">
        <v>1961</v>
      </c>
      <c r="L1289" s="2">
        <f t="shared" si="20"/>
        <v>15</v>
      </c>
    </row>
    <row r="1290" spans="1:12" ht="25" customHeight="1">
      <c r="A1290" s="2" t="s">
        <v>12</v>
      </c>
      <c r="B1290" s="2" t="str">
        <f>HYPERLINK("http://bbs.12365auto.com/postcontent.aspx?tID=195360","为啥你全责？路口让右你一定要知道！")</f>
        <v>为啥你全责？路口让右你一定要知道！</v>
      </c>
      <c r="C1290" s="2" t="s">
        <v>13</v>
      </c>
      <c r="D1290" s="2" t="s">
        <v>12</v>
      </c>
      <c r="E1290" s="2" t="s">
        <v>28</v>
      </c>
      <c r="F1290" s="2" t="str">
        <f>HYPERLINK("http://bbs.12365auto.com/postcontent.aspx?tID=195360","http://bbs.12365auto.com/postcontent.aspx?tID=195360")</f>
        <v>http://bbs.12365auto.com/postcontent.aspx?tID=195360</v>
      </c>
      <c r="G1290" s="2"/>
      <c r="H1290" s="2" t="s">
        <v>1962</v>
      </c>
      <c r="I1290" s="2" t="s">
        <v>15</v>
      </c>
      <c r="J1290" s="2" t="s">
        <v>1960</v>
      </c>
      <c r="K1290" s="2" t="s">
        <v>1961</v>
      </c>
      <c r="L1290" s="2">
        <f t="shared" si="20"/>
        <v>33</v>
      </c>
    </row>
    <row r="1291" spans="1:12" ht="25" customHeight="1">
      <c r="A1291" s="2" t="s">
        <v>12</v>
      </c>
      <c r="B1291" s="2" t="str">
        <f>HYPERLINK("http://www.12365auto.com/zlts/20200227/448952.shtml","一汽奔腾T99发动机故障灯亮 中控黑屏")</f>
        <v>一汽奔腾T99发动机故障灯亮 中控黑屏</v>
      </c>
      <c r="C1291" s="2" t="s">
        <v>13</v>
      </c>
      <c r="D1291" s="2" t="s">
        <v>12</v>
      </c>
      <c r="E1291" s="2" t="s">
        <v>17</v>
      </c>
      <c r="F1291" s="2" t="str">
        <f>HYPERLINK("http://www.12365auto.com/zlts/20200227/448952.shtml","http://www.12365auto.com/zlts/20200227/448952.shtml")</f>
        <v>http://www.12365auto.com/zlts/20200227/448952.shtml</v>
      </c>
      <c r="G1291" s="2"/>
      <c r="H1291" s="2" t="s">
        <v>1963</v>
      </c>
      <c r="I1291" s="2" t="s">
        <v>15</v>
      </c>
      <c r="J1291" s="2" t="s">
        <v>12</v>
      </c>
      <c r="K1291" s="2" t="s">
        <v>1961</v>
      </c>
      <c r="L1291" s="2">
        <f t="shared" si="20"/>
        <v>150</v>
      </c>
    </row>
    <row r="1292" spans="1:12" ht="25" customHeight="1">
      <c r="A1292" s="2" t="s">
        <v>12</v>
      </c>
      <c r="B1292" s="2" t="str">
        <f>HYPERLINK("http://bbs.12365auto.com/postcontent.aspx?tId=195360","为啥你全责？路口让右你一定要知道！")</f>
        <v>为啥你全责？路口让右你一定要知道！</v>
      </c>
      <c r="C1292" s="2" t="s">
        <v>13</v>
      </c>
      <c r="D1292" s="2" t="s">
        <v>12</v>
      </c>
      <c r="E1292" s="2" t="s">
        <v>27</v>
      </c>
      <c r="F1292" s="2" t="str">
        <f>HYPERLINK("http://bbs.12365auto.com/postcontent.aspx?tId=195360","http://bbs.12365auto.com/postcontent.aspx?tId=195360")</f>
        <v>http://bbs.12365auto.com/postcontent.aspx?tId=195360</v>
      </c>
      <c r="G1292" s="2"/>
      <c r="H1292" s="2" t="s">
        <v>1959</v>
      </c>
      <c r="I1292" s="2" t="s">
        <v>15</v>
      </c>
      <c r="J1292" s="2" t="s">
        <v>1960</v>
      </c>
      <c r="K1292" s="2" t="s">
        <v>1961</v>
      </c>
      <c r="L1292" s="2">
        <f t="shared" si="20"/>
        <v>15</v>
      </c>
    </row>
    <row r="1293" spans="1:12" ht="25" customHeight="1">
      <c r="A1293" s="2" t="s">
        <v>12</v>
      </c>
      <c r="B1293" s="2" t="str">
        <f>HYPERLINK("http://bbs.12365auto.com/postcontent.aspx?tId=195359","高速上汽车挡风玻璃被石头砸了个洞，其实30元就可以修复")</f>
        <v>高速上汽车挡风玻璃被石头砸了个洞，其实30元就可以修复</v>
      </c>
      <c r="C1293" s="2" t="s">
        <v>13</v>
      </c>
      <c r="D1293" s="2" t="s">
        <v>12</v>
      </c>
      <c r="E1293" s="2" t="s">
        <v>27</v>
      </c>
      <c r="F1293" s="2" t="str">
        <f>HYPERLINK("http://bbs.12365auto.com/postcontent.aspx?tId=195359","http://bbs.12365auto.com/postcontent.aspx?tId=195359")</f>
        <v>http://bbs.12365auto.com/postcontent.aspx?tId=195359</v>
      </c>
      <c r="G1293" s="2"/>
      <c r="H1293" s="2" t="s">
        <v>1964</v>
      </c>
      <c r="I1293" s="2" t="s">
        <v>15</v>
      </c>
      <c r="J1293" s="2" t="s">
        <v>1960</v>
      </c>
      <c r="K1293" s="2" t="s">
        <v>1965</v>
      </c>
      <c r="L1293" s="2">
        <f t="shared" si="20"/>
        <v>150</v>
      </c>
    </row>
    <row r="1294" spans="1:12" ht="25" customHeight="1">
      <c r="A1294" s="2" t="s">
        <v>12</v>
      </c>
      <c r="B1294" s="2" t="str">
        <f>HYPERLINK("http://m.12365auto.com/bbs/postcontent.aspx?tID=195359","高速上汽车挡风玻璃被石头砸了个洞，其实30元就可以修复")</f>
        <v>高速上汽车挡风玻璃被石头砸了个洞，其实30元就可以修复</v>
      </c>
      <c r="C1294" s="2" t="s">
        <v>13</v>
      </c>
      <c r="D1294" s="2" t="s">
        <v>23</v>
      </c>
      <c r="E1294" s="2"/>
      <c r="F1294" s="2" t="str">
        <f>HYPERLINK("http://m.12365auto.com/bbs/postcontent.aspx?tID=195359","http://m.12365auto.com/bbs/postcontent.aspx?tID=195359")</f>
        <v>http://m.12365auto.com/bbs/postcontent.aspx?tID=195359</v>
      </c>
      <c r="G1294" s="2"/>
      <c r="H1294" s="2" t="s">
        <v>1964</v>
      </c>
      <c r="I1294" s="2" t="s">
        <v>15</v>
      </c>
      <c r="J1294" s="2" t="s">
        <v>1960</v>
      </c>
      <c r="K1294" s="2" t="s">
        <v>1965</v>
      </c>
      <c r="L1294" s="2">
        <f t="shared" si="20"/>
        <v>150</v>
      </c>
    </row>
    <row r="1295" spans="1:12" ht="25" customHeight="1">
      <c r="A1295" s="2" t="s">
        <v>12</v>
      </c>
      <c r="B1295" s="2" t="str">
        <f>HYPERLINK("http://bbs.12365auto.com/postcontent.aspx?tID=195359","高速上汽车挡风玻璃被石头砸了个洞，其实30元就可以修复")</f>
        <v>高速上汽车挡风玻璃被石头砸了个洞，其实30元就可以修复</v>
      </c>
      <c r="C1295" s="2" t="s">
        <v>13</v>
      </c>
      <c r="D1295" s="2" t="s">
        <v>12</v>
      </c>
      <c r="E1295" s="2" t="s">
        <v>28</v>
      </c>
      <c r="F1295" s="2" t="str">
        <f>HYPERLINK("http://bbs.12365auto.com/postcontent.aspx?tID=195359","http://bbs.12365auto.com/postcontent.aspx?tID=195359")</f>
        <v>http://bbs.12365auto.com/postcontent.aspx?tID=195359</v>
      </c>
      <c r="G1295" s="2"/>
      <c r="H1295" s="2" t="s">
        <v>1966</v>
      </c>
      <c r="I1295" s="2" t="s">
        <v>15</v>
      </c>
      <c r="J1295" s="2" t="s">
        <v>1960</v>
      </c>
      <c r="K1295" s="2" t="s">
        <v>1965</v>
      </c>
      <c r="L1295" s="2">
        <f t="shared" si="20"/>
        <v>150</v>
      </c>
    </row>
    <row r="1296" spans="1:12" ht="25" customHeight="1">
      <c r="A1296" s="2" t="s">
        <v>12</v>
      </c>
      <c r="B1296" s="2" t="str">
        <f>HYPERLINK("http://m.12365auto.com/news/20200227/419671.shtml","特斯拉松下结束合作生产太阳能电池")</f>
        <v>特斯拉松下结束合作生产太阳能电池</v>
      </c>
      <c r="C1296" s="2" t="s">
        <v>13</v>
      </c>
      <c r="D1296" s="2" t="s">
        <v>12</v>
      </c>
      <c r="E1296" s="2"/>
      <c r="F1296" s="2" t="str">
        <f>HYPERLINK("http://m.12365auto.com/news/20200227/419671.shtml","http://m.12365auto.com/news/20200227/419671.shtml")</f>
        <v>http://m.12365auto.com/news/20200227/419671.shtml</v>
      </c>
      <c r="G1296" s="2"/>
      <c r="H1296" s="2" t="s">
        <v>1967</v>
      </c>
      <c r="I1296" s="2" t="s">
        <v>19</v>
      </c>
      <c r="J1296" s="2" t="s">
        <v>1968</v>
      </c>
      <c r="K1296" s="2" t="s">
        <v>1969</v>
      </c>
      <c r="L1296" s="2">
        <f t="shared" si="20"/>
        <v>150</v>
      </c>
    </row>
    <row r="1297" spans="1:12" ht="25" customHeight="1">
      <c r="A1297" s="2" t="s">
        <v>12</v>
      </c>
      <c r="B1297" s="2" t="str">
        <f>HYPERLINK("http://www.12365auto.com/news/20200227/419671.shtml","特斯拉松下结束合作生产太阳能电池")</f>
        <v>特斯拉松下结束合作生产太阳能电池</v>
      </c>
      <c r="C1297" s="2" t="s">
        <v>13</v>
      </c>
      <c r="D1297" s="2" t="s">
        <v>12</v>
      </c>
      <c r="E1297" s="2" t="s">
        <v>276</v>
      </c>
      <c r="F1297" s="2" t="str">
        <f>HYPERLINK("http://www.12365auto.com/news/20200227/419671.shtml","http://www.12365auto.com/news/20200227/419671.shtml")</f>
        <v>http://www.12365auto.com/news/20200227/419671.shtml</v>
      </c>
      <c r="G1297" s="2"/>
      <c r="H1297" s="2" t="s">
        <v>1970</v>
      </c>
      <c r="I1297" s="2" t="s">
        <v>15</v>
      </c>
      <c r="J1297" s="2" t="s">
        <v>12</v>
      </c>
      <c r="K1297" s="2" t="s">
        <v>1969</v>
      </c>
      <c r="L1297" s="2">
        <f t="shared" si="20"/>
        <v>150</v>
      </c>
    </row>
    <row r="1298" spans="1:12" ht="25" customHeight="1">
      <c r="A1298" s="2" t="s">
        <v>12</v>
      </c>
      <c r="B1298" s="2" t="str">
        <f>HYPERLINK("http://bbs.12365auto.com/postcontent.aspx?tId=195357","这些车千万别买 总结中保研测试碰撞")</f>
        <v>这些车千万别买 总结中保研测试碰撞</v>
      </c>
      <c r="C1298" s="2" t="s">
        <v>13</v>
      </c>
      <c r="D1298" s="2" t="s">
        <v>12</v>
      </c>
      <c r="E1298" s="2" t="s">
        <v>27</v>
      </c>
      <c r="F1298" s="2" t="str">
        <f>HYPERLINK("http://bbs.12365auto.com/postcontent.aspx?tId=195357","http://bbs.12365auto.com/postcontent.aspx?tId=195357")</f>
        <v>http://bbs.12365auto.com/postcontent.aspx?tId=195357</v>
      </c>
      <c r="G1298" s="2"/>
      <c r="H1298" s="2" t="s">
        <v>1971</v>
      </c>
      <c r="I1298" s="2" t="s">
        <v>15</v>
      </c>
      <c r="J1298" s="2" t="s">
        <v>1960</v>
      </c>
      <c r="K1298" s="2" t="s">
        <v>1972</v>
      </c>
      <c r="L1298" s="2">
        <f t="shared" si="20"/>
        <v>150</v>
      </c>
    </row>
    <row r="1299" spans="1:12" ht="25" customHeight="1">
      <c r="A1299" s="2" t="s">
        <v>12</v>
      </c>
      <c r="B1299" s="2" t="str">
        <f>HYPERLINK("http://m.12365auto.com/bbs/postcontent.aspx?tID=195358","到底哪款雷克萨斯ES最值得买？")</f>
        <v>到底哪款雷克萨斯ES最值得买？</v>
      </c>
      <c r="C1299" s="2" t="s">
        <v>13</v>
      </c>
      <c r="D1299" s="2" t="s">
        <v>23</v>
      </c>
      <c r="E1299" s="2"/>
      <c r="F1299" s="2" t="str">
        <f>HYPERLINK("http://m.12365auto.com/bbs/postcontent.aspx?tID=195358","http://m.12365auto.com/bbs/postcontent.aspx?tID=195358")</f>
        <v>http://m.12365auto.com/bbs/postcontent.aspx?tID=195358</v>
      </c>
      <c r="G1299" s="2"/>
      <c r="H1299" s="2" t="s">
        <v>1973</v>
      </c>
      <c r="I1299" s="2" t="s">
        <v>15</v>
      </c>
      <c r="J1299" s="2" t="s">
        <v>1960</v>
      </c>
      <c r="K1299" s="2" t="s">
        <v>1972</v>
      </c>
      <c r="L1299" s="2">
        <f t="shared" si="20"/>
        <v>150</v>
      </c>
    </row>
    <row r="1300" spans="1:12" ht="25" customHeight="1">
      <c r="A1300" s="2" t="s">
        <v>12</v>
      </c>
      <c r="B1300" s="2" t="str">
        <f>HYPERLINK("http://m.12365auto.com/bbs/postcontent.aspx?tID=195357","这些车千万别买 总结中保研测试碰撞")</f>
        <v>这些车千万别买 总结中保研测试碰撞</v>
      </c>
      <c r="C1300" s="2" t="s">
        <v>13</v>
      </c>
      <c r="D1300" s="2" t="s">
        <v>23</v>
      </c>
      <c r="E1300" s="2"/>
      <c r="F1300" s="2" t="str">
        <f>HYPERLINK("http://m.12365auto.com/bbs/postcontent.aspx?tID=195357","http://m.12365auto.com/bbs/postcontent.aspx?tID=195357")</f>
        <v>http://m.12365auto.com/bbs/postcontent.aspx?tID=195357</v>
      </c>
      <c r="G1300" s="2"/>
      <c r="H1300" s="2" t="s">
        <v>1971</v>
      </c>
      <c r="I1300" s="2" t="s">
        <v>15</v>
      </c>
      <c r="J1300" s="2" t="s">
        <v>1960</v>
      </c>
      <c r="K1300" s="2" t="s">
        <v>1972</v>
      </c>
      <c r="L1300" s="2">
        <f t="shared" si="20"/>
        <v>150</v>
      </c>
    </row>
    <row r="1301" spans="1:12" ht="25" customHeight="1">
      <c r="A1301" s="2" t="s">
        <v>12</v>
      </c>
      <c r="B1301" s="2" t="str">
        <f>HYPERLINK("http://bbs.12365auto.com/postcontent.aspx?tID=195358","到底哪款雷克萨斯ES最值得买？")</f>
        <v>到底哪款雷克萨斯ES最值得买？</v>
      </c>
      <c r="C1301" s="2" t="s">
        <v>13</v>
      </c>
      <c r="D1301" s="2" t="s">
        <v>12</v>
      </c>
      <c r="E1301" s="2" t="s">
        <v>28</v>
      </c>
      <c r="F1301" s="2" t="str">
        <f>HYPERLINK("http://bbs.12365auto.com/postcontent.aspx?tID=195358","http://bbs.12365auto.com/postcontent.aspx?tID=195358")</f>
        <v>http://bbs.12365auto.com/postcontent.aspx?tID=195358</v>
      </c>
      <c r="G1301" s="2"/>
      <c r="H1301" s="2" t="s">
        <v>1974</v>
      </c>
      <c r="I1301" s="2" t="s">
        <v>15</v>
      </c>
      <c r="J1301" s="2" t="s">
        <v>1960</v>
      </c>
      <c r="K1301" s="2" t="s">
        <v>1972</v>
      </c>
      <c r="L1301" s="2">
        <f t="shared" si="20"/>
        <v>150</v>
      </c>
    </row>
    <row r="1302" spans="1:12" ht="25" customHeight="1">
      <c r="A1302" s="2" t="s">
        <v>12</v>
      </c>
      <c r="B1302" s="2" t="str">
        <f>HYPERLINK("http://bbs.12365auto.com/postcontent.aspx?tID=195357","这些车千万别买 总结中保研测试碰撞")</f>
        <v>这些车千万别买 总结中保研测试碰撞</v>
      </c>
      <c r="C1302" s="2" t="s">
        <v>13</v>
      </c>
      <c r="D1302" s="2" t="s">
        <v>12</v>
      </c>
      <c r="E1302" s="2" t="s">
        <v>28</v>
      </c>
      <c r="F1302" s="2" t="str">
        <f>HYPERLINK("http://bbs.12365auto.com/postcontent.aspx?tID=195357","http://bbs.12365auto.com/postcontent.aspx?tID=195357")</f>
        <v>http://bbs.12365auto.com/postcontent.aspx?tID=195357</v>
      </c>
      <c r="G1302" s="2"/>
      <c r="H1302" s="2" t="s">
        <v>1975</v>
      </c>
      <c r="I1302" s="2" t="s">
        <v>15</v>
      </c>
      <c r="J1302" s="2" t="s">
        <v>1960</v>
      </c>
      <c r="K1302" s="2" t="s">
        <v>1972</v>
      </c>
      <c r="L1302" s="2">
        <f t="shared" si="20"/>
        <v>150</v>
      </c>
    </row>
    <row r="1303" spans="1:12" ht="25" customHeight="1">
      <c r="A1303" s="2" t="s">
        <v>12</v>
      </c>
      <c r="B1303" s="2" t="str">
        <f>HYPERLINK("http://bbs.12365auto.com/postcontent.aspx?tId=195358","到底哪款雷克萨斯ES最值得买？")</f>
        <v>到底哪款雷克萨斯ES最值得买？</v>
      </c>
      <c r="C1303" s="2" t="s">
        <v>13</v>
      </c>
      <c r="D1303" s="2" t="s">
        <v>12</v>
      </c>
      <c r="E1303" s="2" t="s">
        <v>27</v>
      </c>
      <c r="F1303" s="2" t="str">
        <f>HYPERLINK("http://bbs.12365auto.com/postcontent.aspx?tId=195358","http://bbs.12365auto.com/postcontent.aspx?tId=195358")</f>
        <v>http://bbs.12365auto.com/postcontent.aspx?tId=195358</v>
      </c>
      <c r="G1303" s="2"/>
      <c r="H1303" s="2" t="s">
        <v>1973</v>
      </c>
      <c r="I1303" s="2" t="s">
        <v>15</v>
      </c>
      <c r="J1303" s="2" t="s">
        <v>1960</v>
      </c>
      <c r="K1303" s="2" t="s">
        <v>1972</v>
      </c>
      <c r="L1303" s="2">
        <f t="shared" si="20"/>
        <v>150</v>
      </c>
    </row>
    <row r="1304" spans="1:12" ht="25" customHeight="1">
      <c r="A1304" s="2" t="s">
        <v>12</v>
      </c>
      <c r="B1304" s="2" t="str">
        <f>HYPERLINK("http://bbs.12365auto.com/postcontent.aspx?tId=195355","日系车皮薄？大众车厚重？看完碰撞测试，只想说：且行且珍惜吧")</f>
        <v>日系车皮薄？大众车厚重？看完碰撞测试，只想说：且行且珍惜吧</v>
      </c>
      <c r="C1304" s="2" t="s">
        <v>13</v>
      </c>
      <c r="D1304" s="2" t="s">
        <v>12</v>
      </c>
      <c r="E1304" s="2" t="s">
        <v>27</v>
      </c>
      <c r="F1304" s="2" t="str">
        <f>HYPERLINK("http://bbs.12365auto.com/postcontent.aspx?tId=195355","http://bbs.12365auto.com/postcontent.aspx?tId=195355")</f>
        <v>http://bbs.12365auto.com/postcontent.aspx?tId=195355</v>
      </c>
      <c r="G1304" s="2"/>
      <c r="H1304" s="2" t="s">
        <v>1976</v>
      </c>
      <c r="I1304" s="2" t="s">
        <v>15</v>
      </c>
      <c r="J1304" s="2" t="s">
        <v>1960</v>
      </c>
      <c r="K1304" s="2" t="s">
        <v>1977</v>
      </c>
      <c r="L1304" s="2">
        <f t="shared" si="20"/>
        <v>150</v>
      </c>
    </row>
    <row r="1305" spans="1:12" ht="25" customHeight="1">
      <c r="A1305" s="2" t="s">
        <v>12</v>
      </c>
      <c r="B1305" s="2" t="str">
        <f>HYPERLINK("http://m.12365auto.com/bbs/postcontent.aspx?tID=195355","日系车皮薄？大众车厚重？看完碰撞测试，只想说：且行且珍惜吧")</f>
        <v>日系车皮薄？大众车厚重？看完碰撞测试，只想说：且行且珍惜吧</v>
      </c>
      <c r="C1305" s="2" t="s">
        <v>13</v>
      </c>
      <c r="D1305" s="2" t="s">
        <v>23</v>
      </c>
      <c r="E1305" s="2"/>
      <c r="F1305" s="2" t="str">
        <f>HYPERLINK("http://m.12365auto.com/bbs/postcontent.aspx?tID=195355","http://m.12365auto.com/bbs/postcontent.aspx?tID=195355")</f>
        <v>http://m.12365auto.com/bbs/postcontent.aspx?tID=195355</v>
      </c>
      <c r="G1305" s="2"/>
      <c r="H1305" s="2" t="s">
        <v>1976</v>
      </c>
      <c r="I1305" s="2" t="s">
        <v>15</v>
      </c>
      <c r="J1305" s="2" t="s">
        <v>1960</v>
      </c>
      <c r="K1305" s="2" t="s">
        <v>1977</v>
      </c>
      <c r="L1305" s="2">
        <f t="shared" si="20"/>
        <v>150</v>
      </c>
    </row>
    <row r="1306" spans="1:12" ht="25" customHeight="1">
      <c r="A1306" s="2" t="s">
        <v>12</v>
      </c>
      <c r="B1306" s="2" t="str">
        <f>HYPERLINK("http://m.12365auto.com/bbs/postcontent.aspx?tID=195356","事实证明，博越PRO其实卖的并不好")</f>
        <v>事实证明，博越PRO其实卖的并不好</v>
      </c>
      <c r="C1306" s="2" t="s">
        <v>13</v>
      </c>
      <c r="D1306" s="2" t="s">
        <v>23</v>
      </c>
      <c r="E1306" s="2"/>
      <c r="F1306" s="2" t="str">
        <f>HYPERLINK("http://m.12365auto.com/bbs/postcontent.aspx?tID=195356","http://m.12365auto.com/bbs/postcontent.aspx?tID=195356")</f>
        <v>http://m.12365auto.com/bbs/postcontent.aspx?tID=195356</v>
      </c>
      <c r="G1306" s="2"/>
      <c r="H1306" s="2" t="s">
        <v>1978</v>
      </c>
      <c r="I1306" s="2" t="s">
        <v>15</v>
      </c>
      <c r="J1306" s="2" t="s">
        <v>1960</v>
      </c>
      <c r="K1306" s="2" t="s">
        <v>1977</v>
      </c>
      <c r="L1306" s="2">
        <f t="shared" si="20"/>
        <v>150</v>
      </c>
    </row>
    <row r="1307" spans="1:12" ht="25" customHeight="1">
      <c r="A1307" s="2" t="s">
        <v>12</v>
      </c>
      <c r="B1307" s="2" t="str">
        <f>HYPERLINK("http://bbs.12365auto.com/postcontent.aspx?tID=195355","日系车皮薄？大众车厚重？看完碰撞测试，只想说：且行且珍惜吧")</f>
        <v>日系车皮薄？大众车厚重？看完碰撞测试，只想说：且行且珍惜吧</v>
      </c>
      <c r="C1307" s="2" t="s">
        <v>13</v>
      </c>
      <c r="D1307" s="2" t="s">
        <v>12</v>
      </c>
      <c r="E1307" s="2" t="s">
        <v>28</v>
      </c>
      <c r="F1307" s="2" t="str">
        <f>HYPERLINK("http://bbs.12365auto.com/postcontent.aspx?tID=195355","http://bbs.12365auto.com/postcontent.aspx?tID=195355")</f>
        <v>http://bbs.12365auto.com/postcontent.aspx?tID=195355</v>
      </c>
      <c r="G1307" s="2"/>
      <c r="H1307" s="2" t="s">
        <v>1979</v>
      </c>
      <c r="I1307" s="2" t="s">
        <v>15</v>
      </c>
      <c r="J1307" s="2" t="s">
        <v>1960</v>
      </c>
      <c r="K1307" s="2" t="s">
        <v>1977</v>
      </c>
      <c r="L1307" s="2">
        <f t="shared" si="20"/>
        <v>150</v>
      </c>
    </row>
    <row r="1308" spans="1:12" ht="25" customHeight="1">
      <c r="A1308" s="2" t="s">
        <v>12</v>
      </c>
      <c r="B1308" s="2" t="str">
        <f>HYPERLINK("http://bbs.12365auto.com/postcontent.aspx?tID=195356","事实证明，博越PRO其实卖的并不好")</f>
        <v>事实证明，博越PRO其实卖的并不好</v>
      </c>
      <c r="C1308" s="2" t="s">
        <v>13</v>
      </c>
      <c r="D1308" s="2" t="s">
        <v>12</v>
      </c>
      <c r="E1308" s="2" t="s">
        <v>28</v>
      </c>
      <c r="F1308" s="2" t="str">
        <f>HYPERLINK("http://bbs.12365auto.com/postcontent.aspx?tID=195356","http://bbs.12365auto.com/postcontent.aspx?tID=195356")</f>
        <v>http://bbs.12365auto.com/postcontent.aspx?tID=195356</v>
      </c>
      <c r="G1308" s="2"/>
      <c r="H1308" s="2" t="s">
        <v>1980</v>
      </c>
      <c r="I1308" s="2" t="s">
        <v>15</v>
      </c>
      <c r="J1308" s="2" t="s">
        <v>1960</v>
      </c>
      <c r="K1308" s="2" t="s">
        <v>1977</v>
      </c>
      <c r="L1308" s="2">
        <f t="shared" si="20"/>
        <v>150</v>
      </c>
    </row>
    <row r="1309" spans="1:12" ht="25" customHeight="1">
      <c r="A1309" s="2" t="s">
        <v>12</v>
      </c>
      <c r="B1309" s="2" t="str">
        <f>HYPERLINK("http://www.12365auto.com/xcdg/20200227/419670.shtml","价格怒降3.4万 宝马i3快充畅行款上市")</f>
        <v>价格怒降3.4万 宝马i3快充畅行款上市</v>
      </c>
      <c r="C1309" s="2" t="s">
        <v>13</v>
      </c>
      <c r="D1309" s="2" t="s">
        <v>12</v>
      </c>
      <c r="E1309" s="2" t="s">
        <v>245</v>
      </c>
      <c r="F1309" s="2" t="str">
        <f>HYPERLINK("http://www.12365auto.com/xcdg/20200227/419670.shtml","http://www.12365auto.com/xcdg/20200227/419670.shtml")</f>
        <v>http://www.12365auto.com/xcdg/20200227/419670.shtml</v>
      </c>
      <c r="G1309" s="2"/>
      <c r="H1309" s="2" t="s">
        <v>1981</v>
      </c>
      <c r="I1309" s="2" t="s">
        <v>19</v>
      </c>
      <c r="J1309" s="2" t="s">
        <v>12</v>
      </c>
      <c r="K1309" s="2" t="s">
        <v>1977</v>
      </c>
      <c r="L1309" s="2">
        <f t="shared" si="20"/>
        <v>150</v>
      </c>
    </row>
    <row r="1310" spans="1:12" ht="25" customHeight="1">
      <c r="A1310" s="2" t="s">
        <v>12</v>
      </c>
      <c r="B1310" s="2" t="str">
        <f>HYPERLINK("http://m.12365auto.com/xcdg/20200227/419670.shtml","价格怒降3.4万 宝马i3快充畅行款上市")</f>
        <v>价格怒降3.4万 宝马i3快充畅行款上市</v>
      </c>
      <c r="C1310" s="2" t="s">
        <v>13</v>
      </c>
      <c r="D1310" s="2" t="s">
        <v>12</v>
      </c>
      <c r="E1310" s="2"/>
      <c r="F1310" s="2" t="str">
        <f>HYPERLINK("http://m.12365auto.com/xcdg/20200227/419670.shtml","http://m.12365auto.com/xcdg/20200227/419670.shtml")</f>
        <v>http://m.12365auto.com/xcdg/20200227/419670.shtml</v>
      </c>
      <c r="G1310" s="2"/>
      <c r="H1310" s="2" t="s">
        <v>1982</v>
      </c>
      <c r="I1310" s="2" t="s">
        <v>19</v>
      </c>
      <c r="J1310" s="2" t="s">
        <v>855</v>
      </c>
      <c r="K1310" s="2" t="s">
        <v>1977</v>
      </c>
      <c r="L1310" s="2">
        <f t="shared" si="20"/>
        <v>150</v>
      </c>
    </row>
    <row r="1311" spans="1:12" ht="25" customHeight="1">
      <c r="A1311" s="2" t="s">
        <v>12</v>
      </c>
      <c r="B1311" s="2" t="str">
        <f>HYPERLINK("http://bbs.12365auto.com/postcontent.aspx?tId=195356","事实证明，博越PRO其实卖的并不好")</f>
        <v>事实证明，博越PRO其实卖的并不好</v>
      </c>
      <c r="C1311" s="2" t="s">
        <v>13</v>
      </c>
      <c r="D1311" s="2" t="s">
        <v>12</v>
      </c>
      <c r="E1311" s="2" t="s">
        <v>27</v>
      </c>
      <c r="F1311" s="2" t="str">
        <f>HYPERLINK("http://bbs.12365auto.com/postcontent.aspx?tId=195356","http://bbs.12365auto.com/postcontent.aspx?tId=195356")</f>
        <v>http://bbs.12365auto.com/postcontent.aspx?tId=195356</v>
      </c>
      <c r="G1311" s="2"/>
      <c r="H1311" s="2" t="s">
        <v>1978</v>
      </c>
      <c r="I1311" s="2" t="s">
        <v>15</v>
      </c>
      <c r="J1311" s="2" t="s">
        <v>1960</v>
      </c>
      <c r="K1311" s="2" t="s">
        <v>1977</v>
      </c>
      <c r="L1311" s="2">
        <f t="shared" si="20"/>
        <v>150</v>
      </c>
    </row>
    <row r="1312" spans="1:12" ht="25" customHeight="1">
      <c r="A1312" s="2" t="s">
        <v>12</v>
      </c>
      <c r="B1312" s="2" t="str">
        <f>HYPERLINK("http://bbs.12365auto.com/postcontent.aspx?tId=195354","1月销量仅1千辆出头，福特锐际：不好意思又让大家失望了")</f>
        <v>1月销量仅1千辆出头，福特锐际：不好意思又让大家失望了</v>
      </c>
      <c r="C1312" s="2" t="s">
        <v>13</v>
      </c>
      <c r="D1312" s="2" t="s">
        <v>12</v>
      </c>
      <c r="E1312" s="2" t="s">
        <v>27</v>
      </c>
      <c r="F1312" s="2" t="str">
        <f>HYPERLINK("http://bbs.12365auto.com/postcontent.aspx?tId=195354","http://bbs.12365auto.com/postcontent.aspx?tId=195354")</f>
        <v>http://bbs.12365auto.com/postcontent.aspx?tId=195354</v>
      </c>
      <c r="G1312" s="2"/>
      <c r="H1312" s="2" t="s">
        <v>1983</v>
      </c>
      <c r="I1312" s="2" t="s">
        <v>15</v>
      </c>
      <c r="J1312" s="2" t="s">
        <v>1960</v>
      </c>
      <c r="K1312" s="2" t="s">
        <v>1984</v>
      </c>
      <c r="L1312" s="2">
        <f t="shared" si="20"/>
        <v>150</v>
      </c>
    </row>
    <row r="1313" spans="1:12" ht="25" customHeight="1">
      <c r="A1313" s="2" t="s">
        <v>12</v>
      </c>
      <c r="B1313" s="2" t="str">
        <f>HYPERLINK("http://m.12365auto.com/bbs/postcontent.aspx?tID=195354","1月销量仅1千辆出头，福特锐际：不好意思又让大家失望了")</f>
        <v>1月销量仅1千辆出头，福特锐际：不好意思又让大家失望了</v>
      </c>
      <c r="C1313" s="2" t="s">
        <v>13</v>
      </c>
      <c r="D1313" s="2" t="s">
        <v>23</v>
      </c>
      <c r="E1313" s="2"/>
      <c r="F1313" s="2" t="str">
        <f>HYPERLINK("http://m.12365auto.com/bbs/postcontent.aspx?tID=195354","http://m.12365auto.com/bbs/postcontent.aspx?tID=195354")</f>
        <v>http://m.12365auto.com/bbs/postcontent.aspx?tID=195354</v>
      </c>
      <c r="G1313" s="2"/>
      <c r="H1313" s="2" t="s">
        <v>1983</v>
      </c>
      <c r="I1313" s="2" t="s">
        <v>15</v>
      </c>
      <c r="J1313" s="2" t="s">
        <v>1960</v>
      </c>
      <c r="K1313" s="2" t="s">
        <v>1984</v>
      </c>
      <c r="L1313" s="2">
        <f t="shared" si="20"/>
        <v>150</v>
      </c>
    </row>
    <row r="1314" spans="1:12" ht="25" customHeight="1">
      <c r="A1314" s="2" t="s">
        <v>12</v>
      </c>
      <c r="B1314" s="2" t="str">
        <f>HYPERLINK("http://bbs.12365auto.com/postcontent.aspx?tID=195354","1月销量仅1千辆出头，福特锐际：不好意思又让大家失望了")</f>
        <v>1月销量仅1千辆出头，福特锐际：不好意思又让大家失望了</v>
      </c>
      <c r="C1314" s="2" t="s">
        <v>13</v>
      </c>
      <c r="D1314" s="2" t="s">
        <v>12</v>
      </c>
      <c r="E1314" s="2" t="s">
        <v>28</v>
      </c>
      <c r="F1314" s="2" t="str">
        <f>HYPERLINK("http://bbs.12365auto.com/postcontent.aspx?tID=195354","http://bbs.12365auto.com/postcontent.aspx?tID=195354")</f>
        <v>http://bbs.12365auto.com/postcontent.aspx?tID=195354</v>
      </c>
      <c r="G1314" s="2"/>
      <c r="H1314" s="2" t="s">
        <v>1985</v>
      </c>
      <c r="I1314" s="2" t="s">
        <v>15</v>
      </c>
      <c r="J1314" s="2" t="s">
        <v>1960</v>
      </c>
      <c r="K1314" s="2" t="s">
        <v>1984</v>
      </c>
      <c r="L1314" s="2">
        <f t="shared" si="20"/>
        <v>150</v>
      </c>
    </row>
    <row r="1315" spans="1:12" ht="25" customHeight="1">
      <c r="A1315" s="2" t="s">
        <v>12</v>
      </c>
      <c r="B1315" s="2" t="str">
        <f>HYPERLINK("http://bbs.12365auto.com/postcontent.aspx?tId=195353","二十几万也能买进口奔驰，溜背+无框车门，新款还带双屏内饰")</f>
        <v>二十几万也能买进口奔驰，溜背+无框车门，新款还带双屏内饰</v>
      </c>
      <c r="C1315" s="2" t="s">
        <v>13</v>
      </c>
      <c r="D1315" s="2" t="s">
        <v>12</v>
      </c>
      <c r="E1315" s="2" t="s">
        <v>27</v>
      </c>
      <c r="F1315" s="2" t="str">
        <f>HYPERLINK("http://bbs.12365auto.com/postcontent.aspx?tId=195353","http://bbs.12365auto.com/postcontent.aspx?tId=195353")</f>
        <v>http://bbs.12365auto.com/postcontent.aspx?tId=195353</v>
      </c>
      <c r="G1315" s="2"/>
      <c r="H1315" s="2" t="s">
        <v>1986</v>
      </c>
      <c r="I1315" s="2" t="s">
        <v>15</v>
      </c>
      <c r="J1315" s="2" t="s">
        <v>1960</v>
      </c>
      <c r="K1315" s="2" t="s">
        <v>1987</v>
      </c>
      <c r="L1315" s="2">
        <f t="shared" si="20"/>
        <v>150</v>
      </c>
    </row>
    <row r="1316" spans="1:12" ht="25" customHeight="1">
      <c r="A1316" s="2" t="s">
        <v>12</v>
      </c>
      <c r="B1316" s="2" t="str">
        <f>HYPERLINK("http://m.12365auto.com/bbs/postcontent.aspx?tID=195353","二十几万也能买进口奔驰，溜背+无框车门，新款还带双屏内饰")</f>
        <v>二十几万也能买进口奔驰，溜背+无框车门，新款还带双屏内饰</v>
      </c>
      <c r="C1316" s="2" t="s">
        <v>13</v>
      </c>
      <c r="D1316" s="2" t="s">
        <v>23</v>
      </c>
      <c r="E1316" s="2"/>
      <c r="F1316" s="2" t="str">
        <f>HYPERLINK("http://m.12365auto.com/bbs/postcontent.aspx?tID=195353","http://m.12365auto.com/bbs/postcontent.aspx?tID=195353")</f>
        <v>http://m.12365auto.com/bbs/postcontent.aspx?tID=195353</v>
      </c>
      <c r="G1316" s="2"/>
      <c r="H1316" s="2" t="s">
        <v>1986</v>
      </c>
      <c r="I1316" s="2" t="s">
        <v>15</v>
      </c>
      <c r="J1316" s="2" t="s">
        <v>1960</v>
      </c>
      <c r="K1316" s="2" t="s">
        <v>1987</v>
      </c>
      <c r="L1316" s="2">
        <f t="shared" si="20"/>
        <v>150</v>
      </c>
    </row>
    <row r="1317" spans="1:12" ht="25" customHeight="1">
      <c r="A1317" s="2" t="s">
        <v>12</v>
      </c>
      <c r="B1317" s="2" t="str">
        <f>HYPERLINK("http://bbs.12365auto.com/postcontent.aspx?tID=195353","二十几万也能买进口奔驰，溜背+无框车门，新款还带双屏内饰")</f>
        <v>二十几万也能买进口奔驰，溜背+无框车门，新款还带双屏内饰</v>
      </c>
      <c r="C1317" s="2" t="s">
        <v>13</v>
      </c>
      <c r="D1317" s="2" t="s">
        <v>12</v>
      </c>
      <c r="E1317" s="2" t="s">
        <v>28</v>
      </c>
      <c r="F1317" s="2" t="str">
        <f>HYPERLINK("http://bbs.12365auto.com/postcontent.aspx?tID=195353","http://bbs.12365auto.com/postcontent.aspx?tID=195353")</f>
        <v>http://bbs.12365auto.com/postcontent.aspx?tID=195353</v>
      </c>
      <c r="G1317" s="2"/>
      <c r="H1317" s="2" t="s">
        <v>1988</v>
      </c>
      <c r="I1317" s="2" t="s">
        <v>15</v>
      </c>
      <c r="J1317" s="2" t="s">
        <v>1960</v>
      </c>
      <c r="K1317" s="2" t="s">
        <v>1987</v>
      </c>
      <c r="L1317" s="2">
        <f t="shared" si="20"/>
        <v>150</v>
      </c>
    </row>
    <row r="1318" spans="1:12" ht="25" customHeight="1">
      <c r="A1318" s="2" t="s">
        <v>12</v>
      </c>
      <c r="B1318" s="2" t="str">
        <f>HYPERLINK("http://bbs.12365auto.com/postcontent.aspx?tId=195352","理性分析凯迪拉克CT5的保价策略，这台车最多能优惠多少")</f>
        <v>理性分析凯迪拉克CT5的保价策略，这台车最多能优惠多少</v>
      </c>
      <c r="C1318" s="2" t="s">
        <v>13</v>
      </c>
      <c r="D1318" s="2" t="s">
        <v>12</v>
      </c>
      <c r="E1318" s="2" t="s">
        <v>27</v>
      </c>
      <c r="F1318" s="2" t="str">
        <f>HYPERLINK("http://bbs.12365auto.com/postcontent.aspx?tId=195352","http://bbs.12365auto.com/postcontent.aspx?tId=195352")</f>
        <v>http://bbs.12365auto.com/postcontent.aspx?tId=195352</v>
      </c>
      <c r="G1318" s="2"/>
      <c r="H1318" s="2" t="s">
        <v>1989</v>
      </c>
      <c r="I1318" s="2" t="s">
        <v>15</v>
      </c>
      <c r="J1318" s="2" t="s">
        <v>1990</v>
      </c>
      <c r="K1318" s="2" t="s">
        <v>1991</v>
      </c>
      <c r="L1318" s="2">
        <f t="shared" si="20"/>
        <v>150</v>
      </c>
    </row>
    <row r="1319" spans="1:12" ht="25" customHeight="1">
      <c r="A1319" s="2" t="s">
        <v>12</v>
      </c>
      <c r="B1319" s="2" t="str">
        <f>HYPERLINK("http://m.12365auto.com/bbs/postcontent.aspx?tID=195352","理性分析凯迪拉克CT5的保价策略，这台车最多能优惠多少")</f>
        <v>理性分析凯迪拉克CT5的保价策略，这台车最多能优惠多少</v>
      </c>
      <c r="C1319" s="2" t="s">
        <v>13</v>
      </c>
      <c r="D1319" s="2" t="s">
        <v>23</v>
      </c>
      <c r="E1319" s="2"/>
      <c r="F1319" s="2" t="str">
        <f>HYPERLINK("http://m.12365auto.com/bbs/postcontent.aspx?tID=195352","http://m.12365auto.com/bbs/postcontent.aspx?tID=195352")</f>
        <v>http://m.12365auto.com/bbs/postcontent.aspx?tID=195352</v>
      </c>
      <c r="G1319" s="2"/>
      <c r="H1319" s="2" t="s">
        <v>1989</v>
      </c>
      <c r="I1319" s="2" t="s">
        <v>15</v>
      </c>
      <c r="J1319" s="2" t="s">
        <v>1990</v>
      </c>
      <c r="K1319" s="2" t="s">
        <v>1991</v>
      </c>
      <c r="L1319" s="2">
        <f t="shared" si="20"/>
        <v>150</v>
      </c>
    </row>
    <row r="1320" spans="1:12" ht="25" customHeight="1">
      <c r="A1320" s="2" t="s">
        <v>12</v>
      </c>
      <c r="B1320" s="2" t="str">
        <f>HYPERLINK("http://bbs.12365auto.com/postcontent.aspx?tID=195352","理性分析凯迪拉克CT5的保价策略，这台车最多能优惠多少")</f>
        <v>理性分析凯迪拉克CT5的保价策略，这台车最多能优惠多少</v>
      </c>
      <c r="C1320" s="2" t="s">
        <v>13</v>
      </c>
      <c r="D1320" s="2" t="s">
        <v>12</v>
      </c>
      <c r="E1320" s="2" t="s">
        <v>28</v>
      </c>
      <c r="F1320" s="2" t="str">
        <f>HYPERLINK("http://bbs.12365auto.com/postcontent.aspx?tID=195352","http://bbs.12365auto.com/postcontent.aspx?tID=195352")</f>
        <v>http://bbs.12365auto.com/postcontent.aspx?tID=195352</v>
      </c>
      <c r="G1320" s="2"/>
      <c r="H1320" s="2" t="s">
        <v>1992</v>
      </c>
      <c r="I1320" s="2" t="s">
        <v>15</v>
      </c>
      <c r="J1320" s="2" t="s">
        <v>1990</v>
      </c>
      <c r="K1320" s="2" t="s">
        <v>1991</v>
      </c>
      <c r="L1320" s="2">
        <f t="shared" si="20"/>
        <v>150</v>
      </c>
    </row>
    <row r="1321" spans="1:12" ht="25" customHeight="1">
      <c r="A1321" s="2" t="s">
        <v>12</v>
      </c>
      <c r="B1321" s="2" t="str">
        <f>HYPERLINK("http://m.12365auto.com/news/20200227/419669.shtml","怎样开车才省油 来试试这几个小妙招")</f>
        <v>怎样开车才省油 来试试这几个小妙招</v>
      </c>
      <c r="C1321" s="2" t="s">
        <v>13</v>
      </c>
      <c r="D1321" s="2" t="s">
        <v>12</v>
      </c>
      <c r="E1321" s="2"/>
      <c r="F1321" s="2" t="str">
        <f>HYPERLINK("http://m.12365auto.com/news/20200227/419669.shtml","http://m.12365auto.com/news/20200227/419669.shtml")</f>
        <v>http://m.12365auto.com/news/20200227/419669.shtml</v>
      </c>
      <c r="G1321" s="2"/>
      <c r="H1321" s="2" t="s">
        <v>1993</v>
      </c>
      <c r="I1321" s="2" t="s">
        <v>19</v>
      </c>
      <c r="J1321" s="2" t="s">
        <v>12</v>
      </c>
      <c r="K1321" s="2" t="s">
        <v>1994</v>
      </c>
      <c r="L1321" s="2">
        <f t="shared" si="20"/>
        <v>150</v>
      </c>
    </row>
    <row r="1322" spans="1:12" ht="25" customHeight="1">
      <c r="A1322" s="2" t="s">
        <v>12</v>
      </c>
      <c r="B1322" s="2" t="str">
        <f>HYPERLINK("http://www.12365auto.com/news/20200227/419669.shtml","怎样开车才省油 来试试这几个小妙招")</f>
        <v>怎样开车才省油 来试试这几个小妙招</v>
      </c>
      <c r="C1322" s="2" t="s">
        <v>13</v>
      </c>
      <c r="D1322" s="2" t="s">
        <v>12</v>
      </c>
      <c r="E1322" s="2" t="s">
        <v>372</v>
      </c>
      <c r="F1322" s="2" t="str">
        <f>HYPERLINK("http://www.12365auto.com/news/20200227/419669.shtml","http://www.12365auto.com/news/20200227/419669.shtml")</f>
        <v>http://www.12365auto.com/news/20200227/419669.shtml</v>
      </c>
      <c r="G1322" s="2"/>
      <c r="H1322" s="2" t="s">
        <v>1995</v>
      </c>
      <c r="I1322" s="2" t="s">
        <v>15</v>
      </c>
      <c r="J1322" s="2" t="s">
        <v>12</v>
      </c>
      <c r="K1322" s="2" t="s">
        <v>1994</v>
      </c>
      <c r="L1322" s="2">
        <f t="shared" si="20"/>
        <v>150</v>
      </c>
    </row>
    <row r="1323" spans="1:12" ht="25" customHeight="1">
      <c r="A1323" s="2" t="s">
        <v>12</v>
      </c>
      <c r="B1323" s="2" t="str">
        <f>HYPERLINK("http://bbs.12365auto.com/postcontent.aspx?tId=195351","别忽悠我买车，疫情过去也不行")</f>
        <v>别忽悠我买车，疫情过去也不行</v>
      </c>
      <c r="C1323" s="2" t="s">
        <v>13</v>
      </c>
      <c r="D1323" s="2" t="s">
        <v>12</v>
      </c>
      <c r="E1323" s="2" t="s">
        <v>27</v>
      </c>
      <c r="F1323" s="2" t="str">
        <f>HYPERLINK("http://bbs.12365auto.com/postcontent.aspx?tId=195351","http://bbs.12365auto.com/postcontent.aspx?tId=195351")</f>
        <v>http://bbs.12365auto.com/postcontent.aspx?tId=195351</v>
      </c>
      <c r="G1323" s="2"/>
      <c r="H1323" s="2" t="s">
        <v>1996</v>
      </c>
      <c r="I1323" s="2" t="s">
        <v>15</v>
      </c>
      <c r="J1323" s="2" t="s">
        <v>1990</v>
      </c>
      <c r="K1323" s="2" t="s">
        <v>1997</v>
      </c>
      <c r="L1323" s="2">
        <f t="shared" si="20"/>
        <v>150</v>
      </c>
    </row>
    <row r="1324" spans="1:12" ht="25" customHeight="1">
      <c r="A1324" s="2" t="s">
        <v>12</v>
      </c>
      <c r="B1324" s="2" t="str">
        <f>HYPERLINK("http://m.12365auto.com/bbs/postcontent.aspx?tID=195351","别忽悠我买车，疫情过去也不行")</f>
        <v>别忽悠我买车，疫情过去也不行</v>
      </c>
      <c r="C1324" s="2" t="s">
        <v>13</v>
      </c>
      <c r="D1324" s="2" t="s">
        <v>23</v>
      </c>
      <c r="E1324" s="2"/>
      <c r="F1324" s="2" t="str">
        <f>HYPERLINK("http://m.12365auto.com/bbs/postcontent.aspx?tID=195351","http://m.12365auto.com/bbs/postcontent.aspx?tID=195351")</f>
        <v>http://m.12365auto.com/bbs/postcontent.aspx?tID=195351</v>
      </c>
      <c r="G1324" s="2"/>
      <c r="H1324" s="2" t="s">
        <v>1996</v>
      </c>
      <c r="I1324" s="2" t="s">
        <v>15</v>
      </c>
      <c r="J1324" s="2" t="s">
        <v>1990</v>
      </c>
      <c r="K1324" s="2" t="s">
        <v>1997</v>
      </c>
      <c r="L1324" s="2">
        <f t="shared" si="20"/>
        <v>150</v>
      </c>
    </row>
    <row r="1325" spans="1:12" ht="25" customHeight="1">
      <c r="A1325" s="2" t="s">
        <v>12</v>
      </c>
      <c r="B1325" s="2" t="str">
        <f>HYPERLINK("http://bbs.12365auto.com/postcontent.aspx?tID=195351","别忽悠我买车，疫情过去也不行")</f>
        <v>别忽悠我买车，疫情过去也不行</v>
      </c>
      <c r="C1325" s="2" t="s">
        <v>13</v>
      </c>
      <c r="D1325" s="2" t="s">
        <v>12</v>
      </c>
      <c r="E1325" s="2" t="s">
        <v>28</v>
      </c>
      <c r="F1325" s="2" t="str">
        <f>HYPERLINK("http://bbs.12365auto.com/postcontent.aspx?tID=195351","http://bbs.12365auto.com/postcontent.aspx?tID=195351")</f>
        <v>http://bbs.12365auto.com/postcontent.aspx?tID=195351</v>
      </c>
      <c r="G1325" s="2"/>
      <c r="H1325" s="2" t="s">
        <v>1998</v>
      </c>
      <c r="I1325" s="2" t="s">
        <v>15</v>
      </c>
      <c r="J1325" s="2" t="s">
        <v>1990</v>
      </c>
      <c r="K1325" s="2" t="s">
        <v>1997</v>
      </c>
      <c r="L1325" s="2">
        <f t="shared" si="20"/>
        <v>150</v>
      </c>
    </row>
    <row r="1326" spans="1:12" ht="25" customHeight="1">
      <c r="A1326" s="2" t="s">
        <v>12</v>
      </c>
      <c r="B1326" s="2" t="str">
        <f>HYPERLINK("http://m.12365auto.com/news/20200227/419668.shtml","继续扩大市场 Grab获8.5亿美金融资")</f>
        <v>继续扩大市场 Grab获8.5亿美金融资</v>
      </c>
      <c r="C1326" s="2" t="s">
        <v>13</v>
      </c>
      <c r="D1326" s="2" t="s">
        <v>12</v>
      </c>
      <c r="E1326" s="2"/>
      <c r="F1326" s="2" t="str">
        <f>HYPERLINK("http://m.12365auto.com/news/20200227/419668.shtml","http://m.12365auto.com/news/20200227/419668.shtml")</f>
        <v>http://m.12365auto.com/news/20200227/419668.shtml</v>
      </c>
      <c r="G1326" s="2"/>
      <c r="H1326" s="2" t="s">
        <v>1999</v>
      </c>
      <c r="I1326" s="2" t="s">
        <v>19</v>
      </c>
      <c r="J1326" s="2" t="s">
        <v>1968</v>
      </c>
      <c r="K1326" s="2" t="s">
        <v>2000</v>
      </c>
      <c r="L1326" s="2">
        <f t="shared" si="20"/>
        <v>150</v>
      </c>
    </row>
    <row r="1327" spans="1:12" ht="25" customHeight="1">
      <c r="A1327" s="2" t="s">
        <v>12</v>
      </c>
      <c r="B1327" s="2" t="str">
        <f>HYPERLINK("http://www.12365auto.com/news/20200227/419668.shtml","继续扩大市场 Grab获8.5亿美金融资")</f>
        <v>继续扩大市场 Grab获8.5亿美金融资</v>
      </c>
      <c r="C1327" s="2" t="s">
        <v>13</v>
      </c>
      <c r="D1327" s="2" t="s">
        <v>12</v>
      </c>
      <c r="E1327" s="2" t="s">
        <v>282</v>
      </c>
      <c r="F1327" s="2" t="str">
        <f>HYPERLINK("http://www.12365auto.com/news/20200227/419668.shtml","http://www.12365auto.com/news/20200227/419668.shtml")</f>
        <v>http://www.12365auto.com/news/20200227/419668.shtml</v>
      </c>
      <c r="G1327" s="2"/>
      <c r="H1327" s="2" t="s">
        <v>2001</v>
      </c>
      <c r="I1327" s="2" t="s">
        <v>19</v>
      </c>
      <c r="J1327" s="2" t="s">
        <v>12</v>
      </c>
      <c r="K1327" s="2" t="s">
        <v>2000</v>
      </c>
      <c r="L1327" s="2">
        <f t="shared" si="20"/>
        <v>150</v>
      </c>
    </row>
    <row r="1328" spans="1:12" ht="25" customHeight="1">
      <c r="A1328" s="2" t="s">
        <v>12</v>
      </c>
      <c r="B1328" s="2" t="str">
        <f>HYPERLINK("http://m.12365auto.com/news/20200227/419667.shtml","豪掷28个亿 丰田投资中国自动驾驶公司")</f>
        <v>豪掷28个亿 丰田投资中国自动驾驶公司</v>
      </c>
      <c r="C1328" s="2" t="s">
        <v>13</v>
      </c>
      <c r="D1328" s="2" t="s">
        <v>12</v>
      </c>
      <c r="E1328" s="2"/>
      <c r="F1328" s="2" t="str">
        <f>HYPERLINK("http://m.12365auto.com/news/20200227/419667.shtml","http://m.12365auto.com/news/20200227/419667.shtml")</f>
        <v>http://m.12365auto.com/news/20200227/419667.shtml</v>
      </c>
      <c r="G1328" s="2"/>
      <c r="H1328" s="2" t="s">
        <v>2002</v>
      </c>
      <c r="I1328" s="2" t="s">
        <v>19</v>
      </c>
      <c r="J1328" s="2" t="s">
        <v>1188</v>
      </c>
      <c r="K1328" s="2" t="s">
        <v>2003</v>
      </c>
      <c r="L1328" s="2">
        <f t="shared" si="20"/>
        <v>150</v>
      </c>
    </row>
    <row r="1329" spans="1:12" ht="25" customHeight="1">
      <c r="A1329" s="2" t="s">
        <v>12</v>
      </c>
      <c r="B1329" s="2" t="str">
        <f>HYPERLINK("http://www.12365auto.com/news/20200227/419667.shtml","豪掷28个亿 丰田投资中国自动驾驶公司")</f>
        <v>豪掷28个亿 丰田投资中国自动驾驶公司</v>
      </c>
      <c r="C1329" s="2" t="s">
        <v>13</v>
      </c>
      <c r="D1329" s="2" t="s">
        <v>12</v>
      </c>
      <c r="E1329" s="2" t="s">
        <v>282</v>
      </c>
      <c r="F1329" s="2" t="str">
        <f>HYPERLINK("http://www.12365auto.com/news/20200227/419667.shtml","http://www.12365auto.com/news/20200227/419667.shtml")</f>
        <v>http://www.12365auto.com/news/20200227/419667.shtml</v>
      </c>
      <c r="G1329" s="2"/>
      <c r="H1329" s="2" t="s">
        <v>2004</v>
      </c>
      <c r="I1329" s="2" t="s">
        <v>19</v>
      </c>
      <c r="J1329" s="2" t="s">
        <v>12</v>
      </c>
      <c r="K1329" s="2" t="s">
        <v>2003</v>
      </c>
      <c r="L1329" s="2">
        <f t="shared" si="20"/>
        <v>150</v>
      </c>
    </row>
    <row r="1330" spans="1:12" ht="25" customHeight="1">
      <c r="A1330" s="2" t="s">
        <v>12</v>
      </c>
      <c r="B1330" s="2" t="str">
        <f>HYPERLINK("http://m.12365auto.com/news/20200227/419666.shtml","重新上位 看磷酸铁锂电池技术的回归")</f>
        <v>重新上位 看磷酸铁锂电池技术的回归</v>
      </c>
      <c r="C1330" s="2" t="s">
        <v>13</v>
      </c>
      <c r="D1330" s="2" t="s">
        <v>12</v>
      </c>
      <c r="E1330" s="2"/>
      <c r="F1330" s="2" t="str">
        <f>HYPERLINK("http://m.12365auto.com/news/20200227/419666.shtml","http://m.12365auto.com/news/20200227/419666.shtml")</f>
        <v>http://m.12365auto.com/news/20200227/419666.shtml</v>
      </c>
      <c r="G1330" s="2"/>
      <c r="H1330" s="2" t="s">
        <v>2005</v>
      </c>
      <c r="I1330" s="2" t="s">
        <v>19</v>
      </c>
      <c r="J1330" s="2" t="s">
        <v>781</v>
      </c>
      <c r="K1330" s="2" t="s">
        <v>2006</v>
      </c>
      <c r="L1330" s="2">
        <f t="shared" si="20"/>
        <v>150</v>
      </c>
    </row>
    <row r="1331" spans="1:12" ht="25" customHeight="1">
      <c r="A1331" s="2" t="s">
        <v>12</v>
      </c>
      <c r="B1331" s="2" t="str">
        <f>HYPERLINK("http://www.12365auto.com/news/20200227/419666.shtml","重新上位 看磷酸铁锂电池技术的回归")</f>
        <v>重新上位 看磷酸铁锂电池技术的回归</v>
      </c>
      <c r="C1331" s="2" t="s">
        <v>13</v>
      </c>
      <c r="D1331" s="2" t="s">
        <v>12</v>
      </c>
      <c r="E1331" s="2" t="s">
        <v>282</v>
      </c>
      <c r="F1331" s="2" t="str">
        <f>HYPERLINK("http://www.12365auto.com/news/20200227/419666.shtml","http://www.12365auto.com/news/20200227/419666.shtml")</f>
        <v>http://www.12365auto.com/news/20200227/419666.shtml</v>
      </c>
      <c r="G1331" s="2"/>
      <c r="H1331" s="2" t="s">
        <v>2007</v>
      </c>
      <c r="I1331" s="2" t="s">
        <v>19</v>
      </c>
      <c r="J1331" s="2" t="s">
        <v>12</v>
      </c>
      <c r="K1331" s="2" t="s">
        <v>2006</v>
      </c>
      <c r="L1331" s="2">
        <f t="shared" si="20"/>
        <v>150</v>
      </c>
    </row>
    <row r="1332" spans="1:12" ht="25" customHeight="1">
      <c r="A1332" s="2" t="s">
        <v>12</v>
      </c>
      <c r="B1332" s="2" t="str">
        <f>HYPERLINK("http://bbs.12365auto.com/postcontent.aspx?tID=195350","无人出门的春天 终于让滴滴也挺不住了")</f>
        <v>无人出门的春天 终于让滴滴也挺不住了</v>
      </c>
      <c r="C1332" s="2" t="s">
        <v>13</v>
      </c>
      <c r="D1332" s="2" t="s">
        <v>12</v>
      </c>
      <c r="E1332" s="2" t="s">
        <v>28</v>
      </c>
      <c r="F1332" s="2" t="str">
        <f>HYPERLINK("http://bbs.12365auto.com/postcontent.aspx?tID=195350","http://bbs.12365auto.com/postcontent.aspx?tID=195350")</f>
        <v>http://bbs.12365auto.com/postcontent.aspx?tID=195350</v>
      </c>
      <c r="G1332" s="2"/>
      <c r="H1332" s="2" t="s">
        <v>2008</v>
      </c>
      <c r="I1332" s="2" t="s">
        <v>15</v>
      </c>
      <c r="J1332" s="2" t="s">
        <v>2009</v>
      </c>
      <c r="K1332" s="2" t="s">
        <v>2010</v>
      </c>
      <c r="L1332" s="2">
        <f t="shared" si="20"/>
        <v>150</v>
      </c>
    </row>
    <row r="1333" spans="1:12" ht="25" customHeight="1">
      <c r="A1333" s="2" t="s">
        <v>12</v>
      </c>
      <c r="B1333" s="2" t="str">
        <f>HYPERLINK("http://bbs.12365auto.com/postcontent.aspx?tId=195350","无人出门的春天 终于让滴滴也挺不住了")</f>
        <v>无人出门的春天 终于让滴滴也挺不住了</v>
      </c>
      <c r="C1333" s="2" t="s">
        <v>13</v>
      </c>
      <c r="D1333" s="2" t="s">
        <v>12</v>
      </c>
      <c r="E1333" s="2" t="s">
        <v>27</v>
      </c>
      <c r="F1333" s="2" t="str">
        <f>HYPERLINK("http://bbs.12365auto.com/postcontent.aspx?tId=195350","http://bbs.12365auto.com/postcontent.aspx?tId=195350")</f>
        <v>http://bbs.12365auto.com/postcontent.aspx?tId=195350</v>
      </c>
      <c r="G1333" s="2"/>
      <c r="H1333" s="2" t="s">
        <v>2011</v>
      </c>
      <c r="I1333" s="2" t="s">
        <v>15</v>
      </c>
      <c r="J1333" s="2" t="s">
        <v>2009</v>
      </c>
      <c r="K1333" s="2" t="s">
        <v>2010</v>
      </c>
      <c r="L1333" s="2">
        <f t="shared" si="20"/>
        <v>150</v>
      </c>
    </row>
    <row r="1334" spans="1:12" ht="25" customHeight="1">
      <c r="A1334" s="2" t="s">
        <v>12</v>
      </c>
      <c r="B1334" s="2" t="str">
        <f>HYPERLINK("http://bbs.12365auto.com/postcontent.aspx?tID=195349","2020款宾利欧陆GT狂躁奔放的内心")</f>
        <v>2020款宾利欧陆GT狂躁奔放的内心</v>
      </c>
      <c r="C1334" s="2" t="s">
        <v>13</v>
      </c>
      <c r="D1334" s="2" t="s">
        <v>12</v>
      </c>
      <c r="E1334" s="2" t="s">
        <v>28</v>
      </c>
      <c r="F1334" s="2" t="str">
        <f>HYPERLINK("http://bbs.12365auto.com/postcontent.aspx?tID=195349","http://bbs.12365auto.com/postcontent.aspx?tID=195349")</f>
        <v>http://bbs.12365auto.com/postcontent.aspx?tID=195349</v>
      </c>
      <c r="G1334" s="2"/>
      <c r="H1334" s="2" t="s">
        <v>2012</v>
      </c>
      <c r="I1334" s="2" t="s">
        <v>15</v>
      </c>
      <c r="J1334" s="2" t="s">
        <v>2009</v>
      </c>
      <c r="K1334" s="2" t="s">
        <v>2013</v>
      </c>
      <c r="L1334" s="2">
        <f t="shared" si="20"/>
        <v>150</v>
      </c>
    </row>
    <row r="1335" spans="1:12" ht="25" customHeight="1">
      <c r="A1335" s="2" t="s">
        <v>12</v>
      </c>
      <c r="B1335" s="2" t="str">
        <f>HYPERLINK("http://bbs.12365auto.com/postcontent.aspx?tId=195349","2020款宾利欧陆GT狂躁奔放的内心")</f>
        <v>2020款宾利欧陆GT狂躁奔放的内心</v>
      </c>
      <c r="C1335" s="2" t="s">
        <v>13</v>
      </c>
      <c r="D1335" s="2" t="s">
        <v>12</v>
      </c>
      <c r="E1335" s="2" t="s">
        <v>27</v>
      </c>
      <c r="F1335" s="2" t="str">
        <f>HYPERLINK("http://bbs.12365auto.com/postcontent.aspx?tId=195349","http://bbs.12365auto.com/postcontent.aspx?tId=195349")</f>
        <v>http://bbs.12365auto.com/postcontent.aspx?tId=195349</v>
      </c>
      <c r="G1335" s="2"/>
      <c r="H1335" s="2" t="s">
        <v>2014</v>
      </c>
      <c r="I1335" s="2" t="s">
        <v>15</v>
      </c>
      <c r="J1335" s="2" t="s">
        <v>2009</v>
      </c>
      <c r="K1335" s="2" t="s">
        <v>2013</v>
      </c>
      <c r="L1335" s="2">
        <f t="shared" si="20"/>
        <v>150</v>
      </c>
    </row>
    <row r="1336" spans="1:12" ht="25" customHeight="1">
      <c r="A1336" s="2" t="s">
        <v>12</v>
      </c>
      <c r="B1336" s="2" t="str">
        <f>HYPERLINK("http://bbs.12365auto.com/postcontent.aspx?tId=195348","大众朗逸 2019款 1.5L 自动舒适版 国六")</f>
        <v>大众朗逸 2019款 1.5L 自动舒适版 国六</v>
      </c>
      <c r="C1336" s="2" t="s">
        <v>13</v>
      </c>
      <c r="D1336" s="2" t="s">
        <v>12</v>
      </c>
      <c r="E1336" s="2" t="s">
        <v>27</v>
      </c>
      <c r="F1336" s="2" t="str">
        <f>HYPERLINK("http://bbs.12365auto.com/postcontent.aspx?tId=195348","http://bbs.12365auto.com/postcontent.aspx?tId=195348")</f>
        <v>http://bbs.12365auto.com/postcontent.aspx?tId=195348</v>
      </c>
      <c r="G1336" s="2"/>
      <c r="H1336" s="2" t="s">
        <v>2015</v>
      </c>
      <c r="I1336" s="2" t="s">
        <v>15</v>
      </c>
      <c r="J1336" s="2" t="s">
        <v>2009</v>
      </c>
      <c r="K1336" s="2" t="s">
        <v>2016</v>
      </c>
      <c r="L1336" s="2">
        <f t="shared" si="20"/>
        <v>18</v>
      </c>
    </row>
    <row r="1337" spans="1:12" ht="25" customHeight="1">
      <c r="A1337" s="2" t="s">
        <v>12</v>
      </c>
      <c r="B1337" s="2" t="str">
        <f>HYPERLINK("http://bbs.12365auto.com/postcontent.aspx?tId=195347","本田飞度 2019款 1.5L CVT豪华版")</f>
        <v>本田飞度 2019款 1.5L CVT豪华版</v>
      </c>
      <c r="C1337" s="2" t="s">
        <v>13</v>
      </c>
      <c r="D1337" s="2" t="s">
        <v>12</v>
      </c>
      <c r="E1337" s="2" t="s">
        <v>27</v>
      </c>
      <c r="F1337" s="2" t="str">
        <f>HYPERLINK("http://bbs.12365auto.com/postcontent.aspx?tId=195347","http://bbs.12365auto.com/postcontent.aspx?tId=195347")</f>
        <v>http://bbs.12365auto.com/postcontent.aspx?tId=195347</v>
      </c>
      <c r="G1337" s="2"/>
      <c r="H1337" s="2" t="s">
        <v>2017</v>
      </c>
      <c r="I1337" s="2" t="s">
        <v>15</v>
      </c>
      <c r="J1337" s="2" t="s">
        <v>2009</v>
      </c>
      <c r="K1337" s="2" t="s">
        <v>2016</v>
      </c>
      <c r="L1337" s="2">
        <f t="shared" si="20"/>
        <v>16</v>
      </c>
    </row>
    <row r="1338" spans="1:12" ht="25" customHeight="1">
      <c r="A1338" s="2" t="s">
        <v>12</v>
      </c>
      <c r="B1338" s="2" t="str">
        <f>HYPERLINK("http://bbs.12365auto.com/postcontent.aspx?tID=195347","本田飞度 2019款 1.5L CVT豪华版")</f>
        <v>本田飞度 2019款 1.5L CVT豪华版</v>
      </c>
      <c r="C1338" s="2" t="s">
        <v>13</v>
      </c>
      <c r="D1338" s="2" t="s">
        <v>12</v>
      </c>
      <c r="E1338" s="2" t="s">
        <v>28</v>
      </c>
      <c r="F1338" s="2" t="str">
        <f>HYPERLINK("http://bbs.12365auto.com/postcontent.aspx?tID=195347","http://bbs.12365auto.com/postcontent.aspx?tID=195347")</f>
        <v>http://bbs.12365auto.com/postcontent.aspx?tID=195347</v>
      </c>
      <c r="G1338" s="2"/>
      <c r="H1338" s="2" t="s">
        <v>2018</v>
      </c>
      <c r="I1338" s="2" t="s">
        <v>15</v>
      </c>
      <c r="J1338" s="2" t="s">
        <v>2009</v>
      </c>
      <c r="K1338" s="2" t="s">
        <v>2016</v>
      </c>
      <c r="L1338" s="2">
        <f t="shared" si="20"/>
        <v>38</v>
      </c>
    </row>
    <row r="1339" spans="1:12" ht="25" customHeight="1">
      <c r="A1339" s="2" t="s">
        <v>12</v>
      </c>
      <c r="B1339" s="2" t="str">
        <f>HYPERLINK("http://bbs.12365auto.com/postcontent.aspx?tID=195348","大众朗逸 2019款 1.5L 自动舒适版 国六")</f>
        <v>大众朗逸 2019款 1.5L 自动舒适版 国六</v>
      </c>
      <c r="C1339" s="2" t="s">
        <v>13</v>
      </c>
      <c r="D1339" s="2" t="s">
        <v>12</v>
      </c>
      <c r="E1339" s="2" t="s">
        <v>28</v>
      </c>
      <c r="F1339" s="2" t="str">
        <f>HYPERLINK("http://bbs.12365auto.com/postcontent.aspx?tID=195348","http://bbs.12365auto.com/postcontent.aspx?tID=195348")</f>
        <v>http://bbs.12365auto.com/postcontent.aspx?tID=195348</v>
      </c>
      <c r="G1339" s="2"/>
      <c r="H1339" s="2" t="s">
        <v>2019</v>
      </c>
      <c r="I1339" s="2" t="s">
        <v>15</v>
      </c>
      <c r="J1339" s="2" t="s">
        <v>2009</v>
      </c>
      <c r="K1339" s="2" t="s">
        <v>2016</v>
      </c>
      <c r="L1339" s="2">
        <f t="shared" si="20"/>
        <v>42</v>
      </c>
    </row>
    <row r="1340" spans="1:12" ht="25" customHeight="1">
      <c r="A1340" s="2" t="s">
        <v>12</v>
      </c>
      <c r="B1340" s="2" t="str">
        <f>HYPERLINK("http://bbs.12365auto.com/postcontent.aspx?tId=195345","宝马i3快充畅行版上市 续航340公里/售30.58万元")</f>
        <v>宝马i3快充畅行版上市 续航340公里/售30.58万元</v>
      </c>
      <c r="C1340" s="2" t="s">
        <v>13</v>
      </c>
      <c r="D1340" s="2" t="s">
        <v>12</v>
      </c>
      <c r="E1340" s="2" t="s">
        <v>27</v>
      </c>
      <c r="F1340" s="2" t="str">
        <f>HYPERLINK("http://bbs.12365auto.com/postcontent.aspx?tId=195345","http://bbs.12365auto.com/postcontent.aspx?tId=195345")</f>
        <v>http://bbs.12365auto.com/postcontent.aspx?tId=195345</v>
      </c>
      <c r="G1340" s="2"/>
      <c r="H1340" s="2" t="s">
        <v>2020</v>
      </c>
      <c r="I1340" s="2" t="s">
        <v>15</v>
      </c>
      <c r="J1340" s="2" t="s">
        <v>2009</v>
      </c>
      <c r="K1340" s="2" t="s">
        <v>2021</v>
      </c>
      <c r="L1340" s="2">
        <f t="shared" si="20"/>
        <v>150</v>
      </c>
    </row>
    <row r="1341" spans="1:12" ht="25" customHeight="1">
      <c r="A1341" s="2" t="s">
        <v>12</v>
      </c>
      <c r="B1341" s="2" t="str">
        <f>HYPERLINK("http://bbs.12365auto.com/postcontent.aspx?tId=195346","上汽通用要“换掉”三缸发动机？瞎说！看看全新探界者")</f>
        <v>上汽通用要“换掉”三缸发动机？瞎说！看看全新探界者</v>
      </c>
      <c r="C1341" s="2" t="s">
        <v>13</v>
      </c>
      <c r="D1341" s="2" t="s">
        <v>12</v>
      </c>
      <c r="E1341" s="2" t="s">
        <v>27</v>
      </c>
      <c r="F1341" s="2" t="str">
        <f>HYPERLINK("http://bbs.12365auto.com/postcontent.aspx?tId=195346","http://bbs.12365auto.com/postcontent.aspx?tId=195346")</f>
        <v>http://bbs.12365auto.com/postcontent.aspx?tId=195346</v>
      </c>
      <c r="G1341" s="2"/>
      <c r="H1341" s="2" t="s">
        <v>2022</v>
      </c>
      <c r="I1341" s="2" t="s">
        <v>15</v>
      </c>
      <c r="J1341" s="2" t="s">
        <v>2009</v>
      </c>
      <c r="K1341" s="2" t="s">
        <v>2021</v>
      </c>
      <c r="L1341" s="2">
        <f t="shared" si="20"/>
        <v>150</v>
      </c>
    </row>
    <row r="1342" spans="1:12" ht="25" customHeight="1">
      <c r="A1342" s="2" t="s">
        <v>12</v>
      </c>
      <c r="B1342" s="2" t="str">
        <f>HYPERLINK("http://bbs.12365auto.com/postcontent.aspx?tID=195345","宝马i3快充畅行版上市 续航340公里/售30.58万元")</f>
        <v>宝马i3快充畅行版上市 续航340公里/售30.58万元</v>
      </c>
      <c r="C1342" s="2" t="s">
        <v>13</v>
      </c>
      <c r="D1342" s="2" t="s">
        <v>12</v>
      </c>
      <c r="E1342" s="2" t="s">
        <v>28</v>
      </c>
      <c r="F1342" s="2" t="str">
        <f>HYPERLINK("http://bbs.12365auto.com/postcontent.aspx?tID=195345","http://bbs.12365auto.com/postcontent.aspx?tID=195345")</f>
        <v>http://bbs.12365auto.com/postcontent.aspx?tID=195345</v>
      </c>
      <c r="G1342" s="2"/>
      <c r="H1342" s="2" t="s">
        <v>2023</v>
      </c>
      <c r="I1342" s="2" t="s">
        <v>15</v>
      </c>
      <c r="J1342" s="2" t="s">
        <v>2009</v>
      </c>
      <c r="K1342" s="2" t="s">
        <v>2021</v>
      </c>
      <c r="L1342" s="2">
        <f t="shared" si="20"/>
        <v>150</v>
      </c>
    </row>
    <row r="1343" spans="1:12" ht="25" customHeight="1">
      <c r="A1343" s="2" t="s">
        <v>12</v>
      </c>
      <c r="B1343" s="2" t="str">
        <f>HYPERLINK("http://bbs.12365auto.com/postcontent.aspx?tID=195346","上汽通用要“换掉”三缸发动机？瞎说！看看全新探界者")</f>
        <v>上汽通用要“换掉”三缸发动机？瞎说！看看全新探界者</v>
      </c>
      <c r="C1343" s="2" t="s">
        <v>13</v>
      </c>
      <c r="D1343" s="2" t="s">
        <v>12</v>
      </c>
      <c r="E1343" s="2" t="s">
        <v>28</v>
      </c>
      <c r="F1343" s="2" t="str">
        <f>HYPERLINK("http://bbs.12365auto.com/postcontent.aspx?tID=195346","http://bbs.12365auto.com/postcontent.aspx?tID=195346")</f>
        <v>http://bbs.12365auto.com/postcontent.aspx?tID=195346</v>
      </c>
      <c r="G1343" s="2"/>
      <c r="H1343" s="2" t="s">
        <v>2024</v>
      </c>
      <c r="I1343" s="2" t="s">
        <v>15</v>
      </c>
      <c r="J1343" s="2" t="s">
        <v>2009</v>
      </c>
      <c r="K1343" s="2" t="s">
        <v>2021</v>
      </c>
      <c r="L1343" s="2">
        <f t="shared" si="20"/>
        <v>150</v>
      </c>
    </row>
    <row r="1344" spans="1:12" ht="25" customHeight="1">
      <c r="A1344" s="2" t="s">
        <v>12</v>
      </c>
      <c r="B1344" s="2" t="str">
        <f>HYPERLINK("http://bbs.12365auto.com/postcontent.aspx?tId=195343","外观更有战斗力 2021款大众高尔夫GTI官图发布")</f>
        <v>外观更有战斗力 2021款大众高尔夫GTI官图发布</v>
      </c>
      <c r="C1344" s="2" t="s">
        <v>13</v>
      </c>
      <c r="D1344" s="2" t="s">
        <v>12</v>
      </c>
      <c r="E1344" s="2" t="s">
        <v>27</v>
      </c>
      <c r="F1344" s="2" t="str">
        <f>HYPERLINK("http://bbs.12365auto.com/postcontent.aspx?tId=195343","http://bbs.12365auto.com/postcontent.aspx?tId=195343")</f>
        <v>http://bbs.12365auto.com/postcontent.aspx?tId=195343</v>
      </c>
      <c r="G1344" s="2"/>
      <c r="H1344" s="2" t="s">
        <v>2025</v>
      </c>
      <c r="I1344" s="2" t="s">
        <v>15</v>
      </c>
      <c r="J1344" s="2" t="s">
        <v>2009</v>
      </c>
      <c r="K1344" s="2" t="s">
        <v>2026</v>
      </c>
      <c r="L1344" s="2">
        <f t="shared" si="20"/>
        <v>150</v>
      </c>
    </row>
    <row r="1345" spans="1:12" ht="25" customHeight="1">
      <c r="A1345" s="2" t="s">
        <v>12</v>
      </c>
      <c r="B1345" s="2" t="str">
        <f>HYPERLINK("http://bbs.12365auto.com/postcontent.aspx?tId=195342","新车使用注意啥 实用养护妙招推荐")</f>
        <v>新车使用注意啥 实用养护妙招推荐</v>
      </c>
      <c r="C1345" s="2" t="s">
        <v>13</v>
      </c>
      <c r="D1345" s="2" t="s">
        <v>12</v>
      </c>
      <c r="E1345" s="2" t="s">
        <v>27</v>
      </c>
      <c r="F1345" s="2" t="str">
        <f>HYPERLINK("http://bbs.12365auto.com/postcontent.aspx?tId=195342","http://bbs.12365auto.com/postcontent.aspx?tId=195342")</f>
        <v>http://bbs.12365auto.com/postcontent.aspx?tId=195342</v>
      </c>
      <c r="G1345" s="2"/>
      <c r="H1345" s="2" t="s">
        <v>2027</v>
      </c>
      <c r="I1345" s="2" t="s">
        <v>15</v>
      </c>
      <c r="J1345" s="2" t="s">
        <v>2009</v>
      </c>
      <c r="K1345" s="2" t="s">
        <v>2026</v>
      </c>
      <c r="L1345" s="2">
        <f t="shared" si="20"/>
        <v>150</v>
      </c>
    </row>
    <row r="1346" spans="1:12" ht="25" customHeight="1">
      <c r="A1346" s="2" t="s">
        <v>12</v>
      </c>
      <c r="B1346" s="2" t="str">
        <f>HYPERLINK("http://bbs.12365auto.com/postcontent.aspx?tId=195344","Polestar Precept 试图重新定义“豪华”")</f>
        <v>Polestar Precept 试图重新定义“豪华”</v>
      </c>
      <c r="C1346" s="2" t="s">
        <v>13</v>
      </c>
      <c r="D1346" s="2" t="s">
        <v>12</v>
      </c>
      <c r="E1346" s="2" t="s">
        <v>27</v>
      </c>
      <c r="F1346" s="2" t="str">
        <f>HYPERLINK("http://bbs.12365auto.com/postcontent.aspx?tId=195344","http://bbs.12365auto.com/postcontent.aspx?tId=195344")</f>
        <v>http://bbs.12365auto.com/postcontent.aspx?tId=195344</v>
      </c>
      <c r="G1346" s="2"/>
      <c r="H1346" s="2" t="s">
        <v>2028</v>
      </c>
      <c r="I1346" s="2" t="s">
        <v>15</v>
      </c>
      <c r="J1346" s="2" t="s">
        <v>2009</v>
      </c>
      <c r="K1346" s="2" t="s">
        <v>2026</v>
      </c>
      <c r="L1346" s="2">
        <f t="shared" si="20"/>
        <v>150</v>
      </c>
    </row>
    <row r="1347" spans="1:12" ht="25" customHeight="1">
      <c r="A1347" s="2" t="s">
        <v>12</v>
      </c>
      <c r="B1347" s="2" t="str">
        <f>HYPERLINK("http://bbs.12365auto.com/postcontent.aspx?tID=195343","外观更有战斗力 2021款大众高尔夫GTI官图发布")</f>
        <v>外观更有战斗力 2021款大众高尔夫GTI官图发布</v>
      </c>
      <c r="C1347" s="2" t="s">
        <v>13</v>
      </c>
      <c r="D1347" s="2" t="s">
        <v>12</v>
      </c>
      <c r="E1347" s="2" t="s">
        <v>28</v>
      </c>
      <c r="F1347" s="2" t="str">
        <f>HYPERLINK("http://bbs.12365auto.com/postcontent.aspx?tID=195343","http://bbs.12365auto.com/postcontent.aspx?tID=195343")</f>
        <v>http://bbs.12365auto.com/postcontent.aspx?tID=195343</v>
      </c>
      <c r="G1347" s="2"/>
      <c r="H1347" s="2" t="s">
        <v>2029</v>
      </c>
      <c r="I1347" s="2" t="s">
        <v>15</v>
      </c>
      <c r="J1347" s="2" t="s">
        <v>2009</v>
      </c>
      <c r="K1347" s="2" t="s">
        <v>2026</v>
      </c>
      <c r="L1347" s="2">
        <f t="shared" ref="L1347:L1410" si="21">LEN(H1347)</f>
        <v>150</v>
      </c>
    </row>
    <row r="1348" spans="1:12" ht="25" customHeight="1">
      <c r="A1348" s="2" t="s">
        <v>12</v>
      </c>
      <c r="B1348" s="2" t="str">
        <f>HYPERLINK("http://bbs.12365auto.com/postcontent.aspx?tID=195342","新车使用注意啥 实用养护妙招推荐")</f>
        <v>新车使用注意啥 实用养护妙招推荐</v>
      </c>
      <c r="C1348" s="2" t="s">
        <v>13</v>
      </c>
      <c r="D1348" s="2" t="s">
        <v>12</v>
      </c>
      <c r="E1348" s="2" t="s">
        <v>28</v>
      </c>
      <c r="F1348" s="2" t="str">
        <f>HYPERLINK("http://bbs.12365auto.com/postcontent.aspx?tID=195342","http://bbs.12365auto.com/postcontent.aspx?tID=195342")</f>
        <v>http://bbs.12365auto.com/postcontent.aspx?tID=195342</v>
      </c>
      <c r="G1348" s="2"/>
      <c r="H1348" s="2" t="s">
        <v>2030</v>
      </c>
      <c r="I1348" s="2" t="s">
        <v>15</v>
      </c>
      <c r="J1348" s="2" t="s">
        <v>2009</v>
      </c>
      <c r="K1348" s="2" t="s">
        <v>2026</v>
      </c>
      <c r="L1348" s="2">
        <f t="shared" si="21"/>
        <v>150</v>
      </c>
    </row>
    <row r="1349" spans="1:12" ht="25" customHeight="1">
      <c r="A1349" s="2" t="s">
        <v>12</v>
      </c>
      <c r="B1349" s="2" t="str">
        <f>HYPERLINK("http://bbs.12365auto.com/postcontent.aspx?tID=195344","Polestar Precept 试图重新定义“豪华”")</f>
        <v>Polestar Precept 试图重新定义“豪华”</v>
      </c>
      <c r="C1349" s="2" t="s">
        <v>13</v>
      </c>
      <c r="D1349" s="2" t="s">
        <v>12</v>
      </c>
      <c r="E1349" s="2" t="s">
        <v>28</v>
      </c>
      <c r="F1349" s="2" t="str">
        <f>HYPERLINK("http://bbs.12365auto.com/postcontent.aspx?tID=195344","http://bbs.12365auto.com/postcontent.aspx?tID=195344")</f>
        <v>http://bbs.12365auto.com/postcontent.aspx?tID=195344</v>
      </c>
      <c r="G1349" s="2"/>
      <c r="H1349" s="2" t="s">
        <v>2031</v>
      </c>
      <c r="I1349" s="2" t="s">
        <v>15</v>
      </c>
      <c r="J1349" s="2" t="s">
        <v>2009</v>
      </c>
      <c r="K1349" s="2" t="s">
        <v>2026</v>
      </c>
      <c r="L1349" s="2">
        <f t="shared" si="21"/>
        <v>150</v>
      </c>
    </row>
    <row r="1350" spans="1:12" ht="25" customHeight="1">
      <c r="A1350" s="2" t="s">
        <v>12</v>
      </c>
      <c r="B1350" s="2" t="str">
        <f>HYPERLINK("http://bbs.12365auto.com/postcontent.aspx?tId=195340","小轮胎大门道 汽车轮胎改装不当很危险")</f>
        <v>小轮胎大门道 汽车轮胎改装不当很危险</v>
      </c>
      <c r="C1350" s="2" t="s">
        <v>13</v>
      </c>
      <c r="D1350" s="2" t="s">
        <v>12</v>
      </c>
      <c r="E1350" s="2" t="s">
        <v>27</v>
      </c>
      <c r="F1350" s="2" t="str">
        <f>HYPERLINK("http://bbs.12365auto.com/postcontent.aspx?tId=195340","http://bbs.12365auto.com/postcontent.aspx?tId=195340")</f>
        <v>http://bbs.12365auto.com/postcontent.aspx?tId=195340</v>
      </c>
      <c r="G1350" s="2"/>
      <c r="H1350" s="2" t="s">
        <v>2032</v>
      </c>
      <c r="I1350" s="2" t="s">
        <v>15</v>
      </c>
      <c r="J1350" s="2" t="s">
        <v>2009</v>
      </c>
      <c r="K1350" s="2" t="s">
        <v>2033</v>
      </c>
      <c r="L1350" s="2">
        <f t="shared" si="21"/>
        <v>150</v>
      </c>
    </row>
    <row r="1351" spans="1:12" ht="25" customHeight="1">
      <c r="A1351" s="2" t="s">
        <v>12</v>
      </c>
      <c r="B1351" s="2" t="str">
        <f>HYPERLINK("http://bbs.12365auto.com/postcontent.aspx?tId=195341","2021款AMG GLA 45首次亮相")</f>
        <v>2021款AMG GLA 45首次亮相</v>
      </c>
      <c r="C1351" s="2" t="s">
        <v>13</v>
      </c>
      <c r="D1351" s="2" t="s">
        <v>12</v>
      </c>
      <c r="E1351" s="2" t="s">
        <v>27</v>
      </c>
      <c r="F1351" s="2" t="str">
        <f>HYPERLINK("http://bbs.12365auto.com/postcontent.aspx?tId=195341","http://bbs.12365auto.com/postcontent.aspx?tId=195341")</f>
        <v>http://bbs.12365auto.com/postcontent.aspx?tId=195341</v>
      </c>
      <c r="G1351" s="2"/>
      <c r="H1351" s="2" t="s">
        <v>2034</v>
      </c>
      <c r="I1351" s="2" t="s">
        <v>15</v>
      </c>
      <c r="J1351" s="2" t="s">
        <v>2009</v>
      </c>
      <c r="K1351" s="2" t="s">
        <v>2033</v>
      </c>
      <c r="L1351" s="2">
        <f t="shared" si="21"/>
        <v>150</v>
      </c>
    </row>
    <row r="1352" spans="1:12" ht="25" customHeight="1">
      <c r="A1352" s="2" t="s">
        <v>12</v>
      </c>
      <c r="B1352" s="2" t="str">
        <f>HYPERLINK("http://bbs.12365auto.com/postcontent.aspx?tID=195340","小轮胎大门道 汽车轮胎改装不当很危险")</f>
        <v>小轮胎大门道 汽车轮胎改装不当很危险</v>
      </c>
      <c r="C1352" s="2" t="s">
        <v>13</v>
      </c>
      <c r="D1352" s="2" t="s">
        <v>12</v>
      </c>
      <c r="E1352" s="2" t="s">
        <v>28</v>
      </c>
      <c r="F1352" s="2" t="str">
        <f>HYPERLINK("http://bbs.12365auto.com/postcontent.aspx?tID=195340","http://bbs.12365auto.com/postcontent.aspx?tID=195340")</f>
        <v>http://bbs.12365auto.com/postcontent.aspx?tID=195340</v>
      </c>
      <c r="G1352" s="2"/>
      <c r="H1352" s="2" t="s">
        <v>2035</v>
      </c>
      <c r="I1352" s="2" t="s">
        <v>15</v>
      </c>
      <c r="J1352" s="2" t="s">
        <v>2009</v>
      </c>
      <c r="K1352" s="2" t="s">
        <v>2033</v>
      </c>
      <c r="L1352" s="2">
        <f t="shared" si="21"/>
        <v>150</v>
      </c>
    </row>
    <row r="1353" spans="1:12" ht="25" customHeight="1">
      <c r="A1353" s="2" t="s">
        <v>12</v>
      </c>
      <c r="B1353" s="2" t="str">
        <f>HYPERLINK("http://bbs.12365auto.com/postcontent.aspx?tID=195341","2021款AMG GLA 45首次亮相")</f>
        <v>2021款AMG GLA 45首次亮相</v>
      </c>
      <c r="C1353" s="2" t="s">
        <v>13</v>
      </c>
      <c r="D1353" s="2" t="s">
        <v>12</v>
      </c>
      <c r="E1353" s="2" t="s">
        <v>28</v>
      </c>
      <c r="F1353" s="2" t="str">
        <f>HYPERLINK("http://bbs.12365auto.com/postcontent.aspx?tID=195341","http://bbs.12365auto.com/postcontent.aspx?tID=195341")</f>
        <v>http://bbs.12365auto.com/postcontent.aspx?tID=195341</v>
      </c>
      <c r="G1353" s="2"/>
      <c r="H1353" s="2" t="s">
        <v>2036</v>
      </c>
      <c r="I1353" s="2" t="s">
        <v>15</v>
      </c>
      <c r="J1353" s="2" t="s">
        <v>2009</v>
      </c>
      <c r="K1353" s="2" t="s">
        <v>2033</v>
      </c>
      <c r="L1353" s="2">
        <f t="shared" si="21"/>
        <v>150</v>
      </c>
    </row>
    <row r="1354" spans="1:12" ht="25" customHeight="1">
      <c r="A1354" s="2" t="s">
        <v>12</v>
      </c>
      <c r="B1354" s="2" t="str">
        <f>HYPERLINK("http://www.12365auto.com/zlts/20200227/448949.shtml","斯柯达速派球笼螺丝断裂质保期内不予维修")</f>
        <v>斯柯达速派球笼螺丝断裂质保期内不予维修</v>
      </c>
      <c r="C1354" s="2" t="s">
        <v>13</v>
      </c>
      <c r="D1354" s="2" t="s">
        <v>12</v>
      </c>
      <c r="E1354" s="2" t="s">
        <v>17</v>
      </c>
      <c r="F1354" s="2" t="str">
        <f>HYPERLINK("http://www.12365auto.com/zlts/20200227/448949.shtml","http://www.12365auto.com/zlts/20200227/448949.shtml")</f>
        <v>http://www.12365auto.com/zlts/20200227/448949.shtml</v>
      </c>
      <c r="G1354" s="2"/>
      <c r="H1354" s="2" t="s">
        <v>2037</v>
      </c>
      <c r="I1354" s="2" t="s">
        <v>19</v>
      </c>
      <c r="J1354" s="2" t="s">
        <v>12</v>
      </c>
      <c r="K1354" s="2" t="s">
        <v>2038</v>
      </c>
      <c r="L1354" s="2">
        <f t="shared" si="21"/>
        <v>150</v>
      </c>
    </row>
    <row r="1355" spans="1:12" ht="25" customHeight="1">
      <c r="A1355" s="2" t="s">
        <v>12</v>
      </c>
      <c r="B1355" s="2" t="str">
        <f>HYPERLINK("http://www.12365auto.com/news/20200227/419663.shtml","推动规模量产 驭势科技获博世战略投资")</f>
        <v>推动规模量产 驭势科技获博世战略投资</v>
      </c>
      <c r="C1355" s="2" t="s">
        <v>13</v>
      </c>
      <c r="D1355" s="2" t="s">
        <v>12</v>
      </c>
      <c r="E1355" s="2" t="s">
        <v>276</v>
      </c>
      <c r="F1355" s="2" t="str">
        <f>HYPERLINK("http://www.12365auto.com/news/20200227/419663.shtml","http://www.12365auto.com/news/20200227/419663.shtml")</f>
        <v>http://www.12365auto.com/news/20200227/419663.shtml</v>
      </c>
      <c r="G1355" s="2"/>
      <c r="H1355" s="2" t="s">
        <v>2039</v>
      </c>
      <c r="I1355" s="2" t="s">
        <v>15</v>
      </c>
      <c r="J1355" s="2" t="s">
        <v>12</v>
      </c>
      <c r="K1355" s="2" t="s">
        <v>2040</v>
      </c>
      <c r="L1355" s="2">
        <f t="shared" si="21"/>
        <v>150</v>
      </c>
    </row>
    <row r="1356" spans="1:12" ht="25" customHeight="1">
      <c r="A1356" s="2" t="s">
        <v>12</v>
      </c>
      <c r="B1356" s="2" t="str">
        <f>HYPERLINK("http://m.12365auto.com/news/20200227/419663.shtml","推动规模量产 驭势科技获博世战略投资")</f>
        <v>推动规模量产 驭势科技获博世战略投资</v>
      </c>
      <c r="C1356" s="2" t="s">
        <v>13</v>
      </c>
      <c r="D1356" s="2" t="s">
        <v>12</v>
      </c>
      <c r="E1356" s="2"/>
      <c r="F1356" s="2" t="str">
        <f>HYPERLINK("http://m.12365auto.com/news/20200227/419663.shtml","http://m.12365auto.com/news/20200227/419663.shtml")</f>
        <v>http://m.12365auto.com/news/20200227/419663.shtml</v>
      </c>
      <c r="G1356" s="2"/>
      <c r="H1356" s="2" t="s">
        <v>2041</v>
      </c>
      <c r="I1356" s="2" t="s">
        <v>19</v>
      </c>
      <c r="J1356" s="2" t="s">
        <v>1188</v>
      </c>
      <c r="K1356" s="2" t="s">
        <v>2040</v>
      </c>
      <c r="L1356" s="2">
        <f t="shared" si="21"/>
        <v>150</v>
      </c>
    </row>
    <row r="1357" spans="1:12" ht="25" customHeight="1">
      <c r="A1357" s="2" t="s">
        <v>12</v>
      </c>
      <c r="B1357" s="2" t="str">
        <f>HYPERLINK("http://m.12365auto.com/xcdg/20200227/419661.shtml","解读低配车 实拍长安CS85 COUPE 1.5T")</f>
        <v>解读低配车 实拍长安CS85 COUPE 1.5T</v>
      </c>
      <c r="C1357" s="2" t="s">
        <v>13</v>
      </c>
      <c r="D1357" s="2" t="s">
        <v>12</v>
      </c>
      <c r="E1357" s="2"/>
      <c r="F1357" s="2" t="str">
        <f>HYPERLINK("http://m.12365auto.com/xcdg/20200227/419661.shtml","http://m.12365auto.com/xcdg/20200227/419661.shtml")</f>
        <v>http://m.12365auto.com/xcdg/20200227/419661.shtml</v>
      </c>
      <c r="G1357" s="2"/>
      <c r="H1357" s="2" t="s">
        <v>2042</v>
      </c>
      <c r="I1357" s="2" t="s">
        <v>19</v>
      </c>
      <c r="J1357" s="2" t="s">
        <v>2043</v>
      </c>
      <c r="K1357" s="2" t="s">
        <v>2044</v>
      </c>
      <c r="L1357" s="2">
        <f t="shared" si="21"/>
        <v>150</v>
      </c>
    </row>
    <row r="1358" spans="1:12" ht="25" customHeight="1">
      <c r="A1358" s="2" t="s">
        <v>12</v>
      </c>
      <c r="B1358" s="2" t="str">
        <f>HYPERLINK("http://bbs.12365auto.com/postcontent.aspx?tID=195339","奥迪A5改 LB 宽体 看上去如何")</f>
        <v>奥迪A5改 LB 宽体 看上去如何</v>
      </c>
      <c r="C1358" s="2" t="s">
        <v>13</v>
      </c>
      <c r="D1358" s="2" t="s">
        <v>12</v>
      </c>
      <c r="E1358" s="2" t="s">
        <v>28</v>
      </c>
      <c r="F1358" s="2" t="str">
        <f>HYPERLINK("http://bbs.12365auto.com/postcontent.aspx?tID=195339","http://bbs.12365auto.com/postcontent.aspx?tID=195339")</f>
        <v>http://bbs.12365auto.com/postcontent.aspx?tID=195339</v>
      </c>
      <c r="G1358" s="2"/>
      <c r="H1358" s="2" t="s">
        <v>2045</v>
      </c>
      <c r="I1358" s="2" t="s">
        <v>15</v>
      </c>
      <c r="J1358" s="2" t="s">
        <v>145</v>
      </c>
      <c r="K1358" s="2" t="s">
        <v>2046</v>
      </c>
      <c r="L1358" s="2">
        <f t="shared" si="21"/>
        <v>28</v>
      </c>
    </row>
    <row r="1359" spans="1:12" ht="25" customHeight="1">
      <c r="A1359" s="2" t="s">
        <v>12</v>
      </c>
      <c r="B1359" s="2" t="str">
        <f>HYPERLINK("http://m.12365auto.com/xcdg/20200227/419660.shtml","解读低配车 实拍X1 sDrive20Li 时尚型")</f>
        <v>解读低配车 实拍X1 sDrive20Li 时尚型</v>
      </c>
      <c r="C1359" s="2" t="s">
        <v>13</v>
      </c>
      <c r="D1359" s="2" t="s">
        <v>12</v>
      </c>
      <c r="E1359" s="2"/>
      <c r="F1359" s="2" t="str">
        <f>HYPERLINK("http://m.12365auto.com/xcdg/20200227/419660.shtml","http://m.12365auto.com/xcdg/20200227/419660.shtml")</f>
        <v>http://m.12365auto.com/xcdg/20200227/419660.shtml</v>
      </c>
      <c r="G1359" s="2"/>
      <c r="H1359" s="2" t="s">
        <v>2047</v>
      </c>
      <c r="I1359" s="2" t="s">
        <v>19</v>
      </c>
      <c r="J1359" s="2" t="s">
        <v>2048</v>
      </c>
      <c r="K1359" s="2" t="s">
        <v>2049</v>
      </c>
      <c r="L1359" s="2">
        <f t="shared" si="21"/>
        <v>150</v>
      </c>
    </row>
    <row r="1360" spans="1:12" ht="25" customHeight="1">
      <c r="A1360" s="2" t="s">
        <v>12</v>
      </c>
      <c r="B1360" s="2" t="str">
        <f>HYPERLINK("http://www.12365auto.com/news/20200227/419659.shtml","10分钟灭活 华域汽车推座舱杀菌方案")</f>
        <v>10分钟灭活 华域汽车推座舱杀菌方案</v>
      </c>
      <c r="C1360" s="2" t="s">
        <v>13</v>
      </c>
      <c r="D1360" s="2" t="s">
        <v>12</v>
      </c>
      <c r="E1360" s="2" t="s">
        <v>276</v>
      </c>
      <c r="F1360" s="2" t="str">
        <f>HYPERLINK("http://www.12365auto.com/news/20200227/419659.shtml","http://www.12365auto.com/news/20200227/419659.shtml")</f>
        <v>http://www.12365auto.com/news/20200227/419659.shtml</v>
      </c>
      <c r="G1360" s="2"/>
      <c r="H1360" s="2" t="s">
        <v>2050</v>
      </c>
      <c r="I1360" s="2" t="s">
        <v>15</v>
      </c>
      <c r="J1360" s="2" t="s">
        <v>12</v>
      </c>
      <c r="K1360" s="2" t="s">
        <v>2051</v>
      </c>
      <c r="L1360" s="2">
        <f t="shared" si="21"/>
        <v>150</v>
      </c>
    </row>
    <row r="1361" spans="1:12" ht="25" customHeight="1">
      <c r="A1361" s="2" t="s">
        <v>12</v>
      </c>
      <c r="B1361" s="2" t="str">
        <f>HYPERLINK("http://m.12365auto.com/news/20200227/419659.shtml","10分钟灭活 华域汽车推座舱杀菌方案")</f>
        <v>10分钟灭活 华域汽车推座舱杀菌方案</v>
      </c>
      <c r="C1361" s="2" t="s">
        <v>13</v>
      </c>
      <c r="D1361" s="2" t="s">
        <v>12</v>
      </c>
      <c r="E1361" s="2"/>
      <c r="F1361" s="2" t="str">
        <f>HYPERLINK("http://m.12365auto.com/news/20200227/419659.shtml","http://m.12365auto.com/news/20200227/419659.shtml")</f>
        <v>http://m.12365auto.com/news/20200227/419659.shtml</v>
      </c>
      <c r="G1361" s="2"/>
      <c r="H1361" s="2" t="s">
        <v>2052</v>
      </c>
      <c r="I1361" s="2" t="s">
        <v>19</v>
      </c>
      <c r="J1361" s="2" t="s">
        <v>1643</v>
      </c>
      <c r="K1361" s="2" t="s">
        <v>2051</v>
      </c>
      <c r="L1361" s="2">
        <f t="shared" si="21"/>
        <v>150</v>
      </c>
    </row>
    <row r="1362" spans="1:12" ht="25" customHeight="1">
      <c r="A1362" s="2" t="s">
        <v>12</v>
      </c>
      <c r="B1362" s="2" t="str">
        <f>HYPERLINK("http://www.12365auto.com/news/20200227/419657.shtml","同比增8.8% PSA集团2019年净利36亿欧元")</f>
        <v>同比增8.8% PSA集团2019年净利36亿欧元</v>
      </c>
      <c r="C1362" s="2" t="s">
        <v>13</v>
      </c>
      <c r="D1362" s="2" t="s">
        <v>12</v>
      </c>
      <c r="E1362" s="2" t="s">
        <v>276</v>
      </c>
      <c r="F1362" s="2" t="str">
        <f>HYPERLINK("http://www.12365auto.com/news/20200227/419657.shtml","http://www.12365auto.com/news/20200227/419657.shtml")</f>
        <v>http://www.12365auto.com/news/20200227/419657.shtml</v>
      </c>
      <c r="G1362" s="2"/>
      <c r="H1362" s="2" t="s">
        <v>2053</v>
      </c>
      <c r="I1362" s="2" t="s">
        <v>15</v>
      </c>
      <c r="J1362" s="2" t="s">
        <v>12</v>
      </c>
      <c r="K1362" s="2" t="s">
        <v>2054</v>
      </c>
      <c r="L1362" s="2">
        <f t="shared" si="21"/>
        <v>150</v>
      </c>
    </row>
    <row r="1363" spans="1:12" ht="25" customHeight="1">
      <c r="A1363" s="2" t="s">
        <v>12</v>
      </c>
      <c r="B1363" s="2" t="str">
        <f>HYPERLINK("http://m.12365auto.com/news/20200227/419657.shtml","同比增8.8% PSA集团2019年净利36亿欧元")</f>
        <v>同比增8.8% PSA集团2019年净利36亿欧元</v>
      </c>
      <c r="C1363" s="2" t="s">
        <v>13</v>
      </c>
      <c r="D1363" s="2" t="s">
        <v>12</v>
      </c>
      <c r="E1363" s="2"/>
      <c r="F1363" s="2" t="str">
        <f>HYPERLINK("http://m.12365auto.com/news/20200227/419657.shtml","http://m.12365auto.com/news/20200227/419657.shtml")</f>
        <v>http://m.12365auto.com/news/20200227/419657.shtml</v>
      </c>
      <c r="G1363" s="2"/>
      <c r="H1363" s="2" t="s">
        <v>2055</v>
      </c>
      <c r="I1363" s="2" t="s">
        <v>19</v>
      </c>
      <c r="J1363" s="2" t="s">
        <v>274</v>
      </c>
      <c r="K1363" s="2" t="s">
        <v>2054</v>
      </c>
      <c r="L1363" s="2">
        <f t="shared" si="21"/>
        <v>150</v>
      </c>
    </row>
    <row r="1364" spans="1:12" ht="25" customHeight="1">
      <c r="A1364" s="2" t="s">
        <v>12</v>
      </c>
      <c r="B1364" s="2" t="str">
        <f>HYPERLINK("http://www.12365auto.com/xcdg/20200227/419656.shtml","停产两年再复活 全新DS4海外测试谍照曝光")</f>
        <v>停产两年再复活 全新DS4海外测试谍照曝光</v>
      </c>
      <c r="C1364" s="2" t="s">
        <v>13</v>
      </c>
      <c r="D1364" s="2" t="s">
        <v>12</v>
      </c>
      <c r="E1364" s="2" t="s">
        <v>224</v>
      </c>
      <c r="F1364" s="2" t="str">
        <f>HYPERLINK("http://www.12365auto.com/xcdg/20200227/419656.shtml","http://www.12365auto.com/xcdg/20200227/419656.shtml")</f>
        <v>http://www.12365auto.com/xcdg/20200227/419656.shtml</v>
      </c>
      <c r="G1364" s="2"/>
      <c r="H1364" s="2" t="s">
        <v>2056</v>
      </c>
      <c r="I1364" s="2" t="s">
        <v>15</v>
      </c>
      <c r="J1364" s="2" t="s">
        <v>12</v>
      </c>
      <c r="K1364" s="2" t="s">
        <v>2057</v>
      </c>
      <c r="L1364" s="2">
        <f t="shared" si="21"/>
        <v>150</v>
      </c>
    </row>
    <row r="1365" spans="1:12" ht="25" customHeight="1">
      <c r="A1365" s="2" t="s">
        <v>12</v>
      </c>
      <c r="B1365" s="2" t="str">
        <f>HYPERLINK("http://m.12365auto.com/xcdg/20200227/419656.shtml","停产两年再复活 全新DS4海外测试谍照曝光")</f>
        <v>停产两年再复活 全新DS4海外测试谍照曝光</v>
      </c>
      <c r="C1365" s="2" t="s">
        <v>13</v>
      </c>
      <c r="D1365" s="2" t="s">
        <v>12</v>
      </c>
      <c r="E1365" s="2"/>
      <c r="F1365" s="2" t="str">
        <f>HYPERLINK("http://m.12365auto.com/xcdg/20200227/419656.shtml","http://m.12365auto.com/xcdg/20200227/419656.shtml")</f>
        <v>http://m.12365auto.com/xcdg/20200227/419656.shtml</v>
      </c>
      <c r="G1365" s="2"/>
      <c r="H1365" s="2" t="s">
        <v>2058</v>
      </c>
      <c r="I1365" s="2" t="s">
        <v>19</v>
      </c>
      <c r="J1365" s="2" t="s">
        <v>1558</v>
      </c>
      <c r="K1365" s="2" t="s">
        <v>2057</v>
      </c>
      <c r="L1365" s="2">
        <f t="shared" si="21"/>
        <v>150</v>
      </c>
    </row>
    <row r="1366" spans="1:12" ht="25" customHeight="1">
      <c r="A1366" s="2" t="s">
        <v>12</v>
      </c>
      <c r="B1366" s="2" t="str">
        <f>HYPERLINK("http://www.12365auto.com/zlts/20200227/448948.shtml","哈弗H9发动机烧机油厂家不予质保处理")</f>
        <v>哈弗H9发动机烧机油厂家不予质保处理</v>
      </c>
      <c r="C1366" s="2" t="s">
        <v>13</v>
      </c>
      <c r="D1366" s="2" t="s">
        <v>12</v>
      </c>
      <c r="E1366" s="2" t="s">
        <v>17</v>
      </c>
      <c r="F1366" s="2" t="str">
        <f>HYPERLINK("http://www.12365auto.com/zlts/20200227/448948.shtml","http://www.12365auto.com/zlts/20200227/448948.shtml")</f>
        <v>http://www.12365auto.com/zlts/20200227/448948.shtml</v>
      </c>
      <c r="G1366" s="2"/>
      <c r="H1366" s="2" t="s">
        <v>2059</v>
      </c>
      <c r="I1366" s="2" t="s">
        <v>19</v>
      </c>
      <c r="J1366" s="2" t="s">
        <v>12</v>
      </c>
      <c r="K1366" s="2" t="s">
        <v>2057</v>
      </c>
      <c r="L1366" s="2">
        <f t="shared" si="21"/>
        <v>150</v>
      </c>
    </row>
    <row r="1367" spans="1:12" ht="25" customHeight="1">
      <c r="A1367" s="2" t="s">
        <v>12</v>
      </c>
      <c r="B1367" s="2" t="str">
        <f>HYPERLINK("http://www.12365auto.com/xcdg/20200227/419665.shtml","全新凯迪拉克CT5-V实拍图发布 搭3.0T发动机")</f>
        <v>全新凯迪拉克CT5-V实拍图发布 搭3.0T发动机</v>
      </c>
      <c r="C1367" s="2" t="s">
        <v>13</v>
      </c>
      <c r="D1367" s="2" t="s">
        <v>12</v>
      </c>
      <c r="E1367" s="2" t="s">
        <v>216</v>
      </c>
      <c r="F1367" s="2" t="str">
        <f>HYPERLINK("http://www.12365auto.com/xcdg/20200227/419665.shtml","http://www.12365auto.com/xcdg/20200227/419665.shtml")</f>
        <v>http://www.12365auto.com/xcdg/20200227/419665.shtml</v>
      </c>
      <c r="G1367" s="2"/>
      <c r="H1367" s="2" t="s">
        <v>2060</v>
      </c>
      <c r="I1367" s="2" t="s">
        <v>15</v>
      </c>
      <c r="J1367" s="2" t="s">
        <v>12</v>
      </c>
      <c r="K1367" s="2" t="s">
        <v>2061</v>
      </c>
      <c r="L1367" s="2">
        <f t="shared" si="21"/>
        <v>150</v>
      </c>
    </row>
    <row r="1368" spans="1:12" ht="25" customHeight="1">
      <c r="A1368" s="2" t="s">
        <v>12</v>
      </c>
      <c r="B1368" s="2" t="str">
        <f>HYPERLINK("http://m.12365auto.com/xcdg/20200227/419665.shtml","全新凯迪拉克CT5-V实拍图发布 搭3.0T发动机")</f>
        <v>全新凯迪拉克CT5-V实拍图发布 搭3.0T发动机</v>
      </c>
      <c r="C1368" s="2" t="s">
        <v>13</v>
      </c>
      <c r="D1368" s="2" t="s">
        <v>12</v>
      </c>
      <c r="E1368" s="2"/>
      <c r="F1368" s="2" t="str">
        <f>HYPERLINK("http://m.12365auto.com/xcdg/20200227/419665.shtml","http://m.12365auto.com/xcdg/20200227/419665.shtml")</f>
        <v>http://m.12365auto.com/xcdg/20200227/419665.shtml</v>
      </c>
      <c r="G1368" s="2"/>
      <c r="H1368" s="2" t="s">
        <v>2062</v>
      </c>
      <c r="I1368" s="2" t="s">
        <v>19</v>
      </c>
      <c r="J1368" s="2" t="s">
        <v>1241</v>
      </c>
      <c r="K1368" s="2" t="s">
        <v>2061</v>
      </c>
      <c r="L1368" s="2">
        <f t="shared" si="21"/>
        <v>150</v>
      </c>
    </row>
    <row r="1369" spans="1:12" ht="25" customHeight="1">
      <c r="A1369" s="2" t="s">
        <v>12</v>
      </c>
      <c r="B1369" s="2" t="str">
        <f>HYPERLINK("http://www.12365auto.com/xcdg/20200227/419662.shtml","提供多种动力版本 奔驰EQA冬季路试谍照曝光")</f>
        <v>提供多种动力版本 奔驰EQA冬季路试谍照曝光</v>
      </c>
      <c r="C1369" s="2" t="s">
        <v>13</v>
      </c>
      <c r="D1369" s="2" t="s">
        <v>12</v>
      </c>
      <c r="E1369" s="2" t="s">
        <v>224</v>
      </c>
      <c r="F1369" s="2" t="str">
        <f>HYPERLINK("http://www.12365auto.com/xcdg/20200227/419662.shtml","http://www.12365auto.com/xcdg/20200227/419662.shtml")</f>
        <v>http://www.12365auto.com/xcdg/20200227/419662.shtml</v>
      </c>
      <c r="G1369" s="2"/>
      <c r="H1369" s="2" t="s">
        <v>2063</v>
      </c>
      <c r="I1369" s="2" t="s">
        <v>15</v>
      </c>
      <c r="J1369" s="2" t="s">
        <v>12</v>
      </c>
      <c r="K1369" s="2" t="s">
        <v>2064</v>
      </c>
      <c r="L1369" s="2">
        <f t="shared" si="21"/>
        <v>150</v>
      </c>
    </row>
    <row r="1370" spans="1:12" ht="25" customHeight="1">
      <c r="A1370" s="2" t="s">
        <v>12</v>
      </c>
      <c r="B1370" s="2" t="str">
        <f>HYPERLINK("http://m.12365auto.com/xcdg/20200227/419662.shtml","提供多种动力版本 奔驰EQA冬季路试谍照曝光")</f>
        <v>提供多种动力版本 奔驰EQA冬季路试谍照曝光</v>
      </c>
      <c r="C1370" s="2" t="s">
        <v>13</v>
      </c>
      <c r="D1370" s="2" t="s">
        <v>12</v>
      </c>
      <c r="E1370" s="2"/>
      <c r="F1370" s="2" t="str">
        <f>HYPERLINK("http://m.12365auto.com/xcdg/20200227/419662.shtml","http://m.12365auto.com/xcdg/20200227/419662.shtml")</f>
        <v>http://m.12365auto.com/xcdg/20200227/419662.shtml</v>
      </c>
      <c r="G1370" s="2"/>
      <c r="H1370" s="2" t="s">
        <v>2065</v>
      </c>
      <c r="I1370" s="2" t="s">
        <v>19</v>
      </c>
      <c r="J1370" s="2" t="s">
        <v>1230</v>
      </c>
      <c r="K1370" s="2" t="s">
        <v>2064</v>
      </c>
      <c r="L1370" s="2">
        <f t="shared" si="21"/>
        <v>150</v>
      </c>
    </row>
    <row r="1371" spans="1:12" ht="25" customHeight="1">
      <c r="A1371" s="2" t="s">
        <v>12</v>
      </c>
      <c r="B1371" s="2" t="str">
        <f>HYPERLINK("http://www.12365auto.com/zlts/20200227/448947.shtml","东风日产天籁车机显示器黑色边缘变质发白")</f>
        <v>东风日产天籁车机显示器黑色边缘变质发白</v>
      </c>
      <c r="C1371" s="2" t="s">
        <v>13</v>
      </c>
      <c r="D1371" s="2" t="s">
        <v>12</v>
      </c>
      <c r="E1371" s="2" t="s">
        <v>17</v>
      </c>
      <c r="F1371" s="2" t="str">
        <f>HYPERLINK("http://www.12365auto.com/zlts/20200227/448947.shtml","http://www.12365auto.com/zlts/20200227/448947.shtml")</f>
        <v>http://www.12365auto.com/zlts/20200227/448947.shtml</v>
      </c>
      <c r="G1371" s="2"/>
      <c r="H1371" s="2" t="s">
        <v>2066</v>
      </c>
      <c r="I1371" s="2" t="s">
        <v>15</v>
      </c>
      <c r="J1371" s="2" t="s">
        <v>12</v>
      </c>
      <c r="K1371" s="2" t="s">
        <v>2067</v>
      </c>
      <c r="L1371" s="2">
        <f t="shared" si="21"/>
        <v>150</v>
      </c>
    </row>
    <row r="1372" spans="1:12" ht="25" customHeight="1">
      <c r="A1372" s="2" t="s">
        <v>12</v>
      </c>
      <c r="B1372" s="2" t="str">
        <f>HYPERLINK("http://www.12365auto.com/xcdg/20200227/419654.shtml","竞争5系有戏么 DS 9插混版轿车即将发布")</f>
        <v>竞争5系有戏么 DS 9插混版轿车即将发布</v>
      </c>
      <c r="C1372" s="2" t="s">
        <v>13</v>
      </c>
      <c r="D1372" s="2" t="s">
        <v>12</v>
      </c>
      <c r="E1372" s="2" t="s">
        <v>216</v>
      </c>
      <c r="F1372" s="2" t="str">
        <f>HYPERLINK("http://www.12365auto.com/xcdg/20200227/419654.shtml","http://www.12365auto.com/xcdg/20200227/419654.shtml")</f>
        <v>http://www.12365auto.com/xcdg/20200227/419654.shtml</v>
      </c>
      <c r="G1372" s="2"/>
      <c r="H1372" s="2" t="s">
        <v>2068</v>
      </c>
      <c r="I1372" s="2" t="s">
        <v>15</v>
      </c>
      <c r="J1372" s="2" t="s">
        <v>12</v>
      </c>
      <c r="K1372" s="2" t="s">
        <v>2069</v>
      </c>
      <c r="L1372" s="2">
        <f t="shared" si="21"/>
        <v>150</v>
      </c>
    </row>
    <row r="1373" spans="1:12" ht="25" customHeight="1">
      <c r="A1373" s="2" t="s">
        <v>12</v>
      </c>
      <c r="B1373" s="2" t="str">
        <f>HYPERLINK("http://m.12365auto.com/xcdg/20200227/419654.shtml","竞争5系有戏么 DS 9插混版轿车即将发布")</f>
        <v>竞争5系有戏么 DS 9插混版轿车即将发布</v>
      </c>
      <c r="C1373" s="2" t="s">
        <v>13</v>
      </c>
      <c r="D1373" s="2" t="s">
        <v>12</v>
      </c>
      <c r="E1373" s="2"/>
      <c r="F1373" s="2" t="str">
        <f>HYPERLINK("http://m.12365auto.com/xcdg/20200227/419654.shtml","http://m.12365auto.com/xcdg/20200227/419654.shtml")</f>
        <v>http://m.12365auto.com/xcdg/20200227/419654.shtml</v>
      </c>
      <c r="G1373" s="2"/>
      <c r="H1373" s="2" t="s">
        <v>2070</v>
      </c>
      <c r="I1373" s="2" t="s">
        <v>19</v>
      </c>
      <c r="J1373" s="2" t="s">
        <v>1558</v>
      </c>
      <c r="K1373" s="2" t="s">
        <v>2069</v>
      </c>
      <c r="L1373" s="2">
        <f t="shared" si="21"/>
        <v>150</v>
      </c>
    </row>
    <row r="1374" spans="1:12" ht="25" customHeight="1">
      <c r="A1374" s="2" t="s">
        <v>12</v>
      </c>
      <c r="B1374" s="2" t="str">
        <f>HYPERLINK("http://www.12365auto.com/xcdg/20200227/419658.shtml","基于最新家族设计 奔奔E-Star发布尝鲜价")</f>
        <v>基于最新家族设计 奔奔E-Star发布尝鲜价</v>
      </c>
      <c r="C1374" s="2" t="s">
        <v>13</v>
      </c>
      <c r="D1374" s="2" t="s">
        <v>12</v>
      </c>
      <c r="E1374" s="2" t="s">
        <v>216</v>
      </c>
      <c r="F1374" s="2" t="str">
        <f>HYPERLINK("http://www.12365auto.com/xcdg/20200227/419658.shtml","http://www.12365auto.com/xcdg/20200227/419658.shtml")</f>
        <v>http://www.12365auto.com/xcdg/20200227/419658.shtml</v>
      </c>
      <c r="G1374" s="2"/>
      <c r="H1374" s="2" t="s">
        <v>2071</v>
      </c>
      <c r="I1374" s="2" t="s">
        <v>15</v>
      </c>
      <c r="J1374" s="2" t="s">
        <v>12</v>
      </c>
      <c r="K1374" s="2" t="s">
        <v>2072</v>
      </c>
      <c r="L1374" s="2">
        <f t="shared" si="21"/>
        <v>150</v>
      </c>
    </row>
    <row r="1375" spans="1:12" ht="25" customHeight="1">
      <c r="A1375" s="2" t="s">
        <v>12</v>
      </c>
      <c r="B1375" s="2" t="str">
        <f>HYPERLINK("http://m.12365auto.com/xcdg/20200227/419658.shtml","基于最新家族设计 奔奔E-Star发布尝鲜价")</f>
        <v>基于最新家族设计 奔奔E-Star发布尝鲜价</v>
      </c>
      <c r="C1375" s="2" t="s">
        <v>13</v>
      </c>
      <c r="D1375" s="2" t="s">
        <v>12</v>
      </c>
      <c r="E1375" s="2"/>
      <c r="F1375" s="2" t="str">
        <f>HYPERLINK("http://m.12365auto.com/xcdg/20200227/419658.shtml","http://m.12365auto.com/xcdg/20200227/419658.shtml")</f>
        <v>http://m.12365auto.com/xcdg/20200227/419658.shtml</v>
      </c>
      <c r="G1375" s="2"/>
      <c r="H1375" s="2" t="s">
        <v>2073</v>
      </c>
      <c r="I1375" s="2" t="s">
        <v>19</v>
      </c>
      <c r="J1375" s="2" t="s">
        <v>371</v>
      </c>
      <c r="K1375" s="2" t="s">
        <v>2072</v>
      </c>
      <c r="L1375" s="2">
        <f t="shared" si="21"/>
        <v>150</v>
      </c>
    </row>
    <row r="1376" spans="1:12" ht="25" customHeight="1">
      <c r="A1376" s="2" t="s">
        <v>12</v>
      </c>
      <c r="B1376" s="2" t="str">
        <f>HYPERLINK("http://www.12365auto.com/xcdg/20200227/419653.shtml","5月首发 玛莎拉蒂全新跑车官方命名公布")</f>
        <v>5月首发 玛莎拉蒂全新跑车官方命名公布</v>
      </c>
      <c r="C1376" s="2" t="s">
        <v>13</v>
      </c>
      <c r="D1376" s="2" t="s">
        <v>12</v>
      </c>
      <c r="E1376" s="2" t="s">
        <v>216</v>
      </c>
      <c r="F1376" s="2" t="str">
        <f>HYPERLINK("http://www.12365auto.com/xcdg/20200227/419653.shtml","http://www.12365auto.com/xcdg/20200227/419653.shtml")</f>
        <v>http://www.12365auto.com/xcdg/20200227/419653.shtml</v>
      </c>
      <c r="G1376" s="2"/>
      <c r="H1376" s="2" t="s">
        <v>2074</v>
      </c>
      <c r="I1376" s="2" t="s">
        <v>15</v>
      </c>
      <c r="J1376" s="2" t="s">
        <v>12</v>
      </c>
      <c r="K1376" s="2" t="s">
        <v>2075</v>
      </c>
      <c r="L1376" s="2">
        <f t="shared" si="21"/>
        <v>150</v>
      </c>
    </row>
    <row r="1377" spans="1:12" ht="25" customHeight="1">
      <c r="A1377" s="2" t="s">
        <v>12</v>
      </c>
      <c r="B1377" s="2" t="str">
        <f>HYPERLINK("http://m.12365auto.com/xcdg/20200227/419653.shtml","5月首发 玛莎拉蒂全新跑车官方命名公布")</f>
        <v>5月首发 玛莎拉蒂全新跑车官方命名公布</v>
      </c>
      <c r="C1377" s="2" t="s">
        <v>13</v>
      </c>
      <c r="D1377" s="2" t="s">
        <v>12</v>
      </c>
      <c r="E1377" s="2"/>
      <c r="F1377" s="2" t="str">
        <f>HYPERLINK("http://m.12365auto.com/xcdg/20200227/419653.shtml","http://m.12365auto.com/xcdg/20200227/419653.shtml")</f>
        <v>http://m.12365auto.com/xcdg/20200227/419653.shtml</v>
      </c>
      <c r="G1377" s="2"/>
      <c r="H1377" s="2" t="s">
        <v>2076</v>
      </c>
      <c r="I1377" s="2" t="s">
        <v>19</v>
      </c>
      <c r="J1377" s="2" t="s">
        <v>2077</v>
      </c>
      <c r="K1377" s="2" t="s">
        <v>2075</v>
      </c>
      <c r="L1377" s="2">
        <f t="shared" si="21"/>
        <v>150</v>
      </c>
    </row>
    <row r="1378" spans="1:12" ht="25" customHeight="1">
      <c r="A1378" s="2" t="s">
        <v>12</v>
      </c>
      <c r="B1378" s="2" t="str">
        <f>HYPERLINK("http://www.12365auto.com/xcdg/20200227/419655.shtml","预见未来 DS发布AERO SPORT LOUNGE概念车")</f>
        <v>预见未来 DS发布AERO SPORT LOUNGE概念车</v>
      </c>
      <c r="C1378" s="2" t="s">
        <v>13</v>
      </c>
      <c r="D1378" s="2" t="s">
        <v>12</v>
      </c>
      <c r="E1378" s="2" t="s">
        <v>216</v>
      </c>
      <c r="F1378" s="2" t="str">
        <f>HYPERLINK("http://www.12365auto.com/xcdg/20200227/419655.shtml","http://www.12365auto.com/xcdg/20200227/419655.shtml")</f>
        <v>http://www.12365auto.com/xcdg/20200227/419655.shtml</v>
      </c>
      <c r="G1378" s="2"/>
      <c r="H1378" s="2" t="s">
        <v>2078</v>
      </c>
      <c r="I1378" s="2" t="s">
        <v>15</v>
      </c>
      <c r="J1378" s="2" t="s">
        <v>12</v>
      </c>
      <c r="K1378" s="2" t="s">
        <v>2079</v>
      </c>
      <c r="L1378" s="2">
        <f t="shared" si="21"/>
        <v>150</v>
      </c>
    </row>
    <row r="1379" spans="1:12" ht="25" customHeight="1">
      <c r="A1379" s="2" t="s">
        <v>12</v>
      </c>
      <c r="B1379" s="2" t="str">
        <f>HYPERLINK("http://www.12365auto.com/news/20200227/419652.shtml","全球首个 现代起亚推出智能互联换挡系统")</f>
        <v>全球首个 现代起亚推出智能互联换挡系统</v>
      </c>
      <c r="C1379" s="2" t="s">
        <v>13</v>
      </c>
      <c r="D1379" s="2" t="s">
        <v>12</v>
      </c>
      <c r="E1379" s="2" t="s">
        <v>276</v>
      </c>
      <c r="F1379" s="2" t="str">
        <f>HYPERLINK("http://www.12365auto.com/news/20200227/419652.shtml","http://www.12365auto.com/news/20200227/419652.shtml")</f>
        <v>http://www.12365auto.com/news/20200227/419652.shtml</v>
      </c>
      <c r="G1379" s="2"/>
      <c r="H1379" s="2" t="s">
        <v>2080</v>
      </c>
      <c r="I1379" s="2" t="s">
        <v>15</v>
      </c>
      <c r="J1379" s="2" t="s">
        <v>12</v>
      </c>
      <c r="K1379" s="2" t="s">
        <v>2079</v>
      </c>
      <c r="L1379" s="2">
        <f t="shared" si="21"/>
        <v>150</v>
      </c>
    </row>
    <row r="1380" spans="1:12" ht="25" customHeight="1">
      <c r="A1380" s="2" t="s">
        <v>12</v>
      </c>
      <c r="B1380" s="2" t="str">
        <f>HYPERLINK("http://m.12365auto.com/news/20200227/419652.shtml","全球首个 现代起亚推出智能互联换挡系统")</f>
        <v>全球首个 现代起亚推出智能互联换挡系统</v>
      </c>
      <c r="C1380" s="2" t="s">
        <v>13</v>
      </c>
      <c r="D1380" s="2" t="s">
        <v>12</v>
      </c>
      <c r="E1380" s="2"/>
      <c r="F1380" s="2" t="str">
        <f>HYPERLINK("http://m.12365auto.com/news/20200227/419652.shtml","http://m.12365auto.com/news/20200227/419652.shtml")</f>
        <v>http://m.12365auto.com/news/20200227/419652.shtml</v>
      </c>
      <c r="G1380" s="2"/>
      <c r="H1380" s="2" t="s">
        <v>2081</v>
      </c>
      <c r="I1380" s="2" t="s">
        <v>19</v>
      </c>
      <c r="J1380" s="2" t="s">
        <v>2077</v>
      </c>
      <c r="K1380" s="2" t="s">
        <v>2079</v>
      </c>
      <c r="L1380" s="2">
        <f t="shared" si="21"/>
        <v>150</v>
      </c>
    </row>
    <row r="1381" spans="1:12" ht="25" customHeight="1">
      <c r="A1381" s="2" t="s">
        <v>12</v>
      </c>
      <c r="B1381" s="2" t="str">
        <f>HYPERLINK("http://www.12365auto.com/zlts/20200227/448946.shtml","一汽大众迈腾后防撞梁螺丝缺失有安全隐患")</f>
        <v>一汽大众迈腾后防撞梁螺丝缺失有安全隐患</v>
      </c>
      <c r="C1381" s="2" t="s">
        <v>13</v>
      </c>
      <c r="D1381" s="2" t="s">
        <v>12</v>
      </c>
      <c r="E1381" s="2" t="s">
        <v>17</v>
      </c>
      <c r="F1381" s="2" t="str">
        <f>HYPERLINK("http://www.12365auto.com/zlts/20200227/448946.shtml","http://www.12365auto.com/zlts/20200227/448946.shtml")</f>
        <v>http://www.12365auto.com/zlts/20200227/448946.shtml</v>
      </c>
      <c r="G1381" s="2"/>
      <c r="H1381" s="2" t="s">
        <v>2082</v>
      </c>
      <c r="I1381" s="2" t="s">
        <v>19</v>
      </c>
      <c r="J1381" s="2" t="s">
        <v>12</v>
      </c>
      <c r="K1381" s="2" t="s">
        <v>2083</v>
      </c>
      <c r="L1381" s="2">
        <f t="shared" si="21"/>
        <v>150</v>
      </c>
    </row>
    <row r="1382" spans="1:12" ht="25" customHeight="1">
      <c r="A1382" s="2" t="s">
        <v>12</v>
      </c>
      <c r="B1382" s="2" t="str">
        <f>HYPERLINK("http://www.12365auto.com/xcdg/20200227/419664.shtml","搭载高尔夫R引擎 大众Tiguan R渲染图曝光")</f>
        <v>搭载高尔夫R引擎 大众Tiguan R渲染图曝光</v>
      </c>
      <c r="C1382" s="2" t="s">
        <v>13</v>
      </c>
      <c r="D1382" s="2" t="s">
        <v>12</v>
      </c>
      <c r="E1382" s="2" t="s">
        <v>216</v>
      </c>
      <c r="F1382" s="2" t="str">
        <f>HYPERLINK("http://www.12365auto.com/xcdg/20200227/419664.shtml","http://www.12365auto.com/xcdg/20200227/419664.shtml")</f>
        <v>http://www.12365auto.com/xcdg/20200227/419664.shtml</v>
      </c>
      <c r="G1382" s="2"/>
      <c r="H1382" s="2" t="s">
        <v>2084</v>
      </c>
      <c r="I1382" s="2" t="s">
        <v>15</v>
      </c>
      <c r="J1382" s="2" t="s">
        <v>12</v>
      </c>
      <c r="K1382" s="2" t="s">
        <v>2083</v>
      </c>
      <c r="L1382" s="2">
        <f t="shared" si="21"/>
        <v>150</v>
      </c>
    </row>
    <row r="1383" spans="1:12" ht="25" customHeight="1">
      <c r="A1383" s="2" t="s">
        <v>12</v>
      </c>
      <c r="B1383" s="2" t="str">
        <f>HYPERLINK("http://www.12365auto.com/xcdg/20200227/419651.shtml","针对欧美市场 本田思域TYPE R推两款限量版")</f>
        <v>针对欧美市场 本田思域TYPE R推两款限量版</v>
      </c>
      <c r="C1383" s="2" t="s">
        <v>13</v>
      </c>
      <c r="D1383" s="2" t="s">
        <v>12</v>
      </c>
      <c r="E1383" s="2" t="s">
        <v>216</v>
      </c>
      <c r="F1383" s="2" t="str">
        <f>HYPERLINK("http://www.12365auto.com/xcdg/20200227/419651.shtml","http://www.12365auto.com/xcdg/20200227/419651.shtml")</f>
        <v>http://www.12365auto.com/xcdg/20200227/419651.shtml</v>
      </c>
      <c r="G1383" s="2"/>
      <c r="H1383" s="2" t="s">
        <v>2085</v>
      </c>
      <c r="I1383" s="2" t="s">
        <v>15</v>
      </c>
      <c r="J1383" s="2" t="s">
        <v>12</v>
      </c>
      <c r="K1383" s="2" t="s">
        <v>2083</v>
      </c>
      <c r="L1383" s="2">
        <f t="shared" si="21"/>
        <v>150</v>
      </c>
    </row>
    <row r="1384" spans="1:12" ht="25" customHeight="1">
      <c r="A1384" s="2" t="s">
        <v>12</v>
      </c>
      <c r="B1384" s="2" t="str">
        <f>HYPERLINK("http://m.12365auto.com/xcdg/20200227/419651.shtml","针对欧美市场 本田思域TYPE R推两款限量版")</f>
        <v>针对欧美市场 本田思域TYPE R推两款限量版</v>
      </c>
      <c r="C1384" s="2" t="s">
        <v>13</v>
      </c>
      <c r="D1384" s="2" t="s">
        <v>12</v>
      </c>
      <c r="E1384" s="2"/>
      <c r="F1384" s="2" t="str">
        <f>HYPERLINK("http://m.12365auto.com/xcdg/20200227/419651.shtml","http://m.12365auto.com/xcdg/20200227/419651.shtml")</f>
        <v>http://m.12365auto.com/xcdg/20200227/419651.shtml</v>
      </c>
      <c r="G1384" s="2"/>
      <c r="H1384" s="2" t="s">
        <v>2086</v>
      </c>
      <c r="I1384" s="2" t="s">
        <v>19</v>
      </c>
      <c r="J1384" s="2" t="s">
        <v>2077</v>
      </c>
      <c r="K1384" s="2" t="s">
        <v>2083</v>
      </c>
      <c r="L1384" s="2">
        <f t="shared" si="21"/>
        <v>150</v>
      </c>
    </row>
    <row r="1385" spans="1:12" ht="25" customHeight="1">
      <c r="A1385" s="2" t="s">
        <v>12</v>
      </c>
      <c r="B1385" s="2" t="str">
        <f>HYPERLINK("http://m.12365auto.com/xcdg/20200227/419664.shtml","搭载高尔夫R引擎 大众Tiguan R渲染图曝光")</f>
        <v>搭载高尔夫R引擎 大众Tiguan R渲染图曝光</v>
      </c>
      <c r="C1385" s="2" t="s">
        <v>13</v>
      </c>
      <c r="D1385" s="2" t="s">
        <v>12</v>
      </c>
      <c r="E1385" s="2"/>
      <c r="F1385" s="2" t="str">
        <f>HYPERLINK("http://m.12365auto.com/xcdg/20200227/419664.shtml","http://m.12365auto.com/xcdg/20200227/419664.shtml")</f>
        <v>http://m.12365auto.com/xcdg/20200227/419664.shtml</v>
      </c>
      <c r="G1385" s="2"/>
      <c r="H1385" s="2" t="s">
        <v>2087</v>
      </c>
      <c r="I1385" s="2" t="s">
        <v>19</v>
      </c>
      <c r="J1385" s="2" t="s">
        <v>369</v>
      </c>
      <c r="K1385" s="2" t="s">
        <v>2083</v>
      </c>
      <c r="L1385" s="2">
        <f t="shared" si="21"/>
        <v>150</v>
      </c>
    </row>
    <row r="1386" spans="1:12" ht="25" customHeight="1">
      <c r="A1386" s="2" t="s">
        <v>12</v>
      </c>
      <c r="B1386" s="2" t="str">
        <f>HYPERLINK("http://www.12365auto.com/xcdg/20200227/419650.shtml","增加48V轻混技术 新款沃尔沃S90/V90发布")</f>
        <v>增加48V轻混技术 新款沃尔沃S90/V90发布</v>
      </c>
      <c r="C1386" s="2" t="s">
        <v>13</v>
      </c>
      <c r="D1386" s="2" t="s">
        <v>12</v>
      </c>
      <c r="E1386" s="2" t="s">
        <v>216</v>
      </c>
      <c r="F1386" s="2" t="str">
        <f>HYPERLINK("http://www.12365auto.com/xcdg/20200227/419650.shtml","http://www.12365auto.com/xcdg/20200227/419650.shtml")</f>
        <v>http://www.12365auto.com/xcdg/20200227/419650.shtml</v>
      </c>
      <c r="G1386" s="2"/>
      <c r="H1386" s="2" t="s">
        <v>2088</v>
      </c>
      <c r="I1386" s="2" t="s">
        <v>15</v>
      </c>
      <c r="J1386" s="2" t="s">
        <v>12</v>
      </c>
      <c r="K1386" s="2" t="s">
        <v>2089</v>
      </c>
      <c r="L1386" s="2">
        <f t="shared" si="21"/>
        <v>150</v>
      </c>
    </row>
    <row r="1387" spans="1:12" ht="25" customHeight="1">
      <c r="A1387" s="2" t="s">
        <v>12</v>
      </c>
      <c r="B1387" s="2" t="str">
        <f>HYPERLINK("http://m.12365auto.com/xcdg/20200227/419650.shtml","增加48V轻混技术 新款沃尔沃S90/V90发布")</f>
        <v>增加48V轻混技术 新款沃尔沃S90/V90发布</v>
      </c>
      <c r="C1387" s="2" t="s">
        <v>13</v>
      </c>
      <c r="D1387" s="2" t="s">
        <v>12</v>
      </c>
      <c r="E1387" s="2"/>
      <c r="F1387" s="2" t="str">
        <f>HYPERLINK("http://m.12365auto.com/xcdg/20200227/419650.shtml","http://m.12365auto.com/xcdg/20200227/419650.shtml")</f>
        <v>http://m.12365auto.com/xcdg/20200227/419650.shtml</v>
      </c>
      <c r="G1387" s="2"/>
      <c r="H1387" s="2" t="s">
        <v>2090</v>
      </c>
      <c r="I1387" s="2" t="s">
        <v>19</v>
      </c>
      <c r="J1387" s="2" t="s">
        <v>1558</v>
      </c>
      <c r="K1387" s="2" t="s">
        <v>2089</v>
      </c>
      <c r="L1387" s="2">
        <f t="shared" si="21"/>
        <v>150</v>
      </c>
    </row>
    <row r="1388" spans="1:12" ht="25" customHeight="1">
      <c r="A1388" s="2" t="s">
        <v>12</v>
      </c>
      <c r="B1388" s="2" t="str">
        <f>HYPERLINK("http://bbs.12365auto.com/postcontent.aspx?tId=195338","昊锐的异味问题真的是太多了")</f>
        <v>昊锐的异味问题真的是太多了</v>
      </c>
      <c r="C1388" s="2" t="s">
        <v>13</v>
      </c>
      <c r="D1388" s="2" t="s">
        <v>12</v>
      </c>
      <c r="E1388" s="2" t="s">
        <v>66</v>
      </c>
      <c r="F1388" s="2" t="str">
        <f>HYPERLINK("http://bbs.12365auto.com/postcontent.aspx?tId=195338","http://bbs.12365auto.com/postcontent.aspx?tId=195338")</f>
        <v>http://bbs.12365auto.com/postcontent.aspx?tId=195338</v>
      </c>
      <c r="G1388" s="2"/>
      <c r="H1388" s="2" t="s">
        <v>2091</v>
      </c>
      <c r="I1388" s="2" t="s">
        <v>15</v>
      </c>
      <c r="J1388" s="2" t="s">
        <v>2092</v>
      </c>
      <c r="K1388" s="2" t="s">
        <v>2093</v>
      </c>
      <c r="L1388" s="2">
        <f t="shared" si="21"/>
        <v>150</v>
      </c>
    </row>
    <row r="1389" spans="1:12" ht="25" customHeight="1">
      <c r="A1389" s="2" t="s">
        <v>12</v>
      </c>
      <c r="B1389" s="2" t="str">
        <f>HYPERLINK("http://bbs.12365auto.com/postcontent.aspx?tID=195338","昊锐的异味问题真的是太多了")</f>
        <v>昊锐的异味问题真的是太多了</v>
      </c>
      <c r="C1389" s="2" t="s">
        <v>13</v>
      </c>
      <c r="D1389" s="2" t="s">
        <v>12</v>
      </c>
      <c r="E1389" s="2" t="s">
        <v>67</v>
      </c>
      <c r="F1389" s="2" t="str">
        <f>HYPERLINK("http://bbs.12365auto.com/postcontent.aspx?tID=195338","http://bbs.12365auto.com/postcontent.aspx?tID=195338")</f>
        <v>http://bbs.12365auto.com/postcontent.aspx?tID=195338</v>
      </c>
      <c r="G1389" s="2"/>
      <c r="H1389" s="2" t="s">
        <v>2094</v>
      </c>
      <c r="I1389" s="2" t="s">
        <v>15</v>
      </c>
      <c r="J1389" s="2" t="s">
        <v>2092</v>
      </c>
      <c r="K1389" s="2" t="s">
        <v>2093</v>
      </c>
      <c r="L1389" s="2">
        <f t="shared" si="21"/>
        <v>150</v>
      </c>
    </row>
    <row r="1390" spans="1:12" ht="25" customHeight="1">
      <c r="A1390" s="2" t="s">
        <v>12</v>
      </c>
      <c r="B1390" s="2" t="str">
        <f>HYPERLINK("http://m.12365auto.com/bbs/postcontent.aspx?tID=195338","昊锐的异味问题真的是太多了")</f>
        <v>昊锐的异味问题真的是太多了</v>
      </c>
      <c r="C1390" s="2" t="s">
        <v>13</v>
      </c>
      <c r="D1390" s="2" t="s">
        <v>23</v>
      </c>
      <c r="E1390" s="2"/>
      <c r="F1390" s="2" t="str">
        <f>HYPERLINK("http://m.12365auto.com/bbs/postcontent.aspx?tID=195338","http://m.12365auto.com/bbs/postcontent.aspx?tID=195338")</f>
        <v>http://m.12365auto.com/bbs/postcontent.aspx?tID=195338</v>
      </c>
      <c r="G1390" s="2"/>
      <c r="H1390" s="2" t="s">
        <v>2091</v>
      </c>
      <c r="I1390" s="2" t="s">
        <v>15</v>
      </c>
      <c r="J1390" s="2" t="s">
        <v>2092</v>
      </c>
      <c r="K1390" s="2" t="s">
        <v>2093</v>
      </c>
      <c r="L1390" s="2">
        <f t="shared" si="21"/>
        <v>150</v>
      </c>
    </row>
    <row r="1391" spans="1:12" ht="25" customHeight="1">
      <c r="A1391" s="2" t="s">
        <v>12</v>
      </c>
      <c r="B1391" s="2" t="str">
        <f>HYPERLINK("http://bbs.12365auto.com/postcontent.aspx?tId=195337","车门排水孔生锈如何处理？")</f>
        <v>车门排水孔生锈如何处理？</v>
      </c>
      <c r="C1391" s="2" t="s">
        <v>13</v>
      </c>
      <c r="D1391" s="2" t="s">
        <v>12</v>
      </c>
      <c r="E1391" s="2" t="s">
        <v>66</v>
      </c>
      <c r="F1391" s="2" t="str">
        <f>HYPERLINK("http://bbs.12365auto.com/postcontent.aspx?tId=195337","http://bbs.12365auto.com/postcontent.aspx?tId=195337")</f>
        <v>http://bbs.12365auto.com/postcontent.aspx?tId=195337</v>
      </c>
      <c r="G1391" s="2"/>
      <c r="H1391" s="2" t="s">
        <v>2095</v>
      </c>
      <c r="I1391" s="2" t="s">
        <v>15</v>
      </c>
      <c r="J1391" s="2" t="s">
        <v>2096</v>
      </c>
      <c r="K1391" s="2" t="s">
        <v>2097</v>
      </c>
      <c r="L1391" s="2">
        <f t="shared" si="21"/>
        <v>58</v>
      </c>
    </row>
    <row r="1392" spans="1:12" ht="25" customHeight="1">
      <c r="A1392" s="2" t="s">
        <v>12</v>
      </c>
      <c r="B1392" s="2" t="str">
        <f>HYPERLINK("http://bbs.12365auto.com/postcontent.aspx?tID=195337","车门排水孔生锈如何处理？")</f>
        <v>车门排水孔生锈如何处理？</v>
      </c>
      <c r="C1392" s="2" t="s">
        <v>13</v>
      </c>
      <c r="D1392" s="2" t="s">
        <v>12</v>
      </c>
      <c r="E1392" s="2" t="s">
        <v>67</v>
      </c>
      <c r="F1392" s="2" t="str">
        <f>HYPERLINK("http://bbs.12365auto.com/postcontent.aspx?tID=195337","http://bbs.12365auto.com/postcontent.aspx?tID=195337")</f>
        <v>http://bbs.12365auto.com/postcontent.aspx?tID=195337</v>
      </c>
      <c r="G1392" s="2"/>
      <c r="H1392" s="2" t="s">
        <v>2098</v>
      </c>
      <c r="I1392" s="2" t="s">
        <v>15</v>
      </c>
      <c r="J1392" s="2" t="s">
        <v>2096</v>
      </c>
      <c r="K1392" s="2" t="s">
        <v>2097</v>
      </c>
      <c r="L1392" s="2">
        <f t="shared" si="21"/>
        <v>70</v>
      </c>
    </row>
    <row r="1393" spans="1:12" ht="25" customHeight="1">
      <c r="A1393" s="2" t="s">
        <v>12</v>
      </c>
      <c r="B1393" s="2" t="str">
        <f>HYPERLINK("http://m.12365auto.com/bbs/postcontent.aspx?tID=195337","车门排水孔生锈如何处理？")</f>
        <v>车门排水孔生锈如何处理？</v>
      </c>
      <c r="C1393" s="2" t="s">
        <v>13</v>
      </c>
      <c r="D1393" s="2" t="s">
        <v>23</v>
      </c>
      <c r="E1393" s="2"/>
      <c r="F1393" s="2" t="str">
        <f>HYPERLINK("http://m.12365auto.com/bbs/postcontent.aspx?tID=195337","http://m.12365auto.com/bbs/postcontent.aspx?tID=195337")</f>
        <v>http://m.12365auto.com/bbs/postcontent.aspx?tID=195337</v>
      </c>
      <c r="G1393" s="2"/>
      <c r="H1393" s="2" t="s">
        <v>2095</v>
      </c>
      <c r="I1393" s="2" t="s">
        <v>15</v>
      </c>
      <c r="J1393" s="2" t="s">
        <v>2096</v>
      </c>
      <c r="K1393" s="2" t="s">
        <v>2097</v>
      </c>
      <c r="L1393" s="2">
        <f t="shared" si="21"/>
        <v>58</v>
      </c>
    </row>
    <row r="1394" spans="1:12" ht="25" customHeight="1">
      <c r="A1394" s="2" t="s">
        <v>12</v>
      </c>
      <c r="B1394" s="2" t="str">
        <f>HYPERLINK("http://bbs.12365auto.com/postcontent.aspx?tId=195335","凯美瑞发动机烧机油问题怎么解决？")</f>
        <v>凯美瑞发动机烧机油问题怎么解决？</v>
      </c>
      <c r="C1394" s="2" t="s">
        <v>13</v>
      </c>
      <c r="D1394" s="2" t="s">
        <v>12</v>
      </c>
      <c r="E1394" s="2" t="s">
        <v>66</v>
      </c>
      <c r="F1394" s="2" t="str">
        <f>HYPERLINK("http://bbs.12365auto.com/postcontent.aspx?tId=195335","http://bbs.12365auto.com/postcontent.aspx?tId=195335")</f>
        <v>http://bbs.12365auto.com/postcontent.aspx?tId=195335</v>
      </c>
      <c r="G1394" s="2"/>
      <c r="H1394" s="2" t="s">
        <v>2099</v>
      </c>
      <c r="I1394" s="2" t="s">
        <v>15</v>
      </c>
      <c r="J1394" s="2" t="s">
        <v>2100</v>
      </c>
      <c r="K1394" s="2" t="s">
        <v>2101</v>
      </c>
      <c r="L1394" s="2">
        <f t="shared" si="21"/>
        <v>150</v>
      </c>
    </row>
    <row r="1395" spans="1:12" ht="25" customHeight="1">
      <c r="A1395" s="2" t="s">
        <v>12</v>
      </c>
      <c r="B1395" s="2" t="str">
        <f>HYPERLINK("http://bbs.12365auto.com/postcontent.aspx?tId=195336","凯美瑞发动机漏油应该怎么处理？")</f>
        <v>凯美瑞发动机漏油应该怎么处理？</v>
      </c>
      <c r="C1395" s="2" t="s">
        <v>13</v>
      </c>
      <c r="D1395" s="2" t="s">
        <v>12</v>
      </c>
      <c r="E1395" s="2" t="s">
        <v>66</v>
      </c>
      <c r="F1395" s="2" t="str">
        <f>HYPERLINK("http://bbs.12365auto.com/postcontent.aspx?tId=195336","http://bbs.12365auto.com/postcontent.aspx?tId=195336")</f>
        <v>http://bbs.12365auto.com/postcontent.aspx?tId=195336</v>
      </c>
      <c r="G1395" s="2"/>
      <c r="H1395" s="2" t="s">
        <v>2102</v>
      </c>
      <c r="I1395" s="2" t="s">
        <v>15</v>
      </c>
      <c r="J1395" s="2" t="s">
        <v>2103</v>
      </c>
      <c r="K1395" s="2" t="s">
        <v>2101</v>
      </c>
      <c r="L1395" s="2">
        <f t="shared" si="21"/>
        <v>150</v>
      </c>
    </row>
    <row r="1396" spans="1:12" ht="25" customHeight="1">
      <c r="A1396" s="2" t="s">
        <v>12</v>
      </c>
      <c r="B1396" s="2" t="str">
        <f>HYPERLINK("http://bbs.12365auto.com/postcontent.aspx?tID=195335","凯美瑞发动机烧机油问题怎么解决？")</f>
        <v>凯美瑞发动机烧机油问题怎么解决？</v>
      </c>
      <c r="C1396" s="2" t="s">
        <v>13</v>
      </c>
      <c r="D1396" s="2" t="s">
        <v>12</v>
      </c>
      <c r="E1396" s="2" t="s">
        <v>67</v>
      </c>
      <c r="F1396" s="2" t="str">
        <f>HYPERLINK("http://bbs.12365auto.com/postcontent.aspx?tID=195335","http://bbs.12365auto.com/postcontent.aspx?tID=195335")</f>
        <v>http://bbs.12365auto.com/postcontent.aspx?tID=195335</v>
      </c>
      <c r="G1396" s="2"/>
      <c r="H1396" s="2" t="s">
        <v>2104</v>
      </c>
      <c r="I1396" s="2" t="s">
        <v>15</v>
      </c>
      <c r="J1396" s="2" t="s">
        <v>2100</v>
      </c>
      <c r="K1396" s="2" t="s">
        <v>2101</v>
      </c>
      <c r="L1396" s="2">
        <f t="shared" si="21"/>
        <v>150</v>
      </c>
    </row>
    <row r="1397" spans="1:12" ht="25" customHeight="1">
      <c r="A1397" s="2" t="s">
        <v>12</v>
      </c>
      <c r="B1397" s="2" t="str">
        <f>HYPERLINK("http://bbs.12365auto.com/postcontent.aspx?tID=195336","凯美瑞发动机漏油应该怎么处理？")</f>
        <v>凯美瑞发动机漏油应该怎么处理？</v>
      </c>
      <c r="C1397" s="2" t="s">
        <v>13</v>
      </c>
      <c r="D1397" s="2" t="s">
        <v>12</v>
      </c>
      <c r="E1397" s="2" t="s">
        <v>67</v>
      </c>
      <c r="F1397" s="2" t="str">
        <f>HYPERLINK("http://bbs.12365auto.com/postcontent.aspx?tID=195336","http://bbs.12365auto.com/postcontent.aspx?tID=195336")</f>
        <v>http://bbs.12365auto.com/postcontent.aspx?tID=195336</v>
      </c>
      <c r="G1397" s="2"/>
      <c r="H1397" s="2" t="s">
        <v>2105</v>
      </c>
      <c r="I1397" s="2" t="s">
        <v>15</v>
      </c>
      <c r="J1397" s="2" t="s">
        <v>2103</v>
      </c>
      <c r="K1397" s="2" t="s">
        <v>2101</v>
      </c>
      <c r="L1397" s="2">
        <f t="shared" si="21"/>
        <v>150</v>
      </c>
    </row>
    <row r="1398" spans="1:12" ht="25" customHeight="1">
      <c r="A1398" s="2" t="s">
        <v>12</v>
      </c>
      <c r="B1398" s="2" t="str">
        <f>HYPERLINK("http://m.12365auto.com/bbs/postcontent.aspx?tID=195336","凯美瑞发动机漏油应该怎么处理？")</f>
        <v>凯美瑞发动机漏油应该怎么处理？</v>
      </c>
      <c r="C1398" s="2" t="s">
        <v>13</v>
      </c>
      <c r="D1398" s="2" t="s">
        <v>23</v>
      </c>
      <c r="E1398" s="2"/>
      <c r="F1398" s="2" t="str">
        <f>HYPERLINK("http://m.12365auto.com/bbs/postcontent.aspx?tID=195336","http://m.12365auto.com/bbs/postcontent.aspx?tID=195336")</f>
        <v>http://m.12365auto.com/bbs/postcontent.aspx?tID=195336</v>
      </c>
      <c r="G1398" s="2"/>
      <c r="H1398" s="2" t="s">
        <v>2102</v>
      </c>
      <c r="I1398" s="2" t="s">
        <v>15</v>
      </c>
      <c r="J1398" s="2" t="s">
        <v>2103</v>
      </c>
      <c r="K1398" s="2" t="s">
        <v>2101</v>
      </c>
      <c r="L1398" s="2">
        <f t="shared" si="21"/>
        <v>150</v>
      </c>
    </row>
    <row r="1399" spans="1:12" ht="25" customHeight="1">
      <c r="A1399" s="2" t="s">
        <v>12</v>
      </c>
      <c r="B1399" s="2" t="str">
        <f>HYPERLINK("http://m.12365auto.com/bbs/postcontent.aspx?tID=195335","凯美瑞发动机烧机油问题怎么解决？")</f>
        <v>凯美瑞发动机烧机油问题怎么解决？</v>
      </c>
      <c r="C1399" s="2" t="s">
        <v>13</v>
      </c>
      <c r="D1399" s="2" t="s">
        <v>23</v>
      </c>
      <c r="E1399" s="2"/>
      <c r="F1399" s="2" t="str">
        <f>HYPERLINK("http://m.12365auto.com/bbs/postcontent.aspx?tID=195335","http://m.12365auto.com/bbs/postcontent.aspx?tID=195335")</f>
        <v>http://m.12365auto.com/bbs/postcontent.aspx?tID=195335</v>
      </c>
      <c r="G1399" s="2"/>
      <c r="H1399" s="2" t="s">
        <v>2099</v>
      </c>
      <c r="I1399" s="2" t="s">
        <v>15</v>
      </c>
      <c r="J1399" s="2" t="s">
        <v>2100</v>
      </c>
      <c r="K1399" s="2" t="s">
        <v>2101</v>
      </c>
      <c r="L1399" s="2">
        <f t="shared" si="21"/>
        <v>150</v>
      </c>
    </row>
    <row r="1400" spans="1:12" ht="25" customHeight="1">
      <c r="A1400" s="2" t="s">
        <v>12</v>
      </c>
      <c r="B1400" s="2" t="str">
        <f>HYPERLINK("http://bbs.12365auto.com/postcontent.aspx?tId=195334","免费保养不予兑现怎么解决？")</f>
        <v>免费保养不予兑现怎么解决？</v>
      </c>
      <c r="C1400" s="2" t="s">
        <v>13</v>
      </c>
      <c r="D1400" s="2" t="s">
        <v>12</v>
      </c>
      <c r="E1400" s="2" t="s">
        <v>66</v>
      </c>
      <c r="F1400" s="2" t="str">
        <f>HYPERLINK("http://bbs.12365auto.com/postcontent.aspx?tId=195334","http://bbs.12365auto.com/postcontent.aspx?tId=195334")</f>
        <v>http://bbs.12365auto.com/postcontent.aspx?tId=195334</v>
      </c>
      <c r="G1400" s="2"/>
      <c r="H1400" s="2" t="s">
        <v>2106</v>
      </c>
      <c r="I1400" s="2" t="s">
        <v>15</v>
      </c>
      <c r="J1400" s="2" t="s">
        <v>2107</v>
      </c>
      <c r="K1400" s="2" t="s">
        <v>2108</v>
      </c>
      <c r="L1400" s="2">
        <f t="shared" si="21"/>
        <v>48</v>
      </c>
    </row>
    <row r="1401" spans="1:12" ht="25" customHeight="1">
      <c r="A1401" s="2" t="s">
        <v>12</v>
      </c>
      <c r="B1401" s="2" t="str">
        <f>HYPERLINK("http://bbs.12365auto.com/postcontent.aspx?tID=195334","免费保养不予兑现怎么解决？")</f>
        <v>免费保养不予兑现怎么解决？</v>
      </c>
      <c r="C1401" s="2" t="s">
        <v>13</v>
      </c>
      <c r="D1401" s="2" t="s">
        <v>12</v>
      </c>
      <c r="E1401" s="2" t="s">
        <v>67</v>
      </c>
      <c r="F1401" s="2" t="str">
        <f>HYPERLINK("http://bbs.12365auto.com/postcontent.aspx?tID=195334","http://bbs.12365auto.com/postcontent.aspx?tID=195334")</f>
        <v>http://bbs.12365auto.com/postcontent.aspx?tID=195334</v>
      </c>
      <c r="G1401" s="2"/>
      <c r="H1401" s="2" t="s">
        <v>2109</v>
      </c>
      <c r="I1401" s="2" t="s">
        <v>15</v>
      </c>
      <c r="J1401" s="2" t="s">
        <v>2107</v>
      </c>
      <c r="K1401" s="2" t="s">
        <v>2108</v>
      </c>
      <c r="L1401" s="2">
        <f t="shared" si="21"/>
        <v>61</v>
      </c>
    </row>
    <row r="1402" spans="1:12" ht="25" customHeight="1">
      <c r="A1402" s="2" t="s">
        <v>12</v>
      </c>
      <c r="B1402" s="2" t="str">
        <f>HYPERLINK("http://m.12365auto.com/bbs/postcontent.aspx?tID=195334","免费保养不予兑现怎么解决？")</f>
        <v>免费保养不予兑现怎么解决？</v>
      </c>
      <c r="C1402" s="2" t="s">
        <v>13</v>
      </c>
      <c r="D1402" s="2" t="s">
        <v>23</v>
      </c>
      <c r="E1402" s="2"/>
      <c r="F1402" s="2" t="str">
        <f>HYPERLINK("http://m.12365auto.com/bbs/postcontent.aspx?tID=195334","http://m.12365auto.com/bbs/postcontent.aspx?tID=195334")</f>
        <v>http://m.12365auto.com/bbs/postcontent.aspx?tID=195334</v>
      </c>
      <c r="G1402" s="2"/>
      <c r="H1402" s="2" t="s">
        <v>2106</v>
      </c>
      <c r="I1402" s="2" t="s">
        <v>15</v>
      </c>
      <c r="J1402" s="2" t="s">
        <v>2107</v>
      </c>
      <c r="K1402" s="2" t="s">
        <v>2108</v>
      </c>
      <c r="L1402" s="2">
        <f t="shared" si="21"/>
        <v>48</v>
      </c>
    </row>
    <row r="1403" spans="1:12" ht="25" customHeight="1">
      <c r="A1403" s="2" t="s">
        <v>12</v>
      </c>
      <c r="B1403" s="2" t="str">
        <f>HYPERLINK("http://m.12365auto.com/zjdy/20200227/121687.shtml","落地14万以内雪铁龙有哪些车型值得推荐？")</f>
        <v>落地14万以内雪铁龙有哪些车型值得推荐？</v>
      </c>
      <c r="C1403" s="2" t="s">
        <v>13</v>
      </c>
      <c r="D1403" s="2" t="s">
        <v>12</v>
      </c>
      <c r="E1403" s="2"/>
      <c r="F1403" s="2" t="str">
        <f>HYPERLINK("http://m.12365auto.com/zjdy/20200227/121687.shtml","http://m.12365auto.com/zjdy/20200227/121687.shtml")</f>
        <v>http://m.12365auto.com/zjdy/20200227/121687.shtml</v>
      </c>
      <c r="G1403" s="2"/>
      <c r="H1403" s="2" t="s">
        <v>2110</v>
      </c>
      <c r="I1403" s="2" t="s">
        <v>19</v>
      </c>
      <c r="J1403" s="2" t="s">
        <v>12</v>
      </c>
      <c r="K1403" s="2" t="s">
        <v>2111</v>
      </c>
      <c r="L1403" s="2">
        <f t="shared" si="21"/>
        <v>26</v>
      </c>
    </row>
    <row r="1404" spans="1:12" ht="25" customHeight="1">
      <c r="A1404" s="2" t="s">
        <v>12</v>
      </c>
      <c r="B1404" s="2" t="str">
        <f>HYPERLINK("http://bbs.12365auto.com/postcontent.aspx?tId=195333","漆面存在色差应该如何处理？")</f>
        <v>漆面存在色差应该如何处理？</v>
      </c>
      <c r="C1404" s="2" t="s">
        <v>13</v>
      </c>
      <c r="D1404" s="2" t="s">
        <v>12</v>
      </c>
      <c r="E1404" s="2" t="s">
        <v>66</v>
      </c>
      <c r="F1404" s="2" t="str">
        <f>HYPERLINK("http://bbs.12365auto.com/postcontent.aspx?tId=195333","http://bbs.12365auto.com/postcontent.aspx?tId=195333")</f>
        <v>http://bbs.12365auto.com/postcontent.aspx?tId=195333</v>
      </c>
      <c r="G1404" s="2"/>
      <c r="H1404" s="2" t="s">
        <v>2112</v>
      </c>
      <c r="I1404" s="2" t="s">
        <v>15</v>
      </c>
      <c r="J1404" s="2" t="s">
        <v>2113</v>
      </c>
      <c r="K1404" s="2" t="s">
        <v>2114</v>
      </c>
      <c r="L1404" s="2">
        <f t="shared" si="21"/>
        <v>142</v>
      </c>
    </row>
    <row r="1405" spans="1:12" ht="25" customHeight="1">
      <c r="A1405" s="2" t="s">
        <v>12</v>
      </c>
      <c r="B1405" s="2" t="str">
        <f>HYPERLINK("http://bbs.12365auto.com/postcontent.aspx?tId=195332","全车部件生锈如何才能解决？")</f>
        <v>全车部件生锈如何才能解决？</v>
      </c>
      <c r="C1405" s="2" t="s">
        <v>13</v>
      </c>
      <c r="D1405" s="2" t="s">
        <v>12</v>
      </c>
      <c r="E1405" s="2" t="s">
        <v>66</v>
      </c>
      <c r="F1405" s="2" t="str">
        <f>HYPERLINK("http://bbs.12365auto.com/postcontent.aspx?tId=195332","http://bbs.12365auto.com/postcontent.aspx?tId=195332")</f>
        <v>http://bbs.12365auto.com/postcontent.aspx?tId=195332</v>
      </c>
      <c r="G1405" s="2"/>
      <c r="H1405" s="2" t="s">
        <v>2115</v>
      </c>
      <c r="I1405" s="2" t="s">
        <v>15</v>
      </c>
      <c r="J1405" s="2" t="s">
        <v>2116</v>
      </c>
      <c r="K1405" s="2" t="s">
        <v>2114</v>
      </c>
      <c r="L1405" s="2">
        <f t="shared" si="21"/>
        <v>150</v>
      </c>
    </row>
    <row r="1406" spans="1:12" ht="25" customHeight="1">
      <c r="A1406" s="2" t="s">
        <v>12</v>
      </c>
      <c r="B1406" s="2" t="str">
        <f>HYPERLINK("http://bbs.12365auto.com/postcontent.aspx?tID=195332","全车部件生锈如何才能解决？")</f>
        <v>全车部件生锈如何才能解决？</v>
      </c>
      <c r="C1406" s="2" t="s">
        <v>13</v>
      </c>
      <c r="D1406" s="2" t="s">
        <v>12</v>
      </c>
      <c r="E1406" s="2" t="s">
        <v>67</v>
      </c>
      <c r="F1406" s="2" t="str">
        <f>HYPERLINK("http://bbs.12365auto.com/postcontent.aspx?tID=195332","http://bbs.12365auto.com/postcontent.aspx?tID=195332")</f>
        <v>http://bbs.12365auto.com/postcontent.aspx?tID=195332</v>
      </c>
      <c r="G1406" s="2"/>
      <c r="H1406" s="2" t="s">
        <v>2117</v>
      </c>
      <c r="I1406" s="2" t="s">
        <v>15</v>
      </c>
      <c r="J1406" s="2" t="s">
        <v>2116</v>
      </c>
      <c r="K1406" s="2" t="s">
        <v>2114</v>
      </c>
      <c r="L1406" s="2">
        <f t="shared" si="21"/>
        <v>150</v>
      </c>
    </row>
    <row r="1407" spans="1:12" ht="25" customHeight="1">
      <c r="A1407" s="2" t="s">
        <v>12</v>
      </c>
      <c r="B1407" s="2" t="str">
        <f>HYPERLINK("http://bbs.12365auto.com/postcontent.aspx?tID=195333","漆面存在色差应该如何处理？")</f>
        <v>漆面存在色差应该如何处理？</v>
      </c>
      <c r="C1407" s="2" t="s">
        <v>13</v>
      </c>
      <c r="D1407" s="2" t="s">
        <v>12</v>
      </c>
      <c r="E1407" s="2" t="s">
        <v>67</v>
      </c>
      <c r="F1407" s="2" t="str">
        <f>HYPERLINK("http://bbs.12365auto.com/postcontent.aspx?tID=195333","http://bbs.12365auto.com/postcontent.aspx?tID=195333")</f>
        <v>http://bbs.12365auto.com/postcontent.aspx?tID=195333</v>
      </c>
      <c r="G1407" s="2"/>
      <c r="H1407" s="2" t="s">
        <v>2118</v>
      </c>
      <c r="I1407" s="2" t="s">
        <v>15</v>
      </c>
      <c r="J1407" s="2" t="s">
        <v>2113</v>
      </c>
      <c r="K1407" s="2" t="s">
        <v>2114</v>
      </c>
      <c r="L1407" s="2">
        <f t="shared" si="21"/>
        <v>150</v>
      </c>
    </row>
    <row r="1408" spans="1:12" ht="25" customHeight="1">
      <c r="A1408" s="2" t="s">
        <v>12</v>
      </c>
      <c r="B1408" s="2" t="str">
        <f>HYPERLINK("http://m.12365auto.com/bbs/postcontent.aspx?tID=195333","漆面存在色差应该如何处理？")</f>
        <v>漆面存在色差应该如何处理？</v>
      </c>
      <c r="C1408" s="2" t="s">
        <v>13</v>
      </c>
      <c r="D1408" s="2" t="s">
        <v>23</v>
      </c>
      <c r="E1408" s="2"/>
      <c r="F1408" s="2" t="str">
        <f>HYPERLINK("http://m.12365auto.com/bbs/postcontent.aspx?tID=195333","http://m.12365auto.com/bbs/postcontent.aspx?tID=195333")</f>
        <v>http://m.12365auto.com/bbs/postcontent.aspx?tID=195333</v>
      </c>
      <c r="G1408" s="2"/>
      <c r="H1408" s="2" t="s">
        <v>2112</v>
      </c>
      <c r="I1408" s="2" t="s">
        <v>15</v>
      </c>
      <c r="J1408" s="2" t="s">
        <v>2113</v>
      </c>
      <c r="K1408" s="2" t="s">
        <v>2114</v>
      </c>
      <c r="L1408" s="2">
        <f t="shared" si="21"/>
        <v>142</v>
      </c>
    </row>
    <row r="1409" spans="1:12" ht="25" customHeight="1">
      <c r="A1409" s="2" t="s">
        <v>12</v>
      </c>
      <c r="B1409" s="2" t="str">
        <f>HYPERLINK("http://m.12365auto.com/bbs/postcontent.aspx?tID=195332","全车部件生锈如何才能解决？")</f>
        <v>全车部件生锈如何才能解决？</v>
      </c>
      <c r="C1409" s="2" t="s">
        <v>13</v>
      </c>
      <c r="D1409" s="2" t="s">
        <v>23</v>
      </c>
      <c r="E1409" s="2"/>
      <c r="F1409" s="2" t="str">
        <f>HYPERLINK("http://m.12365auto.com/bbs/postcontent.aspx?tID=195332","http://m.12365auto.com/bbs/postcontent.aspx?tID=195332")</f>
        <v>http://m.12365auto.com/bbs/postcontent.aspx?tID=195332</v>
      </c>
      <c r="G1409" s="2"/>
      <c r="H1409" s="2" t="s">
        <v>2115</v>
      </c>
      <c r="I1409" s="2" t="s">
        <v>15</v>
      </c>
      <c r="J1409" s="2" t="s">
        <v>2116</v>
      </c>
      <c r="K1409" s="2" t="s">
        <v>2114</v>
      </c>
      <c r="L1409" s="2">
        <f t="shared" si="21"/>
        <v>150</v>
      </c>
    </row>
    <row r="1410" spans="1:12" ht="25" customHeight="1">
      <c r="A1410" s="2" t="s">
        <v>12</v>
      </c>
      <c r="B1410" s="2" t="str">
        <f>HYPERLINK("http://bbs.12365auto.com/postcontent.aspx?tId=195331","车灯不亮怎么才能解决？")</f>
        <v>车灯不亮怎么才能解决？</v>
      </c>
      <c r="C1410" s="2" t="s">
        <v>13</v>
      </c>
      <c r="D1410" s="2" t="s">
        <v>12</v>
      </c>
      <c r="E1410" s="2" t="s">
        <v>66</v>
      </c>
      <c r="F1410" s="2" t="str">
        <f>HYPERLINK("http://bbs.12365auto.com/postcontent.aspx?tId=195331","http://bbs.12365auto.com/postcontent.aspx?tId=195331")</f>
        <v>http://bbs.12365auto.com/postcontent.aspx?tId=195331</v>
      </c>
      <c r="G1410" s="2"/>
      <c r="H1410" s="2" t="s">
        <v>2119</v>
      </c>
      <c r="I1410" s="2" t="s">
        <v>15</v>
      </c>
      <c r="J1410" s="2" t="s">
        <v>2120</v>
      </c>
      <c r="K1410" s="2" t="s">
        <v>2121</v>
      </c>
      <c r="L1410" s="2">
        <f t="shared" si="21"/>
        <v>150</v>
      </c>
    </row>
    <row r="1411" spans="1:12" ht="25" customHeight="1">
      <c r="A1411" s="2" t="s">
        <v>12</v>
      </c>
      <c r="B1411" s="2" t="str">
        <f>HYPERLINK("http://bbs.12365auto.com/postcontent.aspx?tID=195331","车灯不亮怎么才能解决？")</f>
        <v>车灯不亮怎么才能解决？</v>
      </c>
      <c r="C1411" s="2" t="s">
        <v>13</v>
      </c>
      <c r="D1411" s="2" t="s">
        <v>12</v>
      </c>
      <c r="E1411" s="2" t="s">
        <v>67</v>
      </c>
      <c r="F1411" s="2" t="str">
        <f>HYPERLINK("http://bbs.12365auto.com/postcontent.aspx?tID=195331","http://bbs.12365auto.com/postcontent.aspx?tID=195331")</f>
        <v>http://bbs.12365auto.com/postcontent.aspx?tID=195331</v>
      </c>
      <c r="G1411" s="2"/>
      <c r="H1411" s="2" t="s">
        <v>2122</v>
      </c>
      <c r="I1411" s="2" t="s">
        <v>15</v>
      </c>
      <c r="J1411" s="2" t="s">
        <v>2120</v>
      </c>
      <c r="K1411" s="2" t="s">
        <v>2121</v>
      </c>
      <c r="L1411" s="2">
        <f t="shared" ref="L1411:L1474" si="22">LEN(H1411)</f>
        <v>150</v>
      </c>
    </row>
    <row r="1412" spans="1:12" ht="25" customHeight="1">
      <c r="A1412" s="2" t="s">
        <v>12</v>
      </c>
      <c r="B1412" s="2" t="str">
        <f>HYPERLINK("http://m.12365auto.com/bbs/postcontent.aspx?tID=195331","车灯不亮怎么才能解决？")</f>
        <v>车灯不亮怎么才能解决？</v>
      </c>
      <c r="C1412" s="2" t="s">
        <v>13</v>
      </c>
      <c r="D1412" s="2" t="s">
        <v>23</v>
      </c>
      <c r="E1412" s="2"/>
      <c r="F1412" s="2" t="str">
        <f>HYPERLINK("http://m.12365auto.com/bbs/postcontent.aspx?tID=195331","http://m.12365auto.com/bbs/postcontent.aspx?tID=195331")</f>
        <v>http://m.12365auto.com/bbs/postcontent.aspx?tID=195331</v>
      </c>
      <c r="G1412" s="2"/>
      <c r="H1412" s="2" t="s">
        <v>2119</v>
      </c>
      <c r="I1412" s="2" t="s">
        <v>15</v>
      </c>
      <c r="J1412" s="2" t="s">
        <v>2120</v>
      </c>
      <c r="K1412" s="2" t="s">
        <v>2121</v>
      </c>
      <c r="L1412" s="2">
        <f t="shared" si="22"/>
        <v>150</v>
      </c>
    </row>
    <row r="1413" spans="1:12" ht="25" customHeight="1">
      <c r="A1413" s="2" t="s">
        <v>12</v>
      </c>
      <c r="B1413" s="2" t="str">
        <f>HYPERLINK("http://bbs.12365auto.com/postcontent.aspx?tId=195330","变速箱阀体损坏怎么才能解决？")</f>
        <v>变速箱阀体损坏怎么才能解决？</v>
      </c>
      <c r="C1413" s="2" t="s">
        <v>13</v>
      </c>
      <c r="D1413" s="2" t="s">
        <v>12</v>
      </c>
      <c r="E1413" s="2" t="s">
        <v>66</v>
      </c>
      <c r="F1413" s="2" t="str">
        <f>HYPERLINK("http://bbs.12365auto.com/postcontent.aspx?tId=195330","http://bbs.12365auto.com/postcontent.aspx?tId=195330")</f>
        <v>http://bbs.12365auto.com/postcontent.aspx?tId=195330</v>
      </c>
      <c r="G1413" s="2"/>
      <c r="H1413" s="2" t="s">
        <v>2123</v>
      </c>
      <c r="I1413" s="2" t="s">
        <v>15</v>
      </c>
      <c r="J1413" s="2" t="s">
        <v>2124</v>
      </c>
      <c r="K1413" s="2" t="s">
        <v>2125</v>
      </c>
      <c r="L1413" s="2">
        <f t="shared" si="22"/>
        <v>113</v>
      </c>
    </row>
    <row r="1414" spans="1:12" ht="25" customHeight="1">
      <c r="A1414" s="2" t="s">
        <v>12</v>
      </c>
      <c r="B1414" s="2" t="str">
        <f>HYPERLINK("http://bbs.12365auto.com/postcontent.aspx?tID=195330","变速箱阀体损坏怎么才能解决？")</f>
        <v>变速箱阀体损坏怎么才能解决？</v>
      </c>
      <c r="C1414" s="2" t="s">
        <v>13</v>
      </c>
      <c r="D1414" s="2" t="s">
        <v>12</v>
      </c>
      <c r="E1414" s="2" t="s">
        <v>67</v>
      </c>
      <c r="F1414" s="2" t="str">
        <f>HYPERLINK("http://bbs.12365auto.com/postcontent.aspx?tID=195330","http://bbs.12365auto.com/postcontent.aspx?tID=195330")</f>
        <v>http://bbs.12365auto.com/postcontent.aspx?tID=195330</v>
      </c>
      <c r="G1414" s="2"/>
      <c r="H1414" s="2" t="s">
        <v>2126</v>
      </c>
      <c r="I1414" s="2" t="s">
        <v>15</v>
      </c>
      <c r="J1414" s="2" t="s">
        <v>2124</v>
      </c>
      <c r="K1414" s="2" t="s">
        <v>2125</v>
      </c>
      <c r="L1414" s="2">
        <f t="shared" si="22"/>
        <v>127</v>
      </c>
    </row>
    <row r="1415" spans="1:12" ht="25" customHeight="1">
      <c r="A1415" s="2" t="s">
        <v>12</v>
      </c>
      <c r="B1415" s="2" t="str">
        <f>HYPERLINK("http://m.12365auto.com/bbs/postcontent.aspx?tID=195330","变速箱阀体损坏怎么才能解决？")</f>
        <v>变速箱阀体损坏怎么才能解决？</v>
      </c>
      <c r="C1415" s="2" t="s">
        <v>13</v>
      </c>
      <c r="D1415" s="2" t="s">
        <v>23</v>
      </c>
      <c r="E1415" s="2"/>
      <c r="F1415" s="2" t="str">
        <f>HYPERLINK("http://m.12365auto.com/bbs/postcontent.aspx?tID=195330","http://m.12365auto.com/bbs/postcontent.aspx?tID=195330")</f>
        <v>http://m.12365auto.com/bbs/postcontent.aspx?tID=195330</v>
      </c>
      <c r="G1415" s="2"/>
      <c r="H1415" s="2" t="s">
        <v>2123</v>
      </c>
      <c r="I1415" s="2" t="s">
        <v>15</v>
      </c>
      <c r="J1415" s="2" t="s">
        <v>2124</v>
      </c>
      <c r="K1415" s="2" t="s">
        <v>2125</v>
      </c>
      <c r="L1415" s="2">
        <f t="shared" si="22"/>
        <v>113</v>
      </c>
    </row>
    <row r="1416" spans="1:12" ht="25" customHeight="1">
      <c r="A1416" s="2" t="s">
        <v>12</v>
      </c>
      <c r="B1416" s="2" t="str">
        <f>HYPERLINK("http://bbs.12365auto.com/postcontent.aspx?tId=195329","猎豹的问题确实是太多了， 怎么才能解决？")</f>
        <v>猎豹的问题确实是太多了， 怎么才能解决？</v>
      </c>
      <c r="C1416" s="2" t="s">
        <v>13</v>
      </c>
      <c r="D1416" s="2" t="s">
        <v>12</v>
      </c>
      <c r="E1416" s="2" t="s">
        <v>66</v>
      </c>
      <c r="F1416" s="2" t="str">
        <f>HYPERLINK("http://bbs.12365auto.com/postcontent.aspx?tId=195329","http://bbs.12365auto.com/postcontent.aspx?tId=195329")</f>
        <v>http://bbs.12365auto.com/postcontent.aspx?tId=195329</v>
      </c>
      <c r="G1416" s="2"/>
      <c r="H1416" s="2" t="s">
        <v>2127</v>
      </c>
      <c r="I1416" s="2" t="s">
        <v>15</v>
      </c>
      <c r="J1416" s="2" t="s">
        <v>2128</v>
      </c>
      <c r="K1416" s="2" t="s">
        <v>2129</v>
      </c>
      <c r="L1416" s="2">
        <f t="shared" si="22"/>
        <v>150</v>
      </c>
    </row>
    <row r="1417" spans="1:12" ht="25" customHeight="1">
      <c r="A1417" s="2" t="s">
        <v>12</v>
      </c>
      <c r="B1417" s="2" t="str">
        <f>HYPERLINK("http://bbs.12365auto.com/postcontent.aspx?tID=195329","猎豹的问题确实是太多了， 怎么才能解决？")</f>
        <v>猎豹的问题确实是太多了， 怎么才能解决？</v>
      </c>
      <c r="C1417" s="2" t="s">
        <v>13</v>
      </c>
      <c r="D1417" s="2" t="s">
        <v>12</v>
      </c>
      <c r="E1417" s="2" t="s">
        <v>67</v>
      </c>
      <c r="F1417" s="2" t="str">
        <f>HYPERLINK("http://bbs.12365auto.com/postcontent.aspx?tID=195329","http://bbs.12365auto.com/postcontent.aspx?tID=195329")</f>
        <v>http://bbs.12365auto.com/postcontent.aspx?tID=195329</v>
      </c>
      <c r="G1417" s="2"/>
      <c r="H1417" s="2" t="s">
        <v>2130</v>
      </c>
      <c r="I1417" s="2" t="s">
        <v>15</v>
      </c>
      <c r="J1417" s="2" t="s">
        <v>2128</v>
      </c>
      <c r="K1417" s="2" t="s">
        <v>2129</v>
      </c>
      <c r="L1417" s="2">
        <f t="shared" si="22"/>
        <v>150</v>
      </c>
    </row>
    <row r="1418" spans="1:12" ht="25" customHeight="1">
      <c r="A1418" s="2" t="s">
        <v>12</v>
      </c>
      <c r="B1418" s="2" t="str">
        <f>HYPERLINK("http://m.12365auto.com/bbs/postcontent.aspx?tID=195329","猎豹的问题确实是太多了， 怎么才能解决？")</f>
        <v>猎豹的问题确实是太多了， 怎么才能解决？</v>
      </c>
      <c r="C1418" s="2" t="s">
        <v>13</v>
      </c>
      <c r="D1418" s="2" t="s">
        <v>23</v>
      </c>
      <c r="E1418" s="2"/>
      <c r="F1418" s="2" t="str">
        <f>HYPERLINK("http://m.12365auto.com/bbs/postcontent.aspx?tID=195329","http://m.12365auto.com/bbs/postcontent.aspx?tID=195329")</f>
        <v>http://m.12365auto.com/bbs/postcontent.aspx?tID=195329</v>
      </c>
      <c r="G1418" s="2"/>
      <c r="H1418" s="2" t="s">
        <v>2127</v>
      </c>
      <c r="I1418" s="2" t="s">
        <v>15</v>
      </c>
      <c r="J1418" s="2" t="s">
        <v>2128</v>
      </c>
      <c r="K1418" s="2" t="s">
        <v>2129</v>
      </c>
      <c r="L1418" s="2">
        <f t="shared" si="22"/>
        <v>150</v>
      </c>
    </row>
    <row r="1419" spans="1:12" ht="25" customHeight="1">
      <c r="A1419" s="2" t="s">
        <v>12</v>
      </c>
      <c r="B1419" s="2" t="str">
        <f>HYPERLINK("http://m.12365auto.com/bbs/postcontent.aspx?tID=195328","标致207后桥变形会是通病吧！")</f>
        <v>标致207后桥变形会是通病吧！</v>
      </c>
      <c r="C1419" s="2" t="s">
        <v>13</v>
      </c>
      <c r="D1419" s="2" t="s">
        <v>23</v>
      </c>
      <c r="E1419" s="2"/>
      <c r="F1419" s="2" t="str">
        <f>HYPERLINK("http://m.12365auto.com/bbs/postcontent.aspx?tID=195328","http://m.12365auto.com/bbs/postcontent.aspx?tID=195328")</f>
        <v>http://m.12365auto.com/bbs/postcontent.aspx?tID=195328</v>
      </c>
      <c r="G1419" s="2"/>
      <c r="H1419" s="2" t="s">
        <v>2131</v>
      </c>
      <c r="I1419" s="2" t="s">
        <v>15</v>
      </c>
      <c r="J1419" s="2" t="s">
        <v>2132</v>
      </c>
      <c r="K1419" s="2" t="s">
        <v>2133</v>
      </c>
      <c r="L1419" s="2">
        <f t="shared" si="22"/>
        <v>150</v>
      </c>
    </row>
    <row r="1420" spans="1:12" ht="25" customHeight="1">
      <c r="A1420" s="2" t="s">
        <v>12</v>
      </c>
      <c r="B1420" s="2" t="str">
        <f>HYPERLINK("http://bbs.12365auto.com/postcontent.aspx?tId=195328","标致207后桥变形会是通病吧！")</f>
        <v>标致207后桥变形会是通病吧！</v>
      </c>
      <c r="C1420" s="2" t="s">
        <v>13</v>
      </c>
      <c r="D1420" s="2" t="s">
        <v>12</v>
      </c>
      <c r="E1420" s="2" t="s">
        <v>66</v>
      </c>
      <c r="F1420" s="2" t="str">
        <f>HYPERLINK("http://bbs.12365auto.com/postcontent.aspx?tId=195328","http://bbs.12365auto.com/postcontent.aspx?tId=195328")</f>
        <v>http://bbs.12365auto.com/postcontent.aspx?tId=195328</v>
      </c>
      <c r="G1420" s="2"/>
      <c r="H1420" s="2" t="s">
        <v>2131</v>
      </c>
      <c r="I1420" s="2" t="s">
        <v>15</v>
      </c>
      <c r="J1420" s="2" t="s">
        <v>2132</v>
      </c>
      <c r="K1420" s="2" t="s">
        <v>2133</v>
      </c>
      <c r="L1420" s="2">
        <f t="shared" si="22"/>
        <v>150</v>
      </c>
    </row>
    <row r="1421" spans="1:12" ht="25" customHeight="1">
      <c r="A1421" s="2" t="s">
        <v>12</v>
      </c>
      <c r="B1421" s="2" t="str">
        <f>HYPERLINK("http://bbs.12365auto.com/postcontent.aspx?tID=195328","标致207后桥变形会是通病吧！")</f>
        <v>标致207后桥变形会是通病吧！</v>
      </c>
      <c r="C1421" s="2" t="s">
        <v>13</v>
      </c>
      <c r="D1421" s="2" t="s">
        <v>12</v>
      </c>
      <c r="E1421" s="2" t="s">
        <v>67</v>
      </c>
      <c r="F1421" s="2" t="str">
        <f>HYPERLINK("http://bbs.12365auto.com/postcontent.aspx?tID=195328","http://bbs.12365auto.com/postcontent.aspx?tID=195328")</f>
        <v>http://bbs.12365auto.com/postcontent.aspx?tID=195328</v>
      </c>
      <c r="G1421" s="2"/>
      <c r="H1421" s="2" t="s">
        <v>2134</v>
      </c>
      <c r="I1421" s="2" t="s">
        <v>15</v>
      </c>
      <c r="J1421" s="2" t="s">
        <v>2132</v>
      </c>
      <c r="K1421" s="2" t="s">
        <v>2133</v>
      </c>
      <c r="L1421" s="2">
        <f t="shared" si="22"/>
        <v>150</v>
      </c>
    </row>
    <row r="1422" spans="1:12" ht="25" customHeight="1">
      <c r="A1422" s="2" t="s">
        <v>12</v>
      </c>
      <c r="B1422" s="2" t="str">
        <f>HYPERLINK("http://m.12365auto.com/bbs/postcontent.aspx?tID=195327","现代名图下摆臂变形导致吃胎")</f>
        <v>现代名图下摆臂变形导致吃胎</v>
      </c>
      <c r="C1422" s="2" t="s">
        <v>13</v>
      </c>
      <c r="D1422" s="2" t="s">
        <v>23</v>
      </c>
      <c r="E1422" s="2"/>
      <c r="F1422" s="2" t="str">
        <f>HYPERLINK("http://m.12365auto.com/bbs/postcontent.aspx?tID=195327","http://m.12365auto.com/bbs/postcontent.aspx?tID=195327")</f>
        <v>http://m.12365auto.com/bbs/postcontent.aspx?tID=195327</v>
      </c>
      <c r="G1422" s="2"/>
      <c r="H1422" s="2" t="s">
        <v>2135</v>
      </c>
      <c r="I1422" s="2" t="s">
        <v>15</v>
      </c>
      <c r="J1422" s="2" t="s">
        <v>2136</v>
      </c>
      <c r="K1422" s="2" t="s">
        <v>2137</v>
      </c>
      <c r="L1422" s="2">
        <f t="shared" si="22"/>
        <v>107</v>
      </c>
    </row>
    <row r="1423" spans="1:12" ht="25" customHeight="1">
      <c r="A1423" s="2" t="s">
        <v>12</v>
      </c>
      <c r="B1423" s="2" t="str">
        <f>HYPERLINK("http://bbs.12365auto.com/postcontent.aspx?tId=195327","现代名图下摆臂变形导致吃胎")</f>
        <v>现代名图下摆臂变形导致吃胎</v>
      </c>
      <c r="C1423" s="2" t="s">
        <v>13</v>
      </c>
      <c r="D1423" s="2" t="s">
        <v>12</v>
      </c>
      <c r="E1423" s="2" t="s">
        <v>66</v>
      </c>
      <c r="F1423" s="2" t="str">
        <f>HYPERLINK("http://bbs.12365auto.com/postcontent.aspx?tId=195327","http://bbs.12365auto.com/postcontent.aspx?tId=195327")</f>
        <v>http://bbs.12365auto.com/postcontent.aspx?tId=195327</v>
      </c>
      <c r="G1423" s="2"/>
      <c r="H1423" s="2" t="s">
        <v>2135</v>
      </c>
      <c r="I1423" s="2" t="s">
        <v>15</v>
      </c>
      <c r="J1423" s="2" t="s">
        <v>2136</v>
      </c>
      <c r="K1423" s="2" t="s">
        <v>2137</v>
      </c>
      <c r="L1423" s="2">
        <f t="shared" si="22"/>
        <v>107</v>
      </c>
    </row>
    <row r="1424" spans="1:12" ht="25" customHeight="1">
      <c r="A1424" s="2" t="s">
        <v>12</v>
      </c>
      <c r="B1424" s="2" t="str">
        <f>HYPERLINK("http://bbs.12365auto.com/postcontent.aspx?tID=195327","现代名图下摆臂变形导致吃胎")</f>
        <v>现代名图下摆臂变形导致吃胎</v>
      </c>
      <c r="C1424" s="2" t="s">
        <v>13</v>
      </c>
      <c r="D1424" s="2" t="s">
        <v>12</v>
      </c>
      <c r="E1424" s="2" t="s">
        <v>67</v>
      </c>
      <c r="F1424" s="2" t="str">
        <f>HYPERLINK("http://bbs.12365auto.com/postcontent.aspx?tID=195327","http://bbs.12365auto.com/postcontent.aspx?tID=195327")</f>
        <v>http://bbs.12365auto.com/postcontent.aspx?tID=195327</v>
      </c>
      <c r="G1424" s="2"/>
      <c r="H1424" s="2" t="s">
        <v>2138</v>
      </c>
      <c r="I1424" s="2" t="s">
        <v>15</v>
      </c>
      <c r="J1424" s="2" t="s">
        <v>2136</v>
      </c>
      <c r="K1424" s="2" t="s">
        <v>2137</v>
      </c>
      <c r="L1424" s="2">
        <f t="shared" si="22"/>
        <v>131</v>
      </c>
    </row>
    <row r="1425" spans="1:12" ht="25" customHeight="1">
      <c r="A1425" s="2" t="s">
        <v>12</v>
      </c>
      <c r="B1425" s="2" t="str">
        <f>HYPERLINK("http://m.12365auto.com/bbs/postcontent.aspx?tID=195326","本田思域优科豪马轮胎掉皮严重")</f>
        <v>本田思域优科豪马轮胎掉皮严重</v>
      </c>
      <c r="C1425" s="2" t="s">
        <v>13</v>
      </c>
      <c r="D1425" s="2" t="s">
        <v>23</v>
      </c>
      <c r="E1425" s="2"/>
      <c r="F1425" s="2" t="str">
        <f>HYPERLINK("http://m.12365auto.com/bbs/postcontent.aspx?tID=195326","http://m.12365auto.com/bbs/postcontent.aspx?tID=195326")</f>
        <v>http://m.12365auto.com/bbs/postcontent.aspx?tID=195326</v>
      </c>
      <c r="G1425" s="2"/>
      <c r="H1425" s="2" t="s">
        <v>2139</v>
      </c>
      <c r="I1425" s="2" t="s">
        <v>15</v>
      </c>
      <c r="J1425" s="2" t="s">
        <v>2140</v>
      </c>
      <c r="K1425" s="2" t="s">
        <v>2141</v>
      </c>
      <c r="L1425" s="2">
        <f t="shared" si="22"/>
        <v>115</v>
      </c>
    </row>
    <row r="1426" spans="1:12" ht="25" customHeight="1">
      <c r="A1426" s="2" t="s">
        <v>12</v>
      </c>
      <c r="B1426" s="2" t="str">
        <f>HYPERLINK("http://m.12365auto.com/bbs/postcontent.aspx?tID=195325","丰田奕泽刹车踏板抖动发动机故障灯亮")</f>
        <v>丰田奕泽刹车踏板抖动发动机故障灯亮</v>
      </c>
      <c r="C1426" s="2" t="s">
        <v>13</v>
      </c>
      <c r="D1426" s="2" t="s">
        <v>23</v>
      </c>
      <c r="E1426" s="2"/>
      <c r="F1426" s="2" t="str">
        <f>HYPERLINK("http://m.12365auto.com/bbs/postcontent.aspx?tID=195325","http://m.12365auto.com/bbs/postcontent.aspx?tID=195325")</f>
        <v>http://m.12365auto.com/bbs/postcontent.aspx?tID=195325</v>
      </c>
      <c r="G1426" s="2"/>
      <c r="H1426" s="2" t="s">
        <v>2142</v>
      </c>
      <c r="I1426" s="2" t="s">
        <v>15</v>
      </c>
      <c r="J1426" s="2" t="s">
        <v>2143</v>
      </c>
      <c r="K1426" s="2" t="s">
        <v>2141</v>
      </c>
      <c r="L1426" s="2">
        <f t="shared" si="22"/>
        <v>150</v>
      </c>
    </row>
    <row r="1427" spans="1:12" ht="25" customHeight="1">
      <c r="A1427" s="2" t="s">
        <v>12</v>
      </c>
      <c r="B1427" s="2" t="str">
        <f>HYPERLINK("http://bbs.12365auto.com/postcontent.aspx?tId=195326","本田思域优科豪马轮胎掉皮严重")</f>
        <v>本田思域优科豪马轮胎掉皮严重</v>
      </c>
      <c r="C1427" s="2" t="s">
        <v>13</v>
      </c>
      <c r="D1427" s="2" t="s">
        <v>12</v>
      </c>
      <c r="E1427" s="2" t="s">
        <v>66</v>
      </c>
      <c r="F1427" s="2" t="str">
        <f>HYPERLINK("http://bbs.12365auto.com/postcontent.aspx?tId=195326","http://bbs.12365auto.com/postcontent.aspx?tId=195326")</f>
        <v>http://bbs.12365auto.com/postcontent.aspx?tId=195326</v>
      </c>
      <c r="G1427" s="2"/>
      <c r="H1427" s="2" t="s">
        <v>2139</v>
      </c>
      <c r="I1427" s="2" t="s">
        <v>15</v>
      </c>
      <c r="J1427" s="2" t="s">
        <v>2140</v>
      </c>
      <c r="K1427" s="2" t="s">
        <v>2141</v>
      </c>
      <c r="L1427" s="2">
        <f t="shared" si="22"/>
        <v>115</v>
      </c>
    </row>
    <row r="1428" spans="1:12" ht="25" customHeight="1">
      <c r="A1428" s="2" t="s">
        <v>12</v>
      </c>
      <c r="B1428" s="2" t="str">
        <f>HYPERLINK("http://bbs.12365auto.com/postcontent.aspx?tId=195325","丰田奕泽刹车踏板抖动发动机故障灯亮")</f>
        <v>丰田奕泽刹车踏板抖动发动机故障灯亮</v>
      </c>
      <c r="C1428" s="2" t="s">
        <v>13</v>
      </c>
      <c r="D1428" s="2" t="s">
        <v>12</v>
      </c>
      <c r="E1428" s="2" t="s">
        <v>66</v>
      </c>
      <c r="F1428" s="2" t="str">
        <f>HYPERLINK("http://bbs.12365auto.com/postcontent.aspx?tId=195325","http://bbs.12365auto.com/postcontent.aspx?tId=195325")</f>
        <v>http://bbs.12365auto.com/postcontent.aspx?tId=195325</v>
      </c>
      <c r="G1428" s="2"/>
      <c r="H1428" s="2" t="s">
        <v>2142</v>
      </c>
      <c r="I1428" s="2" t="s">
        <v>15</v>
      </c>
      <c r="J1428" s="2" t="s">
        <v>2143</v>
      </c>
      <c r="K1428" s="2" t="s">
        <v>2141</v>
      </c>
      <c r="L1428" s="2">
        <f t="shared" si="22"/>
        <v>150</v>
      </c>
    </row>
    <row r="1429" spans="1:12" ht="25" customHeight="1">
      <c r="A1429" s="2" t="s">
        <v>12</v>
      </c>
      <c r="B1429" s="2" t="str">
        <f>HYPERLINK("http://bbs.12365auto.com/postcontent.aspx?tID=195325","丰田奕泽刹车踏板抖动发动机故障灯亮")</f>
        <v>丰田奕泽刹车踏板抖动发动机故障灯亮</v>
      </c>
      <c r="C1429" s="2" t="s">
        <v>13</v>
      </c>
      <c r="D1429" s="2" t="s">
        <v>12</v>
      </c>
      <c r="E1429" s="2" t="s">
        <v>67</v>
      </c>
      <c r="F1429" s="2" t="str">
        <f>HYPERLINK("http://bbs.12365auto.com/postcontent.aspx?tID=195325","http://bbs.12365auto.com/postcontent.aspx?tID=195325")</f>
        <v>http://bbs.12365auto.com/postcontent.aspx?tID=195325</v>
      </c>
      <c r="G1429" s="2"/>
      <c r="H1429" s="2" t="s">
        <v>2144</v>
      </c>
      <c r="I1429" s="2" t="s">
        <v>15</v>
      </c>
      <c r="J1429" s="2" t="s">
        <v>2143</v>
      </c>
      <c r="K1429" s="2" t="s">
        <v>2141</v>
      </c>
      <c r="L1429" s="2">
        <f t="shared" si="22"/>
        <v>150</v>
      </c>
    </row>
    <row r="1430" spans="1:12" ht="25" customHeight="1">
      <c r="A1430" s="2" t="s">
        <v>12</v>
      </c>
      <c r="B1430" s="2" t="str">
        <f>HYPERLINK("http://bbs.12365auto.com/postcontent.aspx?tID=195326","本田思域优科豪马轮胎掉皮严重")</f>
        <v>本田思域优科豪马轮胎掉皮严重</v>
      </c>
      <c r="C1430" s="2" t="s">
        <v>13</v>
      </c>
      <c r="D1430" s="2" t="s">
        <v>12</v>
      </c>
      <c r="E1430" s="2" t="s">
        <v>67</v>
      </c>
      <c r="F1430" s="2" t="str">
        <f>HYPERLINK("http://bbs.12365auto.com/postcontent.aspx?tID=195326","http://bbs.12365auto.com/postcontent.aspx?tID=195326")</f>
        <v>http://bbs.12365auto.com/postcontent.aspx?tID=195326</v>
      </c>
      <c r="G1430" s="2"/>
      <c r="H1430" s="2" t="s">
        <v>2145</v>
      </c>
      <c r="I1430" s="2" t="s">
        <v>15</v>
      </c>
      <c r="J1430" s="2" t="s">
        <v>2140</v>
      </c>
      <c r="K1430" s="2" t="s">
        <v>2141</v>
      </c>
      <c r="L1430" s="2">
        <f t="shared" si="22"/>
        <v>140</v>
      </c>
    </row>
    <row r="1431" spans="1:12" ht="25" customHeight="1">
      <c r="A1431" s="2" t="s">
        <v>12</v>
      </c>
      <c r="B1431" s="2" t="str">
        <f>HYPERLINK("http://m.12365auto.com/bbs/postcontent.aspx?tID=195323","丰田RAV4荣放中控屏黑屏")</f>
        <v>丰田RAV4荣放中控屏黑屏</v>
      </c>
      <c r="C1431" s="2" t="s">
        <v>13</v>
      </c>
      <c r="D1431" s="2" t="s">
        <v>23</v>
      </c>
      <c r="E1431" s="2"/>
      <c r="F1431" s="2" t="str">
        <f>HYPERLINK("http://m.12365auto.com/bbs/postcontent.aspx?tID=195323","http://m.12365auto.com/bbs/postcontent.aspx?tID=195323")</f>
        <v>http://m.12365auto.com/bbs/postcontent.aspx?tID=195323</v>
      </c>
      <c r="G1431" s="2"/>
      <c r="H1431" s="2" t="s">
        <v>2146</v>
      </c>
      <c r="I1431" s="2" t="s">
        <v>15</v>
      </c>
      <c r="J1431" s="2" t="s">
        <v>2147</v>
      </c>
      <c r="K1431" s="2" t="s">
        <v>2148</v>
      </c>
      <c r="L1431" s="2">
        <f t="shared" si="22"/>
        <v>42</v>
      </c>
    </row>
    <row r="1432" spans="1:12" ht="25" customHeight="1">
      <c r="A1432" s="2" t="s">
        <v>12</v>
      </c>
      <c r="B1432" s="2" t="str">
        <f>HYPERLINK("http://m.12365auto.com/bbs/postcontent.aspx?tID=195322","瑞虎5电脑板进水导致发动机启动困难")</f>
        <v>瑞虎5电脑板进水导致发动机启动困难</v>
      </c>
      <c r="C1432" s="2" t="s">
        <v>13</v>
      </c>
      <c r="D1432" s="2" t="s">
        <v>23</v>
      </c>
      <c r="E1432" s="2"/>
      <c r="F1432" s="2" t="str">
        <f>HYPERLINK("http://m.12365auto.com/bbs/postcontent.aspx?tID=195322","http://m.12365auto.com/bbs/postcontent.aspx?tID=195322")</f>
        <v>http://m.12365auto.com/bbs/postcontent.aspx?tID=195322</v>
      </c>
      <c r="G1432" s="2"/>
      <c r="H1432" s="2" t="s">
        <v>2149</v>
      </c>
      <c r="I1432" s="2" t="s">
        <v>15</v>
      </c>
      <c r="J1432" s="2" t="s">
        <v>2150</v>
      </c>
      <c r="K1432" s="2" t="s">
        <v>2148</v>
      </c>
      <c r="L1432" s="2">
        <f t="shared" si="22"/>
        <v>143</v>
      </c>
    </row>
    <row r="1433" spans="1:12" ht="25" customHeight="1">
      <c r="A1433" s="2" t="s">
        <v>12</v>
      </c>
      <c r="B1433" s="2" t="str">
        <f>HYPERLINK("http://bbs.12365auto.com/postcontent.aspx?tId=195323","丰田RAV4荣放中控屏黑屏")</f>
        <v>丰田RAV4荣放中控屏黑屏</v>
      </c>
      <c r="C1433" s="2" t="s">
        <v>13</v>
      </c>
      <c r="D1433" s="2" t="s">
        <v>12</v>
      </c>
      <c r="E1433" s="2" t="s">
        <v>66</v>
      </c>
      <c r="F1433" s="2" t="str">
        <f>HYPERLINK("http://bbs.12365auto.com/postcontent.aspx?tId=195323","http://bbs.12365auto.com/postcontent.aspx?tId=195323")</f>
        <v>http://bbs.12365auto.com/postcontent.aspx?tId=195323</v>
      </c>
      <c r="G1433" s="2"/>
      <c r="H1433" s="2" t="s">
        <v>2146</v>
      </c>
      <c r="I1433" s="2" t="s">
        <v>15</v>
      </c>
      <c r="J1433" s="2" t="s">
        <v>2147</v>
      </c>
      <c r="K1433" s="2" t="s">
        <v>2148</v>
      </c>
      <c r="L1433" s="2">
        <f t="shared" si="22"/>
        <v>42</v>
      </c>
    </row>
    <row r="1434" spans="1:12" ht="25" customHeight="1">
      <c r="A1434" s="2" t="s">
        <v>12</v>
      </c>
      <c r="B1434" s="2" t="str">
        <f>HYPERLINK("http://bbs.12365auto.com/postcontent.aspx?tId=195322","瑞虎5电脑板进水导致发动机启动困难")</f>
        <v>瑞虎5电脑板进水导致发动机启动困难</v>
      </c>
      <c r="C1434" s="2" t="s">
        <v>13</v>
      </c>
      <c r="D1434" s="2" t="s">
        <v>12</v>
      </c>
      <c r="E1434" s="2" t="s">
        <v>66</v>
      </c>
      <c r="F1434" s="2" t="str">
        <f>HYPERLINK("http://bbs.12365auto.com/postcontent.aspx?tId=195322","http://bbs.12365auto.com/postcontent.aspx?tId=195322")</f>
        <v>http://bbs.12365auto.com/postcontent.aspx?tId=195322</v>
      </c>
      <c r="G1434" s="2"/>
      <c r="H1434" s="2" t="s">
        <v>2149</v>
      </c>
      <c r="I1434" s="2" t="s">
        <v>15</v>
      </c>
      <c r="J1434" s="2" t="s">
        <v>2150</v>
      </c>
      <c r="K1434" s="2" t="s">
        <v>2148</v>
      </c>
      <c r="L1434" s="2">
        <f t="shared" si="22"/>
        <v>143</v>
      </c>
    </row>
    <row r="1435" spans="1:12" ht="25" customHeight="1">
      <c r="A1435" s="2" t="s">
        <v>12</v>
      </c>
      <c r="B1435" s="2" t="str">
        <f>HYPERLINK("http://bbs.12365auto.com/postcontent.aspx?tID=195323","丰田RAV4荣放中控屏黑屏")</f>
        <v>丰田RAV4荣放中控屏黑屏</v>
      </c>
      <c r="C1435" s="2" t="s">
        <v>13</v>
      </c>
      <c r="D1435" s="2" t="s">
        <v>12</v>
      </c>
      <c r="E1435" s="2" t="s">
        <v>67</v>
      </c>
      <c r="F1435" s="2" t="str">
        <f>HYPERLINK("http://bbs.12365auto.com/postcontent.aspx?tID=195323","http://bbs.12365auto.com/postcontent.aspx?tID=195323")</f>
        <v>http://bbs.12365auto.com/postcontent.aspx?tID=195323</v>
      </c>
      <c r="G1435" s="2"/>
      <c r="H1435" s="2" t="s">
        <v>2151</v>
      </c>
      <c r="I1435" s="2" t="s">
        <v>15</v>
      </c>
      <c r="J1435" s="2" t="s">
        <v>2147</v>
      </c>
      <c r="K1435" s="2" t="s">
        <v>2148</v>
      </c>
      <c r="L1435" s="2">
        <f t="shared" si="22"/>
        <v>67</v>
      </c>
    </row>
    <row r="1436" spans="1:12" ht="25" customHeight="1">
      <c r="A1436" s="2" t="s">
        <v>12</v>
      </c>
      <c r="B1436" s="2" t="str">
        <f>HYPERLINK("http://bbs.12365auto.com/postcontent.aspx?tID=195322","瑞虎5电脑板进水导致发动机启动困难")</f>
        <v>瑞虎5电脑板进水导致发动机启动困难</v>
      </c>
      <c r="C1436" s="2" t="s">
        <v>13</v>
      </c>
      <c r="D1436" s="2" t="s">
        <v>12</v>
      </c>
      <c r="E1436" s="2" t="s">
        <v>67</v>
      </c>
      <c r="F1436" s="2" t="str">
        <f>HYPERLINK("http://bbs.12365auto.com/postcontent.aspx?tID=195322","http://bbs.12365auto.com/postcontent.aspx?tID=195322")</f>
        <v>http://bbs.12365auto.com/postcontent.aspx?tID=195322</v>
      </c>
      <c r="G1436" s="2"/>
      <c r="H1436" s="2" t="s">
        <v>2152</v>
      </c>
      <c r="I1436" s="2" t="s">
        <v>15</v>
      </c>
      <c r="J1436" s="2" t="s">
        <v>2150</v>
      </c>
      <c r="K1436" s="2" t="s">
        <v>2148</v>
      </c>
      <c r="L1436" s="2">
        <f t="shared" si="22"/>
        <v>150</v>
      </c>
    </row>
    <row r="1437" spans="1:12" ht="25" customHeight="1">
      <c r="A1437" s="2" t="s">
        <v>12</v>
      </c>
      <c r="B1437" s="2" t="str">
        <f>HYPERLINK("http://m.12365auto.com/bbs/postcontent.aspx?tID=195321","远景日间行车灯起雾一直未解决")</f>
        <v>远景日间行车灯起雾一直未解决</v>
      </c>
      <c r="C1437" s="2" t="s">
        <v>13</v>
      </c>
      <c r="D1437" s="2" t="s">
        <v>23</v>
      </c>
      <c r="E1437" s="2"/>
      <c r="F1437" s="2" t="str">
        <f>HYPERLINK("http://m.12365auto.com/bbs/postcontent.aspx?tID=195321","http://m.12365auto.com/bbs/postcontent.aspx?tID=195321")</f>
        <v>http://m.12365auto.com/bbs/postcontent.aspx?tID=195321</v>
      </c>
      <c r="G1437" s="2"/>
      <c r="H1437" s="2" t="s">
        <v>2153</v>
      </c>
      <c r="I1437" s="2" t="s">
        <v>15</v>
      </c>
      <c r="J1437" s="2" t="s">
        <v>2154</v>
      </c>
      <c r="K1437" s="2" t="s">
        <v>2155</v>
      </c>
      <c r="L1437" s="2">
        <f t="shared" si="22"/>
        <v>66</v>
      </c>
    </row>
    <row r="1438" spans="1:12" ht="25" customHeight="1">
      <c r="A1438" s="2" t="s">
        <v>12</v>
      </c>
      <c r="B1438" s="2" t="str">
        <f>HYPERLINK("http://bbs.12365auto.com/postcontent.aspx?tId=195321","远景日间行车灯起雾一直未解决")</f>
        <v>远景日间行车灯起雾一直未解决</v>
      </c>
      <c r="C1438" s="2" t="s">
        <v>13</v>
      </c>
      <c r="D1438" s="2" t="s">
        <v>12</v>
      </c>
      <c r="E1438" s="2" t="s">
        <v>66</v>
      </c>
      <c r="F1438" s="2" t="str">
        <f>HYPERLINK("http://bbs.12365auto.com/postcontent.aspx?tId=195321","http://bbs.12365auto.com/postcontent.aspx?tId=195321")</f>
        <v>http://bbs.12365auto.com/postcontent.aspx?tId=195321</v>
      </c>
      <c r="G1438" s="2"/>
      <c r="H1438" s="2" t="s">
        <v>2153</v>
      </c>
      <c r="I1438" s="2" t="s">
        <v>15</v>
      </c>
      <c r="J1438" s="2" t="s">
        <v>2154</v>
      </c>
      <c r="K1438" s="2" t="s">
        <v>2155</v>
      </c>
      <c r="L1438" s="2">
        <f t="shared" si="22"/>
        <v>66</v>
      </c>
    </row>
    <row r="1439" spans="1:12" ht="25" customHeight="1">
      <c r="A1439" s="2" t="s">
        <v>12</v>
      </c>
      <c r="B1439" s="2" t="str">
        <f>HYPERLINK("http://bbs.12365auto.com/postcontent.aspx?tID=195321","远景日间行车灯起雾一直未解决")</f>
        <v>远景日间行车灯起雾一直未解决</v>
      </c>
      <c r="C1439" s="2" t="s">
        <v>13</v>
      </c>
      <c r="D1439" s="2" t="s">
        <v>12</v>
      </c>
      <c r="E1439" s="2" t="s">
        <v>67</v>
      </c>
      <c r="F1439" s="2" t="str">
        <f>HYPERLINK("http://bbs.12365auto.com/postcontent.aspx?tID=195321","http://bbs.12365auto.com/postcontent.aspx?tID=195321")</f>
        <v>http://bbs.12365auto.com/postcontent.aspx?tID=195321</v>
      </c>
      <c r="G1439" s="2"/>
      <c r="H1439" s="2" t="s">
        <v>2156</v>
      </c>
      <c r="I1439" s="2" t="s">
        <v>15</v>
      </c>
      <c r="J1439" s="2" t="s">
        <v>2154</v>
      </c>
      <c r="K1439" s="2" t="s">
        <v>2155</v>
      </c>
      <c r="L1439" s="2">
        <f t="shared" si="22"/>
        <v>80</v>
      </c>
    </row>
    <row r="1440" spans="1:12" ht="25" customHeight="1">
      <c r="A1440" s="2" t="s">
        <v>12</v>
      </c>
      <c r="B1440" s="2" t="str">
        <f>HYPERLINK("http://m.12365auto.com/bbs/postcontent.aspx?tID=195319","丰田凯美瑞仪表台出油开裂有异味")</f>
        <v>丰田凯美瑞仪表台出油开裂有异味</v>
      </c>
      <c r="C1440" s="2" t="s">
        <v>13</v>
      </c>
      <c r="D1440" s="2" t="s">
        <v>23</v>
      </c>
      <c r="E1440" s="2"/>
      <c r="F1440" s="2" t="str">
        <f>HYPERLINK("http://m.12365auto.com/bbs/postcontent.aspx?tID=195319","http://m.12365auto.com/bbs/postcontent.aspx?tID=195319")</f>
        <v>http://m.12365auto.com/bbs/postcontent.aspx?tID=195319</v>
      </c>
      <c r="G1440" s="2"/>
      <c r="H1440" s="2" t="s">
        <v>2157</v>
      </c>
      <c r="I1440" s="2" t="s">
        <v>15</v>
      </c>
      <c r="J1440" s="2" t="s">
        <v>2158</v>
      </c>
      <c r="K1440" s="2" t="s">
        <v>2159</v>
      </c>
      <c r="L1440" s="2">
        <f t="shared" si="22"/>
        <v>68</v>
      </c>
    </row>
    <row r="1441" spans="1:12" ht="25" customHeight="1">
      <c r="A1441" s="2" t="s">
        <v>12</v>
      </c>
      <c r="B1441" s="2" t="str">
        <f>HYPERLINK("http://bbs.12365auto.com/postcontent.aspx?tId=195319","丰田凯美瑞仪表台出油开裂有异味")</f>
        <v>丰田凯美瑞仪表台出油开裂有异味</v>
      </c>
      <c r="C1441" s="2" t="s">
        <v>13</v>
      </c>
      <c r="D1441" s="2" t="s">
        <v>12</v>
      </c>
      <c r="E1441" s="2" t="s">
        <v>66</v>
      </c>
      <c r="F1441" s="2" t="str">
        <f>HYPERLINK("http://bbs.12365auto.com/postcontent.aspx?tId=195319","http://bbs.12365auto.com/postcontent.aspx?tId=195319")</f>
        <v>http://bbs.12365auto.com/postcontent.aspx?tId=195319</v>
      </c>
      <c r="G1441" s="2"/>
      <c r="H1441" s="2" t="s">
        <v>2157</v>
      </c>
      <c r="I1441" s="2" t="s">
        <v>15</v>
      </c>
      <c r="J1441" s="2" t="s">
        <v>2158</v>
      </c>
      <c r="K1441" s="2" t="s">
        <v>2159</v>
      </c>
      <c r="L1441" s="2">
        <f t="shared" si="22"/>
        <v>68</v>
      </c>
    </row>
    <row r="1442" spans="1:12" ht="25" customHeight="1">
      <c r="A1442" s="2" t="s">
        <v>12</v>
      </c>
      <c r="B1442" s="2" t="str">
        <f>HYPERLINK("http://bbs.12365auto.com/postcontent.aspx?tID=195319","丰田凯美瑞仪表台出油开裂有异味")</f>
        <v>丰田凯美瑞仪表台出油开裂有异味</v>
      </c>
      <c r="C1442" s="2" t="s">
        <v>13</v>
      </c>
      <c r="D1442" s="2" t="s">
        <v>12</v>
      </c>
      <c r="E1442" s="2" t="s">
        <v>67</v>
      </c>
      <c r="F1442" s="2" t="str">
        <f>HYPERLINK("http://bbs.12365auto.com/postcontent.aspx?tID=195319","http://bbs.12365auto.com/postcontent.aspx?tID=195319")</f>
        <v>http://bbs.12365auto.com/postcontent.aspx?tID=195319</v>
      </c>
      <c r="G1442" s="2"/>
      <c r="H1442" s="2" t="s">
        <v>2160</v>
      </c>
      <c r="I1442" s="2" t="s">
        <v>15</v>
      </c>
      <c r="J1442" s="2" t="s">
        <v>2158</v>
      </c>
      <c r="K1442" s="2" t="s">
        <v>2159</v>
      </c>
      <c r="L1442" s="2">
        <f t="shared" si="22"/>
        <v>83</v>
      </c>
    </row>
    <row r="1443" spans="1:12" ht="25" customHeight="1">
      <c r="A1443" s="2" t="s">
        <v>12</v>
      </c>
      <c r="B1443" s="2" t="str">
        <f>HYPERLINK("http://m.12365auto.com/bbs/postcontent.aspx?tID=195317","如图凯翼C3变速箱执行器故障")</f>
        <v>如图凯翼C3变速箱执行器故障</v>
      </c>
      <c r="C1443" s="2" t="s">
        <v>13</v>
      </c>
      <c r="D1443" s="2" t="s">
        <v>23</v>
      </c>
      <c r="E1443" s="2"/>
      <c r="F1443" s="2" t="str">
        <f>HYPERLINK("http://m.12365auto.com/bbs/postcontent.aspx?tID=195317","http://m.12365auto.com/bbs/postcontent.aspx?tID=195317")</f>
        <v>http://m.12365auto.com/bbs/postcontent.aspx?tID=195317</v>
      </c>
      <c r="G1443" s="2"/>
      <c r="H1443" s="2" t="s">
        <v>2161</v>
      </c>
      <c r="I1443" s="2" t="s">
        <v>15</v>
      </c>
      <c r="J1443" s="2" t="s">
        <v>2162</v>
      </c>
      <c r="K1443" s="2" t="s">
        <v>2163</v>
      </c>
      <c r="L1443" s="2">
        <f t="shared" si="22"/>
        <v>133</v>
      </c>
    </row>
    <row r="1444" spans="1:12" ht="25" customHeight="1">
      <c r="A1444" s="2" t="s">
        <v>12</v>
      </c>
      <c r="B1444" s="2" t="str">
        <f>HYPERLINK("http://m.12365auto.com/bbs/postcontent.aspx?tID=195318","大众凌渡变速箱机电单元故障")</f>
        <v>大众凌渡变速箱机电单元故障</v>
      </c>
      <c r="C1444" s="2" t="s">
        <v>13</v>
      </c>
      <c r="D1444" s="2" t="s">
        <v>23</v>
      </c>
      <c r="E1444" s="2"/>
      <c r="F1444" s="2" t="str">
        <f>HYPERLINK("http://m.12365auto.com/bbs/postcontent.aspx?tID=195318","http://m.12365auto.com/bbs/postcontent.aspx?tID=195318")</f>
        <v>http://m.12365auto.com/bbs/postcontent.aspx?tID=195318</v>
      </c>
      <c r="G1444" s="2"/>
      <c r="H1444" s="2" t="s">
        <v>2164</v>
      </c>
      <c r="I1444" s="2" t="s">
        <v>15</v>
      </c>
      <c r="J1444" s="2" t="s">
        <v>2165</v>
      </c>
      <c r="K1444" s="2" t="s">
        <v>2163</v>
      </c>
      <c r="L1444" s="2">
        <f t="shared" si="22"/>
        <v>67</v>
      </c>
    </row>
    <row r="1445" spans="1:12" ht="25" customHeight="1">
      <c r="A1445" s="2" t="s">
        <v>12</v>
      </c>
      <c r="B1445" s="2" t="str">
        <f>HYPERLINK("http://bbs.12365auto.com/postcontent.aspx?tId=195317","如图凯翼C3变速箱执行器故障")</f>
        <v>如图凯翼C3变速箱执行器故障</v>
      </c>
      <c r="C1445" s="2" t="s">
        <v>13</v>
      </c>
      <c r="D1445" s="2" t="s">
        <v>12</v>
      </c>
      <c r="E1445" s="2" t="s">
        <v>66</v>
      </c>
      <c r="F1445" s="2" t="str">
        <f>HYPERLINK("http://bbs.12365auto.com/postcontent.aspx?tId=195317","http://bbs.12365auto.com/postcontent.aspx?tId=195317")</f>
        <v>http://bbs.12365auto.com/postcontent.aspx?tId=195317</v>
      </c>
      <c r="G1445" s="2"/>
      <c r="H1445" s="2" t="s">
        <v>2161</v>
      </c>
      <c r="I1445" s="2" t="s">
        <v>15</v>
      </c>
      <c r="J1445" s="2" t="s">
        <v>2162</v>
      </c>
      <c r="K1445" s="2" t="s">
        <v>2163</v>
      </c>
      <c r="L1445" s="2">
        <f t="shared" si="22"/>
        <v>133</v>
      </c>
    </row>
    <row r="1446" spans="1:12" ht="25" customHeight="1">
      <c r="A1446" s="2" t="s">
        <v>12</v>
      </c>
      <c r="B1446" s="2" t="str">
        <f>HYPERLINK("http://bbs.12365auto.com/postcontent.aspx?tId=195318","大众凌渡变速箱机电单元故障")</f>
        <v>大众凌渡变速箱机电单元故障</v>
      </c>
      <c r="C1446" s="2" t="s">
        <v>13</v>
      </c>
      <c r="D1446" s="2" t="s">
        <v>12</v>
      </c>
      <c r="E1446" s="2" t="s">
        <v>66</v>
      </c>
      <c r="F1446" s="2" t="str">
        <f>HYPERLINK("http://bbs.12365auto.com/postcontent.aspx?tId=195318","http://bbs.12365auto.com/postcontent.aspx?tId=195318")</f>
        <v>http://bbs.12365auto.com/postcontent.aspx?tId=195318</v>
      </c>
      <c r="G1446" s="2"/>
      <c r="H1446" s="2" t="s">
        <v>2164</v>
      </c>
      <c r="I1446" s="2" t="s">
        <v>15</v>
      </c>
      <c r="J1446" s="2" t="s">
        <v>2165</v>
      </c>
      <c r="K1446" s="2" t="s">
        <v>2163</v>
      </c>
      <c r="L1446" s="2">
        <f t="shared" si="22"/>
        <v>67</v>
      </c>
    </row>
    <row r="1447" spans="1:12" ht="25" customHeight="1">
      <c r="A1447" s="2" t="s">
        <v>12</v>
      </c>
      <c r="B1447" s="2" t="str">
        <f>HYPERLINK("http://bbs.12365auto.com/postcontent.aspx?tID=195318","大众凌渡变速箱机电单元故障")</f>
        <v>大众凌渡变速箱机电单元故障</v>
      </c>
      <c r="C1447" s="2" t="s">
        <v>13</v>
      </c>
      <c r="D1447" s="2" t="s">
        <v>12</v>
      </c>
      <c r="E1447" s="2" t="s">
        <v>67</v>
      </c>
      <c r="F1447" s="2" t="str">
        <f>HYPERLINK("http://bbs.12365auto.com/postcontent.aspx?tID=195318","http://bbs.12365auto.com/postcontent.aspx?tID=195318")</f>
        <v>http://bbs.12365auto.com/postcontent.aspx?tID=195318</v>
      </c>
      <c r="G1447" s="2"/>
      <c r="H1447" s="2" t="s">
        <v>2166</v>
      </c>
      <c r="I1447" s="2" t="s">
        <v>15</v>
      </c>
      <c r="J1447" s="2" t="s">
        <v>2165</v>
      </c>
      <c r="K1447" s="2" t="s">
        <v>2163</v>
      </c>
      <c r="L1447" s="2">
        <f t="shared" si="22"/>
        <v>80</v>
      </c>
    </row>
    <row r="1448" spans="1:12" ht="25" customHeight="1">
      <c r="A1448" s="2" t="s">
        <v>12</v>
      </c>
      <c r="B1448" s="2" t="str">
        <f>HYPERLINK("http://bbs.12365auto.com/postcontent.aspx?tID=195317","如图凯翼C3变速箱执行器故障")</f>
        <v>如图凯翼C3变速箱执行器故障</v>
      </c>
      <c r="C1448" s="2" t="s">
        <v>13</v>
      </c>
      <c r="D1448" s="2" t="s">
        <v>12</v>
      </c>
      <c r="E1448" s="2" t="s">
        <v>67</v>
      </c>
      <c r="F1448" s="2" t="str">
        <f>HYPERLINK("http://bbs.12365auto.com/postcontent.aspx?tID=195317","http://bbs.12365auto.com/postcontent.aspx?tID=195317")</f>
        <v>http://bbs.12365auto.com/postcontent.aspx?tID=195317</v>
      </c>
      <c r="G1448" s="2"/>
      <c r="H1448" s="2" t="s">
        <v>2167</v>
      </c>
      <c r="I1448" s="2" t="s">
        <v>15</v>
      </c>
      <c r="J1448" s="2" t="s">
        <v>2162</v>
      </c>
      <c r="K1448" s="2" t="s">
        <v>2163</v>
      </c>
      <c r="L1448" s="2">
        <f t="shared" si="22"/>
        <v>147</v>
      </c>
    </row>
    <row r="1449" spans="1:12" ht="25" customHeight="1">
      <c r="A1449" s="2" t="s">
        <v>12</v>
      </c>
      <c r="B1449" s="2" t="str">
        <f>HYPERLINK("http://www.12365auto.com/zlts/20200227/448945.shtml","吉利远景X3发动机故障灯亮频繁熄火")</f>
        <v>吉利远景X3发动机故障灯亮频繁熄火</v>
      </c>
      <c r="C1449" s="2" t="s">
        <v>13</v>
      </c>
      <c r="D1449" s="2" t="s">
        <v>12</v>
      </c>
      <c r="E1449" s="2" t="s">
        <v>17</v>
      </c>
      <c r="F1449" s="2" t="str">
        <f>HYPERLINK("http://www.12365auto.com/zlts/20200227/448945.shtml","http://www.12365auto.com/zlts/20200227/448945.shtml")</f>
        <v>http://www.12365auto.com/zlts/20200227/448945.shtml</v>
      </c>
      <c r="G1449" s="2"/>
      <c r="H1449" s="2" t="s">
        <v>2168</v>
      </c>
      <c r="I1449" s="2" t="s">
        <v>19</v>
      </c>
      <c r="J1449" s="2" t="s">
        <v>12</v>
      </c>
      <c r="K1449" s="2" t="s">
        <v>2169</v>
      </c>
      <c r="L1449" s="2">
        <f t="shared" si="22"/>
        <v>150</v>
      </c>
    </row>
    <row r="1450" spans="1:12" ht="25" customHeight="1">
      <c r="A1450" s="2" t="s">
        <v>12</v>
      </c>
      <c r="B1450" s="2" t="str">
        <f>HYPERLINK("http://m.12365auto.com/zjdy/20200226/121682.shtml","2019年购买车辆轮胎2016年生产什么原因？")</f>
        <v>2019年购买车辆轮胎2016年生产什么原因？</v>
      </c>
      <c r="C1450" s="2" t="s">
        <v>13</v>
      </c>
      <c r="D1450" s="2" t="s">
        <v>12</v>
      </c>
      <c r="E1450" s="2"/>
      <c r="F1450" s="2" t="str">
        <f>HYPERLINK("http://m.12365auto.com/zjdy/20200226/121682.shtml","http://m.12365auto.com/zjdy/20200226/121682.shtml")</f>
        <v>http://m.12365auto.com/zjdy/20200226/121682.shtml</v>
      </c>
      <c r="G1450" s="2"/>
      <c r="H1450" s="2" t="s">
        <v>2170</v>
      </c>
      <c r="I1450" s="2" t="s">
        <v>19</v>
      </c>
      <c r="J1450" s="2" t="s">
        <v>12</v>
      </c>
      <c r="K1450" s="2" t="s">
        <v>2171</v>
      </c>
      <c r="L1450" s="2">
        <f t="shared" si="22"/>
        <v>33</v>
      </c>
    </row>
    <row r="1451" spans="1:12" ht="25" customHeight="1">
      <c r="A1451" s="2" t="s">
        <v>12</v>
      </c>
      <c r="B1451" s="2" t="str">
        <f>HYPERLINK("http://m.12365auto.com/zjdy/20200226/121683.shtml","中东版丰田普拉多是哪里生产的质量如何？")</f>
        <v>中东版丰田普拉多是哪里生产的质量如何？</v>
      </c>
      <c r="C1451" s="2" t="s">
        <v>13</v>
      </c>
      <c r="D1451" s="2" t="s">
        <v>12</v>
      </c>
      <c r="E1451" s="2"/>
      <c r="F1451" s="2" t="str">
        <f>HYPERLINK("http://m.12365auto.com/zjdy/20200226/121683.shtml","http://m.12365auto.com/zjdy/20200226/121683.shtml")</f>
        <v>http://m.12365auto.com/zjdy/20200226/121683.shtml</v>
      </c>
      <c r="G1451" s="2"/>
      <c r="H1451" s="2" t="s">
        <v>2172</v>
      </c>
      <c r="I1451" s="2" t="s">
        <v>19</v>
      </c>
      <c r="J1451" s="2" t="s">
        <v>12</v>
      </c>
      <c r="K1451" s="2" t="s">
        <v>2171</v>
      </c>
      <c r="L1451" s="2">
        <f t="shared" si="22"/>
        <v>27</v>
      </c>
    </row>
    <row r="1452" spans="1:12" ht="25" customHeight="1">
      <c r="A1452" s="2" t="s">
        <v>12</v>
      </c>
      <c r="B1452" s="2" t="str">
        <f>HYPERLINK("http://www.12365auto.com/xcdg/20200227/419648.shtml","预计17万起 广汽丰田威兰达将于2月28日上市")</f>
        <v>预计17万起 广汽丰田威兰达将于2月28日上市</v>
      </c>
      <c r="C1452" s="2" t="s">
        <v>13</v>
      </c>
      <c r="D1452" s="2" t="s">
        <v>12</v>
      </c>
      <c r="E1452" s="2" t="s">
        <v>216</v>
      </c>
      <c r="F1452" s="2" t="str">
        <f>HYPERLINK("http://www.12365auto.com/xcdg/20200227/419648.shtml","http://www.12365auto.com/xcdg/20200227/419648.shtml")</f>
        <v>http://www.12365auto.com/xcdg/20200227/419648.shtml</v>
      </c>
      <c r="G1452" s="2"/>
      <c r="H1452" s="2" t="s">
        <v>2173</v>
      </c>
      <c r="I1452" s="2" t="s">
        <v>15</v>
      </c>
      <c r="J1452" s="2" t="s">
        <v>12</v>
      </c>
      <c r="K1452" s="2" t="s">
        <v>2174</v>
      </c>
      <c r="L1452" s="2">
        <f t="shared" si="22"/>
        <v>150</v>
      </c>
    </row>
    <row r="1453" spans="1:12" ht="25" customHeight="1">
      <c r="A1453" s="2" t="s">
        <v>12</v>
      </c>
      <c r="B1453" s="2" t="str">
        <f>HYPERLINK("http://m.12365auto.com/zjdy/20200227/121684.shtml","奥迪Q3高速行驶主驾附近有风声为什么？")</f>
        <v>奥迪Q3高速行驶主驾附近有风声为什么？</v>
      </c>
      <c r="C1453" s="2" t="s">
        <v>13</v>
      </c>
      <c r="D1453" s="2" t="s">
        <v>12</v>
      </c>
      <c r="E1453" s="2"/>
      <c r="F1453" s="2" t="str">
        <f>HYPERLINK("http://m.12365auto.com/zjdy/20200227/121684.shtml","http://m.12365auto.com/zjdy/20200227/121684.shtml")</f>
        <v>http://m.12365auto.com/zjdy/20200227/121684.shtml</v>
      </c>
      <c r="G1453" s="2"/>
      <c r="H1453" s="2" t="s">
        <v>2175</v>
      </c>
      <c r="I1453" s="2" t="s">
        <v>19</v>
      </c>
      <c r="J1453" s="2" t="s">
        <v>12</v>
      </c>
      <c r="K1453" s="2" t="s">
        <v>2176</v>
      </c>
      <c r="L1453" s="2">
        <f t="shared" si="22"/>
        <v>20</v>
      </c>
    </row>
    <row r="1454" spans="1:12" ht="25" customHeight="1">
      <c r="A1454" s="2" t="s">
        <v>12</v>
      </c>
      <c r="B1454" s="2" t="str">
        <f>HYPERLINK("http://m.12365auto.com/zjdy/20200226/121680.shtml","15款思铂睿故障灯全部闪烁是什么原因？")</f>
        <v>15款思铂睿故障灯全部闪烁是什么原因？</v>
      </c>
      <c r="C1454" s="2" t="s">
        <v>13</v>
      </c>
      <c r="D1454" s="2" t="s">
        <v>12</v>
      </c>
      <c r="E1454" s="2"/>
      <c r="F1454" s="2" t="str">
        <f>HYPERLINK("http://m.12365auto.com/zjdy/20200226/121680.shtml","http://m.12365auto.com/zjdy/20200226/121680.shtml")</f>
        <v>http://m.12365auto.com/zjdy/20200226/121680.shtml</v>
      </c>
      <c r="G1454" s="2"/>
      <c r="H1454" s="2" t="s">
        <v>2177</v>
      </c>
      <c r="I1454" s="2" t="s">
        <v>19</v>
      </c>
      <c r="J1454" s="2" t="s">
        <v>12</v>
      </c>
      <c r="K1454" s="2" t="s">
        <v>2176</v>
      </c>
      <c r="L1454" s="2">
        <f t="shared" si="22"/>
        <v>24</v>
      </c>
    </row>
    <row r="1455" spans="1:12" ht="25" customHeight="1">
      <c r="A1455" s="2" t="s">
        <v>12</v>
      </c>
      <c r="B1455" s="2" t="str">
        <f>HYPERLINK("http://m.12365auto.com/zjdy/20200226/121676.shtml","别克英朗踩油门转速高是什么原因？")</f>
        <v>别克英朗踩油门转速高是什么原因？</v>
      </c>
      <c r="C1455" s="2" t="s">
        <v>13</v>
      </c>
      <c r="D1455" s="2" t="s">
        <v>12</v>
      </c>
      <c r="E1455" s="2"/>
      <c r="F1455" s="2" t="str">
        <f>HYPERLINK("http://m.12365auto.com/zjdy/20200226/121676.shtml","http://m.12365auto.com/zjdy/20200226/121676.shtml")</f>
        <v>http://m.12365auto.com/zjdy/20200226/121676.shtml</v>
      </c>
      <c r="G1455" s="2"/>
      <c r="H1455" s="2" t="s">
        <v>2178</v>
      </c>
      <c r="I1455" s="2" t="s">
        <v>19</v>
      </c>
      <c r="J1455" s="2" t="s">
        <v>12</v>
      </c>
      <c r="K1455" s="2" t="s">
        <v>2176</v>
      </c>
      <c r="L1455" s="2">
        <f t="shared" si="22"/>
        <v>66</v>
      </c>
    </row>
    <row r="1456" spans="1:12" ht="25" customHeight="1">
      <c r="A1456" s="2" t="s">
        <v>12</v>
      </c>
      <c r="B1456" s="2" t="str">
        <f>HYPERLINK("http://m.12365auto.com/zjdy/20200227/121685.shtml","长城M4中控影音系统失灵是什么原因？")</f>
        <v>长城M4中控影音系统失灵是什么原因？</v>
      </c>
      <c r="C1456" s="2" t="s">
        <v>13</v>
      </c>
      <c r="D1456" s="2" t="s">
        <v>12</v>
      </c>
      <c r="E1456" s="2"/>
      <c r="F1456" s="2" t="str">
        <f>HYPERLINK("http://m.12365auto.com/zjdy/20200227/121685.shtml","http://m.12365auto.com/zjdy/20200227/121685.shtml")</f>
        <v>http://m.12365auto.com/zjdy/20200227/121685.shtml</v>
      </c>
      <c r="G1456" s="2"/>
      <c r="H1456" s="2" t="s">
        <v>2179</v>
      </c>
      <c r="I1456" s="2" t="s">
        <v>19</v>
      </c>
      <c r="J1456" s="2" t="s">
        <v>12</v>
      </c>
      <c r="K1456" s="2" t="s">
        <v>2176</v>
      </c>
      <c r="L1456" s="2">
        <f t="shared" si="22"/>
        <v>15</v>
      </c>
    </row>
    <row r="1457" spans="1:12" ht="25" customHeight="1">
      <c r="A1457" s="2" t="s">
        <v>12</v>
      </c>
      <c r="B1457" s="2" t="str">
        <f>HYPERLINK("http://m.12365auto.com/zjdy/20200226/121681.shtml","大众桑塔纳喇叭无高音应该如何解决？")</f>
        <v>大众桑塔纳喇叭无高音应该如何解决？</v>
      </c>
      <c r="C1457" s="2" t="s">
        <v>13</v>
      </c>
      <c r="D1457" s="2" t="s">
        <v>12</v>
      </c>
      <c r="E1457" s="2"/>
      <c r="F1457" s="2" t="str">
        <f>HYPERLINK("http://m.12365auto.com/zjdy/20200226/121681.shtml","http://m.12365auto.com/zjdy/20200226/121681.shtml")</f>
        <v>http://m.12365auto.com/zjdy/20200226/121681.shtml</v>
      </c>
      <c r="G1457" s="2"/>
      <c r="H1457" s="2" t="s">
        <v>2180</v>
      </c>
      <c r="I1457" s="2" t="s">
        <v>19</v>
      </c>
      <c r="J1457" s="2" t="s">
        <v>12</v>
      </c>
      <c r="K1457" s="2" t="s">
        <v>2176</v>
      </c>
      <c r="L1457" s="2">
        <f t="shared" si="22"/>
        <v>55</v>
      </c>
    </row>
    <row r="1458" spans="1:12" ht="25" customHeight="1">
      <c r="A1458" s="2" t="s">
        <v>12</v>
      </c>
      <c r="B1458" s="2" t="str">
        <f>HYPERLINK("http://m.12365auto.com/zjdy/20200227/121686.shtml","轮胎生产日期与车辆生产日期不一致怎么办？")</f>
        <v>轮胎生产日期与车辆生产日期不一致怎么办？</v>
      </c>
      <c r="C1458" s="2" t="s">
        <v>13</v>
      </c>
      <c r="D1458" s="2" t="s">
        <v>12</v>
      </c>
      <c r="E1458" s="2"/>
      <c r="F1458" s="2" t="str">
        <f>HYPERLINK("http://m.12365auto.com/zjdy/20200227/121686.shtml","http://m.12365auto.com/zjdy/20200227/121686.shtml")</f>
        <v>http://m.12365auto.com/zjdy/20200227/121686.shtml</v>
      </c>
      <c r="G1458" s="2"/>
      <c r="H1458" s="2" t="s">
        <v>2181</v>
      </c>
      <c r="I1458" s="2" t="s">
        <v>19</v>
      </c>
      <c r="J1458" s="2" t="s">
        <v>12</v>
      </c>
      <c r="K1458" s="2" t="s">
        <v>2182</v>
      </c>
      <c r="L1458" s="2">
        <f t="shared" si="22"/>
        <v>24</v>
      </c>
    </row>
    <row r="1459" spans="1:12" ht="25" customHeight="1">
      <c r="A1459" s="2" t="s">
        <v>12</v>
      </c>
      <c r="B1459" s="2" t="str">
        <f>HYPERLINK("http://www.12365auto.com/xcdg/20200227/419649.shtml","荣威科莱威实车到店 或将于3月份正式上市")</f>
        <v>荣威科莱威实车到店 或将于3月份正式上市</v>
      </c>
      <c r="C1459" s="2" t="s">
        <v>13</v>
      </c>
      <c r="D1459" s="2" t="s">
        <v>12</v>
      </c>
      <c r="E1459" s="2" t="s">
        <v>216</v>
      </c>
      <c r="F1459" s="2" t="str">
        <f>HYPERLINK("http://www.12365auto.com/xcdg/20200227/419649.shtml","http://www.12365auto.com/xcdg/20200227/419649.shtml")</f>
        <v>http://www.12365auto.com/xcdg/20200227/419649.shtml</v>
      </c>
      <c r="G1459" s="2"/>
      <c r="H1459" s="2" t="s">
        <v>2183</v>
      </c>
      <c r="I1459" s="2" t="s">
        <v>15</v>
      </c>
      <c r="J1459" s="2" t="s">
        <v>12</v>
      </c>
      <c r="K1459" s="2" t="s">
        <v>2184</v>
      </c>
      <c r="L1459" s="2">
        <f t="shared" si="22"/>
        <v>150</v>
      </c>
    </row>
    <row r="1460" spans="1:12" ht="25" customHeight="1">
      <c r="A1460" s="2" t="s">
        <v>12</v>
      </c>
      <c r="B1460" s="2" t="str">
        <f>HYPERLINK("http://m.12365auto.com/xcdg/20200227/419649.shtml","荣威科莱威实车到店 或将于3月份正式上市")</f>
        <v>荣威科莱威实车到店 或将于3月份正式上市</v>
      </c>
      <c r="C1460" s="2" t="s">
        <v>13</v>
      </c>
      <c r="D1460" s="2" t="s">
        <v>12</v>
      </c>
      <c r="E1460" s="2"/>
      <c r="F1460" s="2" t="str">
        <f>HYPERLINK("http://m.12365auto.com/xcdg/20200227/419649.shtml","http://m.12365auto.com/xcdg/20200227/419649.shtml")</f>
        <v>http://m.12365auto.com/xcdg/20200227/419649.shtml</v>
      </c>
      <c r="G1460" s="2"/>
      <c r="H1460" s="2" t="s">
        <v>2185</v>
      </c>
      <c r="I1460" s="2" t="s">
        <v>19</v>
      </c>
      <c r="J1460" s="2" t="s">
        <v>1305</v>
      </c>
      <c r="K1460" s="2" t="s">
        <v>2184</v>
      </c>
      <c r="L1460" s="2">
        <f t="shared" si="22"/>
        <v>150</v>
      </c>
    </row>
    <row r="1461" spans="1:12" ht="25" customHeight="1">
      <c r="A1461" s="2" t="s">
        <v>12</v>
      </c>
      <c r="B1461" s="2" t="str">
        <f>HYPERLINK("http://m.12365auto.com/zjdy/20200226/121678.shtml","发动机存在质量一般情况如何才能判断？")</f>
        <v>发动机存在质量一般情况如何才能判断？</v>
      </c>
      <c r="C1461" s="2" t="s">
        <v>13</v>
      </c>
      <c r="D1461" s="2" t="s">
        <v>12</v>
      </c>
      <c r="E1461" s="2"/>
      <c r="F1461" s="2" t="str">
        <f>HYPERLINK("http://m.12365auto.com/zjdy/20200226/121678.shtml","http://m.12365auto.com/zjdy/20200226/121678.shtml")</f>
        <v>http://m.12365auto.com/zjdy/20200226/121678.shtml</v>
      </c>
      <c r="G1461" s="2"/>
      <c r="H1461" s="2" t="s">
        <v>2186</v>
      </c>
      <c r="I1461" s="2" t="s">
        <v>19</v>
      </c>
      <c r="J1461" s="2" t="s">
        <v>12</v>
      </c>
      <c r="K1461" s="2" t="s">
        <v>2187</v>
      </c>
      <c r="L1461" s="2">
        <f t="shared" si="22"/>
        <v>16</v>
      </c>
    </row>
    <row r="1462" spans="1:12" ht="25" customHeight="1">
      <c r="A1462" s="2" t="s">
        <v>12</v>
      </c>
      <c r="B1462" s="2" t="str">
        <f>HYPERLINK("http://m.12365auto.com/zjdy/20200226/121675.shtml","亚洲龙凯美瑞以及阿特兹哪款车值得入手？")</f>
        <v>亚洲龙凯美瑞以及阿特兹哪款车值得入手？</v>
      </c>
      <c r="C1462" s="2" t="s">
        <v>13</v>
      </c>
      <c r="D1462" s="2" t="s">
        <v>12</v>
      </c>
      <c r="E1462" s="2"/>
      <c r="F1462" s="2" t="str">
        <f>HYPERLINK("http://m.12365auto.com/zjdy/20200226/121675.shtml","http://m.12365auto.com/zjdy/20200226/121675.shtml")</f>
        <v>http://m.12365auto.com/zjdy/20200226/121675.shtml</v>
      </c>
      <c r="G1462" s="2"/>
      <c r="H1462" s="2" t="s">
        <v>2188</v>
      </c>
      <c r="I1462" s="2" t="s">
        <v>19</v>
      </c>
      <c r="J1462" s="2" t="s">
        <v>12</v>
      </c>
      <c r="K1462" s="2" t="s">
        <v>2189</v>
      </c>
      <c r="L1462" s="2">
        <f t="shared" si="22"/>
        <v>25</v>
      </c>
    </row>
    <row r="1463" spans="1:12" ht="25" customHeight="1">
      <c r="A1463" s="2" t="s">
        <v>12</v>
      </c>
      <c r="B1463" s="2" t="str">
        <f>HYPERLINK("http://m.12365auto.com/zjdy/20200226/121674.shtml","卡罗拉时钟缝隙处掉入纸片会有什么影响？")</f>
        <v>卡罗拉时钟缝隙处掉入纸片会有什么影响？</v>
      </c>
      <c r="C1463" s="2" t="s">
        <v>13</v>
      </c>
      <c r="D1463" s="2" t="s">
        <v>12</v>
      </c>
      <c r="E1463" s="2"/>
      <c r="F1463" s="2" t="str">
        <f>HYPERLINK("http://m.12365auto.com/zjdy/20200226/121674.shtml","http://m.12365auto.com/zjdy/20200226/121674.shtml")</f>
        <v>http://m.12365auto.com/zjdy/20200226/121674.shtml</v>
      </c>
      <c r="G1463" s="2"/>
      <c r="H1463" s="2" t="s">
        <v>2190</v>
      </c>
      <c r="I1463" s="2" t="s">
        <v>19</v>
      </c>
      <c r="J1463" s="2" t="s">
        <v>12</v>
      </c>
      <c r="K1463" s="2" t="s">
        <v>2189</v>
      </c>
      <c r="L1463" s="2">
        <f t="shared" si="22"/>
        <v>71</v>
      </c>
    </row>
    <row r="1464" spans="1:12" ht="25" customHeight="1">
      <c r="A1464" s="2" t="s">
        <v>12</v>
      </c>
      <c r="B1464" s="2" t="str">
        <f>HYPERLINK("http://m.12365auto.com/zjdy/20200226/121673.shtml","丰田卡罗拉高速时存在异响该怎么办？")</f>
        <v>丰田卡罗拉高速时存在异响该怎么办？</v>
      </c>
      <c r="C1464" s="2" t="s">
        <v>13</v>
      </c>
      <c r="D1464" s="2" t="s">
        <v>12</v>
      </c>
      <c r="E1464" s="2"/>
      <c r="F1464" s="2" t="str">
        <f>HYPERLINK("http://m.12365auto.com/zjdy/20200226/121673.shtml","http://m.12365auto.com/zjdy/20200226/121673.shtml")</f>
        <v>http://m.12365auto.com/zjdy/20200226/121673.shtml</v>
      </c>
      <c r="G1464" s="2"/>
      <c r="H1464" s="2" t="s">
        <v>2191</v>
      </c>
      <c r="I1464" s="2" t="s">
        <v>19</v>
      </c>
      <c r="J1464" s="2" t="s">
        <v>12</v>
      </c>
      <c r="K1464" s="2" t="s">
        <v>2189</v>
      </c>
      <c r="L1464" s="2">
        <f t="shared" si="22"/>
        <v>25</v>
      </c>
    </row>
    <row r="1465" spans="1:12" ht="25" customHeight="1">
      <c r="A1465" s="2" t="s">
        <v>12</v>
      </c>
      <c r="B1465" s="2" t="str">
        <f>HYPERLINK("http://m.12365auto.com/zjdy/20200226/121672.shtml","车辆机油加入过量会对汽车有什么影响？")</f>
        <v>车辆机油加入过量会对汽车有什么影响？</v>
      </c>
      <c r="C1465" s="2" t="s">
        <v>13</v>
      </c>
      <c r="D1465" s="2" t="s">
        <v>12</v>
      </c>
      <c r="E1465" s="2"/>
      <c r="F1465" s="2" t="str">
        <f>HYPERLINK("http://m.12365auto.com/zjdy/20200226/121672.shtml","http://m.12365auto.com/zjdy/20200226/121672.shtml")</f>
        <v>http://m.12365auto.com/zjdy/20200226/121672.shtml</v>
      </c>
      <c r="G1465" s="2"/>
      <c r="H1465" s="2" t="s">
        <v>2192</v>
      </c>
      <c r="I1465" s="2" t="s">
        <v>19</v>
      </c>
      <c r="J1465" s="2" t="s">
        <v>12</v>
      </c>
      <c r="K1465" s="2" t="s">
        <v>2193</v>
      </c>
      <c r="L1465" s="2">
        <f t="shared" si="22"/>
        <v>41</v>
      </c>
    </row>
    <row r="1466" spans="1:12" ht="25" customHeight="1">
      <c r="A1466" s="2" t="s">
        <v>12</v>
      </c>
      <c r="B1466" s="2" t="str">
        <f>HYPERLINK("http://www.12365auto.com/xcdg/20200227/419646.shtml","生活加点蓝 雪铁龙C5 AirCross混动新车图解")</f>
        <v>生活加点蓝 雪铁龙C5 AirCross混动新车图解</v>
      </c>
      <c r="C1466" s="2" t="s">
        <v>13</v>
      </c>
      <c r="D1466" s="2" t="s">
        <v>12</v>
      </c>
      <c r="E1466" s="2" t="s">
        <v>216</v>
      </c>
      <c r="F1466" s="2" t="str">
        <f>HYPERLINK("http://www.12365auto.com/xcdg/20200227/419646.shtml","http://www.12365auto.com/xcdg/20200227/419646.shtml")</f>
        <v>http://www.12365auto.com/xcdg/20200227/419646.shtml</v>
      </c>
      <c r="G1466" s="2"/>
      <c r="H1466" s="2" t="s">
        <v>2194</v>
      </c>
      <c r="I1466" s="2" t="s">
        <v>15</v>
      </c>
      <c r="J1466" s="2" t="s">
        <v>12</v>
      </c>
      <c r="K1466" s="2" t="s">
        <v>2195</v>
      </c>
      <c r="L1466" s="2">
        <f t="shared" si="22"/>
        <v>150</v>
      </c>
    </row>
    <row r="1467" spans="1:12" ht="25" customHeight="1">
      <c r="A1467" s="2" t="s">
        <v>12</v>
      </c>
      <c r="B1467" s="2" t="str">
        <f>HYPERLINK("http://m.12365auto.com/xcdg/20200227/419647.shtml","2019款奥迪Q8日常实用性测试报告")</f>
        <v>2019款奥迪Q8日常实用性测试报告</v>
      </c>
      <c r="C1467" s="2" t="s">
        <v>13</v>
      </c>
      <c r="D1467" s="2" t="s">
        <v>12</v>
      </c>
      <c r="E1467" s="2"/>
      <c r="F1467" s="2" t="str">
        <f>HYPERLINK("http://m.12365auto.com/xcdg/20200227/419647.shtml","http://m.12365auto.com/xcdg/20200227/419647.shtml")</f>
        <v>http://m.12365auto.com/xcdg/20200227/419647.shtml</v>
      </c>
      <c r="G1467" s="2"/>
      <c r="H1467" s="2" t="s">
        <v>2196</v>
      </c>
      <c r="I1467" s="2" t="s">
        <v>19</v>
      </c>
      <c r="J1467" s="2" t="s">
        <v>1230</v>
      </c>
      <c r="K1467" s="2" t="s">
        <v>2195</v>
      </c>
      <c r="L1467" s="2">
        <f t="shared" si="22"/>
        <v>150</v>
      </c>
    </row>
    <row r="1468" spans="1:12" ht="25" customHeight="1">
      <c r="A1468" s="2" t="s">
        <v>12</v>
      </c>
      <c r="B1468" s="2" t="str">
        <f>HYPERLINK("http://m.12365auto.com/xcdg/20200227/419646.shtml","生活加点蓝 雪铁龙C5 AirCross混动新车图解")</f>
        <v>生活加点蓝 雪铁龙C5 AirCross混动新车图解</v>
      </c>
      <c r="C1468" s="2" t="s">
        <v>13</v>
      </c>
      <c r="D1468" s="2" t="s">
        <v>12</v>
      </c>
      <c r="E1468" s="2"/>
      <c r="F1468" s="2" t="str">
        <f>HYPERLINK("http://m.12365auto.com/xcdg/20200227/419646.shtml","http://m.12365auto.com/xcdg/20200227/419646.shtml")</f>
        <v>http://m.12365auto.com/xcdg/20200227/419646.shtml</v>
      </c>
      <c r="G1468" s="2"/>
      <c r="H1468" s="2" t="s">
        <v>2197</v>
      </c>
      <c r="I1468" s="2" t="s">
        <v>19</v>
      </c>
      <c r="J1468" s="2" t="s">
        <v>1326</v>
      </c>
      <c r="K1468" s="2" t="s">
        <v>2195</v>
      </c>
      <c r="L1468" s="2">
        <f t="shared" si="22"/>
        <v>150</v>
      </c>
    </row>
    <row r="1469" spans="1:12" ht="25" customHeight="1">
      <c r="A1469" s="2" t="s">
        <v>12</v>
      </c>
      <c r="B1469" s="2" t="str">
        <f>HYPERLINK("http://m.12365auto.com/dcbg/20200227/419645.shtml","2019年度国内小型车投诉排行榜")</f>
        <v>2019年度国内小型车投诉排行榜</v>
      </c>
      <c r="C1469" s="2" t="s">
        <v>13</v>
      </c>
      <c r="D1469" s="2" t="s">
        <v>12</v>
      </c>
      <c r="E1469" s="2"/>
      <c r="F1469" s="2" t="str">
        <f>HYPERLINK("http://m.12365auto.com/dcbg/20200227/419645.shtml","http://m.12365auto.com/dcbg/20200227/419645.shtml")</f>
        <v>http://m.12365auto.com/dcbg/20200227/419645.shtml</v>
      </c>
      <c r="G1469" s="2"/>
      <c r="H1469" s="2" t="s">
        <v>2198</v>
      </c>
      <c r="I1469" s="2" t="s">
        <v>19</v>
      </c>
      <c r="J1469" s="2" t="s">
        <v>1322</v>
      </c>
      <c r="K1469" s="2" t="s">
        <v>2195</v>
      </c>
      <c r="L1469" s="2">
        <f t="shared" si="22"/>
        <v>150</v>
      </c>
    </row>
    <row r="1470" spans="1:12" ht="25" customHeight="1">
      <c r="A1470" s="2" t="s">
        <v>12</v>
      </c>
      <c r="B1470" s="2" t="str">
        <f>HYPERLINK("http://www.12365auto.com/dcbg/20200227/419645.shtml","2019年度国内小型车投诉排行榜")</f>
        <v>2019年度国内小型车投诉排行榜</v>
      </c>
      <c r="C1470" s="2" t="s">
        <v>13</v>
      </c>
      <c r="D1470" s="2" t="s">
        <v>12</v>
      </c>
      <c r="E1470" s="2" t="s">
        <v>1319</v>
      </c>
      <c r="F1470" s="2" t="str">
        <f>HYPERLINK("http://www.12365auto.com/dcbg/20200227/419645.shtml","http://www.12365auto.com/dcbg/20200227/419645.shtml")</f>
        <v>http://www.12365auto.com/dcbg/20200227/419645.shtml</v>
      </c>
      <c r="G1470" s="2"/>
      <c r="H1470" s="2" t="s">
        <v>2199</v>
      </c>
      <c r="I1470" s="2" t="s">
        <v>15</v>
      </c>
      <c r="J1470" s="2" t="s">
        <v>12</v>
      </c>
      <c r="K1470" s="2" t="s">
        <v>2195</v>
      </c>
      <c r="L1470" s="2">
        <f t="shared" si="22"/>
        <v>150</v>
      </c>
    </row>
    <row r="1471" spans="1:12" ht="25" customHeight="1">
      <c r="A1471" s="2" t="s">
        <v>12</v>
      </c>
      <c r="B1471" s="2" t="str">
        <f>HYPERLINK("http://bbs.12365auto.com/postcontent.aspx?tId=195316","停车时不回正方向盘都有什么危害？")</f>
        <v>停车时不回正方向盘都有什么危害？</v>
      </c>
      <c r="C1471" s="2" t="s">
        <v>13</v>
      </c>
      <c r="D1471" s="2" t="s">
        <v>12</v>
      </c>
      <c r="E1471" s="2" t="s">
        <v>1397</v>
      </c>
      <c r="F1471" s="2" t="str">
        <f>HYPERLINK("http://bbs.12365auto.com/postcontent.aspx?tId=195316","http://bbs.12365auto.com/postcontent.aspx?tId=195316")</f>
        <v>http://bbs.12365auto.com/postcontent.aspx?tId=195316</v>
      </c>
      <c r="G1471" s="2"/>
      <c r="H1471" s="2" t="s">
        <v>2200</v>
      </c>
      <c r="I1471" s="2" t="s">
        <v>15</v>
      </c>
      <c r="J1471" s="2" t="s">
        <v>2201</v>
      </c>
      <c r="K1471" s="2" t="s">
        <v>2202</v>
      </c>
      <c r="L1471" s="2">
        <f t="shared" si="22"/>
        <v>150</v>
      </c>
    </row>
    <row r="1472" spans="1:12" ht="25" customHeight="1">
      <c r="A1472" s="2" t="s">
        <v>12</v>
      </c>
      <c r="B1472" s="2" t="str">
        <f>HYPERLINK("http://m.12365auto.com/bbs/postcontent.aspx?tID=195316","停车时不回正方向盘都有什么危害？")</f>
        <v>停车时不回正方向盘都有什么危害？</v>
      </c>
      <c r="C1472" s="2" t="s">
        <v>13</v>
      </c>
      <c r="D1472" s="2" t="s">
        <v>23</v>
      </c>
      <c r="E1472" s="2"/>
      <c r="F1472" s="2" t="str">
        <f>HYPERLINK("http://m.12365auto.com/bbs/postcontent.aspx?tID=195316","http://m.12365auto.com/bbs/postcontent.aspx?tID=195316")</f>
        <v>http://m.12365auto.com/bbs/postcontent.aspx?tID=195316</v>
      </c>
      <c r="G1472" s="2"/>
      <c r="H1472" s="2" t="s">
        <v>2200</v>
      </c>
      <c r="I1472" s="2" t="s">
        <v>15</v>
      </c>
      <c r="J1472" s="2" t="s">
        <v>2201</v>
      </c>
      <c r="K1472" s="2" t="s">
        <v>2202</v>
      </c>
      <c r="L1472" s="2">
        <f t="shared" si="22"/>
        <v>150</v>
      </c>
    </row>
    <row r="1473" spans="1:12" ht="25" customHeight="1">
      <c r="A1473" s="2" t="s">
        <v>12</v>
      </c>
      <c r="B1473" s="2" t="str">
        <f>HYPERLINK("http://bbs.12365auto.com/postcontent.aspx?tID=195316","停车时不回正方向盘都有什么危害？")</f>
        <v>停车时不回正方向盘都有什么危害？</v>
      </c>
      <c r="C1473" s="2" t="s">
        <v>13</v>
      </c>
      <c r="D1473" s="2" t="s">
        <v>12</v>
      </c>
      <c r="E1473" s="2" t="s">
        <v>1393</v>
      </c>
      <c r="F1473" s="2" t="str">
        <f>HYPERLINK("http://bbs.12365auto.com/postcontent.aspx?tID=195316","http://bbs.12365auto.com/postcontent.aspx?tID=195316")</f>
        <v>http://bbs.12365auto.com/postcontent.aspx?tID=195316</v>
      </c>
      <c r="G1473" s="2"/>
      <c r="H1473" s="2" t="s">
        <v>2203</v>
      </c>
      <c r="I1473" s="2" t="s">
        <v>15</v>
      </c>
      <c r="J1473" s="2" t="s">
        <v>2201</v>
      </c>
      <c r="K1473" s="2" t="s">
        <v>2202</v>
      </c>
      <c r="L1473" s="2">
        <f t="shared" si="22"/>
        <v>150</v>
      </c>
    </row>
    <row r="1474" spans="1:12" ht="25" customHeight="1">
      <c r="A1474" s="2" t="s">
        <v>12</v>
      </c>
      <c r="B1474" s="2" t="str">
        <f>HYPERLINK("http://www.12365auto.com/zlts/20200227/448944.shtml","高压油泵故障")</f>
        <v>高压油泵故障</v>
      </c>
      <c r="C1474" s="2" t="s">
        <v>13</v>
      </c>
      <c r="D1474" s="2" t="s">
        <v>12</v>
      </c>
      <c r="E1474" s="2"/>
      <c r="F1474" s="2" t="str">
        <f>HYPERLINK("http://www.12365auto.com/zlts/20200227/448944.shtml","http://www.12365auto.com/zlts/20200227/448944.shtml")</f>
        <v>http://www.12365auto.com/zlts/20200227/448944.shtml</v>
      </c>
      <c r="G1474" s="2"/>
      <c r="H1474" s="3" t="s">
        <v>2204</v>
      </c>
      <c r="I1474" s="2" t="s">
        <v>15</v>
      </c>
      <c r="J1474" s="2" t="s">
        <v>12</v>
      </c>
      <c r="K1474" s="2" t="s">
        <v>2205</v>
      </c>
      <c r="L1474" s="2">
        <f t="shared" si="22"/>
        <v>99</v>
      </c>
    </row>
    <row r="1475" spans="1:12" ht="25" customHeight="1">
      <c r="A1475" s="2" t="s">
        <v>12</v>
      </c>
      <c r="B1475" s="2" t="str">
        <f>HYPERLINK("http://www.12365auto.com/zlts/20200227/448943.shtml","吉利帝豪发动机抖动异响 中控台异响")</f>
        <v>吉利帝豪发动机抖动异响 中控台异响</v>
      </c>
      <c r="C1475" s="2" t="s">
        <v>13</v>
      </c>
      <c r="D1475" s="2" t="s">
        <v>12</v>
      </c>
      <c r="E1475" s="2" t="s">
        <v>17</v>
      </c>
      <c r="F1475" s="2" t="str">
        <f>HYPERLINK("http://www.12365auto.com/zlts/20200227/448943.shtml","http://www.12365auto.com/zlts/20200227/448943.shtml")</f>
        <v>http://www.12365auto.com/zlts/20200227/448943.shtml</v>
      </c>
      <c r="G1475" s="2"/>
      <c r="H1475" s="2" t="s">
        <v>2206</v>
      </c>
      <c r="I1475" s="2" t="s">
        <v>19</v>
      </c>
      <c r="J1475" s="2" t="s">
        <v>12</v>
      </c>
      <c r="K1475" s="2" t="s">
        <v>2207</v>
      </c>
      <c r="L1475" s="2">
        <f t="shared" ref="L1475:L1538" si="23">LEN(H1475)</f>
        <v>150</v>
      </c>
    </row>
    <row r="1476" spans="1:12" ht="25" customHeight="1">
      <c r="A1476" s="2" t="s">
        <v>12</v>
      </c>
      <c r="B1476" s="2" t="str">
        <f>HYPERLINK("http://www.12365auto.com/zlts/20200227/448940.shtml","上汽名爵ZS行驶较差路面时天窗控制区异响")</f>
        <v>上汽名爵ZS行驶较差路面时天窗控制区异响</v>
      </c>
      <c r="C1476" s="2" t="s">
        <v>13</v>
      </c>
      <c r="D1476" s="2" t="s">
        <v>12</v>
      </c>
      <c r="E1476" s="2" t="s">
        <v>17</v>
      </c>
      <c r="F1476" s="2" t="str">
        <f>HYPERLINK("http://www.12365auto.com/zlts/20200227/448940.shtml","http://www.12365auto.com/zlts/20200227/448940.shtml")</f>
        <v>http://www.12365auto.com/zlts/20200227/448940.shtml</v>
      </c>
      <c r="G1476" s="2"/>
      <c r="H1476" s="2" t="s">
        <v>2208</v>
      </c>
      <c r="I1476" s="2" t="s">
        <v>19</v>
      </c>
      <c r="J1476" s="2" t="s">
        <v>12</v>
      </c>
      <c r="K1476" s="2" t="s">
        <v>2209</v>
      </c>
      <c r="L1476" s="2">
        <f t="shared" si="23"/>
        <v>150</v>
      </c>
    </row>
    <row r="1477" spans="1:12" ht="25" customHeight="1">
      <c r="A1477" s="2" t="s">
        <v>12</v>
      </c>
      <c r="B1477" s="2" t="str">
        <f>HYPERLINK("http://www.12365auto.com/zlts/20200226/448934.shtml","该汽车出厂有很严重的质量问题")</f>
        <v>该汽车出厂有很严重的质量问题</v>
      </c>
      <c r="C1477" s="2" t="s">
        <v>13</v>
      </c>
      <c r="D1477" s="2" t="s">
        <v>12</v>
      </c>
      <c r="E1477" s="2"/>
      <c r="F1477" s="2" t="str">
        <f>HYPERLINK("http://www.12365auto.com/zlts/20200226/448934.shtml","http://www.12365auto.com/zlts/20200226/448934.shtml")</f>
        <v>http://www.12365auto.com/zlts/20200226/448934.shtml</v>
      </c>
      <c r="G1477" s="2"/>
      <c r="H1477" s="3" t="s">
        <v>2210</v>
      </c>
      <c r="I1477" s="2" t="s">
        <v>15</v>
      </c>
      <c r="J1477" s="2" t="s">
        <v>12</v>
      </c>
      <c r="K1477" s="2" t="s">
        <v>2211</v>
      </c>
      <c r="L1477" s="2">
        <f t="shared" si="23"/>
        <v>103</v>
      </c>
    </row>
    <row r="1478" spans="1:12" ht="25" customHeight="1">
      <c r="A1478" s="2" t="s">
        <v>12</v>
      </c>
      <c r="B1478" s="2" t="str">
        <f>HYPERLINK("http://www.12365auto.com/zlts/20200226/448928.shtml","变速箱无换挡")</f>
        <v>变速箱无换挡</v>
      </c>
      <c r="C1478" s="2" t="s">
        <v>13</v>
      </c>
      <c r="D1478" s="2" t="s">
        <v>12</v>
      </c>
      <c r="E1478" s="2"/>
      <c r="F1478" s="2" t="str">
        <f>HYPERLINK("http://www.12365auto.com/zlts/20200226/448928.shtml","http://www.12365auto.com/zlts/20200226/448928.shtml")</f>
        <v>http://www.12365auto.com/zlts/20200226/448928.shtml</v>
      </c>
      <c r="G1478" s="2"/>
      <c r="H1478" s="3" t="s">
        <v>2212</v>
      </c>
      <c r="I1478" s="2" t="s">
        <v>15</v>
      </c>
      <c r="J1478" s="2" t="s">
        <v>12</v>
      </c>
      <c r="K1478" s="2" t="s">
        <v>2213</v>
      </c>
      <c r="L1478" s="2">
        <f t="shared" si="23"/>
        <v>91</v>
      </c>
    </row>
    <row r="1479" spans="1:12" ht="25" customHeight="1">
      <c r="A1479" s="2" t="s">
        <v>12</v>
      </c>
      <c r="B1479" s="2" t="str">
        <f>HYPERLINK("http://www.12365auto.com/zlts/20200226/448937.shtml","上汽大众途观车轮异响一直无解决")</f>
        <v>上汽大众途观车轮异响一直无解决</v>
      </c>
      <c r="C1479" s="2" t="s">
        <v>13</v>
      </c>
      <c r="D1479" s="2" t="s">
        <v>12</v>
      </c>
      <c r="E1479" s="2" t="s">
        <v>17</v>
      </c>
      <c r="F1479" s="2" t="str">
        <f>HYPERLINK("http://www.12365auto.com/zlts/20200226/448937.shtml","http://www.12365auto.com/zlts/20200226/448937.shtml")</f>
        <v>http://www.12365auto.com/zlts/20200226/448937.shtml</v>
      </c>
      <c r="G1479" s="2"/>
      <c r="H1479" s="2" t="s">
        <v>2214</v>
      </c>
      <c r="I1479" s="2" t="s">
        <v>19</v>
      </c>
      <c r="J1479" s="2" t="s">
        <v>12</v>
      </c>
      <c r="K1479" s="2" t="s">
        <v>2215</v>
      </c>
      <c r="L1479" s="2">
        <f t="shared" si="23"/>
        <v>150</v>
      </c>
    </row>
    <row r="1480" spans="1:12" ht="25" customHeight="1">
      <c r="A1480" s="2" t="s">
        <v>12</v>
      </c>
      <c r="B1480" s="2" t="str">
        <f>HYPERLINK("http://www.12365auto.com/zlts/20200226/448935.shtml","广汽本田雅阁转向时方向盘出现卡滞")</f>
        <v>广汽本田雅阁转向时方向盘出现卡滞</v>
      </c>
      <c r="C1480" s="2" t="s">
        <v>13</v>
      </c>
      <c r="D1480" s="2" t="s">
        <v>12</v>
      </c>
      <c r="E1480" s="2" t="s">
        <v>17</v>
      </c>
      <c r="F1480" s="2" t="str">
        <f>HYPERLINK("http://www.12365auto.com/zlts/20200226/448935.shtml","http://www.12365auto.com/zlts/20200226/448935.shtml")</f>
        <v>http://www.12365auto.com/zlts/20200226/448935.shtml</v>
      </c>
      <c r="G1480" s="2"/>
      <c r="H1480" s="2" t="s">
        <v>2216</v>
      </c>
      <c r="I1480" s="2" t="s">
        <v>19</v>
      </c>
      <c r="J1480" s="2" t="s">
        <v>12</v>
      </c>
      <c r="K1480" s="2" t="s">
        <v>2217</v>
      </c>
      <c r="L1480" s="2">
        <f t="shared" si="23"/>
        <v>150</v>
      </c>
    </row>
    <row r="1481" spans="1:12" ht="25" customHeight="1">
      <c r="A1481" s="2" t="s">
        <v>12</v>
      </c>
      <c r="B1481" s="2" t="str">
        <f>HYPERLINK("http://www.12365auto.com/zlts/20200226/448929.shtml","华晨宝马5系刹车片及刹车盘异常磨损")</f>
        <v>华晨宝马5系刹车片及刹车盘异常磨损</v>
      </c>
      <c r="C1481" s="2" t="s">
        <v>13</v>
      </c>
      <c r="D1481" s="2" t="s">
        <v>12</v>
      </c>
      <c r="E1481" s="2" t="s">
        <v>17</v>
      </c>
      <c r="F1481" s="2" t="str">
        <f>HYPERLINK("http://www.12365auto.com/zlts/20200226/448929.shtml","http://www.12365auto.com/zlts/20200226/448929.shtml")</f>
        <v>http://www.12365auto.com/zlts/20200226/448929.shtml</v>
      </c>
      <c r="G1481" s="2"/>
      <c r="H1481" s="2" t="s">
        <v>2218</v>
      </c>
      <c r="I1481" s="2" t="s">
        <v>19</v>
      </c>
      <c r="J1481" s="2" t="s">
        <v>12</v>
      </c>
      <c r="K1481" s="2" t="s">
        <v>2219</v>
      </c>
      <c r="L1481" s="2">
        <f t="shared" si="23"/>
        <v>150</v>
      </c>
    </row>
    <row r="1482" spans="1:12" ht="25" customHeight="1">
      <c r="A1482" s="2" t="s">
        <v>12</v>
      </c>
      <c r="B1482" s="2" t="str">
        <f>HYPERLINK("http://www.12365auto.com/zlts/20200226/448924.shtml","车子异味严重，半袖油封渗油")</f>
        <v>车子异味严重，半袖油封渗油</v>
      </c>
      <c r="C1482" s="2" t="s">
        <v>13</v>
      </c>
      <c r="D1482" s="2" t="s">
        <v>12</v>
      </c>
      <c r="E1482" s="2"/>
      <c r="F1482" s="2" t="str">
        <f>HYPERLINK("http://www.12365auto.com/zlts/20200226/448924.shtml","http://www.12365auto.com/zlts/20200226/448924.shtml")</f>
        <v>http://www.12365auto.com/zlts/20200226/448924.shtml</v>
      </c>
      <c r="G1482" s="2"/>
      <c r="H1482" s="3" t="s">
        <v>2220</v>
      </c>
      <c r="I1482" s="2" t="s">
        <v>15</v>
      </c>
      <c r="J1482" s="2" t="s">
        <v>12</v>
      </c>
      <c r="K1482" s="2" t="s">
        <v>2221</v>
      </c>
      <c r="L1482" s="2">
        <f t="shared" si="23"/>
        <v>98</v>
      </c>
    </row>
    <row r="1483" spans="1:12" ht="25" customHeight="1">
      <c r="A1483" s="2" t="s">
        <v>12</v>
      </c>
      <c r="B1483" s="2" t="str">
        <f>HYPERLINK("http://www.12365auto.com/zlts/20200226/448921.shtml","上汽大众帕萨特正面碰撞测试A柱严重变形")</f>
        <v>上汽大众帕萨特正面碰撞测试A柱严重变形</v>
      </c>
      <c r="C1483" s="2" t="s">
        <v>13</v>
      </c>
      <c r="D1483" s="2" t="s">
        <v>12</v>
      </c>
      <c r="E1483" s="2"/>
      <c r="F1483" s="2" t="str">
        <f>HYPERLINK("http://www.12365auto.com/zlts/20200226/448921.shtml","http://www.12365auto.com/zlts/20200226/448921.shtml")</f>
        <v>http://www.12365auto.com/zlts/20200226/448921.shtml</v>
      </c>
      <c r="G1483" s="2"/>
      <c r="H1483" s="3" t="s">
        <v>2222</v>
      </c>
      <c r="I1483" s="2" t="s">
        <v>15</v>
      </c>
      <c r="J1483" s="2" t="s">
        <v>12</v>
      </c>
      <c r="K1483" s="2" t="s">
        <v>2223</v>
      </c>
      <c r="L1483" s="2">
        <f t="shared" si="23"/>
        <v>108</v>
      </c>
    </row>
    <row r="1484" spans="1:12" ht="25" customHeight="1">
      <c r="A1484" s="2" t="s">
        <v>12</v>
      </c>
      <c r="B1484" s="2" t="str">
        <f>HYPERLINK("http://www.12365auto.com/zlts/20200226/448922.shtml","上汽大众帕萨特变速箱机电单元故障")</f>
        <v>上汽大众帕萨特变速箱机电单元故障</v>
      </c>
      <c r="C1484" s="2" t="s">
        <v>13</v>
      </c>
      <c r="D1484" s="2" t="s">
        <v>12</v>
      </c>
      <c r="E1484" s="2" t="s">
        <v>17</v>
      </c>
      <c r="F1484" s="2" t="str">
        <f>HYPERLINK("http://www.12365auto.com/zlts/20200226/448922.shtml","http://www.12365auto.com/zlts/20200226/448922.shtml")</f>
        <v>http://www.12365auto.com/zlts/20200226/448922.shtml</v>
      </c>
      <c r="G1484" s="2"/>
      <c r="H1484" s="2" t="s">
        <v>2224</v>
      </c>
      <c r="I1484" s="2" t="s">
        <v>19</v>
      </c>
      <c r="J1484" s="2" t="s">
        <v>12</v>
      </c>
      <c r="K1484" s="2" t="s">
        <v>2225</v>
      </c>
      <c r="L1484" s="2">
        <f t="shared" si="23"/>
        <v>150</v>
      </c>
    </row>
    <row r="1485" spans="1:12" ht="25" customHeight="1">
      <c r="A1485" s="2" t="s">
        <v>12</v>
      </c>
      <c r="B1485" s="2" t="str">
        <f>HYPERLINK("http://www.12365auto.com/zlts/20200226/448907.shtml","中控屏闪烁")</f>
        <v>中控屏闪烁</v>
      </c>
      <c r="C1485" s="2" t="s">
        <v>13</v>
      </c>
      <c r="D1485" s="2" t="s">
        <v>12</v>
      </c>
      <c r="E1485" s="2"/>
      <c r="F1485" s="2" t="str">
        <f>HYPERLINK("http://www.12365auto.com/zlts/20200226/448907.shtml","http://www.12365auto.com/zlts/20200226/448907.shtml")</f>
        <v>http://www.12365auto.com/zlts/20200226/448907.shtml</v>
      </c>
      <c r="G1485" s="2"/>
      <c r="H1485" s="3" t="s">
        <v>2226</v>
      </c>
      <c r="I1485" s="2" t="s">
        <v>15</v>
      </c>
      <c r="J1485" s="2" t="s">
        <v>12</v>
      </c>
      <c r="K1485" s="2" t="s">
        <v>2227</v>
      </c>
      <c r="L1485" s="2">
        <f t="shared" si="23"/>
        <v>94</v>
      </c>
    </row>
    <row r="1486" spans="1:12" ht="25" customHeight="1">
      <c r="A1486" s="2" t="s">
        <v>12</v>
      </c>
      <c r="B1486" s="2" t="str">
        <f>HYPERLINK("http://www.12365auto.com/zlts/20200226/448919.shtml","海马S5变速箱故障灯闪烁希望尽快解决")</f>
        <v>海马S5变速箱故障灯闪烁希望尽快解决</v>
      </c>
      <c r="C1486" s="2" t="s">
        <v>13</v>
      </c>
      <c r="D1486" s="2" t="s">
        <v>12</v>
      </c>
      <c r="E1486" s="2" t="s">
        <v>17</v>
      </c>
      <c r="F1486" s="2" t="str">
        <f>HYPERLINK("http://www.12365auto.com/zlts/20200226/448919.shtml","http://www.12365auto.com/zlts/20200226/448919.shtml")</f>
        <v>http://www.12365auto.com/zlts/20200226/448919.shtml</v>
      </c>
      <c r="G1486" s="2"/>
      <c r="H1486" s="2" t="s">
        <v>2228</v>
      </c>
      <c r="I1486" s="2" t="s">
        <v>19</v>
      </c>
      <c r="J1486" s="2" t="s">
        <v>12</v>
      </c>
      <c r="K1486" s="2" t="s">
        <v>2229</v>
      </c>
      <c r="L1486" s="2">
        <f t="shared" si="23"/>
        <v>150</v>
      </c>
    </row>
    <row r="1487" spans="1:12" ht="25" customHeight="1">
      <c r="A1487" s="2" t="s">
        <v>12</v>
      </c>
      <c r="B1487" s="2" t="str">
        <f>HYPERLINK("http://www.12365auto.com/zlts/20200226/448914.shtml","东风本田思铂睿转向助力消失故障灯亮")</f>
        <v>东风本田思铂睿转向助力消失故障灯亮</v>
      </c>
      <c r="C1487" s="2" t="s">
        <v>13</v>
      </c>
      <c r="D1487" s="2" t="s">
        <v>12</v>
      </c>
      <c r="E1487" s="2" t="s">
        <v>17</v>
      </c>
      <c r="F1487" s="2" t="str">
        <f>HYPERLINK("http://www.12365auto.com/zlts/20200226/448914.shtml","http://www.12365auto.com/zlts/20200226/448914.shtml")</f>
        <v>http://www.12365auto.com/zlts/20200226/448914.shtml</v>
      </c>
      <c r="G1487" s="2"/>
      <c r="H1487" s="2" t="s">
        <v>2230</v>
      </c>
      <c r="I1487" s="2" t="s">
        <v>19</v>
      </c>
      <c r="J1487" s="2" t="s">
        <v>12</v>
      </c>
      <c r="K1487" s="2" t="s">
        <v>2231</v>
      </c>
      <c r="L1487" s="2">
        <f t="shared" si="23"/>
        <v>150</v>
      </c>
    </row>
    <row r="1488" spans="1:12" ht="25" customHeight="1">
      <c r="A1488" s="2" t="s">
        <v>12</v>
      </c>
      <c r="B1488" s="2" t="str">
        <f>HYPERLINK("http://bbs.12365auto.com/postcontent.aspx?tId=195314","雷凌低速加油发动机啦咔咔响")</f>
        <v>雷凌低速加油发动机啦咔咔响</v>
      </c>
      <c r="C1488" s="2" t="s">
        <v>13</v>
      </c>
      <c r="D1488" s="2" t="s">
        <v>12</v>
      </c>
      <c r="E1488" s="2" t="s">
        <v>66</v>
      </c>
      <c r="F1488" s="2" t="str">
        <f>HYPERLINK("http://bbs.12365auto.com/postcontent.aspx?tId=195314","http://bbs.12365auto.com/postcontent.aspx?tId=195314")</f>
        <v>http://bbs.12365auto.com/postcontent.aspx?tId=195314</v>
      </c>
      <c r="G1488" s="2"/>
      <c r="H1488" s="2" t="s">
        <v>2232</v>
      </c>
      <c r="I1488" s="2" t="s">
        <v>15</v>
      </c>
      <c r="J1488" s="2" t="s">
        <v>2233</v>
      </c>
      <c r="K1488" s="2" t="s">
        <v>2234</v>
      </c>
      <c r="L1488" s="2">
        <f t="shared" si="23"/>
        <v>45</v>
      </c>
    </row>
    <row r="1489" spans="1:12" ht="25" customHeight="1">
      <c r="A1489" s="2" t="s">
        <v>12</v>
      </c>
      <c r="B1489" s="2" t="str">
        <f>HYPERLINK("http://m.12365auto.com/bbs/postcontent.aspx?tID=195314","雷凌低速加油发动机啦咔咔响")</f>
        <v>雷凌低速加油发动机啦咔咔响</v>
      </c>
      <c r="C1489" s="2" t="s">
        <v>13</v>
      </c>
      <c r="D1489" s="2" t="s">
        <v>23</v>
      </c>
      <c r="E1489" s="2"/>
      <c r="F1489" s="2" t="str">
        <f>HYPERLINK("http://m.12365auto.com/bbs/postcontent.aspx?tID=195314","http://m.12365auto.com/bbs/postcontent.aspx?tID=195314")</f>
        <v>http://m.12365auto.com/bbs/postcontent.aspx?tID=195314</v>
      </c>
      <c r="G1489" s="2"/>
      <c r="H1489" s="2" t="s">
        <v>2232</v>
      </c>
      <c r="I1489" s="2" t="s">
        <v>15</v>
      </c>
      <c r="J1489" s="2" t="s">
        <v>2233</v>
      </c>
      <c r="K1489" s="2" t="s">
        <v>2234</v>
      </c>
      <c r="L1489" s="2">
        <f t="shared" si="23"/>
        <v>45</v>
      </c>
    </row>
    <row r="1490" spans="1:12" ht="25" customHeight="1">
      <c r="A1490" s="2" t="s">
        <v>12</v>
      </c>
      <c r="B1490" s="2" t="str">
        <f>HYPERLINK("http://bbs.12365auto.com/postcontent.aspx?tID=195314","雷凌低速加油发动机啦咔咔响")</f>
        <v>雷凌低速加油发动机啦咔咔响</v>
      </c>
      <c r="C1490" s="2" t="s">
        <v>13</v>
      </c>
      <c r="D1490" s="2" t="s">
        <v>12</v>
      </c>
      <c r="E1490" s="2" t="s">
        <v>67</v>
      </c>
      <c r="F1490" s="2" t="str">
        <f>HYPERLINK("http://bbs.12365auto.com/postcontent.aspx?tID=195314","http://bbs.12365auto.com/postcontent.aspx?tID=195314")</f>
        <v>http://bbs.12365auto.com/postcontent.aspx?tID=195314</v>
      </c>
      <c r="G1490" s="2"/>
      <c r="H1490" s="2" t="s">
        <v>2235</v>
      </c>
      <c r="I1490" s="2" t="s">
        <v>15</v>
      </c>
      <c r="J1490" s="2" t="s">
        <v>2233</v>
      </c>
      <c r="K1490" s="2" t="s">
        <v>2234</v>
      </c>
      <c r="L1490" s="2">
        <f t="shared" si="23"/>
        <v>58</v>
      </c>
    </row>
    <row r="1491" spans="1:12" ht="25" customHeight="1">
      <c r="A1491" s="2" t="s">
        <v>12</v>
      </c>
      <c r="B1491" s="2" t="str">
        <f>HYPERLINK("http://www.12365auto.com/zlts/20200226/448913.shtml","比亚迪S7变速箱异响跳挡希望厂家处理")</f>
        <v>比亚迪S7变速箱异响跳挡希望厂家处理</v>
      </c>
      <c r="C1491" s="2" t="s">
        <v>13</v>
      </c>
      <c r="D1491" s="2" t="s">
        <v>12</v>
      </c>
      <c r="E1491" s="2" t="s">
        <v>17</v>
      </c>
      <c r="F1491" s="2" t="str">
        <f>HYPERLINK("http://www.12365auto.com/zlts/20200226/448913.shtml","http://www.12365auto.com/zlts/20200226/448913.shtml")</f>
        <v>http://www.12365auto.com/zlts/20200226/448913.shtml</v>
      </c>
      <c r="G1491" s="2"/>
      <c r="H1491" s="2" t="s">
        <v>2236</v>
      </c>
      <c r="I1491" s="2" t="s">
        <v>19</v>
      </c>
      <c r="J1491" s="2" t="s">
        <v>12</v>
      </c>
      <c r="K1491" s="2" t="s">
        <v>2237</v>
      </c>
      <c r="L1491" s="2">
        <f t="shared" si="23"/>
        <v>150</v>
      </c>
    </row>
    <row r="1492" spans="1:12" ht="25" customHeight="1">
      <c r="A1492" s="2" t="s">
        <v>12</v>
      </c>
      <c r="B1492" s="2" t="str">
        <f>HYPERLINK("http://www.12365auto.com/zlts/20200226/448912.shtml","东南DX3转向间隙过大有异响维修未解决")</f>
        <v>东南DX3转向间隙过大有异响维修未解决</v>
      </c>
      <c r="C1492" s="2" t="s">
        <v>13</v>
      </c>
      <c r="D1492" s="2" t="s">
        <v>12</v>
      </c>
      <c r="E1492" s="2" t="s">
        <v>17</v>
      </c>
      <c r="F1492" s="2" t="str">
        <f>HYPERLINK("http://www.12365auto.com/zlts/20200226/448912.shtml","http://www.12365auto.com/zlts/20200226/448912.shtml")</f>
        <v>http://www.12365auto.com/zlts/20200226/448912.shtml</v>
      </c>
      <c r="G1492" s="2"/>
      <c r="H1492" s="2" t="s">
        <v>2238</v>
      </c>
      <c r="I1492" s="2" t="s">
        <v>19</v>
      </c>
      <c r="J1492" s="2" t="s">
        <v>12</v>
      </c>
      <c r="K1492" s="2" t="s">
        <v>2239</v>
      </c>
      <c r="L1492" s="2">
        <f t="shared" si="23"/>
        <v>150</v>
      </c>
    </row>
    <row r="1493" spans="1:12" ht="25" customHeight="1">
      <c r="A1493" s="2" t="s">
        <v>12</v>
      </c>
      <c r="B1493" s="2" t="str">
        <f>HYPERLINK("http://www.12365auto.com/zlts/20200226/448908.shtml","上汽大众途观L保险杠与翼子板接缝处掉漆")</f>
        <v>上汽大众途观L保险杠与翼子板接缝处掉漆</v>
      </c>
      <c r="C1493" s="2" t="s">
        <v>13</v>
      </c>
      <c r="D1493" s="2" t="s">
        <v>12</v>
      </c>
      <c r="E1493" s="2" t="s">
        <v>17</v>
      </c>
      <c r="F1493" s="2" t="str">
        <f>HYPERLINK("http://www.12365auto.com/zlts/20200226/448908.shtml","http://www.12365auto.com/zlts/20200226/448908.shtml")</f>
        <v>http://www.12365auto.com/zlts/20200226/448908.shtml</v>
      </c>
      <c r="G1493" s="2"/>
      <c r="H1493" s="2" t="s">
        <v>2240</v>
      </c>
      <c r="I1493" s="2" t="s">
        <v>19</v>
      </c>
      <c r="J1493" s="2" t="s">
        <v>12</v>
      </c>
      <c r="K1493" s="2" t="s">
        <v>2241</v>
      </c>
      <c r="L1493" s="2">
        <f t="shared" si="23"/>
        <v>150</v>
      </c>
    </row>
    <row r="1494" spans="1:12" ht="25" customHeight="1">
      <c r="A1494" s="2" t="s">
        <v>12</v>
      </c>
      <c r="B1494" s="2" t="str">
        <f>HYPERLINK("http://www.12365auto.com/zlts/20200226/448906.shtml","上汽大众帕萨特变速箱异响厂家未回复")</f>
        <v>上汽大众帕萨特变速箱异响厂家未回复</v>
      </c>
      <c r="C1494" s="2" t="s">
        <v>13</v>
      </c>
      <c r="D1494" s="2" t="s">
        <v>12</v>
      </c>
      <c r="E1494" s="2" t="s">
        <v>17</v>
      </c>
      <c r="F1494" s="2" t="str">
        <f>HYPERLINK("http://www.12365auto.com/zlts/20200226/448906.shtml","http://www.12365auto.com/zlts/20200226/448906.shtml")</f>
        <v>http://www.12365auto.com/zlts/20200226/448906.shtml</v>
      </c>
      <c r="G1494" s="2"/>
      <c r="H1494" s="2" t="s">
        <v>2242</v>
      </c>
      <c r="I1494" s="2" t="s">
        <v>19</v>
      </c>
      <c r="J1494" s="2" t="s">
        <v>12</v>
      </c>
      <c r="K1494" s="2" t="s">
        <v>2243</v>
      </c>
      <c r="L1494" s="2">
        <f t="shared" si="23"/>
        <v>150</v>
      </c>
    </row>
    <row r="1495" spans="1:12" ht="25" customHeight="1">
      <c r="A1495" s="2" t="s">
        <v>12</v>
      </c>
      <c r="B1495" s="2" t="str">
        <f>HYPERLINK("http://www.12365auto.com/zlts/20200226/448904.shtml","一汽丰田亚洲龙销售承诺赠送礼品未兑现")</f>
        <v>一汽丰田亚洲龙销售承诺赠送礼品未兑现</v>
      </c>
      <c r="C1495" s="2" t="s">
        <v>13</v>
      </c>
      <c r="D1495" s="2" t="s">
        <v>12</v>
      </c>
      <c r="E1495" s="2" t="s">
        <v>17</v>
      </c>
      <c r="F1495" s="2" t="str">
        <f>HYPERLINK("http://www.12365auto.com/zlts/20200226/448904.shtml","http://www.12365auto.com/zlts/20200226/448904.shtml")</f>
        <v>http://www.12365auto.com/zlts/20200226/448904.shtml</v>
      </c>
      <c r="G1495" s="2"/>
      <c r="H1495" s="2" t="s">
        <v>2244</v>
      </c>
      <c r="I1495" s="2" t="s">
        <v>19</v>
      </c>
      <c r="J1495" s="2" t="s">
        <v>12</v>
      </c>
      <c r="K1495" s="2" t="s">
        <v>2245</v>
      </c>
      <c r="L1495" s="2">
        <f t="shared" si="23"/>
        <v>150</v>
      </c>
    </row>
    <row r="1496" spans="1:12" ht="25" customHeight="1">
      <c r="A1496" s="2" t="s">
        <v>12</v>
      </c>
      <c r="B1496" s="2" t="str">
        <f>HYPERLINK("http://www.12365auto.com/zlts/20200226/448903.shtml","郑州日产途达电瓶亏电导致无法启动")</f>
        <v>郑州日产途达电瓶亏电导致无法启动</v>
      </c>
      <c r="C1496" s="2" t="s">
        <v>13</v>
      </c>
      <c r="D1496" s="2" t="s">
        <v>12</v>
      </c>
      <c r="E1496" s="2" t="s">
        <v>17</v>
      </c>
      <c r="F1496" s="2" t="str">
        <f>HYPERLINK("http://www.12365auto.com/zlts/20200226/448903.shtml","http://www.12365auto.com/zlts/20200226/448903.shtml")</f>
        <v>http://www.12365auto.com/zlts/20200226/448903.shtml</v>
      </c>
      <c r="G1496" s="2"/>
      <c r="H1496" s="2" t="s">
        <v>2246</v>
      </c>
      <c r="I1496" s="2" t="s">
        <v>19</v>
      </c>
      <c r="J1496" s="2" t="s">
        <v>12</v>
      </c>
      <c r="K1496" s="2" t="s">
        <v>2247</v>
      </c>
      <c r="L1496" s="2">
        <f t="shared" si="23"/>
        <v>150</v>
      </c>
    </row>
    <row r="1497" spans="1:12" ht="25" customHeight="1">
      <c r="A1497" s="2" t="s">
        <v>12</v>
      </c>
      <c r="B1497" s="2" t="str">
        <f>HYPERLINK("http://www.12365auto.com/zlts/20200226/448902.shtml","众泰Z700导航屏失灵维修无配件更换")</f>
        <v>众泰Z700导航屏失灵维修无配件更换</v>
      </c>
      <c r="C1497" s="2" t="s">
        <v>13</v>
      </c>
      <c r="D1497" s="2" t="s">
        <v>12</v>
      </c>
      <c r="E1497" s="2" t="s">
        <v>17</v>
      </c>
      <c r="F1497" s="2" t="str">
        <f>HYPERLINK("http://www.12365auto.com/zlts/20200226/448902.shtml","http://www.12365auto.com/zlts/20200226/448902.shtml")</f>
        <v>http://www.12365auto.com/zlts/20200226/448902.shtml</v>
      </c>
      <c r="G1497" s="2"/>
      <c r="H1497" s="2" t="s">
        <v>2248</v>
      </c>
      <c r="I1497" s="2" t="s">
        <v>19</v>
      </c>
      <c r="J1497" s="2" t="s">
        <v>12</v>
      </c>
      <c r="K1497" s="2" t="s">
        <v>2249</v>
      </c>
      <c r="L1497" s="2">
        <f t="shared" si="23"/>
        <v>150</v>
      </c>
    </row>
    <row r="1498" spans="1:12" ht="25" customHeight="1">
      <c r="A1498" s="2" t="s">
        <v>12</v>
      </c>
      <c r="B1498" s="2" t="str">
        <f>HYPERLINK("http://www.12365auto.com/zlts/20200226/448898.shtml","上汽名爵6发动机故障灯亮希望厂家处理")</f>
        <v>上汽名爵6发动机故障灯亮希望厂家处理</v>
      </c>
      <c r="C1498" s="2" t="s">
        <v>13</v>
      </c>
      <c r="D1498" s="2" t="s">
        <v>12</v>
      </c>
      <c r="E1498" s="2" t="s">
        <v>17</v>
      </c>
      <c r="F1498" s="2" t="str">
        <f>HYPERLINK("http://www.12365auto.com/zlts/20200226/448898.shtml","http://www.12365auto.com/zlts/20200226/448898.shtml")</f>
        <v>http://www.12365auto.com/zlts/20200226/448898.shtml</v>
      </c>
      <c r="G1498" s="2"/>
      <c r="H1498" s="2" t="s">
        <v>2250</v>
      </c>
      <c r="I1498" s="2" t="s">
        <v>19</v>
      </c>
      <c r="J1498" s="2" t="s">
        <v>12</v>
      </c>
      <c r="K1498" s="2" t="s">
        <v>2251</v>
      </c>
      <c r="L1498" s="2">
        <f t="shared" si="23"/>
        <v>150</v>
      </c>
    </row>
    <row r="1499" spans="1:12" ht="25" customHeight="1">
      <c r="A1499" s="2" t="s">
        <v>12</v>
      </c>
      <c r="B1499" s="2" t="str">
        <f>HYPERLINK("http://m.12365auto.com/zjdy/20200226/121670.shtml","启动后变速箱有异响是什么原因导致的？")</f>
        <v>启动后变速箱有异响是什么原因导致的？</v>
      </c>
      <c r="C1499" s="2" t="s">
        <v>13</v>
      </c>
      <c r="D1499" s="2" t="s">
        <v>12</v>
      </c>
      <c r="E1499" s="2"/>
      <c r="F1499" s="2" t="str">
        <f>HYPERLINK("http://m.12365auto.com/zjdy/20200226/121670.shtml","http://m.12365auto.com/zjdy/20200226/121670.shtml")</f>
        <v>http://m.12365auto.com/zjdy/20200226/121670.shtml</v>
      </c>
      <c r="G1499" s="2"/>
      <c r="H1499" s="2" t="s">
        <v>2252</v>
      </c>
      <c r="I1499" s="2" t="s">
        <v>19</v>
      </c>
      <c r="J1499" s="2" t="s">
        <v>12</v>
      </c>
      <c r="K1499" s="2" t="s">
        <v>2253</v>
      </c>
      <c r="L1499" s="2">
        <f t="shared" si="23"/>
        <v>39</v>
      </c>
    </row>
    <row r="1500" spans="1:12" ht="25" customHeight="1">
      <c r="A1500" s="2" t="s">
        <v>12</v>
      </c>
      <c r="B1500" s="2" t="str">
        <f>HYPERLINK("http://www.12365auto.com/zlts/20200226/448892.shtml","广汽丰田凯美瑞方向盘不正 车辆跑偏")</f>
        <v>广汽丰田凯美瑞方向盘不正 车辆跑偏</v>
      </c>
      <c r="C1500" s="2" t="s">
        <v>13</v>
      </c>
      <c r="D1500" s="2" t="s">
        <v>12</v>
      </c>
      <c r="E1500" s="2" t="s">
        <v>17</v>
      </c>
      <c r="F1500" s="2" t="str">
        <f>HYPERLINK("http://www.12365auto.com/zlts/20200226/448892.shtml","http://www.12365auto.com/zlts/20200226/448892.shtml")</f>
        <v>http://www.12365auto.com/zlts/20200226/448892.shtml</v>
      </c>
      <c r="G1500" s="2"/>
      <c r="H1500" s="2" t="s">
        <v>2254</v>
      </c>
      <c r="I1500" s="2" t="s">
        <v>19</v>
      </c>
      <c r="J1500" s="2" t="s">
        <v>12</v>
      </c>
      <c r="K1500" s="2" t="s">
        <v>2255</v>
      </c>
      <c r="L1500" s="2">
        <f t="shared" si="23"/>
        <v>150</v>
      </c>
    </row>
    <row r="1501" spans="1:12" ht="25" customHeight="1">
      <c r="A1501" s="2" t="s">
        <v>12</v>
      </c>
      <c r="B1501" s="2" t="str">
        <f>HYPERLINK("http://www.12365auto.com/zlts/20200226/448890.shtml","丰田威驰中控台异响车身共振 倒车影像模糊")</f>
        <v>丰田威驰中控台异响车身共振 倒车影像模糊</v>
      </c>
      <c r="C1501" s="2" t="s">
        <v>13</v>
      </c>
      <c r="D1501" s="2" t="s">
        <v>12</v>
      </c>
      <c r="E1501" s="2" t="s">
        <v>17</v>
      </c>
      <c r="F1501" s="2" t="str">
        <f>HYPERLINK("http://www.12365auto.com/zlts/20200226/448890.shtml","http://www.12365auto.com/zlts/20200226/448890.shtml")</f>
        <v>http://www.12365auto.com/zlts/20200226/448890.shtml</v>
      </c>
      <c r="G1501" s="2"/>
      <c r="H1501" s="2" t="s">
        <v>2256</v>
      </c>
      <c r="I1501" s="2" t="s">
        <v>15</v>
      </c>
      <c r="J1501" s="2" t="s">
        <v>12</v>
      </c>
      <c r="K1501" s="2" t="s">
        <v>2257</v>
      </c>
      <c r="L1501" s="2">
        <f t="shared" si="23"/>
        <v>150</v>
      </c>
    </row>
    <row r="1502" spans="1:12" ht="25" customHeight="1">
      <c r="A1502" s="2" t="s">
        <v>12</v>
      </c>
      <c r="B1502" s="2" t="str">
        <f>HYPERLINK("http://www.12365auto.com/zlts/20200226/448888.shtml","广汽丰田凯美瑞右前半轴漏油希望厂家处理")</f>
        <v>广汽丰田凯美瑞右前半轴漏油希望厂家处理</v>
      </c>
      <c r="C1502" s="2" t="s">
        <v>13</v>
      </c>
      <c r="D1502" s="2" t="s">
        <v>12</v>
      </c>
      <c r="E1502" s="2" t="s">
        <v>17</v>
      </c>
      <c r="F1502" s="2" t="str">
        <f>HYPERLINK("http://www.12365auto.com/zlts/20200226/448888.shtml","http://www.12365auto.com/zlts/20200226/448888.shtml")</f>
        <v>http://www.12365auto.com/zlts/20200226/448888.shtml</v>
      </c>
      <c r="G1502" s="2"/>
      <c r="H1502" s="2" t="s">
        <v>2258</v>
      </c>
      <c r="I1502" s="2" t="s">
        <v>19</v>
      </c>
      <c r="J1502" s="2" t="s">
        <v>12</v>
      </c>
      <c r="K1502" s="2" t="s">
        <v>2259</v>
      </c>
      <c r="L1502" s="2">
        <f t="shared" si="23"/>
        <v>150</v>
      </c>
    </row>
    <row r="1503" spans="1:12" ht="25" customHeight="1">
      <c r="A1503" s="2" t="s">
        <v>12</v>
      </c>
      <c r="B1503" s="2" t="str">
        <f>HYPERLINK("http://bbs.12365auto.com/postcontent.aspx?tId=195308","2019款雷凌异味问题很严重")</f>
        <v>2019款雷凌异味问题很严重</v>
      </c>
      <c r="C1503" s="2" t="s">
        <v>13</v>
      </c>
      <c r="D1503" s="2" t="s">
        <v>12</v>
      </c>
      <c r="E1503" s="2" t="s">
        <v>66</v>
      </c>
      <c r="F1503" s="2" t="str">
        <f>HYPERLINK("http://bbs.12365auto.com/postcontent.aspx?tId=195308","http://bbs.12365auto.com/postcontent.aspx?tId=195308")</f>
        <v>http://bbs.12365auto.com/postcontent.aspx?tId=195308</v>
      </c>
      <c r="G1503" s="2"/>
      <c r="H1503" s="2" t="s">
        <v>2260</v>
      </c>
      <c r="I1503" s="2" t="s">
        <v>15</v>
      </c>
      <c r="J1503" s="2" t="s">
        <v>2261</v>
      </c>
      <c r="K1503" s="2" t="s">
        <v>2262</v>
      </c>
      <c r="L1503" s="2">
        <f t="shared" si="23"/>
        <v>59</v>
      </c>
    </row>
    <row r="1504" spans="1:12" ht="25" customHeight="1">
      <c r="A1504" s="2" t="s">
        <v>12</v>
      </c>
      <c r="B1504" s="2" t="str">
        <f>HYPERLINK("http://m.12365auto.com/bbs/postcontent.aspx?tID=195308","2019款雷凌异味问题很严重")</f>
        <v>2019款雷凌异味问题很严重</v>
      </c>
      <c r="C1504" s="2" t="s">
        <v>13</v>
      </c>
      <c r="D1504" s="2" t="s">
        <v>23</v>
      </c>
      <c r="E1504" s="2"/>
      <c r="F1504" s="2" t="str">
        <f>HYPERLINK("http://m.12365auto.com/bbs/postcontent.aspx?tID=195308","http://m.12365auto.com/bbs/postcontent.aspx?tID=195308")</f>
        <v>http://m.12365auto.com/bbs/postcontent.aspx?tID=195308</v>
      </c>
      <c r="G1504" s="2"/>
      <c r="H1504" s="2" t="s">
        <v>2260</v>
      </c>
      <c r="I1504" s="2" t="s">
        <v>15</v>
      </c>
      <c r="J1504" s="2" t="s">
        <v>2261</v>
      </c>
      <c r="K1504" s="2" t="s">
        <v>2262</v>
      </c>
      <c r="L1504" s="2">
        <f t="shared" si="23"/>
        <v>59</v>
      </c>
    </row>
    <row r="1505" spans="1:12" ht="25" customHeight="1">
      <c r="A1505" s="2" t="s">
        <v>12</v>
      </c>
      <c r="B1505" s="2" t="str">
        <f>HYPERLINK("http://bbs.12365auto.com/postcontent.aspx?tID=195308","2019款雷凌异味问题很严重")</f>
        <v>2019款雷凌异味问题很严重</v>
      </c>
      <c r="C1505" s="2" t="s">
        <v>13</v>
      </c>
      <c r="D1505" s="2" t="s">
        <v>12</v>
      </c>
      <c r="E1505" s="2" t="s">
        <v>67</v>
      </c>
      <c r="F1505" s="2" t="str">
        <f>HYPERLINK("http://bbs.12365auto.com/postcontent.aspx?tID=195308","http://bbs.12365auto.com/postcontent.aspx?tID=195308")</f>
        <v>http://bbs.12365auto.com/postcontent.aspx?tID=195308</v>
      </c>
      <c r="G1505" s="2"/>
      <c r="H1505" s="2" t="s">
        <v>2263</v>
      </c>
      <c r="I1505" s="2" t="s">
        <v>15</v>
      </c>
      <c r="J1505" s="2" t="s">
        <v>2261</v>
      </c>
      <c r="K1505" s="2" t="s">
        <v>2262</v>
      </c>
      <c r="L1505" s="2">
        <f t="shared" si="23"/>
        <v>73</v>
      </c>
    </row>
    <row r="1506" spans="1:12" ht="25" customHeight="1">
      <c r="A1506" s="2" t="s">
        <v>12</v>
      </c>
      <c r="B1506" s="2" t="str">
        <f>HYPERLINK("http://www.12365auto.com/zlts/20200226/448885.shtml","东风标致3008节温器故障导致发动机故障灯亮")</f>
        <v>东风标致3008节温器故障导致发动机故障灯亮</v>
      </c>
      <c r="C1506" s="2" t="s">
        <v>13</v>
      </c>
      <c r="D1506" s="2" t="s">
        <v>12</v>
      </c>
      <c r="E1506" s="2" t="s">
        <v>17</v>
      </c>
      <c r="F1506" s="2" t="str">
        <f>HYPERLINK("http://www.12365auto.com/zlts/20200226/448885.shtml","http://www.12365auto.com/zlts/20200226/448885.shtml")</f>
        <v>http://www.12365auto.com/zlts/20200226/448885.shtml</v>
      </c>
      <c r="G1506" s="2"/>
      <c r="H1506" s="2" t="s">
        <v>2264</v>
      </c>
      <c r="I1506" s="2" t="s">
        <v>19</v>
      </c>
      <c r="J1506" s="2" t="s">
        <v>12</v>
      </c>
      <c r="K1506" s="2" t="s">
        <v>2265</v>
      </c>
      <c r="L1506" s="2">
        <f t="shared" si="23"/>
        <v>150</v>
      </c>
    </row>
    <row r="1507" spans="1:12" ht="25" customHeight="1">
      <c r="A1507" s="2" t="s">
        <v>12</v>
      </c>
      <c r="B1507" s="2" t="str">
        <f>HYPERLINK("http://m.12365auto.com/zjdy/20200226/121668.shtml","以下几款车当中哪款车家用比较好？")</f>
        <v>以下几款车当中哪款车家用比较好？</v>
      </c>
      <c r="C1507" s="2" t="s">
        <v>13</v>
      </c>
      <c r="D1507" s="2" t="s">
        <v>12</v>
      </c>
      <c r="E1507" s="2"/>
      <c r="F1507" s="2" t="str">
        <f>HYPERLINK("http://m.12365auto.com/zjdy/20200226/121668.shtml","http://m.12365auto.com/zjdy/20200226/121668.shtml")</f>
        <v>http://m.12365auto.com/zjdy/20200226/121668.shtml</v>
      </c>
      <c r="G1507" s="2"/>
      <c r="H1507" s="2" t="s">
        <v>2266</v>
      </c>
      <c r="I1507" s="2" t="s">
        <v>19</v>
      </c>
      <c r="J1507" s="2" t="s">
        <v>12</v>
      </c>
      <c r="K1507" s="2" t="s">
        <v>2267</v>
      </c>
      <c r="L1507" s="2">
        <f t="shared" si="23"/>
        <v>80</v>
      </c>
    </row>
    <row r="1508" spans="1:12" ht="25" customHeight="1">
      <c r="A1508" s="2" t="s">
        <v>12</v>
      </c>
      <c r="B1508" s="2" t="str">
        <f>HYPERLINK("http://m.12365auto.com/zjdy/20200226/121667.shtml","东风悦达起亚K3换挡延迟是什么原因？")</f>
        <v>东风悦达起亚K3换挡延迟是什么原因？</v>
      </c>
      <c r="C1508" s="2" t="s">
        <v>13</v>
      </c>
      <c r="D1508" s="2" t="s">
        <v>12</v>
      </c>
      <c r="E1508" s="2"/>
      <c r="F1508" s="2" t="str">
        <f>HYPERLINK("http://m.12365auto.com/zjdy/20200226/121667.shtml","http://m.12365auto.com/zjdy/20200226/121667.shtml")</f>
        <v>http://m.12365auto.com/zjdy/20200226/121667.shtml</v>
      </c>
      <c r="G1508" s="2"/>
      <c r="H1508" s="2" t="s">
        <v>2268</v>
      </c>
      <c r="I1508" s="2" t="s">
        <v>19</v>
      </c>
      <c r="J1508" s="2" t="s">
        <v>12</v>
      </c>
      <c r="K1508" s="2" t="s">
        <v>2269</v>
      </c>
      <c r="L1508" s="2">
        <f t="shared" si="23"/>
        <v>90</v>
      </c>
    </row>
    <row r="1509" spans="1:12" ht="25" customHeight="1">
      <c r="A1509" s="2" t="s">
        <v>12</v>
      </c>
      <c r="B1509" s="2" t="str">
        <f>HYPERLINK("http://www.12365auto.com/zlts/20200226/448884.shtml","东风日产骐达密封条损坏 空调滤芯无法安装")</f>
        <v>东风日产骐达密封条损坏 空调滤芯无法安装</v>
      </c>
      <c r="C1509" s="2" t="s">
        <v>13</v>
      </c>
      <c r="D1509" s="2" t="s">
        <v>12</v>
      </c>
      <c r="E1509" s="2" t="s">
        <v>17</v>
      </c>
      <c r="F1509" s="2" t="str">
        <f>HYPERLINK("http://www.12365auto.com/zlts/20200226/448884.shtml","http://www.12365auto.com/zlts/20200226/448884.shtml")</f>
        <v>http://www.12365auto.com/zlts/20200226/448884.shtml</v>
      </c>
      <c r="G1509" s="2"/>
      <c r="H1509" s="2" t="s">
        <v>2270</v>
      </c>
      <c r="I1509" s="2" t="s">
        <v>19</v>
      </c>
      <c r="J1509" s="2" t="s">
        <v>12</v>
      </c>
      <c r="K1509" s="2" t="s">
        <v>2271</v>
      </c>
      <c r="L1509" s="2">
        <f t="shared" si="23"/>
        <v>150</v>
      </c>
    </row>
    <row r="1510" spans="1:12" ht="25" customHeight="1">
      <c r="A1510" s="2" t="s">
        <v>12</v>
      </c>
      <c r="B1510" s="2" t="str">
        <f>HYPERLINK("http://www.12365auto.com/zlts/20200226/448882.shtml","吉利远景X6发动机油耗高 动力不足")</f>
        <v>吉利远景X6发动机油耗高 动力不足</v>
      </c>
      <c r="C1510" s="2" t="s">
        <v>13</v>
      </c>
      <c r="D1510" s="2" t="s">
        <v>12</v>
      </c>
      <c r="E1510" s="2" t="s">
        <v>17</v>
      </c>
      <c r="F1510" s="2" t="str">
        <f>HYPERLINK("http://www.12365auto.com/zlts/20200226/448882.shtml","http://www.12365auto.com/zlts/20200226/448882.shtml")</f>
        <v>http://www.12365auto.com/zlts/20200226/448882.shtml</v>
      </c>
      <c r="G1510" s="2"/>
      <c r="H1510" s="2" t="s">
        <v>2272</v>
      </c>
      <c r="I1510" s="2" t="s">
        <v>19</v>
      </c>
      <c r="J1510" s="2" t="s">
        <v>12</v>
      </c>
      <c r="K1510" s="2" t="s">
        <v>2273</v>
      </c>
      <c r="L1510" s="2">
        <f t="shared" si="23"/>
        <v>150</v>
      </c>
    </row>
    <row r="1511" spans="1:12" ht="25" customHeight="1">
      <c r="A1511" s="2" t="s">
        <v>12</v>
      </c>
      <c r="B1511" s="2" t="str">
        <f>HYPERLINK("http://bbs.12365auto.com/postcontent.aspx?tId=195307","工薪族提帕萨特 说说购车感受")</f>
        <v>工薪族提帕萨特 说说购车感受</v>
      </c>
      <c r="C1511" s="2" t="s">
        <v>13</v>
      </c>
      <c r="D1511" s="2" t="s">
        <v>12</v>
      </c>
      <c r="E1511" s="2" t="s">
        <v>2274</v>
      </c>
      <c r="F1511" s="2" t="str">
        <f>HYPERLINK("http://bbs.12365auto.com/postcontent.aspx?tId=195307","http://bbs.12365auto.com/postcontent.aspx?tId=195307")</f>
        <v>http://bbs.12365auto.com/postcontent.aspx?tId=195307</v>
      </c>
      <c r="G1511" s="2"/>
      <c r="H1511" s="2" t="s">
        <v>2275</v>
      </c>
      <c r="I1511" s="2" t="s">
        <v>15</v>
      </c>
      <c r="J1511" s="2" t="s">
        <v>2276</v>
      </c>
      <c r="K1511" s="2" t="s">
        <v>2277</v>
      </c>
      <c r="L1511" s="2">
        <f t="shared" si="23"/>
        <v>150</v>
      </c>
    </row>
    <row r="1512" spans="1:12" ht="25" customHeight="1">
      <c r="A1512" s="2" t="s">
        <v>12</v>
      </c>
      <c r="B1512" s="2" t="str">
        <f>HYPERLINK("http://bbs.12365auto.com/postcontent.aspx?tID=195307","工薪族提帕萨特 说说购车感受")</f>
        <v>工薪族提帕萨特 说说购车感受</v>
      </c>
      <c r="C1512" s="2" t="s">
        <v>13</v>
      </c>
      <c r="D1512" s="2" t="s">
        <v>12</v>
      </c>
      <c r="E1512" s="2" t="s">
        <v>2278</v>
      </c>
      <c r="F1512" s="2" t="str">
        <f>HYPERLINK("http://bbs.12365auto.com/postcontent.aspx?tID=195307","http://bbs.12365auto.com/postcontent.aspx?tID=195307")</f>
        <v>http://bbs.12365auto.com/postcontent.aspx?tID=195307</v>
      </c>
      <c r="G1512" s="2"/>
      <c r="H1512" s="2" t="s">
        <v>2279</v>
      </c>
      <c r="I1512" s="2" t="s">
        <v>15</v>
      </c>
      <c r="J1512" s="2" t="s">
        <v>2276</v>
      </c>
      <c r="K1512" s="2" t="s">
        <v>2277</v>
      </c>
      <c r="L1512" s="2">
        <f t="shared" si="23"/>
        <v>150</v>
      </c>
    </row>
    <row r="1513" spans="1:12" ht="25" customHeight="1">
      <c r="A1513" s="2" t="s">
        <v>12</v>
      </c>
      <c r="B1513" s="2" t="str">
        <f>HYPERLINK("http://m.12365auto.com/bbs/postcontent.aspx?tID=195307","工薪族提帕萨特 说说购车感受")</f>
        <v>工薪族提帕萨特 说说购车感受</v>
      </c>
      <c r="C1513" s="2" t="s">
        <v>13</v>
      </c>
      <c r="D1513" s="2" t="s">
        <v>23</v>
      </c>
      <c r="E1513" s="2"/>
      <c r="F1513" s="2" t="str">
        <f>HYPERLINK("http://m.12365auto.com/bbs/postcontent.aspx?tID=195307","http://m.12365auto.com/bbs/postcontent.aspx?tID=195307")</f>
        <v>http://m.12365auto.com/bbs/postcontent.aspx?tID=195307</v>
      </c>
      <c r="G1513" s="2"/>
      <c r="H1513" s="2" t="s">
        <v>2275</v>
      </c>
      <c r="I1513" s="2" t="s">
        <v>15</v>
      </c>
      <c r="J1513" s="2" t="s">
        <v>2276</v>
      </c>
      <c r="K1513" s="2" t="s">
        <v>2277</v>
      </c>
      <c r="L1513" s="2">
        <f t="shared" si="23"/>
        <v>150</v>
      </c>
    </row>
    <row r="1514" spans="1:12" ht="25" customHeight="1">
      <c r="A1514" s="2" t="s">
        <v>12</v>
      </c>
      <c r="B1514" s="2" t="str">
        <f>HYPERLINK("http://bbs.12365auto.com/postcontent.aspx?tId=195306","送给自己的生日礼物 因为性价比选择帕萨特")</f>
        <v>送给自己的生日礼物 因为性价比选择帕萨特</v>
      </c>
      <c r="C1514" s="2" t="s">
        <v>13</v>
      </c>
      <c r="D1514" s="2" t="s">
        <v>12</v>
      </c>
      <c r="E1514" s="2" t="s">
        <v>27</v>
      </c>
      <c r="F1514" s="2" t="str">
        <f>HYPERLINK("http://bbs.12365auto.com/postcontent.aspx?tId=195306","http://bbs.12365auto.com/postcontent.aspx?tId=195306")</f>
        <v>http://bbs.12365auto.com/postcontent.aspx?tId=195306</v>
      </c>
      <c r="G1514" s="2"/>
      <c r="H1514" s="2" t="s">
        <v>2280</v>
      </c>
      <c r="I1514" s="2" t="s">
        <v>15</v>
      </c>
      <c r="J1514" s="2" t="s">
        <v>2281</v>
      </c>
      <c r="K1514" s="2" t="s">
        <v>2282</v>
      </c>
      <c r="L1514" s="2">
        <f t="shared" si="23"/>
        <v>150</v>
      </c>
    </row>
    <row r="1515" spans="1:12" ht="25" customHeight="1">
      <c r="A1515" s="2" t="s">
        <v>12</v>
      </c>
      <c r="B1515" s="2" t="str">
        <f>HYPERLINK("http://bbs.12365auto.com/postcontent.aspx?tID=195306","送给自己的生日礼物 因为性价比选择帕萨特")</f>
        <v>送给自己的生日礼物 因为性价比选择帕萨特</v>
      </c>
      <c r="C1515" s="2" t="s">
        <v>13</v>
      </c>
      <c r="D1515" s="2" t="s">
        <v>12</v>
      </c>
      <c r="E1515" s="2" t="s">
        <v>28</v>
      </c>
      <c r="F1515" s="2" t="str">
        <f>HYPERLINK("http://bbs.12365auto.com/postcontent.aspx?tID=195306","http://bbs.12365auto.com/postcontent.aspx?tID=195306")</f>
        <v>http://bbs.12365auto.com/postcontent.aspx?tID=195306</v>
      </c>
      <c r="G1515" s="2"/>
      <c r="H1515" s="2" t="s">
        <v>2283</v>
      </c>
      <c r="I1515" s="2" t="s">
        <v>15</v>
      </c>
      <c r="J1515" s="2" t="s">
        <v>2281</v>
      </c>
      <c r="K1515" s="2" t="s">
        <v>2282</v>
      </c>
      <c r="L1515" s="2">
        <f t="shared" si="23"/>
        <v>150</v>
      </c>
    </row>
    <row r="1516" spans="1:12" ht="25" customHeight="1">
      <c r="A1516" s="2" t="s">
        <v>12</v>
      </c>
      <c r="B1516" s="2" t="str">
        <f>HYPERLINK("http://m.12365auto.com/bbs/postcontent.aspx?tID=195306","送给自己的生日礼物 因为性价比选择帕萨特")</f>
        <v>送给自己的生日礼物 因为性价比选择帕萨特</v>
      </c>
      <c r="C1516" s="2" t="s">
        <v>13</v>
      </c>
      <c r="D1516" s="2" t="s">
        <v>23</v>
      </c>
      <c r="E1516" s="2"/>
      <c r="F1516" s="2" t="str">
        <f>HYPERLINK("http://m.12365auto.com/bbs/postcontent.aspx?tID=195306","http://m.12365auto.com/bbs/postcontent.aspx?tID=195306")</f>
        <v>http://m.12365auto.com/bbs/postcontent.aspx?tID=195306</v>
      </c>
      <c r="G1516" s="2"/>
      <c r="H1516" s="2" t="s">
        <v>2280</v>
      </c>
      <c r="I1516" s="2" t="s">
        <v>15</v>
      </c>
      <c r="J1516" s="2" t="s">
        <v>2281</v>
      </c>
      <c r="K1516" s="2" t="s">
        <v>2282</v>
      </c>
      <c r="L1516" s="2">
        <f t="shared" si="23"/>
        <v>150</v>
      </c>
    </row>
    <row r="1517" spans="1:12" ht="25" customHeight="1">
      <c r="A1517" s="2" t="s">
        <v>12</v>
      </c>
      <c r="B1517" s="2" t="str">
        <f>HYPERLINK("http://bbs.12365auto.com/postcontent.aspx?tId=195305","帕萨特新年提车记")</f>
        <v>帕萨特新年提车记</v>
      </c>
      <c r="C1517" s="2" t="s">
        <v>13</v>
      </c>
      <c r="D1517" s="2" t="s">
        <v>12</v>
      </c>
      <c r="E1517" s="2" t="s">
        <v>2274</v>
      </c>
      <c r="F1517" s="2" t="str">
        <f>HYPERLINK("http://bbs.12365auto.com/postcontent.aspx?tId=195305","http://bbs.12365auto.com/postcontent.aspx?tId=195305")</f>
        <v>http://bbs.12365auto.com/postcontent.aspx?tId=195305</v>
      </c>
      <c r="G1517" s="2"/>
      <c r="H1517" s="2" t="s">
        <v>2284</v>
      </c>
      <c r="I1517" s="2" t="s">
        <v>15</v>
      </c>
      <c r="J1517" s="2" t="s">
        <v>2285</v>
      </c>
      <c r="K1517" s="2" t="s">
        <v>2286</v>
      </c>
      <c r="L1517" s="2">
        <f t="shared" si="23"/>
        <v>150</v>
      </c>
    </row>
    <row r="1518" spans="1:12" ht="25" customHeight="1">
      <c r="A1518" s="2" t="s">
        <v>12</v>
      </c>
      <c r="B1518" s="2" t="str">
        <f>HYPERLINK("http://bbs.12365auto.com/postcontent.aspx?tID=195305","帕萨特新年提车记")</f>
        <v>帕萨特新年提车记</v>
      </c>
      <c r="C1518" s="2" t="s">
        <v>13</v>
      </c>
      <c r="D1518" s="2" t="s">
        <v>12</v>
      </c>
      <c r="E1518" s="2" t="s">
        <v>2278</v>
      </c>
      <c r="F1518" s="2" t="str">
        <f>HYPERLINK("http://bbs.12365auto.com/postcontent.aspx?tID=195305","http://bbs.12365auto.com/postcontent.aspx?tID=195305")</f>
        <v>http://bbs.12365auto.com/postcontent.aspx?tID=195305</v>
      </c>
      <c r="G1518" s="2"/>
      <c r="H1518" s="2" t="s">
        <v>2287</v>
      </c>
      <c r="I1518" s="2" t="s">
        <v>15</v>
      </c>
      <c r="J1518" s="2" t="s">
        <v>2285</v>
      </c>
      <c r="K1518" s="2" t="s">
        <v>2286</v>
      </c>
      <c r="L1518" s="2">
        <f t="shared" si="23"/>
        <v>150</v>
      </c>
    </row>
    <row r="1519" spans="1:12" ht="25" customHeight="1">
      <c r="A1519" s="2" t="s">
        <v>12</v>
      </c>
      <c r="B1519" s="2" t="str">
        <f>HYPERLINK("http://m.12365auto.com/bbs/postcontent.aspx?tID=195305","帕萨特新年提车记")</f>
        <v>帕萨特新年提车记</v>
      </c>
      <c r="C1519" s="2" t="s">
        <v>13</v>
      </c>
      <c r="D1519" s="2" t="s">
        <v>23</v>
      </c>
      <c r="E1519" s="2"/>
      <c r="F1519" s="2" t="str">
        <f>HYPERLINK("http://m.12365auto.com/bbs/postcontent.aspx?tID=195305","http://m.12365auto.com/bbs/postcontent.aspx?tID=195305")</f>
        <v>http://m.12365auto.com/bbs/postcontent.aspx?tID=195305</v>
      </c>
      <c r="G1519" s="2"/>
      <c r="H1519" s="2" t="s">
        <v>2284</v>
      </c>
      <c r="I1519" s="2" t="s">
        <v>15</v>
      </c>
      <c r="J1519" s="2" t="s">
        <v>2285</v>
      </c>
      <c r="K1519" s="2" t="s">
        <v>2286</v>
      </c>
      <c r="L1519" s="2">
        <f t="shared" si="23"/>
        <v>150</v>
      </c>
    </row>
    <row r="1520" spans="1:12" ht="25" customHeight="1">
      <c r="A1520" s="2" t="s">
        <v>12</v>
      </c>
      <c r="B1520" s="2" t="str">
        <f>HYPERLINK("http://www.12365auto.com/zlts/20200226/448881.shtml","众泰T700打方向盘沉重 转向时有异响")</f>
        <v>众泰T700打方向盘沉重 转向时有异响</v>
      </c>
      <c r="C1520" s="2" t="s">
        <v>13</v>
      </c>
      <c r="D1520" s="2" t="s">
        <v>12</v>
      </c>
      <c r="E1520" s="2" t="s">
        <v>17</v>
      </c>
      <c r="F1520" s="2" t="str">
        <f>HYPERLINK("http://www.12365auto.com/zlts/20200226/448881.shtml","http://www.12365auto.com/zlts/20200226/448881.shtml")</f>
        <v>http://www.12365auto.com/zlts/20200226/448881.shtml</v>
      </c>
      <c r="G1520" s="2"/>
      <c r="H1520" s="2" t="s">
        <v>2288</v>
      </c>
      <c r="I1520" s="2" t="s">
        <v>19</v>
      </c>
      <c r="J1520" s="2" t="s">
        <v>12</v>
      </c>
      <c r="K1520" s="2" t="s">
        <v>2289</v>
      </c>
      <c r="L1520" s="2">
        <f t="shared" si="23"/>
        <v>150</v>
      </c>
    </row>
    <row r="1521" spans="1:12" ht="25" customHeight="1">
      <c r="A1521" s="2" t="s">
        <v>12</v>
      </c>
      <c r="B1521" s="2" t="str">
        <f>HYPERLINK("http://m.12365auto.com/bbs/postcontent.aspx?tID=195304","沃尔沃XC40加速发动机异响声不断")</f>
        <v>沃尔沃XC40加速发动机异响声不断</v>
      </c>
      <c r="C1521" s="2" t="s">
        <v>13</v>
      </c>
      <c r="D1521" s="2" t="s">
        <v>23</v>
      </c>
      <c r="E1521" s="2"/>
      <c r="F1521" s="2" t="str">
        <f>HYPERLINK("http://m.12365auto.com/bbs/postcontent.aspx?tID=195304","http://m.12365auto.com/bbs/postcontent.aspx?tID=195304")</f>
        <v>http://m.12365auto.com/bbs/postcontent.aspx?tID=195304</v>
      </c>
      <c r="G1521" s="2"/>
      <c r="H1521" s="2" t="s">
        <v>2290</v>
      </c>
      <c r="I1521" s="2" t="s">
        <v>15</v>
      </c>
      <c r="J1521" s="2" t="s">
        <v>2291</v>
      </c>
      <c r="K1521" s="2" t="s">
        <v>2289</v>
      </c>
      <c r="L1521" s="2">
        <f t="shared" si="23"/>
        <v>69</v>
      </c>
    </row>
    <row r="1522" spans="1:12" ht="25" customHeight="1">
      <c r="A1522" s="2" t="s">
        <v>12</v>
      </c>
      <c r="B1522" s="2" t="str">
        <f>HYPERLINK("http://bbs.12365auto.com/postcontent.aspx?tID=195304","沃尔沃XC40加速发动机异响声不断")</f>
        <v>沃尔沃XC40加速发动机异响声不断</v>
      </c>
      <c r="C1522" s="2" t="s">
        <v>13</v>
      </c>
      <c r="D1522" s="2" t="s">
        <v>12</v>
      </c>
      <c r="E1522" s="2" t="s">
        <v>67</v>
      </c>
      <c r="F1522" s="2" t="str">
        <f>HYPERLINK("http://bbs.12365auto.com/postcontent.aspx?tID=195304","http://bbs.12365auto.com/postcontent.aspx?tID=195304")</f>
        <v>http://bbs.12365auto.com/postcontent.aspx?tID=195304</v>
      </c>
      <c r="G1522" s="2"/>
      <c r="H1522" s="2" t="s">
        <v>2292</v>
      </c>
      <c r="I1522" s="2" t="s">
        <v>15</v>
      </c>
      <c r="J1522" s="2" t="s">
        <v>2291</v>
      </c>
      <c r="K1522" s="2" t="s">
        <v>2289</v>
      </c>
      <c r="L1522" s="2">
        <f t="shared" si="23"/>
        <v>86</v>
      </c>
    </row>
    <row r="1523" spans="1:12" ht="25" customHeight="1">
      <c r="A1523" s="2" t="s">
        <v>12</v>
      </c>
      <c r="B1523" s="2" t="str">
        <f>HYPERLINK("http://bbs.12365auto.com/postcontent.aspx?tId=195304","沃尔沃XC40加速发动机异响声不断")</f>
        <v>沃尔沃XC40加速发动机异响声不断</v>
      </c>
      <c r="C1523" s="2" t="s">
        <v>13</v>
      </c>
      <c r="D1523" s="2" t="s">
        <v>12</v>
      </c>
      <c r="E1523" s="2" t="s">
        <v>66</v>
      </c>
      <c r="F1523" s="2" t="str">
        <f>HYPERLINK("http://bbs.12365auto.com/postcontent.aspx?tId=195304","http://bbs.12365auto.com/postcontent.aspx?tId=195304")</f>
        <v>http://bbs.12365auto.com/postcontent.aspx?tId=195304</v>
      </c>
      <c r="G1523" s="2"/>
      <c r="H1523" s="2" t="s">
        <v>2290</v>
      </c>
      <c r="I1523" s="2" t="s">
        <v>15</v>
      </c>
      <c r="J1523" s="2" t="s">
        <v>2291</v>
      </c>
      <c r="K1523" s="2" t="s">
        <v>2289</v>
      </c>
      <c r="L1523" s="2">
        <f t="shared" si="23"/>
        <v>69</v>
      </c>
    </row>
    <row r="1524" spans="1:12" ht="25" customHeight="1">
      <c r="A1524" s="2" t="s">
        <v>12</v>
      </c>
      <c r="B1524" s="2" t="str">
        <f>HYPERLINK("http://bbs.12365auto.com/postcontent.aspx?tId=195303","帕萨特一年用车感受分享")</f>
        <v>帕萨特一年用车感受分享</v>
      </c>
      <c r="C1524" s="2" t="s">
        <v>13</v>
      </c>
      <c r="D1524" s="2" t="s">
        <v>12</v>
      </c>
      <c r="E1524" s="2" t="s">
        <v>210</v>
      </c>
      <c r="F1524" s="2" t="str">
        <f>HYPERLINK("http://bbs.12365auto.com/postcontent.aspx?tId=195303","http://bbs.12365auto.com/postcontent.aspx?tId=195303")</f>
        <v>http://bbs.12365auto.com/postcontent.aspx?tId=195303</v>
      </c>
      <c r="G1524" s="2"/>
      <c r="H1524" s="2" t="s">
        <v>2293</v>
      </c>
      <c r="I1524" s="2" t="s">
        <v>15</v>
      </c>
      <c r="J1524" s="2" t="s">
        <v>2294</v>
      </c>
      <c r="K1524" s="2" t="s">
        <v>2295</v>
      </c>
      <c r="L1524" s="2">
        <f t="shared" si="23"/>
        <v>150</v>
      </c>
    </row>
    <row r="1525" spans="1:12" ht="25" customHeight="1">
      <c r="A1525" s="2" t="s">
        <v>12</v>
      </c>
      <c r="B1525" s="2" t="str">
        <f>HYPERLINK("http://m.12365auto.com/bbs/postcontent.aspx?tID=195301","途达电瓶亏电发动机不着火了")</f>
        <v>途达电瓶亏电发动机不着火了</v>
      </c>
      <c r="C1525" s="2" t="s">
        <v>13</v>
      </c>
      <c r="D1525" s="2" t="s">
        <v>23</v>
      </c>
      <c r="E1525" s="2"/>
      <c r="F1525" s="2" t="str">
        <f>HYPERLINK("http://m.12365auto.com/bbs/postcontent.aspx?tID=195301","http://m.12365auto.com/bbs/postcontent.aspx?tID=195301")</f>
        <v>http://m.12365auto.com/bbs/postcontent.aspx?tID=195301</v>
      </c>
      <c r="G1525" s="2"/>
      <c r="H1525" s="2" t="s">
        <v>2296</v>
      </c>
      <c r="I1525" s="2" t="s">
        <v>15</v>
      </c>
      <c r="J1525" s="2" t="s">
        <v>2297</v>
      </c>
      <c r="K1525" s="2" t="s">
        <v>2295</v>
      </c>
      <c r="L1525" s="2">
        <f t="shared" si="23"/>
        <v>59</v>
      </c>
    </row>
    <row r="1526" spans="1:12" ht="25" customHeight="1">
      <c r="A1526" s="2" t="s">
        <v>12</v>
      </c>
      <c r="B1526" s="2" t="str">
        <f>HYPERLINK("http://m.12365auto.com/bbs/postcontent.aspx?tID=195302","探歌挂倒挡时有异响质量不行呀")</f>
        <v>探歌挂倒挡时有异响质量不行呀</v>
      </c>
      <c r="C1526" s="2" t="s">
        <v>13</v>
      </c>
      <c r="D1526" s="2" t="s">
        <v>23</v>
      </c>
      <c r="E1526" s="2"/>
      <c r="F1526" s="2" t="str">
        <f>HYPERLINK("http://m.12365auto.com/bbs/postcontent.aspx?tID=195302","http://m.12365auto.com/bbs/postcontent.aspx?tID=195302")</f>
        <v>http://m.12365auto.com/bbs/postcontent.aspx?tID=195302</v>
      </c>
      <c r="G1526" s="2"/>
      <c r="H1526" s="2" t="s">
        <v>2298</v>
      </c>
      <c r="I1526" s="2" t="s">
        <v>15</v>
      </c>
      <c r="J1526" s="2" t="s">
        <v>2299</v>
      </c>
      <c r="K1526" s="2" t="s">
        <v>2295</v>
      </c>
      <c r="L1526" s="2">
        <f t="shared" si="23"/>
        <v>86</v>
      </c>
    </row>
    <row r="1527" spans="1:12" ht="25" customHeight="1">
      <c r="A1527" s="2" t="s">
        <v>12</v>
      </c>
      <c r="B1527" s="2" t="str">
        <f>HYPERLINK("http://m.12365auto.com/bbs/postcontent.aspx?tID=195303","帕萨特一年用车感受分享")</f>
        <v>帕萨特一年用车感受分享</v>
      </c>
      <c r="C1527" s="2" t="s">
        <v>13</v>
      </c>
      <c r="D1527" s="2" t="s">
        <v>23</v>
      </c>
      <c r="E1527" s="2"/>
      <c r="F1527" s="2" t="str">
        <f>HYPERLINK("http://m.12365auto.com/bbs/postcontent.aspx?tID=195303","http://m.12365auto.com/bbs/postcontent.aspx?tID=195303")</f>
        <v>http://m.12365auto.com/bbs/postcontent.aspx?tID=195303</v>
      </c>
      <c r="G1527" s="2"/>
      <c r="H1527" s="2" t="s">
        <v>2293</v>
      </c>
      <c r="I1527" s="2" t="s">
        <v>15</v>
      </c>
      <c r="J1527" s="2" t="s">
        <v>2294</v>
      </c>
      <c r="K1527" s="2" t="s">
        <v>2295</v>
      </c>
      <c r="L1527" s="2">
        <f t="shared" si="23"/>
        <v>150</v>
      </c>
    </row>
    <row r="1528" spans="1:12" ht="25" customHeight="1">
      <c r="A1528" s="2" t="s">
        <v>12</v>
      </c>
      <c r="B1528" s="2" t="str">
        <f>HYPERLINK("http://bbs.12365auto.com/postcontent.aspx?tID=195302","探歌挂倒挡时有异响质量不行呀")</f>
        <v>探歌挂倒挡时有异响质量不行呀</v>
      </c>
      <c r="C1528" s="2" t="s">
        <v>13</v>
      </c>
      <c r="D1528" s="2" t="s">
        <v>12</v>
      </c>
      <c r="E1528" s="2" t="s">
        <v>67</v>
      </c>
      <c r="F1528" s="2" t="str">
        <f>HYPERLINK("http://bbs.12365auto.com/postcontent.aspx?tID=195302","http://bbs.12365auto.com/postcontent.aspx?tID=195302")</f>
        <v>http://bbs.12365auto.com/postcontent.aspx?tID=195302</v>
      </c>
      <c r="G1528" s="2"/>
      <c r="H1528" s="2" t="s">
        <v>2300</v>
      </c>
      <c r="I1528" s="2" t="s">
        <v>15</v>
      </c>
      <c r="J1528" s="2" t="s">
        <v>2299</v>
      </c>
      <c r="K1528" s="2" t="s">
        <v>2295</v>
      </c>
      <c r="L1528" s="2">
        <f t="shared" si="23"/>
        <v>100</v>
      </c>
    </row>
    <row r="1529" spans="1:12" ht="25" customHeight="1">
      <c r="A1529" s="2" t="s">
        <v>12</v>
      </c>
      <c r="B1529" s="2" t="str">
        <f>HYPERLINK("http://bbs.12365auto.com/postcontent.aspx?tID=195301","途达电瓶亏电发动机不着火了")</f>
        <v>途达电瓶亏电发动机不着火了</v>
      </c>
      <c r="C1529" s="2" t="s">
        <v>13</v>
      </c>
      <c r="D1529" s="2" t="s">
        <v>12</v>
      </c>
      <c r="E1529" s="2" t="s">
        <v>67</v>
      </c>
      <c r="F1529" s="2" t="str">
        <f>HYPERLINK("http://bbs.12365auto.com/postcontent.aspx?tID=195301","http://bbs.12365auto.com/postcontent.aspx?tID=195301")</f>
        <v>http://bbs.12365auto.com/postcontent.aspx?tID=195301</v>
      </c>
      <c r="G1529" s="2"/>
      <c r="H1529" s="2" t="s">
        <v>2301</v>
      </c>
      <c r="I1529" s="2" t="s">
        <v>15</v>
      </c>
      <c r="J1529" s="2" t="s">
        <v>2297</v>
      </c>
      <c r="K1529" s="2" t="s">
        <v>2295</v>
      </c>
      <c r="L1529" s="2">
        <f t="shared" si="23"/>
        <v>72</v>
      </c>
    </row>
    <row r="1530" spans="1:12" ht="25" customHeight="1">
      <c r="A1530" s="2" t="s">
        <v>12</v>
      </c>
      <c r="B1530" s="2" t="str">
        <f>HYPERLINK("http://bbs.12365auto.com/postcontent.aspx?tId=195302","探歌挂倒挡时有异响质量不行呀")</f>
        <v>探歌挂倒挡时有异响质量不行呀</v>
      </c>
      <c r="C1530" s="2" t="s">
        <v>13</v>
      </c>
      <c r="D1530" s="2" t="s">
        <v>12</v>
      </c>
      <c r="E1530" s="2" t="s">
        <v>66</v>
      </c>
      <c r="F1530" s="2" t="str">
        <f>HYPERLINK("http://bbs.12365auto.com/postcontent.aspx?tId=195302","http://bbs.12365auto.com/postcontent.aspx?tId=195302")</f>
        <v>http://bbs.12365auto.com/postcontent.aspx?tId=195302</v>
      </c>
      <c r="G1530" s="2"/>
      <c r="H1530" s="2" t="s">
        <v>2298</v>
      </c>
      <c r="I1530" s="2" t="s">
        <v>15</v>
      </c>
      <c r="J1530" s="2" t="s">
        <v>2299</v>
      </c>
      <c r="K1530" s="2" t="s">
        <v>2295</v>
      </c>
      <c r="L1530" s="2">
        <f t="shared" si="23"/>
        <v>86</v>
      </c>
    </row>
    <row r="1531" spans="1:12" ht="25" customHeight="1">
      <c r="A1531" s="2" t="s">
        <v>12</v>
      </c>
      <c r="B1531" s="2" t="str">
        <f>HYPERLINK("http://bbs.12365auto.com/postcontent.aspx?tId=195301","途达电瓶亏电发动机不着火了")</f>
        <v>途达电瓶亏电发动机不着火了</v>
      </c>
      <c r="C1531" s="2" t="s">
        <v>13</v>
      </c>
      <c r="D1531" s="2" t="s">
        <v>12</v>
      </c>
      <c r="E1531" s="2" t="s">
        <v>66</v>
      </c>
      <c r="F1531" s="2" t="str">
        <f>HYPERLINK("http://bbs.12365auto.com/postcontent.aspx?tId=195301","http://bbs.12365auto.com/postcontent.aspx?tId=195301")</f>
        <v>http://bbs.12365auto.com/postcontent.aspx?tId=195301</v>
      </c>
      <c r="G1531" s="2"/>
      <c r="H1531" s="2" t="s">
        <v>2296</v>
      </c>
      <c r="I1531" s="2" t="s">
        <v>15</v>
      </c>
      <c r="J1531" s="2" t="s">
        <v>2297</v>
      </c>
      <c r="K1531" s="2" t="s">
        <v>2295</v>
      </c>
      <c r="L1531" s="2">
        <f t="shared" si="23"/>
        <v>59</v>
      </c>
    </row>
    <row r="1532" spans="1:12" ht="25" customHeight="1">
      <c r="A1532" s="2" t="s">
        <v>12</v>
      </c>
      <c r="B1532" s="2" t="str">
        <f>HYPERLINK("http://bbs.12365auto.com/postcontent.aspx?tID=195303","帕萨特一年用车感受分享")</f>
        <v>帕萨特一年用车感受分享</v>
      </c>
      <c r="C1532" s="2" t="s">
        <v>13</v>
      </c>
      <c r="D1532" s="2" t="s">
        <v>12</v>
      </c>
      <c r="E1532" s="2" t="s">
        <v>214</v>
      </c>
      <c r="F1532" s="2" t="str">
        <f>HYPERLINK("http://bbs.12365auto.com/postcontent.aspx?tID=195303","http://bbs.12365auto.com/postcontent.aspx?tID=195303")</f>
        <v>http://bbs.12365auto.com/postcontent.aspx?tID=195303</v>
      </c>
      <c r="G1532" s="2"/>
      <c r="H1532" s="2" t="s">
        <v>2302</v>
      </c>
      <c r="I1532" s="2" t="s">
        <v>15</v>
      </c>
      <c r="J1532" s="2" t="s">
        <v>2294</v>
      </c>
      <c r="K1532" s="2" t="s">
        <v>2295</v>
      </c>
      <c r="L1532" s="2">
        <f t="shared" si="23"/>
        <v>150</v>
      </c>
    </row>
    <row r="1533" spans="1:12" ht="25" customHeight="1">
      <c r="A1533" s="2" t="s">
        <v>12</v>
      </c>
      <c r="B1533" s="2" t="str">
        <f>HYPERLINK("http://m.12365auto.com/bbs/postcontent.aspx?tID=195299","飞度VTC作动器有异响")</f>
        <v>飞度VTC作动器有异响</v>
      </c>
      <c r="C1533" s="2" t="s">
        <v>13</v>
      </c>
      <c r="D1533" s="2" t="s">
        <v>23</v>
      </c>
      <c r="E1533" s="2"/>
      <c r="F1533" s="2" t="str">
        <f>HYPERLINK("http://m.12365auto.com/bbs/postcontent.aspx?tID=195299","http://m.12365auto.com/bbs/postcontent.aspx?tID=195299")</f>
        <v>http://m.12365auto.com/bbs/postcontent.aspx?tID=195299</v>
      </c>
      <c r="G1533" s="2"/>
      <c r="H1533" s="2" t="s">
        <v>2303</v>
      </c>
      <c r="I1533" s="2" t="s">
        <v>15</v>
      </c>
      <c r="J1533" s="2" t="s">
        <v>2304</v>
      </c>
      <c r="K1533" s="2" t="s">
        <v>2305</v>
      </c>
      <c r="L1533" s="2">
        <f t="shared" si="23"/>
        <v>132</v>
      </c>
    </row>
    <row r="1534" spans="1:12" ht="25" customHeight="1">
      <c r="A1534" s="2" t="s">
        <v>12</v>
      </c>
      <c r="B1534" s="2" t="str">
        <f>HYPERLINK("http://m.12365auto.com/bbs/postcontent.aspx?tID=195300","307汽油箱漏油 安全隐患大")</f>
        <v>307汽油箱漏油 安全隐患大</v>
      </c>
      <c r="C1534" s="2" t="s">
        <v>13</v>
      </c>
      <c r="D1534" s="2" t="s">
        <v>23</v>
      </c>
      <c r="E1534" s="2"/>
      <c r="F1534" s="2" t="str">
        <f>HYPERLINK("http://m.12365auto.com/bbs/postcontent.aspx?tID=195300","http://m.12365auto.com/bbs/postcontent.aspx?tID=195300")</f>
        <v>http://m.12365auto.com/bbs/postcontent.aspx?tID=195300</v>
      </c>
      <c r="G1534" s="2"/>
      <c r="H1534" s="2" t="s">
        <v>2306</v>
      </c>
      <c r="I1534" s="2" t="s">
        <v>15</v>
      </c>
      <c r="J1534" s="2" t="s">
        <v>2307</v>
      </c>
      <c r="K1534" s="2" t="s">
        <v>2305</v>
      </c>
      <c r="L1534" s="2">
        <f t="shared" si="23"/>
        <v>150</v>
      </c>
    </row>
    <row r="1535" spans="1:12" ht="25" customHeight="1">
      <c r="A1535" s="2" t="s">
        <v>12</v>
      </c>
      <c r="B1535" s="2" t="str">
        <f>HYPERLINK("http://bbs.12365auto.com/postcontent.aspx?tID=195300","307汽油箱漏油 安全隐患大")</f>
        <v>307汽油箱漏油 安全隐患大</v>
      </c>
      <c r="C1535" s="2" t="s">
        <v>13</v>
      </c>
      <c r="D1535" s="2" t="s">
        <v>12</v>
      </c>
      <c r="E1535" s="2" t="s">
        <v>67</v>
      </c>
      <c r="F1535" s="2" t="str">
        <f>HYPERLINK("http://bbs.12365auto.com/postcontent.aspx?tID=195300","http://bbs.12365auto.com/postcontent.aspx?tID=195300")</f>
        <v>http://bbs.12365auto.com/postcontent.aspx?tID=195300</v>
      </c>
      <c r="G1535" s="2"/>
      <c r="H1535" s="2" t="s">
        <v>2308</v>
      </c>
      <c r="I1535" s="2" t="s">
        <v>15</v>
      </c>
      <c r="J1535" s="2" t="s">
        <v>2307</v>
      </c>
      <c r="K1535" s="2" t="s">
        <v>2305</v>
      </c>
      <c r="L1535" s="2">
        <f t="shared" si="23"/>
        <v>150</v>
      </c>
    </row>
    <row r="1536" spans="1:12" ht="25" customHeight="1">
      <c r="A1536" s="2" t="s">
        <v>12</v>
      </c>
      <c r="B1536" s="2" t="str">
        <f>HYPERLINK("http://bbs.12365auto.com/postcontent.aspx?tID=195299","飞度VTC作动器有异响")</f>
        <v>飞度VTC作动器有异响</v>
      </c>
      <c r="C1536" s="2" t="s">
        <v>13</v>
      </c>
      <c r="D1536" s="2" t="s">
        <v>12</v>
      </c>
      <c r="E1536" s="2" t="s">
        <v>67</v>
      </c>
      <c r="F1536" s="2" t="str">
        <f>HYPERLINK("http://bbs.12365auto.com/postcontent.aspx?tID=195299","http://bbs.12365auto.com/postcontent.aspx?tID=195299")</f>
        <v>http://bbs.12365auto.com/postcontent.aspx?tID=195299</v>
      </c>
      <c r="G1536" s="2"/>
      <c r="H1536" s="2" t="s">
        <v>2309</v>
      </c>
      <c r="I1536" s="2" t="s">
        <v>15</v>
      </c>
      <c r="J1536" s="2" t="s">
        <v>2304</v>
      </c>
      <c r="K1536" s="2" t="s">
        <v>2305</v>
      </c>
      <c r="L1536" s="2">
        <f t="shared" si="23"/>
        <v>143</v>
      </c>
    </row>
    <row r="1537" spans="1:12" ht="25" customHeight="1">
      <c r="A1537" s="2" t="s">
        <v>12</v>
      </c>
      <c r="B1537" s="2" t="str">
        <f>HYPERLINK("http://bbs.12365auto.com/postcontent.aspx?tId=195299","飞度VTC作动器有异响")</f>
        <v>飞度VTC作动器有异响</v>
      </c>
      <c r="C1537" s="2" t="s">
        <v>13</v>
      </c>
      <c r="D1537" s="2" t="s">
        <v>12</v>
      </c>
      <c r="E1537" s="2" t="s">
        <v>66</v>
      </c>
      <c r="F1537" s="2" t="str">
        <f>HYPERLINK("http://bbs.12365auto.com/postcontent.aspx?tId=195299","http://bbs.12365auto.com/postcontent.aspx?tId=195299")</f>
        <v>http://bbs.12365auto.com/postcontent.aspx?tId=195299</v>
      </c>
      <c r="G1537" s="2"/>
      <c r="H1537" s="2" t="s">
        <v>2303</v>
      </c>
      <c r="I1537" s="2" t="s">
        <v>15</v>
      </c>
      <c r="J1537" s="2" t="s">
        <v>2304</v>
      </c>
      <c r="K1537" s="2" t="s">
        <v>2305</v>
      </c>
      <c r="L1537" s="2">
        <f t="shared" si="23"/>
        <v>132</v>
      </c>
    </row>
    <row r="1538" spans="1:12" ht="25" customHeight="1">
      <c r="A1538" s="2" t="s">
        <v>12</v>
      </c>
      <c r="B1538" s="2" t="str">
        <f>HYPERLINK("http://bbs.12365auto.com/postcontent.aspx?tId=195300","307汽油箱漏油 安全隐患大")</f>
        <v>307汽油箱漏油 安全隐患大</v>
      </c>
      <c r="C1538" s="2" t="s">
        <v>13</v>
      </c>
      <c r="D1538" s="2" t="s">
        <v>12</v>
      </c>
      <c r="E1538" s="2" t="s">
        <v>66</v>
      </c>
      <c r="F1538" s="2" t="str">
        <f>HYPERLINK("http://bbs.12365auto.com/postcontent.aspx?tId=195300","http://bbs.12365auto.com/postcontent.aspx?tId=195300")</f>
        <v>http://bbs.12365auto.com/postcontent.aspx?tId=195300</v>
      </c>
      <c r="G1538" s="2"/>
      <c r="H1538" s="2" t="s">
        <v>2306</v>
      </c>
      <c r="I1538" s="2" t="s">
        <v>15</v>
      </c>
      <c r="J1538" s="2" t="s">
        <v>2307</v>
      </c>
      <c r="K1538" s="2" t="s">
        <v>2305</v>
      </c>
      <c r="L1538" s="2">
        <f t="shared" si="23"/>
        <v>150</v>
      </c>
    </row>
    <row r="1539" spans="1:12" ht="25" customHeight="1">
      <c r="A1539" s="2" t="s">
        <v>12</v>
      </c>
      <c r="B1539" s="2" t="str">
        <f>HYPERLINK("http://bbs.12365auto.com/postcontent.aspx?tId=195298","帕萨特开了一年 来和大家分享用车感受")</f>
        <v>帕萨特开了一年 来和大家分享用车感受</v>
      </c>
      <c r="C1539" s="2" t="s">
        <v>13</v>
      </c>
      <c r="D1539" s="2" t="s">
        <v>12</v>
      </c>
      <c r="E1539" s="2" t="s">
        <v>210</v>
      </c>
      <c r="F1539" s="2" t="str">
        <f>HYPERLINK("http://bbs.12365auto.com/postcontent.aspx?tId=195298","http://bbs.12365auto.com/postcontent.aspx?tId=195298")</f>
        <v>http://bbs.12365auto.com/postcontent.aspx?tId=195298</v>
      </c>
      <c r="G1539" s="2"/>
      <c r="H1539" s="2" t="s">
        <v>2310</v>
      </c>
      <c r="I1539" s="2" t="s">
        <v>15</v>
      </c>
      <c r="J1539" s="2" t="s">
        <v>2311</v>
      </c>
      <c r="K1539" s="2" t="s">
        <v>2312</v>
      </c>
      <c r="L1539" s="2">
        <f t="shared" ref="L1539:L1602" si="24">LEN(H1539)</f>
        <v>150</v>
      </c>
    </row>
    <row r="1540" spans="1:12" ht="25" customHeight="1">
      <c r="A1540" s="2" t="s">
        <v>12</v>
      </c>
      <c r="B1540" s="2" t="str">
        <f>HYPERLINK("http://bbs.12365auto.com/postcontent.aspx?tID=195298","帕萨特开了一年 来和大家分享用车感受")</f>
        <v>帕萨特开了一年 来和大家分享用车感受</v>
      </c>
      <c r="C1540" s="2" t="s">
        <v>13</v>
      </c>
      <c r="D1540" s="2" t="s">
        <v>12</v>
      </c>
      <c r="E1540" s="2" t="s">
        <v>214</v>
      </c>
      <c r="F1540" s="2" t="str">
        <f>HYPERLINK("http://bbs.12365auto.com/postcontent.aspx?tID=195298","http://bbs.12365auto.com/postcontent.aspx?tID=195298")</f>
        <v>http://bbs.12365auto.com/postcontent.aspx?tID=195298</v>
      </c>
      <c r="G1540" s="2"/>
      <c r="H1540" s="2" t="s">
        <v>2313</v>
      </c>
      <c r="I1540" s="2" t="s">
        <v>15</v>
      </c>
      <c r="J1540" s="2" t="s">
        <v>2311</v>
      </c>
      <c r="K1540" s="2" t="s">
        <v>2312</v>
      </c>
      <c r="L1540" s="2">
        <f t="shared" si="24"/>
        <v>150</v>
      </c>
    </row>
    <row r="1541" spans="1:12" ht="25" customHeight="1">
      <c r="A1541" s="2" t="s">
        <v>12</v>
      </c>
      <c r="B1541" s="2" t="str">
        <f>HYPERLINK("http://m.12365auto.com/bbs/postcontent.aspx?tID=195298","帕萨特开了一年 来和大家分享用车感受")</f>
        <v>帕萨特开了一年 来和大家分享用车感受</v>
      </c>
      <c r="C1541" s="2" t="s">
        <v>13</v>
      </c>
      <c r="D1541" s="2" t="s">
        <v>23</v>
      </c>
      <c r="E1541" s="2"/>
      <c r="F1541" s="2" t="str">
        <f>HYPERLINK("http://m.12365auto.com/bbs/postcontent.aspx?tID=195298","http://m.12365auto.com/bbs/postcontent.aspx?tID=195298")</f>
        <v>http://m.12365auto.com/bbs/postcontent.aspx?tID=195298</v>
      </c>
      <c r="G1541" s="2"/>
      <c r="H1541" s="2" t="s">
        <v>2310</v>
      </c>
      <c r="I1541" s="2" t="s">
        <v>15</v>
      </c>
      <c r="J1541" s="2" t="s">
        <v>2311</v>
      </c>
      <c r="K1541" s="2" t="s">
        <v>2312</v>
      </c>
      <c r="L1541" s="2">
        <f t="shared" si="24"/>
        <v>150</v>
      </c>
    </row>
    <row r="1542" spans="1:12" ht="25" customHeight="1">
      <c r="A1542" s="2" t="s">
        <v>12</v>
      </c>
      <c r="B1542" s="2" t="str">
        <f>HYPERLINK("http://www.12365auto.com/zlts/20200226/448879.shtml","一汽大众奥迪Q3中控屏幕花屏无法使用")</f>
        <v>一汽大众奥迪Q3中控屏幕花屏无法使用</v>
      </c>
      <c r="C1542" s="2" t="s">
        <v>13</v>
      </c>
      <c r="D1542" s="2" t="s">
        <v>12</v>
      </c>
      <c r="E1542" s="2" t="s">
        <v>17</v>
      </c>
      <c r="F1542" s="2" t="str">
        <f>HYPERLINK("http://www.12365auto.com/zlts/20200226/448879.shtml","http://www.12365auto.com/zlts/20200226/448879.shtml")</f>
        <v>http://www.12365auto.com/zlts/20200226/448879.shtml</v>
      </c>
      <c r="G1542" s="2"/>
      <c r="H1542" s="2" t="s">
        <v>2314</v>
      </c>
      <c r="I1542" s="2" t="s">
        <v>19</v>
      </c>
      <c r="J1542" s="2" t="s">
        <v>12</v>
      </c>
      <c r="K1542" s="2" t="s">
        <v>2315</v>
      </c>
      <c r="L1542" s="2">
        <f t="shared" si="24"/>
        <v>150</v>
      </c>
    </row>
    <row r="1543" spans="1:12" ht="25" customHeight="1">
      <c r="A1543" s="2" t="s">
        <v>12</v>
      </c>
      <c r="B1543" s="2" t="str">
        <f>HYPERLINK("http://www.12365auto.com/zlts/20200226/448877.shtml","北京BJ40车身共振十分严重希望处理")</f>
        <v>北京BJ40车身共振十分严重希望处理</v>
      </c>
      <c r="C1543" s="2" t="s">
        <v>13</v>
      </c>
      <c r="D1543" s="2" t="s">
        <v>12</v>
      </c>
      <c r="E1543" s="2" t="s">
        <v>17</v>
      </c>
      <c r="F1543" s="2" t="str">
        <f>HYPERLINK("http://www.12365auto.com/zlts/20200226/448877.shtml","http://www.12365auto.com/zlts/20200226/448877.shtml")</f>
        <v>http://www.12365auto.com/zlts/20200226/448877.shtml</v>
      </c>
      <c r="G1543" s="2"/>
      <c r="H1543" s="2" t="s">
        <v>2316</v>
      </c>
      <c r="I1543" s="2" t="s">
        <v>19</v>
      </c>
      <c r="J1543" s="2" t="s">
        <v>12</v>
      </c>
      <c r="K1543" s="2" t="s">
        <v>2317</v>
      </c>
      <c r="L1543" s="2">
        <f t="shared" si="24"/>
        <v>150</v>
      </c>
    </row>
    <row r="1544" spans="1:12" ht="25" customHeight="1">
      <c r="A1544" s="2" t="s">
        <v>12</v>
      </c>
      <c r="B1544" s="2" t="str">
        <f>HYPERLINK("http://m.12365auto.com/zjdy/20200226/121666.shtml","干式双离合变速箱换挡异响是什么原因？")</f>
        <v>干式双离合变速箱换挡异响是什么原因？</v>
      </c>
      <c r="C1544" s="2" t="s">
        <v>13</v>
      </c>
      <c r="D1544" s="2" t="s">
        <v>12</v>
      </c>
      <c r="E1544" s="2"/>
      <c r="F1544" s="2" t="str">
        <f>HYPERLINK("http://m.12365auto.com/zjdy/20200226/121666.shtml","http://m.12365auto.com/zjdy/20200226/121666.shtml")</f>
        <v>http://m.12365auto.com/zjdy/20200226/121666.shtml</v>
      </c>
      <c r="G1544" s="2"/>
      <c r="H1544" s="2" t="s">
        <v>2318</v>
      </c>
      <c r="I1544" s="2" t="s">
        <v>19</v>
      </c>
      <c r="J1544" s="2" t="s">
        <v>12</v>
      </c>
      <c r="K1544" s="2" t="s">
        <v>2319</v>
      </c>
      <c r="L1544" s="2">
        <f t="shared" si="24"/>
        <v>25</v>
      </c>
    </row>
    <row r="1545" spans="1:12" ht="25" customHeight="1">
      <c r="A1545" s="2" t="s">
        <v>12</v>
      </c>
      <c r="B1545" s="2" t="str">
        <f>HYPERLINK("http://www.12365auto.com/zlts/20200226/448873.shtml","东风标致307汽油箱漏油 存在安全隐患")</f>
        <v>东风标致307汽油箱漏油 存在安全隐患</v>
      </c>
      <c r="C1545" s="2" t="s">
        <v>13</v>
      </c>
      <c r="D1545" s="2" t="s">
        <v>12</v>
      </c>
      <c r="E1545" s="2" t="s">
        <v>17</v>
      </c>
      <c r="F1545" s="2" t="str">
        <f>HYPERLINK("http://www.12365auto.com/zlts/20200226/448873.shtml","http://www.12365auto.com/zlts/20200226/448873.shtml")</f>
        <v>http://www.12365auto.com/zlts/20200226/448873.shtml</v>
      </c>
      <c r="G1545" s="2"/>
      <c r="H1545" s="2" t="s">
        <v>2320</v>
      </c>
      <c r="I1545" s="2" t="s">
        <v>15</v>
      </c>
      <c r="J1545" s="2" t="s">
        <v>12</v>
      </c>
      <c r="K1545" s="2" t="s">
        <v>2321</v>
      </c>
      <c r="L1545" s="2">
        <f t="shared" si="24"/>
        <v>150</v>
      </c>
    </row>
    <row r="1546" spans="1:12" ht="25" customHeight="1">
      <c r="A1546" s="2" t="s">
        <v>12</v>
      </c>
      <c r="B1546" s="2" t="str">
        <f>HYPERLINK("http://m.12365auto.com/xcdg/20200226/419643.shtml","优雅随行 东风Honda INSPIRE低调中尽显尊贵")</f>
        <v>优雅随行 东风Honda INSPIRE低调中尽显尊贵</v>
      </c>
      <c r="C1546" s="2" t="s">
        <v>13</v>
      </c>
      <c r="D1546" s="2" t="s">
        <v>12</v>
      </c>
      <c r="E1546" s="2"/>
      <c r="F1546" s="2" t="str">
        <f>HYPERLINK("http://m.12365auto.com/xcdg/20200226/419643.shtml","http://m.12365auto.com/xcdg/20200226/419643.shtml")</f>
        <v>http://m.12365auto.com/xcdg/20200226/419643.shtml</v>
      </c>
      <c r="G1546" s="2"/>
      <c r="H1546" s="2" t="s">
        <v>2322</v>
      </c>
      <c r="I1546" s="2" t="s">
        <v>19</v>
      </c>
      <c r="J1546" s="2" t="s">
        <v>12</v>
      </c>
      <c r="K1546" s="2" t="s">
        <v>2323</v>
      </c>
      <c r="L1546" s="2">
        <f t="shared" si="24"/>
        <v>150</v>
      </c>
    </row>
    <row r="1547" spans="1:12" ht="25" customHeight="1">
      <c r="A1547" s="2" t="s">
        <v>12</v>
      </c>
      <c r="B1547" s="2" t="str">
        <f>HYPERLINK("http://m.12365auto.com/zjdy/20200226/121665.shtml","长安逸动PLUS快要上市了值得购买吗？")</f>
        <v>长安逸动PLUS快要上市了值得购买吗？</v>
      </c>
      <c r="C1547" s="2" t="s">
        <v>13</v>
      </c>
      <c r="D1547" s="2" t="s">
        <v>12</v>
      </c>
      <c r="E1547" s="2"/>
      <c r="F1547" s="2" t="str">
        <f>HYPERLINK("http://m.12365auto.com/zjdy/20200226/121665.shtml","http://m.12365auto.com/zjdy/20200226/121665.shtml")</f>
        <v>http://m.12365auto.com/zjdy/20200226/121665.shtml</v>
      </c>
      <c r="G1547" s="2"/>
      <c r="H1547" s="2" t="s">
        <v>2324</v>
      </c>
      <c r="I1547" s="2" t="s">
        <v>19</v>
      </c>
      <c r="J1547" s="2" t="s">
        <v>12</v>
      </c>
      <c r="K1547" s="2" t="s">
        <v>2325</v>
      </c>
      <c r="L1547" s="2">
        <f t="shared" si="24"/>
        <v>73</v>
      </c>
    </row>
    <row r="1548" spans="1:12" ht="25" customHeight="1">
      <c r="A1548" s="2" t="s">
        <v>12</v>
      </c>
      <c r="B1548" s="2" t="str">
        <f>HYPERLINK("http://m.12365auto.com/zjdy/20200226/121664.shtml","名爵6亏电全系车都存在还是个别车型才有？")</f>
        <v>名爵6亏电全系车都存在还是个别车型才有？</v>
      </c>
      <c r="C1548" s="2" t="s">
        <v>13</v>
      </c>
      <c r="D1548" s="2" t="s">
        <v>12</v>
      </c>
      <c r="E1548" s="2"/>
      <c r="F1548" s="2" t="str">
        <f>HYPERLINK("http://m.12365auto.com/zjdy/20200226/121664.shtml","http://m.12365auto.com/zjdy/20200226/121664.shtml")</f>
        <v>http://m.12365auto.com/zjdy/20200226/121664.shtml</v>
      </c>
      <c r="G1548" s="2"/>
      <c r="H1548" s="2" t="s">
        <v>2326</v>
      </c>
      <c r="I1548" s="2" t="s">
        <v>19</v>
      </c>
      <c r="J1548" s="2" t="s">
        <v>12</v>
      </c>
      <c r="K1548" s="2" t="s">
        <v>2325</v>
      </c>
      <c r="L1548" s="2">
        <f t="shared" si="24"/>
        <v>20</v>
      </c>
    </row>
    <row r="1549" spans="1:12" ht="25" customHeight="1">
      <c r="A1549" s="2" t="s">
        <v>12</v>
      </c>
      <c r="B1549" s="2" t="str">
        <f>HYPERLINK("http://www.12365auto.com/zlts/20200226/448870.shtml","广汽本田飞度行驶过程中发动机缸体破裂")</f>
        <v>广汽本田飞度行驶过程中发动机缸体破裂</v>
      </c>
      <c r="C1549" s="2" t="s">
        <v>13</v>
      </c>
      <c r="D1549" s="2" t="s">
        <v>12</v>
      </c>
      <c r="E1549" s="2" t="s">
        <v>17</v>
      </c>
      <c r="F1549" s="2" t="str">
        <f>HYPERLINK("http://www.12365auto.com/zlts/20200226/448870.shtml","http://www.12365auto.com/zlts/20200226/448870.shtml")</f>
        <v>http://www.12365auto.com/zlts/20200226/448870.shtml</v>
      </c>
      <c r="G1549" s="2"/>
      <c r="H1549" s="2" t="s">
        <v>2327</v>
      </c>
      <c r="I1549" s="2" t="s">
        <v>19</v>
      </c>
      <c r="J1549" s="2" t="s">
        <v>12</v>
      </c>
      <c r="K1549" s="2" t="s">
        <v>2328</v>
      </c>
      <c r="L1549" s="2">
        <f t="shared" si="24"/>
        <v>150</v>
      </c>
    </row>
    <row r="1550" spans="1:12" ht="25" customHeight="1">
      <c r="A1550" s="2" t="s">
        <v>12</v>
      </c>
      <c r="B1550" s="2" t="str">
        <f>HYPERLINK("http://m.12365auto.com/zjdy/20200226/121663.shtml","帕杰罗ABS时速40码就开始工作什么原因？")</f>
        <v>帕杰罗ABS时速40码就开始工作什么原因？</v>
      </c>
      <c r="C1550" s="2" t="s">
        <v>13</v>
      </c>
      <c r="D1550" s="2" t="s">
        <v>12</v>
      </c>
      <c r="E1550" s="2"/>
      <c r="F1550" s="2" t="str">
        <f>HYPERLINK("http://m.12365auto.com/zjdy/20200226/121663.shtml","http://m.12365auto.com/zjdy/20200226/121663.shtml")</f>
        <v>http://m.12365auto.com/zjdy/20200226/121663.shtml</v>
      </c>
      <c r="G1550" s="2"/>
      <c r="H1550" s="2" t="s">
        <v>2329</v>
      </c>
      <c r="I1550" s="2" t="s">
        <v>19</v>
      </c>
      <c r="J1550" s="2" t="s">
        <v>12</v>
      </c>
      <c r="K1550" s="2" t="s">
        <v>2330</v>
      </c>
      <c r="L1550" s="2">
        <f t="shared" si="24"/>
        <v>21</v>
      </c>
    </row>
    <row r="1551" spans="1:12" ht="25" customHeight="1">
      <c r="A1551" s="2" t="s">
        <v>12</v>
      </c>
      <c r="B1551" s="2" t="str">
        <f>HYPERLINK("http://www.12365auto.com/zlts/20200226/448869.shtml","郑州日产途达电瓶亏电导致发动机无法启动")</f>
        <v>郑州日产途达电瓶亏电导致发动机无法启动</v>
      </c>
      <c r="C1551" s="2" t="s">
        <v>13</v>
      </c>
      <c r="D1551" s="2" t="s">
        <v>12</v>
      </c>
      <c r="E1551" s="2" t="s">
        <v>17</v>
      </c>
      <c r="F1551" s="2" t="str">
        <f>HYPERLINK("http://www.12365auto.com/zlts/20200226/448869.shtml","http://www.12365auto.com/zlts/20200226/448869.shtml")</f>
        <v>http://www.12365auto.com/zlts/20200226/448869.shtml</v>
      </c>
      <c r="G1551" s="2"/>
      <c r="H1551" s="2" t="s">
        <v>2331</v>
      </c>
      <c r="I1551" s="2" t="s">
        <v>19</v>
      </c>
      <c r="J1551" s="2" t="s">
        <v>12</v>
      </c>
      <c r="K1551" s="2" t="s">
        <v>2332</v>
      </c>
      <c r="L1551" s="2">
        <f t="shared" si="24"/>
        <v>150</v>
      </c>
    </row>
    <row r="1552" spans="1:12" ht="25" customHeight="1">
      <c r="A1552" s="2" t="s">
        <v>12</v>
      </c>
      <c r="B1552" s="2" t="str">
        <f>HYPERLINK("http://www.12365auto.com/zlts/20200226/448868.shtml","长安马自达昂克赛拉中控屏裂纹 仪表台掉漆")</f>
        <v>长安马自达昂克赛拉中控屏裂纹 仪表台掉漆</v>
      </c>
      <c r="C1552" s="2" t="s">
        <v>13</v>
      </c>
      <c r="D1552" s="2" t="s">
        <v>12</v>
      </c>
      <c r="E1552" s="2" t="s">
        <v>17</v>
      </c>
      <c r="F1552" s="2" t="str">
        <f>HYPERLINK("http://www.12365auto.com/zlts/20200226/448868.shtml","http://www.12365auto.com/zlts/20200226/448868.shtml")</f>
        <v>http://www.12365auto.com/zlts/20200226/448868.shtml</v>
      </c>
      <c r="G1552" s="2"/>
      <c r="H1552" s="2" t="s">
        <v>2333</v>
      </c>
      <c r="I1552" s="2" t="s">
        <v>19</v>
      </c>
      <c r="J1552" s="2" t="s">
        <v>12</v>
      </c>
      <c r="K1552" s="2" t="s">
        <v>2334</v>
      </c>
      <c r="L1552" s="2">
        <f t="shared" si="24"/>
        <v>150</v>
      </c>
    </row>
    <row r="1553" spans="1:12" ht="25" customHeight="1">
      <c r="A1553" s="2" t="s">
        <v>12</v>
      </c>
      <c r="B1553" s="2" t="str">
        <f>HYPERLINK("http://www.12365auto.com/zlts/20200226/448867.shtml","广汽丰田凯美瑞中控仪表台开裂要求厂家更换")</f>
        <v>广汽丰田凯美瑞中控仪表台开裂要求厂家更换</v>
      </c>
      <c r="C1553" s="2" t="s">
        <v>13</v>
      </c>
      <c r="D1553" s="2" t="s">
        <v>12</v>
      </c>
      <c r="E1553" s="2" t="s">
        <v>17</v>
      </c>
      <c r="F1553" s="2" t="str">
        <f>HYPERLINK("http://www.12365auto.com/zlts/20200226/448867.shtml","http://www.12365auto.com/zlts/20200226/448867.shtml")</f>
        <v>http://www.12365auto.com/zlts/20200226/448867.shtml</v>
      </c>
      <c r="G1553" s="2"/>
      <c r="H1553" s="2" t="s">
        <v>2335</v>
      </c>
      <c r="I1553" s="2" t="s">
        <v>15</v>
      </c>
      <c r="J1553" s="2" t="s">
        <v>12</v>
      </c>
      <c r="K1553" s="2" t="s">
        <v>2336</v>
      </c>
      <c r="L1553" s="2">
        <f t="shared" si="24"/>
        <v>150</v>
      </c>
    </row>
    <row r="1554" spans="1:12" ht="25" customHeight="1">
      <c r="A1554" s="2" t="s">
        <v>12</v>
      </c>
      <c r="B1554" s="2" t="str">
        <f>HYPERLINK("http://bbs.12365auto.com/postcontent.aspx?tID=195297","现代领动点火开关故障无法启动")</f>
        <v>现代领动点火开关故障无法启动</v>
      </c>
      <c r="C1554" s="2" t="s">
        <v>13</v>
      </c>
      <c r="D1554" s="2" t="s">
        <v>12</v>
      </c>
      <c r="E1554" s="2" t="s">
        <v>67</v>
      </c>
      <c r="F1554" s="2" t="str">
        <f>HYPERLINK("http://bbs.12365auto.com/postcontent.aspx?tID=195297","http://bbs.12365auto.com/postcontent.aspx?tID=195297")</f>
        <v>http://bbs.12365auto.com/postcontent.aspx?tID=195297</v>
      </c>
      <c r="G1554" s="2"/>
      <c r="H1554" s="2" t="s">
        <v>2337</v>
      </c>
      <c r="I1554" s="2" t="s">
        <v>15</v>
      </c>
      <c r="J1554" s="2" t="s">
        <v>2338</v>
      </c>
      <c r="K1554" s="2" t="s">
        <v>2339</v>
      </c>
      <c r="L1554" s="2">
        <f t="shared" si="24"/>
        <v>150</v>
      </c>
    </row>
    <row r="1555" spans="1:12" ht="25" customHeight="1">
      <c r="A1555" s="2" t="s">
        <v>12</v>
      </c>
      <c r="B1555" s="2" t="str">
        <f>HYPERLINK("http://m.12365auto.com/bbs/postcontent.aspx?tID=195297","现代领动点火开关故障无法启动")</f>
        <v>现代领动点火开关故障无法启动</v>
      </c>
      <c r="C1555" s="2" t="s">
        <v>13</v>
      </c>
      <c r="D1555" s="2" t="s">
        <v>23</v>
      </c>
      <c r="E1555" s="2"/>
      <c r="F1555" s="2" t="str">
        <f>HYPERLINK("http://m.12365auto.com/bbs/postcontent.aspx?tID=195297","http://m.12365auto.com/bbs/postcontent.aspx?tID=195297")</f>
        <v>http://m.12365auto.com/bbs/postcontent.aspx?tID=195297</v>
      </c>
      <c r="G1555" s="2"/>
      <c r="H1555" s="2" t="s">
        <v>2340</v>
      </c>
      <c r="I1555" s="2" t="s">
        <v>15</v>
      </c>
      <c r="J1555" s="2" t="s">
        <v>2338</v>
      </c>
      <c r="K1555" s="2" t="s">
        <v>2339</v>
      </c>
      <c r="L1555" s="2">
        <f t="shared" si="24"/>
        <v>150</v>
      </c>
    </row>
    <row r="1556" spans="1:12" ht="25" customHeight="1">
      <c r="A1556" s="2" t="s">
        <v>12</v>
      </c>
      <c r="B1556" s="2" t="str">
        <f>HYPERLINK("http://bbs.12365auto.com/postcontent.aspx?tId=195297","现代领动点火开关故障无法启动")</f>
        <v>现代领动点火开关故障无法启动</v>
      </c>
      <c r="C1556" s="2" t="s">
        <v>13</v>
      </c>
      <c r="D1556" s="2" t="s">
        <v>12</v>
      </c>
      <c r="E1556" s="2" t="s">
        <v>66</v>
      </c>
      <c r="F1556" s="2" t="str">
        <f>HYPERLINK("http://bbs.12365auto.com/postcontent.aspx?tId=195297","http://bbs.12365auto.com/postcontent.aspx?tId=195297")</f>
        <v>http://bbs.12365auto.com/postcontent.aspx?tId=195297</v>
      </c>
      <c r="G1556" s="2"/>
      <c r="H1556" s="2" t="s">
        <v>2340</v>
      </c>
      <c r="I1556" s="2" t="s">
        <v>15</v>
      </c>
      <c r="J1556" s="2" t="s">
        <v>2338</v>
      </c>
      <c r="K1556" s="2" t="s">
        <v>2339</v>
      </c>
      <c r="L1556" s="2">
        <f t="shared" si="24"/>
        <v>150</v>
      </c>
    </row>
    <row r="1557" spans="1:12" ht="25" customHeight="1">
      <c r="A1557" s="2" t="s">
        <v>12</v>
      </c>
      <c r="B1557" s="2" t="str">
        <f>HYPERLINK("http://bbs.12365auto.com/postcontent.aspx?tID=195296","奥迪A4L发动机水泵故障节温器漏水")</f>
        <v>奥迪A4L发动机水泵故障节温器漏水</v>
      </c>
      <c r="C1557" s="2" t="s">
        <v>13</v>
      </c>
      <c r="D1557" s="2" t="s">
        <v>12</v>
      </c>
      <c r="E1557" s="2" t="s">
        <v>67</v>
      </c>
      <c r="F1557" s="2" t="str">
        <f>HYPERLINK("http://bbs.12365auto.com/postcontent.aspx?tID=195296","http://bbs.12365auto.com/postcontent.aspx?tID=195296")</f>
        <v>http://bbs.12365auto.com/postcontent.aspx?tID=195296</v>
      </c>
      <c r="G1557" s="2"/>
      <c r="H1557" s="2" t="s">
        <v>2341</v>
      </c>
      <c r="I1557" s="2" t="s">
        <v>15</v>
      </c>
      <c r="J1557" s="2" t="s">
        <v>2342</v>
      </c>
      <c r="K1557" s="2" t="s">
        <v>2343</v>
      </c>
      <c r="L1557" s="2">
        <f t="shared" si="24"/>
        <v>150</v>
      </c>
    </row>
    <row r="1558" spans="1:12" ht="25" customHeight="1">
      <c r="A1558" s="2" t="s">
        <v>12</v>
      </c>
      <c r="B1558" s="2" t="str">
        <f>HYPERLINK("http://bbs.12365auto.com/postcontent.aspx?tID=195295","天籁4S店出售库存车")</f>
        <v>天籁4S店出售库存车</v>
      </c>
      <c r="C1558" s="2" t="s">
        <v>13</v>
      </c>
      <c r="D1558" s="2" t="s">
        <v>12</v>
      </c>
      <c r="E1558" s="2" t="s">
        <v>67</v>
      </c>
      <c r="F1558" s="2" t="str">
        <f>HYPERLINK("http://bbs.12365auto.com/postcontent.aspx?tID=195295","http://bbs.12365auto.com/postcontent.aspx?tID=195295")</f>
        <v>http://bbs.12365auto.com/postcontent.aspx?tID=195295</v>
      </c>
      <c r="G1558" s="2"/>
      <c r="H1558" s="2" t="s">
        <v>2344</v>
      </c>
      <c r="I1558" s="2" t="s">
        <v>15</v>
      </c>
      <c r="J1558" s="2" t="s">
        <v>2345</v>
      </c>
      <c r="K1558" s="2" t="s">
        <v>2343</v>
      </c>
      <c r="L1558" s="2">
        <f t="shared" si="24"/>
        <v>51</v>
      </c>
    </row>
    <row r="1559" spans="1:12" ht="25" customHeight="1">
      <c r="A1559" s="2" t="s">
        <v>12</v>
      </c>
      <c r="B1559" s="2" t="str">
        <f>HYPERLINK("http://m.12365auto.com/bbs/postcontent.aspx?tID=195295","天籁4S店出售库存车")</f>
        <v>天籁4S店出售库存车</v>
      </c>
      <c r="C1559" s="2" t="s">
        <v>13</v>
      </c>
      <c r="D1559" s="2" t="s">
        <v>23</v>
      </c>
      <c r="E1559" s="2"/>
      <c r="F1559" s="2" t="str">
        <f>HYPERLINK("http://m.12365auto.com/bbs/postcontent.aspx?tID=195295","http://m.12365auto.com/bbs/postcontent.aspx?tID=195295")</f>
        <v>http://m.12365auto.com/bbs/postcontent.aspx?tID=195295</v>
      </c>
      <c r="G1559" s="2"/>
      <c r="H1559" s="2" t="s">
        <v>2346</v>
      </c>
      <c r="I1559" s="2" t="s">
        <v>15</v>
      </c>
      <c r="J1559" s="2" t="s">
        <v>2345</v>
      </c>
      <c r="K1559" s="2" t="s">
        <v>2343</v>
      </c>
      <c r="L1559" s="2">
        <f t="shared" si="24"/>
        <v>41</v>
      </c>
    </row>
    <row r="1560" spans="1:12" ht="25" customHeight="1">
      <c r="A1560" s="2" t="s">
        <v>12</v>
      </c>
      <c r="B1560" s="2" t="str">
        <f>HYPERLINK("http://m.12365auto.com/bbs/postcontent.aspx?tID=195296","奥迪A4L发动机水泵故障节温器漏水")</f>
        <v>奥迪A4L发动机水泵故障节温器漏水</v>
      </c>
      <c r="C1560" s="2" t="s">
        <v>13</v>
      </c>
      <c r="D1560" s="2" t="s">
        <v>23</v>
      </c>
      <c r="E1560" s="2"/>
      <c r="F1560" s="2" t="str">
        <f>HYPERLINK("http://m.12365auto.com/bbs/postcontent.aspx?tID=195296","http://m.12365auto.com/bbs/postcontent.aspx?tID=195296")</f>
        <v>http://m.12365auto.com/bbs/postcontent.aspx?tID=195296</v>
      </c>
      <c r="G1560" s="2"/>
      <c r="H1560" s="2" t="s">
        <v>2347</v>
      </c>
      <c r="I1560" s="2" t="s">
        <v>15</v>
      </c>
      <c r="J1560" s="2" t="s">
        <v>2342</v>
      </c>
      <c r="K1560" s="2" t="s">
        <v>2343</v>
      </c>
      <c r="L1560" s="2">
        <f t="shared" si="24"/>
        <v>150</v>
      </c>
    </row>
    <row r="1561" spans="1:12" ht="25" customHeight="1">
      <c r="A1561" s="2" t="s">
        <v>12</v>
      </c>
      <c r="B1561" s="2" t="str">
        <f>HYPERLINK("http://bbs.12365auto.com/postcontent.aspx?tId=195295","天籁4S店出售库存车")</f>
        <v>天籁4S店出售库存车</v>
      </c>
      <c r="C1561" s="2" t="s">
        <v>13</v>
      </c>
      <c r="D1561" s="2" t="s">
        <v>12</v>
      </c>
      <c r="E1561" s="2" t="s">
        <v>66</v>
      </c>
      <c r="F1561" s="2" t="str">
        <f>HYPERLINK("http://bbs.12365auto.com/postcontent.aspx?tId=195295","http://bbs.12365auto.com/postcontent.aspx?tId=195295")</f>
        <v>http://bbs.12365auto.com/postcontent.aspx?tId=195295</v>
      </c>
      <c r="G1561" s="2"/>
      <c r="H1561" s="2" t="s">
        <v>2346</v>
      </c>
      <c r="I1561" s="2" t="s">
        <v>15</v>
      </c>
      <c r="J1561" s="2" t="s">
        <v>2345</v>
      </c>
      <c r="K1561" s="2" t="s">
        <v>2343</v>
      </c>
      <c r="L1561" s="2">
        <f t="shared" si="24"/>
        <v>41</v>
      </c>
    </row>
    <row r="1562" spans="1:12" ht="25" customHeight="1">
      <c r="A1562" s="2" t="s">
        <v>12</v>
      </c>
      <c r="B1562" s="2" t="str">
        <f>HYPERLINK("http://bbs.12365auto.com/postcontent.aspx?tId=195296","奥迪A4L发动机水泵故障节温器漏水")</f>
        <v>奥迪A4L发动机水泵故障节温器漏水</v>
      </c>
      <c r="C1562" s="2" t="s">
        <v>13</v>
      </c>
      <c r="D1562" s="2" t="s">
        <v>12</v>
      </c>
      <c r="E1562" s="2" t="s">
        <v>66</v>
      </c>
      <c r="F1562" s="2" t="str">
        <f>HYPERLINK("http://bbs.12365auto.com/postcontent.aspx?tId=195296","http://bbs.12365auto.com/postcontent.aspx?tId=195296")</f>
        <v>http://bbs.12365auto.com/postcontent.aspx?tId=195296</v>
      </c>
      <c r="G1562" s="2"/>
      <c r="H1562" s="2" t="s">
        <v>2347</v>
      </c>
      <c r="I1562" s="2" t="s">
        <v>15</v>
      </c>
      <c r="J1562" s="2" t="s">
        <v>2342</v>
      </c>
      <c r="K1562" s="2" t="s">
        <v>2343</v>
      </c>
      <c r="L1562" s="2">
        <f t="shared" si="24"/>
        <v>150</v>
      </c>
    </row>
    <row r="1563" spans="1:12" ht="25" customHeight="1">
      <c r="A1563" s="2" t="s">
        <v>12</v>
      </c>
      <c r="B1563" s="2" t="str">
        <f>HYPERLINK("http://bbs.12365auto.com/postcontent.aspx?tID=195294","帝豪车机系统应用商店无显示")</f>
        <v>帝豪车机系统应用商店无显示</v>
      </c>
      <c r="C1563" s="2" t="s">
        <v>13</v>
      </c>
      <c r="D1563" s="2" t="s">
        <v>12</v>
      </c>
      <c r="E1563" s="2" t="s">
        <v>67</v>
      </c>
      <c r="F1563" s="2" t="str">
        <f>HYPERLINK("http://bbs.12365auto.com/postcontent.aspx?tID=195294","http://bbs.12365auto.com/postcontent.aspx?tID=195294")</f>
        <v>http://bbs.12365auto.com/postcontent.aspx?tID=195294</v>
      </c>
      <c r="G1563" s="2"/>
      <c r="H1563" s="2" t="s">
        <v>2348</v>
      </c>
      <c r="I1563" s="2" t="s">
        <v>15</v>
      </c>
      <c r="J1563" s="2" t="s">
        <v>2349</v>
      </c>
      <c r="K1563" s="2" t="s">
        <v>2350</v>
      </c>
      <c r="L1563" s="2">
        <f t="shared" si="24"/>
        <v>145</v>
      </c>
    </row>
    <row r="1564" spans="1:12" ht="25" customHeight="1">
      <c r="A1564" s="2" t="s">
        <v>12</v>
      </c>
      <c r="B1564" s="2" t="str">
        <f>HYPERLINK("http://m.12365auto.com/bbs/postcontent.aspx?tID=195294","帝豪车机系统应用商店无显示")</f>
        <v>帝豪车机系统应用商店无显示</v>
      </c>
      <c r="C1564" s="2" t="s">
        <v>13</v>
      </c>
      <c r="D1564" s="2" t="s">
        <v>23</v>
      </c>
      <c r="E1564" s="2"/>
      <c r="F1564" s="2" t="str">
        <f>HYPERLINK("http://m.12365auto.com/bbs/postcontent.aspx?tID=195294","http://m.12365auto.com/bbs/postcontent.aspx?tID=195294")</f>
        <v>http://m.12365auto.com/bbs/postcontent.aspx?tID=195294</v>
      </c>
      <c r="G1564" s="2"/>
      <c r="H1564" s="2" t="s">
        <v>2351</v>
      </c>
      <c r="I1564" s="2" t="s">
        <v>15</v>
      </c>
      <c r="J1564" s="2" t="s">
        <v>2349</v>
      </c>
      <c r="K1564" s="2" t="s">
        <v>2350</v>
      </c>
      <c r="L1564" s="2">
        <f t="shared" si="24"/>
        <v>132</v>
      </c>
    </row>
    <row r="1565" spans="1:12" ht="25" customHeight="1">
      <c r="A1565" s="2" t="s">
        <v>12</v>
      </c>
      <c r="B1565" s="2" t="str">
        <f>HYPERLINK("http://bbs.12365auto.com/postcontent.aspx?tId=195294","帝豪车机系统应用商店无显示")</f>
        <v>帝豪车机系统应用商店无显示</v>
      </c>
      <c r="C1565" s="2" t="s">
        <v>13</v>
      </c>
      <c r="D1565" s="2" t="s">
        <v>12</v>
      </c>
      <c r="E1565" s="2" t="s">
        <v>66</v>
      </c>
      <c r="F1565" s="2" t="str">
        <f>HYPERLINK("http://bbs.12365auto.com/postcontent.aspx?tId=195294","http://bbs.12365auto.com/postcontent.aspx?tId=195294")</f>
        <v>http://bbs.12365auto.com/postcontent.aspx?tId=195294</v>
      </c>
      <c r="G1565" s="2"/>
      <c r="H1565" s="2" t="s">
        <v>2351</v>
      </c>
      <c r="I1565" s="2" t="s">
        <v>15</v>
      </c>
      <c r="J1565" s="2" t="s">
        <v>2349</v>
      </c>
      <c r="K1565" s="2" t="s">
        <v>2350</v>
      </c>
      <c r="L1565" s="2">
        <f t="shared" si="24"/>
        <v>132</v>
      </c>
    </row>
    <row r="1566" spans="1:12" ht="25" customHeight="1">
      <c r="A1566" s="2" t="s">
        <v>12</v>
      </c>
      <c r="B1566" s="2" t="str">
        <f>HYPERLINK("http://bbs.12365auto.com/postcontent.aspx?tID=195293","本田思域优科豪马轮胎掉皮")</f>
        <v>本田思域优科豪马轮胎掉皮</v>
      </c>
      <c r="C1566" s="2" t="s">
        <v>13</v>
      </c>
      <c r="D1566" s="2" t="s">
        <v>12</v>
      </c>
      <c r="E1566" s="2" t="s">
        <v>67</v>
      </c>
      <c r="F1566" s="2" t="str">
        <f>HYPERLINK("http://bbs.12365auto.com/postcontent.aspx?tID=195293","http://bbs.12365auto.com/postcontent.aspx?tID=195293")</f>
        <v>http://bbs.12365auto.com/postcontent.aspx?tID=195293</v>
      </c>
      <c r="G1566" s="2"/>
      <c r="H1566" s="2" t="s">
        <v>2352</v>
      </c>
      <c r="I1566" s="2" t="s">
        <v>15</v>
      </c>
      <c r="J1566" s="2" t="s">
        <v>2353</v>
      </c>
      <c r="K1566" s="2" t="s">
        <v>2354</v>
      </c>
      <c r="L1566" s="2">
        <f t="shared" si="24"/>
        <v>68</v>
      </c>
    </row>
    <row r="1567" spans="1:12" ht="25" customHeight="1">
      <c r="A1567" s="2" t="s">
        <v>12</v>
      </c>
      <c r="B1567" s="2" t="str">
        <f>HYPERLINK("http://m.12365auto.com/bbs/postcontent.aspx?tID=195293","本田思域优科豪马轮胎掉皮")</f>
        <v>本田思域优科豪马轮胎掉皮</v>
      </c>
      <c r="C1567" s="2" t="s">
        <v>13</v>
      </c>
      <c r="D1567" s="2" t="s">
        <v>23</v>
      </c>
      <c r="E1567" s="2"/>
      <c r="F1567" s="2" t="str">
        <f>HYPERLINK("http://m.12365auto.com/bbs/postcontent.aspx?tID=195293","http://m.12365auto.com/bbs/postcontent.aspx?tID=195293")</f>
        <v>http://m.12365auto.com/bbs/postcontent.aspx?tID=195293</v>
      </c>
      <c r="G1567" s="2"/>
      <c r="H1567" s="2" t="s">
        <v>2355</v>
      </c>
      <c r="I1567" s="2" t="s">
        <v>15</v>
      </c>
      <c r="J1567" s="2" t="s">
        <v>2353</v>
      </c>
      <c r="K1567" s="2" t="s">
        <v>2354</v>
      </c>
      <c r="L1567" s="2">
        <f t="shared" si="24"/>
        <v>56</v>
      </c>
    </row>
    <row r="1568" spans="1:12" ht="25" customHeight="1">
      <c r="A1568" s="2" t="s">
        <v>12</v>
      </c>
      <c r="B1568" s="2" t="str">
        <f>HYPERLINK("http://bbs.12365auto.com/postcontent.aspx?tId=195293","本田思域优科豪马轮胎掉皮")</f>
        <v>本田思域优科豪马轮胎掉皮</v>
      </c>
      <c r="C1568" s="2" t="s">
        <v>13</v>
      </c>
      <c r="D1568" s="2" t="s">
        <v>12</v>
      </c>
      <c r="E1568" s="2" t="s">
        <v>66</v>
      </c>
      <c r="F1568" s="2" t="str">
        <f>HYPERLINK("http://bbs.12365auto.com/postcontent.aspx?tId=195293","http://bbs.12365auto.com/postcontent.aspx?tId=195293")</f>
        <v>http://bbs.12365auto.com/postcontent.aspx?tId=195293</v>
      </c>
      <c r="G1568" s="2"/>
      <c r="H1568" s="2" t="s">
        <v>2355</v>
      </c>
      <c r="I1568" s="2" t="s">
        <v>15</v>
      </c>
      <c r="J1568" s="2" t="s">
        <v>2353</v>
      </c>
      <c r="K1568" s="2" t="s">
        <v>2354</v>
      </c>
      <c r="L1568" s="2">
        <f t="shared" si="24"/>
        <v>56</v>
      </c>
    </row>
    <row r="1569" spans="1:12" ht="25" customHeight="1">
      <c r="A1569" s="2" t="s">
        <v>12</v>
      </c>
      <c r="B1569" s="2" t="str">
        <f>HYPERLINK("http://bbs.12365auto.com/postcontent.aspx?tID=195292","现代名图车门生锈鼓包")</f>
        <v>现代名图车门生锈鼓包</v>
      </c>
      <c r="C1569" s="2" t="s">
        <v>13</v>
      </c>
      <c r="D1569" s="2" t="s">
        <v>12</v>
      </c>
      <c r="E1569" s="2" t="s">
        <v>67</v>
      </c>
      <c r="F1569" s="2" t="str">
        <f>HYPERLINK("http://bbs.12365auto.com/postcontent.aspx?tID=195292","http://bbs.12365auto.com/postcontent.aspx?tID=195292")</f>
        <v>http://bbs.12365auto.com/postcontent.aspx?tID=195292</v>
      </c>
      <c r="G1569" s="2"/>
      <c r="H1569" s="2" t="s">
        <v>2356</v>
      </c>
      <c r="I1569" s="2" t="s">
        <v>15</v>
      </c>
      <c r="J1569" s="2" t="s">
        <v>2357</v>
      </c>
      <c r="K1569" s="2" t="s">
        <v>2358</v>
      </c>
      <c r="L1569" s="2">
        <f t="shared" si="24"/>
        <v>65</v>
      </c>
    </row>
    <row r="1570" spans="1:12" ht="25" customHeight="1">
      <c r="A1570" s="2" t="s">
        <v>12</v>
      </c>
      <c r="B1570" s="2" t="str">
        <f>HYPERLINK("http://bbs.12365auto.com/postcontent.aspx?tID=195291","启辰D60后轮吃胎偏磨")</f>
        <v>启辰D60后轮吃胎偏磨</v>
      </c>
      <c r="C1570" s="2" t="s">
        <v>13</v>
      </c>
      <c r="D1570" s="2" t="s">
        <v>12</v>
      </c>
      <c r="E1570" s="2" t="s">
        <v>67</v>
      </c>
      <c r="F1570" s="2" t="str">
        <f>HYPERLINK("http://bbs.12365auto.com/postcontent.aspx?tID=195291","http://bbs.12365auto.com/postcontent.aspx?tID=195291")</f>
        <v>http://bbs.12365auto.com/postcontent.aspx?tID=195291</v>
      </c>
      <c r="G1570" s="2"/>
      <c r="H1570" s="2" t="s">
        <v>2359</v>
      </c>
      <c r="I1570" s="2" t="s">
        <v>15</v>
      </c>
      <c r="J1570" s="2" t="s">
        <v>2360</v>
      </c>
      <c r="K1570" s="2" t="s">
        <v>2358</v>
      </c>
      <c r="L1570" s="2">
        <f t="shared" si="24"/>
        <v>88</v>
      </c>
    </row>
    <row r="1571" spans="1:12" ht="25" customHeight="1">
      <c r="A1571" s="2" t="s">
        <v>12</v>
      </c>
      <c r="B1571" s="2" t="str">
        <f>HYPERLINK("http://m.12365auto.com/bbs/postcontent.aspx?tID=195292","现代名图车门生锈鼓包")</f>
        <v>现代名图车门生锈鼓包</v>
      </c>
      <c r="C1571" s="2" t="s">
        <v>13</v>
      </c>
      <c r="D1571" s="2" t="s">
        <v>23</v>
      </c>
      <c r="E1571" s="2"/>
      <c r="F1571" s="2" t="str">
        <f>HYPERLINK("http://m.12365auto.com/bbs/postcontent.aspx?tID=195292","http://m.12365auto.com/bbs/postcontent.aspx?tID=195292")</f>
        <v>http://m.12365auto.com/bbs/postcontent.aspx?tID=195292</v>
      </c>
      <c r="G1571" s="2"/>
      <c r="H1571" s="2" t="s">
        <v>2361</v>
      </c>
      <c r="I1571" s="2" t="s">
        <v>15</v>
      </c>
      <c r="J1571" s="2" t="s">
        <v>2357</v>
      </c>
      <c r="K1571" s="2" t="s">
        <v>2358</v>
      </c>
      <c r="L1571" s="2">
        <f t="shared" si="24"/>
        <v>55</v>
      </c>
    </row>
    <row r="1572" spans="1:12" ht="25" customHeight="1">
      <c r="A1572" s="2" t="s">
        <v>12</v>
      </c>
      <c r="B1572" s="2" t="str">
        <f>HYPERLINK("http://m.12365auto.com/bbs/postcontent.aspx?tID=195291","启辰D60后轮吃胎偏磨")</f>
        <v>启辰D60后轮吃胎偏磨</v>
      </c>
      <c r="C1572" s="2" t="s">
        <v>13</v>
      </c>
      <c r="D1572" s="2" t="s">
        <v>23</v>
      </c>
      <c r="E1572" s="2"/>
      <c r="F1572" s="2" t="str">
        <f>HYPERLINK("http://m.12365auto.com/bbs/postcontent.aspx?tID=195291","http://m.12365auto.com/bbs/postcontent.aspx?tID=195291")</f>
        <v>http://m.12365auto.com/bbs/postcontent.aspx?tID=195291</v>
      </c>
      <c r="G1572" s="2"/>
      <c r="H1572" s="2" t="s">
        <v>2362</v>
      </c>
      <c r="I1572" s="2" t="s">
        <v>15</v>
      </c>
      <c r="J1572" s="2" t="s">
        <v>2360</v>
      </c>
      <c r="K1572" s="2" t="s">
        <v>2358</v>
      </c>
      <c r="L1572" s="2">
        <f t="shared" si="24"/>
        <v>77</v>
      </c>
    </row>
    <row r="1573" spans="1:12" ht="25" customHeight="1">
      <c r="A1573" s="2" t="s">
        <v>12</v>
      </c>
      <c r="B1573" s="2" t="str">
        <f>HYPERLINK("http://bbs.12365auto.com/postcontent.aspx?tId=195292","现代名图车门生锈鼓包")</f>
        <v>现代名图车门生锈鼓包</v>
      </c>
      <c r="C1573" s="2" t="s">
        <v>13</v>
      </c>
      <c r="D1573" s="2" t="s">
        <v>12</v>
      </c>
      <c r="E1573" s="2" t="s">
        <v>66</v>
      </c>
      <c r="F1573" s="2" t="str">
        <f>HYPERLINK("http://bbs.12365auto.com/postcontent.aspx?tId=195292","http://bbs.12365auto.com/postcontent.aspx?tId=195292")</f>
        <v>http://bbs.12365auto.com/postcontent.aspx?tId=195292</v>
      </c>
      <c r="G1573" s="2"/>
      <c r="H1573" s="2" t="s">
        <v>2361</v>
      </c>
      <c r="I1573" s="2" t="s">
        <v>15</v>
      </c>
      <c r="J1573" s="2" t="s">
        <v>2357</v>
      </c>
      <c r="K1573" s="2" t="s">
        <v>2358</v>
      </c>
      <c r="L1573" s="2">
        <f t="shared" si="24"/>
        <v>55</v>
      </c>
    </row>
    <row r="1574" spans="1:12" ht="25" customHeight="1">
      <c r="A1574" s="2" t="s">
        <v>12</v>
      </c>
      <c r="B1574" s="2" t="str">
        <f>HYPERLINK("http://bbs.12365auto.com/postcontent.aspx?tId=195291","启辰D60后轮吃胎偏磨")</f>
        <v>启辰D60后轮吃胎偏磨</v>
      </c>
      <c r="C1574" s="2" t="s">
        <v>13</v>
      </c>
      <c r="D1574" s="2" t="s">
        <v>12</v>
      </c>
      <c r="E1574" s="2" t="s">
        <v>66</v>
      </c>
      <c r="F1574" s="2" t="str">
        <f>HYPERLINK("http://bbs.12365auto.com/postcontent.aspx?tId=195291","http://bbs.12365auto.com/postcontent.aspx?tId=195291")</f>
        <v>http://bbs.12365auto.com/postcontent.aspx?tId=195291</v>
      </c>
      <c r="G1574" s="2"/>
      <c r="H1574" s="2" t="s">
        <v>2362</v>
      </c>
      <c r="I1574" s="2" t="s">
        <v>15</v>
      </c>
      <c r="J1574" s="2" t="s">
        <v>2360</v>
      </c>
      <c r="K1574" s="2" t="s">
        <v>2358</v>
      </c>
      <c r="L1574" s="2">
        <f t="shared" si="24"/>
        <v>77</v>
      </c>
    </row>
    <row r="1575" spans="1:12" ht="25" customHeight="1">
      <c r="A1575" s="2" t="s">
        <v>12</v>
      </c>
      <c r="B1575" s="2" t="str">
        <f>HYPERLINK("http://bbs.12365auto.com/postcontent.aspx?tID=195290","本田雅阁高速行驶中转向有卡顿")</f>
        <v>本田雅阁高速行驶中转向有卡顿</v>
      </c>
      <c r="C1575" s="2" t="s">
        <v>13</v>
      </c>
      <c r="D1575" s="2" t="s">
        <v>12</v>
      </c>
      <c r="E1575" s="2" t="s">
        <v>67</v>
      </c>
      <c r="F1575" s="2" t="str">
        <f>HYPERLINK("http://bbs.12365auto.com/postcontent.aspx?tID=195290","http://bbs.12365auto.com/postcontent.aspx?tID=195290")</f>
        <v>http://bbs.12365auto.com/postcontent.aspx?tID=195290</v>
      </c>
      <c r="G1575" s="2"/>
      <c r="H1575" s="2" t="s">
        <v>2363</v>
      </c>
      <c r="I1575" s="2" t="s">
        <v>15</v>
      </c>
      <c r="J1575" s="2" t="s">
        <v>2364</v>
      </c>
      <c r="K1575" s="2" t="s">
        <v>2365</v>
      </c>
      <c r="L1575" s="2">
        <f t="shared" si="24"/>
        <v>57</v>
      </c>
    </row>
    <row r="1576" spans="1:12" ht="25" customHeight="1">
      <c r="A1576" s="2" t="s">
        <v>12</v>
      </c>
      <c r="B1576" s="2" t="str">
        <f>HYPERLINK("http://m.12365auto.com/bbs/postcontent.aspx?tID=195290","本田雅阁高速行驶中转向有卡顿")</f>
        <v>本田雅阁高速行驶中转向有卡顿</v>
      </c>
      <c r="C1576" s="2" t="s">
        <v>13</v>
      </c>
      <c r="D1576" s="2" t="s">
        <v>23</v>
      </c>
      <c r="E1576" s="2"/>
      <c r="F1576" s="2" t="str">
        <f>HYPERLINK("http://m.12365auto.com/bbs/postcontent.aspx?tID=195290","http://m.12365auto.com/bbs/postcontent.aspx?tID=195290")</f>
        <v>http://m.12365auto.com/bbs/postcontent.aspx?tID=195290</v>
      </c>
      <c r="G1576" s="2"/>
      <c r="H1576" s="2" t="s">
        <v>2366</v>
      </c>
      <c r="I1576" s="2" t="s">
        <v>15</v>
      </c>
      <c r="J1576" s="2" t="s">
        <v>2364</v>
      </c>
      <c r="K1576" s="2" t="s">
        <v>2365</v>
      </c>
      <c r="L1576" s="2">
        <f t="shared" si="24"/>
        <v>43</v>
      </c>
    </row>
    <row r="1577" spans="1:12" ht="25" customHeight="1">
      <c r="A1577" s="2" t="s">
        <v>12</v>
      </c>
      <c r="B1577" s="2" t="str">
        <f>HYPERLINK("http://bbs.12365auto.com/postcontent.aspx?tId=195290","本田雅阁高速行驶中转向有卡顿")</f>
        <v>本田雅阁高速行驶中转向有卡顿</v>
      </c>
      <c r="C1577" s="2" t="s">
        <v>13</v>
      </c>
      <c r="D1577" s="2" t="s">
        <v>12</v>
      </c>
      <c r="E1577" s="2" t="s">
        <v>66</v>
      </c>
      <c r="F1577" s="2" t="str">
        <f>HYPERLINK("http://bbs.12365auto.com/postcontent.aspx?tId=195290","http://bbs.12365auto.com/postcontent.aspx?tId=195290")</f>
        <v>http://bbs.12365auto.com/postcontent.aspx?tId=195290</v>
      </c>
      <c r="G1577" s="2"/>
      <c r="H1577" s="2" t="s">
        <v>2366</v>
      </c>
      <c r="I1577" s="2" t="s">
        <v>15</v>
      </c>
      <c r="J1577" s="2" t="s">
        <v>2364</v>
      </c>
      <c r="K1577" s="2" t="s">
        <v>2365</v>
      </c>
      <c r="L1577" s="2">
        <f t="shared" si="24"/>
        <v>43</v>
      </c>
    </row>
    <row r="1578" spans="1:12" ht="25" customHeight="1">
      <c r="A1578" s="2" t="s">
        <v>12</v>
      </c>
      <c r="B1578" s="2" t="str">
        <f>HYPERLINK("http://bbs.12365auto.com/postcontent.aspx?tID=195289","丰田亚洲龙发动机异响共振油门震动")</f>
        <v>丰田亚洲龙发动机异响共振油门震动</v>
      </c>
      <c r="C1578" s="2" t="s">
        <v>13</v>
      </c>
      <c r="D1578" s="2" t="s">
        <v>12</v>
      </c>
      <c r="E1578" s="2" t="s">
        <v>67</v>
      </c>
      <c r="F1578" s="2" t="str">
        <f>HYPERLINK("http://bbs.12365auto.com/postcontent.aspx?tID=195289","http://bbs.12365auto.com/postcontent.aspx?tID=195289")</f>
        <v>http://bbs.12365auto.com/postcontent.aspx?tID=195289</v>
      </c>
      <c r="G1578" s="2"/>
      <c r="H1578" s="2" t="s">
        <v>2367</v>
      </c>
      <c r="I1578" s="2" t="s">
        <v>15</v>
      </c>
      <c r="J1578" s="2" t="s">
        <v>2368</v>
      </c>
      <c r="K1578" s="2" t="s">
        <v>2369</v>
      </c>
      <c r="L1578" s="2">
        <f t="shared" si="24"/>
        <v>150</v>
      </c>
    </row>
    <row r="1579" spans="1:12" ht="25" customHeight="1">
      <c r="A1579" s="2" t="s">
        <v>12</v>
      </c>
      <c r="B1579" s="2" t="str">
        <f>HYPERLINK("http://bbs.12365auto.com/postcontent.aspx?tID=195288","大众高尔夫变速箱顿挫升挡缓慢")</f>
        <v>大众高尔夫变速箱顿挫升挡缓慢</v>
      </c>
      <c r="C1579" s="2" t="s">
        <v>13</v>
      </c>
      <c r="D1579" s="2" t="s">
        <v>12</v>
      </c>
      <c r="E1579" s="2" t="s">
        <v>67</v>
      </c>
      <c r="F1579" s="2" t="str">
        <f>HYPERLINK("http://bbs.12365auto.com/postcontent.aspx?tID=195288","http://bbs.12365auto.com/postcontent.aspx?tID=195288")</f>
        <v>http://bbs.12365auto.com/postcontent.aspx?tID=195288</v>
      </c>
      <c r="G1579" s="2"/>
      <c r="H1579" s="2" t="s">
        <v>2370</v>
      </c>
      <c r="I1579" s="2" t="s">
        <v>15</v>
      </c>
      <c r="J1579" s="2" t="s">
        <v>2371</v>
      </c>
      <c r="K1579" s="2" t="s">
        <v>2369</v>
      </c>
      <c r="L1579" s="2">
        <f t="shared" si="24"/>
        <v>115</v>
      </c>
    </row>
    <row r="1580" spans="1:12" ht="25" customHeight="1">
      <c r="A1580" s="2" t="s">
        <v>12</v>
      </c>
      <c r="B1580" s="2" t="str">
        <f>HYPERLINK("http://m.12365auto.com/bbs/postcontent.aspx?tID=195289","丰田亚洲龙发动机异响共振油门震动")</f>
        <v>丰田亚洲龙发动机异响共振油门震动</v>
      </c>
      <c r="C1580" s="2" t="s">
        <v>13</v>
      </c>
      <c r="D1580" s="2" t="s">
        <v>23</v>
      </c>
      <c r="E1580" s="2"/>
      <c r="F1580" s="2" t="str">
        <f>HYPERLINK("http://m.12365auto.com/bbs/postcontent.aspx?tID=195289","http://m.12365auto.com/bbs/postcontent.aspx?tID=195289")</f>
        <v>http://m.12365auto.com/bbs/postcontent.aspx?tID=195289</v>
      </c>
      <c r="G1580" s="2"/>
      <c r="H1580" s="2" t="s">
        <v>2372</v>
      </c>
      <c r="I1580" s="2" t="s">
        <v>15</v>
      </c>
      <c r="J1580" s="2" t="s">
        <v>2368</v>
      </c>
      <c r="K1580" s="2" t="s">
        <v>2369</v>
      </c>
      <c r="L1580" s="2">
        <f t="shared" si="24"/>
        <v>150</v>
      </c>
    </row>
    <row r="1581" spans="1:12" ht="25" customHeight="1">
      <c r="A1581" s="2" t="s">
        <v>12</v>
      </c>
      <c r="B1581" s="2" t="str">
        <f>HYPERLINK("http://m.12365auto.com/bbs/postcontent.aspx?tID=195288","大众高尔夫变速箱顿挫升挡缓慢")</f>
        <v>大众高尔夫变速箱顿挫升挡缓慢</v>
      </c>
      <c r="C1581" s="2" t="s">
        <v>13</v>
      </c>
      <c r="D1581" s="2" t="s">
        <v>23</v>
      </c>
      <c r="E1581" s="2"/>
      <c r="F1581" s="2" t="str">
        <f>HYPERLINK("http://m.12365auto.com/bbs/postcontent.aspx?tID=195288","http://m.12365auto.com/bbs/postcontent.aspx?tID=195288")</f>
        <v>http://m.12365auto.com/bbs/postcontent.aspx?tID=195288</v>
      </c>
      <c r="G1581" s="2"/>
      <c r="H1581" s="2" t="s">
        <v>2373</v>
      </c>
      <c r="I1581" s="2" t="s">
        <v>15</v>
      </c>
      <c r="J1581" s="2" t="s">
        <v>2371</v>
      </c>
      <c r="K1581" s="2" t="s">
        <v>2369</v>
      </c>
      <c r="L1581" s="2">
        <f t="shared" si="24"/>
        <v>101</v>
      </c>
    </row>
    <row r="1582" spans="1:12" ht="25" customHeight="1">
      <c r="A1582" s="2" t="s">
        <v>12</v>
      </c>
      <c r="B1582" s="2" t="str">
        <f>HYPERLINK("http://bbs.12365auto.com/postcontent.aspx?tId=195289","丰田亚洲龙发动机异响共振油门震动")</f>
        <v>丰田亚洲龙发动机异响共振油门震动</v>
      </c>
      <c r="C1582" s="2" t="s">
        <v>13</v>
      </c>
      <c r="D1582" s="2" t="s">
        <v>12</v>
      </c>
      <c r="E1582" s="2" t="s">
        <v>66</v>
      </c>
      <c r="F1582" s="2" t="str">
        <f>HYPERLINK("http://bbs.12365auto.com/postcontent.aspx?tId=195289","http://bbs.12365auto.com/postcontent.aspx?tId=195289")</f>
        <v>http://bbs.12365auto.com/postcontent.aspx?tId=195289</v>
      </c>
      <c r="G1582" s="2"/>
      <c r="H1582" s="2" t="s">
        <v>2372</v>
      </c>
      <c r="I1582" s="2" t="s">
        <v>15</v>
      </c>
      <c r="J1582" s="2" t="s">
        <v>2368</v>
      </c>
      <c r="K1582" s="2" t="s">
        <v>2369</v>
      </c>
      <c r="L1582" s="2">
        <f t="shared" si="24"/>
        <v>150</v>
      </c>
    </row>
    <row r="1583" spans="1:12" ht="25" customHeight="1">
      <c r="A1583" s="2" t="s">
        <v>12</v>
      </c>
      <c r="B1583" s="2" t="str">
        <f>HYPERLINK("http://bbs.12365auto.com/postcontent.aspx?tId=195288","大众高尔夫变速箱顿挫升挡缓慢")</f>
        <v>大众高尔夫变速箱顿挫升挡缓慢</v>
      </c>
      <c r="C1583" s="2" t="s">
        <v>13</v>
      </c>
      <c r="D1583" s="2" t="s">
        <v>12</v>
      </c>
      <c r="E1583" s="2" t="s">
        <v>66</v>
      </c>
      <c r="F1583" s="2" t="str">
        <f>HYPERLINK("http://bbs.12365auto.com/postcontent.aspx?tId=195288","http://bbs.12365auto.com/postcontent.aspx?tId=195288")</f>
        <v>http://bbs.12365auto.com/postcontent.aspx?tId=195288</v>
      </c>
      <c r="G1583" s="2"/>
      <c r="H1583" s="2" t="s">
        <v>2373</v>
      </c>
      <c r="I1583" s="2" t="s">
        <v>15</v>
      </c>
      <c r="J1583" s="2" t="s">
        <v>2371</v>
      </c>
      <c r="K1583" s="2" t="s">
        <v>2369</v>
      </c>
      <c r="L1583" s="2">
        <f t="shared" si="24"/>
        <v>101</v>
      </c>
    </row>
    <row r="1584" spans="1:12" ht="25" customHeight="1">
      <c r="A1584" s="2" t="s">
        <v>12</v>
      </c>
      <c r="B1584" s="2" t="str">
        <f>HYPERLINK("http://www.12365auto.com/zlts/20200226/448865.shtml","华晨宝马5系4S店更换中控系统是非原厂件")</f>
        <v>华晨宝马5系4S店更换中控系统是非原厂件</v>
      </c>
      <c r="C1584" s="2" t="s">
        <v>13</v>
      </c>
      <c r="D1584" s="2" t="s">
        <v>12</v>
      </c>
      <c r="E1584" s="2" t="s">
        <v>17</v>
      </c>
      <c r="F1584" s="2" t="str">
        <f>HYPERLINK("http://www.12365auto.com/zlts/20200226/448865.shtml","http://www.12365auto.com/zlts/20200226/448865.shtml")</f>
        <v>http://www.12365auto.com/zlts/20200226/448865.shtml</v>
      </c>
      <c r="G1584" s="2"/>
      <c r="H1584" s="2" t="s">
        <v>2374</v>
      </c>
      <c r="I1584" s="2" t="s">
        <v>19</v>
      </c>
      <c r="J1584" s="2" t="s">
        <v>12</v>
      </c>
      <c r="K1584" s="2" t="s">
        <v>2375</v>
      </c>
      <c r="L1584" s="2">
        <f t="shared" si="24"/>
        <v>150</v>
      </c>
    </row>
    <row r="1585" spans="1:12" ht="25" customHeight="1">
      <c r="A1585" s="2" t="s">
        <v>12</v>
      </c>
      <c r="B1585" s="2" t="str">
        <f>HYPERLINK("http://www.12365auto.com/zlts/20200226/448864.shtml","一汽大众探歌挂倒挡时有异响 车身振动")</f>
        <v>一汽大众探歌挂倒挡时有异响 车身振动</v>
      </c>
      <c r="C1585" s="2" t="s">
        <v>13</v>
      </c>
      <c r="D1585" s="2" t="s">
        <v>12</v>
      </c>
      <c r="E1585" s="2" t="s">
        <v>17</v>
      </c>
      <c r="F1585" s="2" t="str">
        <f>HYPERLINK("http://www.12365auto.com/zlts/20200226/448864.shtml","http://www.12365auto.com/zlts/20200226/448864.shtml")</f>
        <v>http://www.12365auto.com/zlts/20200226/448864.shtml</v>
      </c>
      <c r="G1585" s="2"/>
      <c r="H1585" s="2" t="s">
        <v>2376</v>
      </c>
      <c r="I1585" s="2" t="s">
        <v>19</v>
      </c>
      <c r="J1585" s="2" t="s">
        <v>12</v>
      </c>
      <c r="K1585" s="2" t="s">
        <v>2377</v>
      </c>
      <c r="L1585" s="2">
        <f t="shared" si="24"/>
        <v>150</v>
      </c>
    </row>
    <row r="1586" spans="1:12" ht="25" customHeight="1">
      <c r="A1586" s="2" t="s">
        <v>12</v>
      </c>
      <c r="B1586" s="2" t="str">
        <f>HYPERLINK("http://www.12365auto.com/zlts/20200226/448863.shtml","上汽大众凌渡车内酸臭异味导致头晕")</f>
        <v>上汽大众凌渡车内酸臭异味导致头晕</v>
      </c>
      <c r="C1586" s="2" t="s">
        <v>13</v>
      </c>
      <c r="D1586" s="2" t="s">
        <v>12</v>
      </c>
      <c r="E1586" s="2" t="s">
        <v>17</v>
      </c>
      <c r="F1586" s="2" t="str">
        <f>HYPERLINK("http://www.12365auto.com/zlts/20200226/448863.shtml","http://www.12365auto.com/zlts/20200226/448863.shtml")</f>
        <v>http://www.12365auto.com/zlts/20200226/448863.shtml</v>
      </c>
      <c r="G1586" s="2"/>
      <c r="H1586" s="2" t="s">
        <v>2378</v>
      </c>
      <c r="I1586" s="2" t="s">
        <v>19</v>
      </c>
      <c r="J1586" s="2" t="s">
        <v>12</v>
      </c>
      <c r="K1586" s="2" t="s">
        <v>2379</v>
      </c>
      <c r="L1586" s="2">
        <f t="shared" si="24"/>
        <v>150</v>
      </c>
    </row>
    <row r="1587" spans="1:12" ht="25" customHeight="1">
      <c r="A1587" s="2" t="s">
        <v>12</v>
      </c>
      <c r="B1587" s="2" t="str">
        <f>HYPERLINK("http://www.12365auto.com/zlts/20200226/448860.shtml","亚太沃尔沃XC40加速时发动机有异常响声")</f>
        <v>亚太沃尔沃XC40加速时发动机有异常响声</v>
      </c>
      <c r="C1587" s="2" t="s">
        <v>13</v>
      </c>
      <c r="D1587" s="2" t="s">
        <v>12</v>
      </c>
      <c r="E1587" s="2" t="s">
        <v>17</v>
      </c>
      <c r="F1587" s="2" t="str">
        <f>HYPERLINK("http://www.12365auto.com/zlts/20200226/448860.shtml","http://www.12365auto.com/zlts/20200226/448860.shtml")</f>
        <v>http://www.12365auto.com/zlts/20200226/448860.shtml</v>
      </c>
      <c r="G1587" s="2"/>
      <c r="H1587" s="2" t="s">
        <v>2380</v>
      </c>
      <c r="I1587" s="2" t="s">
        <v>19</v>
      </c>
      <c r="J1587" s="2" t="s">
        <v>12</v>
      </c>
      <c r="K1587" s="2" t="s">
        <v>2381</v>
      </c>
      <c r="L1587" s="2">
        <f t="shared" si="24"/>
        <v>150</v>
      </c>
    </row>
    <row r="1588" spans="1:12" ht="25" customHeight="1">
      <c r="A1588" s="2" t="s">
        <v>12</v>
      </c>
      <c r="B1588" s="2" t="str">
        <f>HYPERLINK("http://www.12365auto.com/zlts/20200226/448861.shtml","众泰大迈X5行驶中变速箱故障灯亮")</f>
        <v>众泰大迈X5行驶中变速箱故障灯亮</v>
      </c>
      <c r="C1588" s="2" t="s">
        <v>13</v>
      </c>
      <c r="D1588" s="2" t="s">
        <v>12</v>
      </c>
      <c r="E1588" s="2" t="s">
        <v>17</v>
      </c>
      <c r="F1588" s="2" t="str">
        <f>HYPERLINK("http://www.12365auto.com/zlts/20200226/448861.shtml","http://www.12365auto.com/zlts/20200226/448861.shtml")</f>
        <v>http://www.12365auto.com/zlts/20200226/448861.shtml</v>
      </c>
      <c r="G1588" s="2"/>
      <c r="H1588" s="2" t="s">
        <v>2382</v>
      </c>
      <c r="I1588" s="2" t="s">
        <v>19</v>
      </c>
      <c r="J1588" s="2" t="s">
        <v>12</v>
      </c>
      <c r="K1588" s="2" t="s">
        <v>2381</v>
      </c>
      <c r="L1588" s="2">
        <f t="shared" si="24"/>
        <v>150</v>
      </c>
    </row>
    <row r="1589" spans="1:12" ht="25" customHeight="1">
      <c r="A1589" s="2" t="s">
        <v>12</v>
      </c>
      <c r="B1589" s="2" t="str">
        <f>HYPERLINK("http://www.12365auto.com/zlts/20200226/448856.shtml","东风标致408发动机烧机油 发动机异响")</f>
        <v>东风标致408发动机烧机油 发动机异响</v>
      </c>
      <c r="C1589" s="2" t="s">
        <v>13</v>
      </c>
      <c r="D1589" s="2" t="s">
        <v>12</v>
      </c>
      <c r="E1589" s="2"/>
      <c r="F1589" s="2" t="str">
        <f>HYPERLINK("http://www.12365auto.com/zlts/20200226/448856.shtml","http://www.12365auto.com/zlts/20200226/448856.shtml")</f>
        <v>http://www.12365auto.com/zlts/20200226/448856.shtml</v>
      </c>
      <c r="G1589" s="2"/>
      <c r="H1589" s="3" t="s">
        <v>2383</v>
      </c>
      <c r="I1589" s="2" t="s">
        <v>15</v>
      </c>
      <c r="J1589" s="2" t="s">
        <v>12</v>
      </c>
      <c r="K1589" s="2" t="s">
        <v>2384</v>
      </c>
      <c r="L1589" s="2">
        <f t="shared" si="24"/>
        <v>108</v>
      </c>
    </row>
    <row r="1590" spans="1:12" ht="25" customHeight="1">
      <c r="A1590" s="2" t="s">
        <v>12</v>
      </c>
      <c r="B1590" s="2" t="str">
        <f>HYPERLINK("http://m.12365auto.com/zjdy/20200226/121662.shtml","福特锐界刹车油管破裂一直不解决如何维权？")</f>
        <v>福特锐界刹车油管破裂一直不解决如何维权？</v>
      </c>
      <c r="C1590" s="2" t="s">
        <v>13</v>
      </c>
      <c r="D1590" s="2" t="s">
        <v>12</v>
      </c>
      <c r="E1590" s="2"/>
      <c r="F1590" s="2" t="str">
        <f>HYPERLINK("http://m.12365auto.com/zjdy/20200226/121662.shtml","http://m.12365auto.com/zjdy/20200226/121662.shtml")</f>
        <v>http://m.12365auto.com/zjdy/20200226/121662.shtml</v>
      </c>
      <c r="G1590" s="2"/>
      <c r="H1590" s="2" t="s">
        <v>2385</v>
      </c>
      <c r="I1590" s="2" t="s">
        <v>19</v>
      </c>
      <c r="J1590" s="2" t="s">
        <v>12</v>
      </c>
      <c r="K1590" s="2" t="s">
        <v>2386</v>
      </c>
      <c r="L1590" s="2">
        <f t="shared" si="24"/>
        <v>116</v>
      </c>
    </row>
    <row r="1591" spans="1:12" ht="25" customHeight="1">
      <c r="A1591" s="2" t="s">
        <v>12</v>
      </c>
      <c r="B1591" s="2" t="str">
        <f>HYPERLINK("http://m.12365auto.com/zjdy/20200226/121661.shtml","奔驰E200变速箱由D挡换到P挡是什么原因？")</f>
        <v>奔驰E200变速箱由D挡换到P挡是什么原因？</v>
      </c>
      <c r="C1591" s="2" t="s">
        <v>13</v>
      </c>
      <c r="D1591" s="2" t="s">
        <v>12</v>
      </c>
      <c r="E1591" s="2"/>
      <c r="F1591" s="2" t="str">
        <f>HYPERLINK("http://m.12365auto.com/zjdy/20200226/121661.shtml","http://m.12365auto.com/zjdy/20200226/121661.shtml")</f>
        <v>http://m.12365auto.com/zjdy/20200226/121661.shtml</v>
      </c>
      <c r="G1591" s="2"/>
      <c r="H1591" s="2" t="s">
        <v>2387</v>
      </c>
      <c r="I1591" s="2" t="s">
        <v>19</v>
      </c>
      <c r="J1591" s="2" t="s">
        <v>12</v>
      </c>
      <c r="K1591" s="2" t="s">
        <v>2386</v>
      </c>
      <c r="L1591" s="2">
        <f t="shared" si="24"/>
        <v>29</v>
      </c>
    </row>
    <row r="1592" spans="1:12" ht="25" customHeight="1">
      <c r="A1592" s="2" t="s">
        <v>12</v>
      </c>
      <c r="B1592" s="2" t="str">
        <f>HYPERLINK("http://bbs.12365auto.com/postcontent.aspx?tID=195287","广汽丰田凯美瑞半轴防尘套出现漏油")</f>
        <v>广汽丰田凯美瑞半轴防尘套出现漏油</v>
      </c>
      <c r="C1592" s="2" t="s">
        <v>13</v>
      </c>
      <c r="D1592" s="2" t="s">
        <v>12</v>
      </c>
      <c r="E1592" s="2" t="s">
        <v>67</v>
      </c>
      <c r="F1592" s="2" t="str">
        <f>HYPERLINK("http://bbs.12365auto.com/postcontent.aspx?tID=195287","http://bbs.12365auto.com/postcontent.aspx?tID=195287")</f>
        <v>http://bbs.12365auto.com/postcontent.aspx?tID=195287</v>
      </c>
      <c r="G1592" s="2"/>
      <c r="H1592" s="2" t="s">
        <v>2388</v>
      </c>
      <c r="I1592" s="2" t="s">
        <v>15</v>
      </c>
      <c r="J1592" s="2" t="s">
        <v>2389</v>
      </c>
      <c r="K1592" s="2" t="s">
        <v>2390</v>
      </c>
      <c r="L1592" s="2">
        <f t="shared" si="24"/>
        <v>138</v>
      </c>
    </row>
    <row r="1593" spans="1:12" ht="25" customHeight="1">
      <c r="A1593" s="2" t="s">
        <v>12</v>
      </c>
      <c r="B1593" s="2" t="str">
        <f>HYPERLINK("http://m.12365auto.com/bbs/postcontent.aspx?tID=195287","广汽丰田凯美瑞半轴防尘套出现漏油")</f>
        <v>广汽丰田凯美瑞半轴防尘套出现漏油</v>
      </c>
      <c r="C1593" s="2" t="s">
        <v>13</v>
      </c>
      <c r="D1593" s="2" t="s">
        <v>23</v>
      </c>
      <c r="E1593" s="2"/>
      <c r="F1593" s="2" t="str">
        <f>HYPERLINK("http://m.12365auto.com/bbs/postcontent.aspx?tID=195287","http://m.12365auto.com/bbs/postcontent.aspx?tID=195287")</f>
        <v>http://m.12365auto.com/bbs/postcontent.aspx?tID=195287</v>
      </c>
      <c r="G1593" s="2"/>
      <c r="H1593" s="2" t="s">
        <v>2391</v>
      </c>
      <c r="I1593" s="2" t="s">
        <v>15</v>
      </c>
      <c r="J1593" s="2" t="s">
        <v>2389</v>
      </c>
      <c r="K1593" s="2" t="s">
        <v>2390</v>
      </c>
      <c r="L1593" s="2">
        <f t="shared" si="24"/>
        <v>122</v>
      </c>
    </row>
    <row r="1594" spans="1:12" ht="25" customHeight="1">
      <c r="A1594" s="2" t="s">
        <v>12</v>
      </c>
      <c r="B1594" s="2" t="str">
        <f>HYPERLINK("http://bbs.12365auto.com/postcontent.aspx?tId=195287","广汽丰田凯美瑞半轴防尘套出现漏油")</f>
        <v>广汽丰田凯美瑞半轴防尘套出现漏油</v>
      </c>
      <c r="C1594" s="2" t="s">
        <v>13</v>
      </c>
      <c r="D1594" s="2" t="s">
        <v>12</v>
      </c>
      <c r="E1594" s="2" t="s">
        <v>66</v>
      </c>
      <c r="F1594" s="2" t="str">
        <f>HYPERLINK("http://bbs.12365auto.com/postcontent.aspx?tId=195287","http://bbs.12365auto.com/postcontent.aspx?tId=195287")</f>
        <v>http://bbs.12365auto.com/postcontent.aspx?tId=195287</v>
      </c>
      <c r="G1594" s="2"/>
      <c r="H1594" s="2" t="s">
        <v>2391</v>
      </c>
      <c r="I1594" s="2" t="s">
        <v>15</v>
      </c>
      <c r="J1594" s="2" t="s">
        <v>2389</v>
      </c>
      <c r="K1594" s="2" t="s">
        <v>2390</v>
      </c>
      <c r="L1594" s="2">
        <f t="shared" si="24"/>
        <v>122</v>
      </c>
    </row>
    <row r="1595" spans="1:12" ht="25" customHeight="1">
      <c r="A1595" s="2" t="s">
        <v>12</v>
      </c>
      <c r="B1595" s="2" t="str">
        <f>HYPERLINK("http://bbs.12365auto.com/postcontent.aspx?tID=195286","北京奔驰GLC倍耐力右前轮开裂")</f>
        <v>北京奔驰GLC倍耐力右前轮开裂</v>
      </c>
      <c r="C1595" s="2" t="s">
        <v>13</v>
      </c>
      <c r="D1595" s="2" t="s">
        <v>12</v>
      </c>
      <c r="E1595" s="2" t="s">
        <v>67</v>
      </c>
      <c r="F1595" s="2" t="str">
        <f>HYPERLINK("http://bbs.12365auto.com/postcontent.aspx?tID=195286","http://bbs.12365auto.com/postcontent.aspx?tID=195286")</f>
        <v>http://bbs.12365auto.com/postcontent.aspx?tID=195286</v>
      </c>
      <c r="G1595" s="2"/>
      <c r="H1595" s="2" t="s">
        <v>2392</v>
      </c>
      <c r="I1595" s="2" t="s">
        <v>15</v>
      </c>
      <c r="J1595" s="2" t="s">
        <v>2393</v>
      </c>
      <c r="K1595" s="2" t="s">
        <v>2394</v>
      </c>
      <c r="L1595" s="2">
        <f t="shared" si="24"/>
        <v>150</v>
      </c>
    </row>
    <row r="1596" spans="1:12" ht="25" customHeight="1">
      <c r="A1596" s="2" t="s">
        <v>12</v>
      </c>
      <c r="B1596" s="2" t="str">
        <f>HYPERLINK("http://m.12365auto.com/bbs/postcontent.aspx?tID=195286","北京奔驰GLC倍耐力右前轮开裂")</f>
        <v>北京奔驰GLC倍耐力右前轮开裂</v>
      </c>
      <c r="C1596" s="2" t="s">
        <v>13</v>
      </c>
      <c r="D1596" s="2" t="s">
        <v>23</v>
      </c>
      <c r="E1596" s="2"/>
      <c r="F1596" s="2" t="str">
        <f>HYPERLINK("http://m.12365auto.com/bbs/postcontent.aspx?tID=195286","http://m.12365auto.com/bbs/postcontent.aspx?tID=195286")</f>
        <v>http://m.12365auto.com/bbs/postcontent.aspx?tID=195286</v>
      </c>
      <c r="G1596" s="2"/>
      <c r="H1596" s="2" t="s">
        <v>2395</v>
      </c>
      <c r="I1596" s="2" t="s">
        <v>15</v>
      </c>
      <c r="J1596" s="2" t="s">
        <v>2393</v>
      </c>
      <c r="K1596" s="2" t="s">
        <v>2394</v>
      </c>
      <c r="L1596" s="2">
        <f t="shared" si="24"/>
        <v>150</v>
      </c>
    </row>
    <row r="1597" spans="1:12" ht="25" customHeight="1">
      <c r="A1597" s="2" t="s">
        <v>12</v>
      </c>
      <c r="B1597" s="2" t="str">
        <f>HYPERLINK("http://bbs.12365auto.com/postcontent.aspx?tId=195286","北京奔驰GLC倍耐力右前轮开裂")</f>
        <v>北京奔驰GLC倍耐力右前轮开裂</v>
      </c>
      <c r="C1597" s="2" t="s">
        <v>13</v>
      </c>
      <c r="D1597" s="2" t="s">
        <v>12</v>
      </c>
      <c r="E1597" s="2" t="s">
        <v>66</v>
      </c>
      <c r="F1597" s="2" t="str">
        <f>HYPERLINK("http://bbs.12365auto.com/postcontent.aspx?tId=195286","http://bbs.12365auto.com/postcontent.aspx?tId=195286")</f>
        <v>http://bbs.12365auto.com/postcontent.aspx?tId=195286</v>
      </c>
      <c r="G1597" s="2"/>
      <c r="H1597" s="2" t="s">
        <v>2395</v>
      </c>
      <c r="I1597" s="2" t="s">
        <v>15</v>
      </c>
      <c r="J1597" s="2" t="s">
        <v>2393</v>
      </c>
      <c r="K1597" s="2" t="s">
        <v>2394</v>
      </c>
      <c r="L1597" s="2">
        <f t="shared" si="24"/>
        <v>150</v>
      </c>
    </row>
    <row r="1598" spans="1:12" ht="25" customHeight="1">
      <c r="A1598" s="2" t="s">
        <v>12</v>
      </c>
      <c r="B1598" s="2" t="str">
        <f>HYPERLINK("http://bbs.12365auto.com/postcontent.aspx?tID=195283","汉腾X7变速箱故障导致车辆无法加速")</f>
        <v>汉腾X7变速箱故障导致车辆无法加速</v>
      </c>
      <c r="C1598" s="2" t="s">
        <v>13</v>
      </c>
      <c r="D1598" s="2" t="s">
        <v>12</v>
      </c>
      <c r="E1598" s="2" t="s">
        <v>67</v>
      </c>
      <c r="F1598" s="2" t="str">
        <f>HYPERLINK("http://bbs.12365auto.com/postcontent.aspx?tID=195283","http://bbs.12365auto.com/postcontent.aspx?tID=195283")</f>
        <v>http://bbs.12365auto.com/postcontent.aspx?tID=195283</v>
      </c>
      <c r="G1598" s="2"/>
      <c r="H1598" s="2" t="s">
        <v>2396</v>
      </c>
      <c r="I1598" s="2" t="s">
        <v>15</v>
      </c>
      <c r="J1598" s="2" t="s">
        <v>2397</v>
      </c>
      <c r="K1598" s="2" t="s">
        <v>2398</v>
      </c>
      <c r="L1598" s="2">
        <f t="shared" si="24"/>
        <v>104</v>
      </c>
    </row>
    <row r="1599" spans="1:12" ht="25" customHeight="1">
      <c r="A1599" s="2" t="s">
        <v>12</v>
      </c>
      <c r="B1599" s="2" t="str">
        <f>HYPERLINK("http://bbs.12365auto.com/postcontent.aspx?tID=195285","长安欧尚欧力威EV续航公里数悬殊太多了")</f>
        <v>长安欧尚欧力威EV续航公里数悬殊太多了</v>
      </c>
      <c r="C1599" s="2" t="s">
        <v>13</v>
      </c>
      <c r="D1599" s="2" t="s">
        <v>12</v>
      </c>
      <c r="E1599" s="2" t="s">
        <v>67</v>
      </c>
      <c r="F1599" s="2" t="str">
        <f>HYPERLINK("http://bbs.12365auto.com/postcontent.aspx?tID=195285","http://bbs.12365auto.com/postcontent.aspx?tID=195285")</f>
        <v>http://bbs.12365auto.com/postcontent.aspx?tID=195285</v>
      </c>
      <c r="G1599" s="2"/>
      <c r="H1599" s="2" t="s">
        <v>2399</v>
      </c>
      <c r="I1599" s="2" t="s">
        <v>15</v>
      </c>
      <c r="J1599" s="2" t="s">
        <v>2400</v>
      </c>
      <c r="K1599" s="2" t="s">
        <v>2398</v>
      </c>
      <c r="L1599" s="2">
        <f t="shared" si="24"/>
        <v>113</v>
      </c>
    </row>
    <row r="1600" spans="1:12" ht="25" customHeight="1">
      <c r="A1600" s="2" t="s">
        <v>12</v>
      </c>
      <c r="B1600" s="2" t="str">
        <f>HYPERLINK("http://m.12365auto.com/bbs/postcontent.aspx?tID=195285","长安欧尚欧力威EV续航公里数悬殊太多了")</f>
        <v>长安欧尚欧力威EV续航公里数悬殊太多了</v>
      </c>
      <c r="C1600" s="2" t="s">
        <v>13</v>
      </c>
      <c r="D1600" s="2" t="s">
        <v>23</v>
      </c>
      <c r="E1600" s="2"/>
      <c r="F1600" s="2" t="str">
        <f>HYPERLINK("http://m.12365auto.com/bbs/postcontent.aspx?tID=195285","http://m.12365auto.com/bbs/postcontent.aspx?tID=195285")</f>
        <v>http://m.12365auto.com/bbs/postcontent.aspx?tID=195285</v>
      </c>
      <c r="G1600" s="2"/>
      <c r="H1600" s="2" t="s">
        <v>2401</v>
      </c>
      <c r="I1600" s="2" t="s">
        <v>15</v>
      </c>
      <c r="J1600" s="2" t="s">
        <v>2400</v>
      </c>
      <c r="K1600" s="2" t="s">
        <v>2398</v>
      </c>
      <c r="L1600" s="2">
        <f t="shared" si="24"/>
        <v>85</v>
      </c>
    </row>
    <row r="1601" spans="1:12" ht="25" customHeight="1">
      <c r="A1601" s="2" t="s">
        <v>12</v>
      </c>
      <c r="B1601" s="2" t="str">
        <f>HYPERLINK("http://m.12365auto.com/bbs/postcontent.aspx?tID=195283","汉腾X7变速箱故障导致车辆无法加速")</f>
        <v>汉腾X7变速箱故障导致车辆无法加速</v>
      </c>
      <c r="C1601" s="2" t="s">
        <v>13</v>
      </c>
      <c r="D1601" s="2" t="s">
        <v>23</v>
      </c>
      <c r="E1601" s="2"/>
      <c r="F1601" s="2" t="str">
        <f>HYPERLINK("http://m.12365auto.com/bbs/postcontent.aspx?tID=195283","http://m.12365auto.com/bbs/postcontent.aspx?tID=195283")</f>
        <v>http://m.12365auto.com/bbs/postcontent.aspx?tID=195283</v>
      </c>
      <c r="G1601" s="2"/>
      <c r="H1601" s="2" t="s">
        <v>2402</v>
      </c>
      <c r="I1601" s="2" t="s">
        <v>15</v>
      </c>
      <c r="J1601" s="2" t="s">
        <v>2397</v>
      </c>
      <c r="K1601" s="2" t="s">
        <v>2398</v>
      </c>
      <c r="L1601" s="2">
        <f t="shared" si="24"/>
        <v>80</v>
      </c>
    </row>
    <row r="1602" spans="1:12" ht="25" customHeight="1">
      <c r="A1602" s="2" t="s">
        <v>12</v>
      </c>
      <c r="B1602" s="2" t="str">
        <f>HYPERLINK("http://bbs.12365auto.com/postcontent.aspx?tId=195283","汉腾X7变速箱故障导致车辆无法加速")</f>
        <v>汉腾X7变速箱故障导致车辆无法加速</v>
      </c>
      <c r="C1602" s="2" t="s">
        <v>13</v>
      </c>
      <c r="D1602" s="2" t="s">
        <v>12</v>
      </c>
      <c r="E1602" s="2" t="s">
        <v>66</v>
      </c>
      <c r="F1602" s="2" t="str">
        <f>HYPERLINK("http://bbs.12365auto.com/postcontent.aspx?tId=195283","http://bbs.12365auto.com/postcontent.aspx?tId=195283")</f>
        <v>http://bbs.12365auto.com/postcontent.aspx?tId=195283</v>
      </c>
      <c r="G1602" s="2"/>
      <c r="H1602" s="2" t="s">
        <v>2402</v>
      </c>
      <c r="I1602" s="2" t="s">
        <v>15</v>
      </c>
      <c r="J1602" s="2" t="s">
        <v>2397</v>
      </c>
      <c r="K1602" s="2" t="s">
        <v>2398</v>
      </c>
      <c r="L1602" s="2">
        <f t="shared" si="24"/>
        <v>80</v>
      </c>
    </row>
    <row r="1603" spans="1:12" ht="25" customHeight="1">
      <c r="A1603" s="2" t="s">
        <v>12</v>
      </c>
      <c r="B1603" s="2" t="str">
        <f>HYPERLINK("http://bbs.12365auto.com/postcontent.aspx?tId=195285","长安欧尚欧力威EV续航公里数悬殊太多了")</f>
        <v>长安欧尚欧力威EV续航公里数悬殊太多了</v>
      </c>
      <c r="C1603" s="2" t="s">
        <v>13</v>
      </c>
      <c r="D1603" s="2" t="s">
        <v>12</v>
      </c>
      <c r="E1603" s="2" t="s">
        <v>66</v>
      </c>
      <c r="F1603" s="2" t="str">
        <f>HYPERLINK("http://bbs.12365auto.com/postcontent.aspx?tId=195285","http://bbs.12365auto.com/postcontent.aspx?tId=195285")</f>
        <v>http://bbs.12365auto.com/postcontent.aspx?tId=195285</v>
      </c>
      <c r="G1603" s="2"/>
      <c r="H1603" s="2" t="s">
        <v>2401</v>
      </c>
      <c r="I1603" s="2" t="s">
        <v>15</v>
      </c>
      <c r="J1603" s="2" t="s">
        <v>2400</v>
      </c>
      <c r="K1603" s="2" t="s">
        <v>2398</v>
      </c>
      <c r="L1603" s="2">
        <f t="shared" ref="L1603:L1666" si="25">LEN(H1603)</f>
        <v>85</v>
      </c>
    </row>
    <row r="1604" spans="1:12" ht="25" customHeight="1">
      <c r="A1604" s="2" t="s">
        <v>12</v>
      </c>
      <c r="B1604" s="2" t="str">
        <f>HYPERLINK("http://bbs.12365auto.com/postcontent.aspx?tID=195280","上汽名爵ZS发动机故障灯报警")</f>
        <v>上汽名爵ZS发动机故障灯报警</v>
      </c>
      <c r="C1604" s="2" t="s">
        <v>13</v>
      </c>
      <c r="D1604" s="2" t="s">
        <v>12</v>
      </c>
      <c r="E1604" s="2" t="s">
        <v>67</v>
      </c>
      <c r="F1604" s="2" t="str">
        <f>HYPERLINK("http://bbs.12365auto.com/postcontent.aspx?tID=195280","http://bbs.12365auto.com/postcontent.aspx?tID=195280")</f>
        <v>http://bbs.12365auto.com/postcontent.aspx?tID=195280</v>
      </c>
      <c r="G1604" s="2"/>
      <c r="H1604" s="2" t="s">
        <v>2403</v>
      </c>
      <c r="I1604" s="2" t="s">
        <v>15</v>
      </c>
      <c r="J1604" s="2" t="s">
        <v>2404</v>
      </c>
      <c r="K1604" s="2" t="s">
        <v>2405</v>
      </c>
      <c r="L1604" s="2">
        <f t="shared" si="25"/>
        <v>68</v>
      </c>
    </row>
    <row r="1605" spans="1:12" ht="25" customHeight="1">
      <c r="A1605" s="2" t="s">
        <v>12</v>
      </c>
      <c r="B1605" s="2" t="str">
        <f>HYPERLINK("http://m.12365auto.com/bbs/postcontent.aspx?tID=195280","上汽名爵ZS发动机故障灯报警")</f>
        <v>上汽名爵ZS发动机故障灯报警</v>
      </c>
      <c r="C1605" s="2" t="s">
        <v>13</v>
      </c>
      <c r="D1605" s="2" t="s">
        <v>23</v>
      </c>
      <c r="E1605" s="2"/>
      <c r="F1605" s="2" t="str">
        <f>HYPERLINK("http://m.12365auto.com/bbs/postcontent.aspx?tID=195280","http://m.12365auto.com/bbs/postcontent.aspx?tID=195280")</f>
        <v>http://m.12365auto.com/bbs/postcontent.aspx?tID=195280</v>
      </c>
      <c r="G1605" s="2"/>
      <c r="H1605" s="2" t="s">
        <v>2406</v>
      </c>
      <c r="I1605" s="2" t="s">
        <v>15</v>
      </c>
      <c r="J1605" s="2" t="s">
        <v>2404</v>
      </c>
      <c r="K1605" s="2" t="s">
        <v>2405</v>
      </c>
      <c r="L1605" s="2">
        <f t="shared" si="25"/>
        <v>54</v>
      </c>
    </row>
    <row r="1606" spans="1:12" ht="25" customHeight="1">
      <c r="A1606" s="2" t="s">
        <v>12</v>
      </c>
      <c r="B1606" s="2" t="str">
        <f>HYPERLINK("http://bbs.12365auto.com/postcontent.aspx?tId=195280","上汽名爵ZS发动机故障灯报警")</f>
        <v>上汽名爵ZS发动机故障灯报警</v>
      </c>
      <c r="C1606" s="2" t="s">
        <v>13</v>
      </c>
      <c r="D1606" s="2" t="s">
        <v>12</v>
      </c>
      <c r="E1606" s="2" t="s">
        <v>66</v>
      </c>
      <c r="F1606" s="2" t="str">
        <f>HYPERLINK("http://bbs.12365auto.com/postcontent.aspx?tId=195280","http://bbs.12365auto.com/postcontent.aspx?tId=195280")</f>
        <v>http://bbs.12365auto.com/postcontent.aspx?tId=195280</v>
      </c>
      <c r="G1606" s="2"/>
      <c r="H1606" s="2" t="s">
        <v>2406</v>
      </c>
      <c r="I1606" s="2" t="s">
        <v>15</v>
      </c>
      <c r="J1606" s="2" t="s">
        <v>2404</v>
      </c>
      <c r="K1606" s="2" t="s">
        <v>2405</v>
      </c>
      <c r="L1606" s="2">
        <f t="shared" si="25"/>
        <v>54</v>
      </c>
    </row>
    <row r="1607" spans="1:12" ht="25" customHeight="1">
      <c r="A1607" s="2" t="s">
        <v>12</v>
      </c>
      <c r="B1607" s="2" t="str">
        <f>HYPERLINK("http://bbs.12365auto.com/postcontent.aspx?tID=195278","一汽大众宝来后备箱异响")</f>
        <v>一汽大众宝来后备箱异响</v>
      </c>
      <c r="C1607" s="2" t="s">
        <v>13</v>
      </c>
      <c r="D1607" s="2" t="s">
        <v>12</v>
      </c>
      <c r="E1607" s="2" t="s">
        <v>67</v>
      </c>
      <c r="F1607" s="2" t="str">
        <f>HYPERLINK("http://bbs.12365auto.com/postcontent.aspx?tID=195278","http://bbs.12365auto.com/postcontent.aspx?tID=195278")</f>
        <v>http://bbs.12365auto.com/postcontent.aspx?tID=195278</v>
      </c>
      <c r="G1607" s="2"/>
      <c r="H1607" s="2" t="s">
        <v>2407</v>
      </c>
      <c r="I1607" s="2" t="s">
        <v>15</v>
      </c>
      <c r="J1607" s="2" t="s">
        <v>2408</v>
      </c>
      <c r="K1607" s="2" t="s">
        <v>2409</v>
      </c>
      <c r="L1607" s="2">
        <f t="shared" si="25"/>
        <v>71</v>
      </c>
    </row>
    <row r="1608" spans="1:12" ht="25" customHeight="1">
      <c r="A1608" s="2" t="s">
        <v>12</v>
      </c>
      <c r="B1608" s="2" t="str">
        <f>HYPERLINK("http://m.12365auto.com/bbs/postcontent.aspx?tID=195278","一汽大众宝来后备箱异响")</f>
        <v>一汽大众宝来后备箱异响</v>
      </c>
      <c r="C1608" s="2" t="s">
        <v>13</v>
      </c>
      <c r="D1608" s="2" t="s">
        <v>23</v>
      </c>
      <c r="E1608" s="2"/>
      <c r="F1608" s="2" t="str">
        <f>HYPERLINK("http://m.12365auto.com/bbs/postcontent.aspx?tID=195278","http://m.12365auto.com/bbs/postcontent.aspx?tID=195278")</f>
        <v>http://m.12365auto.com/bbs/postcontent.aspx?tID=195278</v>
      </c>
      <c r="G1608" s="2"/>
      <c r="H1608" s="2" t="s">
        <v>2410</v>
      </c>
      <c r="I1608" s="2" t="s">
        <v>15</v>
      </c>
      <c r="J1608" s="2" t="s">
        <v>2408</v>
      </c>
      <c r="K1608" s="2" t="s">
        <v>2409</v>
      </c>
      <c r="L1608" s="2">
        <f t="shared" si="25"/>
        <v>57</v>
      </c>
    </row>
    <row r="1609" spans="1:12" ht="25" customHeight="1">
      <c r="A1609" s="2" t="s">
        <v>12</v>
      </c>
      <c r="B1609" s="2" t="str">
        <f>HYPERLINK("http://m.12365auto.com/bbs/postcontent.aspx?tID=195277","北汽绅宝X25发动机漏油")</f>
        <v>北汽绅宝X25发动机漏油</v>
      </c>
      <c r="C1609" s="2" t="s">
        <v>13</v>
      </c>
      <c r="D1609" s="2" t="s">
        <v>23</v>
      </c>
      <c r="E1609" s="2"/>
      <c r="F1609" s="2" t="str">
        <f>HYPERLINK("http://m.12365auto.com/bbs/postcontent.aspx?tID=195277","http://m.12365auto.com/bbs/postcontent.aspx?tID=195277")</f>
        <v>http://m.12365auto.com/bbs/postcontent.aspx?tID=195277</v>
      </c>
      <c r="G1609" s="2"/>
      <c r="H1609" s="2" t="s">
        <v>2411</v>
      </c>
      <c r="I1609" s="2" t="s">
        <v>15</v>
      </c>
      <c r="J1609" s="2" t="s">
        <v>2412</v>
      </c>
      <c r="K1609" s="2" t="s">
        <v>2409</v>
      </c>
      <c r="L1609" s="2">
        <f t="shared" si="25"/>
        <v>107</v>
      </c>
    </row>
    <row r="1610" spans="1:12" ht="25" customHeight="1">
      <c r="A1610" s="2" t="s">
        <v>12</v>
      </c>
      <c r="B1610" s="2" t="str">
        <f>HYPERLINK("http://bbs.12365auto.com/postcontent.aspx?tId=195278","一汽大众宝来后备箱异响")</f>
        <v>一汽大众宝来后备箱异响</v>
      </c>
      <c r="C1610" s="2" t="s">
        <v>13</v>
      </c>
      <c r="D1610" s="2" t="s">
        <v>12</v>
      </c>
      <c r="E1610" s="2" t="s">
        <v>66</v>
      </c>
      <c r="F1610" s="2" t="str">
        <f>HYPERLINK("http://bbs.12365auto.com/postcontent.aspx?tId=195278","http://bbs.12365auto.com/postcontent.aspx?tId=195278")</f>
        <v>http://bbs.12365auto.com/postcontent.aspx?tId=195278</v>
      </c>
      <c r="G1610" s="2"/>
      <c r="H1610" s="2" t="s">
        <v>2410</v>
      </c>
      <c r="I1610" s="2" t="s">
        <v>15</v>
      </c>
      <c r="J1610" s="2" t="s">
        <v>2408</v>
      </c>
      <c r="K1610" s="2" t="s">
        <v>2409</v>
      </c>
      <c r="L1610" s="2">
        <f t="shared" si="25"/>
        <v>57</v>
      </c>
    </row>
    <row r="1611" spans="1:12" ht="25" customHeight="1">
      <c r="A1611" s="2" t="s">
        <v>12</v>
      </c>
      <c r="B1611" s="2" t="str">
        <f>HYPERLINK("http://bbs.12365auto.com/postcontent.aspx?tId=195277","北汽绅宝X25发动机漏油")</f>
        <v>北汽绅宝X25发动机漏油</v>
      </c>
      <c r="C1611" s="2" t="s">
        <v>13</v>
      </c>
      <c r="D1611" s="2" t="s">
        <v>12</v>
      </c>
      <c r="E1611" s="2" t="s">
        <v>66</v>
      </c>
      <c r="F1611" s="2" t="str">
        <f>HYPERLINK("http://bbs.12365auto.com/postcontent.aspx?tId=195277","http://bbs.12365auto.com/postcontent.aspx?tId=195277")</f>
        <v>http://bbs.12365auto.com/postcontent.aspx?tId=195277</v>
      </c>
      <c r="G1611" s="2"/>
      <c r="H1611" s="2" t="s">
        <v>2411</v>
      </c>
      <c r="I1611" s="2" t="s">
        <v>15</v>
      </c>
      <c r="J1611" s="2" t="s">
        <v>2412</v>
      </c>
      <c r="K1611" s="2" t="s">
        <v>2409</v>
      </c>
      <c r="L1611" s="2">
        <f t="shared" si="25"/>
        <v>107</v>
      </c>
    </row>
    <row r="1612" spans="1:12" ht="25" customHeight="1">
      <c r="A1612" s="2" t="s">
        <v>12</v>
      </c>
      <c r="B1612" s="2" t="str">
        <f>HYPERLINK("http://bbs.12365auto.com/postcontent.aspx?tID=195277","北汽绅宝X25发动机漏油")</f>
        <v>北汽绅宝X25发动机漏油</v>
      </c>
      <c r="C1612" s="2" t="s">
        <v>13</v>
      </c>
      <c r="D1612" s="2" t="s">
        <v>12</v>
      </c>
      <c r="E1612" s="2" t="s">
        <v>67</v>
      </c>
      <c r="F1612" s="2" t="str">
        <f>HYPERLINK("http://bbs.12365auto.com/postcontent.aspx?tID=195277","http://bbs.12365auto.com/postcontent.aspx?tID=195277")</f>
        <v>http://bbs.12365auto.com/postcontent.aspx?tID=195277</v>
      </c>
      <c r="G1612" s="2"/>
      <c r="H1612" s="2" t="s">
        <v>2413</v>
      </c>
      <c r="I1612" s="2" t="s">
        <v>15</v>
      </c>
      <c r="J1612" s="2" t="s">
        <v>2412</v>
      </c>
      <c r="K1612" s="2" t="s">
        <v>2409</v>
      </c>
      <c r="L1612" s="2">
        <f t="shared" si="25"/>
        <v>125</v>
      </c>
    </row>
    <row r="1613" spans="1:12" ht="25" customHeight="1">
      <c r="A1613" s="2" t="s">
        <v>12</v>
      </c>
      <c r="B1613" s="2" t="str">
        <f>HYPERLINK("http://m.12365auto.com/bbs/postcontent.aspx?tID=195275","广汽丰田致享停放自燃要求尽快处理")</f>
        <v>广汽丰田致享停放自燃要求尽快处理</v>
      </c>
      <c r="C1613" s="2" t="s">
        <v>13</v>
      </c>
      <c r="D1613" s="2" t="s">
        <v>23</v>
      </c>
      <c r="E1613" s="2"/>
      <c r="F1613" s="2" t="str">
        <f>HYPERLINK("http://m.12365auto.com/bbs/postcontent.aspx?tID=195275","http://m.12365auto.com/bbs/postcontent.aspx?tID=195275")</f>
        <v>http://m.12365auto.com/bbs/postcontent.aspx?tID=195275</v>
      </c>
      <c r="G1613" s="2"/>
      <c r="H1613" s="2" t="s">
        <v>2414</v>
      </c>
      <c r="I1613" s="2" t="s">
        <v>15</v>
      </c>
      <c r="J1613" s="2" t="s">
        <v>2415</v>
      </c>
      <c r="K1613" s="2" t="s">
        <v>2416</v>
      </c>
      <c r="L1613" s="2">
        <f t="shared" si="25"/>
        <v>150</v>
      </c>
    </row>
    <row r="1614" spans="1:12" ht="25" customHeight="1">
      <c r="A1614" s="2" t="s">
        <v>12</v>
      </c>
      <c r="B1614" s="2" t="str">
        <f>HYPERLINK("http://bbs.12365auto.com/postcontent.aspx?tId=195275","广汽丰田致享停放自燃要求尽快处理")</f>
        <v>广汽丰田致享停放自燃要求尽快处理</v>
      </c>
      <c r="C1614" s="2" t="s">
        <v>13</v>
      </c>
      <c r="D1614" s="2" t="s">
        <v>12</v>
      </c>
      <c r="E1614" s="2" t="s">
        <v>66</v>
      </c>
      <c r="F1614" s="2" t="str">
        <f>HYPERLINK("http://bbs.12365auto.com/postcontent.aspx?tId=195275","http://bbs.12365auto.com/postcontent.aspx?tId=195275")</f>
        <v>http://bbs.12365auto.com/postcontent.aspx?tId=195275</v>
      </c>
      <c r="G1614" s="2"/>
      <c r="H1614" s="2" t="s">
        <v>2414</v>
      </c>
      <c r="I1614" s="2" t="s">
        <v>15</v>
      </c>
      <c r="J1614" s="2" t="s">
        <v>2415</v>
      </c>
      <c r="K1614" s="2" t="s">
        <v>2416</v>
      </c>
      <c r="L1614" s="2">
        <f t="shared" si="25"/>
        <v>150</v>
      </c>
    </row>
    <row r="1615" spans="1:12" ht="25" customHeight="1">
      <c r="A1615" s="2" t="s">
        <v>12</v>
      </c>
      <c r="B1615" s="2" t="str">
        <f>HYPERLINK("http://bbs.12365auto.com/postcontent.aspx?tID=195275","广汽丰田致享停放自燃要求尽快处理")</f>
        <v>广汽丰田致享停放自燃要求尽快处理</v>
      </c>
      <c r="C1615" s="2" t="s">
        <v>13</v>
      </c>
      <c r="D1615" s="2" t="s">
        <v>12</v>
      </c>
      <c r="E1615" s="2" t="s">
        <v>67</v>
      </c>
      <c r="F1615" s="2" t="str">
        <f>HYPERLINK("http://bbs.12365auto.com/postcontent.aspx?tID=195275","http://bbs.12365auto.com/postcontent.aspx?tID=195275")</f>
        <v>http://bbs.12365auto.com/postcontent.aspx?tID=195275</v>
      </c>
      <c r="G1615" s="2"/>
      <c r="H1615" s="2" t="s">
        <v>2417</v>
      </c>
      <c r="I1615" s="2" t="s">
        <v>15</v>
      </c>
      <c r="J1615" s="2" t="s">
        <v>2415</v>
      </c>
      <c r="K1615" s="2" t="s">
        <v>2416</v>
      </c>
      <c r="L1615" s="2">
        <f t="shared" si="25"/>
        <v>150</v>
      </c>
    </row>
    <row r="1616" spans="1:12" ht="25" customHeight="1">
      <c r="A1616" s="2" t="s">
        <v>12</v>
      </c>
      <c r="B1616" s="2" t="str">
        <f>HYPERLINK("http://bbs.12365auto.com/postcontent.aspx?tID=195273","雷克萨斯CT200H改装WALD款包围")</f>
        <v>雷克萨斯CT200H改装WALD款包围</v>
      </c>
      <c r="C1616" s="2" t="s">
        <v>13</v>
      </c>
      <c r="D1616" s="2" t="s">
        <v>12</v>
      </c>
      <c r="E1616" s="2" t="s">
        <v>28</v>
      </c>
      <c r="F1616" s="2" t="str">
        <f>HYPERLINK("http://bbs.12365auto.com/postcontent.aspx?tID=195273","http://bbs.12365auto.com/postcontent.aspx?tID=195273")</f>
        <v>http://bbs.12365auto.com/postcontent.aspx?tID=195273</v>
      </c>
      <c r="G1616" s="2"/>
      <c r="H1616" s="2" t="s">
        <v>2418</v>
      </c>
      <c r="I1616" s="2" t="s">
        <v>15</v>
      </c>
      <c r="J1616" s="2" t="s">
        <v>145</v>
      </c>
      <c r="K1616" s="2" t="s">
        <v>2419</v>
      </c>
      <c r="L1616" s="2">
        <f t="shared" si="25"/>
        <v>38</v>
      </c>
    </row>
    <row r="1617" spans="1:12" ht="25" customHeight="1">
      <c r="A1617" s="2" t="s">
        <v>12</v>
      </c>
      <c r="B1617" s="2" t="str">
        <f>HYPERLINK("http://m.12365auto.com/bbs/postcontent.aspx?tID=195274","众泰E200出现故障灯后无法加速")</f>
        <v>众泰E200出现故障灯后无法加速</v>
      </c>
      <c r="C1617" s="2" t="s">
        <v>13</v>
      </c>
      <c r="D1617" s="2" t="s">
        <v>23</v>
      </c>
      <c r="E1617" s="2"/>
      <c r="F1617" s="2" t="str">
        <f>HYPERLINK("http://m.12365auto.com/bbs/postcontent.aspx?tID=195274","http://m.12365auto.com/bbs/postcontent.aspx?tID=195274")</f>
        <v>http://m.12365auto.com/bbs/postcontent.aspx?tID=195274</v>
      </c>
      <c r="G1617" s="2"/>
      <c r="H1617" s="2" t="s">
        <v>2420</v>
      </c>
      <c r="I1617" s="2" t="s">
        <v>15</v>
      </c>
      <c r="J1617" s="2" t="s">
        <v>2421</v>
      </c>
      <c r="K1617" s="2" t="s">
        <v>2419</v>
      </c>
      <c r="L1617" s="2">
        <f t="shared" si="25"/>
        <v>150</v>
      </c>
    </row>
    <row r="1618" spans="1:12" ht="25" customHeight="1">
      <c r="A1618" s="2" t="s">
        <v>12</v>
      </c>
      <c r="B1618" s="2" t="str">
        <f>HYPERLINK("http://bbs.12365auto.com/postcontent.aspx?tId=195274","众泰E200出现故障灯后无法加速")</f>
        <v>众泰E200出现故障灯后无法加速</v>
      </c>
      <c r="C1618" s="2" t="s">
        <v>13</v>
      </c>
      <c r="D1618" s="2" t="s">
        <v>12</v>
      </c>
      <c r="E1618" s="2" t="s">
        <v>66</v>
      </c>
      <c r="F1618" s="2" t="str">
        <f>HYPERLINK("http://bbs.12365auto.com/postcontent.aspx?tId=195274","http://bbs.12365auto.com/postcontent.aspx?tId=195274")</f>
        <v>http://bbs.12365auto.com/postcontent.aspx?tId=195274</v>
      </c>
      <c r="G1618" s="2"/>
      <c r="H1618" s="2" t="s">
        <v>2420</v>
      </c>
      <c r="I1618" s="2" t="s">
        <v>15</v>
      </c>
      <c r="J1618" s="2" t="s">
        <v>2421</v>
      </c>
      <c r="K1618" s="2" t="s">
        <v>2419</v>
      </c>
      <c r="L1618" s="2">
        <f t="shared" si="25"/>
        <v>150</v>
      </c>
    </row>
    <row r="1619" spans="1:12" ht="25" customHeight="1">
      <c r="A1619" s="2" t="s">
        <v>12</v>
      </c>
      <c r="B1619" s="2" t="str">
        <f>HYPERLINK("http://bbs.12365auto.com/postcontent.aspx?tID=195274","众泰E200出现故障灯后无法加速")</f>
        <v>众泰E200出现故障灯后无法加速</v>
      </c>
      <c r="C1619" s="2" t="s">
        <v>13</v>
      </c>
      <c r="D1619" s="2" t="s">
        <v>12</v>
      </c>
      <c r="E1619" s="2" t="s">
        <v>67</v>
      </c>
      <c r="F1619" s="2" t="str">
        <f>HYPERLINK("http://bbs.12365auto.com/postcontent.aspx?tID=195274","http://bbs.12365auto.com/postcontent.aspx?tID=195274")</f>
        <v>http://bbs.12365auto.com/postcontent.aspx?tID=195274</v>
      </c>
      <c r="G1619" s="2"/>
      <c r="H1619" s="2" t="s">
        <v>2422</v>
      </c>
      <c r="I1619" s="2" t="s">
        <v>15</v>
      </c>
      <c r="J1619" s="2" t="s">
        <v>2421</v>
      </c>
      <c r="K1619" s="2" t="s">
        <v>2419</v>
      </c>
      <c r="L1619" s="2">
        <f t="shared" si="25"/>
        <v>150</v>
      </c>
    </row>
    <row r="1620" spans="1:12" ht="25" customHeight="1">
      <c r="A1620" s="2" t="s">
        <v>12</v>
      </c>
      <c r="B1620" s="2" t="str">
        <f>HYPERLINK("http://bbs.12365auto.com/postcontent.aspx?tId=195272","东风本田CR-V机油乳化增多无法使用")</f>
        <v>东风本田CR-V机油乳化增多无法使用</v>
      </c>
      <c r="C1620" s="2" t="s">
        <v>13</v>
      </c>
      <c r="D1620" s="2" t="s">
        <v>12</v>
      </c>
      <c r="E1620" s="2" t="s">
        <v>66</v>
      </c>
      <c r="F1620" s="2" t="str">
        <f>HYPERLINK("http://bbs.12365auto.com/postcontent.aspx?tId=195272","http://bbs.12365auto.com/postcontent.aspx?tId=195272")</f>
        <v>http://bbs.12365auto.com/postcontent.aspx?tId=195272</v>
      </c>
      <c r="G1620" s="2"/>
      <c r="H1620" s="2" t="s">
        <v>2423</v>
      </c>
      <c r="I1620" s="2" t="s">
        <v>15</v>
      </c>
      <c r="J1620" s="2" t="s">
        <v>2424</v>
      </c>
      <c r="K1620" s="2" t="s">
        <v>2425</v>
      </c>
      <c r="L1620" s="2">
        <f t="shared" si="25"/>
        <v>27</v>
      </c>
    </row>
    <row r="1621" spans="1:12" ht="25" customHeight="1">
      <c r="A1621" s="2" t="s">
        <v>12</v>
      </c>
      <c r="B1621" s="2" t="str">
        <f>HYPERLINK("http://bbs.12365auto.com/postcontent.aspx?tID=195272","东风本田CR-V机油乳化增多无法使用")</f>
        <v>东风本田CR-V机油乳化增多无法使用</v>
      </c>
      <c r="C1621" s="2" t="s">
        <v>13</v>
      </c>
      <c r="D1621" s="2" t="s">
        <v>12</v>
      </c>
      <c r="E1621" s="2" t="s">
        <v>67</v>
      </c>
      <c r="F1621" s="2" t="str">
        <f>HYPERLINK("http://bbs.12365auto.com/postcontent.aspx?tID=195272","http://bbs.12365auto.com/postcontent.aspx?tID=195272")</f>
        <v>http://bbs.12365auto.com/postcontent.aspx?tID=195272</v>
      </c>
      <c r="G1621" s="2"/>
      <c r="H1621" s="2" t="s">
        <v>2426</v>
      </c>
      <c r="I1621" s="2" t="s">
        <v>15</v>
      </c>
      <c r="J1621" s="2" t="s">
        <v>2424</v>
      </c>
      <c r="K1621" s="2" t="s">
        <v>2425</v>
      </c>
      <c r="L1621" s="2">
        <f t="shared" si="25"/>
        <v>45</v>
      </c>
    </row>
    <row r="1622" spans="1:12" ht="25" customHeight="1">
      <c r="A1622" s="2" t="s">
        <v>12</v>
      </c>
      <c r="B1622" s="2" t="str">
        <f>HYPERLINK("http://bbs.12365auto.com/postcontent.aspx?tId=195270","一汽大众探岳大灯透镜发白影响照明")</f>
        <v>一汽大众探岳大灯透镜发白影响照明</v>
      </c>
      <c r="C1622" s="2" t="s">
        <v>13</v>
      </c>
      <c r="D1622" s="2" t="s">
        <v>12</v>
      </c>
      <c r="E1622" s="2" t="s">
        <v>66</v>
      </c>
      <c r="F1622" s="2" t="str">
        <f>HYPERLINK("http://bbs.12365auto.com/postcontent.aspx?tId=195270","http://bbs.12365auto.com/postcontent.aspx?tId=195270")</f>
        <v>http://bbs.12365auto.com/postcontent.aspx?tId=195270</v>
      </c>
      <c r="G1622" s="2"/>
      <c r="H1622" s="2" t="s">
        <v>2427</v>
      </c>
      <c r="I1622" s="2" t="s">
        <v>15</v>
      </c>
      <c r="J1622" s="2" t="s">
        <v>2428</v>
      </c>
      <c r="K1622" s="2" t="s">
        <v>2429</v>
      </c>
      <c r="L1622" s="2">
        <f t="shared" si="25"/>
        <v>43</v>
      </c>
    </row>
    <row r="1623" spans="1:12" ht="25" customHeight="1">
      <c r="A1623" s="2" t="s">
        <v>12</v>
      </c>
      <c r="B1623" s="2" t="str">
        <f>HYPERLINK("http://bbs.12365auto.com/postcontent.aspx?tID=195270","一汽大众探岳大灯透镜发白影响照明")</f>
        <v>一汽大众探岳大灯透镜发白影响照明</v>
      </c>
      <c r="C1623" s="2" t="s">
        <v>13</v>
      </c>
      <c r="D1623" s="2" t="s">
        <v>12</v>
      </c>
      <c r="E1623" s="2" t="s">
        <v>67</v>
      </c>
      <c r="F1623" s="2" t="str">
        <f>HYPERLINK("http://bbs.12365auto.com/postcontent.aspx?tID=195270","http://bbs.12365auto.com/postcontent.aspx?tID=195270")</f>
        <v>http://bbs.12365auto.com/postcontent.aspx?tID=195270</v>
      </c>
      <c r="G1623" s="2"/>
      <c r="H1623" s="2" t="s">
        <v>2430</v>
      </c>
      <c r="I1623" s="2" t="s">
        <v>15</v>
      </c>
      <c r="J1623" s="2" t="s">
        <v>2428</v>
      </c>
      <c r="K1623" s="2" t="s">
        <v>2429</v>
      </c>
      <c r="L1623" s="2">
        <f t="shared" si="25"/>
        <v>59</v>
      </c>
    </row>
    <row r="1624" spans="1:12" ht="25" customHeight="1">
      <c r="A1624" s="2" t="s">
        <v>12</v>
      </c>
      <c r="B1624" s="2" t="str">
        <f>HYPERLINK("http://bbs.12365auto.com/postcontent.aspx?tId=195269","上汽荣威i6新能源减震器漏油严重")</f>
        <v>上汽荣威i6新能源减震器漏油严重</v>
      </c>
      <c r="C1624" s="2" t="s">
        <v>13</v>
      </c>
      <c r="D1624" s="2" t="s">
        <v>12</v>
      </c>
      <c r="E1624" s="2" t="s">
        <v>66</v>
      </c>
      <c r="F1624" s="2" t="str">
        <f>HYPERLINK("http://bbs.12365auto.com/postcontent.aspx?tId=195269","http://bbs.12365auto.com/postcontent.aspx?tId=195269")</f>
        <v>http://bbs.12365auto.com/postcontent.aspx?tId=195269</v>
      </c>
      <c r="G1624" s="2"/>
      <c r="H1624" s="2" t="s">
        <v>2431</v>
      </c>
      <c r="I1624" s="2" t="s">
        <v>15</v>
      </c>
      <c r="J1624" s="2" t="s">
        <v>2432</v>
      </c>
      <c r="K1624" s="2" t="s">
        <v>2433</v>
      </c>
      <c r="L1624" s="2">
        <f t="shared" si="25"/>
        <v>88</v>
      </c>
    </row>
    <row r="1625" spans="1:12" ht="25" customHeight="1">
      <c r="A1625" s="2" t="s">
        <v>12</v>
      </c>
      <c r="B1625" s="2" t="str">
        <f>HYPERLINK("http://bbs.12365auto.com/postcontent.aspx?tID=195269","上汽荣威i6新能源减震器漏油严重")</f>
        <v>上汽荣威i6新能源减震器漏油严重</v>
      </c>
      <c r="C1625" s="2" t="s">
        <v>13</v>
      </c>
      <c r="D1625" s="2" t="s">
        <v>12</v>
      </c>
      <c r="E1625" s="2" t="s">
        <v>67</v>
      </c>
      <c r="F1625" s="2" t="str">
        <f>HYPERLINK("http://bbs.12365auto.com/postcontent.aspx?tID=195269","http://bbs.12365auto.com/postcontent.aspx?tID=195269")</f>
        <v>http://bbs.12365auto.com/postcontent.aspx?tID=195269</v>
      </c>
      <c r="G1625" s="2"/>
      <c r="H1625" s="2" t="s">
        <v>2434</v>
      </c>
      <c r="I1625" s="2" t="s">
        <v>15</v>
      </c>
      <c r="J1625" s="2" t="s">
        <v>2432</v>
      </c>
      <c r="K1625" s="2" t="s">
        <v>2433</v>
      </c>
      <c r="L1625" s="2">
        <f t="shared" si="25"/>
        <v>104</v>
      </c>
    </row>
    <row r="1626" spans="1:12" ht="25" customHeight="1">
      <c r="A1626" s="2" t="s">
        <v>12</v>
      </c>
      <c r="B1626" s="2" t="str">
        <f>HYPERLINK("http://www.12365auto.com/zlts/20200226/448854.shtml","上汽名爵6行驶时离合器异响 后减震器异响")</f>
        <v>上汽名爵6行驶时离合器异响 后减震器异响</v>
      </c>
      <c r="C1626" s="2" t="s">
        <v>13</v>
      </c>
      <c r="D1626" s="2" t="s">
        <v>12</v>
      </c>
      <c r="E1626" s="2" t="s">
        <v>17</v>
      </c>
      <c r="F1626" s="2" t="str">
        <f>HYPERLINK("http://www.12365auto.com/zlts/20200226/448854.shtml","http://www.12365auto.com/zlts/20200226/448854.shtml")</f>
        <v>http://www.12365auto.com/zlts/20200226/448854.shtml</v>
      </c>
      <c r="G1626" s="2"/>
      <c r="H1626" s="2" t="s">
        <v>2435</v>
      </c>
      <c r="I1626" s="2" t="s">
        <v>19</v>
      </c>
      <c r="J1626" s="2" t="s">
        <v>12</v>
      </c>
      <c r="K1626" s="2" t="s">
        <v>2436</v>
      </c>
      <c r="L1626" s="2">
        <f t="shared" si="25"/>
        <v>150</v>
      </c>
    </row>
    <row r="1627" spans="1:12" ht="25" customHeight="1">
      <c r="A1627" s="2" t="s">
        <v>12</v>
      </c>
      <c r="B1627" s="2" t="str">
        <f>HYPERLINK("http://www.12365auto.com/zlts/20200226/448853.shtml","比亚迪速锐二四六挡时变速箱有异响")</f>
        <v>比亚迪速锐二四六挡时变速箱有异响</v>
      </c>
      <c r="C1627" s="2" t="s">
        <v>13</v>
      </c>
      <c r="D1627" s="2" t="s">
        <v>12</v>
      </c>
      <c r="E1627" s="2" t="s">
        <v>17</v>
      </c>
      <c r="F1627" s="2" t="str">
        <f>HYPERLINK("http://www.12365auto.com/zlts/20200226/448853.shtml","http://www.12365auto.com/zlts/20200226/448853.shtml")</f>
        <v>http://www.12365auto.com/zlts/20200226/448853.shtml</v>
      </c>
      <c r="G1627" s="2"/>
      <c r="H1627" s="2" t="s">
        <v>2437</v>
      </c>
      <c r="I1627" s="2" t="s">
        <v>19</v>
      </c>
      <c r="J1627" s="2" t="s">
        <v>12</v>
      </c>
      <c r="K1627" s="2" t="s">
        <v>2438</v>
      </c>
      <c r="L1627" s="2">
        <f t="shared" si="25"/>
        <v>150</v>
      </c>
    </row>
    <row r="1628" spans="1:12" ht="25" customHeight="1">
      <c r="A1628" s="2" t="s">
        <v>12</v>
      </c>
      <c r="B1628" s="2" t="str">
        <f>HYPERLINK("http://bbs.12365auto.com/postcontent.aspx?tID=195268","二手车市场鱼龙混杂，教你如何练成火眼金睛")</f>
        <v>二手车市场鱼龙混杂，教你如何练成火眼金睛</v>
      </c>
      <c r="C1628" s="2" t="s">
        <v>13</v>
      </c>
      <c r="D1628" s="2" t="s">
        <v>12</v>
      </c>
      <c r="E1628" s="2" t="s">
        <v>1393</v>
      </c>
      <c r="F1628" s="2" t="str">
        <f>HYPERLINK("http://bbs.12365auto.com/postcontent.aspx?tID=195268","http://bbs.12365auto.com/postcontent.aspx?tID=195268")</f>
        <v>http://bbs.12365auto.com/postcontent.aspx?tID=195268</v>
      </c>
      <c r="G1628" s="2"/>
      <c r="H1628" s="2" t="s">
        <v>2439</v>
      </c>
      <c r="I1628" s="2" t="s">
        <v>15</v>
      </c>
      <c r="J1628" s="2" t="s">
        <v>1426</v>
      </c>
      <c r="K1628" s="2" t="s">
        <v>2440</v>
      </c>
      <c r="L1628" s="2">
        <f t="shared" si="25"/>
        <v>150</v>
      </c>
    </row>
    <row r="1629" spans="1:12" ht="25" customHeight="1">
      <c r="A1629" s="2" t="s">
        <v>12</v>
      </c>
      <c r="B1629" s="2" t="str">
        <f>HYPERLINK("http://www.12365auto.com/zlts/20200226/448845.shtml","上汽通用五菱宏光S3变速箱异响要求你更换")</f>
        <v>上汽通用五菱宏光S3变速箱异响要求你更换</v>
      </c>
      <c r="C1629" s="2" t="s">
        <v>13</v>
      </c>
      <c r="D1629" s="2" t="s">
        <v>12</v>
      </c>
      <c r="E1629" s="2"/>
      <c r="F1629" s="2" t="str">
        <f>HYPERLINK("http://www.12365auto.com/zlts/20200226/448845.shtml","http://www.12365auto.com/zlts/20200226/448845.shtml")</f>
        <v>http://www.12365auto.com/zlts/20200226/448845.shtml</v>
      </c>
      <c r="G1629" s="2"/>
      <c r="H1629" s="3" t="s">
        <v>2441</v>
      </c>
      <c r="I1629" s="2" t="s">
        <v>15</v>
      </c>
      <c r="J1629" s="2" t="s">
        <v>12</v>
      </c>
      <c r="K1629" s="2" t="s">
        <v>2442</v>
      </c>
      <c r="L1629" s="2">
        <f t="shared" si="25"/>
        <v>115</v>
      </c>
    </row>
    <row r="1630" spans="1:12" ht="25" customHeight="1">
      <c r="A1630" s="2" t="s">
        <v>12</v>
      </c>
      <c r="B1630" s="2" t="str">
        <f>HYPERLINK("http://www.12365auto.com/zlts/20200226/448847.shtml","上汽荣威i6新能源减震器漏油售后沟通未果")</f>
        <v>上汽荣威i6新能源减震器漏油售后沟通未果</v>
      </c>
      <c r="C1630" s="2" t="s">
        <v>13</v>
      </c>
      <c r="D1630" s="2" t="s">
        <v>12</v>
      </c>
      <c r="E1630" s="2" t="s">
        <v>17</v>
      </c>
      <c r="F1630" s="2" t="str">
        <f>HYPERLINK("http://www.12365auto.com/zlts/20200226/448847.shtml","http://www.12365auto.com/zlts/20200226/448847.shtml")</f>
        <v>http://www.12365auto.com/zlts/20200226/448847.shtml</v>
      </c>
      <c r="G1630" s="2"/>
      <c r="H1630" s="2" t="s">
        <v>2443</v>
      </c>
      <c r="I1630" s="2" t="s">
        <v>19</v>
      </c>
      <c r="J1630" s="2" t="s">
        <v>12</v>
      </c>
      <c r="K1630" s="2" t="s">
        <v>2444</v>
      </c>
      <c r="L1630" s="2">
        <f t="shared" si="25"/>
        <v>150</v>
      </c>
    </row>
    <row r="1631" spans="1:12" ht="25" customHeight="1">
      <c r="A1631" s="2" t="s">
        <v>12</v>
      </c>
      <c r="B1631" s="2" t="str">
        <f>HYPERLINK("http://www.12365auto.com/zlts/20200226/448846.shtml","一汽大众高尔夫变速箱顿挫升挡缓慢")</f>
        <v>一汽大众高尔夫变速箱顿挫升挡缓慢</v>
      </c>
      <c r="C1631" s="2" t="s">
        <v>13</v>
      </c>
      <c r="D1631" s="2" t="s">
        <v>12</v>
      </c>
      <c r="E1631" s="2" t="s">
        <v>17</v>
      </c>
      <c r="F1631" s="2" t="str">
        <f>HYPERLINK("http://www.12365auto.com/zlts/20200226/448846.shtml","http://www.12365auto.com/zlts/20200226/448846.shtml")</f>
        <v>http://www.12365auto.com/zlts/20200226/448846.shtml</v>
      </c>
      <c r="G1631" s="2"/>
      <c r="H1631" s="2" t="s">
        <v>2445</v>
      </c>
      <c r="I1631" s="2" t="s">
        <v>19</v>
      </c>
      <c r="J1631" s="2" t="s">
        <v>12</v>
      </c>
      <c r="K1631" s="2" t="s">
        <v>2444</v>
      </c>
      <c r="L1631" s="2">
        <f t="shared" si="25"/>
        <v>150</v>
      </c>
    </row>
    <row r="1632" spans="1:12" ht="25" customHeight="1">
      <c r="A1632" s="2" t="s">
        <v>12</v>
      </c>
      <c r="B1632" s="2" t="str">
        <f>HYPERLINK("http://www.12365auto.com/zlts/20200226/448842.shtml","吉利嘉际4S店不兑现5000元补贴承诺")</f>
        <v>吉利嘉际4S店不兑现5000元补贴承诺</v>
      </c>
      <c r="C1632" s="2" t="s">
        <v>13</v>
      </c>
      <c r="D1632" s="2" t="s">
        <v>12</v>
      </c>
      <c r="E1632" s="2" t="s">
        <v>17</v>
      </c>
      <c r="F1632" s="2" t="str">
        <f>HYPERLINK("http://www.12365auto.com/zlts/20200226/448842.shtml","http://www.12365auto.com/zlts/20200226/448842.shtml")</f>
        <v>http://www.12365auto.com/zlts/20200226/448842.shtml</v>
      </c>
      <c r="G1632" s="2"/>
      <c r="H1632" s="2" t="s">
        <v>2446</v>
      </c>
      <c r="I1632" s="2" t="s">
        <v>15</v>
      </c>
      <c r="J1632" s="2" t="s">
        <v>12</v>
      </c>
      <c r="K1632" s="2" t="s">
        <v>2447</v>
      </c>
      <c r="L1632" s="2">
        <f t="shared" si="25"/>
        <v>150</v>
      </c>
    </row>
    <row r="1633" spans="1:12" ht="25" customHeight="1">
      <c r="A1633" s="2" t="s">
        <v>12</v>
      </c>
      <c r="B1633" s="2" t="str">
        <f>HYPERLINK("http://www.12365auto.com/zlts/20200226/448837.shtml","华泰圣达菲车身异响发动机漏油倒车影像失灵")</f>
        <v>华泰圣达菲车身异响发动机漏油倒车影像失灵</v>
      </c>
      <c r="C1633" s="2" t="s">
        <v>13</v>
      </c>
      <c r="D1633" s="2" t="s">
        <v>12</v>
      </c>
      <c r="E1633" s="2"/>
      <c r="F1633" s="2" t="str">
        <f>HYPERLINK("http://www.12365auto.com/zlts/20200226/448837.shtml","http://www.12365auto.com/zlts/20200226/448837.shtml")</f>
        <v>http://www.12365auto.com/zlts/20200226/448837.shtml</v>
      </c>
      <c r="G1633" s="2"/>
      <c r="H1633" s="3" t="s">
        <v>2448</v>
      </c>
      <c r="I1633" s="2" t="s">
        <v>15</v>
      </c>
      <c r="J1633" s="2" t="s">
        <v>12</v>
      </c>
      <c r="K1633" s="2" t="s">
        <v>2449</v>
      </c>
      <c r="L1633" s="2">
        <f t="shared" si="25"/>
        <v>115</v>
      </c>
    </row>
    <row r="1634" spans="1:12" ht="25" customHeight="1">
      <c r="A1634" s="2" t="s">
        <v>12</v>
      </c>
      <c r="B1634" s="2" t="str">
        <f>HYPERLINK("http://www.12365auto.com/zlts/20200226/448840.shtml","一汽丰田亚洲龙发动机异响共振油门震动")</f>
        <v>一汽丰田亚洲龙发动机异响共振油门震动</v>
      </c>
      <c r="C1634" s="2" t="s">
        <v>13</v>
      </c>
      <c r="D1634" s="2" t="s">
        <v>12</v>
      </c>
      <c r="E1634" s="2" t="s">
        <v>17</v>
      </c>
      <c r="F1634" s="2" t="str">
        <f>HYPERLINK("http://www.12365auto.com/zlts/20200226/448840.shtml","http://www.12365auto.com/zlts/20200226/448840.shtml")</f>
        <v>http://www.12365auto.com/zlts/20200226/448840.shtml</v>
      </c>
      <c r="G1634" s="2"/>
      <c r="H1634" s="2" t="s">
        <v>2450</v>
      </c>
      <c r="I1634" s="2" t="s">
        <v>15</v>
      </c>
      <c r="J1634" s="2" t="s">
        <v>12</v>
      </c>
      <c r="K1634" s="2" t="s">
        <v>2451</v>
      </c>
      <c r="L1634" s="2">
        <f t="shared" si="25"/>
        <v>150</v>
      </c>
    </row>
    <row r="1635" spans="1:12" ht="25" customHeight="1">
      <c r="A1635" s="2" t="s">
        <v>12</v>
      </c>
      <c r="B1635" s="2" t="str">
        <f>HYPERLINK("http://www.12365auto.com/zlts/20200226/448838.shtml","广汽本田雅阁高速行驶中转向有卡顿")</f>
        <v>广汽本田雅阁高速行驶中转向有卡顿</v>
      </c>
      <c r="C1635" s="2" t="s">
        <v>13</v>
      </c>
      <c r="D1635" s="2" t="s">
        <v>12</v>
      </c>
      <c r="E1635" s="2" t="s">
        <v>17</v>
      </c>
      <c r="F1635" s="2" t="str">
        <f>HYPERLINK("http://www.12365auto.com/zlts/20200226/448838.shtml","http://www.12365auto.com/zlts/20200226/448838.shtml")</f>
        <v>http://www.12365auto.com/zlts/20200226/448838.shtml</v>
      </c>
      <c r="G1635" s="2"/>
      <c r="H1635" s="2" t="s">
        <v>2452</v>
      </c>
      <c r="I1635" s="2" t="s">
        <v>15</v>
      </c>
      <c r="J1635" s="2" t="s">
        <v>12</v>
      </c>
      <c r="K1635" s="2" t="s">
        <v>2453</v>
      </c>
      <c r="L1635" s="2">
        <f t="shared" si="25"/>
        <v>150</v>
      </c>
    </row>
    <row r="1636" spans="1:12" ht="25" customHeight="1">
      <c r="A1636" s="2" t="s">
        <v>12</v>
      </c>
      <c r="B1636" s="2" t="str">
        <f>HYPERLINK("http://www.12365auto.com/zlts/20200226/448836.shtml","启辰D60后轮吃胎偏磨4S店不处理")</f>
        <v>启辰D60后轮吃胎偏磨4S店不处理</v>
      </c>
      <c r="C1636" s="2" t="s">
        <v>13</v>
      </c>
      <c r="D1636" s="2" t="s">
        <v>12</v>
      </c>
      <c r="E1636" s="2" t="s">
        <v>17</v>
      </c>
      <c r="F1636" s="2" t="str">
        <f>HYPERLINK("http://www.12365auto.com/zlts/20200226/448836.shtml","http://www.12365auto.com/zlts/20200226/448836.shtml")</f>
        <v>http://www.12365auto.com/zlts/20200226/448836.shtml</v>
      </c>
      <c r="G1636" s="2"/>
      <c r="H1636" s="2" t="s">
        <v>2454</v>
      </c>
      <c r="I1636" s="2" t="s">
        <v>19</v>
      </c>
      <c r="J1636" s="2" t="s">
        <v>12</v>
      </c>
      <c r="K1636" s="2" t="s">
        <v>2455</v>
      </c>
      <c r="L1636" s="2">
        <f t="shared" si="25"/>
        <v>150</v>
      </c>
    </row>
    <row r="1637" spans="1:12" ht="25" customHeight="1">
      <c r="A1637" s="2" t="s">
        <v>12</v>
      </c>
      <c r="B1637" s="2" t="str">
        <f>HYPERLINK("http://www.12365auto.com/zlts/20200226/448835.shtml","北京现代名图车门生锈鼓包售后未解决")</f>
        <v>北京现代名图车门生锈鼓包售后未解决</v>
      </c>
      <c r="C1637" s="2" t="s">
        <v>13</v>
      </c>
      <c r="D1637" s="2" t="s">
        <v>12</v>
      </c>
      <c r="E1637" s="2" t="s">
        <v>17</v>
      </c>
      <c r="F1637" s="2" t="str">
        <f>HYPERLINK("http://www.12365auto.com/zlts/20200226/448835.shtml","http://www.12365auto.com/zlts/20200226/448835.shtml")</f>
        <v>http://www.12365auto.com/zlts/20200226/448835.shtml</v>
      </c>
      <c r="G1637" s="2"/>
      <c r="H1637" s="2" t="s">
        <v>2456</v>
      </c>
      <c r="I1637" s="2" t="s">
        <v>15</v>
      </c>
      <c r="J1637" s="2" t="s">
        <v>12</v>
      </c>
      <c r="K1637" s="2" t="s">
        <v>2457</v>
      </c>
      <c r="L1637" s="2">
        <f t="shared" si="25"/>
        <v>150</v>
      </c>
    </row>
    <row r="1638" spans="1:12" ht="25" customHeight="1">
      <c r="A1638" s="2" t="s">
        <v>12</v>
      </c>
      <c r="B1638" s="2" t="str">
        <f>HYPERLINK("http://m.12365auto.com/bbs/postcontent.aspx?tID=195266","在对车辆认知方面 常见的几种误区")</f>
        <v>在对车辆认知方面 常见的几种误区</v>
      </c>
      <c r="C1638" s="2" t="s">
        <v>13</v>
      </c>
      <c r="D1638" s="2" t="s">
        <v>23</v>
      </c>
      <c r="E1638" s="2"/>
      <c r="F1638" s="2" t="str">
        <f>HYPERLINK("http://m.12365auto.com/bbs/postcontent.aspx?tID=195266","http://m.12365auto.com/bbs/postcontent.aspx?tID=195266")</f>
        <v>http://m.12365auto.com/bbs/postcontent.aspx?tID=195266</v>
      </c>
      <c r="G1638" s="2"/>
      <c r="H1638" s="2" t="s">
        <v>2458</v>
      </c>
      <c r="I1638" s="2" t="s">
        <v>15</v>
      </c>
      <c r="J1638" s="2" t="s">
        <v>2459</v>
      </c>
      <c r="K1638" s="2" t="s">
        <v>2460</v>
      </c>
      <c r="L1638" s="2">
        <f t="shared" si="25"/>
        <v>150</v>
      </c>
    </row>
    <row r="1639" spans="1:12" ht="25" customHeight="1">
      <c r="A1639" s="2" t="s">
        <v>12</v>
      </c>
      <c r="B1639" s="2" t="str">
        <f>HYPERLINK("http://bbs.12365auto.com/postcontent.aspx?tId=195266","在对车辆认知方面 常见的几种误区")</f>
        <v>在对车辆认知方面 常见的几种误区</v>
      </c>
      <c r="C1639" s="2" t="s">
        <v>13</v>
      </c>
      <c r="D1639" s="2" t="s">
        <v>12</v>
      </c>
      <c r="E1639" s="2" t="s">
        <v>27</v>
      </c>
      <c r="F1639" s="2" t="str">
        <f>HYPERLINK("http://bbs.12365auto.com/postcontent.aspx?tId=195266","http://bbs.12365auto.com/postcontent.aspx?tId=195266")</f>
        <v>http://bbs.12365auto.com/postcontent.aspx?tId=195266</v>
      </c>
      <c r="G1639" s="2"/>
      <c r="H1639" s="2" t="s">
        <v>2458</v>
      </c>
      <c r="I1639" s="2" t="s">
        <v>15</v>
      </c>
      <c r="J1639" s="2" t="s">
        <v>2459</v>
      </c>
      <c r="K1639" s="2" t="s">
        <v>2460</v>
      </c>
      <c r="L1639" s="2">
        <f t="shared" si="25"/>
        <v>150</v>
      </c>
    </row>
    <row r="1640" spans="1:12" ht="25" customHeight="1">
      <c r="A1640" s="2" t="s">
        <v>12</v>
      </c>
      <c r="B1640" s="2" t="str">
        <f>HYPERLINK("http://bbs.12365auto.com/postcontent.aspx?tID=195266","在对车辆认知方面 常见的几种误区")</f>
        <v>在对车辆认知方面 常见的几种误区</v>
      </c>
      <c r="C1640" s="2" t="s">
        <v>13</v>
      </c>
      <c r="D1640" s="2" t="s">
        <v>12</v>
      </c>
      <c r="E1640" s="2" t="s">
        <v>28</v>
      </c>
      <c r="F1640" s="2" t="str">
        <f>HYPERLINK("http://bbs.12365auto.com/postcontent.aspx?tID=195266","http://bbs.12365auto.com/postcontent.aspx?tID=195266")</f>
        <v>http://bbs.12365auto.com/postcontent.aspx?tID=195266</v>
      </c>
      <c r="G1640" s="2"/>
      <c r="H1640" s="2" t="s">
        <v>2461</v>
      </c>
      <c r="I1640" s="2" t="s">
        <v>15</v>
      </c>
      <c r="J1640" s="2" t="s">
        <v>2459</v>
      </c>
      <c r="K1640" s="2" t="s">
        <v>2460</v>
      </c>
      <c r="L1640" s="2">
        <f t="shared" si="25"/>
        <v>150</v>
      </c>
    </row>
    <row r="1641" spans="1:12" ht="25" customHeight="1">
      <c r="A1641" s="2" t="s">
        <v>12</v>
      </c>
      <c r="B1641" s="2" t="str">
        <f>HYPERLINK("http://m.12365auto.com/bbs/postcontent.aspx?tID=195265","冬天油耗增高 这5个问题要注意")</f>
        <v>冬天油耗增高 这5个问题要注意</v>
      </c>
      <c r="C1641" s="2" t="s">
        <v>13</v>
      </c>
      <c r="D1641" s="2" t="s">
        <v>23</v>
      </c>
      <c r="E1641" s="2"/>
      <c r="F1641" s="2" t="str">
        <f>HYPERLINK("http://m.12365auto.com/bbs/postcontent.aspx?tID=195265","http://m.12365auto.com/bbs/postcontent.aspx?tID=195265")</f>
        <v>http://m.12365auto.com/bbs/postcontent.aspx?tID=195265</v>
      </c>
      <c r="G1641" s="2"/>
      <c r="H1641" s="2" t="s">
        <v>2462</v>
      </c>
      <c r="I1641" s="2" t="s">
        <v>15</v>
      </c>
      <c r="J1641" s="2" t="s">
        <v>2459</v>
      </c>
      <c r="K1641" s="2" t="s">
        <v>2463</v>
      </c>
      <c r="L1641" s="2">
        <f t="shared" si="25"/>
        <v>150</v>
      </c>
    </row>
    <row r="1642" spans="1:12" ht="25" customHeight="1">
      <c r="A1642" s="2" t="s">
        <v>12</v>
      </c>
      <c r="B1642" s="2" t="str">
        <f>HYPERLINK("http://bbs.12365auto.com/postcontent.aspx?tId=195265","冬天油耗增高 这5个问题要注意")</f>
        <v>冬天油耗增高 这5个问题要注意</v>
      </c>
      <c r="C1642" s="2" t="s">
        <v>13</v>
      </c>
      <c r="D1642" s="2" t="s">
        <v>12</v>
      </c>
      <c r="E1642" s="2" t="s">
        <v>27</v>
      </c>
      <c r="F1642" s="2" t="str">
        <f>HYPERLINK("http://bbs.12365auto.com/postcontent.aspx?tId=195265","http://bbs.12365auto.com/postcontent.aspx?tId=195265")</f>
        <v>http://bbs.12365auto.com/postcontent.aspx?tId=195265</v>
      </c>
      <c r="G1642" s="2"/>
      <c r="H1642" s="2" t="s">
        <v>2462</v>
      </c>
      <c r="I1642" s="2" t="s">
        <v>15</v>
      </c>
      <c r="J1642" s="2" t="s">
        <v>2459</v>
      </c>
      <c r="K1642" s="2" t="s">
        <v>2463</v>
      </c>
      <c r="L1642" s="2">
        <f t="shared" si="25"/>
        <v>150</v>
      </c>
    </row>
    <row r="1643" spans="1:12" ht="25" customHeight="1">
      <c r="A1643" s="2" t="s">
        <v>12</v>
      </c>
      <c r="B1643" s="2" t="str">
        <f>HYPERLINK("http://bbs.12365auto.com/postcontent.aspx?tID=195265","冬天油耗增高 这5个问题要注意")</f>
        <v>冬天油耗增高 这5个问题要注意</v>
      </c>
      <c r="C1643" s="2" t="s">
        <v>13</v>
      </c>
      <c r="D1643" s="2" t="s">
        <v>12</v>
      </c>
      <c r="E1643" s="2" t="s">
        <v>28</v>
      </c>
      <c r="F1643" s="2" t="str">
        <f>HYPERLINK("http://bbs.12365auto.com/postcontent.aspx?tID=195265","http://bbs.12365auto.com/postcontent.aspx?tID=195265")</f>
        <v>http://bbs.12365auto.com/postcontent.aspx?tID=195265</v>
      </c>
      <c r="G1643" s="2"/>
      <c r="H1643" s="2" t="s">
        <v>2464</v>
      </c>
      <c r="I1643" s="2" t="s">
        <v>15</v>
      </c>
      <c r="J1643" s="2" t="s">
        <v>2459</v>
      </c>
      <c r="K1643" s="2" t="s">
        <v>2463</v>
      </c>
      <c r="L1643" s="2">
        <f t="shared" si="25"/>
        <v>150</v>
      </c>
    </row>
    <row r="1644" spans="1:12" ht="25" customHeight="1">
      <c r="A1644" s="2" t="s">
        <v>12</v>
      </c>
      <c r="B1644" s="2" t="str">
        <f>HYPERLINK("http://m.12365auto.com/bbs/postcontent.aspx?tID=195264","养成这些好习惯 让爱车远离故障")</f>
        <v>养成这些好习惯 让爱车远离故障</v>
      </c>
      <c r="C1644" s="2" t="s">
        <v>13</v>
      </c>
      <c r="D1644" s="2" t="s">
        <v>23</v>
      </c>
      <c r="E1644" s="2"/>
      <c r="F1644" s="2" t="str">
        <f>HYPERLINK("http://m.12365auto.com/bbs/postcontent.aspx?tID=195264","http://m.12365auto.com/bbs/postcontent.aspx?tID=195264")</f>
        <v>http://m.12365auto.com/bbs/postcontent.aspx?tID=195264</v>
      </c>
      <c r="G1644" s="2"/>
      <c r="H1644" s="2" t="s">
        <v>2465</v>
      </c>
      <c r="I1644" s="2" t="s">
        <v>15</v>
      </c>
      <c r="J1644" s="2" t="s">
        <v>2459</v>
      </c>
      <c r="K1644" s="2" t="s">
        <v>2466</v>
      </c>
      <c r="L1644" s="2">
        <f t="shared" si="25"/>
        <v>150</v>
      </c>
    </row>
    <row r="1645" spans="1:12" ht="25" customHeight="1">
      <c r="A1645" s="2" t="s">
        <v>12</v>
      </c>
      <c r="B1645" s="2" t="str">
        <f>HYPERLINK("http://bbs.12365auto.com/postcontent.aspx?tId=195264","养成这些好习惯 让爱车远离故障")</f>
        <v>养成这些好习惯 让爱车远离故障</v>
      </c>
      <c r="C1645" s="2" t="s">
        <v>13</v>
      </c>
      <c r="D1645" s="2" t="s">
        <v>12</v>
      </c>
      <c r="E1645" s="2" t="s">
        <v>27</v>
      </c>
      <c r="F1645" s="2" t="str">
        <f>HYPERLINK("http://bbs.12365auto.com/postcontent.aspx?tId=195264","http://bbs.12365auto.com/postcontent.aspx?tId=195264")</f>
        <v>http://bbs.12365auto.com/postcontent.aspx?tId=195264</v>
      </c>
      <c r="G1645" s="2"/>
      <c r="H1645" s="2" t="s">
        <v>2465</v>
      </c>
      <c r="I1645" s="2" t="s">
        <v>15</v>
      </c>
      <c r="J1645" s="2" t="s">
        <v>2459</v>
      </c>
      <c r="K1645" s="2" t="s">
        <v>2466</v>
      </c>
      <c r="L1645" s="2">
        <f t="shared" si="25"/>
        <v>150</v>
      </c>
    </row>
    <row r="1646" spans="1:12" ht="25" customHeight="1">
      <c r="A1646" s="2" t="s">
        <v>12</v>
      </c>
      <c r="B1646" s="2" t="str">
        <f>HYPERLINK("http://bbs.12365auto.com/postcontent.aspx?tID=195264","养成这些好习惯 让爱车远离故障")</f>
        <v>养成这些好习惯 让爱车远离故障</v>
      </c>
      <c r="C1646" s="2" t="s">
        <v>13</v>
      </c>
      <c r="D1646" s="2" t="s">
        <v>12</v>
      </c>
      <c r="E1646" s="2" t="s">
        <v>28</v>
      </c>
      <c r="F1646" s="2" t="str">
        <f>HYPERLINK("http://bbs.12365auto.com/postcontent.aspx?tID=195264","http://bbs.12365auto.com/postcontent.aspx?tID=195264")</f>
        <v>http://bbs.12365auto.com/postcontent.aspx?tID=195264</v>
      </c>
      <c r="G1646" s="2"/>
      <c r="H1646" s="2" t="s">
        <v>2467</v>
      </c>
      <c r="I1646" s="2" t="s">
        <v>15</v>
      </c>
      <c r="J1646" s="2" t="s">
        <v>2459</v>
      </c>
      <c r="K1646" s="2" t="s">
        <v>2466</v>
      </c>
      <c r="L1646" s="2">
        <f t="shared" si="25"/>
        <v>150</v>
      </c>
    </row>
    <row r="1647" spans="1:12" ht="25" customHeight="1">
      <c r="A1647" s="2" t="s">
        <v>12</v>
      </c>
      <c r="B1647" s="2" t="str">
        <f>HYPERLINK("http://m.12365auto.com/bbs/postcontent.aspx?tID=195262","疫情期间 这些保养自己就能做")</f>
        <v>疫情期间 这些保养自己就能做</v>
      </c>
      <c r="C1647" s="2" t="s">
        <v>13</v>
      </c>
      <c r="D1647" s="2" t="s">
        <v>23</v>
      </c>
      <c r="E1647" s="2"/>
      <c r="F1647" s="2" t="str">
        <f>HYPERLINK("http://m.12365auto.com/bbs/postcontent.aspx?tID=195262","http://m.12365auto.com/bbs/postcontent.aspx?tID=195262")</f>
        <v>http://m.12365auto.com/bbs/postcontent.aspx?tID=195262</v>
      </c>
      <c r="G1647" s="2"/>
      <c r="H1647" s="2" t="s">
        <v>2468</v>
      </c>
      <c r="I1647" s="2" t="s">
        <v>15</v>
      </c>
      <c r="J1647" s="2" t="s">
        <v>2459</v>
      </c>
      <c r="K1647" s="2" t="s">
        <v>2469</v>
      </c>
      <c r="L1647" s="2">
        <f t="shared" si="25"/>
        <v>150</v>
      </c>
    </row>
    <row r="1648" spans="1:12" ht="25" customHeight="1">
      <c r="A1648" s="2" t="s">
        <v>12</v>
      </c>
      <c r="B1648" s="2" t="str">
        <f>HYPERLINK("http://m.12365auto.com/bbs/postcontent.aspx?tID=195263","记住用车知识 再也不怕花冤枉了")</f>
        <v>记住用车知识 再也不怕花冤枉了</v>
      </c>
      <c r="C1648" s="2" t="s">
        <v>13</v>
      </c>
      <c r="D1648" s="2" t="s">
        <v>23</v>
      </c>
      <c r="E1648" s="2"/>
      <c r="F1648" s="2" t="str">
        <f>HYPERLINK("http://m.12365auto.com/bbs/postcontent.aspx?tID=195263","http://m.12365auto.com/bbs/postcontent.aspx?tID=195263")</f>
        <v>http://m.12365auto.com/bbs/postcontent.aspx?tID=195263</v>
      </c>
      <c r="G1648" s="2"/>
      <c r="H1648" s="2" t="s">
        <v>2470</v>
      </c>
      <c r="I1648" s="2" t="s">
        <v>15</v>
      </c>
      <c r="J1648" s="2" t="s">
        <v>2459</v>
      </c>
      <c r="K1648" s="2" t="s">
        <v>2469</v>
      </c>
      <c r="L1648" s="2">
        <f t="shared" si="25"/>
        <v>150</v>
      </c>
    </row>
    <row r="1649" spans="1:12" ht="25" customHeight="1">
      <c r="A1649" s="2" t="s">
        <v>12</v>
      </c>
      <c r="B1649" s="2" t="str">
        <f>HYPERLINK("http://bbs.12365auto.com/postcontent.aspx?tId=195262","疫情期间 这些保养自己就能做")</f>
        <v>疫情期间 这些保养自己就能做</v>
      </c>
      <c r="C1649" s="2" t="s">
        <v>13</v>
      </c>
      <c r="D1649" s="2" t="s">
        <v>12</v>
      </c>
      <c r="E1649" s="2" t="s">
        <v>27</v>
      </c>
      <c r="F1649" s="2" t="str">
        <f>HYPERLINK("http://bbs.12365auto.com/postcontent.aspx?tId=195262","http://bbs.12365auto.com/postcontent.aspx?tId=195262")</f>
        <v>http://bbs.12365auto.com/postcontent.aspx?tId=195262</v>
      </c>
      <c r="G1649" s="2"/>
      <c r="H1649" s="2" t="s">
        <v>2468</v>
      </c>
      <c r="I1649" s="2" t="s">
        <v>15</v>
      </c>
      <c r="J1649" s="2" t="s">
        <v>2459</v>
      </c>
      <c r="K1649" s="2" t="s">
        <v>2469</v>
      </c>
      <c r="L1649" s="2">
        <f t="shared" si="25"/>
        <v>150</v>
      </c>
    </row>
    <row r="1650" spans="1:12" ht="25" customHeight="1">
      <c r="A1650" s="2" t="s">
        <v>12</v>
      </c>
      <c r="B1650" s="2" t="str">
        <f>HYPERLINK("http://bbs.12365auto.com/postcontent.aspx?tId=195263","记住用车知识 再也不怕花冤枉了")</f>
        <v>记住用车知识 再也不怕花冤枉了</v>
      </c>
      <c r="C1650" s="2" t="s">
        <v>13</v>
      </c>
      <c r="D1650" s="2" t="s">
        <v>12</v>
      </c>
      <c r="E1650" s="2" t="s">
        <v>27</v>
      </c>
      <c r="F1650" s="2" t="str">
        <f>HYPERLINK("http://bbs.12365auto.com/postcontent.aspx?tId=195263","http://bbs.12365auto.com/postcontent.aspx?tId=195263")</f>
        <v>http://bbs.12365auto.com/postcontent.aspx?tId=195263</v>
      </c>
      <c r="G1650" s="2"/>
      <c r="H1650" s="2" t="s">
        <v>2470</v>
      </c>
      <c r="I1650" s="2" t="s">
        <v>15</v>
      </c>
      <c r="J1650" s="2" t="s">
        <v>2459</v>
      </c>
      <c r="K1650" s="2" t="s">
        <v>2469</v>
      </c>
      <c r="L1650" s="2">
        <f t="shared" si="25"/>
        <v>150</v>
      </c>
    </row>
    <row r="1651" spans="1:12" ht="25" customHeight="1">
      <c r="A1651" s="2" t="s">
        <v>12</v>
      </c>
      <c r="B1651" s="2" t="str">
        <f>HYPERLINK("http://bbs.12365auto.com/postcontent.aspx?tID=195263","记住用车知识 再也不怕花冤枉了")</f>
        <v>记住用车知识 再也不怕花冤枉了</v>
      </c>
      <c r="C1651" s="2" t="s">
        <v>13</v>
      </c>
      <c r="D1651" s="2" t="s">
        <v>12</v>
      </c>
      <c r="E1651" s="2" t="s">
        <v>28</v>
      </c>
      <c r="F1651" s="2" t="str">
        <f>HYPERLINK("http://bbs.12365auto.com/postcontent.aspx?tID=195263","http://bbs.12365auto.com/postcontent.aspx?tID=195263")</f>
        <v>http://bbs.12365auto.com/postcontent.aspx?tID=195263</v>
      </c>
      <c r="G1651" s="2"/>
      <c r="H1651" s="2" t="s">
        <v>2471</v>
      </c>
      <c r="I1651" s="2" t="s">
        <v>15</v>
      </c>
      <c r="J1651" s="2" t="s">
        <v>2459</v>
      </c>
      <c r="K1651" s="2" t="s">
        <v>2469</v>
      </c>
      <c r="L1651" s="2">
        <f t="shared" si="25"/>
        <v>150</v>
      </c>
    </row>
    <row r="1652" spans="1:12" ht="25" customHeight="1">
      <c r="A1652" s="2" t="s">
        <v>12</v>
      </c>
      <c r="B1652" s="2" t="str">
        <f>HYPERLINK("http://bbs.12365auto.com/postcontent.aspx?tID=195262","疫情期间 这些保养自己就能做")</f>
        <v>疫情期间 这些保养自己就能做</v>
      </c>
      <c r="C1652" s="2" t="s">
        <v>13</v>
      </c>
      <c r="D1652" s="2" t="s">
        <v>12</v>
      </c>
      <c r="E1652" s="2" t="s">
        <v>28</v>
      </c>
      <c r="F1652" s="2" t="str">
        <f>HYPERLINK("http://bbs.12365auto.com/postcontent.aspx?tID=195262","http://bbs.12365auto.com/postcontent.aspx?tID=195262")</f>
        <v>http://bbs.12365auto.com/postcontent.aspx?tID=195262</v>
      </c>
      <c r="G1652" s="2"/>
      <c r="H1652" s="2" t="s">
        <v>2472</v>
      </c>
      <c r="I1652" s="2" t="s">
        <v>15</v>
      </c>
      <c r="J1652" s="2" t="s">
        <v>2459</v>
      </c>
      <c r="K1652" s="2" t="s">
        <v>2469</v>
      </c>
      <c r="L1652" s="2">
        <f t="shared" si="25"/>
        <v>150</v>
      </c>
    </row>
    <row r="1653" spans="1:12" ht="25" customHeight="1">
      <c r="A1653" s="2" t="s">
        <v>12</v>
      </c>
      <c r="B1653" s="2" t="str">
        <f>HYPERLINK("http://m.12365auto.com/bbs/postcontent.aspx?tID=195261","安全提示 教您如何自检刹车系统")</f>
        <v>安全提示 教您如何自检刹车系统</v>
      </c>
      <c r="C1653" s="2" t="s">
        <v>13</v>
      </c>
      <c r="D1653" s="2" t="s">
        <v>23</v>
      </c>
      <c r="E1653" s="2"/>
      <c r="F1653" s="2" t="str">
        <f>HYPERLINK("http://m.12365auto.com/bbs/postcontent.aspx?tID=195261","http://m.12365auto.com/bbs/postcontent.aspx?tID=195261")</f>
        <v>http://m.12365auto.com/bbs/postcontent.aspx?tID=195261</v>
      </c>
      <c r="G1653" s="2"/>
      <c r="H1653" s="2" t="s">
        <v>2473</v>
      </c>
      <c r="I1653" s="2" t="s">
        <v>15</v>
      </c>
      <c r="J1653" s="2" t="s">
        <v>2459</v>
      </c>
      <c r="K1653" s="2" t="s">
        <v>2474</v>
      </c>
      <c r="L1653" s="2">
        <f t="shared" si="25"/>
        <v>95</v>
      </c>
    </row>
    <row r="1654" spans="1:12" ht="25" customHeight="1">
      <c r="A1654" s="2" t="s">
        <v>12</v>
      </c>
      <c r="B1654" s="2" t="str">
        <f>HYPERLINK("http://bbs.12365auto.com/postcontent.aspx?tId=195261","安全提示 教您如何自检刹车系统")</f>
        <v>安全提示 教您如何自检刹车系统</v>
      </c>
      <c r="C1654" s="2" t="s">
        <v>13</v>
      </c>
      <c r="D1654" s="2" t="s">
        <v>12</v>
      </c>
      <c r="E1654" s="2" t="s">
        <v>27</v>
      </c>
      <c r="F1654" s="2" t="str">
        <f>HYPERLINK("http://bbs.12365auto.com/postcontent.aspx?tId=195261","http://bbs.12365auto.com/postcontent.aspx?tId=195261")</f>
        <v>http://bbs.12365auto.com/postcontent.aspx?tId=195261</v>
      </c>
      <c r="G1654" s="2"/>
      <c r="H1654" s="2" t="s">
        <v>2473</v>
      </c>
      <c r="I1654" s="2" t="s">
        <v>15</v>
      </c>
      <c r="J1654" s="2" t="s">
        <v>2459</v>
      </c>
      <c r="K1654" s="2" t="s">
        <v>2474</v>
      </c>
      <c r="L1654" s="2">
        <f t="shared" si="25"/>
        <v>95</v>
      </c>
    </row>
    <row r="1655" spans="1:12" ht="25" customHeight="1">
      <c r="A1655" s="2" t="s">
        <v>12</v>
      </c>
      <c r="B1655" s="2" t="str">
        <f>HYPERLINK("http://bbs.12365auto.com/postcontent.aspx?tID=195261","安全提示 教您如何自检刹车系统")</f>
        <v>安全提示 教您如何自检刹车系统</v>
      </c>
      <c r="C1655" s="2" t="s">
        <v>13</v>
      </c>
      <c r="D1655" s="2" t="s">
        <v>12</v>
      </c>
      <c r="E1655" s="2" t="s">
        <v>28</v>
      </c>
      <c r="F1655" s="2" t="str">
        <f>HYPERLINK("http://bbs.12365auto.com/postcontent.aspx?tID=195261","http://bbs.12365auto.com/postcontent.aspx?tID=195261")</f>
        <v>http://bbs.12365auto.com/postcontent.aspx?tID=195261</v>
      </c>
      <c r="G1655" s="2"/>
      <c r="H1655" s="2" t="s">
        <v>2475</v>
      </c>
      <c r="I1655" s="2" t="s">
        <v>15</v>
      </c>
      <c r="J1655" s="2" t="s">
        <v>2459</v>
      </c>
      <c r="K1655" s="2" t="s">
        <v>2474</v>
      </c>
      <c r="L1655" s="2">
        <f t="shared" si="25"/>
        <v>110</v>
      </c>
    </row>
    <row r="1656" spans="1:12" ht="25" customHeight="1">
      <c r="A1656" s="2" t="s">
        <v>12</v>
      </c>
      <c r="B1656" s="2" t="str">
        <f>HYPERLINK("http://www.12365auto.com/zlts/20200226/448828.shtml","东风本田CR-V机油乳化增多无法使用")</f>
        <v>东风本田CR-V机油乳化增多无法使用</v>
      </c>
      <c r="C1656" s="2" t="s">
        <v>13</v>
      </c>
      <c r="D1656" s="2" t="s">
        <v>12</v>
      </c>
      <c r="E1656" s="2"/>
      <c r="F1656" s="2" t="str">
        <f>HYPERLINK("http://www.12365auto.com/zlts/20200226/448828.shtml","http://www.12365auto.com/zlts/20200226/448828.shtml")</f>
        <v>http://www.12365auto.com/zlts/20200226/448828.shtml</v>
      </c>
      <c r="G1656" s="2"/>
      <c r="H1656" s="3" t="s">
        <v>2476</v>
      </c>
      <c r="I1656" s="2" t="s">
        <v>15</v>
      </c>
      <c r="J1656" s="2" t="s">
        <v>12</v>
      </c>
      <c r="K1656" s="2" t="s">
        <v>2477</v>
      </c>
      <c r="L1656" s="2">
        <f t="shared" si="25"/>
        <v>117</v>
      </c>
    </row>
    <row r="1657" spans="1:12" ht="25" customHeight="1">
      <c r="A1657" s="2" t="s">
        <v>12</v>
      </c>
      <c r="B1657" s="2" t="str">
        <f>HYPERLINK("http://m.12365auto.com/zjdy/20200226/121660.shtml","外力因素导致转向机异响可以申请索赔吗？")</f>
        <v>外力因素导致转向机异响可以申请索赔吗？</v>
      </c>
      <c r="C1657" s="2" t="s">
        <v>13</v>
      </c>
      <c r="D1657" s="2" t="s">
        <v>12</v>
      </c>
      <c r="E1657" s="2"/>
      <c r="F1657" s="2" t="str">
        <f>HYPERLINK("http://m.12365auto.com/zjdy/20200226/121660.shtml","http://m.12365auto.com/zjdy/20200226/121660.shtml")</f>
        <v>http://m.12365auto.com/zjdy/20200226/121660.shtml</v>
      </c>
      <c r="G1657" s="2"/>
      <c r="H1657" s="2" t="s">
        <v>2478</v>
      </c>
      <c r="I1657" s="2" t="s">
        <v>19</v>
      </c>
      <c r="J1657" s="2" t="s">
        <v>12</v>
      </c>
      <c r="K1657" s="2" t="s">
        <v>2479</v>
      </c>
      <c r="L1657" s="2">
        <f t="shared" si="25"/>
        <v>36</v>
      </c>
    </row>
    <row r="1658" spans="1:12" ht="25" customHeight="1">
      <c r="A1658" s="2" t="s">
        <v>12</v>
      </c>
      <c r="B1658" s="2" t="str">
        <f>HYPERLINK("http://www.12365auto.com/zlts/20200226/448830.shtml","一汽大众探岳大灯透镜发白影响夜间照明")</f>
        <v>一汽大众探岳大灯透镜发白影响夜间照明</v>
      </c>
      <c r="C1658" s="2" t="s">
        <v>13</v>
      </c>
      <c r="D1658" s="2" t="s">
        <v>12</v>
      </c>
      <c r="E1658" s="2" t="s">
        <v>17</v>
      </c>
      <c r="F1658" s="2" t="str">
        <f>HYPERLINK("http://www.12365auto.com/zlts/20200226/448830.shtml","http://www.12365auto.com/zlts/20200226/448830.shtml")</f>
        <v>http://www.12365auto.com/zlts/20200226/448830.shtml</v>
      </c>
      <c r="G1658" s="2"/>
      <c r="H1658" s="2" t="s">
        <v>2480</v>
      </c>
      <c r="I1658" s="2" t="s">
        <v>19</v>
      </c>
      <c r="J1658" s="2" t="s">
        <v>12</v>
      </c>
      <c r="K1658" s="2" t="s">
        <v>2481</v>
      </c>
      <c r="L1658" s="2">
        <f t="shared" si="25"/>
        <v>150</v>
      </c>
    </row>
    <row r="1659" spans="1:12" ht="25" customHeight="1">
      <c r="A1659" s="2" t="s">
        <v>12</v>
      </c>
      <c r="B1659" s="2" t="str">
        <f>HYPERLINK("http://www.12365auto.com/scbg/20200226/419642.shtml","试驾全新瑞虎7 好看的皮囊与有趣的灵魂")</f>
        <v>试驾全新瑞虎7 好看的皮囊与有趣的灵魂</v>
      </c>
      <c r="C1659" s="2" t="s">
        <v>13</v>
      </c>
      <c r="D1659" s="2" t="s">
        <v>12</v>
      </c>
      <c r="E1659" s="2" t="s">
        <v>1548</v>
      </c>
      <c r="F1659" s="2" t="str">
        <f>HYPERLINK("http://www.12365auto.com/scbg/20200226/419642.shtml","http://www.12365auto.com/scbg/20200226/419642.shtml")</f>
        <v>http://www.12365auto.com/scbg/20200226/419642.shtml</v>
      </c>
      <c r="G1659" s="2"/>
      <c r="H1659" s="2" t="s">
        <v>2482</v>
      </c>
      <c r="I1659" s="2" t="s">
        <v>15</v>
      </c>
      <c r="J1659" s="2" t="s">
        <v>12</v>
      </c>
      <c r="K1659" s="2" t="s">
        <v>2483</v>
      </c>
      <c r="L1659" s="2">
        <f t="shared" si="25"/>
        <v>150</v>
      </c>
    </row>
    <row r="1660" spans="1:12" ht="25" customHeight="1">
      <c r="A1660" s="2" t="s">
        <v>12</v>
      </c>
      <c r="B1660" s="2" t="str">
        <f>HYPERLINK("http://m.12365auto.com/scbg/20200226/419642.shtml","试驾全新瑞虎7 好看的皮囊与有趣的灵魂")</f>
        <v>试驾全新瑞虎7 好看的皮囊与有趣的灵魂</v>
      </c>
      <c r="C1660" s="2" t="s">
        <v>13</v>
      </c>
      <c r="D1660" s="2" t="s">
        <v>12</v>
      </c>
      <c r="E1660" s="2"/>
      <c r="F1660" s="2" t="str">
        <f>HYPERLINK("http://m.12365auto.com/scbg/20200226/419642.shtml","http://m.12365auto.com/scbg/20200226/419642.shtml")</f>
        <v>http://m.12365auto.com/scbg/20200226/419642.shtml</v>
      </c>
      <c r="G1660" s="2"/>
      <c r="H1660" s="2" t="s">
        <v>2484</v>
      </c>
      <c r="I1660" s="2" t="s">
        <v>19</v>
      </c>
      <c r="J1660" s="2" t="s">
        <v>12</v>
      </c>
      <c r="K1660" s="2" t="s">
        <v>2483</v>
      </c>
      <c r="L1660" s="2">
        <f t="shared" si="25"/>
        <v>150</v>
      </c>
    </row>
    <row r="1661" spans="1:12" ht="25" customHeight="1">
      <c r="A1661" s="2" t="s">
        <v>12</v>
      </c>
      <c r="B1661" s="2" t="str">
        <f>HYPERLINK("http://m.12365auto.com/xcdg/20200226/419641.shtml","A4 Avant对比V60 40万旅行车怎么选？")</f>
        <v>A4 Avant对比V60 40万旅行车怎么选？</v>
      </c>
      <c r="C1661" s="2" t="s">
        <v>13</v>
      </c>
      <c r="D1661" s="2" t="s">
        <v>12</v>
      </c>
      <c r="E1661" s="2"/>
      <c r="F1661" s="2" t="str">
        <f>HYPERLINK("http://m.12365auto.com/xcdg/20200226/419641.shtml","http://m.12365auto.com/xcdg/20200226/419641.shtml")</f>
        <v>http://m.12365auto.com/xcdg/20200226/419641.shtml</v>
      </c>
      <c r="G1661" s="2"/>
      <c r="H1661" s="2" t="s">
        <v>2485</v>
      </c>
      <c r="I1661" s="2" t="s">
        <v>19</v>
      </c>
      <c r="J1661" s="2" t="s">
        <v>2486</v>
      </c>
      <c r="K1661" s="2" t="s">
        <v>2487</v>
      </c>
      <c r="L1661" s="2">
        <f t="shared" si="25"/>
        <v>150</v>
      </c>
    </row>
    <row r="1662" spans="1:12" ht="25" customHeight="1">
      <c r="A1662" s="2" t="s">
        <v>12</v>
      </c>
      <c r="B1662" s="2" t="str">
        <f>HYPERLINK("http://www.12365auto.com/zlts/20200226/448827.shtml","众泰E200出现故障灯后无法加速 底盘异响")</f>
        <v>众泰E200出现故障灯后无法加速 底盘异响</v>
      </c>
      <c r="C1662" s="2" t="s">
        <v>13</v>
      </c>
      <c r="D1662" s="2" t="s">
        <v>12</v>
      </c>
      <c r="E1662" s="2" t="s">
        <v>17</v>
      </c>
      <c r="F1662" s="2" t="str">
        <f>HYPERLINK("http://www.12365auto.com/zlts/20200226/448827.shtml","http://www.12365auto.com/zlts/20200226/448827.shtml")</f>
        <v>http://www.12365auto.com/zlts/20200226/448827.shtml</v>
      </c>
      <c r="G1662" s="2"/>
      <c r="H1662" s="2" t="s">
        <v>2488</v>
      </c>
      <c r="I1662" s="2" t="s">
        <v>15</v>
      </c>
      <c r="J1662" s="2" t="s">
        <v>12</v>
      </c>
      <c r="K1662" s="2" t="s">
        <v>2487</v>
      </c>
      <c r="L1662" s="2">
        <f t="shared" si="25"/>
        <v>150</v>
      </c>
    </row>
    <row r="1663" spans="1:12" ht="25" customHeight="1">
      <c r="A1663" s="2" t="s">
        <v>12</v>
      </c>
      <c r="B1663" s="2" t="str">
        <f>HYPERLINK("http://m.12365auto.com/zjdy/20200226/121659.shtml","快速过坑会造成轮毂变形和转向机损坏吗？")</f>
        <v>快速过坑会造成轮毂变形和转向机损坏吗？</v>
      </c>
      <c r="C1663" s="2" t="s">
        <v>13</v>
      </c>
      <c r="D1663" s="2" t="s">
        <v>12</v>
      </c>
      <c r="E1663" s="2"/>
      <c r="F1663" s="2" t="str">
        <f>HYPERLINK("http://m.12365auto.com/zjdy/20200226/121659.shtml","http://m.12365auto.com/zjdy/20200226/121659.shtml")</f>
        <v>http://m.12365auto.com/zjdy/20200226/121659.shtml</v>
      </c>
      <c r="G1663" s="2"/>
      <c r="H1663" s="2" t="s">
        <v>2489</v>
      </c>
      <c r="I1663" s="2" t="s">
        <v>19</v>
      </c>
      <c r="J1663" s="2" t="s">
        <v>12</v>
      </c>
      <c r="K1663" s="2" t="s">
        <v>2490</v>
      </c>
      <c r="L1663" s="2">
        <f t="shared" si="25"/>
        <v>82</v>
      </c>
    </row>
    <row r="1664" spans="1:12" ht="25" customHeight="1">
      <c r="A1664" s="2" t="s">
        <v>12</v>
      </c>
      <c r="B1664" s="2" t="str">
        <f>HYPERLINK("http://www.12365auto.com/news/20200226/419640.shtml","车主拒绝和解 大众在美或临惩罚性赔偿")</f>
        <v>车主拒绝和解 大众在美或临惩罚性赔偿</v>
      </c>
      <c r="C1664" s="2" t="s">
        <v>13</v>
      </c>
      <c r="D1664" s="2" t="s">
        <v>12</v>
      </c>
      <c r="E1664" s="2" t="s">
        <v>276</v>
      </c>
      <c r="F1664" s="2" t="str">
        <f>HYPERLINK("http://www.12365auto.com/news/20200226/419640.shtml","http://www.12365auto.com/news/20200226/419640.shtml")</f>
        <v>http://www.12365auto.com/news/20200226/419640.shtml</v>
      </c>
      <c r="G1664" s="2"/>
      <c r="H1664" s="2" t="s">
        <v>2491</v>
      </c>
      <c r="I1664" s="2" t="s">
        <v>15</v>
      </c>
      <c r="J1664" s="2" t="s">
        <v>12</v>
      </c>
      <c r="K1664" s="2" t="s">
        <v>2492</v>
      </c>
      <c r="L1664" s="2">
        <f t="shared" si="25"/>
        <v>150</v>
      </c>
    </row>
    <row r="1665" spans="1:12" ht="25" customHeight="1">
      <c r="A1665" s="2" t="s">
        <v>12</v>
      </c>
      <c r="B1665" s="2" t="str">
        <f>HYPERLINK("http://m.12365auto.com/news/20200226/419640.shtml","车主拒绝和解 大众在美或临惩罚性赔偿")</f>
        <v>车主拒绝和解 大众在美或临惩罚性赔偿</v>
      </c>
      <c r="C1665" s="2" t="s">
        <v>13</v>
      </c>
      <c r="D1665" s="2" t="s">
        <v>12</v>
      </c>
      <c r="E1665" s="2"/>
      <c r="F1665" s="2" t="str">
        <f>HYPERLINK("http://m.12365auto.com/news/20200226/419640.shtml","http://m.12365auto.com/news/20200226/419640.shtml")</f>
        <v>http://m.12365auto.com/news/20200226/419640.shtml</v>
      </c>
      <c r="G1665" s="2"/>
      <c r="H1665" s="2" t="s">
        <v>2493</v>
      </c>
      <c r="I1665" s="2" t="s">
        <v>19</v>
      </c>
      <c r="J1665" s="2" t="s">
        <v>274</v>
      </c>
      <c r="K1665" s="2" t="s">
        <v>2492</v>
      </c>
      <c r="L1665" s="2">
        <f t="shared" si="25"/>
        <v>150</v>
      </c>
    </row>
    <row r="1666" spans="1:12" ht="25" customHeight="1">
      <c r="A1666" s="2" t="s">
        <v>12</v>
      </c>
      <c r="B1666" s="2" t="str">
        <f>HYPERLINK("http://www.12365auto.com/news/20200226/419639.shtml","2021年量产 盖瑞特推网络入侵检测系统")</f>
        <v>2021年量产 盖瑞特推网络入侵检测系统</v>
      </c>
      <c r="C1666" s="2" t="s">
        <v>13</v>
      </c>
      <c r="D1666" s="2" t="s">
        <v>12</v>
      </c>
      <c r="E1666" s="2" t="s">
        <v>276</v>
      </c>
      <c r="F1666" s="2" t="str">
        <f>HYPERLINK("http://www.12365auto.com/news/20200226/419639.shtml","http://www.12365auto.com/news/20200226/419639.shtml")</f>
        <v>http://www.12365auto.com/news/20200226/419639.shtml</v>
      </c>
      <c r="G1666" s="2"/>
      <c r="H1666" s="2" t="s">
        <v>2494</v>
      </c>
      <c r="I1666" s="2" t="s">
        <v>15</v>
      </c>
      <c r="J1666" s="2" t="s">
        <v>12</v>
      </c>
      <c r="K1666" s="2" t="s">
        <v>2495</v>
      </c>
      <c r="L1666" s="2">
        <f t="shared" si="25"/>
        <v>150</v>
      </c>
    </row>
    <row r="1667" spans="1:12" ht="25" customHeight="1">
      <c r="A1667" s="2" t="s">
        <v>12</v>
      </c>
      <c r="B1667" s="2" t="str">
        <f>HYPERLINK("http://m.12365auto.com/news/20200226/419639.shtml","2021年量产 盖瑞特推网络入侵检测系统")</f>
        <v>2021年量产 盖瑞特推网络入侵检测系统</v>
      </c>
      <c r="C1667" s="2" t="s">
        <v>13</v>
      </c>
      <c r="D1667" s="2" t="s">
        <v>12</v>
      </c>
      <c r="E1667" s="2"/>
      <c r="F1667" s="2" t="str">
        <f>HYPERLINK("http://m.12365auto.com/news/20200226/419639.shtml","http://m.12365auto.com/news/20200226/419639.shtml")</f>
        <v>http://m.12365auto.com/news/20200226/419639.shtml</v>
      </c>
      <c r="G1667" s="2"/>
      <c r="H1667" s="2" t="s">
        <v>2496</v>
      </c>
      <c r="I1667" s="2" t="s">
        <v>19</v>
      </c>
      <c r="J1667" s="2" t="s">
        <v>1653</v>
      </c>
      <c r="K1667" s="2" t="s">
        <v>2495</v>
      </c>
      <c r="L1667" s="2">
        <f t="shared" ref="L1667:L1730" si="26">LEN(H1667)</f>
        <v>150</v>
      </c>
    </row>
    <row r="1668" spans="1:12" ht="25" customHeight="1">
      <c r="A1668" s="2" t="s">
        <v>12</v>
      </c>
      <c r="B1668" s="2" t="str">
        <f>HYPERLINK("http://www.12365auto.com/news/20200226/419638.shtml","C-V2X路测 奥迪推出“毫秒级”响应策略")</f>
        <v>C-V2X路测 奥迪推出“毫秒级”响应策略</v>
      </c>
      <c r="C1668" s="2" t="s">
        <v>13</v>
      </c>
      <c r="D1668" s="2" t="s">
        <v>12</v>
      </c>
      <c r="E1668" s="2" t="s">
        <v>276</v>
      </c>
      <c r="F1668" s="2" t="str">
        <f>HYPERLINK("http://www.12365auto.com/news/20200226/419638.shtml","http://www.12365auto.com/news/20200226/419638.shtml")</f>
        <v>http://www.12365auto.com/news/20200226/419638.shtml</v>
      </c>
      <c r="G1668" s="2"/>
      <c r="H1668" s="2" t="s">
        <v>2497</v>
      </c>
      <c r="I1668" s="2" t="s">
        <v>15</v>
      </c>
      <c r="J1668" s="2" t="s">
        <v>12</v>
      </c>
      <c r="K1668" s="2" t="s">
        <v>2498</v>
      </c>
      <c r="L1668" s="2">
        <f t="shared" si="26"/>
        <v>150</v>
      </c>
    </row>
    <row r="1669" spans="1:12" ht="25" customHeight="1">
      <c r="A1669" s="2" t="s">
        <v>12</v>
      </c>
      <c r="B1669" s="2" t="str">
        <f>HYPERLINK("http://m.12365auto.com/news/20200226/419638.shtml","C-V2X路测 奥迪推出“毫秒级”响应策略")</f>
        <v>C-V2X路测 奥迪推出“毫秒级”响应策略</v>
      </c>
      <c r="C1669" s="2" t="s">
        <v>13</v>
      </c>
      <c r="D1669" s="2" t="s">
        <v>12</v>
      </c>
      <c r="E1669" s="2"/>
      <c r="F1669" s="2" t="str">
        <f>HYPERLINK("http://m.12365auto.com/news/20200226/419638.shtml","http://m.12365auto.com/news/20200226/419638.shtml")</f>
        <v>http://m.12365auto.com/news/20200226/419638.shtml</v>
      </c>
      <c r="G1669" s="2"/>
      <c r="H1669" s="2" t="s">
        <v>2499</v>
      </c>
      <c r="I1669" s="2" t="s">
        <v>19</v>
      </c>
      <c r="J1669" s="2" t="s">
        <v>1543</v>
      </c>
      <c r="K1669" s="2" t="s">
        <v>2498</v>
      </c>
      <c r="L1669" s="2">
        <f t="shared" si="26"/>
        <v>150</v>
      </c>
    </row>
    <row r="1670" spans="1:12" ht="25" customHeight="1">
      <c r="A1670" s="2" t="s">
        <v>12</v>
      </c>
      <c r="B1670" s="2" t="str">
        <f>HYPERLINK("http://www.12365auto.com/news/20200226/419637.shtml","调整销售策略 东风雪铁龙2020持续转型")</f>
        <v>调整销售策略 东风雪铁龙2020持续转型</v>
      </c>
      <c r="C1670" s="2" t="s">
        <v>13</v>
      </c>
      <c r="D1670" s="2" t="s">
        <v>12</v>
      </c>
      <c r="E1670" s="2" t="s">
        <v>276</v>
      </c>
      <c r="F1670" s="2" t="str">
        <f>HYPERLINK("http://www.12365auto.com/news/20200226/419637.shtml","http://www.12365auto.com/news/20200226/419637.shtml")</f>
        <v>http://www.12365auto.com/news/20200226/419637.shtml</v>
      </c>
      <c r="G1670" s="2"/>
      <c r="H1670" s="2" t="s">
        <v>2500</v>
      </c>
      <c r="I1670" s="2" t="s">
        <v>15</v>
      </c>
      <c r="J1670" s="2" t="s">
        <v>12</v>
      </c>
      <c r="K1670" s="2" t="s">
        <v>2501</v>
      </c>
      <c r="L1670" s="2">
        <f t="shared" si="26"/>
        <v>150</v>
      </c>
    </row>
    <row r="1671" spans="1:12" ht="25" customHeight="1">
      <c r="A1671" s="2" t="s">
        <v>12</v>
      </c>
      <c r="B1671" s="2" t="str">
        <f>HYPERLINK("http://m.12365auto.com/news/20200226/419637.shtml","调整销售策略 东风雪铁龙2020持续转型")</f>
        <v>调整销售策略 东风雪铁龙2020持续转型</v>
      </c>
      <c r="C1671" s="2" t="s">
        <v>13</v>
      </c>
      <c r="D1671" s="2" t="s">
        <v>12</v>
      </c>
      <c r="E1671" s="2"/>
      <c r="F1671" s="2" t="str">
        <f>HYPERLINK("http://m.12365auto.com/news/20200226/419637.shtml","http://m.12365auto.com/news/20200226/419637.shtml")</f>
        <v>http://m.12365auto.com/news/20200226/419637.shtml</v>
      </c>
      <c r="G1671" s="2"/>
      <c r="H1671" s="2" t="s">
        <v>2502</v>
      </c>
      <c r="I1671" s="2" t="s">
        <v>19</v>
      </c>
      <c r="J1671" s="2" t="s">
        <v>1170</v>
      </c>
      <c r="K1671" s="2" t="s">
        <v>2501</v>
      </c>
      <c r="L1671" s="2">
        <f t="shared" si="26"/>
        <v>150</v>
      </c>
    </row>
    <row r="1672" spans="1:12" ht="25" customHeight="1">
      <c r="A1672" s="2" t="s">
        <v>12</v>
      </c>
      <c r="B1672" s="2" t="str">
        <f>HYPERLINK("http://www.12365auto.com/news/20200226/419636.shtml","缺乏安全性 特斯拉自动驾驶事故被再审")</f>
        <v>缺乏安全性 特斯拉自动驾驶事故被再审</v>
      </c>
      <c r="C1672" s="2" t="s">
        <v>13</v>
      </c>
      <c r="D1672" s="2" t="s">
        <v>12</v>
      </c>
      <c r="E1672" s="2" t="s">
        <v>282</v>
      </c>
      <c r="F1672" s="2" t="str">
        <f>HYPERLINK("http://www.12365auto.com/news/20200226/419636.shtml","http://www.12365auto.com/news/20200226/419636.shtml")</f>
        <v>http://www.12365auto.com/news/20200226/419636.shtml</v>
      </c>
      <c r="G1672" s="2"/>
      <c r="H1672" s="2" t="s">
        <v>2503</v>
      </c>
      <c r="I1672" s="2" t="s">
        <v>19</v>
      </c>
      <c r="J1672" s="2" t="s">
        <v>12</v>
      </c>
      <c r="K1672" s="2" t="s">
        <v>2504</v>
      </c>
      <c r="L1672" s="2">
        <f t="shared" si="26"/>
        <v>150</v>
      </c>
    </row>
    <row r="1673" spans="1:12" ht="25" customHeight="1">
      <c r="A1673" s="2" t="s">
        <v>12</v>
      </c>
      <c r="B1673" s="2" t="str">
        <f>HYPERLINK("http://m.12365auto.com/news/20200226/419636.shtml","缺乏安全性 特斯拉自动驾驶事故被再审")</f>
        <v>缺乏安全性 特斯拉自动驾驶事故被再审</v>
      </c>
      <c r="C1673" s="2" t="s">
        <v>13</v>
      </c>
      <c r="D1673" s="2" t="s">
        <v>12</v>
      </c>
      <c r="E1673" s="2"/>
      <c r="F1673" s="2" t="str">
        <f>HYPERLINK("http://m.12365auto.com/news/20200226/419636.shtml","http://m.12365auto.com/news/20200226/419636.shtml")</f>
        <v>http://m.12365auto.com/news/20200226/419636.shtml</v>
      </c>
      <c r="G1673" s="2"/>
      <c r="H1673" s="2" t="s">
        <v>2505</v>
      </c>
      <c r="I1673" s="2" t="s">
        <v>19</v>
      </c>
      <c r="J1673" s="2" t="s">
        <v>1188</v>
      </c>
      <c r="K1673" s="2" t="s">
        <v>2504</v>
      </c>
      <c r="L1673" s="2">
        <f t="shared" si="26"/>
        <v>150</v>
      </c>
    </row>
    <row r="1674" spans="1:12" ht="25" customHeight="1">
      <c r="A1674" s="2" t="s">
        <v>12</v>
      </c>
      <c r="B1674" s="2" t="str">
        <f>HYPERLINK("http://www.12365auto.com/xcdg/20200226/419635.shtml","宝马Concept i4概念车预览宝马电动技术")</f>
        <v>宝马Concept i4概念车预览宝马电动技术</v>
      </c>
      <c r="C1674" s="2" t="s">
        <v>13</v>
      </c>
      <c r="D1674" s="2" t="s">
        <v>12</v>
      </c>
      <c r="E1674" s="2" t="s">
        <v>245</v>
      </c>
      <c r="F1674" s="2" t="str">
        <f>HYPERLINK("http://www.12365auto.com/xcdg/20200226/419635.shtml","http://www.12365auto.com/xcdg/20200226/419635.shtml")</f>
        <v>http://www.12365auto.com/xcdg/20200226/419635.shtml</v>
      </c>
      <c r="G1674" s="2"/>
      <c r="H1674" s="2" t="s">
        <v>2506</v>
      </c>
      <c r="I1674" s="2" t="s">
        <v>19</v>
      </c>
      <c r="J1674" s="2" t="s">
        <v>12</v>
      </c>
      <c r="K1674" s="2" t="s">
        <v>2507</v>
      </c>
      <c r="L1674" s="2">
        <f t="shared" si="26"/>
        <v>150</v>
      </c>
    </row>
    <row r="1675" spans="1:12" ht="25" customHeight="1">
      <c r="A1675" s="2" t="s">
        <v>12</v>
      </c>
      <c r="B1675" s="2" t="str">
        <f>HYPERLINK("http://m.12365auto.com/xcdg/20200226/419635.shtml","宝马Concept i4概念车预览宝马电动技术")</f>
        <v>宝马Concept i4概念车预览宝马电动技术</v>
      </c>
      <c r="C1675" s="2" t="s">
        <v>13</v>
      </c>
      <c r="D1675" s="2" t="s">
        <v>12</v>
      </c>
      <c r="E1675" s="2"/>
      <c r="F1675" s="2" t="str">
        <f>HYPERLINK("http://m.12365auto.com/xcdg/20200226/419635.shtml","http://m.12365auto.com/xcdg/20200226/419635.shtml")</f>
        <v>http://m.12365auto.com/xcdg/20200226/419635.shtml</v>
      </c>
      <c r="G1675" s="2"/>
      <c r="H1675" s="2" t="s">
        <v>2508</v>
      </c>
      <c r="I1675" s="2" t="s">
        <v>19</v>
      </c>
      <c r="J1675" s="2" t="s">
        <v>2509</v>
      </c>
      <c r="K1675" s="2" t="s">
        <v>2507</v>
      </c>
      <c r="L1675" s="2">
        <f t="shared" si="26"/>
        <v>150</v>
      </c>
    </row>
    <row r="1676" spans="1:12" ht="25" customHeight="1">
      <c r="A1676" s="2" t="s">
        <v>12</v>
      </c>
      <c r="B1676" s="2" t="str">
        <f>HYPERLINK("http://www.12365auto.com/xcdg/20200226/419634.shtml","明年发布 斯巴鲁WRX STI将装备FA24发动机")</f>
        <v>明年发布 斯巴鲁WRX STI将装备FA24发动机</v>
      </c>
      <c r="C1676" s="2" t="s">
        <v>13</v>
      </c>
      <c r="D1676" s="2" t="s">
        <v>12</v>
      </c>
      <c r="E1676" s="2" t="s">
        <v>245</v>
      </c>
      <c r="F1676" s="2" t="str">
        <f>HYPERLINK("http://www.12365auto.com/xcdg/20200226/419634.shtml","http://www.12365auto.com/xcdg/20200226/419634.shtml")</f>
        <v>http://www.12365auto.com/xcdg/20200226/419634.shtml</v>
      </c>
      <c r="G1676" s="2"/>
      <c r="H1676" s="2" t="s">
        <v>2510</v>
      </c>
      <c r="I1676" s="2" t="s">
        <v>19</v>
      </c>
      <c r="J1676" s="2" t="s">
        <v>12</v>
      </c>
      <c r="K1676" s="2" t="s">
        <v>2511</v>
      </c>
      <c r="L1676" s="2">
        <f t="shared" si="26"/>
        <v>150</v>
      </c>
    </row>
    <row r="1677" spans="1:12" ht="25" customHeight="1">
      <c r="A1677" s="2" t="s">
        <v>12</v>
      </c>
      <c r="B1677" s="2" t="str">
        <f>HYPERLINK("http://m.12365auto.com/xcdg/20200226/419634.shtml","明年发布 斯巴鲁WRX STI将装备FA24发动机")</f>
        <v>明年发布 斯巴鲁WRX STI将装备FA24发动机</v>
      </c>
      <c r="C1677" s="2" t="s">
        <v>13</v>
      </c>
      <c r="D1677" s="2" t="s">
        <v>12</v>
      </c>
      <c r="E1677" s="2"/>
      <c r="F1677" s="2" t="str">
        <f>HYPERLINK("http://m.12365auto.com/xcdg/20200226/419634.shtml","http://m.12365auto.com/xcdg/20200226/419634.shtml")</f>
        <v>http://m.12365auto.com/xcdg/20200226/419634.shtml</v>
      </c>
      <c r="G1677" s="2"/>
      <c r="H1677" s="2" t="s">
        <v>2512</v>
      </c>
      <c r="I1677" s="2" t="s">
        <v>19</v>
      </c>
      <c r="J1677" s="2" t="s">
        <v>2509</v>
      </c>
      <c r="K1677" s="2" t="s">
        <v>2511</v>
      </c>
      <c r="L1677" s="2">
        <f t="shared" si="26"/>
        <v>150</v>
      </c>
    </row>
    <row r="1678" spans="1:12" ht="25" customHeight="1">
      <c r="A1678" s="2" t="s">
        <v>12</v>
      </c>
      <c r="B1678" s="2" t="str">
        <f>HYPERLINK("http://www.12365auto.com/zlts/20200226/448823.shtml","上汽大众朗逸4S店收服务费态度恶劣")</f>
        <v>上汽大众朗逸4S店收服务费态度恶劣</v>
      </c>
      <c r="C1678" s="2" t="s">
        <v>13</v>
      </c>
      <c r="D1678" s="2" t="s">
        <v>12</v>
      </c>
      <c r="E1678" s="2" t="s">
        <v>17</v>
      </c>
      <c r="F1678" s="2" t="str">
        <f>HYPERLINK("http://www.12365auto.com/zlts/20200226/448823.shtml","http://www.12365auto.com/zlts/20200226/448823.shtml")</f>
        <v>http://www.12365auto.com/zlts/20200226/448823.shtml</v>
      </c>
      <c r="G1678" s="2"/>
      <c r="H1678" s="2" t="s">
        <v>2513</v>
      </c>
      <c r="I1678" s="2" t="s">
        <v>19</v>
      </c>
      <c r="J1678" s="2" t="s">
        <v>12</v>
      </c>
      <c r="K1678" s="2" t="s">
        <v>2514</v>
      </c>
      <c r="L1678" s="2">
        <f t="shared" si="26"/>
        <v>150</v>
      </c>
    </row>
    <row r="1679" spans="1:12" ht="25" customHeight="1">
      <c r="A1679" s="2" t="s">
        <v>12</v>
      </c>
      <c r="B1679" s="2" t="str">
        <f>HYPERLINK("http://www.12365auto.com/xcdg/20200226/419633.shtml","保时捷 全新Taycan Coupe效果图曝光")</f>
        <v>保时捷 全新Taycan Coupe效果图曝光</v>
      </c>
      <c r="C1679" s="2" t="s">
        <v>13</v>
      </c>
      <c r="D1679" s="2" t="s">
        <v>12</v>
      </c>
      <c r="E1679" s="2" t="s">
        <v>245</v>
      </c>
      <c r="F1679" s="2" t="str">
        <f>HYPERLINK("http://www.12365auto.com/xcdg/20200226/419633.shtml","http://www.12365auto.com/xcdg/20200226/419633.shtml")</f>
        <v>http://www.12365auto.com/xcdg/20200226/419633.shtml</v>
      </c>
      <c r="G1679" s="2"/>
      <c r="H1679" s="2" t="s">
        <v>2515</v>
      </c>
      <c r="I1679" s="2" t="s">
        <v>19</v>
      </c>
      <c r="J1679" s="2" t="s">
        <v>12</v>
      </c>
      <c r="K1679" s="2" t="s">
        <v>2514</v>
      </c>
      <c r="L1679" s="2">
        <f t="shared" si="26"/>
        <v>150</v>
      </c>
    </row>
    <row r="1680" spans="1:12" ht="25" customHeight="1">
      <c r="A1680" s="2" t="s">
        <v>12</v>
      </c>
      <c r="B1680" s="2" t="str">
        <f>HYPERLINK("http://www.12365auto.com/zlts/20200226/448824.shtml","广汽丰田致享停放自燃要求尽快处理")</f>
        <v>广汽丰田致享停放自燃要求尽快处理</v>
      </c>
      <c r="C1680" s="2" t="s">
        <v>13</v>
      </c>
      <c r="D1680" s="2" t="s">
        <v>12</v>
      </c>
      <c r="E1680" s="2" t="s">
        <v>17</v>
      </c>
      <c r="F1680" s="2" t="str">
        <f>HYPERLINK("http://www.12365auto.com/zlts/20200226/448824.shtml","http://www.12365auto.com/zlts/20200226/448824.shtml")</f>
        <v>http://www.12365auto.com/zlts/20200226/448824.shtml</v>
      </c>
      <c r="G1680" s="2"/>
      <c r="H1680" s="2" t="s">
        <v>2516</v>
      </c>
      <c r="I1680" s="2" t="s">
        <v>19</v>
      </c>
      <c r="J1680" s="2" t="s">
        <v>12</v>
      </c>
      <c r="K1680" s="2" t="s">
        <v>2514</v>
      </c>
      <c r="L1680" s="2">
        <f t="shared" si="26"/>
        <v>150</v>
      </c>
    </row>
    <row r="1681" spans="1:12" ht="25" customHeight="1">
      <c r="A1681" s="2" t="s">
        <v>12</v>
      </c>
      <c r="B1681" s="2" t="str">
        <f>HYPERLINK("http://m.12365auto.com/xcdg/20200226/419633.shtml","保时捷 全新Taycan Coupe效果图曝光")</f>
        <v>保时捷 全新Taycan Coupe效果图曝光</v>
      </c>
      <c r="C1681" s="2" t="s">
        <v>13</v>
      </c>
      <c r="D1681" s="2" t="s">
        <v>12</v>
      </c>
      <c r="E1681" s="2"/>
      <c r="F1681" s="2" t="str">
        <f>HYPERLINK("http://m.12365auto.com/xcdg/20200226/419633.shtml","http://m.12365auto.com/xcdg/20200226/419633.shtml")</f>
        <v>http://m.12365auto.com/xcdg/20200226/419633.shtml</v>
      </c>
      <c r="G1681" s="2"/>
      <c r="H1681" s="2" t="s">
        <v>2517</v>
      </c>
      <c r="I1681" s="2" t="s">
        <v>19</v>
      </c>
      <c r="J1681" s="2" t="s">
        <v>2509</v>
      </c>
      <c r="K1681" s="2" t="s">
        <v>2514</v>
      </c>
      <c r="L1681" s="2">
        <f t="shared" si="26"/>
        <v>150</v>
      </c>
    </row>
    <row r="1682" spans="1:12" ht="25" customHeight="1">
      <c r="A1682" s="2" t="s">
        <v>12</v>
      </c>
      <c r="B1682" s="2" t="str">
        <f>HYPERLINK("http://www.12365auto.com/xcdg/20200226/419632.shtml","全新宝马4系伪装谍照曝光 将在夏天发布")</f>
        <v>全新宝马4系伪装谍照曝光 将在夏天发布</v>
      </c>
      <c r="C1682" s="2" t="s">
        <v>13</v>
      </c>
      <c r="D1682" s="2" t="s">
        <v>12</v>
      </c>
      <c r="E1682" s="2" t="s">
        <v>224</v>
      </c>
      <c r="F1682" s="2" t="str">
        <f>HYPERLINK("http://www.12365auto.com/xcdg/20200226/419632.shtml","http://www.12365auto.com/xcdg/20200226/419632.shtml")</f>
        <v>http://www.12365auto.com/xcdg/20200226/419632.shtml</v>
      </c>
      <c r="G1682" s="2"/>
      <c r="H1682" s="2" t="s">
        <v>2518</v>
      </c>
      <c r="I1682" s="2" t="s">
        <v>15</v>
      </c>
      <c r="J1682" s="2" t="s">
        <v>12</v>
      </c>
      <c r="K1682" s="2" t="s">
        <v>2519</v>
      </c>
      <c r="L1682" s="2">
        <f t="shared" si="26"/>
        <v>150</v>
      </c>
    </row>
    <row r="1683" spans="1:12" ht="25" customHeight="1">
      <c r="A1683" s="2" t="s">
        <v>12</v>
      </c>
      <c r="B1683" s="2" t="str">
        <f>HYPERLINK("http://m.12365auto.com/xcdg/20200226/419632.shtml","全新宝马4系伪装谍照曝光 将在夏天发布")</f>
        <v>全新宝马4系伪装谍照曝光 将在夏天发布</v>
      </c>
      <c r="C1683" s="2" t="s">
        <v>13</v>
      </c>
      <c r="D1683" s="2" t="s">
        <v>12</v>
      </c>
      <c r="E1683" s="2"/>
      <c r="F1683" s="2" t="str">
        <f>HYPERLINK("http://m.12365auto.com/xcdg/20200226/419632.shtml","http://m.12365auto.com/xcdg/20200226/419632.shtml")</f>
        <v>http://m.12365auto.com/xcdg/20200226/419632.shtml</v>
      </c>
      <c r="G1683" s="2"/>
      <c r="H1683" s="2" t="s">
        <v>2520</v>
      </c>
      <c r="I1683" s="2" t="s">
        <v>19</v>
      </c>
      <c r="J1683" s="2" t="s">
        <v>2509</v>
      </c>
      <c r="K1683" s="2" t="s">
        <v>2519</v>
      </c>
      <c r="L1683" s="2">
        <f t="shared" si="26"/>
        <v>150</v>
      </c>
    </row>
    <row r="1684" spans="1:12" ht="25" customHeight="1">
      <c r="A1684" s="2" t="s">
        <v>12</v>
      </c>
      <c r="B1684" s="2" t="str">
        <f>HYPERLINK("http://www.12365auto.com/xcdg/20200226/419631.shtml","小改款现代KONA谍照曝光 车型获小幅升级")</f>
        <v>小改款现代KONA谍照曝光 车型获小幅升级</v>
      </c>
      <c r="C1684" s="2" t="s">
        <v>13</v>
      </c>
      <c r="D1684" s="2" t="s">
        <v>12</v>
      </c>
      <c r="E1684" s="2" t="s">
        <v>224</v>
      </c>
      <c r="F1684" s="2" t="str">
        <f>HYPERLINK("http://www.12365auto.com/xcdg/20200226/419631.shtml","http://www.12365auto.com/xcdg/20200226/419631.shtml")</f>
        <v>http://www.12365auto.com/xcdg/20200226/419631.shtml</v>
      </c>
      <c r="G1684" s="2"/>
      <c r="H1684" s="2" t="s">
        <v>2521</v>
      </c>
      <c r="I1684" s="2" t="s">
        <v>15</v>
      </c>
      <c r="J1684" s="2" t="s">
        <v>12</v>
      </c>
      <c r="K1684" s="2" t="s">
        <v>2522</v>
      </c>
      <c r="L1684" s="2">
        <f t="shared" si="26"/>
        <v>150</v>
      </c>
    </row>
    <row r="1685" spans="1:12" ht="25" customHeight="1">
      <c r="A1685" s="2" t="s">
        <v>12</v>
      </c>
      <c r="B1685" s="2" t="str">
        <f>HYPERLINK("http://m.12365auto.com/xcdg/20200226/419631.shtml","小改款现代KONA谍照曝光 车型获小幅升级")</f>
        <v>小改款现代KONA谍照曝光 车型获小幅升级</v>
      </c>
      <c r="C1685" s="2" t="s">
        <v>13</v>
      </c>
      <c r="D1685" s="2" t="s">
        <v>12</v>
      </c>
      <c r="E1685" s="2"/>
      <c r="F1685" s="2" t="str">
        <f>HYPERLINK("http://m.12365auto.com/xcdg/20200226/419631.shtml","http://m.12365auto.com/xcdg/20200226/419631.shtml")</f>
        <v>http://m.12365auto.com/xcdg/20200226/419631.shtml</v>
      </c>
      <c r="G1685" s="2"/>
      <c r="H1685" s="2" t="s">
        <v>2523</v>
      </c>
      <c r="I1685" s="2" t="s">
        <v>19</v>
      </c>
      <c r="J1685" s="2" t="s">
        <v>2509</v>
      </c>
      <c r="K1685" s="2" t="s">
        <v>2522</v>
      </c>
      <c r="L1685" s="2">
        <f t="shared" si="26"/>
        <v>150</v>
      </c>
    </row>
    <row r="1686" spans="1:12" ht="25" customHeight="1">
      <c r="A1686" s="2" t="s">
        <v>12</v>
      </c>
      <c r="B1686" s="2" t="str">
        <f>HYPERLINK("http://www.12365auto.com/news/20200226/419630.shtml","疫情影响 法拉利叫停工厂与博物馆活动")</f>
        <v>疫情影响 法拉利叫停工厂与博物馆活动</v>
      </c>
      <c r="C1686" s="2" t="s">
        <v>13</v>
      </c>
      <c r="D1686" s="2" t="s">
        <v>12</v>
      </c>
      <c r="E1686" s="2" t="s">
        <v>276</v>
      </c>
      <c r="F1686" s="2" t="str">
        <f>HYPERLINK("http://www.12365auto.com/news/20200226/419630.shtml","http://www.12365auto.com/news/20200226/419630.shtml")</f>
        <v>http://www.12365auto.com/news/20200226/419630.shtml</v>
      </c>
      <c r="G1686" s="2"/>
      <c r="H1686" s="2" t="s">
        <v>2524</v>
      </c>
      <c r="I1686" s="2" t="s">
        <v>15</v>
      </c>
      <c r="J1686" s="2" t="s">
        <v>12</v>
      </c>
      <c r="K1686" s="2" t="s">
        <v>2525</v>
      </c>
      <c r="L1686" s="2">
        <f t="shared" si="26"/>
        <v>150</v>
      </c>
    </row>
    <row r="1687" spans="1:12" ht="25" customHeight="1">
      <c r="A1687" s="2" t="s">
        <v>12</v>
      </c>
      <c r="B1687" s="2" t="str">
        <f>HYPERLINK("http://m.12365auto.com/news/20200226/419630.shtml","疫情影响 法拉利叫停工厂与博物馆活动")</f>
        <v>疫情影响 法拉利叫停工厂与博物馆活动</v>
      </c>
      <c r="C1687" s="2" t="s">
        <v>13</v>
      </c>
      <c r="D1687" s="2" t="s">
        <v>12</v>
      </c>
      <c r="E1687" s="2"/>
      <c r="F1687" s="2" t="str">
        <f>HYPERLINK("http://m.12365auto.com/news/20200226/419630.shtml","http://m.12365auto.com/news/20200226/419630.shtml")</f>
        <v>http://m.12365auto.com/news/20200226/419630.shtml</v>
      </c>
      <c r="G1687" s="2"/>
      <c r="H1687" s="2" t="s">
        <v>2526</v>
      </c>
      <c r="I1687" s="2" t="s">
        <v>19</v>
      </c>
      <c r="J1687" s="2" t="s">
        <v>2527</v>
      </c>
      <c r="K1687" s="2" t="s">
        <v>2525</v>
      </c>
      <c r="L1687" s="2">
        <f t="shared" si="26"/>
        <v>150</v>
      </c>
    </row>
    <row r="1688" spans="1:12" ht="25" customHeight="1">
      <c r="A1688" s="2" t="s">
        <v>12</v>
      </c>
      <c r="B1688" s="2" t="str">
        <f>HYPERLINK("http://www.12365auto.com/news/20200226/419629.shtml","曝大众ID.3存大量漏洞 或推迟交付")</f>
        <v>曝大众ID.3存大量漏洞 或推迟交付</v>
      </c>
      <c r="C1688" s="2" t="s">
        <v>13</v>
      </c>
      <c r="D1688" s="2" t="s">
        <v>12</v>
      </c>
      <c r="E1688" s="2" t="s">
        <v>276</v>
      </c>
      <c r="F1688" s="2" t="str">
        <f>HYPERLINK("http://www.12365auto.com/news/20200226/419629.shtml","http://www.12365auto.com/news/20200226/419629.shtml")</f>
        <v>http://www.12365auto.com/news/20200226/419629.shtml</v>
      </c>
      <c r="G1688" s="2"/>
      <c r="H1688" s="2" t="s">
        <v>2528</v>
      </c>
      <c r="I1688" s="2" t="s">
        <v>15</v>
      </c>
      <c r="J1688" s="2" t="s">
        <v>12</v>
      </c>
      <c r="K1688" s="2" t="s">
        <v>2529</v>
      </c>
      <c r="L1688" s="2">
        <f t="shared" si="26"/>
        <v>150</v>
      </c>
    </row>
    <row r="1689" spans="1:12" ht="25" customHeight="1">
      <c r="A1689" s="2" t="s">
        <v>12</v>
      </c>
      <c r="B1689" s="2" t="str">
        <f>HYPERLINK("http://m.12365auto.com/news/20200226/419629.shtml","曝大众ID.3存大量漏洞 或推迟交付")</f>
        <v>曝大众ID.3存大量漏洞 或推迟交付</v>
      </c>
      <c r="C1689" s="2" t="s">
        <v>13</v>
      </c>
      <c r="D1689" s="2" t="s">
        <v>12</v>
      </c>
      <c r="E1689" s="2"/>
      <c r="F1689" s="2" t="str">
        <f>HYPERLINK("http://m.12365auto.com/news/20200226/419629.shtml","http://m.12365auto.com/news/20200226/419629.shtml")</f>
        <v>http://m.12365auto.com/news/20200226/419629.shtml</v>
      </c>
      <c r="G1689" s="2"/>
      <c r="H1689" s="2" t="s">
        <v>2530</v>
      </c>
      <c r="I1689" s="2" t="s">
        <v>19</v>
      </c>
      <c r="J1689" s="2" t="s">
        <v>2527</v>
      </c>
      <c r="K1689" s="2" t="s">
        <v>2529</v>
      </c>
      <c r="L1689" s="2">
        <f t="shared" si="26"/>
        <v>150</v>
      </c>
    </row>
    <row r="1690" spans="1:12" ht="25" customHeight="1">
      <c r="A1690" s="2" t="s">
        <v>12</v>
      </c>
      <c r="B1690" s="2" t="str">
        <f>HYPERLINK("http://www.12365auto.com/news/20200226/419628.shtml","特斯拉皮卡主动悬挂系统疑似抄袭Ram 1500")</f>
        <v>特斯拉皮卡主动悬挂系统疑似抄袭Ram 1500</v>
      </c>
      <c r="C1690" s="2" t="s">
        <v>13</v>
      </c>
      <c r="D1690" s="2" t="s">
        <v>12</v>
      </c>
      <c r="E1690" s="2" t="s">
        <v>276</v>
      </c>
      <c r="F1690" s="2" t="str">
        <f>HYPERLINK("http://www.12365auto.com/news/20200226/419628.shtml","http://www.12365auto.com/news/20200226/419628.shtml")</f>
        <v>http://www.12365auto.com/news/20200226/419628.shtml</v>
      </c>
      <c r="G1690" s="2"/>
      <c r="H1690" s="2" t="s">
        <v>2531</v>
      </c>
      <c r="I1690" s="2" t="s">
        <v>15</v>
      </c>
      <c r="J1690" s="2" t="s">
        <v>12</v>
      </c>
      <c r="K1690" s="2" t="s">
        <v>2532</v>
      </c>
      <c r="L1690" s="2">
        <f t="shared" si="26"/>
        <v>150</v>
      </c>
    </row>
    <row r="1691" spans="1:12" ht="25" customHeight="1">
      <c r="A1691" s="2" t="s">
        <v>12</v>
      </c>
      <c r="B1691" s="2" t="str">
        <f>HYPERLINK("http://www.12365auto.com/zlts/20200226/448819.shtml","东风日产思域油箱盖锁异响 方向盘跑偏")</f>
        <v>东风日产思域油箱盖锁异响 方向盘跑偏</v>
      </c>
      <c r="C1691" s="2" t="s">
        <v>13</v>
      </c>
      <c r="D1691" s="2" t="s">
        <v>12</v>
      </c>
      <c r="E1691" s="2" t="s">
        <v>17</v>
      </c>
      <c r="F1691" s="2" t="str">
        <f>HYPERLINK("http://www.12365auto.com/zlts/20200226/448819.shtml","http://www.12365auto.com/zlts/20200226/448819.shtml")</f>
        <v>http://www.12365auto.com/zlts/20200226/448819.shtml</v>
      </c>
      <c r="G1691" s="2"/>
      <c r="H1691" s="2" t="s">
        <v>2533</v>
      </c>
      <c r="I1691" s="2" t="s">
        <v>19</v>
      </c>
      <c r="J1691" s="2" t="s">
        <v>12</v>
      </c>
      <c r="K1691" s="2" t="s">
        <v>2532</v>
      </c>
      <c r="L1691" s="2">
        <f t="shared" si="26"/>
        <v>150</v>
      </c>
    </row>
    <row r="1692" spans="1:12" ht="25" customHeight="1">
      <c r="A1692" s="2" t="s">
        <v>12</v>
      </c>
      <c r="B1692" s="2" t="str">
        <f>HYPERLINK("http://m.12365auto.com/news/20200226/419628.shtml","特斯拉皮卡主动悬挂系统疑似抄袭Ram 1500")</f>
        <v>特斯拉皮卡主动悬挂系统疑似抄袭Ram 1500</v>
      </c>
      <c r="C1692" s="2" t="s">
        <v>13</v>
      </c>
      <c r="D1692" s="2" t="s">
        <v>12</v>
      </c>
      <c r="E1692" s="2"/>
      <c r="F1692" s="2" t="str">
        <f>HYPERLINK("http://m.12365auto.com/news/20200226/419628.shtml","http://m.12365auto.com/news/20200226/419628.shtml")</f>
        <v>http://m.12365auto.com/news/20200226/419628.shtml</v>
      </c>
      <c r="G1692" s="2"/>
      <c r="H1692" s="2" t="s">
        <v>2534</v>
      </c>
      <c r="I1692" s="2" t="s">
        <v>19</v>
      </c>
      <c r="J1692" s="2" t="s">
        <v>958</v>
      </c>
      <c r="K1692" s="2" t="s">
        <v>2532</v>
      </c>
      <c r="L1692" s="2">
        <f t="shared" si="26"/>
        <v>150</v>
      </c>
    </row>
    <row r="1693" spans="1:12" ht="25" customHeight="1">
      <c r="A1693" s="2" t="s">
        <v>12</v>
      </c>
      <c r="B1693" s="2" t="str">
        <f>HYPERLINK("http://www.12365auto.com/zlts/20200226/448818.shtml","北汽绅宝X25发动机漏油希望尽快处理")</f>
        <v>北汽绅宝X25发动机漏油希望尽快处理</v>
      </c>
      <c r="C1693" s="2" t="s">
        <v>13</v>
      </c>
      <c r="D1693" s="2" t="s">
        <v>12</v>
      </c>
      <c r="E1693" s="2" t="s">
        <v>17</v>
      </c>
      <c r="F1693" s="2" t="str">
        <f>HYPERLINK("http://www.12365auto.com/zlts/20200226/448818.shtml","http://www.12365auto.com/zlts/20200226/448818.shtml")</f>
        <v>http://www.12365auto.com/zlts/20200226/448818.shtml</v>
      </c>
      <c r="G1693" s="2"/>
      <c r="H1693" s="2" t="s">
        <v>2535</v>
      </c>
      <c r="I1693" s="2" t="s">
        <v>19</v>
      </c>
      <c r="J1693" s="2" t="s">
        <v>12</v>
      </c>
      <c r="K1693" s="2" t="s">
        <v>2536</v>
      </c>
      <c r="L1693" s="2">
        <f t="shared" si="26"/>
        <v>150</v>
      </c>
    </row>
    <row r="1694" spans="1:12" ht="25" customHeight="1">
      <c r="A1694" s="2" t="s">
        <v>12</v>
      </c>
      <c r="B1694" s="2" t="str">
        <f>HYPERLINK("http://m.12365auto.com/news/20200226/419627.shtml","无需安全员 Cruise开启“无人”路测")</f>
        <v>无需安全员 Cruise开启“无人”路测</v>
      </c>
      <c r="C1694" s="2" t="s">
        <v>13</v>
      </c>
      <c r="D1694" s="2" t="s">
        <v>12</v>
      </c>
      <c r="E1694" s="2"/>
      <c r="F1694" s="2" t="str">
        <f>HYPERLINK("http://m.12365auto.com/news/20200226/419627.shtml","http://m.12365auto.com/news/20200226/419627.shtml")</f>
        <v>http://m.12365auto.com/news/20200226/419627.shtml</v>
      </c>
      <c r="G1694" s="2"/>
      <c r="H1694" s="2" t="s">
        <v>2537</v>
      </c>
      <c r="I1694" s="2" t="s">
        <v>19</v>
      </c>
      <c r="J1694" s="2" t="s">
        <v>1543</v>
      </c>
      <c r="K1694" s="2" t="s">
        <v>2538</v>
      </c>
      <c r="L1694" s="2">
        <f t="shared" si="26"/>
        <v>150</v>
      </c>
    </row>
    <row r="1695" spans="1:12" ht="25" customHeight="1">
      <c r="A1695" s="2" t="s">
        <v>12</v>
      </c>
      <c r="B1695" s="2" t="str">
        <f>HYPERLINK("http://www.12365auto.com/news/20200226/419627.shtml","无需安全员 Cruise开启“无人”路测")</f>
        <v>无需安全员 Cruise开启“无人”路测</v>
      </c>
      <c r="C1695" s="2" t="s">
        <v>13</v>
      </c>
      <c r="D1695" s="2" t="s">
        <v>12</v>
      </c>
      <c r="E1695" s="2" t="s">
        <v>276</v>
      </c>
      <c r="F1695" s="2" t="str">
        <f>HYPERLINK("http://www.12365auto.com/news/20200226/419627.shtml","http://www.12365auto.com/news/20200226/419627.shtml")</f>
        <v>http://www.12365auto.com/news/20200226/419627.shtml</v>
      </c>
      <c r="G1695" s="2"/>
      <c r="H1695" s="2" t="s">
        <v>2539</v>
      </c>
      <c r="I1695" s="2" t="s">
        <v>15</v>
      </c>
      <c r="J1695" s="2" t="s">
        <v>12</v>
      </c>
      <c r="K1695" s="2" t="s">
        <v>2538</v>
      </c>
      <c r="L1695" s="2">
        <f t="shared" si="26"/>
        <v>150</v>
      </c>
    </row>
    <row r="1696" spans="1:12" ht="25" customHeight="1">
      <c r="A1696" s="2" t="s">
        <v>12</v>
      </c>
      <c r="B1696" s="2" t="str">
        <f>HYPERLINK("http://m.12365auto.com/zjdy/20200226/121658.shtml","20万预算买哪款中级轿车比较推荐？")</f>
        <v>20万预算买哪款中级轿车比较推荐？</v>
      </c>
      <c r="C1696" s="2" t="s">
        <v>13</v>
      </c>
      <c r="D1696" s="2" t="s">
        <v>12</v>
      </c>
      <c r="E1696" s="2"/>
      <c r="F1696" s="2" t="str">
        <f>HYPERLINK("http://m.12365auto.com/zjdy/20200226/121658.shtml","http://m.12365auto.com/zjdy/20200226/121658.shtml")</f>
        <v>http://m.12365auto.com/zjdy/20200226/121658.shtml</v>
      </c>
      <c r="G1696" s="2"/>
      <c r="H1696" s="2" t="s">
        <v>2540</v>
      </c>
      <c r="I1696" s="2" t="s">
        <v>19</v>
      </c>
      <c r="J1696" s="2" t="s">
        <v>12</v>
      </c>
      <c r="K1696" s="2" t="s">
        <v>2541</v>
      </c>
      <c r="L1696" s="2">
        <f t="shared" si="26"/>
        <v>32</v>
      </c>
    </row>
    <row r="1697" spans="1:12" ht="25" customHeight="1">
      <c r="A1697" s="2" t="s">
        <v>12</v>
      </c>
      <c r="B1697" s="2" t="str">
        <f>HYPERLINK("http://www.12365auto.com/zlts/20200226/448817.shtml","一汽大众宝来后备箱异响影响正常行驶")</f>
        <v>一汽大众宝来后备箱异响影响正常行驶</v>
      </c>
      <c r="C1697" s="2" t="s">
        <v>13</v>
      </c>
      <c r="D1697" s="2" t="s">
        <v>12</v>
      </c>
      <c r="E1697" s="2" t="s">
        <v>17</v>
      </c>
      <c r="F1697" s="2" t="str">
        <f>HYPERLINK("http://www.12365auto.com/zlts/20200226/448817.shtml","http://www.12365auto.com/zlts/20200226/448817.shtml")</f>
        <v>http://www.12365auto.com/zlts/20200226/448817.shtml</v>
      </c>
      <c r="G1697" s="2"/>
      <c r="H1697" s="2" t="s">
        <v>2542</v>
      </c>
      <c r="I1697" s="2" t="s">
        <v>19</v>
      </c>
      <c r="J1697" s="2" t="s">
        <v>12</v>
      </c>
      <c r="K1697" s="2" t="s">
        <v>2543</v>
      </c>
      <c r="L1697" s="2">
        <f t="shared" si="26"/>
        <v>150</v>
      </c>
    </row>
    <row r="1698" spans="1:12" ht="25" customHeight="1">
      <c r="A1698" s="2" t="s">
        <v>12</v>
      </c>
      <c r="B1698" s="2" t="str">
        <f>HYPERLINK("http://m.12365auto.com/news/20200226/419626.shtml","2019年FCA首席执行官年薪达1330万欧元")</f>
        <v>2019年FCA首席执行官年薪达1330万欧元</v>
      </c>
      <c r="C1698" s="2" t="s">
        <v>13</v>
      </c>
      <c r="D1698" s="2" t="s">
        <v>12</v>
      </c>
      <c r="E1698" s="2"/>
      <c r="F1698" s="2" t="str">
        <f>HYPERLINK("http://m.12365auto.com/news/20200226/419626.shtml","http://m.12365auto.com/news/20200226/419626.shtml")</f>
        <v>http://m.12365auto.com/news/20200226/419626.shtml</v>
      </c>
      <c r="G1698" s="2"/>
      <c r="H1698" s="2" t="s">
        <v>2544</v>
      </c>
      <c r="I1698" s="2" t="s">
        <v>19</v>
      </c>
      <c r="J1698" s="2" t="s">
        <v>1059</v>
      </c>
      <c r="K1698" s="2" t="s">
        <v>2545</v>
      </c>
      <c r="L1698" s="2">
        <f t="shared" si="26"/>
        <v>150</v>
      </c>
    </row>
    <row r="1699" spans="1:12" ht="25" customHeight="1">
      <c r="A1699" s="2" t="s">
        <v>12</v>
      </c>
      <c r="B1699" s="2" t="str">
        <f>HYPERLINK("http://www.12365auto.com/news/20200226/419626.shtml","2019年FCA首席执行官年薪达1330万欧元")</f>
        <v>2019年FCA首席执行官年薪达1330万欧元</v>
      </c>
      <c r="C1699" s="2" t="s">
        <v>13</v>
      </c>
      <c r="D1699" s="2" t="s">
        <v>12</v>
      </c>
      <c r="E1699" s="2" t="s">
        <v>276</v>
      </c>
      <c r="F1699" s="2" t="str">
        <f>HYPERLINK("http://www.12365auto.com/news/20200226/419626.shtml","http://www.12365auto.com/news/20200226/419626.shtml")</f>
        <v>http://www.12365auto.com/news/20200226/419626.shtml</v>
      </c>
      <c r="G1699" s="2"/>
      <c r="H1699" s="2" t="s">
        <v>2546</v>
      </c>
      <c r="I1699" s="2" t="s">
        <v>15</v>
      </c>
      <c r="J1699" s="2" t="s">
        <v>12</v>
      </c>
      <c r="K1699" s="2" t="s">
        <v>2545</v>
      </c>
      <c r="L1699" s="2">
        <f t="shared" si="26"/>
        <v>150</v>
      </c>
    </row>
    <row r="1700" spans="1:12" ht="25" customHeight="1">
      <c r="A1700" s="2" t="s">
        <v>12</v>
      </c>
      <c r="B1700" s="2" t="str">
        <f>HYPERLINK("http://m.12365auto.com/xcdg/20200226/419625.shtml","科技改变生活 全新路虎发现运动版")</f>
        <v>科技改变生活 全新路虎发现运动版</v>
      </c>
      <c r="C1700" s="2" t="s">
        <v>13</v>
      </c>
      <c r="D1700" s="2" t="s">
        <v>12</v>
      </c>
      <c r="E1700" s="2"/>
      <c r="F1700" s="2" t="str">
        <f>HYPERLINK("http://m.12365auto.com/xcdg/20200226/419625.shtml","http://m.12365auto.com/xcdg/20200226/419625.shtml")</f>
        <v>http://m.12365auto.com/xcdg/20200226/419625.shtml</v>
      </c>
      <c r="G1700" s="2"/>
      <c r="H1700" s="2" t="s">
        <v>2547</v>
      </c>
      <c r="I1700" s="2" t="s">
        <v>19</v>
      </c>
      <c r="J1700" s="2" t="s">
        <v>1054</v>
      </c>
      <c r="K1700" s="2" t="s">
        <v>2548</v>
      </c>
      <c r="L1700" s="2">
        <f t="shared" si="26"/>
        <v>150</v>
      </c>
    </row>
    <row r="1701" spans="1:12" ht="25" customHeight="1">
      <c r="A1701" s="2" t="s">
        <v>12</v>
      </c>
      <c r="B1701" s="2" t="str">
        <f>HYPERLINK("http://www.12365auto.com/zlts/20200226/448816.shtml","中华H530经销商销售库存车涉嫌欺诈")</f>
        <v>中华H530经销商销售库存车涉嫌欺诈</v>
      </c>
      <c r="C1701" s="2" t="s">
        <v>13</v>
      </c>
      <c r="D1701" s="2" t="s">
        <v>12</v>
      </c>
      <c r="E1701" s="2" t="s">
        <v>17</v>
      </c>
      <c r="F1701" s="2" t="str">
        <f>HYPERLINK("http://www.12365auto.com/zlts/20200226/448816.shtml","http://www.12365auto.com/zlts/20200226/448816.shtml")</f>
        <v>http://www.12365auto.com/zlts/20200226/448816.shtml</v>
      </c>
      <c r="G1701" s="2"/>
      <c r="H1701" s="2" t="s">
        <v>2549</v>
      </c>
      <c r="I1701" s="2" t="s">
        <v>19</v>
      </c>
      <c r="J1701" s="2" t="s">
        <v>12</v>
      </c>
      <c r="K1701" s="2" t="s">
        <v>2548</v>
      </c>
      <c r="L1701" s="2">
        <f t="shared" si="26"/>
        <v>150</v>
      </c>
    </row>
    <row r="1702" spans="1:12" ht="25" customHeight="1">
      <c r="A1702" s="2" t="s">
        <v>12</v>
      </c>
      <c r="B1702" s="2" t="str">
        <f>HYPERLINK("http://www.12365auto.com/zlts/20200226/448815.shtml","吉利帝豪车机系统应用商店无显示")</f>
        <v>吉利帝豪车机系统应用商店无显示</v>
      </c>
      <c r="C1702" s="2" t="s">
        <v>13</v>
      </c>
      <c r="D1702" s="2" t="s">
        <v>12</v>
      </c>
      <c r="E1702" s="2" t="s">
        <v>17</v>
      </c>
      <c r="F1702" s="2" t="str">
        <f>HYPERLINK("http://www.12365auto.com/zlts/20200226/448815.shtml","http://www.12365auto.com/zlts/20200226/448815.shtml")</f>
        <v>http://www.12365auto.com/zlts/20200226/448815.shtml</v>
      </c>
      <c r="G1702" s="2"/>
      <c r="H1702" s="2" t="s">
        <v>2550</v>
      </c>
      <c r="I1702" s="2" t="s">
        <v>19</v>
      </c>
      <c r="J1702" s="2" t="s">
        <v>12</v>
      </c>
      <c r="K1702" s="2" t="s">
        <v>2548</v>
      </c>
      <c r="L1702" s="2">
        <f t="shared" si="26"/>
        <v>150</v>
      </c>
    </row>
    <row r="1703" spans="1:12" ht="25" customHeight="1">
      <c r="A1703" s="2" t="s">
        <v>12</v>
      </c>
      <c r="B1703" s="2" t="str">
        <f>HYPERLINK("http://m.12365auto.com/scbg/20200226/419624.shtml","试驾新款宝沃BX7 一款德味十足的SUV")</f>
        <v>试驾新款宝沃BX7 一款德味十足的SUV</v>
      </c>
      <c r="C1703" s="2" t="s">
        <v>13</v>
      </c>
      <c r="D1703" s="2" t="s">
        <v>12</v>
      </c>
      <c r="E1703" s="2"/>
      <c r="F1703" s="2" t="str">
        <f>HYPERLINK("http://m.12365auto.com/scbg/20200226/419624.shtml","http://m.12365auto.com/scbg/20200226/419624.shtml")</f>
        <v>http://m.12365auto.com/scbg/20200226/419624.shtml</v>
      </c>
      <c r="G1703" s="2"/>
      <c r="H1703" s="2" t="s">
        <v>2551</v>
      </c>
      <c r="I1703" s="2" t="s">
        <v>19</v>
      </c>
      <c r="J1703" s="2" t="s">
        <v>2552</v>
      </c>
      <c r="K1703" s="2" t="s">
        <v>2553</v>
      </c>
      <c r="L1703" s="2">
        <f t="shared" si="26"/>
        <v>150</v>
      </c>
    </row>
    <row r="1704" spans="1:12" ht="25" customHeight="1">
      <c r="A1704" s="2" t="s">
        <v>12</v>
      </c>
      <c r="B1704" s="2" t="str">
        <f>HYPERLINK("http://www.12365auto.com/scbg/20200226/419624.shtml","试驾新款宝沃BX7 一款德味十足的SUV")</f>
        <v>试驾新款宝沃BX7 一款德味十足的SUV</v>
      </c>
      <c r="C1704" s="2" t="s">
        <v>13</v>
      </c>
      <c r="D1704" s="2" t="s">
        <v>12</v>
      </c>
      <c r="E1704" s="2" t="s">
        <v>1548</v>
      </c>
      <c r="F1704" s="2" t="str">
        <f>HYPERLINK("http://www.12365auto.com/scbg/20200226/419624.shtml","http://www.12365auto.com/scbg/20200226/419624.shtml")</f>
        <v>http://www.12365auto.com/scbg/20200226/419624.shtml</v>
      </c>
      <c r="G1704" s="2"/>
      <c r="H1704" s="2" t="s">
        <v>2554</v>
      </c>
      <c r="I1704" s="2" t="s">
        <v>15</v>
      </c>
      <c r="J1704" s="2" t="s">
        <v>12</v>
      </c>
      <c r="K1704" s="2" t="s">
        <v>2553</v>
      </c>
      <c r="L1704" s="2">
        <f t="shared" si="26"/>
        <v>150</v>
      </c>
    </row>
    <row r="1705" spans="1:12" ht="25" customHeight="1">
      <c r="A1705" s="2" t="s">
        <v>12</v>
      </c>
      <c r="B1705" s="2" t="str">
        <f>HYPERLINK("http://www.12365auto.com/zlts/20200226/448813.shtml","长安睿骋CC发动机冷却液泄漏 行驶时异响")</f>
        <v>长安睿骋CC发动机冷却液泄漏 行驶时异响</v>
      </c>
      <c r="C1705" s="2" t="s">
        <v>13</v>
      </c>
      <c r="D1705" s="2" t="s">
        <v>12</v>
      </c>
      <c r="E1705" s="2" t="s">
        <v>17</v>
      </c>
      <c r="F1705" s="2" t="str">
        <f>HYPERLINK("http://www.12365auto.com/zlts/20200226/448813.shtml","http://www.12365auto.com/zlts/20200226/448813.shtml")</f>
        <v>http://www.12365auto.com/zlts/20200226/448813.shtml</v>
      </c>
      <c r="G1705" s="2"/>
      <c r="H1705" s="2" t="s">
        <v>2555</v>
      </c>
      <c r="I1705" s="2" t="s">
        <v>15</v>
      </c>
      <c r="J1705" s="2" t="s">
        <v>12</v>
      </c>
      <c r="K1705" s="2" t="s">
        <v>2556</v>
      </c>
      <c r="L1705" s="2">
        <f t="shared" si="26"/>
        <v>150</v>
      </c>
    </row>
    <row r="1706" spans="1:12" ht="25" customHeight="1">
      <c r="A1706" s="2" t="s">
        <v>12</v>
      </c>
      <c r="B1706" s="2" t="str">
        <f>HYPERLINK("http://www.12365auto.com/news/20200226/419623.shtml","美《消费者报告》发布2020汽车品牌排名")</f>
        <v>美《消费者报告》发布2020汽车品牌排名</v>
      </c>
      <c r="C1706" s="2" t="s">
        <v>13</v>
      </c>
      <c r="D1706" s="2" t="s">
        <v>12</v>
      </c>
      <c r="E1706" s="2" t="s">
        <v>276</v>
      </c>
      <c r="F1706" s="2" t="str">
        <f>HYPERLINK("http://www.12365auto.com/news/20200226/419623.shtml","http://www.12365auto.com/news/20200226/419623.shtml")</f>
        <v>http://www.12365auto.com/news/20200226/419623.shtml</v>
      </c>
      <c r="G1706" s="2"/>
      <c r="H1706" s="2" t="s">
        <v>2557</v>
      </c>
      <c r="I1706" s="2" t="s">
        <v>15</v>
      </c>
      <c r="J1706" s="2" t="s">
        <v>12</v>
      </c>
      <c r="K1706" s="2" t="s">
        <v>2558</v>
      </c>
      <c r="L1706" s="2">
        <f t="shared" si="26"/>
        <v>150</v>
      </c>
    </row>
    <row r="1707" spans="1:12" ht="25" customHeight="1">
      <c r="A1707" s="2" t="s">
        <v>12</v>
      </c>
      <c r="B1707" s="2" t="str">
        <f>HYPERLINK("http://m.12365auto.com/news/20200226/419623.shtml","美《消费者报告》发布2020汽车品牌排名")</f>
        <v>美《消费者报告》发布2020汽车品牌排名</v>
      </c>
      <c r="C1707" s="2" t="s">
        <v>13</v>
      </c>
      <c r="D1707" s="2" t="s">
        <v>12</v>
      </c>
      <c r="E1707" s="2"/>
      <c r="F1707" s="2" t="str">
        <f>HYPERLINK("http://m.12365auto.com/news/20200226/419623.shtml","http://m.12365auto.com/news/20200226/419623.shtml")</f>
        <v>http://m.12365auto.com/news/20200226/419623.shtml</v>
      </c>
      <c r="G1707" s="2"/>
      <c r="H1707" s="2" t="s">
        <v>2559</v>
      </c>
      <c r="I1707" s="2" t="s">
        <v>19</v>
      </c>
      <c r="J1707" s="2" t="s">
        <v>2560</v>
      </c>
      <c r="K1707" s="2" t="s">
        <v>2558</v>
      </c>
      <c r="L1707" s="2">
        <f t="shared" si="26"/>
        <v>150</v>
      </c>
    </row>
    <row r="1708" spans="1:12" ht="25" customHeight="1">
      <c r="A1708" s="2" t="s">
        <v>12</v>
      </c>
      <c r="B1708" s="2" t="str">
        <f>HYPERLINK("http://www.12365auto.com/zlts/20200226/448812.shtml","水泵坏了，要求更换")</f>
        <v>水泵坏了，要求更换</v>
      </c>
      <c r="C1708" s="2" t="s">
        <v>13</v>
      </c>
      <c r="D1708" s="2" t="s">
        <v>12</v>
      </c>
      <c r="E1708" s="2"/>
      <c r="F1708" s="2" t="str">
        <f>HYPERLINK("http://www.12365auto.com/zlts/20200226/448812.shtml","http://www.12365auto.com/zlts/20200226/448812.shtml")</f>
        <v>http://www.12365auto.com/zlts/20200226/448812.shtml</v>
      </c>
      <c r="G1708" s="2"/>
      <c r="H1708" s="3" t="s">
        <v>2561</v>
      </c>
      <c r="I1708" s="2" t="s">
        <v>15</v>
      </c>
      <c r="J1708" s="2" t="s">
        <v>12</v>
      </c>
      <c r="K1708" s="2" t="s">
        <v>2562</v>
      </c>
      <c r="L1708" s="2">
        <f t="shared" si="26"/>
        <v>103</v>
      </c>
    </row>
    <row r="1709" spans="1:12" ht="25" customHeight="1">
      <c r="A1709" s="2" t="s">
        <v>12</v>
      </c>
      <c r="B1709" s="2" t="str">
        <f>HYPERLINK("http://m.12365auto.com/xcdg/20200226/419622.shtml","动力超600匹 曝阿尔法·罗密欧Giulia新车")</f>
        <v>动力超600匹 曝阿尔法·罗密欧Giulia新车</v>
      </c>
      <c r="C1709" s="2" t="s">
        <v>13</v>
      </c>
      <c r="D1709" s="2" t="s">
        <v>12</v>
      </c>
      <c r="E1709" s="2"/>
      <c r="F1709" s="2" t="str">
        <f>HYPERLINK("http://m.12365auto.com/xcdg/20200226/419622.shtml","http://m.12365auto.com/xcdg/20200226/419622.shtml")</f>
        <v>http://m.12365auto.com/xcdg/20200226/419622.shtml</v>
      </c>
      <c r="G1709" s="2"/>
      <c r="H1709" s="2" t="s">
        <v>2563</v>
      </c>
      <c r="I1709" s="2" t="s">
        <v>19</v>
      </c>
      <c r="J1709" s="2" t="s">
        <v>1069</v>
      </c>
      <c r="K1709" s="2" t="s">
        <v>2564</v>
      </c>
      <c r="L1709" s="2">
        <f t="shared" si="26"/>
        <v>150</v>
      </c>
    </row>
    <row r="1710" spans="1:12" ht="25" customHeight="1">
      <c r="A1710" s="2" t="s">
        <v>12</v>
      </c>
      <c r="B1710" s="2" t="str">
        <f>HYPERLINK("http://www.12365auto.com/xcdg/20200226/419622.shtml","动力超600匹 曝阿尔法·罗密欧Giulia新车")</f>
        <v>动力超600匹 曝阿尔法·罗密欧Giulia新车</v>
      </c>
      <c r="C1710" s="2" t="s">
        <v>13</v>
      </c>
      <c r="D1710" s="2" t="s">
        <v>12</v>
      </c>
      <c r="E1710" s="2" t="s">
        <v>216</v>
      </c>
      <c r="F1710" s="2" t="str">
        <f>HYPERLINK("http://www.12365auto.com/xcdg/20200226/419622.shtml","http://www.12365auto.com/xcdg/20200226/419622.shtml")</f>
        <v>http://www.12365auto.com/xcdg/20200226/419622.shtml</v>
      </c>
      <c r="G1710" s="2"/>
      <c r="H1710" s="2" t="s">
        <v>2565</v>
      </c>
      <c r="I1710" s="2" t="s">
        <v>15</v>
      </c>
      <c r="J1710" s="2" t="s">
        <v>12</v>
      </c>
      <c r="K1710" s="2" t="s">
        <v>2564</v>
      </c>
      <c r="L1710" s="2">
        <f t="shared" si="26"/>
        <v>150</v>
      </c>
    </row>
    <row r="1711" spans="1:12" ht="25" customHeight="1">
      <c r="A1711" s="2" t="s">
        <v>12</v>
      </c>
      <c r="B1711" s="2" t="s">
        <v>2566</v>
      </c>
      <c r="C1711" s="2" t="s">
        <v>13</v>
      </c>
      <c r="D1711" s="2" t="s">
        <v>12</v>
      </c>
      <c r="E1711" s="2" t="s">
        <v>224</v>
      </c>
      <c r="F1711" s="2" t="str">
        <f>HYPERLINK("http://www.12365auto.com/xcdg/20200226/419621.shtml","http://www.12365auto.com/xcdg/20200226/419621.shtml")</f>
        <v>http://www.12365auto.com/xcdg/20200226/419621.shtml</v>
      </c>
      <c r="G1711" s="2"/>
      <c r="H1711" s="2" t="s">
        <v>2567</v>
      </c>
      <c r="I1711" s="2" t="s">
        <v>15</v>
      </c>
      <c r="J1711" s="2" t="s">
        <v>12</v>
      </c>
      <c r="K1711" s="2" t="s">
        <v>2568</v>
      </c>
      <c r="L1711" s="2">
        <f t="shared" si="26"/>
        <v>150</v>
      </c>
    </row>
    <row r="1712" spans="1:12" ht="25" customHeight="1">
      <c r="A1712" s="2" t="s">
        <v>12</v>
      </c>
      <c r="B1712" s="2" t="s">
        <v>2566</v>
      </c>
      <c r="C1712" s="2" t="s">
        <v>13</v>
      </c>
      <c r="D1712" s="2" t="s">
        <v>12</v>
      </c>
      <c r="E1712" s="2"/>
      <c r="F1712" s="2" t="str">
        <f>HYPERLINK("http://m.12365auto.com/xcdg/20200226/419621.shtml","http://m.12365auto.com/xcdg/20200226/419621.shtml")</f>
        <v>http://m.12365auto.com/xcdg/20200226/419621.shtml</v>
      </c>
      <c r="G1712" s="2"/>
      <c r="H1712" s="2" t="s">
        <v>2569</v>
      </c>
      <c r="I1712" s="2" t="s">
        <v>19</v>
      </c>
      <c r="J1712" s="2" t="s">
        <v>2570</v>
      </c>
      <c r="K1712" s="2" t="s">
        <v>2568</v>
      </c>
      <c r="L1712" s="2">
        <f t="shared" si="26"/>
        <v>150</v>
      </c>
    </row>
    <row r="1713" spans="1:12" ht="25" customHeight="1">
      <c r="A1713" s="2" t="s">
        <v>12</v>
      </c>
      <c r="B1713" s="2" t="str">
        <f>HYPERLINK("http://m.12365auto.com/xcdg/20200226/419620.shtml","LaFerrari继任？法拉利新超跑效果图曝光")</f>
        <v>LaFerrari继任？法拉利新超跑效果图曝光</v>
      </c>
      <c r="C1713" s="2" t="s">
        <v>13</v>
      </c>
      <c r="D1713" s="2" t="s">
        <v>12</v>
      </c>
      <c r="E1713" s="2"/>
      <c r="F1713" s="2" t="str">
        <f>HYPERLINK("http://m.12365auto.com/xcdg/20200226/419620.shtml","http://m.12365auto.com/xcdg/20200226/419620.shtml")</f>
        <v>http://m.12365auto.com/xcdg/20200226/419620.shtml</v>
      </c>
      <c r="G1713" s="2"/>
      <c r="H1713" s="2" t="s">
        <v>2571</v>
      </c>
      <c r="I1713" s="2" t="s">
        <v>19</v>
      </c>
      <c r="J1713" s="2" t="s">
        <v>2572</v>
      </c>
      <c r="K1713" s="2" t="s">
        <v>2573</v>
      </c>
      <c r="L1713" s="2">
        <f t="shared" si="26"/>
        <v>150</v>
      </c>
    </row>
    <row r="1714" spans="1:12" ht="25" customHeight="1">
      <c r="A1714" s="2" t="s">
        <v>12</v>
      </c>
      <c r="B1714" s="2" t="str">
        <f>HYPERLINK("http://www.12365auto.com/xcdg/20200226/419620.shtml","LaFerrari继任？法拉利新超跑效果图曝光")</f>
        <v>LaFerrari继任？法拉利新超跑效果图曝光</v>
      </c>
      <c r="C1714" s="2" t="s">
        <v>13</v>
      </c>
      <c r="D1714" s="2" t="s">
        <v>12</v>
      </c>
      <c r="E1714" s="2" t="s">
        <v>216</v>
      </c>
      <c r="F1714" s="2" t="str">
        <f>HYPERLINK("http://www.12365auto.com/xcdg/20200226/419620.shtml","http://www.12365auto.com/xcdg/20200226/419620.shtml")</f>
        <v>http://www.12365auto.com/xcdg/20200226/419620.shtml</v>
      </c>
      <c r="G1714" s="2"/>
      <c r="H1714" s="2" t="s">
        <v>2574</v>
      </c>
      <c r="I1714" s="2" t="s">
        <v>15</v>
      </c>
      <c r="J1714" s="2" t="s">
        <v>12</v>
      </c>
      <c r="K1714" s="2" t="s">
        <v>2573</v>
      </c>
      <c r="L1714" s="2">
        <f t="shared" si="26"/>
        <v>150</v>
      </c>
    </row>
    <row r="1715" spans="1:12" ht="25" customHeight="1">
      <c r="A1715" s="2" t="s">
        <v>12</v>
      </c>
      <c r="B1715" s="2" t="str">
        <f>HYPERLINK("http://m.12365auto.com/xcdg/20200226/419619.shtml","只有1000辆可享受特权 日产推聆风限量版")</f>
        <v>只有1000辆可享受特权 日产推聆风限量版</v>
      </c>
      <c r="C1715" s="2" t="s">
        <v>13</v>
      </c>
      <c r="D1715" s="2" t="s">
        <v>12</v>
      </c>
      <c r="E1715" s="2"/>
      <c r="F1715" s="2" t="str">
        <f>HYPERLINK("http://m.12365auto.com/xcdg/20200226/419619.shtml","http://m.12365auto.com/xcdg/20200226/419619.shtml")</f>
        <v>http://m.12365auto.com/xcdg/20200226/419619.shtml</v>
      </c>
      <c r="G1715" s="2"/>
      <c r="H1715" s="2" t="s">
        <v>2575</v>
      </c>
      <c r="I1715" s="2" t="s">
        <v>19</v>
      </c>
      <c r="J1715" s="2" t="s">
        <v>1623</v>
      </c>
      <c r="K1715" s="2" t="s">
        <v>2576</v>
      </c>
      <c r="L1715" s="2">
        <f t="shared" si="26"/>
        <v>150</v>
      </c>
    </row>
    <row r="1716" spans="1:12" ht="25" customHeight="1">
      <c r="A1716" s="2" t="s">
        <v>12</v>
      </c>
      <c r="B1716" s="2" t="str">
        <f>HYPERLINK("http://www.12365auto.com/xcdg/20200226/419619.shtml","只有1000辆可享受特权 日产推聆风限量版")</f>
        <v>只有1000辆可享受特权 日产推聆风限量版</v>
      </c>
      <c r="C1716" s="2" t="s">
        <v>13</v>
      </c>
      <c r="D1716" s="2" t="s">
        <v>12</v>
      </c>
      <c r="E1716" s="2" t="s">
        <v>245</v>
      </c>
      <c r="F1716" s="2" t="str">
        <f>HYPERLINK("http://www.12365auto.com/xcdg/20200226/419619.shtml","http://www.12365auto.com/xcdg/20200226/419619.shtml")</f>
        <v>http://www.12365auto.com/xcdg/20200226/419619.shtml</v>
      </c>
      <c r="G1716" s="2"/>
      <c r="H1716" s="2" t="s">
        <v>2577</v>
      </c>
      <c r="I1716" s="2" t="s">
        <v>19</v>
      </c>
      <c r="J1716" s="2" t="s">
        <v>12</v>
      </c>
      <c r="K1716" s="2" t="s">
        <v>2576</v>
      </c>
      <c r="L1716" s="2">
        <f t="shared" si="26"/>
        <v>150</v>
      </c>
    </row>
    <row r="1717" spans="1:12" ht="25" customHeight="1">
      <c r="A1717" s="2" t="s">
        <v>12</v>
      </c>
      <c r="B1717" s="2" t="str">
        <f>HYPERLINK("http://www.12365auto.com/xcdg/20200226/419618.shtml","全新AMG GLA 45 S官图 日内瓦车展亮相")</f>
        <v>全新AMG GLA 45 S官图 日内瓦车展亮相</v>
      </c>
      <c r="C1717" s="2" t="s">
        <v>13</v>
      </c>
      <c r="D1717" s="2" t="s">
        <v>12</v>
      </c>
      <c r="E1717" s="2" t="s">
        <v>216</v>
      </c>
      <c r="F1717" s="2" t="str">
        <f>HYPERLINK("http://www.12365auto.com/xcdg/20200226/419618.shtml","http://www.12365auto.com/xcdg/20200226/419618.shtml")</f>
        <v>http://www.12365auto.com/xcdg/20200226/419618.shtml</v>
      </c>
      <c r="G1717" s="2"/>
      <c r="H1717" s="2" t="s">
        <v>2578</v>
      </c>
      <c r="I1717" s="2" t="s">
        <v>15</v>
      </c>
      <c r="J1717" s="2" t="s">
        <v>12</v>
      </c>
      <c r="K1717" s="2" t="s">
        <v>2579</v>
      </c>
      <c r="L1717" s="2">
        <f t="shared" si="26"/>
        <v>150</v>
      </c>
    </row>
    <row r="1718" spans="1:12" ht="25" customHeight="1">
      <c r="A1718" s="2" t="s">
        <v>12</v>
      </c>
      <c r="B1718" s="2" t="str">
        <f>HYPERLINK("http://m.12365auto.com/xcdg/20200226/419618.shtml","全新AMG GLA 45 S官图 日内瓦车展亮相")</f>
        <v>全新AMG GLA 45 S官图 日内瓦车展亮相</v>
      </c>
      <c r="C1718" s="2" t="s">
        <v>13</v>
      </c>
      <c r="D1718" s="2" t="s">
        <v>12</v>
      </c>
      <c r="E1718" s="2"/>
      <c r="F1718" s="2" t="str">
        <f>HYPERLINK("http://m.12365auto.com/xcdg/20200226/419618.shtml","http://m.12365auto.com/xcdg/20200226/419618.shtml")</f>
        <v>http://m.12365auto.com/xcdg/20200226/419618.shtml</v>
      </c>
      <c r="G1718" s="2"/>
      <c r="H1718" s="2" t="s">
        <v>2580</v>
      </c>
      <c r="I1718" s="2" t="s">
        <v>19</v>
      </c>
      <c r="J1718" s="2" t="s">
        <v>768</v>
      </c>
      <c r="K1718" s="2" t="s">
        <v>2579</v>
      </c>
      <c r="L1718" s="2">
        <f t="shared" si="26"/>
        <v>150</v>
      </c>
    </row>
    <row r="1719" spans="1:12" ht="25" customHeight="1">
      <c r="A1719" s="2" t="s">
        <v>12</v>
      </c>
      <c r="B1719" s="2" t="str">
        <f>HYPERLINK("http://m.12365auto.com/news/20200226/419617.shtml","打出回马枪 新伙伴助力铃木回归马来西亚")</f>
        <v>打出回马枪 新伙伴助力铃木回归马来西亚</v>
      </c>
      <c r="C1719" s="2" t="s">
        <v>13</v>
      </c>
      <c r="D1719" s="2" t="s">
        <v>12</v>
      </c>
      <c r="E1719" s="2"/>
      <c r="F1719" s="2" t="str">
        <f>HYPERLINK("http://m.12365auto.com/news/20200226/419617.shtml","http://m.12365auto.com/news/20200226/419617.shtml")</f>
        <v>http://m.12365auto.com/news/20200226/419617.shtml</v>
      </c>
      <c r="G1719" s="2"/>
      <c r="H1719" s="2" t="s">
        <v>2581</v>
      </c>
      <c r="I1719" s="2" t="s">
        <v>19</v>
      </c>
      <c r="J1719" s="2" t="s">
        <v>1069</v>
      </c>
      <c r="K1719" s="2" t="s">
        <v>2582</v>
      </c>
      <c r="L1719" s="2">
        <f t="shared" si="26"/>
        <v>150</v>
      </c>
    </row>
    <row r="1720" spans="1:12" ht="25" customHeight="1">
      <c r="A1720" s="2" t="s">
        <v>12</v>
      </c>
      <c r="B1720" s="2" t="str">
        <f>HYPERLINK("http://www.12365auto.com/news/20200226/419617.shtml","打出回马枪 新伙伴助力铃木回归马来西亚")</f>
        <v>打出回马枪 新伙伴助力铃木回归马来西亚</v>
      </c>
      <c r="C1720" s="2" t="s">
        <v>13</v>
      </c>
      <c r="D1720" s="2" t="s">
        <v>12</v>
      </c>
      <c r="E1720" s="2" t="s">
        <v>276</v>
      </c>
      <c r="F1720" s="2" t="str">
        <f>HYPERLINK("http://www.12365auto.com/news/20200226/419617.shtml","http://www.12365auto.com/news/20200226/419617.shtml")</f>
        <v>http://www.12365auto.com/news/20200226/419617.shtml</v>
      </c>
      <c r="G1720" s="2"/>
      <c r="H1720" s="2" t="s">
        <v>2583</v>
      </c>
      <c r="I1720" s="2" t="s">
        <v>15</v>
      </c>
      <c r="J1720" s="2" t="s">
        <v>12</v>
      </c>
      <c r="K1720" s="2" t="s">
        <v>2582</v>
      </c>
      <c r="L1720" s="2">
        <f t="shared" si="26"/>
        <v>150</v>
      </c>
    </row>
    <row r="1721" spans="1:12" ht="25" customHeight="1">
      <c r="A1721" s="2" t="s">
        <v>12</v>
      </c>
      <c r="B1721" s="2" t="str">
        <f>HYPERLINK("http://www.12365auto.com/zlts/20200226/448810.shtml","东风日产天籁4S店出售库存车要求解决")</f>
        <v>东风日产天籁4S店出售库存车要求解决</v>
      </c>
      <c r="C1721" s="2" t="s">
        <v>13</v>
      </c>
      <c r="D1721" s="2" t="s">
        <v>12</v>
      </c>
      <c r="E1721" s="2" t="s">
        <v>17</v>
      </c>
      <c r="F1721" s="2" t="str">
        <f>HYPERLINK("http://www.12365auto.com/zlts/20200226/448810.shtml","http://www.12365auto.com/zlts/20200226/448810.shtml")</f>
        <v>http://www.12365auto.com/zlts/20200226/448810.shtml</v>
      </c>
      <c r="G1721" s="2"/>
      <c r="H1721" s="2" t="s">
        <v>2584</v>
      </c>
      <c r="I1721" s="2" t="s">
        <v>15</v>
      </c>
      <c r="J1721" s="2" t="s">
        <v>12</v>
      </c>
      <c r="K1721" s="2" t="s">
        <v>2585</v>
      </c>
      <c r="L1721" s="2">
        <f t="shared" si="26"/>
        <v>150</v>
      </c>
    </row>
    <row r="1722" spans="1:12" ht="25" customHeight="1">
      <c r="A1722" s="2" t="s">
        <v>12</v>
      </c>
      <c r="B1722" s="2" t="str">
        <f>HYPERLINK("http://www.12365auto.com/news/20200226/419616.shtml","性能旗帜 丰田在北美申请“GRMN”商标")</f>
        <v>性能旗帜 丰田在北美申请“GRMN”商标</v>
      </c>
      <c r="C1722" s="2" t="s">
        <v>13</v>
      </c>
      <c r="D1722" s="2" t="s">
        <v>12</v>
      </c>
      <c r="E1722" s="2" t="s">
        <v>276</v>
      </c>
      <c r="F1722" s="2" t="str">
        <f>HYPERLINK("http://www.12365auto.com/news/20200226/419616.shtml","http://www.12365auto.com/news/20200226/419616.shtml")</f>
        <v>http://www.12365auto.com/news/20200226/419616.shtml</v>
      </c>
      <c r="G1722" s="2"/>
      <c r="H1722" s="2" t="s">
        <v>2586</v>
      </c>
      <c r="I1722" s="2" t="s">
        <v>15</v>
      </c>
      <c r="J1722" s="2" t="s">
        <v>12</v>
      </c>
      <c r="K1722" s="2" t="s">
        <v>2587</v>
      </c>
      <c r="L1722" s="2">
        <f t="shared" si="26"/>
        <v>150</v>
      </c>
    </row>
    <row r="1723" spans="1:12" ht="25" customHeight="1">
      <c r="A1723" s="2" t="s">
        <v>12</v>
      </c>
      <c r="B1723" s="2" t="str">
        <f>HYPERLINK("http://m.12365auto.com/news/20200226/419616.shtml","性能旗帜 丰田在北美申请“GRMN”商标")</f>
        <v>性能旗帜 丰田在北美申请“GRMN”商标</v>
      </c>
      <c r="C1723" s="2" t="s">
        <v>13</v>
      </c>
      <c r="D1723" s="2" t="s">
        <v>12</v>
      </c>
      <c r="E1723" s="2"/>
      <c r="F1723" s="2" t="str">
        <f>HYPERLINK("http://m.12365auto.com/news/20200226/419616.shtml","http://m.12365auto.com/news/20200226/419616.shtml")</f>
        <v>http://m.12365auto.com/news/20200226/419616.shtml</v>
      </c>
      <c r="G1723" s="2"/>
      <c r="H1723" s="2" t="s">
        <v>2588</v>
      </c>
      <c r="I1723" s="2" t="s">
        <v>19</v>
      </c>
      <c r="J1723" s="2" t="s">
        <v>2589</v>
      </c>
      <c r="K1723" s="2" t="s">
        <v>2587</v>
      </c>
      <c r="L1723" s="2">
        <f t="shared" si="26"/>
        <v>150</v>
      </c>
    </row>
    <row r="1724" spans="1:12" ht="25" customHeight="1">
      <c r="A1724" s="2" t="s">
        <v>12</v>
      </c>
      <c r="B1724" s="2" t="str">
        <f>HYPERLINK("http://www.12365auto.com/xcdg/20200226/419615.shtml","使用再生材料 新奥迪A3座椅预告图发布")</f>
        <v>使用再生材料 新奥迪A3座椅预告图发布</v>
      </c>
      <c r="C1724" s="2" t="s">
        <v>13</v>
      </c>
      <c r="D1724" s="2" t="s">
        <v>12</v>
      </c>
      <c r="E1724" s="2" t="s">
        <v>216</v>
      </c>
      <c r="F1724" s="2" t="str">
        <f>HYPERLINK("http://www.12365auto.com/xcdg/20200226/419615.shtml","http://www.12365auto.com/xcdg/20200226/419615.shtml")</f>
        <v>http://www.12365auto.com/xcdg/20200226/419615.shtml</v>
      </c>
      <c r="G1724" s="2"/>
      <c r="H1724" s="2" t="s">
        <v>2590</v>
      </c>
      <c r="I1724" s="2" t="s">
        <v>15</v>
      </c>
      <c r="J1724" s="2" t="s">
        <v>12</v>
      </c>
      <c r="K1724" s="2" t="s">
        <v>2591</v>
      </c>
      <c r="L1724" s="2">
        <f t="shared" si="26"/>
        <v>150</v>
      </c>
    </row>
    <row r="1725" spans="1:12" ht="25" customHeight="1">
      <c r="A1725" s="2" t="s">
        <v>12</v>
      </c>
      <c r="B1725" s="2" t="str">
        <f>HYPERLINK("http://www.12365auto.com/zlts/20200226/448807.shtml","长安欧尚欧力威EV续航公里数悬殊太多了")</f>
        <v>长安欧尚欧力威EV续航公里数悬殊太多了</v>
      </c>
      <c r="C1725" s="2" t="s">
        <v>13</v>
      </c>
      <c r="D1725" s="2" t="s">
        <v>12</v>
      </c>
      <c r="E1725" s="2" t="s">
        <v>17</v>
      </c>
      <c r="F1725" s="2" t="str">
        <f>HYPERLINK("http://www.12365auto.com/zlts/20200226/448807.shtml","http://www.12365auto.com/zlts/20200226/448807.shtml")</f>
        <v>http://www.12365auto.com/zlts/20200226/448807.shtml</v>
      </c>
      <c r="G1725" s="2"/>
      <c r="H1725" s="2" t="s">
        <v>2592</v>
      </c>
      <c r="I1725" s="2" t="s">
        <v>19</v>
      </c>
      <c r="J1725" s="2" t="s">
        <v>12</v>
      </c>
      <c r="K1725" s="2" t="s">
        <v>2591</v>
      </c>
      <c r="L1725" s="2">
        <f t="shared" si="26"/>
        <v>150</v>
      </c>
    </row>
    <row r="1726" spans="1:12" ht="25" customHeight="1">
      <c r="A1726" s="2" t="s">
        <v>12</v>
      </c>
      <c r="B1726" s="2" t="str">
        <f>HYPERLINK("http://m.12365auto.com/xcdg/20200226/419615.shtml","使用再生材料 新奥迪A3座椅预告图发布")</f>
        <v>使用再生材料 新奥迪A3座椅预告图发布</v>
      </c>
      <c r="C1726" s="2" t="s">
        <v>13</v>
      </c>
      <c r="D1726" s="2" t="s">
        <v>12</v>
      </c>
      <c r="E1726" s="2"/>
      <c r="F1726" s="2" t="str">
        <f>HYPERLINK("http://m.12365auto.com/xcdg/20200226/419615.shtml","http://m.12365auto.com/xcdg/20200226/419615.shtml")</f>
        <v>http://m.12365auto.com/xcdg/20200226/419615.shtml</v>
      </c>
      <c r="G1726" s="2"/>
      <c r="H1726" s="2" t="s">
        <v>2593</v>
      </c>
      <c r="I1726" s="2" t="s">
        <v>19</v>
      </c>
      <c r="J1726" s="2" t="s">
        <v>2594</v>
      </c>
      <c r="K1726" s="2" t="s">
        <v>2591</v>
      </c>
      <c r="L1726" s="2">
        <f t="shared" si="26"/>
        <v>150</v>
      </c>
    </row>
    <row r="1727" spans="1:12" ht="25" customHeight="1">
      <c r="A1727" s="2" t="s">
        <v>12</v>
      </c>
      <c r="B1727" s="2" t="str">
        <f>HYPERLINK("http://www.12365auto.com/xcdg/20200226/419614.shtml","这些新皮卡车将上市 含一款“国产坦途”")</f>
        <v>这些新皮卡车将上市 含一款“国产坦途”</v>
      </c>
      <c r="C1727" s="2" t="s">
        <v>13</v>
      </c>
      <c r="D1727" s="2" t="s">
        <v>12</v>
      </c>
      <c r="E1727" s="2" t="s">
        <v>216</v>
      </c>
      <c r="F1727" s="2" t="str">
        <f>HYPERLINK("http://www.12365auto.com/xcdg/20200226/419614.shtml","http://www.12365auto.com/xcdg/20200226/419614.shtml")</f>
        <v>http://www.12365auto.com/xcdg/20200226/419614.shtml</v>
      </c>
      <c r="G1727" s="2"/>
      <c r="H1727" s="2" t="s">
        <v>2595</v>
      </c>
      <c r="I1727" s="2" t="s">
        <v>15</v>
      </c>
      <c r="J1727" s="2" t="s">
        <v>12</v>
      </c>
      <c r="K1727" s="2" t="s">
        <v>2596</v>
      </c>
      <c r="L1727" s="2">
        <f t="shared" si="26"/>
        <v>150</v>
      </c>
    </row>
    <row r="1728" spans="1:12" ht="25" customHeight="1">
      <c r="A1728" s="2" t="s">
        <v>12</v>
      </c>
      <c r="B1728" s="2" t="str">
        <f>HYPERLINK("http://m.12365auto.com/xcdg/20200226/419614.shtml","这些新皮卡车将上市 含一款“国产坦途”")</f>
        <v>这些新皮卡车将上市 含一款“国产坦途”</v>
      </c>
      <c r="C1728" s="2" t="s">
        <v>13</v>
      </c>
      <c r="D1728" s="2" t="s">
        <v>12</v>
      </c>
      <c r="E1728" s="2"/>
      <c r="F1728" s="2" t="str">
        <f>HYPERLINK("http://m.12365auto.com/xcdg/20200226/419614.shtml","http://m.12365auto.com/xcdg/20200226/419614.shtml")</f>
        <v>http://m.12365auto.com/xcdg/20200226/419614.shtml</v>
      </c>
      <c r="G1728" s="2"/>
      <c r="H1728" s="2" t="s">
        <v>2597</v>
      </c>
      <c r="I1728" s="2" t="s">
        <v>19</v>
      </c>
      <c r="J1728" s="2" t="s">
        <v>1933</v>
      </c>
      <c r="K1728" s="2" t="s">
        <v>2596</v>
      </c>
      <c r="L1728" s="2">
        <f t="shared" si="26"/>
        <v>150</v>
      </c>
    </row>
    <row r="1729" spans="1:12" ht="25" customHeight="1">
      <c r="A1729" s="2" t="s">
        <v>12</v>
      </c>
      <c r="B1729" s="2" t="str">
        <f>HYPERLINK("http://www.12365auto.com/zlts/20200226/448806.shtml","一汽大众奥迪A4L经销商服务态度差")</f>
        <v>一汽大众奥迪A4L经销商服务态度差</v>
      </c>
      <c r="C1729" s="2" t="s">
        <v>13</v>
      </c>
      <c r="D1729" s="2" t="s">
        <v>12</v>
      </c>
      <c r="E1729" s="2" t="s">
        <v>17</v>
      </c>
      <c r="F1729" s="2" t="str">
        <f>HYPERLINK("http://www.12365auto.com/zlts/20200226/448806.shtml","http://www.12365auto.com/zlts/20200226/448806.shtml")</f>
        <v>http://www.12365auto.com/zlts/20200226/448806.shtml</v>
      </c>
      <c r="G1729" s="2"/>
      <c r="H1729" s="2" t="s">
        <v>2598</v>
      </c>
      <c r="I1729" s="2" t="s">
        <v>19</v>
      </c>
      <c r="J1729" s="2" t="s">
        <v>12</v>
      </c>
      <c r="K1729" s="2" t="s">
        <v>2599</v>
      </c>
      <c r="L1729" s="2">
        <f t="shared" si="26"/>
        <v>150</v>
      </c>
    </row>
    <row r="1730" spans="1:12" ht="25" customHeight="1">
      <c r="A1730" s="2" t="s">
        <v>12</v>
      </c>
      <c r="B1730" s="2" t="str">
        <f>HYPERLINK("http://www.12365auto.com/xcdg/20200226/419613.shtml","极星概念跑车公布 专注于减重与高科技")</f>
        <v>极星概念跑车公布 专注于减重与高科技</v>
      </c>
      <c r="C1730" s="2" t="s">
        <v>13</v>
      </c>
      <c r="D1730" s="2" t="s">
        <v>12</v>
      </c>
      <c r="E1730" s="2" t="s">
        <v>216</v>
      </c>
      <c r="F1730" s="2" t="str">
        <f>HYPERLINK("http://www.12365auto.com/xcdg/20200226/419613.shtml","http://www.12365auto.com/xcdg/20200226/419613.shtml")</f>
        <v>http://www.12365auto.com/xcdg/20200226/419613.shtml</v>
      </c>
      <c r="G1730" s="2"/>
      <c r="H1730" s="2" t="s">
        <v>2600</v>
      </c>
      <c r="I1730" s="2" t="s">
        <v>15</v>
      </c>
      <c r="J1730" s="2" t="s">
        <v>12</v>
      </c>
      <c r="K1730" s="2" t="s">
        <v>2601</v>
      </c>
      <c r="L1730" s="2">
        <f t="shared" si="26"/>
        <v>150</v>
      </c>
    </row>
    <row r="1731" spans="1:12" ht="25" customHeight="1">
      <c r="A1731" s="2" t="s">
        <v>12</v>
      </c>
      <c r="B1731" s="2" t="str">
        <f>HYPERLINK("http://m.12365auto.com/xcdg/20200226/419613.shtml","极星概念跑车公布 专注于减重与高科技")</f>
        <v>极星概念跑车公布 专注于减重与高科技</v>
      </c>
      <c r="C1731" s="2" t="s">
        <v>13</v>
      </c>
      <c r="D1731" s="2" t="s">
        <v>12</v>
      </c>
      <c r="E1731" s="2"/>
      <c r="F1731" s="2" t="str">
        <f>HYPERLINK("http://m.12365auto.com/xcdg/20200226/419613.shtml","http://m.12365auto.com/xcdg/20200226/419613.shtml")</f>
        <v>http://m.12365auto.com/xcdg/20200226/419613.shtml</v>
      </c>
      <c r="G1731" s="2"/>
      <c r="H1731" s="2" t="s">
        <v>2602</v>
      </c>
      <c r="I1731" s="2" t="s">
        <v>19</v>
      </c>
      <c r="J1731" s="2" t="s">
        <v>2603</v>
      </c>
      <c r="K1731" s="2" t="s">
        <v>2601</v>
      </c>
      <c r="L1731" s="2">
        <f t="shared" ref="L1731:L1794" si="27">LEN(H1731)</f>
        <v>150</v>
      </c>
    </row>
    <row r="1732" spans="1:12" ht="25" customHeight="1">
      <c r="A1732" s="2" t="s">
        <v>12</v>
      </c>
      <c r="B1732" s="2" t="str">
        <f>HYPERLINK("http://www.12365auto.com/zlts/20200226/448805.shtml","汉腾X7变速箱故障导致车辆无法加速")</f>
        <v>汉腾X7变速箱故障导致车辆无法加速</v>
      </c>
      <c r="C1732" s="2" t="s">
        <v>13</v>
      </c>
      <c r="D1732" s="2" t="s">
        <v>12</v>
      </c>
      <c r="E1732" s="2" t="s">
        <v>17</v>
      </c>
      <c r="F1732" s="2" t="str">
        <f>HYPERLINK("http://www.12365auto.com/zlts/20200226/448805.shtml","http://www.12365auto.com/zlts/20200226/448805.shtml")</f>
        <v>http://www.12365auto.com/zlts/20200226/448805.shtml</v>
      </c>
      <c r="G1732" s="2"/>
      <c r="H1732" s="2" t="s">
        <v>2604</v>
      </c>
      <c r="I1732" s="2" t="s">
        <v>19</v>
      </c>
      <c r="J1732" s="2" t="s">
        <v>12</v>
      </c>
      <c r="K1732" s="2" t="s">
        <v>2605</v>
      </c>
      <c r="L1732" s="2">
        <f t="shared" si="27"/>
        <v>150</v>
      </c>
    </row>
    <row r="1733" spans="1:12" ht="25" customHeight="1">
      <c r="A1733" s="2" t="s">
        <v>12</v>
      </c>
      <c r="B1733" s="2" t="str">
        <f>HYPERLINK("http://www.12365auto.com/xcdg/20200226/419612.shtml","日系新车下周发布 丰田全新SUV值得期待")</f>
        <v>日系新车下周发布 丰田全新SUV值得期待</v>
      </c>
      <c r="C1733" s="2" t="s">
        <v>13</v>
      </c>
      <c r="D1733" s="2" t="s">
        <v>12</v>
      </c>
      <c r="E1733" s="2" t="s">
        <v>216</v>
      </c>
      <c r="F1733" s="2" t="str">
        <f>HYPERLINK("http://www.12365auto.com/xcdg/20200226/419612.shtml","http://www.12365auto.com/xcdg/20200226/419612.shtml")</f>
        <v>http://www.12365auto.com/xcdg/20200226/419612.shtml</v>
      </c>
      <c r="G1733" s="2"/>
      <c r="H1733" s="2" t="s">
        <v>2606</v>
      </c>
      <c r="I1733" s="2" t="s">
        <v>15</v>
      </c>
      <c r="J1733" s="2" t="s">
        <v>12</v>
      </c>
      <c r="K1733" s="2" t="s">
        <v>2607</v>
      </c>
      <c r="L1733" s="2">
        <f t="shared" si="27"/>
        <v>150</v>
      </c>
    </row>
    <row r="1734" spans="1:12" ht="25" customHeight="1">
      <c r="A1734" s="2" t="s">
        <v>12</v>
      </c>
      <c r="B1734" s="2" t="str">
        <f>HYPERLINK("http://m.12365auto.com/xcdg/20200226/419612.shtml","日系新车下周发布 丰田全新SUV值得期待")</f>
        <v>日系新车下周发布 丰田全新SUV值得期待</v>
      </c>
      <c r="C1734" s="2" t="s">
        <v>13</v>
      </c>
      <c r="D1734" s="2" t="s">
        <v>12</v>
      </c>
      <c r="E1734" s="2"/>
      <c r="F1734" s="2" t="str">
        <f>HYPERLINK("http://m.12365auto.com/xcdg/20200226/419612.shtml","http://m.12365auto.com/xcdg/20200226/419612.shtml")</f>
        <v>http://m.12365auto.com/xcdg/20200226/419612.shtml</v>
      </c>
      <c r="G1734" s="2"/>
      <c r="H1734" s="2" t="s">
        <v>2608</v>
      </c>
      <c r="I1734" s="2" t="s">
        <v>19</v>
      </c>
      <c r="J1734" s="2" t="s">
        <v>265</v>
      </c>
      <c r="K1734" s="2" t="s">
        <v>2607</v>
      </c>
      <c r="L1734" s="2">
        <f t="shared" si="27"/>
        <v>150</v>
      </c>
    </row>
    <row r="1735" spans="1:12" ht="25" customHeight="1">
      <c r="A1735" s="2" t="s">
        <v>12</v>
      </c>
      <c r="B1735" s="2" t="str">
        <f>HYPERLINK("http://www.12365auto.com/xcdg/20200226/419611.shtml","NWM版Ranger拉力赛车升级 换装V6发动机")</f>
        <v>NWM版Ranger拉力赛车升级 换装V6发动机</v>
      </c>
      <c r="C1735" s="2" t="s">
        <v>13</v>
      </c>
      <c r="D1735" s="2" t="s">
        <v>12</v>
      </c>
      <c r="E1735" s="2" t="s">
        <v>245</v>
      </c>
      <c r="F1735" s="2" t="str">
        <f>HYPERLINK("http://www.12365auto.com/xcdg/20200226/419611.shtml","http://www.12365auto.com/xcdg/20200226/419611.shtml")</f>
        <v>http://www.12365auto.com/xcdg/20200226/419611.shtml</v>
      </c>
      <c r="G1735" s="2"/>
      <c r="H1735" s="2" t="s">
        <v>2609</v>
      </c>
      <c r="I1735" s="2" t="s">
        <v>19</v>
      </c>
      <c r="J1735" s="2" t="s">
        <v>12</v>
      </c>
      <c r="K1735" s="2" t="s">
        <v>2610</v>
      </c>
      <c r="L1735" s="2">
        <f t="shared" si="27"/>
        <v>150</v>
      </c>
    </row>
    <row r="1736" spans="1:12" ht="25" customHeight="1">
      <c r="A1736" s="2" t="s">
        <v>12</v>
      </c>
      <c r="B1736" s="2" t="str">
        <f>HYPERLINK("http://m.12365auto.com/xcdg/20200226/419611.shtml","NWM版Ranger拉力赛车升级 换装V6发动机")</f>
        <v>NWM版Ranger拉力赛车升级 换装V6发动机</v>
      </c>
      <c r="C1736" s="2" t="s">
        <v>13</v>
      </c>
      <c r="D1736" s="2" t="s">
        <v>12</v>
      </c>
      <c r="E1736" s="2"/>
      <c r="F1736" s="2" t="str">
        <f>HYPERLINK("http://m.12365auto.com/xcdg/20200226/419611.shtml","http://m.12365auto.com/xcdg/20200226/419611.shtml")</f>
        <v>http://m.12365auto.com/xcdg/20200226/419611.shtml</v>
      </c>
      <c r="G1736" s="2"/>
      <c r="H1736" s="2" t="s">
        <v>2611</v>
      </c>
      <c r="I1736" s="2" t="s">
        <v>19</v>
      </c>
      <c r="J1736" s="2" t="s">
        <v>2612</v>
      </c>
      <c r="K1736" s="2" t="s">
        <v>2610</v>
      </c>
      <c r="L1736" s="2">
        <f t="shared" si="27"/>
        <v>150</v>
      </c>
    </row>
    <row r="1737" spans="1:12" ht="25" customHeight="1">
      <c r="A1737" s="2" t="s">
        <v>12</v>
      </c>
      <c r="B1737" s="2" t="str">
        <f>HYPERLINK("http://www.12365auto.com/xcdg/20200226/419610.shtml","宝马4系纯电版领衔 日内瓦车展亮相")</f>
        <v>宝马4系纯电版领衔 日内瓦车展亮相</v>
      </c>
      <c r="C1737" s="2" t="s">
        <v>13</v>
      </c>
      <c r="D1737" s="2" t="s">
        <v>12</v>
      </c>
      <c r="E1737" s="2" t="s">
        <v>245</v>
      </c>
      <c r="F1737" s="2" t="str">
        <f>HYPERLINK("http://www.12365auto.com/xcdg/20200226/419610.shtml","http://www.12365auto.com/xcdg/20200226/419610.shtml")</f>
        <v>http://www.12365auto.com/xcdg/20200226/419610.shtml</v>
      </c>
      <c r="G1737" s="2"/>
      <c r="H1737" s="2" t="s">
        <v>2613</v>
      </c>
      <c r="I1737" s="2" t="s">
        <v>19</v>
      </c>
      <c r="J1737" s="2" t="s">
        <v>12</v>
      </c>
      <c r="K1737" s="2" t="s">
        <v>2614</v>
      </c>
      <c r="L1737" s="2">
        <f t="shared" si="27"/>
        <v>150</v>
      </c>
    </row>
    <row r="1738" spans="1:12" ht="25" customHeight="1">
      <c r="A1738" s="2" t="s">
        <v>12</v>
      </c>
      <c r="B1738" s="2" t="str">
        <f>HYPERLINK("http://m.12365auto.com/xcdg/20200226/419610.shtml","宝马4系纯电版领衔 日内瓦车展亮相")</f>
        <v>宝马4系纯电版领衔 日内瓦车展亮相</v>
      </c>
      <c r="C1738" s="2" t="s">
        <v>13</v>
      </c>
      <c r="D1738" s="2" t="s">
        <v>12</v>
      </c>
      <c r="E1738" s="2"/>
      <c r="F1738" s="2" t="str">
        <f>HYPERLINK("http://m.12365auto.com/xcdg/20200226/419610.shtml","http://m.12365auto.com/xcdg/20200226/419610.shtml")</f>
        <v>http://m.12365auto.com/xcdg/20200226/419610.shtml</v>
      </c>
      <c r="G1738" s="2"/>
      <c r="H1738" s="2" t="s">
        <v>2615</v>
      </c>
      <c r="I1738" s="2" t="s">
        <v>19</v>
      </c>
      <c r="J1738" s="2" t="s">
        <v>739</v>
      </c>
      <c r="K1738" s="2" t="s">
        <v>2614</v>
      </c>
      <c r="L1738" s="2">
        <f t="shared" si="27"/>
        <v>150</v>
      </c>
    </row>
    <row r="1739" spans="1:12" ht="25" customHeight="1">
      <c r="A1739" s="2" t="s">
        <v>12</v>
      </c>
      <c r="B1739" s="2" t="str">
        <f>HYPERLINK("http://www.12365auto.com/xcdg/20200226/419609.shtml","本田全新飞度Type R渲染图 运动外观")</f>
        <v>本田全新飞度Type R渲染图 运动外观</v>
      </c>
      <c r="C1739" s="2" t="s">
        <v>13</v>
      </c>
      <c r="D1739" s="2" t="s">
        <v>12</v>
      </c>
      <c r="E1739" s="2" t="s">
        <v>245</v>
      </c>
      <c r="F1739" s="2" t="str">
        <f>HYPERLINK("http://www.12365auto.com/xcdg/20200226/419609.shtml","http://www.12365auto.com/xcdg/20200226/419609.shtml")</f>
        <v>http://www.12365auto.com/xcdg/20200226/419609.shtml</v>
      </c>
      <c r="G1739" s="2"/>
      <c r="H1739" s="2" t="s">
        <v>2616</v>
      </c>
      <c r="I1739" s="2" t="s">
        <v>19</v>
      </c>
      <c r="J1739" s="2" t="s">
        <v>12</v>
      </c>
      <c r="K1739" s="2" t="s">
        <v>2617</v>
      </c>
      <c r="L1739" s="2">
        <f t="shared" si="27"/>
        <v>150</v>
      </c>
    </row>
    <row r="1740" spans="1:12" ht="25" customHeight="1">
      <c r="A1740" s="2" t="s">
        <v>12</v>
      </c>
      <c r="B1740" s="2" t="str">
        <f>HYPERLINK("http://m.12365auto.com/xcdg/20200226/419609.shtml","本田全新飞度Type R渲染图 运动外观")</f>
        <v>本田全新飞度Type R渲染图 运动外观</v>
      </c>
      <c r="C1740" s="2" t="s">
        <v>13</v>
      </c>
      <c r="D1740" s="2" t="s">
        <v>12</v>
      </c>
      <c r="E1740" s="2"/>
      <c r="F1740" s="2" t="str">
        <f>HYPERLINK("http://m.12365auto.com/xcdg/20200226/419609.shtml","http://m.12365auto.com/xcdg/20200226/419609.shtml")</f>
        <v>http://m.12365auto.com/xcdg/20200226/419609.shtml</v>
      </c>
      <c r="G1740" s="2"/>
      <c r="H1740" s="2" t="s">
        <v>2618</v>
      </c>
      <c r="I1740" s="2" t="s">
        <v>19</v>
      </c>
      <c r="J1740" s="2" t="s">
        <v>222</v>
      </c>
      <c r="K1740" s="2" t="s">
        <v>2617</v>
      </c>
      <c r="L1740" s="2">
        <f t="shared" si="27"/>
        <v>150</v>
      </c>
    </row>
    <row r="1741" spans="1:12" ht="25" customHeight="1">
      <c r="A1741" s="2" t="s">
        <v>12</v>
      </c>
      <c r="B1741" s="2" t="str">
        <f>HYPERLINK("http://www.12365auto.com/news/20200226/419608.shtml","新形象 起亚或将于10月更换全新LOGO")</f>
        <v>新形象 起亚或将于10月更换全新LOGO</v>
      </c>
      <c r="C1741" s="2" t="s">
        <v>13</v>
      </c>
      <c r="D1741" s="2" t="s">
        <v>12</v>
      </c>
      <c r="E1741" s="2" t="s">
        <v>276</v>
      </c>
      <c r="F1741" s="2" t="str">
        <f>HYPERLINK("http://www.12365auto.com/news/20200226/419608.shtml","http://www.12365auto.com/news/20200226/419608.shtml")</f>
        <v>http://www.12365auto.com/news/20200226/419608.shtml</v>
      </c>
      <c r="G1741" s="2"/>
      <c r="H1741" s="2" t="s">
        <v>2619</v>
      </c>
      <c r="I1741" s="2" t="s">
        <v>15</v>
      </c>
      <c r="J1741" s="2" t="s">
        <v>12</v>
      </c>
      <c r="K1741" s="2" t="s">
        <v>2620</v>
      </c>
      <c r="L1741" s="2">
        <f t="shared" si="27"/>
        <v>150</v>
      </c>
    </row>
    <row r="1742" spans="1:12" ht="25" customHeight="1">
      <c r="A1742" s="2" t="s">
        <v>12</v>
      </c>
      <c r="B1742" s="2" t="str">
        <f>HYPERLINK("http://m.12365auto.com/news/20200226/419608.shtml","新形象 起亚或将于10月更换全新LOGO")</f>
        <v>新形象 起亚或将于10月更换全新LOGO</v>
      </c>
      <c r="C1742" s="2" t="s">
        <v>13</v>
      </c>
      <c r="D1742" s="2" t="s">
        <v>12</v>
      </c>
      <c r="E1742" s="2"/>
      <c r="F1742" s="2" t="str">
        <f>HYPERLINK("http://m.12365auto.com/news/20200226/419608.shtml","http://m.12365auto.com/news/20200226/419608.shtml")</f>
        <v>http://m.12365auto.com/news/20200226/419608.shtml</v>
      </c>
      <c r="G1742" s="2"/>
      <c r="H1742" s="2" t="s">
        <v>2621</v>
      </c>
      <c r="I1742" s="2" t="s">
        <v>19</v>
      </c>
      <c r="J1742" s="2" t="s">
        <v>2560</v>
      </c>
      <c r="K1742" s="2" t="s">
        <v>2620</v>
      </c>
      <c r="L1742" s="2">
        <f t="shared" si="27"/>
        <v>150</v>
      </c>
    </row>
    <row r="1743" spans="1:12" ht="25" customHeight="1">
      <c r="A1743" s="2" t="s">
        <v>12</v>
      </c>
      <c r="B1743" s="2" t="str">
        <f>HYPERLINK("http://www.12365auto.com/xcdg/20200226/419607.shtml","2.88L V8 双电机 Czinger 21C动力曝光")</f>
        <v>2.88L V8 双电机 Czinger 21C动力曝光</v>
      </c>
      <c r="C1743" s="2" t="s">
        <v>13</v>
      </c>
      <c r="D1743" s="2" t="s">
        <v>12</v>
      </c>
      <c r="E1743" s="2" t="s">
        <v>245</v>
      </c>
      <c r="F1743" s="2" t="str">
        <f>HYPERLINK("http://www.12365auto.com/xcdg/20200226/419607.shtml","http://www.12365auto.com/xcdg/20200226/419607.shtml")</f>
        <v>http://www.12365auto.com/xcdg/20200226/419607.shtml</v>
      </c>
      <c r="G1743" s="2"/>
      <c r="H1743" s="2" t="s">
        <v>2622</v>
      </c>
      <c r="I1743" s="2" t="s">
        <v>19</v>
      </c>
      <c r="J1743" s="2" t="s">
        <v>12</v>
      </c>
      <c r="K1743" s="2" t="s">
        <v>2623</v>
      </c>
      <c r="L1743" s="2">
        <f t="shared" si="27"/>
        <v>150</v>
      </c>
    </row>
    <row r="1744" spans="1:12" ht="25" customHeight="1">
      <c r="A1744" s="2" t="s">
        <v>12</v>
      </c>
      <c r="B1744" s="2" t="str">
        <f>HYPERLINK("http://m.12365auto.com/xcdg/20200226/419607.shtml","2.88L V8 双电机 Czinger 21C动力曝光")</f>
        <v>2.88L V8 双电机 Czinger 21C动力曝光</v>
      </c>
      <c r="C1744" s="2" t="s">
        <v>13</v>
      </c>
      <c r="D1744" s="2" t="s">
        <v>12</v>
      </c>
      <c r="E1744" s="2"/>
      <c r="F1744" s="2" t="str">
        <f>HYPERLINK("http://m.12365auto.com/xcdg/20200226/419607.shtml","http://m.12365auto.com/xcdg/20200226/419607.shtml")</f>
        <v>http://m.12365auto.com/xcdg/20200226/419607.shtml</v>
      </c>
      <c r="G1744" s="2"/>
      <c r="H1744" s="2" t="s">
        <v>2624</v>
      </c>
      <c r="I1744" s="2" t="s">
        <v>19</v>
      </c>
      <c r="J1744" s="2" t="s">
        <v>332</v>
      </c>
      <c r="K1744" s="2" t="s">
        <v>2623</v>
      </c>
      <c r="L1744" s="2">
        <f t="shared" si="27"/>
        <v>150</v>
      </c>
    </row>
    <row r="1745" spans="1:12" ht="25" customHeight="1">
      <c r="A1745" s="2" t="s">
        <v>12</v>
      </c>
      <c r="B1745" s="2" t="str">
        <f>HYPERLINK("http://www.12365auto.com/xcdg/20200226/419606.shtml","老树发新芽 大众Polo三厢掀背车官图")</f>
        <v>老树发新芽 大众Polo三厢掀背车官图</v>
      </c>
      <c r="C1745" s="2" t="s">
        <v>13</v>
      </c>
      <c r="D1745" s="2" t="s">
        <v>12</v>
      </c>
      <c r="E1745" s="2" t="s">
        <v>245</v>
      </c>
      <c r="F1745" s="2" t="str">
        <f>HYPERLINK("http://www.12365auto.com/xcdg/20200226/419606.shtml","http://www.12365auto.com/xcdg/20200226/419606.shtml")</f>
        <v>http://www.12365auto.com/xcdg/20200226/419606.shtml</v>
      </c>
      <c r="G1745" s="2"/>
      <c r="H1745" s="2" t="s">
        <v>2625</v>
      </c>
      <c r="I1745" s="2" t="s">
        <v>19</v>
      </c>
      <c r="J1745" s="2" t="s">
        <v>12</v>
      </c>
      <c r="K1745" s="2" t="s">
        <v>2626</v>
      </c>
      <c r="L1745" s="2">
        <f t="shared" si="27"/>
        <v>150</v>
      </c>
    </row>
    <row r="1746" spans="1:12" ht="25" customHeight="1">
      <c r="A1746" s="2" t="s">
        <v>12</v>
      </c>
      <c r="B1746" s="2" t="str">
        <f>HYPERLINK("http://m.12365auto.com/xcdg/20200226/419606.shtml","老树发新芽 大众Polo三厢掀背车官图")</f>
        <v>老树发新芽 大众Polo三厢掀背车官图</v>
      </c>
      <c r="C1746" s="2" t="s">
        <v>13</v>
      </c>
      <c r="D1746" s="2" t="s">
        <v>12</v>
      </c>
      <c r="E1746" s="2"/>
      <c r="F1746" s="2" t="str">
        <f>HYPERLINK("http://m.12365auto.com/xcdg/20200226/419606.shtml","http://m.12365auto.com/xcdg/20200226/419606.shtml")</f>
        <v>http://m.12365auto.com/xcdg/20200226/419606.shtml</v>
      </c>
      <c r="G1746" s="2"/>
      <c r="H1746" s="2" t="s">
        <v>2627</v>
      </c>
      <c r="I1746" s="2" t="s">
        <v>19</v>
      </c>
      <c r="J1746" s="2" t="s">
        <v>1197</v>
      </c>
      <c r="K1746" s="2" t="s">
        <v>2626</v>
      </c>
      <c r="L1746" s="2">
        <f t="shared" si="27"/>
        <v>150</v>
      </c>
    </row>
    <row r="1747" spans="1:12" ht="25" customHeight="1">
      <c r="A1747" s="2" t="s">
        <v>12</v>
      </c>
      <c r="B1747" s="2" t="str">
        <f>HYPERLINK("http://www.12365auto.com/xcdg/20200226/419605.shtml","可选48V微混动力 现代发布新款i30官图")</f>
        <v>可选48V微混动力 现代发布新款i30官图</v>
      </c>
      <c r="C1747" s="2" t="s">
        <v>13</v>
      </c>
      <c r="D1747" s="2" t="s">
        <v>12</v>
      </c>
      <c r="E1747" s="2" t="s">
        <v>245</v>
      </c>
      <c r="F1747" s="2" t="str">
        <f>HYPERLINK("http://www.12365auto.com/xcdg/20200226/419605.shtml","http://www.12365auto.com/xcdg/20200226/419605.shtml")</f>
        <v>http://www.12365auto.com/xcdg/20200226/419605.shtml</v>
      </c>
      <c r="G1747" s="2"/>
      <c r="H1747" s="2" t="s">
        <v>2628</v>
      </c>
      <c r="I1747" s="2" t="s">
        <v>19</v>
      </c>
      <c r="J1747" s="2" t="s">
        <v>12</v>
      </c>
      <c r="K1747" s="2" t="s">
        <v>2629</v>
      </c>
      <c r="L1747" s="2">
        <f t="shared" si="27"/>
        <v>150</v>
      </c>
    </row>
    <row r="1748" spans="1:12" ht="25" customHeight="1">
      <c r="A1748" s="2" t="s">
        <v>12</v>
      </c>
      <c r="B1748" s="2" t="str">
        <f>HYPERLINK("http://m.12365auto.com/xcdg/20200226/419605.shtml","可选48V微混动力 现代发布新款i30官图")</f>
        <v>可选48V微混动力 现代发布新款i30官图</v>
      </c>
      <c r="C1748" s="2" t="s">
        <v>13</v>
      </c>
      <c r="D1748" s="2" t="s">
        <v>12</v>
      </c>
      <c r="E1748" s="2"/>
      <c r="F1748" s="2" t="str">
        <f>HYPERLINK("http://m.12365auto.com/xcdg/20200226/419605.shtml","http://m.12365auto.com/xcdg/20200226/419605.shtml")</f>
        <v>http://m.12365auto.com/xcdg/20200226/419605.shtml</v>
      </c>
      <c r="G1748" s="2"/>
      <c r="H1748" s="2" t="s">
        <v>2630</v>
      </c>
      <c r="I1748" s="2" t="s">
        <v>19</v>
      </c>
      <c r="J1748" s="2" t="s">
        <v>338</v>
      </c>
      <c r="K1748" s="2" t="s">
        <v>2629</v>
      </c>
      <c r="L1748" s="2">
        <f t="shared" si="27"/>
        <v>150</v>
      </c>
    </row>
    <row r="1749" spans="1:12" ht="25" customHeight="1">
      <c r="A1749" s="2" t="s">
        <v>12</v>
      </c>
      <c r="B1749" s="2" t="str">
        <f>HYPERLINK("http://www.12365auto.com/zlts/20200226/448801.shtml","上汽名爵ZS发动机故障灯亮希望厂家处理")</f>
        <v>上汽名爵ZS发动机故障灯亮希望厂家处理</v>
      </c>
      <c r="C1749" s="2" t="s">
        <v>13</v>
      </c>
      <c r="D1749" s="2" t="s">
        <v>12</v>
      </c>
      <c r="E1749" s="2" t="s">
        <v>17</v>
      </c>
      <c r="F1749" s="2" t="str">
        <f>HYPERLINK("http://www.12365auto.com/zlts/20200226/448801.shtml","http://www.12365auto.com/zlts/20200226/448801.shtml")</f>
        <v>http://www.12365auto.com/zlts/20200226/448801.shtml</v>
      </c>
      <c r="G1749" s="2"/>
      <c r="H1749" s="2" t="s">
        <v>2631</v>
      </c>
      <c r="I1749" s="2" t="s">
        <v>19</v>
      </c>
      <c r="J1749" s="2" t="s">
        <v>12</v>
      </c>
      <c r="K1749" s="2" t="s">
        <v>2632</v>
      </c>
      <c r="L1749" s="2">
        <f t="shared" si="27"/>
        <v>150</v>
      </c>
    </row>
    <row r="1750" spans="1:12" ht="25" customHeight="1">
      <c r="A1750" s="2" t="s">
        <v>12</v>
      </c>
      <c r="B1750" s="2" t="str">
        <f>HYPERLINK("http://m.12365auto.com/xcdg/20200226/419604.shtml","玛莎拉蒂全新跑车MC20消息 将年内上市")</f>
        <v>玛莎拉蒂全新跑车MC20消息 将年内上市</v>
      </c>
      <c r="C1750" s="2" t="s">
        <v>13</v>
      </c>
      <c r="D1750" s="2" t="s">
        <v>12</v>
      </c>
      <c r="E1750" s="2"/>
      <c r="F1750" s="2" t="str">
        <f>HYPERLINK("http://m.12365auto.com/xcdg/20200226/419604.shtml","http://m.12365auto.com/xcdg/20200226/419604.shtml")</f>
        <v>http://m.12365auto.com/xcdg/20200226/419604.shtml</v>
      </c>
      <c r="G1750" s="2"/>
      <c r="H1750" s="2" t="s">
        <v>2633</v>
      </c>
      <c r="I1750" s="2" t="s">
        <v>19</v>
      </c>
      <c r="J1750" s="2" t="s">
        <v>1218</v>
      </c>
      <c r="K1750" s="2" t="s">
        <v>2634</v>
      </c>
      <c r="L1750" s="2">
        <f t="shared" si="27"/>
        <v>150</v>
      </c>
    </row>
    <row r="1751" spans="1:12" ht="25" customHeight="1">
      <c r="A1751" s="2" t="s">
        <v>12</v>
      </c>
      <c r="B1751" s="2" t="str">
        <f>HYPERLINK("http://www.12365auto.com/xcdg/20200226/419604.shtml","玛莎拉蒂全新跑车MC20消息 将年内上市")</f>
        <v>玛莎拉蒂全新跑车MC20消息 将年内上市</v>
      </c>
      <c r="C1751" s="2" t="s">
        <v>13</v>
      </c>
      <c r="D1751" s="2" t="s">
        <v>12</v>
      </c>
      <c r="E1751" s="2" t="s">
        <v>216</v>
      </c>
      <c r="F1751" s="2" t="str">
        <f>HYPERLINK("http://www.12365auto.com/xcdg/20200226/419604.shtml","http://www.12365auto.com/xcdg/20200226/419604.shtml")</f>
        <v>http://www.12365auto.com/xcdg/20200226/419604.shtml</v>
      </c>
      <c r="G1751" s="2"/>
      <c r="H1751" s="2" t="s">
        <v>2635</v>
      </c>
      <c r="I1751" s="2" t="s">
        <v>15</v>
      </c>
      <c r="J1751" s="2" t="s">
        <v>12</v>
      </c>
      <c r="K1751" s="2" t="s">
        <v>2634</v>
      </c>
      <c r="L1751" s="2">
        <f t="shared" si="27"/>
        <v>150</v>
      </c>
    </row>
    <row r="1752" spans="1:12" ht="25" customHeight="1">
      <c r="A1752" s="2" t="s">
        <v>12</v>
      </c>
      <c r="B1752" s="2" t="str">
        <f>HYPERLINK("http://m.12365auto.com/news/20200226/419603.shtml","2020年汽车年检将有所调整 费用上涨等")</f>
        <v>2020年汽车年检将有所调整 费用上涨等</v>
      </c>
      <c r="C1752" s="2" t="s">
        <v>13</v>
      </c>
      <c r="D1752" s="2" t="s">
        <v>12</v>
      </c>
      <c r="E1752" s="2"/>
      <c r="F1752" s="2" t="str">
        <f>HYPERLINK("http://m.12365auto.com/news/20200226/419603.shtml","http://m.12365auto.com/news/20200226/419603.shtml")</f>
        <v>http://m.12365auto.com/news/20200226/419603.shtml</v>
      </c>
      <c r="G1752" s="2"/>
      <c r="H1752" s="2" t="s">
        <v>2636</v>
      </c>
      <c r="I1752" s="2" t="s">
        <v>19</v>
      </c>
      <c r="J1752" s="2" t="s">
        <v>1657</v>
      </c>
      <c r="K1752" s="2" t="s">
        <v>2637</v>
      </c>
      <c r="L1752" s="2">
        <f t="shared" si="27"/>
        <v>150</v>
      </c>
    </row>
    <row r="1753" spans="1:12" ht="25" customHeight="1">
      <c r="A1753" s="2" t="s">
        <v>12</v>
      </c>
      <c r="B1753" s="2" t="str">
        <f>HYPERLINK("http://www.12365auto.com/news/20200226/419603.shtml","2020年汽车年检将有所调整 费用上涨等")</f>
        <v>2020年汽车年检将有所调整 费用上涨等</v>
      </c>
      <c r="C1753" s="2" t="s">
        <v>13</v>
      </c>
      <c r="D1753" s="2" t="s">
        <v>12</v>
      </c>
      <c r="E1753" s="2" t="s">
        <v>276</v>
      </c>
      <c r="F1753" s="2" t="str">
        <f>HYPERLINK("http://www.12365auto.com/news/20200226/419603.shtml","http://www.12365auto.com/news/20200226/419603.shtml")</f>
        <v>http://www.12365auto.com/news/20200226/419603.shtml</v>
      </c>
      <c r="G1753" s="2"/>
      <c r="H1753" s="2" t="s">
        <v>2638</v>
      </c>
      <c r="I1753" s="2" t="s">
        <v>15</v>
      </c>
      <c r="J1753" s="2" t="s">
        <v>12</v>
      </c>
      <c r="K1753" s="2" t="s">
        <v>2637</v>
      </c>
      <c r="L1753" s="2">
        <f t="shared" si="27"/>
        <v>150</v>
      </c>
    </row>
    <row r="1754" spans="1:12" ht="25" customHeight="1">
      <c r="A1754" s="2" t="s">
        <v>12</v>
      </c>
      <c r="B1754" s="2" t="str">
        <f>HYPERLINK("http://www.12365auto.com/news/20200226/419602.shtml","能动嘴绝不动手  HERE拓展汽车语音助理")</f>
        <v>能动嘴绝不动手  HERE拓展汽车语音助理</v>
      </c>
      <c r="C1754" s="2" t="s">
        <v>13</v>
      </c>
      <c r="D1754" s="2" t="s">
        <v>12</v>
      </c>
      <c r="E1754" s="2" t="s">
        <v>282</v>
      </c>
      <c r="F1754" s="2" t="str">
        <f>HYPERLINK("http://www.12365auto.com/news/20200226/419602.shtml","http://www.12365auto.com/news/20200226/419602.shtml")</f>
        <v>http://www.12365auto.com/news/20200226/419602.shtml</v>
      </c>
      <c r="G1754" s="2"/>
      <c r="H1754" s="2" t="s">
        <v>2639</v>
      </c>
      <c r="I1754" s="2" t="s">
        <v>19</v>
      </c>
      <c r="J1754" s="2" t="s">
        <v>12</v>
      </c>
      <c r="K1754" s="2" t="s">
        <v>2640</v>
      </c>
      <c r="L1754" s="2">
        <f t="shared" si="27"/>
        <v>150</v>
      </c>
    </row>
    <row r="1755" spans="1:12" ht="25" customHeight="1">
      <c r="A1755" s="2" t="s">
        <v>12</v>
      </c>
      <c r="B1755" s="2" t="str">
        <f>HYPERLINK("http://m.12365auto.com/news/20200226/419602.shtml","能动嘴绝不动手  HERE拓展汽车语音助理")</f>
        <v>能动嘴绝不动手  HERE拓展汽车语音助理</v>
      </c>
      <c r="C1755" s="2" t="s">
        <v>13</v>
      </c>
      <c r="D1755" s="2" t="s">
        <v>12</v>
      </c>
      <c r="E1755" s="2"/>
      <c r="F1755" s="2" t="str">
        <f>HYPERLINK("http://m.12365auto.com/news/20200226/419602.shtml","http://m.12365auto.com/news/20200226/419602.shtml")</f>
        <v>http://m.12365auto.com/news/20200226/419602.shtml</v>
      </c>
      <c r="G1755" s="2"/>
      <c r="H1755" s="2" t="s">
        <v>2641</v>
      </c>
      <c r="I1755" s="2" t="s">
        <v>19</v>
      </c>
      <c r="J1755" s="2" t="s">
        <v>2589</v>
      </c>
      <c r="K1755" s="2" t="s">
        <v>2640</v>
      </c>
      <c r="L1755" s="2">
        <f t="shared" si="27"/>
        <v>150</v>
      </c>
    </row>
    <row r="1756" spans="1:12" ht="25" customHeight="1">
      <c r="A1756" s="2" t="s">
        <v>12</v>
      </c>
      <c r="B1756" s="2" t="str">
        <f>HYPERLINK("http://www.12365auto.com/news/20200226/419601.shtml","应用于新车型 现代/起亚首推智能网联变速")</f>
        <v>应用于新车型 现代/起亚首推智能网联变速</v>
      </c>
      <c r="C1756" s="2" t="s">
        <v>13</v>
      </c>
      <c r="D1756" s="2" t="s">
        <v>12</v>
      </c>
      <c r="E1756" s="2" t="s">
        <v>282</v>
      </c>
      <c r="F1756" s="2" t="str">
        <f>HYPERLINK("http://www.12365auto.com/news/20200226/419601.shtml","http://www.12365auto.com/news/20200226/419601.shtml")</f>
        <v>http://www.12365auto.com/news/20200226/419601.shtml</v>
      </c>
      <c r="G1756" s="2"/>
      <c r="H1756" s="2" t="s">
        <v>2642</v>
      </c>
      <c r="I1756" s="2" t="s">
        <v>19</v>
      </c>
      <c r="J1756" s="2" t="s">
        <v>12</v>
      </c>
      <c r="K1756" s="2" t="s">
        <v>2643</v>
      </c>
      <c r="L1756" s="2">
        <f t="shared" si="27"/>
        <v>150</v>
      </c>
    </row>
    <row r="1757" spans="1:12" ht="25" customHeight="1">
      <c r="A1757" s="2" t="s">
        <v>12</v>
      </c>
      <c r="B1757" s="2" t="str">
        <f>HYPERLINK("http://m.12365auto.com/news/20200226/419601.shtml","应用于新车型 现代/起亚首推智能网联变速")</f>
        <v>应用于新车型 现代/起亚首推智能网联变速</v>
      </c>
      <c r="C1757" s="2" t="s">
        <v>13</v>
      </c>
      <c r="D1757" s="2" t="s">
        <v>12</v>
      </c>
      <c r="E1757" s="2"/>
      <c r="F1757" s="2" t="str">
        <f>HYPERLINK("http://m.12365auto.com/news/20200226/419601.shtml","http://m.12365auto.com/news/20200226/419601.shtml")</f>
        <v>http://m.12365auto.com/news/20200226/419601.shtml</v>
      </c>
      <c r="G1757" s="2"/>
      <c r="H1757" s="2" t="s">
        <v>2644</v>
      </c>
      <c r="I1757" s="2" t="s">
        <v>19</v>
      </c>
      <c r="J1757" s="2" t="s">
        <v>236</v>
      </c>
      <c r="K1757" s="2" t="s">
        <v>2643</v>
      </c>
      <c r="L1757" s="2">
        <f t="shared" si="27"/>
        <v>150</v>
      </c>
    </row>
    <row r="1758" spans="1:12" ht="25" customHeight="1">
      <c r="A1758" s="2" t="s">
        <v>12</v>
      </c>
      <c r="B1758" s="2" t="str">
        <f>HYPERLINK("http://www.12365auto.com/xcdg/20200226/419600.shtml","蔚来EC6项目启动 续航超600km/或9月上市")</f>
        <v>蔚来EC6项目启动 续航超600km/或9月上市</v>
      </c>
      <c r="C1758" s="2" t="s">
        <v>13</v>
      </c>
      <c r="D1758" s="2" t="s">
        <v>12</v>
      </c>
      <c r="E1758" s="2" t="s">
        <v>245</v>
      </c>
      <c r="F1758" s="2" t="str">
        <f>HYPERLINK("http://www.12365auto.com/xcdg/20200226/419600.shtml","http://www.12365auto.com/xcdg/20200226/419600.shtml")</f>
        <v>http://www.12365auto.com/xcdg/20200226/419600.shtml</v>
      </c>
      <c r="G1758" s="2"/>
      <c r="H1758" s="2" t="s">
        <v>2645</v>
      </c>
      <c r="I1758" s="2" t="s">
        <v>19</v>
      </c>
      <c r="J1758" s="2" t="s">
        <v>12</v>
      </c>
      <c r="K1758" s="2" t="s">
        <v>2646</v>
      </c>
      <c r="L1758" s="2">
        <f t="shared" si="27"/>
        <v>150</v>
      </c>
    </row>
    <row r="1759" spans="1:12" ht="25" customHeight="1">
      <c r="A1759" s="2" t="s">
        <v>12</v>
      </c>
      <c r="B1759" s="2" t="str">
        <f>HYPERLINK("http://m.12365auto.com/xcdg/20200226/419600.shtml","蔚来EC6项目启动 续航超600km/或9月上市")</f>
        <v>蔚来EC6项目启动 续航超600km/或9月上市</v>
      </c>
      <c r="C1759" s="2" t="s">
        <v>13</v>
      </c>
      <c r="D1759" s="2" t="s">
        <v>12</v>
      </c>
      <c r="E1759" s="2"/>
      <c r="F1759" s="2" t="str">
        <f>HYPERLINK("http://m.12365auto.com/xcdg/20200226/419600.shtml","http://m.12365auto.com/xcdg/20200226/419600.shtml")</f>
        <v>http://m.12365auto.com/xcdg/20200226/419600.shtml</v>
      </c>
      <c r="G1759" s="2"/>
      <c r="H1759" s="2" t="s">
        <v>2647</v>
      </c>
      <c r="I1759" s="2" t="s">
        <v>19</v>
      </c>
      <c r="J1759" s="2" t="s">
        <v>768</v>
      </c>
      <c r="K1759" s="2" t="s">
        <v>2646</v>
      </c>
      <c r="L1759" s="2">
        <f t="shared" si="27"/>
        <v>150</v>
      </c>
    </row>
    <row r="1760" spans="1:12" ht="25" customHeight="1">
      <c r="A1760" s="2" t="s">
        <v>12</v>
      </c>
      <c r="B1760" s="2" t="str">
        <f>HYPERLINK("http://m.12365auto.com/news/20200226/419599.shtml","自动驾驶界黑马？ 百度Apollo平台新进展")</f>
        <v>自动驾驶界黑马？ 百度Apollo平台新进展</v>
      </c>
      <c r="C1760" s="2" t="s">
        <v>13</v>
      </c>
      <c r="D1760" s="2" t="s">
        <v>12</v>
      </c>
      <c r="E1760" s="2"/>
      <c r="F1760" s="2" t="str">
        <f>HYPERLINK("http://m.12365auto.com/news/20200226/419599.shtml","http://m.12365auto.com/news/20200226/419599.shtml")</f>
        <v>http://m.12365auto.com/news/20200226/419599.shtml</v>
      </c>
      <c r="G1760" s="2"/>
      <c r="H1760" s="2" t="s">
        <v>2648</v>
      </c>
      <c r="I1760" s="2" t="s">
        <v>19</v>
      </c>
      <c r="J1760" s="2" t="s">
        <v>1619</v>
      </c>
      <c r="K1760" s="2" t="s">
        <v>2649</v>
      </c>
      <c r="L1760" s="2">
        <f t="shared" si="27"/>
        <v>150</v>
      </c>
    </row>
    <row r="1761" spans="1:12" ht="25" customHeight="1">
      <c r="A1761" s="2" t="s">
        <v>12</v>
      </c>
      <c r="B1761" s="2" t="str">
        <f>HYPERLINK("http://bbs.12365auto.com/postcontent.aspx?tID=195260","汽车原厂漆和4S店修补漆 区别到底在哪里")</f>
        <v>汽车原厂漆和4S店修补漆 区别到底在哪里</v>
      </c>
      <c r="C1761" s="2" t="s">
        <v>13</v>
      </c>
      <c r="D1761" s="2" t="s">
        <v>12</v>
      </c>
      <c r="E1761" s="2" t="s">
        <v>28</v>
      </c>
      <c r="F1761" s="2" t="str">
        <f>HYPERLINK("http://bbs.12365auto.com/postcontent.aspx?tID=195260","http://bbs.12365auto.com/postcontent.aspx?tID=195260")</f>
        <v>http://bbs.12365auto.com/postcontent.aspx?tID=195260</v>
      </c>
      <c r="G1761" s="2"/>
      <c r="H1761" s="2" t="s">
        <v>2650</v>
      </c>
      <c r="I1761" s="2" t="s">
        <v>15</v>
      </c>
      <c r="J1761" s="2" t="s">
        <v>2651</v>
      </c>
      <c r="K1761" s="2" t="s">
        <v>2649</v>
      </c>
      <c r="L1761" s="2">
        <f t="shared" si="27"/>
        <v>150</v>
      </c>
    </row>
    <row r="1762" spans="1:12" ht="25" customHeight="1">
      <c r="A1762" s="2" t="s">
        <v>12</v>
      </c>
      <c r="B1762" s="2" t="str">
        <f>HYPERLINK("http://bbs.12365auto.com/postcontent.aspx?tID=195258","电动汽车五年内有可能比燃油车便宜吗")</f>
        <v>电动汽车五年内有可能比燃油车便宜吗</v>
      </c>
      <c r="C1762" s="2" t="s">
        <v>13</v>
      </c>
      <c r="D1762" s="2" t="s">
        <v>12</v>
      </c>
      <c r="E1762" s="2" t="s">
        <v>28</v>
      </c>
      <c r="F1762" s="2" t="str">
        <f>HYPERLINK("http://bbs.12365auto.com/postcontent.aspx?tID=195258","http://bbs.12365auto.com/postcontent.aspx?tID=195258")</f>
        <v>http://bbs.12365auto.com/postcontent.aspx?tID=195258</v>
      </c>
      <c r="G1762" s="2"/>
      <c r="H1762" s="2" t="s">
        <v>2652</v>
      </c>
      <c r="I1762" s="2" t="s">
        <v>15</v>
      </c>
      <c r="J1762" s="2" t="s">
        <v>2651</v>
      </c>
      <c r="K1762" s="2" t="s">
        <v>2649</v>
      </c>
      <c r="L1762" s="2">
        <f t="shared" si="27"/>
        <v>150</v>
      </c>
    </row>
    <row r="1763" spans="1:12" ht="25" customHeight="1">
      <c r="A1763" s="2" t="s">
        <v>12</v>
      </c>
      <c r="B1763" s="2" t="str">
        <f>HYPERLINK("http://bbs.12365auto.com/postcontent.aspx?tID=195259","很多汽车后排都有鼓包 为啥不能完全做平呢")</f>
        <v>很多汽车后排都有鼓包 为啥不能完全做平呢</v>
      </c>
      <c r="C1763" s="2" t="s">
        <v>13</v>
      </c>
      <c r="D1763" s="2" t="s">
        <v>12</v>
      </c>
      <c r="E1763" s="2" t="s">
        <v>28</v>
      </c>
      <c r="F1763" s="2" t="str">
        <f>HYPERLINK("http://bbs.12365auto.com/postcontent.aspx?tID=195259","http://bbs.12365auto.com/postcontent.aspx?tID=195259")</f>
        <v>http://bbs.12365auto.com/postcontent.aspx?tID=195259</v>
      </c>
      <c r="G1763" s="2"/>
      <c r="H1763" s="2" t="s">
        <v>2653</v>
      </c>
      <c r="I1763" s="2" t="s">
        <v>15</v>
      </c>
      <c r="J1763" s="2" t="s">
        <v>2651</v>
      </c>
      <c r="K1763" s="2" t="s">
        <v>2649</v>
      </c>
      <c r="L1763" s="2">
        <f t="shared" si="27"/>
        <v>150</v>
      </c>
    </row>
    <row r="1764" spans="1:12" ht="25" customHeight="1">
      <c r="A1764" s="2" t="s">
        <v>12</v>
      </c>
      <c r="B1764" s="2" t="str">
        <f>HYPERLINK("http://www.12365auto.com/news/20200226/419599.shtml","自动驾驶界黑马？ 百度Apollo平台新进展")</f>
        <v>自动驾驶界黑马？ 百度Apollo平台新进展</v>
      </c>
      <c r="C1764" s="2" t="s">
        <v>13</v>
      </c>
      <c r="D1764" s="2" t="s">
        <v>12</v>
      </c>
      <c r="E1764" s="2" t="s">
        <v>282</v>
      </c>
      <c r="F1764" s="2" t="str">
        <f>HYPERLINK("http://www.12365auto.com/news/20200226/419599.shtml","http://www.12365auto.com/news/20200226/419599.shtml")</f>
        <v>http://www.12365auto.com/news/20200226/419599.shtml</v>
      </c>
      <c r="G1764" s="2"/>
      <c r="H1764" s="2" t="s">
        <v>2654</v>
      </c>
      <c r="I1764" s="2" t="s">
        <v>19</v>
      </c>
      <c r="J1764" s="2" t="s">
        <v>12</v>
      </c>
      <c r="K1764" s="2" t="s">
        <v>2649</v>
      </c>
      <c r="L1764" s="2">
        <f t="shared" si="27"/>
        <v>150</v>
      </c>
    </row>
    <row r="1765" spans="1:12" ht="25" customHeight="1">
      <c r="A1765" s="2" t="s">
        <v>12</v>
      </c>
      <c r="B1765" s="2" t="str">
        <f>HYPERLINK("http://m.12365auto.com/bbs/postcontent.aspx?tID=195260","汽车原厂漆和4S店修补漆 区别到底在哪里")</f>
        <v>汽车原厂漆和4S店修补漆 区别到底在哪里</v>
      </c>
      <c r="C1765" s="2" t="s">
        <v>13</v>
      </c>
      <c r="D1765" s="2" t="s">
        <v>23</v>
      </c>
      <c r="E1765" s="2"/>
      <c r="F1765" s="2" t="str">
        <f>HYPERLINK("http://m.12365auto.com/bbs/postcontent.aspx?tID=195260","http://m.12365auto.com/bbs/postcontent.aspx?tID=195260")</f>
        <v>http://m.12365auto.com/bbs/postcontent.aspx?tID=195260</v>
      </c>
      <c r="G1765" s="2"/>
      <c r="H1765" s="2" t="s">
        <v>2655</v>
      </c>
      <c r="I1765" s="2" t="s">
        <v>15</v>
      </c>
      <c r="J1765" s="2" t="s">
        <v>2651</v>
      </c>
      <c r="K1765" s="2" t="s">
        <v>2649</v>
      </c>
      <c r="L1765" s="2">
        <f t="shared" si="27"/>
        <v>150</v>
      </c>
    </row>
    <row r="1766" spans="1:12" ht="25" customHeight="1">
      <c r="A1766" s="2" t="s">
        <v>12</v>
      </c>
      <c r="B1766" s="2" t="str">
        <f>HYPERLINK("http://m.12365auto.com/bbs/postcontent.aspx?tID=195259","很多汽车后排都有鼓包 为啥不能完全做平呢")</f>
        <v>很多汽车后排都有鼓包 为啥不能完全做平呢</v>
      </c>
      <c r="C1766" s="2" t="s">
        <v>13</v>
      </c>
      <c r="D1766" s="2" t="s">
        <v>23</v>
      </c>
      <c r="E1766" s="2"/>
      <c r="F1766" s="2" t="str">
        <f>HYPERLINK("http://m.12365auto.com/bbs/postcontent.aspx?tID=195259","http://m.12365auto.com/bbs/postcontent.aspx?tID=195259")</f>
        <v>http://m.12365auto.com/bbs/postcontent.aspx?tID=195259</v>
      </c>
      <c r="G1766" s="2"/>
      <c r="H1766" s="2" t="s">
        <v>2656</v>
      </c>
      <c r="I1766" s="2" t="s">
        <v>15</v>
      </c>
      <c r="J1766" s="2" t="s">
        <v>2651</v>
      </c>
      <c r="K1766" s="2" t="s">
        <v>2649</v>
      </c>
      <c r="L1766" s="2">
        <f t="shared" si="27"/>
        <v>150</v>
      </c>
    </row>
    <row r="1767" spans="1:12" ht="25" customHeight="1">
      <c r="A1767" s="2" t="s">
        <v>12</v>
      </c>
      <c r="B1767" s="2" t="str">
        <f>HYPERLINK("http://m.12365auto.com/bbs/postcontent.aspx?tID=195258","电动汽车五年内有可能比燃油车便宜吗")</f>
        <v>电动汽车五年内有可能比燃油车便宜吗</v>
      </c>
      <c r="C1767" s="2" t="s">
        <v>13</v>
      </c>
      <c r="D1767" s="2" t="s">
        <v>23</v>
      </c>
      <c r="E1767" s="2"/>
      <c r="F1767" s="2" t="str">
        <f>HYPERLINK("http://m.12365auto.com/bbs/postcontent.aspx?tID=195258","http://m.12365auto.com/bbs/postcontent.aspx?tID=195258")</f>
        <v>http://m.12365auto.com/bbs/postcontent.aspx?tID=195258</v>
      </c>
      <c r="G1767" s="2"/>
      <c r="H1767" s="2" t="s">
        <v>2657</v>
      </c>
      <c r="I1767" s="2" t="s">
        <v>15</v>
      </c>
      <c r="J1767" s="2" t="s">
        <v>2651</v>
      </c>
      <c r="K1767" s="2" t="s">
        <v>2649</v>
      </c>
      <c r="L1767" s="2">
        <f t="shared" si="27"/>
        <v>150</v>
      </c>
    </row>
    <row r="1768" spans="1:12" ht="25" customHeight="1">
      <c r="A1768" s="2" t="s">
        <v>12</v>
      </c>
      <c r="B1768" s="2" t="str">
        <f>HYPERLINK("http://bbs.12365auto.com/postcontent.aspx?tId=195260","汽车原厂漆和4S店修补漆 区别到底在哪里")</f>
        <v>汽车原厂漆和4S店修补漆 区别到底在哪里</v>
      </c>
      <c r="C1768" s="2" t="s">
        <v>13</v>
      </c>
      <c r="D1768" s="2" t="s">
        <v>12</v>
      </c>
      <c r="E1768" s="2" t="s">
        <v>27</v>
      </c>
      <c r="F1768" s="2" t="str">
        <f>HYPERLINK("http://bbs.12365auto.com/postcontent.aspx?tId=195260","http://bbs.12365auto.com/postcontent.aspx?tId=195260")</f>
        <v>http://bbs.12365auto.com/postcontent.aspx?tId=195260</v>
      </c>
      <c r="G1768" s="2"/>
      <c r="H1768" s="2" t="s">
        <v>2655</v>
      </c>
      <c r="I1768" s="2" t="s">
        <v>15</v>
      </c>
      <c r="J1768" s="2" t="s">
        <v>2651</v>
      </c>
      <c r="K1768" s="2" t="s">
        <v>2649</v>
      </c>
      <c r="L1768" s="2">
        <f t="shared" si="27"/>
        <v>150</v>
      </c>
    </row>
    <row r="1769" spans="1:12" ht="25" customHeight="1">
      <c r="A1769" s="2" t="s">
        <v>12</v>
      </c>
      <c r="B1769" s="2" t="str">
        <f>HYPERLINK("http://bbs.12365auto.com/postcontent.aspx?tId=195258","电动汽车五年内有可能比燃油车便宜吗")</f>
        <v>电动汽车五年内有可能比燃油车便宜吗</v>
      </c>
      <c r="C1769" s="2" t="s">
        <v>13</v>
      </c>
      <c r="D1769" s="2" t="s">
        <v>12</v>
      </c>
      <c r="E1769" s="2" t="s">
        <v>27</v>
      </c>
      <c r="F1769" s="2" t="str">
        <f>HYPERLINK("http://bbs.12365auto.com/postcontent.aspx?tId=195258","http://bbs.12365auto.com/postcontent.aspx?tId=195258")</f>
        <v>http://bbs.12365auto.com/postcontent.aspx?tId=195258</v>
      </c>
      <c r="G1769" s="2"/>
      <c r="H1769" s="2" t="s">
        <v>2657</v>
      </c>
      <c r="I1769" s="2" t="s">
        <v>15</v>
      </c>
      <c r="J1769" s="2" t="s">
        <v>2651</v>
      </c>
      <c r="K1769" s="2" t="s">
        <v>2649</v>
      </c>
      <c r="L1769" s="2">
        <f t="shared" si="27"/>
        <v>150</v>
      </c>
    </row>
    <row r="1770" spans="1:12" ht="25" customHeight="1">
      <c r="A1770" s="2" t="s">
        <v>12</v>
      </c>
      <c r="B1770" s="2" t="str">
        <f>HYPERLINK("http://bbs.12365auto.com/postcontent.aspx?tId=195259","很多汽车后排都有鼓包 为啥不能完全做平呢")</f>
        <v>很多汽车后排都有鼓包 为啥不能完全做平呢</v>
      </c>
      <c r="C1770" s="2" t="s">
        <v>13</v>
      </c>
      <c r="D1770" s="2" t="s">
        <v>12</v>
      </c>
      <c r="E1770" s="2" t="s">
        <v>27</v>
      </c>
      <c r="F1770" s="2" t="str">
        <f>HYPERLINK("http://bbs.12365auto.com/postcontent.aspx?tId=195259","http://bbs.12365auto.com/postcontent.aspx?tId=195259")</f>
        <v>http://bbs.12365auto.com/postcontent.aspx?tId=195259</v>
      </c>
      <c r="G1770" s="2"/>
      <c r="H1770" s="2" t="s">
        <v>2656</v>
      </c>
      <c r="I1770" s="2" t="s">
        <v>15</v>
      </c>
      <c r="J1770" s="2" t="s">
        <v>2651</v>
      </c>
      <c r="K1770" s="2" t="s">
        <v>2649</v>
      </c>
      <c r="L1770" s="2">
        <f t="shared" si="27"/>
        <v>150</v>
      </c>
    </row>
    <row r="1771" spans="1:12" ht="25" customHeight="1">
      <c r="A1771" s="2" t="s">
        <v>12</v>
      </c>
      <c r="B1771" s="2" t="s">
        <v>2658</v>
      </c>
      <c r="C1771" s="2" t="s">
        <v>13</v>
      </c>
      <c r="D1771" s="2" t="s">
        <v>12</v>
      </c>
      <c r="E1771" s="2"/>
      <c r="F1771" s="2" t="str">
        <f>HYPERLINK("http://m.12365auto.com/parts/20200226/419598.shtml","http://m.12365auto.com/parts/20200226/419598.shtml")</f>
        <v>http://m.12365auto.com/parts/20200226/419598.shtml</v>
      </c>
      <c r="G1771" s="2"/>
      <c r="H1771" s="2" t="s">
        <v>2659</v>
      </c>
      <c r="I1771" s="2" t="s">
        <v>19</v>
      </c>
      <c r="J1771" s="2" t="s">
        <v>2660</v>
      </c>
      <c r="K1771" s="2" t="s">
        <v>2661</v>
      </c>
      <c r="L1771" s="2">
        <f t="shared" si="27"/>
        <v>150</v>
      </c>
    </row>
    <row r="1772" spans="1:12" ht="25" customHeight="1">
      <c r="A1772" s="2" t="s">
        <v>12</v>
      </c>
      <c r="B1772" s="2" t="str">
        <f>HYPERLINK("http://bbs.12365auto.com/postcontent.aspx?tID=195256","趣味科普系列之 汽车结构轻量化不光只靠铝合金")</f>
        <v>趣味科普系列之 汽车结构轻量化不光只靠铝合金</v>
      </c>
      <c r="C1772" s="2" t="s">
        <v>13</v>
      </c>
      <c r="D1772" s="2" t="s">
        <v>12</v>
      </c>
      <c r="E1772" s="2" t="s">
        <v>28</v>
      </c>
      <c r="F1772" s="2" t="str">
        <f>HYPERLINK("http://bbs.12365auto.com/postcontent.aspx?tID=195256","http://bbs.12365auto.com/postcontent.aspx?tID=195256")</f>
        <v>http://bbs.12365auto.com/postcontent.aspx?tID=195256</v>
      </c>
      <c r="G1772" s="2"/>
      <c r="H1772" s="2" t="s">
        <v>2662</v>
      </c>
      <c r="I1772" s="2" t="s">
        <v>15</v>
      </c>
      <c r="J1772" s="2" t="s">
        <v>2651</v>
      </c>
      <c r="K1772" s="2" t="s">
        <v>2661</v>
      </c>
      <c r="L1772" s="2">
        <f t="shared" si="27"/>
        <v>150</v>
      </c>
    </row>
    <row r="1773" spans="1:12" ht="25" customHeight="1">
      <c r="A1773" s="2" t="s">
        <v>12</v>
      </c>
      <c r="B1773" s="2" t="str">
        <f>HYPERLINK("http://bbs.12365auto.com/postcontent.aspx?tID=195257","盘点5个有趣的汽车冷知识")</f>
        <v>盘点5个有趣的汽车冷知识</v>
      </c>
      <c r="C1773" s="2" t="s">
        <v>13</v>
      </c>
      <c r="D1773" s="2" t="s">
        <v>12</v>
      </c>
      <c r="E1773" s="2" t="s">
        <v>28</v>
      </c>
      <c r="F1773" s="2" t="str">
        <f>HYPERLINK("http://bbs.12365auto.com/postcontent.aspx?tID=195257","http://bbs.12365auto.com/postcontent.aspx?tID=195257")</f>
        <v>http://bbs.12365auto.com/postcontent.aspx?tID=195257</v>
      </c>
      <c r="G1773" s="2"/>
      <c r="H1773" s="2" t="s">
        <v>2663</v>
      </c>
      <c r="I1773" s="2" t="s">
        <v>15</v>
      </c>
      <c r="J1773" s="2" t="s">
        <v>2651</v>
      </c>
      <c r="K1773" s="2" t="s">
        <v>2661</v>
      </c>
      <c r="L1773" s="2">
        <f t="shared" si="27"/>
        <v>150</v>
      </c>
    </row>
    <row r="1774" spans="1:12" ht="25" customHeight="1">
      <c r="A1774" s="2" t="s">
        <v>12</v>
      </c>
      <c r="B1774" s="2" t="s">
        <v>2658</v>
      </c>
      <c r="C1774" s="2" t="s">
        <v>13</v>
      </c>
      <c r="D1774" s="2" t="s">
        <v>12</v>
      </c>
      <c r="E1774" s="2" t="s">
        <v>240</v>
      </c>
      <c r="F1774" s="2" t="str">
        <f>HYPERLINK("http://www.12365auto.com/parts/20200226/419598.shtml","http://www.12365auto.com/parts/20200226/419598.shtml")</f>
        <v>http://www.12365auto.com/parts/20200226/419598.shtml</v>
      </c>
      <c r="G1774" s="2"/>
      <c r="H1774" s="2" t="s">
        <v>2664</v>
      </c>
      <c r="I1774" s="2" t="s">
        <v>15</v>
      </c>
      <c r="J1774" s="2" t="s">
        <v>12</v>
      </c>
      <c r="K1774" s="2" t="s">
        <v>2661</v>
      </c>
      <c r="L1774" s="2">
        <f t="shared" si="27"/>
        <v>150</v>
      </c>
    </row>
    <row r="1775" spans="1:12" ht="25" customHeight="1">
      <c r="A1775" s="2" t="s">
        <v>12</v>
      </c>
      <c r="B1775" s="2" t="str">
        <f>HYPERLINK("http://m.12365auto.com/bbs/postcontent.aspx?tID=195257","盘点5个有趣的汽车冷知识")</f>
        <v>盘点5个有趣的汽车冷知识</v>
      </c>
      <c r="C1775" s="2" t="s">
        <v>13</v>
      </c>
      <c r="D1775" s="2" t="s">
        <v>23</v>
      </c>
      <c r="E1775" s="2"/>
      <c r="F1775" s="2" t="str">
        <f>HYPERLINK("http://m.12365auto.com/bbs/postcontent.aspx?tID=195257","http://m.12365auto.com/bbs/postcontent.aspx?tID=195257")</f>
        <v>http://m.12365auto.com/bbs/postcontent.aspx?tID=195257</v>
      </c>
      <c r="G1775" s="2"/>
      <c r="H1775" s="2" t="s">
        <v>2665</v>
      </c>
      <c r="I1775" s="2" t="s">
        <v>15</v>
      </c>
      <c r="J1775" s="2" t="s">
        <v>2651</v>
      </c>
      <c r="K1775" s="2" t="s">
        <v>2661</v>
      </c>
      <c r="L1775" s="2">
        <f t="shared" si="27"/>
        <v>150</v>
      </c>
    </row>
    <row r="1776" spans="1:12" ht="25" customHeight="1">
      <c r="A1776" s="2" t="s">
        <v>12</v>
      </c>
      <c r="B1776" s="2" t="str">
        <f>HYPERLINK("http://m.12365auto.com/bbs/postcontent.aspx?tID=195256","趣味科普系列之 汽车结构轻量化不光只靠铝合金")</f>
        <v>趣味科普系列之 汽车结构轻量化不光只靠铝合金</v>
      </c>
      <c r="C1776" s="2" t="s">
        <v>13</v>
      </c>
      <c r="D1776" s="2" t="s">
        <v>23</v>
      </c>
      <c r="E1776" s="2"/>
      <c r="F1776" s="2" t="str">
        <f>HYPERLINK("http://m.12365auto.com/bbs/postcontent.aspx?tID=195256","http://m.12365auto.com/bbs/postcontent.aspx?tID=195256")</f>
        <v>http://m.12365auto.com/bbs/postcontent.aspx?tID=195256</v>
      </c>
      <c r="G1776" s="2"/>
      <c r="H1776" s="2" t="s">
        <v>2666</v>
      </c>
      <c r="I1776" s="2" t="s">
        <v>15</v>
      </c>
      <c r="J1776" s="2" t="s">
        <v>2651</v>
      </c>
      <c r="K1776" s="2" t="s">
        <v>2661</v>
      </c>
      <c r="L1776" s="2">
        <f t="shared" si="27"/>
        <v>150</v>
      </c>
    </row>
    <row r="1777" spans="1:12" ht="25" customHeight="1">
      <c r="A1777" s="2" t="s">
        <v>12</v>
      </c>
      <c r="B1777" s="2" t="str">
        <f>HYPERLINK("http://bbs.12365auto.com/postcontent.aspx?tId=195257","盘点5个有趣的汽车冷知识")</f>
        <v>盘点5个有趣的汽车冷知识</v>
      </c>
      <c r="C1777" s="2" t="s">
        <v>13</v>
      </c>
      <c r="D1777" s="2" t="s">
        <v>12</v>
      </c>
      <c r="E1777" s="2" t="s">
        <v>27</v>
      </c>
      <c r="F1777" s="2" t="str">
        <f>HYPERLINK("http://bbs.12365auto.com/postcontent.aspx?tId=195257","http://bbs.12365auto.com/postcontent.aspx?tId=195257")</f>
        <v>http://bbs.12365auto.com/postcontent.aspx?tId=195257</v>
      </c>
      <c r="G1777" s="2"/>
      <c r="H1777" s="2" t="s">
        <v>2665</v>
      </c>
      <c r="I1777" s="2" t="s">
        <v>15</v>
      </c>
      <c r="J1777" s="2" t="s">
        <v>2651</v>
      </c>
      <c r="K1777" s="2" t="s">
        <v>2661</v>
      </c>
      <c r="L1777" s="2">
        <f t="shared" si="27"/>
        <v>150</v>
      </c>
    </row>
    <row r="1778" spans="1:12" ht="25" customHeight="1">
      <c r="A1778" s="2" t="s">
        <v>12</v>
      </c>
      <c r="B1778" s="2" t="str">
        <f>HYPERLINK("http://bbs.12365auto.com/postcontent.aspx?tId=195256","趣味科普系列之 汽车结构轻量化不光只靠铝合金")</f>
        <v>趣味科普系列之 汽车结构轻量化不光只靠铝合金</v>
      </c>
      <c r="C1778" s="2" t="s">
        <v>13</v>
      </c>
      <c r="D1778" s="2" t="s">
        <v>12</v>
      </c>
      <c r="E1778" s="2" t="s">
        <v>27</v>
      </c>
      <c r="F1778" s="2" t="str">
        <f>HYPERLINK("http://bbs.12365auto.com/postcontent.aspx?tId=195256","http://bbs.12365auto.com/postcontent.aspx?tId=195256")</f>
        <v>http://bbs.12365auto.com/postcontent.aspx?tId=195256</v>
      </c>
      <c r="G1778" s="2"/>
      <c r="H1778" s="2" t="s">
        <v>2666</v>
      </c>
      <c r="I1778" s="2" t="s">
        <v>15</v>
      </c>
      <c r="J1778" s="2" t="s">
        <v>2651</v>
      </c>
      <c r="K1778" s="2" t="s">
        <v>2661</v>
      </c>
      <c r="L1778" s="2">
        <f t="shared" si="27"/>
        <v>150</v>
      </c>
    </row>
    <row r="1779" spans="1:12" ht="25" customHeight="1">
      <c r="A1779" s="2" t="s">
        <v>12</v>
      </c>
      <c r="B1779" s="2" t="str">
        <f>HYPERLINK("http://bbs.12365auto.com/postcontent.aspx?tID=195255","水深不怕坑 教你如何鉴别二手车")</f>
        <v>水深不怕坑 教你如何鉴别二手车</v>
      </c>
      <c r="C1779" s="2" t="s">
        <v>13</v>
      </c>
      <c r="D1779" s="2" t="s">
        <v>12</v>
      </c>
      <c r="E1779" s="2" t="s">
        <v>28</v>
      </c>
      <c r="F1779" s="2" t="str">
        <f>HYPERLINK("http://bbs.12365auto.com/postcontent.aspx?tID=195255","http://bbs.12365auto.com/postcontent.aspx?tID=195255")</f>
        <v>http://bbs.12365auto.com/postcontent.aspx?tID=195255</v>
      </c>
      <c r="G1779" s="2"/>
      <c r="H1779" s="2" t="s">
        <v>2667</v>
      </c>
      <c r="I1779" s="2" t="s">
        <v>15</v>
      </c>
      <c r="J1779" s="2" t="s">
        <v>2651</v>
      </c>
      <c r="K1779" s="2" t="s">
        <v>2668</v>
      </c>
      <c r="L1779" s="2">
        <f t="shared" si="27"/>
        <v>150</v>
      </c>
    </row>
    <row r="1780" spans="1:12" ht="25" customHeight="1">
      <c r="A1780" s="2" t="s">
        <v>12</v>
      </c>
      <c r="B1780" s="2" t="str">
        <f>HYPERLINK("http://m.12365auto.com/bbs/postcontent.aspx?tID=195255","水深不怕坑 教你如何鉴别二手车")</f>
        <v>水深不怕坑 教你如何鉴别二手车</v>
      </c>
      <c r="C1780" s="2" t="s">
        <v>13</v>
      </c>
      <c r="D1780" s="2" t="s">
        <v>23</v>
      </c>
      <c r="E1780" s="2"/>
      <c r="F1780" s="2" t="str">
        <f>HYPERLINK("http://m.12365auto.com/bbs/postcontent.aspx?tID=195255","http://m.12365auto.com/bbs/postcontent.aspx?tID=195255")</f>
        <v>http://m.12365auto.com/bbs/postcontent.aspx?tID=195255</v>
      </c>
      <c r="G1780" s="2"/>
      <c r="H1780" s="2" t="s">
        <v>2669</v>
      </c>
      <c r="I1780" s="2" t="s">
        <v>15</v>
      </c>
      <c r="J1780" s="2" t="s">
        <v>2651</v>
      </c>
      <c r="K1780" s="2" t="s">
        <v>2668</v>
      </c>
      <c r="L1780" s="2">
        <f t="shared" si="27"/>
        <v>150</v>
      </c>
    </row>
    <row r="1781" spans="1:12" ht="25" customHeight="1">
      <c r="A1781" s="2" t="s">
        <v>12</v>
      </c>
      <c r="B1781" s="2" t="str">
        <f>HYPERLINK("http://bbs.12365auto.com/postcontent.aspx?tId=195255","水深不怕坑 教你如何鉴别二手车")</f>
        <v>水深不怕坑 教你如何鉴别二手车</v>
      </c>
      <c r="C1781" s="2" t="s">
        <v>13</v>
      </c>
      <c r="D1781" s="2" t="s">
        <v>12</v>
      </c>
      <c r="E1781" s="2" t="s">
        <v>27</v>
      </c>
      <c r="F1781" s="2" t="str">
        <f>HYPERLINK("http://bbs.12365auto.com/postcontent.aspx?tId=195255","http://bbs.12365auto.com/postcontent.aspx?tId=195255")</f>
        <v>http://bbs.12365auto.com/postcontent.aspx?tId=195255</v>
      </c>
      <c r="G1781" s="2"/>
      <c r="H1781" s="2" t="s">
        <v>2669</v>
      </c>
      <c r="I1781" s="2" t="s">
        <v>15</v>
      </c>
      <c r="J1781" s="2" t="s">
        <v>2651</v>
      </c>
      <c r="K1781" s="2" t="s">
        <v>2668</v>
      </c>
      <c r="L1781" s="2">
        <f t="shared" si="27"/>
        <v>150</v>
      </c>
    </row>
    <row r="1782" spans="1:12" ht="25" customHeight="1">
      <c r="A1782" s="2" t="s">
        <v>12</v>
      </c>
      <c r="B1782" s="2" t="str">
        <f>HYPERLINK("http://m.12365auto.com/xcdg/20200226/419597.shtml","大众将推双门电动跑车 基于MEB平台打造")</f>
        <v>大众将推双门电动跑车 基于MEB平台打造</v>
      </c>
      <c r="C1782" s="2" t="s">
        <v>13</v>
      </c>
      <c r="D1782" s="2" t="s">
        <v>12</v>
      </c>
      <c r="E1782" s="2"/>
      <c r="F1782" s="2" t="str">
        <f>HYPERLINK("http://m.12365auto.com/xcdg/20200226/419597.shtml","http://m.12365auto.com/xcdg/20200226/419597.shtml")</f>
        <v>http://m.12365auto.com/xcdg/20200226/419597.shtml</v>
      </c>
      <c r="G1782" s="2"/>
      <c r="H1782" s="2" t="s">
        <v>2670</v>
      </c>
      <c r="I1782" s="2" t="s">
        <v>19</v>
      </c>
      <c r="J1782" s="2" t="s">
        <v>1076</v>
      </c>
      <c r="K1782" s="2" t="s">
        <v>2671</v>
      </c>
      <c r="L1782" s="2">
        <f t="shared" si="27"/>
        <v>150</v>
      </c>
    </row>
    <row r="1783" spans="1:12" ht="25" customHeight="1">
      <c r="A1783" s="2" t="s">
        <v>12</v>
      </c>
      <c r="B1783" s="2" t="str">
        <f>HYPERLINK("http://bbs.12365auto.com/postcontent.aspx?tID=195253","汽车换空调滤芯就能防止病毒了吗")</f>
        <v>汽车换空调滤芯就能防止病毒了吗</v>
      </c>
      <c r="C1783" s="2" t="s">
        <v>13</v>
      </c>
      <c r="D1783" s="2" t="s">
        <v>12</v>
      </c>
      <c r="E1783" s="2" t="s">
        <v>28</v>
      </c>
      <c r="F1783" s="2" t="str">
        <f>HYPERLINK("http://bbs.12365auto.com/postcontent.aspx?tID=195253","http://bbs.12365auto.com/postcontent.aspx?tID=195253")</f>
        <v>http://bbs.12365auto.com/postcontent.aspx?tID=195253</v>
      </c>
      <c r="G1783" s="2"/>
      <c r="H1783" s="2" t="s">
        <v>2672</v>
      </c>
      <c r="I1783" s="2" t="s">
        <v>15</v>
      </c>
      <c r="J1783" s="2" t="s">
        <v>2651</v>
      </c>
      <c r="K1783" s="2" t="s">
        <v>2671</v>
      </c>
      <c r="L1783" s="2">
        <f t="shared" si="27"/>
        <v>150</v>
      </c>
    </row>
    <row r="1784" spans="1:12" ht="25" customHeight="1">
      <c r="A1784" s="2" t="s">
        <v>12</v>
      </c>
      <c r="B1784" s="2" t="str">
        <f>HYPERLINK("http://bbs.12365auto.com/postcontent.aspx?tID=195252","现在买新能源车 选择什么价位的比较好")</f>
        <v>现在买新能源车 选择什么价位的比较好</v>
      </c>
      <c r="C1784" s="2" t="s">
        <v>13</v>
      </c>
      <c r="D1784" s="2" t="s">
        <v>12</v>
      </c>
      <c r="E1784" s="2" t="s">
        <v>28</v>
      </c>
      <c r="F1784" s="2" t="str">
        <f>HYPERLINK("http://bbs.12365auto.com/postcontent.aspx?tID=195252","http://bbs.12365auto.com/postcontent.aspx?tID=195252")</f>
        <v>http://bbs.12365auto.com/postcontent.aspx?tID=195252</v>
      </c>
      <c r="G1784" s="2"/>
      <c r="H1784" s="2" t="s">
        <v>2673</v>
      </c>
      <c r="I1784" s="2" t="s">
        <v>15</v>
      </c>
      <c r="J1784" s="2" t="s">
        <v>2651</v>
      </c>
      <c r="K1784" s="2" t="s">
        <v>2671</v>
      </c>
      <c r="L1784" s="2">
        <f t="shared" si="27"/>
        <v>150</v>
      </c>
    </row>
    <row r="1785" spans="1:12" ht="25" customHeight="1">
      <c r="A1785" s="2" t="s">
        <v>12</v>
      </c>
      <c r="B1785" s="2" t="str">
        <f>HYPERLINK("http://bbs.12365auto.com/postcontent.aspx?tID=195254","疫情之下能不能用酒精给新能源汽车消毒")</f>
        <v>疫情之下能不能用酒精给新能源汽车消毒</v>
      </c>
      <c r="C1785" s="2" t="s">
        <v>13</v>
      </c>
      <c r="D1785" s="2" t="s">
        <v>12</v>
      </c>
      <c r="E1785" s="2" t="s">
        <v>28</v>
      </c>
      <c r="F1785" s="2" t="str">
        <f>HYPERLINK("http://bbs.12365auto.com/postcontent.aspx?tID=195254","http://bbs.12365auto.com/postcontent.aspx?tID=195254")</f>
        <v>http://bbs.12365auto.com/postcontent.aspx?tID=195254</v>
      </c>
      <c r="G1785" s="2"/>
      <c r="H1785" s="2" t="s">
        <v>2674</v>
      </c>
      <c r="I1785" s="2" t="s">
        <v>15</v>
      </c>
      <c r="J1785" s="2" t="s">
        <v>2651</v>
      </c>
      <c r="K1785" s="2" t="s">
        <v>2671</v>
      </c>
      <c r="L1785" s="2">
        <f t="shared" si="27"/>
        <v>150</v>
      </c>
    </row>
    <row r="1786" spans="1:12" ht="25" customHeight="1">
      <c r="A1786" s="2" t="s">
        <v>12</v>
      </c>
      <c r="B1786" s="2" t="str">
        <f>HYPERLINK("http://www.12365auto.com/xcdg/20200226/419597.shtml","大众将推双门电动跑车 基于MEB平台打造")</f>
        <v>大众将推双门电动跑车 基于MEB平台打造</v>
      </c>
      <c r="C1786" s="2" t="s">
        <v>13</v>
      </c>
      <c r="D1786" s="2" t="s">
        <v>12</v>
      </c>
      <c r="E1786" s="2" t="s">
        <v>245</v>
      </c>
      <c r="F1786" s="2" t="str">
        <f>HYPERLINK("http://www.12365auto.com/xcdg/20200226/419597.shtml","http://www.12365auto.com/xcdg/20200226/419597.shtml")</f>
        <v>http://www.12365auto.com/xcdg/20200226/419597.shtml</v>
      </c>
      <c r="G1786" s="2"/>
      <c r="H1786" s="2" t="s">
        <v>2675</v>
      </c>
      <c r="I1786" s="2" t="s">
        <v>19</v>
      </c>
      <c r="J1786" s="2" t="s">
        <v>12</v>
      </c>
      <c r="K1786" s="2" t="s">
        <v>2671</v>
      </c>
      <c r="L1786" s="2">
        <f t="shared" si="27"/>
        <v>150</v>
      </c>
    </row>
    <row r="1787" spans="1:12" ht="25" customHeight="1">
      <c r="A1787" s="2" t="s">
        <v>12</v>
      </c>
      <c r="B1787" s="2" t="str">
        <f>HYPERLINK("http://m.12365auto.com/bbs/postcontent.aspx?tID=195254","疫情之下能不能用酒精给新能源汽车消毒")</f>
        <v>疫情之下能不能用酒精给新能源汽车消毒</v>
      </c>
      <c r="C1787" s="2" t="s">
        <v>13</v>
      </c>
      <c r="D1787" s="2" t="s">
        <v>23</v>
      </c>
      <c r="E1787" s="2"/>
      <c r="F1787" s="2" t="str">
        <f>HYPERLINK("http://m.12365auto.com/bbs/postcontent.aspx?tID=195254","http://m.12365auto.com/bbs/postcontent.aspx?tID=195254")</f>
        <v>http://m.12365auto.com/bbs/postcontent.aspx?tID=195254</v>
      </c>
      <c r="G1787" s="2"/>
      <c r="H1787" s="2" t="s">
        <v>2676</v>
      </c>
      <c r="I1787" s="2" t="s">
        <v>15</v>
      </c>
      <c r="J1787" s="2" t="s">
        <v>2651</v>
      </c>
      <c r="K1787" s="2" t="s">
        <v>2671</v>
      </c>
      <c r="L1787" s="2">
        <f t="shared" si="27"/>
        <v>150</v>
      </c>
    </row>
    <row r="1788" spans="1:12" ht="25" customHeight="1">
      <c r="A1788" s="2" t="s">
        <v>12</v>
      </c>
      <c r="B1788" s="2" t="str">
        <f>HYPERLINK("http://m.12365auto.com/bbs/postcontent.aspx?tID=195253","汽车换空调滤芯就能防止病毒了吗")</f>
        <v>汽车换空调滤芯就能防止病毒了吗</v>
      </c>
      <c r="C1788" s="2" t="s">
        <v>13</v>
      </c>
      <c r="D1788" s="2" t="s">
        <v>23</v>
      </c>
      <c r="E1788" s="2"/>
      <c r="F1788" s="2" t="str">
        <f>HYPERLINK("http://m.12365auto.com/bbs/postcontent.aspx?tID=195253","http://m.12365auto.com/bbs/postcontent.aspx?tID=195253")</f>
        <v>http://m.12365auto.com/bbs/postcontent.aspx?tID=195253</v>
      </c>
      <c r="G1788" s="2"/>
      <c r="H1788" s="2" t="s">
        <v>2677</v>
      </c>
      <c r="I1788" s="2" t="s">
        <v>15</v>
      </c>
      <c r="J1788" s="2" t="s">
        <v>2651</v>
      </c>
      <c r="K1788" s="2" t="s">
        <v>2671</v>
      </c>
      <c r="L1788" s="2">
        <f t="shared" si="27"/>
        <v>150</v>
      </c>
    </row>
    <row r="1789" spans="1:12" ht="25" customHeight="1">
      <c r="A1789" s="2" t="s">
        <v>12</v>
      </c>
      <c r="B1789" s="2" t="str">
        <f>HYPERLINK("http://m.12365auto.com/bbs/postcontent.aspx?tID=195252","现在买新能源车 选择什么价位的比较好")</f>
        <v>现在买新能源车 选择什么价位的比较好</v>
      </c>
      <c r="C1789" s="2" t="s">
        <v>13</v>
      </c>
      <c r="D1789" s="2" t="s">
        <v>23</v>
      </c>
      <c r="E1789" s="2"/>
      <c r="F1789" s="2" t="str">
        <f>HYPERLINK("http://m.12365auto.com/bbs/postcontent.aspx?tID=195252","http://m.12365auto.com/bbs/postcontent.aspx?tID=195252")</f>
        <v>http://m.12365auto.com/bbs/postcontent.aspx?tID=195252</v>
      </c>
      <c r="G1789" s="2"/>
      <c r="H1789" s="2" t="s">
        <v>2678</v>
      </c>
      <c r="I1789" s="2" t="s">
        <v>15</v>
      </c>
      <c r="J1789" s="2" t="s">
        <v>2651</v>
      </c>
      <c r="K1789" s="2" t="s">
        <v>2671</v>
      </c>
      <c r="L1789" s="2">
        <f t="shared" si="27"/>
        <v>150</v>
      </c>
    </row>
    <row r="1790" spans="1:12" ht="25" customHeight="1">
      <c r="A1790" s="2" t="s">
        <v>12</v>
      </c>
      <c r="B1790" s="2" t="str">
        <f>HYPERLINK("http://bbs.12365auto.com/postcontent.aspx?tId=195254","疫情之下能不能用酒精给新能源汽车消毒")</f>
        <v>疫情之下能不能用酒精给新能源汽车消毒</v>
      </c>
      <c r="C1790" s="2" t="s">
        <v>13</v>
      </c>
      <c r="D1790" s="2" t="s">
        <v>12</v>
      </c>
      <c r="E1790" s="2" t="s">
        <v>27</v>
      </c>
      <c r="F1790" s="2" t="str">
        <f>HYPERLINK("http://bbs.12365auto.com/postcontent.aspx?tId=195254","http://bbs.12365auto.com/postcontent.aspx?tId=195254")</f>
        <v>http://bbs.12365auto.com/postcontent.aspx?tId=195254</v>
      </c>
      <c r="G1790" s="2"/>
      <c r="H1790" s="2" t="s">
        <v>2676</v>
      </c>
      <c r="I1790" s="2" t="s">
        <v>15</v>
      </c>
      <c r="J1790" s="2" t="s">
        <v>2651</v>
      </c>
      <c r="K1790" s="2" t="s">
        <v>2671</v>
      </c>
      <c r="L1790" s="2">
        <f t="shared" si="27"/>
        <v>150</v>
      </c>
    </row>
    <row r="1791" spans="1:12" ht="25" customHeight="1">
      <c r="A1791" s="2" t="s">
        <v>12</v>
      </c>
      <c r="B1791" s="2" t="str">
        <f>HYPERLINK("http://bbs.12365auto.com/postcontent.aspx?tId=195253","汽车换空调滤芯就能防止病毒了吗")</f>
        <v>汽车换空调滤芯就能防止病毒了吗</v>
      </c>
      <c r="C1791" s="2" t="s">
        <v>13</v>
      </c>
      <c r="D1791" s="2" t="s">
        <v>12</v>
      </c>
      <c r="E1791" s="2" t="s">
        <v>27</v>
      </c>
      <c r="F1791" s="2" t="str">
        <f>HYPERLINK("http://bbs.12365auto.com/postcontent.aspx?tId=195253","http://bbs.12365auto.com/postcontent.aspx?tId=195253")</f>
        <v>http://bbs.12365auto.com/postcontent.aspx?tId=195253</v>
      </c>
      <c r="G1791" s="2"/>
      <c r="H1791" s="2" t="s">
        <v>2677</v>
      </c>
      <c r="I1791" s="2" t="s">
        <v>15</v>
      </c>
      <c r="J1791" s="2" t="s">
        <v>2651</v>
      </c>
      <c r="K1791" s="2" t="s">
        <v>2671</v>
      </c>
      <c r="L1791" s="2">
        <f t="shared" si="27"/>
        <v>150</v>
      </c>
    </row>
    <row r="1792" spans="1:12" ht="25" customHeight="1">
      <c r="A1792" s="2" t="s">
        <v>12</v>
      </c>
      <c r="B1792" s="2" t="str">
        <f>HYPERLINK("http://bbs.12365auto.com/postcontent.aspx?tId=195252","现在买新能源车 选择什么价位的比较好")</f>
        <v>现在买新能源车 选择什么价位的比较好</v>
      </c>
      <c r="C1792" s="2" t="s">
        <v>13</v>
      </c>
      <c r="D1792" s="2" t="s">
        <v>12</v>
      </c>
      <c r="E1792" s="2" t="s">
        <v>27</v>
      </c>
      <c r="F1792" s="2" t="str">
        <f>HYPERLINK("http://bbs.12365auto.com/postcontent.aspx?tId=195252","http://bbs.12365auto.com/postcontent.aspx?tId=195252")</f>
        <v>http://bbs.12365auto.com/postcontent.aspx?tId=195252</v>
      </c>
      <c r="G1792" s="2"/>
      <c r="H1792" s="2" t="s">
        <v>2678</v>
      </c>
      <c r="I1792" s="2" t="s">
        <v>15</v>
      </c>
      <c r="J1792" s="2" t="s">
        <v>2651</v>
      </c>
      <c r="K1792" s="2" t="s">
        <v>2671</v>
      </c>
      <c r="L1792" s="2">
        <f t="shared" si="27"/>
        <v>150</v>
      </c>
    </row>
    <row r="1793" spans="1:12" ht="25" customHeight="1">
      <c r="A1793" s="2" t="s">
        <v>12</v>
      </c>
      <c r="B1793" s="2" t="str">
        <f>HYPERLINK("http://www.12365auto.com/news/20200226/419596.shtml","观致驰援湖北黄石 捐赠三辆观致5S用防疫")</f>
        <v>观致驰援湖北黄石 捐赠三辆观致5S用防疫</v>
      </c>
      <c r="C1793" s="2" t="s">
        <v>13</v>
      </c>
      <c r="D1793" s="2" t="s">
        <v>12</v>
      </c>
      <c r="E1793" s="2" t="s">
        <v>276</v>
      </c>
      <c r="F1793" s="2" t="str">
        <f>HYPERLINK("http://www.12365auto.com/news/20200226/419596.shtml","http://www.12365auto.com/news/20200226/419596.shtml")</f>
        <v>http://www.12365auto.com/news/20200226/419596.shtml</v>
      </c>
      <c r="G1793" s="2"/>
      <c r="H1793" s="2" t="s">
        <v>2679</v>
      </c>
      <c r="I1793" s="2" t="s">
        <v>15</v>
      </c>
      <c r="J1793" s="2" t="s">
        <v>12</v>
      </c>
      <c r="K1793" s="2" t="s">
        <v>2680</v>
      </c>
      <c r="L1793" s="2">
        <f t="shared" si="27"/>
        <v>150</v>
      </c>
    </row>
    <row r="1794" spans="1:12" ht="25" customHeight="1">
      <c r="A1794" s="2" t="s">
        <v>12</v>
      </c>
      <c r="B1794" s="2" t="str">
        <f>HYPERLINK("http://bbs.12365auto.com/postcontent.aspx?tID=195251","当纯电动车续航破700km 你会舍弃燃油车吗")</f>
        <v>当纯电动车续航破700km 你会舍弃燃油车吗</v>
      </c>
      <c r="C1794" s="2" t="s">
        <v>13</v>
      </c>
      <c r="D1794" s="2" t="s">
        <v>12</v>
      </c>
      <c r="E1794" s="2" t="s">
        <v>28</v>
      </c>
      <c r="F1794" s="2" t="str">
        <f>HYPERLINK("http://bbs.12365auto.com/postcontent.aspx?tID=195251","http://bbs.12365auto.com/postcontent.aspx?tID=195251")</f>
        <v>http://bbs.12365auto.com/postcontent.aspx?tID=195251</v>
      </c>
      <c r="G1794" s="2"/>
      <c r="H1794" s="2" t="s">
        <v>2681</v>
      </c>
      <c r="I1794" s="2" t="s">
        <v>15</v>
      </c>
      <c r="J1794" s="2" t="s">
        <v>2651</v>
      </c>
      <c r="K1794" s="2" t="s">
        <v>2680</v>
      </c>
      <c r="L1794" s="2">
        <f t="shared" si="27"/>
        <v>150</v>
      </c>
    </row>
    <row r="1795" spans="1:12" ht="25" customHeight="1">
      <c r="A1795" s="2" t="s">
        <v>12</v>
      </c>
      <c r="B1795" s="2" t="str">
        <f>HYPERLINK("http://m.12365auto.com/bbs/postcontent.aspx?tID=195251","当纯电动车续航破700km 你会舍弃燃油车吗")</f>
        <v>当纯电动车续航破700km 你会舍弃燃油车吗</v>
      </c>
      <c r="C1795" s="2" t="s">
        <v>13</v>
      </c>
      <c r="D1795" s="2" t="s">
        <v>23</v>
      </c>
      <c r="E1795" s="2"/>
      <c r="F1795" s="2" t="str">
        <f>HYPERLINK("http://m.12365auto.com/bbs/postcontent.aspx?tID=195251","http://m.12365auto.com/bbs/postcontent.aspx?tID=195251")</f>
        <v>http://m.12365auto.com/bbs/postcontent.aspx?tID=195251</v>
      </c>
      <c r="G1795" s="2"/>
      <c r="H1795" s="2" t="s">
        <v>2682</v>
      </c>
      <c r="I1795" s="2" t="s">
        <v>15</v>
      </c>
      <c r="J1795" s="2" t="s">
        <v>2651</v>
      </c>
      <c r="K1795" s="2" t="s">
        <v>2680</v>
      </c>
      <c r="L1795" s="2">
        <f t="shared" ref="L1795:L1858" si="28">LEN(H1795)</f>
        <v>150</v>
      </c>
    </row>
    <row r="1796" spans="1:12" ht="25" customHeight="1">
      <c r="A1796" s="2" t="s">
        <v>12</v>
      </c>
      <c r="B1796" s="2" t="str">
        <f>HYPERLINK("http://bbs.12365auto.com/postcontent.aspx?tId=195251","当纯电动车续航破700km 你会舍弃燃油车吗")</f>
        <v>当纯电动车续航破700km 你会舍弃燃油车吗</v>
      </c>
      <c r="C1796" s="2" t="s">
        <v>13</v>
      </c>
      <c r="D1796" s="2" t="s">
        <v>12</v>
      </c>
      <c r="E1796" s="2" t="s">
        <v>27</v>
      </c>
      <c r="F1796" s="2" t="str">
        <f>HYPERLINK("http://bbs.12365auto.com/postcontent.aspx?tId=195251","http://bbs.12365auto.com/postcontent.aspx?tId=195251")</f>
        <v>http://bbs.12365auto.com/postcontent.aspx?tId=195251</v>
      </c>
      <c r="G1796" s="2"/>
      <c r="H1796" s="2" t="s">
        <v>2682</v>
      </c>
      <c r="I1796" s="2" t="s">
        <v>15</v>
      </c>
      <c r="J1796" s="2" t="s">
        <v>2651</v>
      </c>
      <c r="K1796" s="2" t="s">
        <v>2680</v>
      </c>
      <c r="L1796" s="2">
        <f t="shared" si="28"/>
        <v>150</v>
      </c>
    </row>
    <row r="1797" spans="1:12" ht="25" customHeight="1">
      <c r="A1797" s="2" t="s">
        <v>12</v>
      </c>
      <c r="B1797" s="2" t="str">
        <f>HYPERLINK("http://m.12365auto.com/news/20200226/419596.shtml","观致驰援湖北黄石 捐赠三辆观致5S用防疫")</f>
        <v>观致驰援湖北黄石 捐赠三辆观致5S用防疫</v>
      </c>
      <c r="C1797" s="2" t="s">
        <v>13</v>
      </c>
      <c r="D1797" s="2" t="s">
        <v>12</v>
      </c>
      <c r="E1797" s="2"/>
      <c r="F1797" s="2" t="str">
        <f>HYPERLINK("http://m.12365auto.com/news/20200226/419596.shtml","http://m.12365auto.com/news/20200226/419596.shtml")</f>
        <v>http://m.12365auto.com/news/20200226/419596.shtml</v>
      </c>
      <c r="G1797" s="2"/>
      <c r="H1797" s="2" t="s">
        <v>2683</v>
      </c>
      <c r="I1797" s="2" t="s">
        <v>19</v>
      </c>
      <c r="J1797" s="2" t="s">
        <v>1076</v>
      </c>
      <c r="K1797" s="2" t="s">
        <v>2680</v>
      </c>
      <c r="L1797" s="2">
        <f t="shared" si="28"/>
        <v>150</v>
      </c>
    </row>
    <row r="1798" spans="1:12" ht="25" customHeight="1">
      <c r="A1798" s="2" t="s">
        <v>12</v>
      </c>
      <c r="B1798" s="2" t="str">
        <f>HYPERLINK("http://www.12365auto.com/news/20200226/419595.shtml","本田Team HRC车队亮相 征战FIM世界锦标赛")</f>
        <v>本田Team HRC车队亮相 征战FIM世界锦标赛</v>
      </c>
      <c r="C1798" s="2" t="s">
        <v>13</v>
      </c>
      <c r="D1798" s="2" t="s">
        <v>12</v>
      </c>
      <c r="E1798" s="2" t="s">
        <v>276</v>
      </c>
      <c r="F1798" s="2" t="str">
        <f>HYPERLINK("http://www.12365auto.com/news/20200226/419595.shtml","http://www.12365auto.com/news/20200226/419595.shtml")</f>
        <v>http://www.12365auto.com/news/20200226/419595.shtml</v>
      </c>
      <c r="G1798" s="2"/>
      <c r="H1798" s="2" t="s">
        <v>2684</v>
      </c>
      <c r="I1798" s="2" t="s">
        <v>15</v>
      </c>
      <c r="J1798" s="2" t="s">
        <v>12</v>
      </c>
      <c r="K1798" s="2" t="s">
        <v>2685</v>
      </c>
      <c r="L1798" s="2">
        <f t="shared" si="28"/>
        <v>150</v>
      </c>
    </row>
    <row r="1799" spans="1:12" ht="25" customHeight="1">
      <c r="A1799" s="2" t="s">
        <v>12</v>
      </c>
      <c r="B1799" s="2" t="str">
        <f>HYPERLINK("http://m.12365auto.com/news/20200226/419595.shtml","本田Team HRC车队亮相 征战FIM世界锦标赛")</f>
        <v>本田Team HRC车队亮相 征战FIM世界锦标赛</v>
      </c>
      <c r="C1799" s="2" t="s">
        <v>13</v>
      </c>
      <c r="D1799" s="2" t="s">
        <v>12</v>
      </c>
      <c r="E1799" s="2"/>
      <c r="F1799" s="2" t="str">
        <f>HYPERLINK("http://m.12365auto.com/news/20200226/419595.shtml","http://m.12365auto.com/news/20200226/419595.shtml")</f>
        <v>http://m.12365auto.com/news/20200226/419595.shtml</v>
      </c>
      <c r="G1799" s="2"/>
      <c r="H1799" s="2" t="s">
        <v>2686</v>
      </c>
      <c r="I1799" s="2" t="s">
        <v>19</v>
      </c>
      <c r="J1799" s="2" t="s">
        <v>12</v>
      </c>
      <c r="K1799" s="2" t="s">
        <v>2685</v>
      </c>
      <c r="L1799" s="2">
        <f t="shared" si="28"/>
        <v>150</v>
      </c>
    </row>
    <row r="1800" spans="1:12" ht="25" customHeight="1">
      <c r="A1800" s="2" t="s">
        <v>12</v>
      </c>
      <c r="B1800" s="2" t="str">
        <f>HYPERLINK("http://m.12365auto.com/xcdg/20200226/419594.shtml","新能源销量前三甲 宝马5系插混竞争力分析")</f>
        <v>新能源销量前三甲 宝马5系插混竞争力分析</v>
      </c>
      <c r="C1800" s="2" t="s">
        <v>13</v>
      </c>
      <c r="D1800" s="2" t="s">
        <v>12</v>
      </c>
      <c r="E1800" s="2"/>
      <c r="F1800" s="2" t="str">
        <f>HYPERLINK("http://m.12365auto.com/xcdg/20200226/419594.shtml","http://m.12365auto.com/xcdg/20200226/419594.shtml")</f>
        <v>http://m.12365auto.com/xcdg/20200226/419594.shtml</v>
      </c>
      <c r="G1800" s="2"/>
      <c r="H1800" s="2" t="s">
        <v>2687</v>
      </c>
      <c r="I1800" s="2" t="s">
        <v>19</v>
      </c>
      <c r="J1800" s="2" t="s">
        <v>1923</v>
      </c>
      <c r="K1800" s="2" t="s">
        <v>2688</v>
      </c>
      <c r="L1800" s="2">
        <f t="shared" si="28"/>
        <v>150</v>
      </c>
    </row>
    <row r="1801" spans="1:12" ht="25" customHeight="1">
      <c r="A1801" s="2" t="s">
        <v>12</v>
      </c>
      <c r="B1801" s="2" t="str">
        <f>HYPERLINK("http://m.12365auto.com/zjdy/20200226/121656.shtml","卡罗拉高速行驶时卡滞应该如何处理？")</f>
        <v>卡罗拉高速行驶时卡滞应该如何处理？</v>
      </c>
      <c r="C1801" s="2" t="s">
        <v>13</v>
      </c>
      <c r="D1801" s="2" t="s">
        <v>12</v>
      </c>
      <c r="E1801" s="2"/>
      <c r="F1801" s="2" t="str">
        <f>HYPERLINK("http://m.12365auto.com/zjdy/20200226/121656.shtml","http://m.12365auto.com/zjdy/20200226/121656.shtml")</f>
        <v>http://m.12365auto.com/zjdy/20200226/121656.shtml</v>
      </c>
      <c r="G1801" s="2"/>
      <c r="H1801" s="2" t="s">
        <v>2689</v>
      </c>
      <c r="I1801" s="2" t="s">
        <v>19</v>
      </c>
      <c r="J1801" s="2" t="s">
        <v>12</v>
      </c>
      <c r="K1801" s="2" t="s">
        <v>2690</v>
      </c>
      <c r="L1801" s="2">
        <f t="shared" si="28"/>
        <v>150</v>
      </c>
    </row>
    <row r="1802" spans="1:12" ht="25" customHeight="1">
      <c r="A1802" s="2" t="s">
        <v>12</v>
      </c>
      <c r="B1802" s="2" t="str">
        <f>HYPERLINK("http://m.12365auto.com/zjdy/20200226/121657.shtml","五菱荣光三元催化器故障怎么处理？")</f>
        <v>五菱荣光三元催化器故障怎么处理？</v>
      </c>
      <c r="C1802" s="2" t="s">
        <v>13</v>
      </c>
      <c r="D1802" s="2" t="s">
        <v>12</v>
      </c>
      <c r="E1802" s="2"/>
      <c r="F1802" s="2" t="str">
        <f>HYPERLINK("http://m.12365auto.com/zjdy/20200226/121657.shtml","http://m.12365auto.com/zjdy/20200226/121657.shtml")</f>
        <v>http://m.12365auto.com/zjdy/20200226/121657.shtml</v>
      </c>
      <c r="G1802" s="2"/>
      <c r="H1802" s="2" t="s">
        <v>2691</v>
      </c>
      <c r="I1802" s="2" t="s">
        <v>19</v>
      </c>
      <c r="J1802" s="2" t="s">
        <v>12</v>
      </c>
      <c r="K1802" s="2" t="s">
        <v>2690</v>
      </c>
      <c r="L1802" s="2">
        <f t="shared" si="28"/>
        <v>32</v>
      </c>
    </row>
    <row r="1803" spans="1:12" ht="25" customHeight="1">
      <c r="A1803" s="2" t="s">
        <v>12</v>
      </c>
      <c r="B1803" s="2" t="str">
        <f>HYPERLINK("http://m.12365auto.com/xcdg/20200226/419593.shtml","指标已到位？续航510Km的广汽iA5了解一下")</f>
        <v>指标已到位？续航510Km的广汽iA5了解一下</v>
      </c>
      <c r="C1803" s="2" t="s">
        <v>13</v>
      </c>
      <c r="D1803" s="2" t="s">
        <v>12</v>
      </c>
      <c r="E1803" s="2"/>
      <c r="F1803" s="2" t="str">
        <f>HYPERLINK("http://m.12365auto.com/xcdg/20200226/419593.shtml","http://m.12365auto.com/xcdg/20200226/419593.shtml")</f>
        <v>http://m.12365auto.com/xcdg/20200226/419593.shtml</v>
      </c>
      <c r="G1803" s="2"/>
      <c r="H1803" s="2" t="s">
        <v>2692</v>
      </c>
      <c r="I1803" s="2" t="s">
        <v>19</v>
      </c>
      <c r="J1803" s="2" t="s">
        <v>2589</v>
      </c>
      <c r="K1803" s="2" t="s">
        <v>2693</v>
      </c>
      <c r="L1803" s="2">
        <f t="shared" si="28"/>
        <v>150</v>
      </c>
    </row>
    <row r="1804" spans="1:12" ht="25" customHeight="1">
      <c r="A1804" s="2" t="s">
        <v>12</v>
      </c>
      <c r="B1804" s="2" t="str">
        <f>HYPERLINK("http://www.12365auto.com/scbg/20200226/419592.shtml","测试北汽新能源EX5 双屏联动/续航415km")</f>
        <v>测试北汽新能源EX5 双屏联动/续航415km</v>
      </c>
      <c r="C1804" s="2" t="s">
        <v>13</v>
      </c>
      <c r="D1804" s="2" t="s">
        <v>12</v>
      </c>
      <c r="E1804" s="2" t="s">
        <v>1548</v>
      </c>
      <c r="F1804" s="2" t="str">
        <f>HYPERLINK("http://www.12365auto.com/scbg/20200226/419592.shtml","http://www.12365auto.com/scbg/20200226/419592.shtml")</f>
        <v>http://www.12365auto.com/scbg/20200226/419592.shtml</v>
      </c>
      <c r="G1804" s="2"/>
      <c r="H1804" s="2" t="s">
        <v>2694</v>
      </c>
      <c r="I1804" s="2" t="s">
        <v>15</v>
      </c>
      <c r="J1804" s="2" t="s">
        <v>12</v>
      </c>
      <c r="K1804" s="2" t="s">
        <v>2695</v>
      </c>
      <c r="L1804" s="2">
        <f t="shared" si="28"/>
        <v>150</v>
      </c>
    </row>
    <row r="1805" spans="1:12" ht="25" customHeight="1">
      <c r="A1805" s="2" t="s">
        <v>12</v>
      </c>
      <c r="B1805" s="2" t="str">
        <f>HYPERLINK("http://m.12365auto.com/scbg/20200226/419592.shtml","测试北汽新能源EX5 双屏联动/续航415km")</f>
        <v>测试北汽新能源EX5 双屏联动/续航415km</v>
      </c>
      <c r="C1805" s="2" t="s">
        <v>13</v>
      </c>
      <c r="D1805" s="2" t="s">
        <v>12</v>
      </c>
      <c r="E1805" s="2"/>
      <c r="F1805" s="2" t="str">
        <f>HYPERLINK("http://m.12365auto.com/scbg/20200226/419592.shtml","http://m.12365auto.com/scbg/20200226/419592.shtml")</f>
        <v>http://m.12365auto.com/scbg/20200226/419592.shtml</v>
      </c>
      <c r="G1805" s="2"/>
      <c r="H1805" s="2" t="s">
        <v>2696</v>
      </c>
      <c r="I1805" s="2" t="s">
        <v>19</v>
      </c>
      <c r="J1805" s="2" t="s">
        <v>2697</v>
      </c>
      <c r="K1805" s="2" t="s">
        <v>2695</v>
      </c>
      <c r="L1805" s="2">
        <f t="shared" si="28"/>
        <v>150</v>
      </c>
    </row>
    <row r="1806" spans="1:12" ht="25" customHeight="1">
      <c r="A1806" s="2" t="s">
        <v>12</v>
      </c>
      <c r="B1806" s="2" t="str">
        <f>HYPERLINK("http://bbs.12365auto.com/postcontent.aspx?tID=195250","开BBA不一定显档次和多有钱！但买这3款车的人绝对不差钱！")</f>
        <v>开BBA不一定显档次和多有钱！但买这3款车的人绝对不差钱！</v>
      </c>
      <c r="C1806" s="2" t="s">
        <v>13</v>
      </c>
      <c r="D1806" s="2" t="s">
        <v>12</v>
      </c>
      <c r="E1806" s="2" t="s">
        <v>28</v>
      </c>
      <c r="F1806" s="2" t="str">
        <f>HYPERLINK("http://bbs.12365auto.com/postcontent.aspx?tID=195250","http://bbs.12365auto.com/postcontent.aspx?tID=195250")</f>
        <v>http://bbs.12365auto.com/postcontent.aspx?tID=195250</v>
      </c>
      <c r="G1806" s="2"/>
      <c r="H1806" s="2" t="s">
        <v>2698</v>
      </c>
      <c r="I1806" s="2" t="s">
        <v>15</v>
      </c>
      <c r="J1806" s="2" t="s">
        <v>2699</v>
      </c>
      <c r="K1806" s="2" t="s">
        <v>2695</v>
      </c>
      <c r="L1806" s="2">
        <f t="shared" si="28"/>
        <v>150</v>
      </c>
    </row>
    <row r="1807" spans="1:12" ht="25" customHeight="1">
      <c r="A1807" s="2" t="s">
        <v>12</v>
      </c>
      <c r="B1807" s="2" t="str">
        <f>HYPERLINK("http://m.12365auto.com/bbs/postcontent.aspx?tID=195250","开BBA不一定显档次和多有钱！但买这3款车的人绝对不差钱！")</f>
        <v>开BBA不一定显档次和多有钱！但买这3款车的人绝对不差钱！</v>
      </c>
      <c r="C1807" s="2" t="s">
        <v>13</v>
      </c>
      <c r="D1807" s="2" t="s">
        <v>23</v>
      </c>
      <c r="E1807" s="2"/>
      <c r="F1807" s="2" t="str">
        <f>HYPERLINK("http://m.12365auto.com/bbs/postcontent.aspx?tID=195250","http://m.12365auto.com/bbs/postcontent.aspx?tID=195250")</f>
        <v>http://m.12365auto.com/bbs/postcontent.aspx?tID=195250</v>
      </c>
      <c r="G1807" s="2"/>
      <c r="H1807" s="2" t="s">
        <v>2700</v>
      </c>
      <c r="I1807" s="2" t="s">
        <v>15</v>
      </c>
      <c r="J1807" s="2" t="s">
        <v>2699</v>
      </c>
      <c r="K1807" s="2" t="s">
        <v>2695</v>
      </c>
      <c r="L1807" s="2">
        <f t="shared" si="28"/>
        <v>150</v>
      </c>
    </row>
    <row r="1808" spans="1:12" ht="25" customHeight="1">
      <c r="A1808" s="2" t="s">
        <v>12</v>
      </c>
      <c r="B1808" s="2" t="str">
        <f>HYPERLINK("http://bbs.12365auto.com/postcontent.aspx?tId=195250","开BBA不一定显档次和多有钱！但买这3款车的人绝对不差钱！")</f>
        <v>开BBA不一定显档次和多有钱！但买这3款车的人绝对不差钱！</v>
      </c>
      <c r="C1808" s="2" t="s">
        <v>13</v>
      </c>
      <c r="D1808" s="2" t="s">
        <v>12</v>
      </c>
      <c r="E1808" s="2" t="s">
        <v>27</v>
      </c>
      <c r="F1808" s="2" t="str">
        <f>HYPERLINK("http://bbs.12365auto.com/postcontent.aspx?tId=195250","http://bbs.12365auto.com/postcontent.aspx?tId=195250")</f>
        <v>http://bbs.12365auto.com/postcontent.aspx?tId=195250</v>
      </c>
      <c r="G1808" s="2"/>
      <c r="H1808" s="2" t="s">
        <v>2700</v>
      </c>
      <c r="I1808" s="2" t="s">
        <v>15</v>
      </c>
      <c r="J1808" s="2" t="s">
        <v>2699</v>
      </c>
      <c r="K1808" s="2" t="s">
        <v>2695</v>
      </c>
      <c r="L1808" s="2">
        <f t="shared" si="28"/>
        <v>150</v>
      </c>
    </row>
    <row r="1809" spans="1:12" ht="25" customHeight="1">
      <c r="A1809" s="2" t="s">
        <v>12</v>
      </c>
      <c r="B1809" s="2" t="str">
        <f>HYPERLINK("http://bbs.12365auto.com/postcontent.aspx?tID=195248","一分钟看懂全新特斯拉Model Y，比Model 3更值得入手？")</f>
        <v>一分钟看懂全新特斯拉Model Y，比Model 3更值得入手？</v>
      </c>
      <c r="C1809" s="2" t="s">
        <v>13</v>
      </c>
      <c r="D1809" s="2" t="s">
        <v>12</v>
      </c>
      <c r="E1809" s="2" t="s">
        <v>28</v>
      </c>
      <c r="F1809" s="2" t="str">
        <f>HYPERLINK("http://bbs.12365auto.com/postcontent.aspx?tID=195248","http://bbs.12365auto.com/postcontent.aspx?tID=195248")</f>
        <v>http://bbs.12365auto.com/postcontent.aspx?tID=195248</v>
      </c>
      <c r="G1809" s="2"/>
      <c r="H1809" s="2" t="s">
        <v>2701</v>
      </c>
      <c r="I1809" s="2" t="s">
        <v>15</v>
      </c>
      <c r="J1809" s="2" t="s">
        <v>2699</v>
      </c>
      <c r="K1809" s="2" t="s">
        <v>2702</v>
      </c>
      <c r="L1809" s="2">
        <f t="shared" si="28"/>
        <v>150</v>
      </c>
    </row>
    <row r="1810" spans="1:12" ht="25" customHeight="1">
      <c r="A1810" s="2" t="s">
        <v>12</v>
      </c>
      <c r="B1810" s="2" t="str">
        <f>HYPERLINK("http://bbs.12365auto.com/postcontent.aspx?tID=195249","20万内无敌手？这台国产性能小钢炮究竟香不香")</f>
        <v>20万内无敌手？这台国产性能小钢炮究竟香不香</v>
      </c>
      <c r="C1810" s="2" t="s">
        <v>13</v>
      </c>
      <c r="D1810" s="2" t="s">
        <v>12</v>
      </c>
      <c r="E1810" s="2" t="s">
        <v>28</v>
      </c>
      <c r="F1810" s="2" t="str">
        <f>HYPERLINK("http://bbs.12365auto.com/postcontent.aspx?tID=195249","http://bbs.12365auto.com/postcontent.aspx?tID=195249")</f>
        <v>http://bbs.12365auto.com/postcontent.aspx?tID=195249</v>
      </c>
      <c r="G1810" s="2"/>
      <c r="H1810" s="2" t="s">
        <v>2703</v>
      </c>
      <c r="I1810" s="2" t="s">
        <v>15</v>
      </c>
      <c r="J1810" s="2" t="s">
        <v>2699</v>
      </c>
      <c r="K1810" s="2" t="s">
        <v>2702</v>
      </c>
      <c r="L1810" s="2">
        <f t="shared" si="28"/>
        <v>150</v>
      </c>
    </row>
    <row r="1811" spans="1:12" ht="25" customHeight="1">
      <c r="A1811" s="2" t="s">
        <v>12</v>
      </c>
      <c r="B1811" s="2" t="str">
        <f>HYPERLINK("http://m.12365auto.com/bbs/postcontent.aspx?tID=195248","一分钟看懂全新特斯拉Model Y，比Model 3更值得入手？")</f>
        <v>一分钟看懂全新特斯拉Model Y，比Model 3更值得入手？</v>
      </c>
      <c r="C1811" s="2" t="s">
        <v>13</v>
      </c>
      <c r="D1811" s="2" t="s">
        <v>23</v>
      </c>
      <c r="E1811" s="2"/>
      <c r="F1811" s="2" t="str">
        <f>HYPERLINK("http://m.12365auto.com/bbs/postcontent.aspx?tID=195248","http://m.12365auto.com/bbs/postcontent.aspx?tID=195248")</f>
        <v>http://m.12365auto.com/bbs/postcontent.aspx?tID=195248</v>
      </c>
      <c r="G1811" s="2"/>
      <c r="H1811" s="2" t="s">
        <v>2704</v>
      </c>
      <c r="I1811" s="2" t="s">
        <v>15</v>
      </c>
      <c r="J1811" s="2" t="s">
        <v>2699</v>
      </c>
      <c r="K1811" s="2" t="s">
        <v>2702</v>
      </c>
      <c r="L1811" s="2">
        <f t="shared" si="28"/>
        <v>150</v>
      </c>
    </row>
    <row r="1812" spans="1:12" ht="25" customHeight="1">
      <c r="A1812" s="2" t="s">
        <v>12</v>
      </c>
      <c r="B1812" s="2" t="str">
        <f>HYPERLINK("http://m.12365auto.com/bbs/postcontent.aspx?tID=195249","20万内无敌手？这台国产性能小钢炮究竟香不香")</f>
        <v>20万内无敌手？这台国产性能小钢炮究竟香不香</v>
      </c>
      <c r="C1812" s="2" t="s">
        <v>13</v>
      </c>
      <c r="D1812" s="2" t="s">
        <v>23</v>
      </c>
      <c r="E1812" s="2"/>
      <c r="F1812" s="2" t="str">
        <f>HYPERLINK("http://m.12365auto.com/bbs/postcontent.aspx?tID=195249","http://m.12365auto.com/bbs/postcontent.aspx?tID=195249")</f>
        <v>http://m.12365auto.com/bbs/postcontent.aspx?tID=195249</v>
      </c>
      <c r="G1812" s="2"/>
      <c r="H1812" s="2" t="s">
        <v>2705</v>
      </c>
      <c r="I1812" s="2" t="s">
        <v>15</v>
      </c>
      <c r="J1812" s="2" t="s">
        <v>2699</v>
      </c>
      <c r="K1812" s="2" t="s">
        <v>2702</v>
      </c>
      <c r="L1812" s="2">
        <f t="shared" si="28"/>
        <v>150</v>
      </c>
    </row>
    <row r="1813" spans="1:12" ht="25" customHeight="1">
      <c r="A1813" s="2" t="s">
        <v>12</v>
      </c>
      <c r="B1813" s="2" t="str">
        <f>HYPERLINK("http://bbs.12365auto.com/postcontent.aspx?tId=195248","一分钟看懂全新特斯拉Model Y，比Model 3更值得入手？")</f>
        <v>一分钟看懂全新特斯拉Model Y，比Model 3更值得入手？</v>
      </c>
      <c r="C1813" s="2" t="s">
        <v>13</v>
      </c>
      <c r="D1813" s="2" t="s">
        <v>12</v>
      </c>
      <c r="E1813" s="2" t="s">
        <v>27</v>
      </c>
      <c r="F1813" s="2" t="str">
        <f>HYPERLINK("http://bbs.12365auto.com/postcontent.aspx?tId=195248","http://bbs.12365auto.com/postcontent.aspx?tId=195248")</f>
        <v>http://bbs.12365auto.com/postcontent.aspx?tId=195248</v>
      </c>
      <c r="G1813" s="2"/>
      <c r="H1813" s="2" t="s">
        <v>2704</v>
      </c>
      <c r="I1813" s="2" t="s">
        <v>15</v>
      </c>
      <c r="J1813" s="2" t="s">
        <v>2699</v>
      </c>
      <c r="K1813" s="2" t="s">
        <v>2702</v>
      </c>
      <c r="L1813" s="2">
        <f t="shared" si="28"/>
        <v>150</v>
      </c>
    </row>
    <row r="1814" spans="1:12" ht="25" customHeight="1">
      <c r="A1814" s="2" t="s">
        <v>12</v>
      </c>
      <c r="B1814" s="2" t="str">
        <f>HYPERLINK("http://bbs.12365auto.com/postcontent.aspx?tId=195249","20万内无敌手？这台国产性能小钢炮究竟香不香")</f>
        <v>20万内无敌手？这台国产性能小钢炮究竟香不香</v>
      </c>
      <c r="C1814" s="2" t="s">
        <v>13</v>
      </c>
      <c r="D1814" s="2" t="s">
        <v>12</v>
      </c>
      <c r="E1814" s="2" t="s">
        <v>27</v>
      </c>
      <c r="F1814" s="2" t="str">
        <f>HYPERLINK("http://bbs.12365auto.com/postcontent.aspx?tId=195249","http://bbs.12365auto.com/postcontent.aspx?tId=195249")</f>
        <v>http://bbs.12365auto.com/postcontent.aspx?tId=195249</v>
      </c>
      <c r="G1814" s="2"/>
      <c r="H1814" s="2" t="s">
        <v>2705</v>
      </c>
      <c r="I1814" s="2" t="s">
        <v>15</v>
      </c>
      <c r="J1814" s="2" t="s">
        <v>2699</v>
      </c>
      <c r="K1814" s="2" t="s">
        <v>2702</v>
      </c>
      <c r="L1814" s="2">
        <f t="shared" si="28"/>
        <v>150</v>
      </c>
    </row>
    <row r="1815" spans="1:12" ht="25" customHeight="1">
      <c r="A1815" s="2" t="s">
        <v>12</v>
      </c>
      <c r="B1815" s="2" t="str">
        <f>HYPERLINK("http://bbs.12365auto.com/postcontent.aspx?tID=195247","丰田又添一员猛将，经典硬派越野造型，还配侧滑门+一张1.8大床")</f>
        <v>丰田又添一员猛将，经典硬派越野造型，还配侧滑门+一张1.8大床</v>
      </c>
      <c r="C1815" s="2" t="s">
        <v>13</v>
      </c>
      <c r="D1815" s="2" t="s">
        <v>12</v>
      </c>
      <c r="E1815" s="2" t="s">
        <v>28</v>
      </c>
      <c r="F1815" s="2" t="str">
        <f>HYPERLINK("http://bbs.12365auto.com/postcontent.aspx?tID=195247","http://bbs.12365auto.com/postcontent.aspx?tID=195247")</f>
        <v>http://bbs.12365auto.com/postcontent.aspx?tID=195247</v>
      </c>
      <c r="G1815" s="2"/>
      <c r="H1815" s="2" t="s">
        <v>2706</v>
      </c>
      <c r="I1815" s="2" t="s">
        <v>15</v>
      </c>
      <c r="J1815" s="2" t="s">
        <v>2699</v>
      </c>
      <c r="K1815" s="2" t="s">
        <v>2707</v>
      </c>
      <c r="L1815" s="2">
        <f t="shared" si="28"/>
        <v>150</v>
      </c>
    </row>
    <row r="1816" spans="1:12" ht="25" customHeight="1">
      <c r="A1816" s="2" t="s">
        <v>12</v>
      </c>
      <c r="B1816" s="2" t="str">
        <f>HYPERLINK("http://m.12365auto.com/bbs/postcontent.aspx?tID=195247","丰田又添一员猛将，经典硬派越野造型，还配侧滑门+一张1.8大床")</f>
        <v>丰田又添一员猛将，经典硬派越野造型，还配侧滑门+一张1.8大床</v>
      </c>
      <c r="C1816" s="2" t="s">
        <v>13</v>
      </c>
      <c r="D1816" s="2" t="s">
        <v>23</v>
      </c>
      <c r="E1816" s="2"/>
      <c r="F1816" s="2" t="str">
        <f>HYPERLINK("http://m.12365auto.com/bbs/postcontent.aspx?tID=195247","http://m.12365auto.com/bbs/postcontent.aspx?tID=195247")</f>
        <v>http://m.12365auto.com/bbs/postcontent.aspx?tID=195247</v>
      </c>
      <c r="G1816" s="2"/>
      <c r="H1816" s="2" t="s">
        <v>2708</v>
      </c>
      <c r="I1816" s="2" t="s">
        <v>15</v>
      </c>
      <c r="J1816" s="2" t="s">
        <v>2699</v>
      </c>
      <c r="K1816" s="2" t="s">
        <v>2707</v>
      </c>
      <c r="L1816" s="2">
        <f t="shared" si="28"/>
        <v>150</v>
      </c>
    </row>
    <row r="1817" spans="1:12" ht="25" customHeight="1">
      <c r="A1817" s="2" t="s">
        <v>12</v>
      </c>
      <c r="B1817" s="2" t="str">
        <f>HYPERLINK("http://m.12365auto.com/bbs/postcontent.aspx?tID=195246","“国六政策”或再被打脸，推迟落地会让谁受益？")</f>
        <v>“国六政策”或再被打脸，推迟落地会让谁受益？</v>
      </c>
      <c r="C1817" s="2" t="s">
        <v>13</v>
      </c>
      <c r="D1817" s="2" t="s">
        <v>23</v>
      </c>
      <c r="E1817" s="2"/>
      <c r="F1817" s="2" t="str">
        <f>HYPERLINK("http://m.12365auto.com/bbs/postcontent.aspx?tID=195246","http://m.12365auto.com/bbs/postcontent.aspx?tID=195246")</f>
        <v>http://m.12365auto.com/bbs/postcontent.aspx?tID=195246</v>
      </c>
      <c r="G1817" s="2"/>
      <c r="H1817" s="2" t="s">
        <v>2709</v>
      </c>
      <c r="I1817" s="2" t="s">
        <v>15</v>
      </c>
      <c r="J1817" s="2" t="s">
        <v>2699</v>
      </c>
      <c r="K1817" s="2" t="s">
        <v>2707</v>
      </c>
      <c r="L1817" s="2">
        <f t="shared" si="28"/>
        <v>150</v>
      </c>
    </row>
    <row r="1818" spans="1:12" ht="25" customHeight="1">
      <c r="A1818" s="2" t="s">
        <v>12</v>
      </c>
      <c r="B1818" s="2" t="str">
        <f>HYPERLINK("http://bbs.12365auto.com/postcontent.aspx?tId=195247","丰田又添一员猛将，经典硬派越野造型，还配侧滑门+一张1.8大床")</f>
        <v>丰田又添一员猛将，经典硬派越野造型，还配侧滑门+一张1.8大床</v>
      </c>
      <c r="C1818" s="2" t="s">
        <v>13</v>
      </c>
      <c r="D1818" s="2" t="s">
        <v>12</v>
      </c>
      <c r="E1818" s="2" t="s">
        <v>27</v>
      </c>
      <c r="F1818" s="2" t="str">
        <f>HYPERLINK("http://bbs.12365auto.com/postcontent.aspx?tId=195247","http://bbs.12365auto.com/postcontent.aspx?tId=195247")</f>
        <v>http://bbs.12365auto.com/postcontent.aspx?tId=195247</v>
      </c>
      <c r="G1818" s="2"/>
      <c r="H1818" s="2" t="s">
        <v>2708</v>
      </c>
      <c r="I1818" s="2" t="s">
        <v>15</v>
      </c>
      <c r="J1818" s="2" t="s">
        <v>2699</v>
      </c>
      <c r="K1818" s="2" t="s">
        <v>2707</v>
      </c>
      <c r="L1818" s="2">
        <f t="shared" si="28"/>
        <v>150</v>
      </c>
    </row>
    <row r="1819" spans="1:12" ht="25" customHeight="1">
      <c r="A1819" s="2" t="s">
        <v>12</v>
      </c>
      <c r="B1819" s="2" t="str">
        <f>HYPERLINK("http://bbs.12365auto.com/postcontent.aspx?tId=195246","“国六政策”或再被打脸，推迟落地会让谁受益？")</f>
        <v>“国六政策”或再被打脸，推迟落地会让谁受益？</v>
      </c>
      <c r="C1819" s="2" t="s">
        <v>13</v>
      </c>
      <c r="D1819" s="2" t="s">
        <v>12</v>
      </c>
      <c r="E1819" s="2" t="s">
        <v>27</v>
      </c>
      <c r="F1819" s="2" t="str">
        <f>HYPERLINK("http://bbs.12365auto.com/postcontent.aspx?tId=195246","http://bbs.12365auto.com/postcontent.aspx?tId=195246")</f>
        <v>http://bbs.12365auto.com/postcontent.aspx?tId=195246</v>
      </c>
      <c r="G1819" s="2"/>
      <c r="H1819" s="2" t="s">
        <v>2709</v>
      </c>
      <c r="I1819" s="2" t="s">
        <v>15</v>
      </c>
      <c r="J1819" s="2" t="s">
        <v>2699</v>
      </c>
      <c r="K1819" s="2" t="s">
        <v>2707</v>
      </c>
      <c r="L1819" s="2">
        <f t="shared" si="28"/>
        <v>150</v>
      </c>
    </row>
    <row r="1820" spans="1:12" ht="25" customHeight="1">
      <c r="A1820" s="2" t="s">
        <v>12</v>
      </c>
      <c r="B1820" s="2" t="str">
        <f>HYPERLINK("http://bbs.12365auto.com/postcontent.aspx?tID=195246","“国六政策”或再被打脸，推迟落地会让谁受益？")</f>
        <v>“国六政策”或再被打脸，推迟落地会让谁受益？</v>
      </c>
      <c r="C1820" s="2" t="s">
        <v>13</v>
      </c>
      <c r="D1820" s="2" t="s">
        <v>12</v>
      </c>
      <c r="E1820" s="2" t="s">
        <v>28</v>
      </c>
      <c r="F1820" s="2" t="str">
        <f>HYPERLINK("http://bbs.12365auto.com/postcontent.aspx?tID=195246","http://bbs.12365auto.com/postcontent.aspx?tID=195246")</f>
        <v>http://bbs.12365auto.com/postcontent.aspx?tID=195246</v>
      </c>
      <c r="G1820" s="2"/>
      <c r="H1820" s="2" t="s">
        <v>2710</v>
      </c>
      <c r="I1820" s="2" t="s">
        <v>15</v>
      </c>
      <c r="J1820" s="2" t="s">
        <v>2699</v>
      </c>
      <c r="K1820" s="2" t="s">
        <v>2707</v>
      </c>
      <c r="L1820" s="2">
        <f t="shared" si="28"/>
        <v>150</v>
      </c>
    </row>
    <row r="1821" spans="1:12" ht="25" customHeight="1">
      <c r="A1821" s="2" t="s">
        <v>12</v>
      </c>
      <c r="B1821" s="2" t="str">
        <f>HYPERLINK("http://m.12365auto.com/bbs/postcontent.aspx?tID=195245","理性分析凯迪拉克CT5的保价策略，这台车最多能优惠多少")</f>
        <v>理性分析凯迪拉克CT5的保价策略，这台车最多能优惠多少</v>
      </c>
      <c r="C1821" s="2" t="s">
        <v>13</v>
      </c>
      <c r="D1821" s="2" t="s">
        <v>23</v>
      </c>
      <c r="E1821" s="2"/>
      <c r="F1821" s="2" t="str">
        <f>HYPERLINK("http://m.12365auto.com/bbs/postcontent.aspx?tID=195245","http://m.12365auto.com/bbs/postcontent.aspx?tID=195245")</f>
        <v>http://m.12365auto.com/bbs/postcontent.aspx?tID=195245</v>
      </c>
      <c r="G1821" s="2"/>
      <c r="H1821" s="2" t="s">
        <v>664</v>
      </c>
      <c r="I1821" s="2" t="s">
        <v>15</v>
      </c>
      <c r="J1821" s="2" t="s">
        <v>2699</v>
      </c>
      <c r="K1821" s="2" t="s">
        <v>2711</v>
      </c>
      <c r="L1821" s="2">
        <f t="shared" si="28"/>
        <v>150</v>
      </c>
    </row>
    <row r="1822" spans="1:12" ht="25" customHeight="1">
      <c r="A1822" s="2" t="s">
        <v>12</v>
      </c>
      <c r="B1822" s="2" t="str">
        <f>HYPERLINK("http://m.12365auto.com/bbs/postcontent.aspx?tID=195244","都说：开不坏的丰田，修不好的大众，为何满大街出租车都用大众？")</f>
        <v>都说：开不坏的丰田，修不好的大众，为何满大街出租车都用大众？</v>
      </c>
      <c r="C1822" s="2" t="s">
        <v>13</v>
      </c>
      <c r="D1822" s="2" t="s">
        <v>23</v>
      </c>
      <c r="E1822" s="2"/>
      <c r="F1822" s="2" t="str">
        <f>HYPERLINK("http://m.12365auto.com/bbs/postcontent.aspx?tID=195244","http://m.12365auto.com/bbs/postcontent.aspx?tID=195244")</f>
        <v>http://m.12365auto.com/bbs/postcontent.aspx?tID=195244</v>
      </c>
      <c r="G1822" s="2"/>
      <c r="H1822" s="2" t="s">
        <v>2712</v>
      </c>
      <c r="I1822" s="2" t="s">
        <v>15</v>
      </c>
      <c r="J1822" s="2" t="s">
        <v>2699</v>
      </c>
      <c r="K1822" s="2" t="s">
        <v>2711</v>
      </c>
      <c r="L1822" s="2">
        <f t="shared" si="28"/>
        <v>150</v>
      </c>
    </row>
    <row r="1823" spans="1:12" ht="25" customHeight="1">
      <c r="A1823" s="2" t="s">
        <v>12</v>
      </c>
      <c r="B1823" s="2" t="str">
        <f>HYPERLINK("http://bbs.12365auto.com/postcontent.aspx?tId=195244","都说：开不坏的丰田，修不好的大众，为何满大街出租车都用大众？")</f>
        <v>都说：开不坏的丰田，修不好的大众，为何满大街出租车都用大众？</v>
      </c>
      <c r="C1823" s="2" t="s">
        <v>13</v>
      </c>
      <c r="D1823" s="2" t="s">
        <v>12</v>
      </c>
      <c r="E1823" s="2" t="s">
        <v>27</v>
      </c>
      <c r="F1823" s="2" t="str">
        <f>HYPERLINK("http://bbs.12365auto.com/postcontent.aspx?tId=195244","http://bbs.12365auto.com/postcontent.aspx?tId=195244")</f>
        <v>http://bbs.12365auto.com/postcontent.aspx?tId=195244</v>
      </c>
      <c r="G1823" s="2"/>
      <c r="H1823" s="2" t="s">
        <v>2712</v>
      </c>
      <c r="I1823" s="2" t="s">
        <v>15</v>
      </c>
      <c r="J1823" s="2" t="s">
        <v>2699</v>
      </c>
      <c r="K1823" s="2" t="s">
        <v>2711</v>
      </c>
      <c r="L1823" s="2">
        <f t="shared" si="28"/>
        <v>150</v>
      </c>
    </row>
    <row r="1824" spans="1:12" ht="25" customHeight="1">
      <c r="A1824" s="2" t="s">
        <v>12</v>
      </c>
      <c r="B1824" s="2" t="str">
        <f>HYPERLINK("http://bbs.12365auto.com/postcontent.aspx?tId=195245","理性分析凯迪拉克CT5的保价策略，这台车最多能优惠多少")</f>
        <v>理性分析凯迪拉克CT5的保价策略，这台车最多能优惠多少</v>
      </c>
      <c r="C1824" s="2" t="s">
        <v>13</v>
      </c>
      <c r="D1824" s="2" t="s">
        <v>12</v>
      </c>
      <c r="E1824" s="2" t="s">
        <v>27</v>
      </c>
      <c r="F1824" s="2" t="str">
        <f>HYPERLINK("http://bbs.12365auto.com/postcontent.aspx?tId=195245","http://bbs.12365auto.com/postcontent.aspx?tId=195245")</f>
        <v>http://bbs.12365auto.com/postcontent.aspx?tId=195245</v>
      </c>
      <c r="G1824" s="2"/>
      <c r="H1824" s="2" t="s">
        <v>664</v>
      </c>
      <c r="I1824" s="2" t="s">
        <v>15</v>
      </c>
      <c r="J1824" s="2" t="s">
        <v>2699</v>
      </c>
      <c r="K1824" s="2" t="s">
        <v>2711</v>
      </c>
      <c r="L1824" s="2">
        <f t="shared" si="28"/>
        <v>150</v>
      </c>
    </row>
    <row r="1825" spans="1:12" ht="25" customHeight="1">
      <c r="A1825" s="2" t="s">
        <v>12</v>
      </c>
      <c r="B1825" s="2" t="str">
        <f>HYPERLINK("http://bbs.12365auto.com/postcontent.aspx?tID=195244","都说：开不坏的丰田，修不好的大众，为何满大街出租车都用大众？")</f>
        <v>都说：开不坏的丰田，修不好的大众，为何满大街出租车都用大众？</v>
      </c>
      <c r="C1825" s="2" t="s">
        <v>13</v>
      </c>
      <c r="D1825" s="2" t="s">
        <v>12</v>
      </c>
      <c r="E1825" s="2" t="s">
        <v>28</v>
      </c>
      <c r="F1825" s="2" t="str">
        <f>HYPERLINK("http://bbs.12365auto.com/postcontent.aspx?tID=195244","http://bbs.12365auto.com/postcontent.aspx?tID=195244")</f>
        <v>http://bbs.12365auto.com/postcontent.aspx?tID=195244</v>
      </c>
      <c r="G1825" s="2"/>
      <c r="H1825" s="2" t="s">
        <v>2713</v>
      </c>
      <c r="I1825" s="2" t="s">
        <v>15</v>
      </c>
      <c r="J1825" s="2" t="s">
        <v>2699</v>
      </c>
      <c r="K1825" s="2" t="s">
        <v>2711</v>
      </c>
      <c r="L1825" s="2">
        <f t="shared" si="28"/>
        <v>150</v>
      </c>
    </row>
    <row r="1826" spans="1:12" ht="25" customHeight="1">
      <c r="A1826" s="2" t="s">
        <v>12</v>
      </c>
      <c r="B1826" s="2" t="str">
        <f>HYPERLINK("http://bbs.12365auto.com/postcontent.aspx?tID=195245","理性分析凯迪拉克CT5的保价策略，这台车最多能优惠多少")</f>
        <v>理性分析凯迪拉克CT5的保价策略，这台车最多能优惠多少</v>
      </c>
      <c r="C1826" s="2" t="s">
        <v>13</v>
      </c>
      <c r="D1826" s="2" t="s">
        <v>12</v>
      </c>
      <c r="E1826" s="2" t="s">
        <v>28</v>
      </c>
      <c r="F1826" s="2" t="str">
        <f>HYPERLINK("http://bbs.12365auto.com/postcontent.aspx?tID=195245","http://bbs.12365auto.com/postcontent.aspx?tID=195245")</f>
        <v>http://bbs.12365auto.com/postcontent.aspx?tID=195245</v>
      </c>
      <c r="G1826" s="2"/>
      <c r="H1826" s="2" t="s">
        <v>1992</v>
      </c>
      <c r="I1826" s="2" t="s">
        <v>15</v>
      </c>
      <c r="J1826" s="2" t="s">
        <v>2699</v>
      </c>
      <c r="K1826" s="2" t="s">
        <v>2711</v>
      </c>
      <c r="L1826" s="2">
        <f t="shared" si="28"/>
        <v>150</v>
      </c>
    </row>
    <row r="1827" spans="1:12" ht="25" customHeight="1">
      <c r="A1827" s="2" t="s">
        <v>12</v>
      </c>
      <c r="B1827" s="2" t="str">
        <f>HYPERLINK("http://bbs.12365auto.com/postcontent.aspx?tId=195242","C1驾驶证不可以开的车 一经发现直接扣12分罚2000元")</f>
        <v>C1驾驶证不可以开的车 一经发现直接扣12分罚2000元</v>
      </c>
      <c r="C1827" s="2" t="s">
        <v>13</v>
      </c>
      <c r="D1827" s="2" t="s">
        <v>12</v>
      </c>
      <c r="E1827" s="2" t="s">
        <v>210</v>
      </c>
      <c r="F1827" s="2" t="str">
        <f>HYPERLINK("http://bbs.12365auto.com/postcontent.aspx?tId=195242","http://bbs.12365auto.com/postcontent.aspx?tId=195242")</f>
        <v>http://bbs.12365auto.com/postcontent.aspx?tId=195242</v>
      </c>
      <c r="G1827" s="2"/>
      <c r="H1827" s="2" t="s">
        <v>2714</v>
      </c>
      <c r="I1827" s="2" t="s">
        <v>15</v>
      </c>
      <c r="J1827" s="2" t="s">
        <v>1386</v>
      </c>
      <c r="K1827" s="2" t="s">
        <v>2715</v>
      </c>
      <c r="L1827" s="2">
        <f t="shared" si="28"/>
        <v>150</v>
      </c>
    </row>
    <row r="1828" spans="1:12" ht="25" customHeight="1">
      <c r="A1828" s="2" t="s">
        <v>12</v>
      </c>
      <c r="B1828" s="2" t="str">
        <f>HYPERLINK("http://bbs.12365auto.com/postcontent.aspx?tId=195241","不是神车也不是没毛病——本田飞度50000公里")</f>
        <v>不是神车也不是没毛病——本田飞度50000公里</v>
      </c>
      <c r="C1828" s="2" t="s">
        <v>13</v>
      </c>
      <c r="D1828" s="2" t="s">
        <v>12</v>
      </c>
      <c r="E1828" s="2" t="s">
        <v>210</v>
      </c>
      <c r="F1828" s="2" t="str">
        <f>HYPERLINK("http://bbs.12365auto.com/postcontent.aspx?tId=195241","http://bbs.12365auto.com/postcontent.aspx?tId=195241")</f>
        <v>http://bbs.12365auto.com/postcontent.aspx?tId=195241</v>
      </c>
      <c r="G1828" s="2"/>
      <c r="H1828" s="2" t="s">
        <v>2716</v>
      </c>
      <c r="I1828" s="2" t="s">
        <v>15</v>
      </c>
      <c r="J1828" s="2" t="s">
        <v>1386</v>
      </c>
      <c r="K1828" s="2" t="s">
        <v>2715</v>
      </c>
      <c r="L1828" s="2">
        <f t="shared" si="28"/>
        <v>150</v>
      </c>
    </row>
    <row r="1829" spans="1:12" ht="25" customHeight="1">
      <c r="A1829" s="2" t="s">
        <v>12</v>
      </c>
      <c r="B1829" s="2" t="str">
        <f>HYPERLINK("http://m.12365auto.com/bbs/postcontent.aspx?tID=195242","C1驾驶证不可以开的车 一经发现直接扣12分罚2000元")</f>
        <v>C1驾驶证不可以开的车 一经发现直接扣12分罚2000元</v>
      </c>
      <c r="C1829" s="2" t="s">
        <v>13</v>
      </c>
      <c r="D1829" s="2" t="s">
        <v>23</v>
      </c>
      <c r="E1829" s="2"/>
      <c r="F1829" s="2" t="str">
        <f>HYPERLINK("http://m.12365auto.com/bbs/postcontent.aspx?tID=195242","http://m.12365auto.com/bbs/postcontent.aspx?tID=195242")</f>
        <v>http://m.12365auto.com/bbs/postcontent.aspx?tID=195242</v>
      </c>
      <c r="G1829" s="2"/>
      <c r="H1829" s="2" t="s">
        <v>2714</v>
      </c>
      <c r="I1829" s="2" t="s">
        <v>15</v>
      </c>
      <c r="J1829" s="2" t="s">
        <v>1386</v>
      </c>
      <c r="K1829" s="2" t="s">
        <v>2715</v>
      </c>
      <c r="L1829" s="2">
        <f t="shared" si="28"/>
        <v>150</v>
      </c>
    </row>
    <row r="1830" spans="1:12" ht="25" customHeight="1">
      <c r="A1830" s="2" t="s">
        <v>12</v>
      </c>
      <c r="B1830" s="2" t="str">
        <f>HYPERLINK("http://m.12365auto.com/bbs/postcontent.aspx?tID=195241","不是神车也不是没毛病——本田飞度50000公里")</f>
        <v>不是神车也不是没毛病——本田飞度50000公里</v>
      </c>
      <c r="C1830" s="2" t="s">
        <v>13</v>
      </c>
      <c r="D1830" s="2" t="s">
        <v>23</v>
      </c>
      <c r="E1830" s="2"/>
      <c r="F1830" s="2" t="str">
        <f>HYPERLINK("http://m.12365auto.com/bbs/postcontent.aspx?tID=195241","http://m.12365auto.com/bbs/postcontent.aspx?tID=195241")</f>
        <v>http://m.12365auto.com/bbs/postcontent.aspx?tID=195241</v>
      </c>
      <c r="G1830" s="2"/>
      <c r="H1830" s="2" t="s">
        <v>2716</v>
      </c>
      <c r="I1830" s="2" t="s">
        <v>15</v>
      </c>
      <c r="J1830" s="2" t="s">
        <v>1386</v>
      </c>
      <c r="K1830" s="2" t="s">
        <v>2715</v>
      </c>
      <c r="L1830" s="2">
        <f t="shared" si="28"/>
        <v>150</v>
      </c>
    </row>
    <row r="1831" spans="1:12" ht="25" customHeight="1">
      <c r="A1831" s="2" t="s">
        <v>12</v>
      </c>
      <c r="B1831" s="2" t="str">
        <f>HYPERLINK("http://m.12365auto.com/bbs/postcontent.aspx?tID=195243","发改委：还有五年，L3要规模量产！我们要进入自动驾驶时代了？")</f>
        <v>发改委：还有五年，L3要规模量产！我们要进入自动驾驶时代了？</v>
      </c>
      <c r="C1831" s="2" t="s">
        <v>13</v>
      </c>
      <c r="D1831" s="2" t="s">
        <v>23</v>
      </c>
      <c r="E1831" s="2"/>
      <c r="F1831" s="2" t="str">
        <f>HYPERLINK("http://m.12365auto.com/bbs/postcontent.aspx?tID=195243","http://m.12365auto.com/bbs/postcontent.aspx?tID=195243")</f>
        <v>http://m.12365auto.com/bbs/postcontent.aspx?tID=195243</v>
      </c>
      <c r="G1831" s="2"/>
      <c r="H1831" s="2" t="s">
        <v>2717</v>
      </c>
      <c r="I1831" s="2" t="s">
        <v>15</v>
      </c>
      <c r="J1831" s="2" t="s">
        <v>2699</v>
      </c>
      <c r="K1831" s="2" t="s">
        <v>2715</v>
      </c>
      <c r="L1831" s="2">
        <f t="shared" si="28"/>
        <v>150</v>
      </c>
    </row>
    <row r="1832" spans="1:12" ht="25" customHeight="1">
      <c r="A1832" s="2" t="s">
        <v>12</v>
      </c>
      <c r="B1832" s="2" t="str">
        <f>HYPERLINK("http://m.12365auto.com/news/20200226/419591.shtml","北汽新能源EX3用车解析 每公里仅需0.36元")</f>
        <v>北汽新能源EX3用车解析 每公里仅需0.36元</v>
      </c>
      <c r="C1832" s="2" t="s">
        <v>13</v>
      </c>
      <c r="D1832" s="2" t="s">
        <v>12</v>
      </c>
      <c r="E1832" s="2"/>
      <c r="F1832" s="2" t="str">
        <f>HYPERLINK("http://m.12365auto.com/news/20200226/419591.shtml","http://m.12365auto.com/news/20200226/419591.shtml")</f>
        <v>http://m.12365auto.com/news/20200226/419591.shtml</v>
      </c>
      <c r="G1832" s="2"/>
      <c r="H1832" s="2" t="s">
        <v>2718</v>
      </c>
      <c r="I1832" s="2" t="s">
        <v>19</v>
      </c>
      <c r="J1832" s="2" t="s">
        <v>2697</v>
      </c>
      <c r="K1832" s="2" t="s">
        <v>2715</v>
      </c>
      <c r="L1832" s="2">
        <f t="shared" si="28"/>
        <v>150</v>
      </c>
    </row>
    <row r="1833" spans="1:12" ht="25" customHeight="1">
      <c r="A1833" s="2" t="s">
        <v>12</v>
      </c>
      <c r="B1833" s="2" t="str">
        <f>HYPERLINK("http://www.12365auto.com/news/20200226/419591.shtml","北汽新能源EX3用车解析 每公里仅需0.36元")</f>
        <v>北汽新能源EX3用车解析 每公里仅需0.36元</v>
      </c>
      <c r="C1833" s="2" t="s">
        <v>13</v>
      </c>
      <c r="D1833" s="2" t="s">
        <v>12</v>
      </c>
      <c r="E1833" s="2" t="s">
        <v>372</v>
      </c>
      <c r="F1833" s="2" t="str">
        <f>HYPERLINK("http://www.12365auto.com/news/20200226/419591.shtml","http://www.12365auto.com/news/20200226/419591.shtml")</f>
        <v>http://www.12365auto.com/news/20200226/419591.shtml</v>
      </c>
      <c r="G1833" s="2"/>
      <c r="H1833" s="2" t="s">
        <v>2719</v>
      </c>
      <c r="I1833" s="2" t="s">
        <v>15</v>
      </c>
      <c r="J1833" s="2" t="s">
        <v>12</v>
      </c>
      <c r="K1833" s="2" t="s">
        <v>2715</v>
      </c>
      <c r="L1833" s="2">
        <f t="shared" si="28"/>
        <v>150</v>
      </c>
    </row>
    <row r="1834" spans="1:12" ht="25" customHeight="1">
      <c r="A1834" s="2" t="s">
        <v>12</v>
      </c>
      <c r="B1834" s="2" t="str">
        <f>HYPERLINK("http://bbs.12365auto.com/postcontent.aspx?tId=195243","发改委：还有五年，L3要规模量产！我们要进入自动驾驶时代了？")</f>
        <v>发改委：还有五年，L3要规模量产！我们要进入自动驾驶时代了？</v>
      </c>
      <c r="C1834" s="2" t="s">
        <v>13</v>
      </c>
      <c r="D1834" s="2" t="s">
        <v>12</v>
      </c>
      <c r="E1834" s="2" t="s">
        <v>27</v>
      </c>
      <c r="F1834" s="2" t="str">
        <f>HYPERLINK("http://bbs.12365auto.com/postcontent.aspx?tId=195243","http://bbs.12365auto.com/postcontent.aspx?tId=195243")</f>
        <v>http://bbs.12365auto.com/postcontent.aspx?tId=195243</v>
      </c>
      <c r="G1834" s="2"/>
      <c r="H1834" s="2" t="s">
        <v>2717</v>
      </c>
      <c r="I1834" s="2" t="s">
        <v>15</v>
      </c>
      <c r="J1834" s="2" t="s">
        <v>2699</v>
      </c>
      <c r="K1834" s="2" t="s">
        <v>2715</v>
      </c>
      <c r="L1834" s="2">
        <f t="shared" si="28"/>
        <v>150</v>
      </c>
    </row>
    <row r="1835" spans="1:12" ht="25" customHeight="1">
      <c r="A1835" s="2" t="s">
        <v>12</v>
      </c>
      <c r="B1835" s="2" t="str">
        <f>HYPERLINK("http://bbs.12365auto.com/postcontent.aspx?tID=195243","发改委：还有五年，L3要规模量产！我们要进入自动驾驶时代了？")</f>
        <v>发改委：还有五年，L3要规模量产！我们要进入自动驾驶时代了？</v>
      </c>
      <c r="C1835" s="2" t="s">
        <v>13</v>
      </c>
      <c r="D1835" s="2" t="s">
        <v>12</v>
      </c>
      <c r="E1835" s="2" t="s">
        <v>28</v>
      </c>
      <c r="F1835" s="2" t="str">
        <f>HYPERLINK("http://bbs.12365auto.com/postcontent.aspx?tID=195243","http://bbs.12365auto.com/postcontent.aspx?tID=195243")</f>
        <v>http://bbs.12365auto.com/postcontent.aspx?tID=195243</v>
      </c>
      <c r="G1835" s="2"/>
      <c r="H1835" s="2" t="s">
        <v>2720</v>
      </c>
      <c r="I1835" s="2" t="s">
        <v>15</v>
      </c>
      <c r="J1835" s="2" t="s">
        <v>2699</v>
      </c>
      <c r="K1835" s="2" t="s">
        <v>2715</v>
      </c>
      <c r="L1835" s="2">
        <f t="shared" si="28"/>
        <v>150</v>
      </c>
    </row>
    <row r="1836" spans="1:12" ht="25" customHeight="1">
      <c r="A1836" s="2" t="s">
        <v>12</v>
      </c>
      <c r="B1836" s="2" t="str">
        <f>HYPERLINK("http://bbs.12365auto.com/postcontent.aspx?tID=195242","C1驾驶证不可以开的车 一经发现直接扣12分罚2000元")</f>
        <v>C1驾驶证不可以开的车 一经发现直接扣12分罚2000元</v>
      </c>
      <c r="C1836" s="2" t="s">
        <v>13</v>
      </c>
      <c r="D1836" s="2" t="s">
        <v>12</v>
      </c>
      <c r="E1836" s="2" t="s">
        <v>214</v>
      </c>
      <c r="F1836" s="2" t="str">
        <f>HYPERLINK("http://bbs.12365auto.com/postcontent.aspx?tID=195242","http://bbs.12365auto.com/postcontent.aspx?tID=195242")</f>
        <v>http://bbs.12365auto.com/postcontent.aspx?tID=195242</v>
      </c>
      <c r="G1836" s="2"/>
      <c r="H1836" s="2" t="s">
        <v>2721</v>
      </c>
      <c r="I1836" s="2" t="s">
        <v>15</v>
      </c>
      <c r="J1836" s="2" t="s">
        <v>1386</v>
      </c>
      <c r="K1836" s="2" t="s">
        <v>2715</v>
      </c>
      <c r="L1836" s="2">
        <f t="shared" si="28"/>
        <v>150</v>
      </c>
    </row>
    <row r="1837" spans="1:12" ht="25" customHeight="1">
      <c r="A1837" s="2" t="s">
        <v>12</v>
      </c>
      <c r="B1837" s="2" t="str">
        <f>HYPERLINK("http://bbs.12365auto.com/postcontent.aspx?tID=195241","不是神车也不是没毛病——本田飞度50000公里")</f>
        <v>不是神车也不是没毛病——本田飞度50000公里</v>
      </c>
      <c r="C1837" s="2" t="s">
        <v>13</v>
      </c>
      <c r="D1837" s="2" t="s">
        <v>12</v>
      </c>
      <c r="E1837" s="2" t="s">
        <v>214</v>
      </c>
      <c r="F1837" s="2" t="str">
        <f>HYPERLINK("http://bbs.12365auto.com/postcontent.aspx?tID=195241","http://bbs.12365auto.com/postcontent.aspx?tID=195241")</f>
        <v>http://bbs.12365auto.com/postcontent.aspx?tID=195241</v>
      </c>
      <c r="G1837" s="2"/>
      <c r="H1837" s="2" t="s">
        <v>2722</v>
      </c>
      <c r="I1837" s="2" t="s">
        <v>15</v>
      </c>
      <c r="J1837" s="2" t="s">
        <v>1386</v>
      </c>
      <c r="K1837" s="2" t="s">
        <v>2715</v>
      </c>
      <c r="L1837" s="2">
        <f t="shared" si="28"/>
        <v>150</v>
      </c>
    </row>
    <row r="1838" spans="1:12" ht="25" customHeight="1">
      <c r="A1838" s="2" t="s">
        <v>12</v>
      </c>
      <c r="B1838" s="2" t="str">
        <f>HYPERLINK("http://bbs.12365auto.com/postcontent.aspx?tId=195239","远离疫情 疾控中心提出私家车预防指南")</f>
        <v>远离疫情 疾控中心提出私家车预防指南</v>
      </c>
      <c r="C1838" s="2" t="s">
        <v>13</v>
      </c>
      <c r="D1838" s="2" t="s">
        <v>12</v>
      </c>
      <c r="E1838" s="2" t="s">
        <v>210</v>
      </c>
      <c r="F1838" s="2" t="str">
        <f>HYPERLINK("http://bbs.12365auto.com/postcontent.aspx?tId=195239","http://bbs.12365auto.com/postcontent.aspx?tId=195239")</f>
        <v>http://bbs.12365auto.com/postcontent.aspx?tId=195239</v>
      </c>
      <c r="G1838" s="2"/>
      <c r="H1838" s="2" t="s">
        <v>2723</v>
      </c>
      <c r="I1838" s="2" t="s">
        <v>15</v>
      </c>
      <c r="J1838" s="2" t="s">
        <v>1386</v>
      </c>
      <c r="K1838" s="2" t="s">
        <v>2724</v>
      </c>
      <c r="L1838" s="2">
        <f t="shared" si="28"/>
        <v>150</v>
      </c>
    </row>
    <row r="1839" spans="1:12" ht="25" customHeight="1">
      <c r="A1839" s="2" t="s">
        <v>12</v>
      </c>
      <c r="B1839" s="2" t="str">
        <f>HYPERLINK("http://bbs.12365auto.com/postcontent.aspx?tId=195240","冬天驾驶 车内玻璃起雾怎么办 ？")</f>
        <v>冬天驾驶 车内玻璃起雾怎么办 ？</v>
      </c>
      <c r="C1839" s="2" t="s">
        <v>13</v>
      </c>
      <c r="D1839" s="2" t="s">
        <v>12</v>
      </c>
      <c r="E1839" s="2" t="s">
        <v>210</v>
      </c>
      <c r="F1839" s="2" t="str">
        <f>HYPERLINK("http://bbs.12365auto.com/postcontent.aspx?tId=195240","http://bbs.12365auto.com/postcontent.aspx?tId=195240")</f>
        <v>http://bbs.12365auto.com/postcontent.aspx?tId=195240</v>
      </c>
      <c r="G1839" s="2"/>
      <c r="H1839" s="2" t="s">
        <v>2725</v>
      </c>
      <c r="I1839" s="2" t="s">
        <v>15</v>
      </c>
      <c r="J1839" s="2" t="s">
        <v>1386</v>
      </c>
      <c r="K1839" s="2" t="s">
        <v>2724</v>
      </c>
      <c r="L1839" s="2">
        <f t="shared" si="28"/>
        <v>150</v>
      </c>
    </row>
    <row r="1840" spans="1:12" ht="25" customHeight="1">
      <c r="A1840" s="2" t="s">
        <v>12</v>
      </c>
      <c r="B1840" s="2" t="str">
        <f>HYPERLINK("http://bbs.12365auto.com/postcontent.aspx?tID=195239","远离疫情 疾控中心提出私家车预防指南")</f>
        <v>远离疫情 疾控中心提出私家车预防指南</v>
      </c>
      <c r="C1840" s="2" t="s">
        <v>13</v>
      </c>
      <c r="D1840" s="2" t="s">
        <v>12</v>
      </c>
      <c r="E1840" s="2" t="s">
        <v>214</v>
      </c>
      <c r="F1840" s="2" t="str">
        <f>HYPERLINK("http://bbs.12365auto.com/postcontent.aspx?tID=195239","http://bbs.12365auto.com/postcontent.aspx?tID=195239")</f>
        <v>http://bbs.12365auto.com/postcontent.aspx?tID=195239</v>
      </c>
      <c r="G1840" s="2"/>
      <c r="H1840" s="2" t="s">
        <v>2726</v>
      </c>
      <c r="I1840" s="2" t="s">
        <v>15</v>
      </c>
      <c r="J1840" s="2" t="s">
        <v>1386</v>
      </c>
      <c r="K1840" s="2" t="s">
        <v>2724</v>
      </c>
      <c r="L1840" s="2">
        <f t="shared" si="28"/>
        <v>150</v>
      </c>
    </row>
    <row r="1841" spans="1:12" ht="25" customHeight="1">
      <c r="A1841" s="2" t="s">
        <v>12</v>
      </c>
      <c r="B1841" s="2" t="str">
        <f>HYPERLINK("http://bbs.12365auto.com/postcontent.aspx?tID=195240","冬天驾驶 车内玻璃起雾怎么办 ？")</f>
        <v>冬天驾驶 车内玻璃起雾怎么办 ？</v>
      </c>
      <c r="C1841" s="2" t="s">
        <v>13</v>
      </c>
      <c r="D1841" s="2" t="s">
        <v>12</v>
      </c>
      <c r="E1841" s="2" t="s">
        <v>214</v>
      </c>
      <c r="F1841" s="2" t="str">
        <f>HYPERLINK("http://bbs.12365auto.com/postcontent.aspx?tID=195240","http://bbs.12365auto.com/postcontent.aspx?tID=195240")</f>
        <v>http://bbs.12365auto.com/postcontent.aspx?tID=195240</v>
      </c>
      <c r="G1841" s="2"/>
      <c r="H1841" s="2" t="s">
        <v>2727</v>
      </c>
      <c r="I1841" s="2" t="s">
        <v>15</v>
      </c>
      <c r="J1841" s="2" t="s">
        <v>1386</v>
      </c>
      <c r="K1841" s="2" t="s">
        <v>2724</v>
      </c>
      <c r="L1841" s="2">
        <f t="shared" si="28"/>
        <v>150</v>
      </c>
    </row>
    <row r="1842" spans="1:12" ht="25" customHeight="1">
      <c r="A1842" s="2" t="s">
        <v>12</v>
      </c>
      <c r="B1842" s="2" t="str">
        <f>HYPERLINK("http://bbs.12365auto.com/postcontent.aspx?tId=195238","重要通知 21日起非ETC车上高速需领CPC卡")</f>
        <v>重要通知 21日起非ETC车上高速需领CPC卡</v>
      </c>
      <c r="C1842" s="2" t="s">
        <v>13</v>
      </c>
      <c r="D1842" s="2" t="s">
        <v>12</v>
      </c>
      <c r="E1842" s="2" t="s">
        <v>210</v>
      </c>
      <c r="F1842" s="2" t="str">
        <f>HYPERLINK("http://bbs.12365auto.com/postcontent.aspx?tId=195238","http://bbs.12365auto.com/postcontent.aspx?tId=195238")</f>
        <v>http://bbs.12365auto.com/postcontent.aspx?tId=195238</v>
      </c>
      <c r="G1842" s="2"/>
      <c r="H1842" s="2" t="s">
        <v>2728</v>
      </c>
      <c r="I1842" s="2" t="s">
        <v>15</v>
      </c>
      <c r="J1842" s="2" t="s">
        <v>1386</v>
      </c>
      <c r="K1842" s="2" t="s">
        <v>2729</v>
      </c>
      <c r="L1842" s="2">
        <f t="shared" si="28"/>
        <v>150</v>
      </c>
    </row>
    <row r="1843" spans="1:12" ht="25" customHeight="1">
      <c r="A1843" s="2" t="s">
        <v>12</v>
      </c>
      <c r="B1843" s="2" t="str">
        <f>HYPERLINK("http://bbs.12365auto.com/postcontent.aspx?tID=195238","重要通知 21日起非ETC车上高速需领CPC卡")</f>
        <v>重要通知 21日起非ETC车上高速需领CPC卡</v>
      </c>
      <c r="C1843" s="2" t="s">
        <v>13</v>
      </c>
      <c r="D1843" s="2" t="s">
        <v>12</v>
      </c>
      <c r="E1843" s="2" t="s">
        <v>214</v>
      </c>
      <c r="F1843" s="2" t="str">
        <f>HYPERLINK("http://bbs.12365auto.com/postcontent.aspx?tID=195238","http://bbs.12365auto.com/postcontent.aspx?tID=195238")</f>
        <v>http://bbs.12365auto.com/postcontent.aspx?tID=195238</v>
      </c>
      <c r="G1843" s="2"/>
      <c r="H1843" s="2" t="s">
        <v>2730</v>
      </c>
      <c r="I1843" s="2" t="s">
        <v>15</v>
      </c>
      <c r="J1843" s="2" t="s">
        <v>1386</v>
      </c>
      <c r="K1843" s="2" t="s">
        <v>2729</v>
      </c>
      <c r="L1843" s="2">
        <f t="shared" si="28"/>
        <v>150</v>
      </c>
    </row>
    <row r="1844" spans="1:12" ht="25" customHeight="1">
      <c r="A1844" s="2" t="s">
        <v>12</v>
      </c>
      <c r="B1844" s="2" t="str">
        <f>HYPERLINK("http://bbs.12365auto.com/postcontent.aspx?tId=195237","几天后 了解下你的18分驾照？")</f>
        <v>几天后 了解下你的18分驾照？</v>
      </c>
      <c r="C1844" s="2" t="s">
        <v>13</v>
      </c>
      <c r="D1844" s="2" t="s">
        <v>12</v>
      </c>
      <c r="E1844" s="2" t="s">
        <v>210</v>
      </c>
      <c r="F1844" s="2" t="str">
        <f>HYPERLINK("http://bbs.12365auto.com/postcontent.aspx?tId=195237","http://bbs.12365auto.com/postcontent.aspx?tId=195237")</f>
        <v>http://bbs.12365auto.com/postcontent.aspx?tId=195237</v>
      </c>
      <c r="G1844" s="2"/>
      <c r="H1844" s="2" t="s">
        <v>2731</v>
      </c>
      <c r="I1844" s="2" t="s">
        <v>15</v>
      </c>
      <c r="J1844" s="2" t="s">
        <v>1386</v>
      </c>
      <c r="K1844" s="2" t="s">
        <v>2732</v>
      </c>
      <c r="L1844" s="2">
        <f t="shared" si="28"/>
        <v>150</v>
      </c>
    </row>
    <row r="1845" spans="1:12" ht="25" customHeight="1">
      <c r="A1845" s="2" t="s">
        <v>12</v>
      </c>
      <c r="B1845" s="2" t="str">
        <f>HYPERLINK("http://bbs.12365auto.com/postcontent.aspx?tID=195237","几天后 了解下你的18分驾照？")</f>
        <v>几天后 了解下你的18分驾照？</v>
      </c>
      <c r="C1845" s="2" t="s">
        <v>13</v>
      </c>
      <c r="D1845" s="2" t="s">
        <v>12</v>
      </c>
      <c r="E1845" s="2" t="s">
        <v>214</v>
      </c>
      <c r="F1845" s="2" t="str">
        <f>HYPERLINK("http://bbs.12365auto.com/postcontent.aspx?tID=195237","http://bbs.12365auto.com/postcontent.aspx?tID=195237")</f>
        <v>http://bbs.12365auto.com/postcontent.aspx?tID=195237</v>
      </c>
      <c r="G1845" s="2"/>
      <c r="H1845" s="2" t="s">
        <v>2733</v>
      </c>
      <c r="I1845" s="2" t="s">
        <v>15</v>
      </c>
      <c r="J1845" s="2" t="s">
        <v>1386</v>
      </c>
      <c r="K1845" s="2" t="s">
        <v>2732</v>
      </c>
      <c r="L1845" s="2">
        <f t="shared" si="28"/>
        <v>150</v>
      </c>
    </row>
    <row r="1846" spans="1:12" ht="25" customHeight="1">
      <c r="A1846" s="2" t="s">
        <v>12</v>
      </c>
      <c r="B1846" s="2" t="str">
        <f>HYPERLINK("http://www.12365auto.com/news/20200226/419590.shtml","战疫行动 保时捷经销商开启便利暖心服务")</f>
        <v>战疫行动 保时捷经销商开启便利暖心服务</v>
      </c>
      <c r="C1846" s="2" t="s">
        <v>13</v>
      </c>
      <c r="D1846" s="2" t="s">
        <v>12</v>
      </c>
      <c r="E1846" s="2" t="s">
        <v>282</v>
      </c>
      <c r="F1846" s="2" t="str">
        <f>HYPERLINK("http://www.12365auto.com/news/20200226/419590.shtml","http://www.12365auto.com/news/20200226/419590.shtml")</f>
        <v>http://www.12365auto.com/news/20200226/419590.shtml</v>
      </c>
      <c r="G1846" s="2"/>
      <c r="H1846" s="2" t="s">
        <v>2734</v>
      </c>
      <c r="I1846" s="2" t="s">
        <v>19</v>
      </c>
      <c r="J1846" s="2" t="s">
        <v>12</v>
      </c>
      <c r="K1846" s="2" t="s">
        <v>2735</v>
      </c>
      <c r="L1846" s="2">
        <f t="shared" si="28"/>
        <v>150</v>
      </c>
    </row>
    <row r="1847" spans="1:12" ht="25" customHeight="1">
      <c r="A1847" s="2" t="s">
        <v>12</v>
      </c>
      <c r="B1847" s="2" t="str">
        <f>HYPERLINK("http://m.12365auto.com/news/20200226/419590.shtml","战疫行动 保时捷经销商开启便利暖心服务")</f>
        <v>战疫行动 保时捷经销商开启便利暖心服务</v>
      </c>
      <c r="C1847" s="2" t="s">
        <v>13</v>
      </c>
      <c r="D1847" s="2" t="s">
        <v>12</v>
      </c>
      <c r="E1847" s="2"/>
      <c r="F1847" s="2" t="str">
        <f>HYPERLINK("http://m.12365auto.com/news/20200226/419590.shtml","http://m.12365auto.com/news/20200226/419590.shtml")</f>
        <v>http://m.12365auto.com/news/20200226/419590.shtml</v>
      </c>
      <c r="G1847" s="2"/>
      <c r="H1847" s="2" t="s">
        <v>2736</v>
      </c>
      <c r="I1847" s="2" t="s">
        <v>19</v>
      </c>
      <c r="J1847" s="2" t="s">
        <v>1009</v>
      </c>
      <c r="K1847" s="2" t="s">
        <v>2735</v>
      </c>
      <c r="L1847" s="2">
        <f t="shared" si="28"/>
        <v>150</v>
      </c>
    </row>
    <row r="1848" spans="1:12" ht="25" customHeight="1">
      <c r="A1848" s="2" t="s">
        <v>12</v>
      </c>
      <c r="B1848" s="2" t="str">
        <f>HYPERLINK("http://www.12365auto.com/news/20200226/419589.shtml","关爱无限 心手相连 英菲尼迪全力抗“疫”")</f>
        <v>关爱无限 心手相连 英菲尼迪全力抗“疫”</v>
      </c>
      <c r="C1848" s="2" t="s">
        <v>13</v>
      </c>
      <c r="D1848" s="2" t="s">
        <v>12</v>
      </c>
      <c r="E1848" s="2" t="s">
        <v>282</v>
      </c>
      <c r="F1848" s="2" t="str">
        <f>HYPERLINK("http://www.12365auto.com/news/20200226/419589.shtml","http://www.12365auto.com/news/20200226/419589.shtml")</f>
        <v>http://www.12365auto.com/news/20200226/419589.shtml</v>
      </c>
      <c r="G1848" s="2"/>
      <c r="H1848" s="2" t="s">
        <v>2737</v>
      </c>
      <c r="I1848" s="2" t="s">
        <v>19</v>
      </c>
      <c r="J1848" s="2" t="s">
        <v>12</v>
      </c>
      <c r="K1848" s="2" t="s">
        <v>2738</v>
      </c>
      <c r="L1848" s="2">
        <f t="shared" si="28"/>
        <v>150</v>
      </c>
    </row>
    <row r="1849" spans="1:12" ht="25" customHeight="1">
      <c r="A1849" s="2" t="s">
        <v>12</v>
      </c>
      <c r="B1849" s="2" t="str">
        <f>HYPERLINK("http://bbs.12365auto.com/postcontent.aspx?tId=195235","12月1日起驾照不再是12分 车辆不再年检？")</f>
        <v>12月1日起驾照不再是12分 车辆不再年检？</v>
      </c>
      <c r="C1849" s="2" t="s">
        <v>13</v>
      </c>
      <c r="D1849" s="2" t="s">
        <v>12</v>
      </c>
      <c r="E1849" s="2" t="s">
        <v>210</v>
      </c>
      <c r="F1849" s="2" t="str">
        <f>HYPERLINK("http://bbs.12365auto.com/postcontent.aspx?tId=195235","http://bbs.12365auto.com/postcontent.aspx?tId=195235")</f>
        <v>http://bbs.12365auto.com/postcontent.aspx?tId=195235</v>
      </c>
      <c r="G1849" s="2"/>
      <c r="H1849" s="2" t="s">
        <v>2739</v>
      </c>
      <c r="I1849" s="2" t="s">
        <v>15</v>
      </c>
      <c r="J1849" s="2" t="s">
        <v>1386</v>
      </c>
      <c r="K1849" s="2" t="s">
        <v>2738</v>
      </c>
      <c r="L1849" s="2">
        <f t="shared" si="28"/>
        <v>150</v>
      </c>
    </row>
    <row r="1850" spans="1:12" ht="25" customHeight="1">
      <c r="A1850" s="2" t="s">
        <v>12</v>
      </c>
      <c r="B1850" s="2" t="str">
        <f>HYPERLINK("http://m.12365auto.com/news/20200226/419589.shtml","关爱无限 心手相连 英菲尼迪全力抗“疫”")</f>
        <v>关爱无限 心手相连 英菲尼迪全力抗“疫”</v>
      </c>
      <c r="C1850" s="2" t="s">
        <v>13</v>
      </c>
      <c r="D1850" s="2" t="s">
        <v>12</v>
      </c>
      <c r="E1850" s="2"/>
      <c r="F1850" s="2" t="str">
        <f>HYPERLINK("http://m.12365auto.com/news/20200226/419589.shtml","http://m.12365auto.com/news/20200226/419589.shtml")</f>
        <v>http://m.12365auto.com/news/20200226/419589.shtml</v>
      </c>
      <c r="G1850" s="2"/>
      <c r="H1850" s="2" t="s">
        <v>2740</v>
      </c>
      <c r="I1850" s="2" t="s">
        <v>19</v>
      </c>
      <c r="J1850" s="2" t="s">
        <v>2741</v>
      </c>
      <c r="K1850" s="2" t="s">
        <v>2738</v>
      </c>
      <c r="L1850" s="2">
        <f t="shared" si="28"/>
        <v>150</v>
      </c>
    </row>
    <row r="1851" spans="1:12" ht="25" customHeight="1">
      <c r="A1851" s="2" t="s">
        <v>12</v>
      </c>
      <c r="B1851" s="2" t="str">
        <f>HYPERLINK("http://bbs.12365auto.com/postcontent.aspx?tId=195236","2月上半月车市跌幅超90%？莫慌，政策救市来了")</f>
        <v>2月上半月车市跌幅超90%？莫慌，政策救市来了</v>
      </c>
      <c r="C1851" s="2" t="s">
        <v>13</v>
      </c>
      <c r="D1851" s="2" t="s">
        <v>12</v>
      </c>
      <c r="E1851" s="2" t="s">
        <v>27</v>
      </c>
      <c r="F1851" s="2" t="str">
        <f>HYPERLINK("http://bbs.12365auto.com/postcontent.aspx?tId=195236","http://bbs.12365auto.com/postcontent.aspx?tId=195236")</f>
        <v>http://bbs.12365auto.com/postcontent.aspx?tId=195236</v>
      </c>
      <c r="G1851" s="2"/>
      <c r="H1851" s="2" t="s">
        <v>2742</v>
      </c>
      <c r="I1851" s="2" t="s">
        <v>15</v>
      </c>
      <c r="J1851" s="2" t="s">
        <v>2699</v>
      </c>
      <c r="K1851" s="2" t="s">
        <v>2738</v>
      </c>
      <c r="L1851" s="2">
        <f t="shared" si="28"/>
        <v>150</v>
      </c>
    </row>
    <row r="1852" spans="1:12" ht="25" customHeight="1">
      <c r="A1852" s="2" t="s">
        <v>12</v>
      </c>
      <c r="B1852" s="2" t="str">
        <f>HYPERLINK("http://bbs.12365auto.com/postcontent.aspx?tID=195235","12月1日起驾照不再是12分 车辆不再年检？")</f>
        <v>12月1日起驾照不再是12分 车辆不再年检？</v>
      </c>
      <c r="C1852" s="2" t="s">
        <v>13</v>
      </c>
      <c r="D1852" s="2" t="s">
        <v>12</v>
      </c>
      <c r="E1852" s="2" t="s">
        <v>214</v>
      </c>
      <c r="F1852" s="2" t="str">
        <f>HYPERLINK("http://bbs.12365auto.com/postcontent.aspx?tID=195235","http://bbs.12365auto.com/postcontent.aspx?tID=195235")</f>
        <v>http://bbs.12365auto.com/postcontent.aspx?tID=195235</v>
      </c>
      <c r="G1852" s="2"/>
      <c r="H1852" s="2" t="s">
        <v>2743</v>
      </c>
      <c r="I1852" s="2" t="s">
        <v>15</v>
      </c>
      <c r="J1852" s="2" t="s">
        <v>1386</v>
      </c>
      <c r="K1852" s="2" t="s">
        <v>2738</v>
      </c>
      <c r="L1852" s="2">
        <f t="shared" si="28"/>
        <v>150</v>
      </c>
    </row>
    <row r="1853" spans="1:12" ht="25" customHeight="1">
      <c r="A1853" s="2" t="s">
        <v>12</v>
      </c>
      <c r="B1853" s="2" t="str">
        <f>HYPERLINK("http://bbs.12365auto.com/postcontent.aspx?tID=195236","2月上半月车市跌幅超90%？莫慌，政策救市来了")</f>
        <v>2月上半月车市跌幅超90%？莫慌，政策救市来了</v>
      </c>
      <c r="C1853" s="2" t="s">
        <v>13</v>
      </c>
      <c r="D1853" s="2" t="s">
        <v>12</v>
      </c>
      <c r="E1853" s="2" t="s">
        <v>28</v>
      </c>
      <c r="F1853" s="2" t="str">
        <f>HYPERLINK("http://bbs.12365auto.com/postcontent.aspx?tID=195236","http://bbs.12365auto.com/postcontent.aspx?tID=195236")</f>
        <v>http://bbs.12365auto.com/postcontent.aspx?tID=195236</v>
      </c>
      <c r="G1853" s="2"/>
      <c r="H1853" s="2" t="s">
        <v>2744</v>
      </c>
      <c r="I1853" s="2" t="s">
        <v>15</v>
      </c>
      <c r="J1853" s="2" t="s">
        <v>2699</v>
      </c>
      <c r="K1853" s="2" t="s">
        <v>2738</v>
      </c>
      <c r="L1853" s="2">
        <f t="shared" si="28"/>
        <v>150</v>
      </c>
    </row>
    <row r="1854" spans="1:12" ht="25" customHeight="1">
      <c r="A1854" s="2" t="s">
        <v>12</v>
      </c>
      <c r="B1854" s="2" t="str">
        <f>HYPERLINK("http://bbs.12365auto.com/postcontent.aspx?tId=195233","高速上突然下暴雨 打开雾灯还是双闪？")</f>
        <v>高速上突然下暴雨 打开雾灯还是双闪？</v>
      </c>
      <c r="C1854" s="2" t="s">
        <v>13</v>
      </c>
      <c r="D1854" s="2" t="s">
        <v>12</v>
      </c>
      <c r="E1854" s="2" t="s">
        <v>210</v>
      </c>
      <c r="F1854" s="2" t="str">
        <f>HYPERLINK("http://bbs.12365auto.com/postcontent.aspx?tId=195233","http://bbs.12365auto.com/postcontent.aspx?tId=195233")</f>
        <v>http://bbs.12365auto.com/postcontent.aspx?tId=195233</v>
      </c>
      <c r="G1854" s="2"/>
      <c r="H1854" s="2" t="s">
        <v>2745</v>
      </c>
      <c r="I1854" s="2" t="s">
        <v>15</v>
      </c>
      <c r="J1854" s="2" t="s">
        <v>1386</v>
      </c>
      <c r="K1854" s="2" t="s">
        <v>2746</v>
      </c>
      <c r="L1854" s="2">
        <f t="shared" si="28"/>
        <v>150</v>
      </c>
    </row>
    <row r="1855" spans="1:12" ht="25" customHeight="1">
      <c r="A1855" s="2" t="s">
        <v>12</v>
      </c>
      <c r="B1855" s="2" t="str">
        <f>HYPERLINK("http://bbs.12365auto.com/postcontent.aspx?tId=195234","销量暴增的背后红旗经历了什么？")</f>
        <v>销量暴增的背后红旗经历了什么？</v>
      </c>
      <c r="C1855" s="2" t="s">
        <v>13</v>
      </c>
      <c r="D1855" s="2" t="s">
        <v>12</v>
      </c>
      <c r="E1855" s="2" t="s">
        <v>27</v>
      </c>
      <c r="F1855" s="2" t="str">
        <f>HYPERLINK("http://bbs.12365auto.com/postcontent.aspx?tId=195234","http://bbs.12365auto.com/postcontent.aspx?tId=195234")</f>
        <v>http://bbs.12365auto.com/postcontent.aspx?tId=195234</v>
      </c>
      <c r="G1855" s="2"/>
      <c r="H1855" s="2" t="s">
        <v>2747</v>
      </c>
      <c r="I1855" s="2" t="s">
        <v>15</v>
      </c>
      <c r="J1855" s="2" t="s">
        <v>2699</v>
      </c>
      <c r="K1855" s="2" t="s">
        <v>2746</v>
      </c>
      <c r="L1855" s="2">
        <f t="shared" si="28"/>
        <v>150</v>
      </c>
    </row>
    <row r="1856" spans="1:12" ht="25" customHeight="1">
      <c r="A1856" s="2" t="s">
        <v>12</v>
      </c>
      <c r="B1856" s="2" t="str">
        <f>HYPERLINK("http://bbs.12365auto.com/postcontent.aspx?tID=195234","销量暴增的背后红旗经历了什么？")</f>
        <v>销量暴增的背后红旗经历了什么？</v>
      </c>
      <c r="C1856" s="2" t="s">
        <v>13</v>
      </c>
      <c r="D1856" s="2" t="s">
        <v>12</v>
      </c>
      <c r="E1856" s="2" t="s">
        <v>28</v>
      </c>
      <c r="F1856" s="2" t="str">
        <f>HYPERLINK("http://bbs.12365auto.com/postcontent.aspx?tID=195234","http://bbs.12365auto.com/postcontent.aspx?tID=195234")</f>
        <v>http://bbs.12365auto.com/postcontent.aspx?tID=195234</v>
      </c>
      <c r="G1856" s="2"/>
      <c r="H1856" s="2" t="s">
        <v>2748</v>
      </c>
      <c r="I1856" s="2" t="s">
        <v>15</v>
      </c>
      <c r="J1856" s="2" t="s">
        <v>2699</v>
      </c>
      <c r="K1856" s="2" t="s">
        <v>2746</v>
      </c>
      <c r="L1856" s="2">
        <f t="shared" si="28"/>
        <v>150</v>
      </c>
    </row>
    <row r="1857" spans="1:12" ht="25" customHeight="1">
      <c r="A1857" s="2" t="s">
        <v>12</v>
      </c>
      <c r="B1857" s="2" t="str">
        <f>HYPERLINK("http://bbs.12365auto.com/postcontent.aspx?tID=195233","高速上突然下暴雨 打开雾灯还是双闪？")</f>
        <v>高速上突然下暴雨 打开雾灯还是双闪？</v>
      </c>
      <c r="C1857" s="2" t="s">
        <v>13</v>
      </c>
      <c r="D1857" s="2" t="s">
        <v>12</v>
      </c>
      <c r="E1857" s="2" t="s">
        <v>214</v>
      </c>
      <c r="F1857" s="2" t="str">
        <f>HYPERLINK("http://bbs.12365auto.com/postcontent.aspx?tID=195233","http://bbs.12365auto.com/postcontent.aspx?tID=195233")</f>
        <v>http://bbs.12365auto.com/postcontent.aspx?tID=195233</v>
      </c>
      <c r="G1857" s="2"/>
      <c r="H1857" s="2" t="s">
        <v>2749</v>
      </c>
      <c r="I1857" s="2" t="s">
        <v>15</v>
      </c>
      <c r="J1857" s="2" t="s">
        <v>1386</v>
      </c>
      <c r="K1857" s="2" t="s">
        <v>2746</v>
      </c>
      <c r="L1857" s="2">
        <f t="shared" si="28"/>
        <v>150</v>
      </c>
    </row>
    <row r="1858" spans="1:12" ht="25" customHeight="1">
      <c r="A1858" s="2" t="s">
        <v>12</v>
      </c>
      <c r="B1858" s="2" t="str">
        <f>HYPERLINK("http://bbs.12365auto.com/postcontent.aspx?tId=195232","不注意这些 装了行车记录仪也会失效")</f>
        <v>不注意这些 装了行车记录仪也会失效</v>
      </c>
      <c r="C1858" s="2" t="s">
        <v>13</v>
      </c>
      <c r="D1858" s="2" t="s">
        <v>12</v>
      </c>
      <c r="E1858" s="2" t="s">
        <v>210</v>
      </c>
      <c r="F1858" s="2" t="str">
        <f>HYPERLINK("http://bbs.12365auto.com/postcontent.aspx?tId=195232","http://bbs.12365auto.com/postcontent.aspx?tId=195232")</f>
        <v>http://bbs.12365auto.com/postcontent.aspx?tId=195232</v>
      </c>
      <c r="G1858" s="2"/>
      <c r="H1858" s="2" t="s">
        <v>2750</v>
      </c>
      <c r="I1858" s="2" t="s">
        <v>15</v>
      </c>
      <c r="J1858" s="2" t="s">
        <v>1386</v>
      </c>
      <c r="K1858" s="2" t="s">
        <v>2751</v>
      </c>
      <c r="L1858" s="2">
        <f t="shared" si="28"/>
        <v>150</v>
      </c>
    </row>
    <row r="1859" spans="1:12" ht="25" customHeight="1">
      <c r="A1859" s="2" t="s">
        <v>12</v>
      </c>
      <c r="B1859" s="2" t="str">
        <f>HYPERLINK("http://bbs.12365auto.com/postcontent.aspx?tId=195231","轮胎什么情况下一定需要更换？")</f>
        <v>轮胎什么情况下一定需要更换？</v>
      </c>
      <c r="C1859" s="2" t="s">
        <v>13</v>
      </c>
      <c r="D1859" s="2" t="s">
        <v>12</v>
      </c>
      <c r="E1859" s="2" t="s">
        <v>210</v>
      </c>
      <c r="F1859" s="2" t="str">
        <f>HYPERLINK("http://bbs.12365auto.com/postcontent.aspx?tId=195231","http://bbs.12365auto.com/postcontent.aspx?tId=195231")</f>
        <v>http://bbs.12365auto.com/postcontent.aspx?tId=195231</v>
      </c>
      <c r="G1859" s="2"/>
      <c r="H1859" s="2" t="s">
        <v>2752</v>
      </c>
      <c r="I1859" s="2" t="s">
        <v>15</v>
      </c>
      <c r="J1859" s="2" t="s">
        <v>1386</v>
      </c>
      <c r="K1859" s="2" t="s">
        <v>2751</v>
      </c>
      <c r="L1859" s="2">
        <f t="shared" ref="L1859:L1922" si="29">LEN(H1859)</f>
        <v>150</v>
      </c>
    </row>
    <row r="1860" spans="1:12" ht="25" customHeight="1">
      <c r="A1860" s="2" t="s">
        <v>12</v>
      </c>
      <c r="B1860" s="2" t="str">
        <f>HYPERLINK("http://m.12365auto.com/xcdg/20200226/419588.shtml","CR-V混动中配和荣放双擎入门哪个好")</f>
        <v>CR-V混动中配和荣放双擎入门哪个好</v>
      </c>
      <c r="C1860" s="2" t="s">
        <v>13</v>
      </c>
      <c r="D1860" s="2" t="s">
        <v>12</v>
      </c>
      <c r="E1860" s="2"/>
      <c r="F1860" s="2" t="str">
        <f>HYPERLINK("http://m.12365auto.com/xcdg/20200226/419588.shtml","http://m.12365auto.com/xcdg/20200226/419588.shtml")</f>
        <v>http://m.12365auto.com/xcdg/20200226/419588.shtml</v>
      </c>
      <c r="G1860" s="2"/>
      <c r="H1860" s="2" t="s">
        <v>2753</v>
      </c>
      <c r="I1860" s="2" t="s">
        <v>19</v>
      </c>
      <c r="J1860" s="2" t="s">
        <v>2754</v>
      </c>
      <c r="K1860" s="2" t="s">
        <v>2751</v>
      </c>
      <c r="L1860" s="2">
        <f t="shared" si="29"/>
        <v>150</v>
      </c>
    </row>
    <row r="1861" spans="1:12" ht="25" customHeight="1">
      <c r="A1861" s="2" t="s">
        <v>12</v>
      </c>
      <c r="B1861" s="2" t="str">
        <f>HYPERLINK("http://bbs.12365auto.com/postcontent.aspx?tID=195232","不注意这些 装了行车记录仪也会失效")</f>
        <v>不注意这些 装了行车记录仪也会失效</v>
      </c>
      <c r="C1861" s="2" t="s">
        <v>13</v>
      </c>
      <c r="D1861" s="2" t="s">
        <v>12</v>
      </c>
      <c r="E1861" s="2" t="s">
        <v>214</v>
      </c>
      <c r="F1861" s="2" t="str">
        <f>HYPERLINK("http://bbs.12365auto.com/postcontent.aspx?tID=195232","http://bbs.12365auto.com/postcontent.aspx?tID=195232")</f>
        <v>http://bbs.12365auto.com/postcontent.aspx?tID=195232</v>
      </c>
      <c r="G1861" s="2"/>
      <c r="H1861" s="2" t="s">
        <v>2755</v>
      </c>
      <c r="I1861" s="2" t="s">
        <v>15</v>
      </c>
      <c r="J1861" s="2" t="s">
        <v>1386</v>
      </c>
      <c r="K1861" s="2" t="s">
        <v>2751</v>
      </c>
      <c r="L1861" s="2">
        <f t="shared" si="29"/>
        <v>150</v>
      </c>
    </row>
    <row r="1862" spans="1:12" ht="25" customHeight="1">
      <c r="A1862" s="2" t="s">
        <v>12</v>
      </c>
      <c r="B1862" s="2" t="str">
        <f>HYPERLINK("http://bbs.12365auto.com/postcontent.aspx?tID=195231","轮胎什么情况下一定需要更换？")</f>
        <v>轮胎什么情况下一定需要更换？</v>
      </c>
      <c r="C1862" s="2" t="s">
        <v>13</v>
      </c>
      <c r="D1862" s="2" t="s">
        <v>12</v>
      </c>
      <c r="E1862" s="2" t="s">
        <v>214</v>
      </c>
      <c r="F1862" s="2" t="str">
        <f>HYPERLINK("http://bbs.12365auto.com/postcontent.aspx?tID=195231","http://bbs.12365auto.com/postcontent.aspx?tID=195231")</f>
        <v>http://bbs.12365auto.com/postcontent.aspx?tID=195231</v>
      </c>
      <c r="G1862" s="2"/>
      <c r="H1862" s="2" t="s">
        <v>2756</v>
      </c>
      <c r="I1862" s="2" t="s">
        <v>15</v>
      </c>
      <c r="J1862" s="2" t="s">
        <v>1386</v>
      </c>
      <c r="K1862" s="2" t="s">
        <v>2751</v>
      </c>
      <c r="L1862" s="2">
        <f t="shared" si="29"/>
        <v>150</v>
      </c>
    </row>
    <row r="1863" spans="1:12" ht="25" customHeight="1">
      <c r="A1863" s="2" t="s">
        <v>12</v>
      </c>
      <c r="B1863" s="2" t="str">
        <f>HYPERLINK("http://www.12365auto.com/zlts/20200226/448792.shtml","东风标致3008车辆停放十天发动机无法启动")</f>
        <v>东风标致3008车辆停放十天发动机无法启动</v>
      </c>
      <c r="C1863" s="2" t="s">
        <v>13</v>
      </c>
      <c r="D1863" s="2" t="s">
        <v>12</v>
      </c>
      <c r="E1863" s="2" t="s">
        <v>17</v>
      </c>
      <c r="F1863" s="2" t="str">
        <f>HYPERLINK("http://www.12365auto.com/zlts/20200226/448792.shtml","http://www.12365auto.com/zlts/20200226/448792.shtml")</f>
        <v>http://www.12365auto.com/zlts/20200226/448792.shtml</v>
      </c>
      <c r="G1863" s="2"/>
      <c r="H1863" s="2" t="s">
        <v>2757</v>
      </c>
      <c r="I1863" s="2" t="s">
        <v>19</v>
      </c>
      <c r="J1863" s="2" t="s">
        <v>12</v>
      </c>
      <c r="K1863" s="2" t="s">
        <v>2758</v>
      </c>
      <c r="L1863" s="2">
        <f t="shared" si="29"/>
        <v>150</v>
      </c>
    </row>
    <row r="1864" spans="1:12" ht="25" customHeight="1">
      <c r="A1864" s="2" t="s">
        <v>12</v>
      </c>
      <c r="B1864" s="2" t="str">
        <f>HYPERLINK("http://m.12365auto.com/xcdg/20200226/419587.shtml","主推星云版车型 雪佛兰畅巡全系购车推荐")</f>
        <v>主推星云版车型 雪佛兰畅巡全系购车推荐</v>
      </c>
      <c r="C1864" s="2" t="s">
        <v>13</v>
      </c>
      <c r="D1864" s="2" t="s">
        <v>12</v>
      </c>
      <c r="E1864" s="2"/>
      <c r="F1864" s="2" t="str">
        <f>HYPERLINK("http://m.12365auto.com/xcdg/20200226/419587.shtml","http://m.12365auto.com/xcdg/20200226/419587.shtml")</f>
        <v>http://m.12365auto.com/xcdg/20200226/419587.shtml</v>
      </c>
      <c r="G1864" s="2"/>
      <c r="H1864" s="2" t="s">
        <v>2759</v>
      </c>
      <c r="I1864" s="2" t="s">
        <v>19</v>
      </c>
      <c r="J1864" s="2" t="s">
        <v>2760</v>
      </c>
      <c r="K1864" s="2" t="s">
        <v>2758</v>
      </c>
      <c r="L1864" s="2">
        <f t="shared" si="29"/>
        <v>150</v>
      </c>
    </row>
    <row r="1865" spans="1:12" ht="25" customHeight="1">
      <c r="A1865" s="2" t="s">
        <v>12</v>
      </c>
      <c r="B1865" s="2" t="str">
        <f>HYPERLINK("http://bbs.12365auto.com/postcontent.aspx?tId=195230","高速上汽车挡风玻璃被石头砸了个洞 其实30元就可以修复")</f>
        <v>高速上汽车挡风玻璃被石头砸了个洞 其实30元就可以修复</v>
      </c>
      <c r="C1865" s="2" t="s">
        <v>13</v>
      </c>
      <c r="D1865" s="2" t="s">
        <v>12</v>
      </c>
      <c r="E1865" s="2" t="s">
        <v>210</v>
      </c>
      <c r="F1865" s="2" t="str">
        <f>HYPERLINK("http://bbs.12365auto.com/postcontent.aspx?tId=195230","http://bbs.12365auto.com/postcontent.aspx?tId=195230")</f>
        <v>http://bbs.12365auto.com/postcontent.aspx?tId=195230</v>
      </c>
      <c r="G1865" s="2"/>
      <c r="H1865" s="2" t="s">
        <v>2761</v>
      </c>
      <c r="I1865" s="2" t="s">
        <v>15</v>
      </c>
      <c r="J1865" s="2" t="s">
        <v>1386</v>
      </c>
      <c r="K1865" s="2" t="s">
        <v>2762</v>
      </c>
      <c r="L1865" s="2">
        <f t="shared" si="29"/>
        <v>150</v>
      </c>
    </row>
    <row r="1866" spans="1:12" ht="25" customHeight="1">
      <c r="A1866" s="2" t="s">
        <v>12</v>
      </c>
      <c r="B1866" s="2" t="str">
        <f>HYPERLINK("http://bbs.12365auto.com/postcontent.aspx?tID=195230","高速上汽车挡风玻璃被石头砸了个洞 其实30元就可以修复")</f>
        <v>高速上汽车挡风玻璃被石头砸了个洞 其实30元就可以修复</v>
      </c>
      <c r="C1866" s="2" t="s">
        <v>13</v>
      </c>
      <c r="D1866" s="2" t="s">
        <v>12</v>
      </c>
      <c r="E1866" s="2" t="s">
        <v>214</v>
      </c>
      <c r="F1866" s="2" t="str">
        <f>HYPERLINK("http://bbs.12365auto.com/postcontent.aspx?tID=195230","http://bbs.12365auto.com/postcontent.aspx?tID=195230")</f>
        <v>http://bbs.12365auto.com/postcontent.aspx?tID=195230</v>
      </c>
      <c r="G1866" s="2"/>
      <c r="H1866" s="2" t="s">
        <v>2763</v>
      </c>
      <c r="I1866" s="2" t="s">
        <v>15</v>
      </c>
      <c r="J1866" s="2" t="s">
        <v>1386</v>
      </c>
      <c r="K1866" s="2" t="s">
        <v>2762</v>
      </c>
      <c r="L1866" s="2">
        <f t="shared" si="29"/>
        <v>150</v>
      </c>
    </row>
    <row r="1867" spans="1:12" ht="25" customHeight="1">
      <c r="A1867" s="2" t="s">
        <v>12</v>
      </c>
      <c r="B1867" s="2" t="str">
        <f>HYPERLINK("http://www.12365auto.com/xcdg/20200226/419585.shtml","大众Arteon R增猎装版本 提供不同动力")</f>
        <v>大众Arteon R增猎装版本 提供不同动力</v>
      </c>
      <c r="C1867" s="2" t="s">
        <v>13</v>
      </c>
      <c r="D1867" s="2" t="s">
        <v>12</v>
      </c>
      <c r="E1867" s="2" t="s">
        <v>224</v>
      </c>
      <c r="F1867" s="2" t="str">
        <f>HYPERLINK("http://www.12365auto.com/xcdg/20200226/419585.shtml","http://www.12365auto.com/xcdg/20200226/419585.shtml")</f>
        <v>http://www.12365auto.com/xcdg/20200226/419585.shtml</v>
      </c>
      <c r="G1867" s="2"/>
      <c r="H1867" s="2" t="s">
        <v>2764</v>
      </c>
      <c r="I1867" s="2" t="s">
        <v>15</v>
      </c>
      <c r="J1867" s="2" t="s">
        <v>12</v>
      </c>
      <c r="K1867" s="2" t="s">
        <v>2765</v>
      </c>
      <c r="L1867" s="2">
        <f t="shared" si="29"/>
        <v>150</v>
      </c>
    </row>
    <row r="1868" spans="1:12" ht="25" customHeight="1">
      <c r="A1868" s="2" t="s">
        <v>12</v>
      </c>
      <c r="B1868" s="2" t="str">
        <f>HYPERLINK("http://m.12365auto.com/xcdg/20200226/419585.shtml","大众Arteon R增猎装版本 提供不同动力")</f>
        <v>大众Arteon R增猎装版本 提供不同动力</v>
      </c>
      <c r="C1868" s="2" t="s">
        <v>13</v>
      </c>
      <c r="D1868" s="2" t="s">
        <v>12</v>
      </c>
      <c r="E1868" s="2"/>
      <c r="F1868" s="2" t="str">
        <f>HYPERLINK("http://m.12365auto.com/xcdg/20200226/419585.shtml","http://m.12365auto.com/xcdg/20200226/419585.shtml")</f>
        <v>http://m.12365auto.com/xcdg/20200226/419585.shtml</v>
      </c>
      <c r="G1868" s="2"/>
      <c r="H1868" s="2" t="s">
        <v>2766</v>
      </c>
      <c r="I1868" s="2" t="s">
        <v>19</v>
      </c>
      <c r="J1868" s="2" t="s">
        <v>2509</v>
      </c>
      <c r="K1868" s="2" t="s">
        <v>2765</v>
      </c>
      <c r="L1868" s="2">
        <f t="shared" si="29"/>
        <v>150</v>
      </c>
    </row>
    <row r="1869" spans="1:12" ht="25" customHeight="1">
      <c r="A1869" s="2" t="s">
        <v>12</v>
      </c>
      <c r="B1869" s="2" t="str">
        <f>HYPERLINK("http://www.12365auto.com/xcdg/20200226/419584.shtml","福特野马Mach 1谍照曝光 或亮相纽约车展")</f>
        <v>福特野马Mach 1谍照曝光 或亮相纽约车展</v>
      </c>
      <c r="C1869" s="2" t="s">
        <v>13</v>
      </c>
      <c r="D1869" s="2" t="s">
        <v>12</v>
      </c>
      <c r="E1869" s="2" t="s">
        <v>224</v>
      </c>
      <c r="F1869" s="2" t="str">
        <f>HYPERLINK("http://www.12365auto.com/xcdg/20200226/419584.shtml","http://www.12365auto.com/xcdg/20200226/419584.shtml")</f>
        <v>http://www.12365auto.com/xcdg/20200226/419584.shtml</v>
      </c>
      <c r="G1869" s="2"/>
      <c r="H1869" s="2" t="s">
        <v>2767</v>
      </c>
      <c r="I1869" s="2" t="s">
        <v>15</v>
      </c>
      <c r="J1869" s="2" t="s">
        <v>12</v>
      </c>
      <c r="K1869" s="2" t="s">
        <v>2768</v>
      </c>
      <c r="L1869" s="2">
        <f t="shared" si="29"/>
        <v>150</v>
      </c>
    </row>
    <row r="1870" spans="1:12" ht="25" customHeight="1">
      <c r="A1870" s="2" t="s">
        <v>12</v>
      </c>
      <c r="B1870" s="2" t="str">
        <f>HYPERLINK("http://m.12365auto.com/xcdg/20200226/419584.shtml","福特野马Mach 1谍照曝光 或亮相纽约车展")</f>
        <v>福特野马Mach 1谍照曝光 或亮相纽约车展</v>
      </c>
      <c r="C1870" s="2" t="s">
        <v>13</v>
      </c>
      <c r="D1870" s="2" t="s">
        <v>12</v>
      </c>
      <c r="E1870" s="2"/>
      <c r="F1870" s="2" t="str">
        <f>HYPERLINK("http://m.12365auto.com/xcdg/20200226/419584.shtml","http://m.12365auto.com/xcdg/20200226/419584.shtml")</f>
        <v>http://m.12365auto.com/xcdg/20200226/419584.shtml</v>
      </c>
      <c r="G1870" s="2"/>
      <c r="H1870" s="2" t="s">
        <v>2769</v>
      </c>
      <c r="I1870" s="2" t="s">
        <v>19</v>
      </c>
      <c r="J1870" s="2" t="s">
        <v>2509</v>
      </c>
      <c r="K1870" s="2" t="s">
        <v>2768</v>
      </c>
      <c r="L1870" s="2">
        <f t="shared" si="29"/>
        <v>150</v>
      </c>
    </row>
    <row r="1871" spans="1:12" ht="25" customHeight="1">
      <c r="A1871" s="2" t="s">
        <v>12</v>
      </c>
      <c r="B1871" s="2" t="str">
        <f>HYPERLINK("http://www.12365auto.com/news/20200226/419583.shtml","工信部：鼓励汽车限购地区增加号牌配额")</f>
        <v>工信部：鼓励汽车限购地区增加号牌配额</v>
      </c>
      <c r="C1871" s="2" t="s">
        <v>13</v>
      </c>
      <c r="D1871" s="2" t="s">
        <v>12</v>
      </c>
      <c r="E1871" s="2" t="s">
        <v>276</v>
      </c>
      <c r="F1871" s="2" t="str">
        <f>HYPERLINK("http://www.12365auto.com/news/20200226/419583.shtml","http://www.12365auto.com/news/20200226/419583.shtml")</f>
        <v>http://www.12365auto.com/news/20200226/419583.shtml</v>
      </c>
      <c r="G1871" s="2"/>
      <c r="H1871" s="2" t="s">
        <v>2770</v>
      </c>
      <c r="I1871" s="2" t="s">
        <v>15</v>
      </c>
      <c r="J1871" s="2" t="s">
        <v>12</v>
      </c>
      <c r="K1871" s="2" t="s">
        <v>2771</v>
      </c>
      <c r="L1871" s="2">
        <f t="shared" si="29"/>
        <v>150</v>
      </c>
    </row>
    <row r="1872" spans="1:12" ht="25" customHeight="1">
      <c r="A1872" s="2" t="s">
        <v>12</v>
      </c>
      <c r="B1872" s="2" t="str">
        <f>HYPERLINK("http://m.12365auto.com/news/20200226/419583.shtml","工信部：鼓励汽车限购地区增加号牌配额")</f>
        <v>工信部：鼓励汽车限购地区增加号牌配额</v>
      </c>
      <c r="C1872" s="2" t="s">
        <v>13</v>
      </c>
      <c r="D1872" s="2" t="s">
        <v>12</v>
      </c>
      <c r="E1872" s="2"/>
      <c r="F1872" s="2" t="str">
        <f>HYPERLINK("http://m.12365auto.com/news/20200226/419583.shtml","http://m.12365auto.com/news/20200226/419583.shtml")</f>
        <v>http://m.12365auto.com/news/20200226/419583.shtml</v>
      </c>
      <c r="G1872" s="2"/>
      <c r="H1872" s="2" t="s">
        <v>2772</v>
      </c>
      <c r="I1872" s="2" t="s">
        <v>19</v>
      </c>
      <c r="J1872" s="2" t="s">
        <v>2527</v>
      </c>
      <c r="K1872" s="2" t="s">
        <v>2771</v>
      </c>
      <c r="L1872" s="2">
        <f t="shared" si="29"/>
        <v>150</v>
      </c>
    </row>
    <row r="1873" spans="1:12" ht="25" customHeight="1">
      <c r="A1873" s="2" t="s">
        <v>12</v>
      </c>
      <c r="B1873" s="2" t="str">
        <f>HYPERLINK("http://www.12365auto.com/news/20200226/419582.shtml","北京继续延长部分小客车指标使用期限")</f>
        <v>北京继续延长部分小客车指标使用期限</v>
      </c>
      <c r="C1873" s="2" t="s">
        <v>13</v>
      </c>
      <c r="D1873" s="2" t="s">
        <v>12</v>
      </c>
      <c r="E1873" s="2" t="s">
        <v>276</v>
      </c>
      <c r="F1873" s="2" t="str">
        <f>HYPERLINK("http://www.12365auto.com/news/20200226/419582.shtml","http://www.12365auto.com/news/20200226/419582.shtml")</f>
        <v>http://www.12365auto.com/news/20200226/419582.shtml</v>
      </c>
      <c r="G1873" s="2"/>
      <c r="H1873" s="2" t="s">
        <v>2773</v>
      </c>
      <c r="I1873" s="2" t="s">
        <v>15</v>
      </c>
      <c r="J1873" s="2" t="s">
        <v>12</v>
      </c>
      <c r="K1873" s="2" t="s">
        <v>2774</v>
      </c>
      <c r="L1873" s="2">
        <f t="shared" si="29"/>
        <v>150</v>
      </c>
    </row>
    <row r="1874" spans="1:12" ht="25" customHeight="1">
      <c r="A1874" s="2" t="s">
        <v>12</v>
      </c>
      <c r="B1874" s="2" t="str">
        <f>HYPERLINK("http://m.12365auto.com/news/20200226/419582.shtml","北京继续延长部分小客车指标使用期限")</f>
        <v>北京继续延长部分小客车指标使用期限</v>
      </c>
      <c r="C1874" s="2" t="s">
        <v>13</v>
      </c>
      <c r="D1874" s="2" t="s">
        <v>12</v>
      </c>
      <c r="E1874" s="2"/>
      <c r="F1874" s="2" t="str">
        <f>HYPERLINK("http://m.12365auto.com/news/20200226/419582.shtml","http://m.12365auto.com/news/20200226/419582.shtml")</f>
        <v>http://m.12365auto.com/news/20200226/419582.shtml</v>
      </c>
      <c r="G1874" s="2"/>
      <c r="H1874" s="2" t="s">
        <v>2775</v>
      </c>
      <c r="I1874" s="2" t="s">
        <v>19</v>
      </c>
      <c r="J1874" s="2" t="s">
        <v>2527</v>
      </c>
      <c r="K1874" s="2" t="s">
        <v>2774</v>
      </c>
      <c r="L1874" s="2">
        <f t="shared" si="29"/>
        <v>150</v>
      </c>
    </row>
    <row r="1875" spans="1:12" ht="25" customHeight="1">
      <c r="A1875" s="2" t="s">
        <v>12</v>
      </c>
      <c r="B1875" s="2" t="str">
        <f>HYPERLINK("http://www.12365auto.com/news/20200226/419581.shtml","吉利汽车获整车级过滤防护China-mark证书")</f>
        <v>吉利汽车获整车级过滤防护China-mark证书</v>
      </c>
      <c r="C1875" s="2" t="s">
        <v>13</v>
      </c>
      <c r="D1875" s="2" t="s">
        <v>12</v>
      </c>
      <c r="E1875" s="2" t="s">
        <v>276</v>
      </c>
      <c r="F1875" s="2" t="str">
        <f>HYPERLINK("http://www.12365auto.com/news/20200226/419581.shtml","http://www.12365auto.com/news/20200226/419581.shtml")</f>
        <v>http://www.12365auto.com/news/20200226/419581.shtml</v>
      </c>
      <c r="G1875" s="2"/>
      <c r="H1875" s="2" t="s">
        <v>2776</v>
      </c>
      <c r="I1875" s="2" t="s">
        <v>15</v>
      </c>
      <c r="J1875" s="2" t="s">
        <v>12</v>
      </c>
      <c r="K1875" s="2" t="s">
        <v>2777</v>
      </c>
      <c r="L1875" s="2">
        <f t="shared" si="29"/>
        <v>150</v>
      </c>
    </row>
    <row r="1876" spans="1:12" ht="25" customHeight="1">
      <c r="A1876" s="2" t="s">
        <v>12</v>
      </c>
      <c r="B1876" s="2" t="str">
        <f>HYPERLINK("http://m.12365auto.com/news/20200226/419581.shtml","吉利汽车获整车级过滤防护China-mark证书")</f>
        <v>吉利汽车获整车级过滤防护China-mark证书</v>
      </c>
      <c r="C1876" s="2" t="s">
        <v>13</v>
      </c>
      <c r="D1876" s="2" t="s">
        <v>12</v>
      </c>
      <c r="E1876" s="2"/>
      <c r="F1876" s="2" t="str">
        <f>HYPERLINK("http://m.12365auto.com/news/20200226/419581.shtml","http://m.12365auto.com/news/20200226/419581.shtml")</f>
        <v>http://m.12365auto.com/news/20200226/419581.shtml</v>
      </c>
      <c r="G1876" s="2"/>
      <c r="H1876" s="2" t="s">
        <v>2778</v>
      </c>
      <c r="I1876" s="2" t="s">
        <v>19</v>
      </c>
      <c r="J1876" s="2" t="s">
        <v>2527</v>
      </c>
      <c r="K1876" s="2" t="s">
        <v>2777</v>
      </c>
      <c r="L1876" s="2">
        <f t="shared" si="29"/>
        <v>150</v>
      </c>
    </row>
    <row r="1877" spans="1:12" ht="25" customHeight="1">
      <c r="A1877" s="2" t="s">
        <v>12</v>
      </c>
      <c r="B1877" s="2" t="str">
        <f>HYPERLINK("http://www.12365auto.com/zlts/20200226/448789.shtml","东风风神奕炫贷款购车4S店不予退还订金")</f>
        <v>东风风神奕炫贷款购车4S店不予退还订金</v>
      </c>
      <c r="C1877" s="2" t="s">
        <v>13</v>
      </c>
      <c r="D1877" s="2" t="s">
        <v>12</v>
      </c>
      <c r="E1877" s="2" t="s">
        <v>17</v>
      </c>
      <c r="F1877" s="2" t="str">
        <f>HYPERLINK("http://www.12365auto.com/zlts/20200226/448789.shtml","http://www.12365auto.com/zlts/20200226/448789.shtml")</f>
        <v>http://www.12365auto.com/zlts/20200226/448789.shtml</v>
      </c>
      <c r="G1877" s="2"/>
      <c r="H1877" s="2" t="s">
        <v>2779</v>
      </c>
      <c r="I1877" s="2" t="s">
        <v>15</v>
      </c>
      <c r="J1877" s="2" t="s">
        <v>12</v>
      </c>
      <c r="K1877" s="2" t="s">
        <v>2780</v>
      </c>
      <c r="L1877" s="2">
        <f t="shared" si="29"/>
        <v>150</v>
      </c>
    </row>
    <row r="1878" spans="1:12" ht="25" customHeight="1">
      <c r="A1878" s="2" t="s">
        <v>12</v>
      </c>
      <c r="B1878" s="2" t="str">
        <f>HYPERLINK("http://www.12365auto.com/zlts/20200226/448790.shtml","一汽大众迈腾发动机启动后高压油泵异响")</f>
        <v>一汽大众迈腾发动机启动后高压油泵异响</v>
      </c>
      <c r="C1878" s="2" t="s">
        <v>13</v>
      </c>
      <c r="D1878" s="2" t="s">
        <v>12</v>
      </c>
      <c r="E1878" s="2" t="s">
        <v>17</v>
      </c>
      <c r="F1878" s="2" t="str">
        <f>HYPERLINK("http://www.12365auto.com/zlts/20200226/448790.shtml","http://www.12365auto.com/zlts/20200226/448790.shtml")</f>
        <v>http://www.12365auto.com/zlts/20200226/448790.shtml</v>
      </c>
      <c r="G1878" s="2"/>
      <c r="H1878" s="2" t="s">
        <v>2781</v>
      </c>
      <c r="I1878" s="2" t="s">
        <v>19</v>
      </c>
      <c r="J1878" s="2" t="s">
        <v>12</v>
      </c>
      <c r="K1878" s="2" t="s">
        <v>2780</v>
      </c>
      <c r="L1878" s="2">
        <f t="shared" si="29"/>
        <v>150</v>
      </c>
    </row>
    <row r="1879" spans="1:12" ht="25" customHeight="1">
      <c r="A1879" s="2" t="s">
        <v>12</v>
      </c>
      <c r="B1879" s="2" t="str">
        <f>HYPERLINK("http://www.12365auto.com/news/20200226/419580.shtml","2月25日汽车经销商综合复工效率23.28%")</f>
        <v>2月25日汽车经销商综合复工效率23.28%</v>
      </c>
      <c r="C1879" s="2" t="s">
        <v>13</v>
      </c>
      <c r="D1879" s="2" t="s">
        <v>12</v>
      </c>
      <c r="E1879" s="2" t="s">
        <v>276</v>
      </c>
      <c r="F1879" s="2" t="str">
        <f>HYPERLINK("http://www.12365auto.com/news/20200226/419580.shtml","http://www.12365auto.com/news/20200226/419580.shtml")</f>
        <v>http://www.12365auto.com/news/20200226/419580.shtml</v>
      </c>
      <c r="G1879" s="2"/>
      <c r="H1879" s="2" t="s">
        <v>2782</v>
      </c>
      <c r="I1879" s="2" t="s">
        <v>15</v>
      </c>
      <c r="J1879" s="2" t="s">
        <v>12</v>
      </c>
      <c r="K1879" s="2" t="s">
        <v>2783</v>
      </c>
      <c r="L1879" s="2">
        <f t="shared" si="29"/>
        <v>150</v>
      </c>
    </row>
    <row r="1880" spans="1:12" ht="25" customHeight="1">
      <c r="A1880" s="2" t="s">
        <v>12</v>
      </c>
      <c r="B1880" s="2" t="str">
        <f>HYPERLINK("http://m.12365auto.com/news/20200226/419580.shtml","2月25日汽车经销商综合复工效率23.28%")</f>
        <v>2月25日汽车经销商综合复工效率23.28%</v>
      </c>
      <c r="C1880" s="2" t="s">
        <v>13</v>
      </c>
      <c r="D1880" s="2" t="s">
        <v>12</v>
      </c>
      <c r="E1880" s="2"/>
      <c r="F1880" s="2" t="str">
        <f>HYPERLINK("http://m.12365auto.com/news/20200226/419580.shtml","http://m.12365auto.com/news/20200226/419580.shtml")</f>
        <v>http://m.12365auto.com/news/20200226/419580.shtml</v>
      </c>
      <c r="G1880" s="2"/>
      <c r="H1880" s="2" t="s">
        <v>2782</v>
      </c>
      <c r="I1880" s="2" t="s">
        <v>19</v>
      </c>
      <c r="J1880" s="2" t="s">
        <v>2527</v>
      </c>
      <c r="K1880" s="2" t="s">
        <v>2783</v>
      </c>
      <c r="L1880" s="2">
        <f t="shared" si="29"/>
        <v>150</v>
      </c>
    </row>
    <row r="1881" spans="1:12" ht="25" customHeight="1">
      <c r="A1881" s="2" t="s">
        <v>12</v>
      </c>
      <c r="B1881" s="2" t="str">
        <f>HYPERLINK("http://www.12365auto.com/zlts/20200226/448788.shtml","东风雪铁龙C4L发动机烧机油严重要求处理")</f>
        <v>东风雪铁龙C4L发动机烧机油严重要求处理</v>
      </c>
      <c r="C1881" s="2" t="s">
        <v>13</v>
      </c>
      <c r="D1881" s="2" t="s">
        <v>12</v>
      </c>
      <c r="E1881" s="2" t="s">
        <v>17</v>
      </c>
      <c r="F1881" s="2" t="str">
        <f>HYPERLINK("http://www.12365auto.com/zlts/20200226/448788.shtml","http://www.12365auto.com/zlts/20200226/448788.shtml")</f>
        <v>http://www.12365auto.com/zlts/20200226/448788.shtml</v>
      </c>
      <c r="G1881" s="2"/>
      <c r="H1881" s="2" t="s">
        <v>2784</v>
      </c>
      <c r="I1881" s="2" t="s">
        <v>19</v>
      </c>
      <c r="J1881" s="2" t="s">
        <v>12</v>
      </c>
      <c r="K1881" s="2" t="s">
        <v>2785</v>
      </c>
      <c r="L1881" s="2">
        <f t="shared" si="29"/>
        <v>150</v>
      </c>
    </row>
    <row r="1882" spans="1:12" ht="25" customHeight="1">
      <c r="A1882" s="2" t="s">
        <v>12</v>
      </c>
      <c r="B1882" s="2" t="str">
        <f>HYPERLINK("http://www.12365auto.com/news/20200226/419579.shtml","李斌否认吉利斥资3亿美元入股蔚来")</f>
        <v>李斌否认吉利斥资3亿美元入股蔚来</v>
      </c>
      <c r="C1882" s="2" t="s">
        <v>13</v>
      </c>
      <c r="D1882" s="2" t="s">
        <v>12</v>
      </c>
      <c r="E1882" s="2" t="s">
        <v>276</v>
      </c>
      <c r="F1882" s="2" t="str">
        <f>HYPERLINK("http://www.12365auto.com/news/20200226/419579.shtml","http://www.12365auto.com/news/20200226/419579.shtml")</f>
        <v>http://www.12365auto.com/news/20200226/419579.shtml</v>
      </c>
      <c r="G1882" s="2"/>
      <c r="H1882" s="2" t="s">
        <v>2786</v>
      </c>
      <c r="I1882" s="2" t="s">
        <v>15</v>
      </c>
      <c r="J1882" s="2" t="s">
        <v>12</v>
      </c>
      <c r="K1882" s="2" t="s">
        <v>2785</v>
      </c>
      <c r="L1882" s="2">
        <f t="shared" si="29"/>
        <v>150</v>
      </c>
    </row>
    <row r="1883" spans="1:12" ht="25" customHeight="1">
      <c r="A1883" s="2" t="s">
        <v>12</v>
      </c>
      <c r="B1883" s="2" t="str">
        <f>HYPERLINK("http://m.12365auto.com/news/20200226/419579.shtml","李斌否认吉利斥资3亿美元入股蔚来")</f>
        <v>李斌否认吉利斥资3亿美元入股蔚来</v>
      </c>
      <c r="C1883" s="2" t="s">
        <v>13</v>
      </c>
      <c r="D1883" s="2" t="s">
        <v>12</v>
      </c>
      <c r="E1883" s="2"/>
      <c r="F1883" s="2" t="str">
        <f>HYPERLINK("http://m.12365auto.com/news/20200226/419579.shtml","http://m.12365auto.com/news/20200226/419579.shtml")</f>
        <v>http://m.12365auto.com/news/20200226/419579.shtml</v>
      </c>
      <c r="G1883" s="2"/>
      <c r="H1883" s="2" t="s">
        <v>2787</v>
      </c>
      <c r="I1883" s="2" t="s">
        <v>19</v>
      </c>
      <c r="J1883" s="2" t="s">
        <v>2527</v>
      </c>
      <c r="K1883" s="2" t="s">
        <v>2785</v>
      </c>
      <c r="L1883" s="2">
        <f t="shared" si="29"/>
        <v>150</v>
      </c>
    </row>
    <row r="1884" spans="1:12" ht="25" customHeight="1">
      <c r="A1884" s="2" t="s">
        <v>12</v>
      </c>
      <c r="B1884" s="2" t="str">
        <f>HYPERLINK("http://www.12365auto.com/news/20200226/419578.shtml","标致雪铁龙/雷诺延长在华工厂复工时间")</f>
        <v>标致雪铁龙/雷诺延长在华工厂复工时间</v>
      </c>
      <c r="C1884" s="2" t="s">
        <v>13</v>
      </c>
      <c r="D1884" s="2" t="s">
        <v>12</v>
      </c>
      <c r="E1884" s="2" t="s">
        <v>276</v>
      </c>
      <c r="F1884" s="2" t="str">
        <f>HYPERLINK("http://www.12365auto.com/news/20200226/419578.shtml","http://www.12365auto.com/news/20200226/419578.shtml")</f>
        <v>http://www.12365auto.com/news/20200226/419578.shtml</v>
      </c>
      <c r="G1884" s="2"/>
      <c r="H1884" s="2" t="s">
        <v>2788</v>
      </c>
      <c r="I1884" s="2" t="s">
        <v>15</v>
      </c>
      <c r="J1884" s="2" t="s">
        <v>12</v>
      </c>
      <c r="K1884" s="2" t="s">
        <v>2789</v>
      </c>
      <c r="L1884" s="2">
        <f t="shared" si="29"/>
        <v>150</v>
      </c>
    </row>
    <row r="1885" spans="1:12" ht="25" customHeight="1">
      <c r="A1885" s="2" t="s">
        <v>12</v>
      </c>
      <c r="B1885" s="2" t="str">
        <f>HYPERLINK("http://m.12365auto.com/news/20200226/419578.shtml","标致雪铁龙/雷诺延长在华工厂复工时间")</f>
        <v>标致雪铁龙/雷诺延长在华工厂复工时间</v>
      </c>
      <c r="C1885" s="2" t="s">
        <v>13</v>
      </c>
      <c r="D1885" s="2" t="s">
        <v>12</v>
      </c>
      <c r="E1885" s="2"/>
      <c r="F1885" s="2" t="str">
        <f>HYPERLINK("http://m.12365auto.com/news/20200226/419578.shtml","http://m.12365auto.com/news/20200226/419578.shtml")</f>
        <v>http://m.12365auto.com/news/20200226/419578.shtml</v>
      </c>
      <c r="G1885" s="2"/>
      <c r="H1885" s="2" t="s">
        <v>2790</v>
      </c>
      <c r="I1885" s="2" t="s">
        <v>19</v>
      </c>
      <c r="J1885" s="2" t="s">
        <v>2527</v>
      </c>
      <c r="K1885" s="2" t="s">
        <v>2789</v>
      </c>
      <c r="L1885" s="2">
        <f t="shared" si="29"/>
        <v>150</v>
      </c>
    </row>
    <row r="1886" spans="1:12" ht="25" customHeight="1">
      <c r="A1886" s="2" t="s">
        <v>12</v>
      </c>
      <c r="B1886" s="2" t="str">
        <f>HYPERLINK("http://www.12365auto.com/news/20200226/419577.shtml","大众增任“激进气候变化运动者”审视电动化")</f>
        <v>大众增任“激进气候变化运动者”审视电动化</v>
      </c>
      <c r="C1886" s="2" t="s">
        <v>13</v>
      </c>
      <c r="D1886" s="2" t="s">
        <v>12</v>
      </c>
      <c r="E1886" s="2" t="s">
        <v>276</v>
      </c>
      <c r="F1886" s="2" t="str">
        <f>HYPERLINK("http://www.12365auto.com/news/20200226/419577.shtml","http://www.12365auto.com/news/20200226/419577.shtml")</f>
        <v>http://www.12365auto.com/news/20200226/419577.shtml</v>
      </c>
      <c r="G1886" s="2"/>
      <c r="H1886" s="2" t="s">
        <v>2791</v>
      </c>
      <c r="I1886" s="2" t="s">
        <v>15</v>
      </c>
      <c r="J1886" s="2" t="s">
        <v>12</v>
      </c>
      <c r="K1886" s="2" t="s">
        <v>2792</v>
      </c>
      <c r="L1886" s="2">
        <f t="shared" si="29"/>
        <v>150</v>
      </c>
    </row>
    <row r="1887" spans="1:12" ht="25" customHeight="1">
      <c r="A1887" s="2" t="s">
        <v>12</v>
      </c>
      <c r="B1887" s="2" t="str">
        <f>HYPERLINK("http://m.12365auto.com/news/20200226/419577.shtml","大众增任“激进气候变化运动者”审视电动化")</f>
        <v>大众增任“激进气候变化运动者”审视电动化</v>
      </c>
      <c r="C1887" s="2" t="s">
        <v>13</v>
      </c>
      <c r="D1887" s="2" t="s">
        <v>12</v>
      </c>
      <c r="E1887" s="2"/>
      <c r="F1887" s="2" t="str">
        <f>HYPERLINK("http://m.12365auto.com/news/20200226/419577.shtml","http://m.12365auto.com/news/20200226/419577.shtml")</f>
        <v>http://m.12365auto.com/news/20200226/419577.shtml</v>
      </c>
      <c r="G1887" s="2"/>
      <c r="H1887" s="2" t="s">
        <v>2793</v>
      </c>
      <c r="I1887" s="2" t="s">
        <v>19</v>
      </c>
      <c r="J1887" s="2" t="s">
        <v>2527</v>
      </c>
      <c r="K1887" s="2" t="s">
        <v>2792</v>
      </c>
      <c r="L1887" s="2">
        <f t="shared" si="29"/>
        <v>150</v>
      </c>
    </row>
    <row r="1888" spans="1:12" ht="25" customHeight="1">
      <c r="A1888" s="2" t="s">
        <v>12</v>
      </c>
      <c r="B1888" s="2" t="str">
        <f>HYPERLINK("http://www.12365auto.com/zlts/20200226/448786.shtml","一汽大众奥迪A4L发动机水泵故障节温器漏水")</f>
        <v>一汽大众奥迪A4L发动机水泵故障节温器漏水</v>
      </c>
      <c r="C1888" s="2" t="s">
        <v>13</v>
      </c>
      <c r="D1888" s="2" t="s">
        <v>12</v>
      </c>
      <c r="E1888" s="2" t="s">
        <v>17</v>
      </c>
      <c r="F1888" s="2" t="str">
        <f>HYPERLINK("http://www.12365auto.com/zlts/20200226/448786.shtml","http://www.12365auto.com/zlts/20200226/448786.shtml")</f>
        <v>http://www.12365auto.com/zlts/20200226/448786.shtml</v>
      </c>
      <c r="G1888" s="2"/>
      <c r="H1888" s="2" t="s">
        <v>2794</v>
      </c>
      <c r="I1888" s="2" t="s">
        <v>19</v>
      </c>
      <c r="J1888" s="2" t="s">
        <v>12</v>
      </c>
      <c r="K1888" s="2" t="s">
        <v>2795</v>
      </c>
      <c r="L1888" s="2">
        <f t="shared" si="29"/>
        <v>150</v>
      </c>
    </row>
    <row r="1889" spans="1:12" ht="25" customHeight="1">
      <c r="A1889" s="2" t="s">
        <v>12</v>
      </c>
      <c r="B1889" s="2" t="str">
        <f>HYPERLINK("http://m.12365auto.com/xcdg/20200226/419576.shtml","Lucid Air标准版车型将配备LG化学电池")</f>
        <v>Lucid Air标准版车型将配备LG化学电池</v>
      </c>
      <c r="C1889" s="2" t="s">
        <v>13</v>
      </c>
      <c r="D1889" s="2" t="s">
        <v>12</v>
      </c>
      <c r="E1889" s="2"/>
      <c r="F1889" s="2" t="str">
        <f>HYPERLINK("http://m.12365auto.com/xcdg/20200226/419576.shtml","http://m.12365auto.com/xcdg/20200226/419576.shtml")</f>
        <v>http://m.12365auto.com/xcdg/20200226/419576.shtml</v>
      </c>
      <c r="G1889" s="2"/>
      <c r="H1889" s="2" t="s">
        <v>2796</v>
      </c>
      <c r="I1889" s="2" t="s">
        <v>19</v>
      </c>
      <c r="J1889" s="2" t="s">
        <v>332</v>
      </c>
      <c r="K1889" s="2" t="s">
        <v>2795</v>
      </c>
      <c r="L1889" s="2">
        <f t="shared" si="29"/>
        <v>150</v>
      </c>
    </row>
    <row r="1890" spans="1:12" ht="25" customHeight="1">
      <c r="A1890" s="2" t="s">
        <v>12</v>
      </c>
      <c r="B1890" s="2" t="str">
        <f>HYPERLINK("http://www.12365auto.com/xcdg/20200226/419576.shtml","Lucid Air标准版车型将配备LG化学电池")</f>
        <v>Lucid Air标准版车型将配备LG化学电池</v>
      </c>
      <c r="C1890" s="2" t="s">
        <v>13</v>
      </c>
      <c r="D1890" s="2" t="s">
        <v>12</v>
      </c>
      <c r="E1890" s="2" t="s">
        <v>216</v>
      </c>
      <c r="F1890" s="2" t="str">
        <f>HYPERLINK("http://www.12365auto.com/xcdg/20200226/419576.shtml","http://www.12365auto.com/xcdg/20200226/419576.shtml")</f>
        <v>http://www.12365auto.com/xcdg/20200226/419576.shtml</v>
      </c>
      <c r="G1890" s="2"/>
      <c r="H1890" s="2" t="s">
        <v>2797</v>
      </c>
      <c r="I1890" s="2" t="s">
        <v>15</v>
      </c>
      <c r="J1890" s="2" t="s">
        <v>12</v>
      </c>
      <c r="K1890" s="2" t="s">
        <v>2795</v>
      </c>
      <c r="L1890" s="2">
        <f t="shared" si="29"/>
        <v>150</v>
      </c>
    </row>
    <row r="1891" spans="1:12" ht="25" customHeight="1">
      <c r="A1891" s="2" t="s">
        <v>12</v>
      </c>
      <c r="B1891" s="2" t="str">
        <f>HYPERLINK("http://www.12365auto.com/zlts/20200226/448787.shtml","东风日产天籁转向时异响 制动异响 车内共振")</f>
        <v>东风日产天籁转向时异响 制动异响 车内共振</v>
      </c>
      <c r="C1891" s="2" t="s">
        <v>13</v>
      </c>
      <c r="D1891" s="2" t="s">
        <v>12</v>
      </c>
      <c r="E1891" s="2" t="s">
        <v>17</v>
      </c>
      <c r="F1891" s="2" t="str">
        <f>HYPERLINK("http://www.12365auto.com/zlts/20200226/448787.shtml","http://www.12365auto.com/zlts/20200226/448787.shtml")</f>
        <v>http://www.12365auto.com/zlts/20200226/448787.shtml</v>
      </c>
      <c r="G1891" s="2"/>
      <c r="H1891" s="2" t="s">
        <v>2798</v>
      </c>
      <c r="I1891" s="2" t="s">
        <v>19</v>
      </c>
      <c r="J1891" s="2" t="s">
        <v>12</v>
      </c>
      <c r="K1891" s="2" t="s">
        <v>2795</v>
      </c>
      <c r="L1891" s="2">
        <f t="shared" si="29"/>
        <v>150</v>
      </c>
    </row>
    <row r="1892" spans="1:12" ht="25" customHeight="1">
      <c r="A1892" s="2" t="s">
        <v>12</v>
      </c>
      <c r="B1892" s="2" t="str">
        <f>HYPERLINK("http://m.12365auto.com/news/20200226/419575.shtml","控制成本 奔驰上半年或将在华裁员4%")</f>
        <v>控制成本 奔驰上半年或将在华裁员4%</v>
      </c>
      <c r="C1892" s="2" t="s">
        <v>13</v>
      </c>
      <c r="D1892" s="2" t="s">
        <v>12</v>
      </c>
      <c r="E1892" s="2"/>
      <c r="F1892" s="2" t="str">
        <f>HYPERLINK("http://m.12365auto.com/news/20200226/419575.shtml","http://m.12365auto.com/news/20200226/419575.shtml")</f>
        <v>http://m.12365auto.com/news/20200226/419575.shtml</v>
      </c>
      <c r="G1892" s="2"/>
      <c r="H1892" s="2" t="s">
        <v>2799</v>
      </c>
      <c r="I1892" s="2" t="s">
        <v>19</v>
      </c>
      <c r="J1892" s="2" t="s">
        <v>1170</v>
      </c>
      <c r="K1892" s="2" t="s">
        <v>2800</v>
      </c>
      <c r="L1892" s="2">
        <f t="shared" si="29"/>
        <v>150</v>
      </c>
    </row>
    <row r="1893" spans="1:12" ht="25" customHeight="1">
      <c r="A1893" s="2" t="s">
        <v>12</v>
      </c>
      <c r="B1893" s="2" t="str">
        <f>HYPERLINK("http://www.12365auto.com/news/20200226/419575.shtml","控制成本 奔驰上半年或将在华裁员4%")</f>
        <v>控制成本 奔驰上半年或将在华裁员4%</v>
      </c>
      <c r="C1893" s="2" t="s">
        <v>13</v>
      </c>
      <c r="D1893" s="2" t="s">
        <v>12</v>
      </c>
      <c r="E1893" s="2" t="s">
        <v>276</v>
      </c>
      <c r="F1893" s="2" t="str">
        <f>HYPERLINK("http://www.12365auto.com/news/20200226/419575.shtml","http://www.12365auto.com/news/20200226/419575.shtml")</f>
        <v>http://www.12365auto.com/news/20200226/419575.shtml</v>
      </c>
      <c r="G1893" s="2"/>
      <c r="H1893" s="2" t="s">
        <v>2801</v>
      </c>
      <c r="I1893" s="2" t="s">
        <v>15</v>
      </c>
      <c r="J1893" s="2" t="s">
        <v>12</v>
      </c>
      <c r="K1893" s="2" t="s">
        <v>2800</v>
      </c>
      <c r="L1893" s="2">
        <f t="shared" si="29"/>
        <v>150</v>
      </c>
    </row>
    <row r="1894" spans="1:12" ht="25" customHeight="1">
      <c r="A1894" s="2" t="s">
        <v>12</v>
      </c>
      <c r="B1894" s="2" t="str">
        <f>HYPERLINK("http://m.12365auto.com/news/20200226/419574.shtml","正式发运 首批宝骏530出口中东市场")</f>
        <v>正式发运 首批宝骏530出口中东市场</v>
      </c>
      <c r="C1894" s="2" t="s">
        <v>13</v>
      </c>
      <c r="D1894" s="2" t="s">
        <v>12</v>
      </c>
      <c r="E1894" s="2"/>
      <c r="F1894" s="2" t="str">
        <f>HYPERLINK("http://m.12365auto.com/news/20200226/419574.shtml","http://m.12365auto.com/news/20200226/419574.shtml")</f>
        <v>http://m.12365auto.com/news/20200226/419574.shtml</v>
      </c>
      <c r="G1894" s="2"/>
      <c r="H1894" s="2" t="s">
        <v>2802</v>
      </c>
      <c r="I1894" s="2" t="s">
        <v>19</v>
      </c>
      <c r="J1894" s="2" t="s">
        <v>274</v>
      </c>
      <c r="K1894" s="2" t="s">
        <v>2803</v>
      </c>
      <c r="L1894" s="2">
        <f t="shared" si="29"/>
        <v>150</v>
      </c>
    </row>
    <row r="1895" spans="1:12" ht="25" customHeight="1">
      <c r="A1895" s="2" t="s">
        <v>12</v>
      </c>
      <c r="B1895" s="2" t="str">
        <f>HYPERLINK("http://www.12365auto.com/news/20200226/419574.shtml","正式发运 首批宝骏530出口中东市场")</f>
        <v>正式发运 首批宝骏530出口中东市场</v>
      </c>
      <c r="C1895" s="2" t="s">
        <v>13</v>
      </c>
      <c r="D1895" s="2" t="s">
        <v>12</v>
      </c>
      <c r="E1895" s="2" t="s">
        <v>276</v>
      </c>
      <c r="F1895" s="2" t="str">
        <f>HYPERLINK("http://www.12365auto.com/news/20200226/419574.shtml","http://www.12365auto.com/news/20200226/419574.shtml")</f>
        <v>http://www.12365auto.com/news/20200226/419574.shtml</v>
      </c>
      <c r="G1895" s="2"/>
      <c r="H1895" s="2" t="s">
        <v>2804</v>
      </c>
      <c r="I1895" s="2" t="s">
        <v>15</v>
      </c>
      <c r="J1895" s="2" t="s">
        <v>12</v>
      </c>
      <c r="K1895" s="2" t="s">
        <v>2803</v>
      </c>
      <c r="L1895" s="2">
        <f t="shared" si="29"/>
        <v>150</v>
      </c>
    </row>
    <row r="1896" spans="1:12" ht="25" customHeight="1">
      <c r="A1896" s="2" t="s">
        <v>12</v>
      </c>
      <c r="B1896" s="2" t="str">
        <f>HYPERLINK("http://www.12365auto.com/zlts/20200226/448785.shtml","北京现代领动点火开关故障无法启动")</f>
        <v>北京现代领动点火开关故障无法启动</v>
      </c>
      <c r="C1896" s="2" t="s">
        <v>13</v>
      </c>
      <c r="D1896" s="2" t="s">
        <v>12</v>
      </c>
      <c r="E1896" s="2" t="s">
        <v>17</v>
      </c>
      <c r="F1896" s="2" t="str">
        <f>HYPERLINK("http://www.12365auto.com/zlts/20200226/448785.shtml","http://www.12365auto.com/zlts/20200226/448785.shtml")</f>
        <v>http://www.12365auto.com/zlts/20200226/448785.shtml</v>
      </c>
      <c r="G1896" s="2"/>
      <c r="H1896" s="2" t="s">
        <v>2805</v>
      </c>
      <c r="I1896" s="2" t="s">
        <v>19</v>
      </c>
      <c r="J1896" s="2" t="s">
        <v>12</v>
      </c>
      <c r="K1896" s="2" t="s">
        <v>2806</v>
      </c>
      <c r="L1896" s="2">
        <f t="shared" si="29"/>
        <v>150</v>
      </c>
    </row>
    <row r="1897" spans="1:12" ht="25" customHeight="1">
      <c r="A1897" s="2" t="s">
        <v>12</v>
      </c>
      <c r="B1897" s="2" t="str">
        <f>HYPERLINK("http://m.12365auto.com/news/20200226/419573.shtml","布局大功率充电桩 保时捷建设充电公园")</f>
        <v>布局大功率充电桩 保时捷建设充电公园</v>
      </c>
      <c r="C1897" s="2" t="s">
        <v>13</v>
      </c>
      <c r="D1897" s="2" t="s">
        <v>12</v>
      </c>
      <c r="E1897" s="2"/>
      <c r="F1897" s="2" t="str">
        <f>HYPERLINK("http://m.12365auto.com/news/20200226/419573.shtml","http://m.12365auto.com/news/20200226/419573.shtml")</f>
        <v>http://m.12365auto.com/news/20200226/419573.shtml</v>
      </c>
      <c r="G1897" s="2"/>
      <c r="H1897" s="2" t="s">
        <v>2807</v>
      </c>
      <c r="I1897" s="2" t="s">
        <v>19</v>
      </c>
      <c r="J1897" s="2" t="s">
        <v>2808</v>
      </c>
      <c r="K1897" s="2" t="s">
        <v>2806</v>
      </c>
      <c r="L1897" s="2">
        <f t="shared" si="29"/>
        <v>150</v>
      </c>
    </row>
    <row r="1898" spans="1:12" ht="25" customHeight="1">
      <c r="A1898" s="2" t="s">
        <v>12</v>
      </c>
      <c r="B1898" s="2" t="str">
        <f>HYPERLINK("http://www.12365auto.com/news/20200226/419573.shtml","布局大功率充电桩 保时捷建设充电公园")</f>
        <v>布局大功率充电桩 保时捷建设充电公园</v>
      </c>
      <c r="C1898" s="2" t="s">
        <v>13</v>
      </c>
      <c r="D1898" s="2" t="s">
        <v>12</v>
      </c>
      <c r="E1898" s="2" t="s">
        <v>276</v>
      </c>
      <c r="F1898" s="2" t="str">
        <f>HYPERLINK("http://www.12365auto.com/news/20200226/419573.shtml","http://www.12365auto.com/news/20200226/419573.shtml")</f>
        <v>http://www.12365auto.com/news/20200226/419573.shtml</v>
      </c>
      <c r="G1898" s="2"/>
      <c r="H1898" s="2" t="s">
        <v>2809</v>
      </c>
      <c r="I1898" s="2" t="s">
        <v>15</v>
      </c>
      <c r="J1898" s="2" t="s">
        <v>12</v>
      </c>
      <c r="K1898" s="2" t="s">
        <v>2806</v>
      </c>
      <c r="L1898" s="2">
        <f t="shared" si="29"/>
        <v>150</v>
      </c>
    </row>
    <row r="1899" spans="1:12" ht="25" customHeight="1">
      <c r="A1899" s="2" t="s">
        <v>12</v>
      </c>
      <c r="B1899" s="2" t="str">
        <f>HYPERLINK("http://www.12365auto.com/news/20200226/419572.shtml","尘埃落定 蔚来汽车中国总部将落户合肥")</f>
        <v>尘埃落定 蔚来汽车中国总部将落户合肥</v>
      </c>
      <c r="C1899" s="2" t="s">
        <v>13</v>
      </c>
      <c r="D1899" s="2" t="s">
        <v>12</v>
      </c>
      <c r="E1899" s="2" t="s">
        <v>282</v>
      </c>
      <c r="F1899" s="2" t="str">
        <f>HYPERLINK("http://www.12365auto.com/news/20200226/419572.shtml","http://www.12365auto.com/news/20200226/419572.shtml")</f>
        <v>http://www.12365auto.com/news/20200226/419572.shtml</v>
      </c>
      <c r="G1899" s="2"/>
      <c r="H1899" s="2" t="s">
        <v>2810</v>
      </c>
      <c r="I1899" s="2" t="s">
        <v>19</v>
      </c>
      <c r="J1899" s="2" t="s">
        <v>12</v>
      </c>
      <c r="K1899" s="2" t="s">
        <v>2811</v>
      </c>
      <c r="L1899" s="2">
        <f t="shared" si="29"/>
        <v>150</v>
      </c>
    </row>
    <row r="1900" spans="1:12" ht="25" customHeight="1">
      <c r="A1900" s="2" t="s">
        <v>12</v>
      </c>
      <c r="B1900" s="2" t="str">
        <f>HYPERLINK("http://m.12365auto.com/news/20200226/419572.shtml","尘埃落定 蔚来汽车中国总部将落户合肥")</f>
        <v>尘埃落定 蔚来汽车中国总部将落户合肥</v>
      </c>
      <c r="C1900" s="2" t="s">
        <v>13</v>
      </c>
      <c r="D1900" s="2" t="s">
        <v>12</v>
      </c>
      <c r="E1900" s="2"/>
      <c r="F1900" s="2" t="str">
        <f>HYPERLINK("http://m.12365auto.com/news/20200226/419572.shtml","http://m.12365auto.com/news/20200226/419572.shtml")</f>
        <v>http://m.12365auto.com/news/20200226/419572.shtml</v>
      </c>
      <c r="G1900" s="2"/>
      <c r="H1900" s="2" t="s">
        <v>2812</v>
      </c>
      <c r="I1900" s="2" t="s">
        <v>19</v>
      </c>
      <c r="J1900" s="2" t="s">
        <v>2808</v>
      </c>
      <c r="K1900" s="2" t="s">
        <v>2811</v>
      </c>
      <c r="L1900" s="2">
        <f t="shared" si="29"/>
        <v>150</v>
      </c>
    </row>
    <row r="1901" spans="1:12" ht="25" customHeight="1">
      <c r="A1901" s="2" t="s">
        <v>12</v>
      </c>
      <c r="B1901" s="2" t="str">
        <f>HYPERLINK("http://www.12365auto.com/news/20200226/419571.shtml","工信部鼓励汽车限购地区增加号牌配额")</f>
        <v>工信部鼓励汽车限购地区增加号牌配额</v>
      </c>
      <c r="C1901" s="2" t="s">
        <v>13</v>
      </c>
      <c r="D1901" s="2" t="s">
        <v>12</v>
      </c>
      <c r="E1901" s="2" t="s">
        <v>282</v>
      </c>
      <c r="F1901" s="2" t="str">
        <f>HYPERLINK("http://www.12365auto.com/news/20200226/419571.shtml","http://www.12365auto.com/news/20200226/419571.shtml")</f>
        <v>http://www.12365auto.com/news/20200226/419571.shtml</v>
      </c>
      <c r="G1901" s="2"/>
      <c r="H1901" s="2" t="s">
        <v>2813</v>
      </c>
      <c r="I1901" s="2" t="s">
        <v>19</v>
      </c>
      <c r="J1901" s="2" t="s">
        <v>12</v>
      </c>
      <c r="K1901" s="2" t="s">
        <v>2814</v>
      </c>
      <c r="L1901" s="2">
        <f t="shared" si="29"/>
        <v>150</v>
      </c>
    </row>
    <row r="1902" spans="1:12" ht="25" customHeight="1">
      <c r="A1902" s="2" t="s">
        <v>12</v>
      </c>
      <c r="B1902" s="2" t="str">
        <f>HYPERLINK("http://m.12365auto.com/news/20200226/419571.shtml","工信部鼓励汽车限购地区增加号牌配额")</f>
        <v>工信部鼓励汽车限购地区增加号牌配额</v>
      </c>
      <c r="C1902" s="2" t="s">
        <v>13</v>
      </c>
      <c r="D1902" s="2" t="s">
        <v>12</v>
      </c>
      <c r="E1902" s="2"/>
      <c r="F1902" s="2" t="str">
        <f>HYPERLINK("http://m.12365auto.com/news/20200226/419571.shtml","http://m.12365auto.com/news/20200226/419571.shtml")</f>
        <v>http://m.12365auto.com/news/20200226/419571.shtml</v>
      </c>
      <c r="G1902" s="2"/>
      <c r="H1902" s="2" t="s">
        <v>2815</v>
      </c>
      <c r="I1902" s="2" t="s">
        <v>19</v>
      </c>
      <c r="J1902" s="2" t="s">
        <v>274</v>
      </c>
      <c r="K1902" s="2" t="s">
        <v>2814</v>
      </c>
      <c r="L1902" s="2">
        <f t="shared" si="29"/>
        <v>150</v>
      </c>
    </row>
    <row r="1903" spans="1:12" ht="25" customHeight="1">
      <c r="A1903" s="2" t="s">
        <v>12</v>
      </c>
      <c r="B1903" s="2" t="str">
        <f>HYPERLINK("http://www.12365auto.com/news/20200226/419570.shtml","5G直播/双车战略 吉利ICON传出什么信号")</f>
        <v>5G直播/双车战略 吉利ICON传出什么信号</v>
      </c>
      <c r="C1903" s="2" t="s">
        <v>13</v>
      </c>
      <c r="D1903" s="2" t="s">
        <v>12</v>
      </c>
      <c r="E1903" s="2" t="s">
        <v>282</v>
      </c>
      <c r="F1903" s="2" t="str">
        <f>HYPERLINK("http://www.12365auto.com/news/20200226/419570.shtml","http://www.12365auto.com/news/20200226/419570.shtml")</f>
        <v>http://www.12365auto.com/news/20200226/419570.shtml</v>
      </c>
      <c r="G1903" s="2"/>
      <c r="H1903" s="2" t="s">
        <v>2816</v>
      </c>
      <c r="I1903" s="2" t="s">
        <v>19</v>
      </c>
      <c r="J1903" s="2" t="s">
        <v>12</v>
      </c>
      <c r="K1903" s="2" t="s">
        <v>2817</v>
      </c>
      <c r="L1903" s="2">
        <f t="shared" si="29"/>
        <v>150</v>
      </c>
    </row>
    <row r="1904" spans="1:12" ht="25" customHeight="1">
      <c r="A1904" s="2" t="s">
        <v>12</v>
      </c>
      <c r="B1904" s="2" t="str">
        <f>HYPERLINK("http://m.12365auto.com/news/20200226/419570.shtml","5G直播/双车战略 吉利ICON传出什么信号")</f>
        <v>5G直播/双车战略 吉利ICON传出什么信号</v>
      </c>
      <c r="C1904" s="2" t="s">
        <v>13</v>
      </c>
      <c r="D1904" s="2" t="s">
        <v>12</v>
      </c>
      <c r="E1904" s="2"/>
      <c r="F1904" s="2" t="str">
        <f>HYPERLINK("http://m.12365auto.com/news/20200226/419570.shtml","http://m.12365auto.com/news/20200226/419570.shtml")</f>
        <v>http://m.12365auto.com/news/20200226/419570.shtml</v>
      </c>
      <c r="G1904" s="2"/>
      <c r="H1904" s="2" t="s">
        <v>2818</v>
      </c>
      <c r="I1904" s="2" t="s">
        <v>19</v>
      </c>
      <c r="J1904" s="2" t="s">
        <v>2819</v>
      </c>
      <c r="K1904" s="2" t="s">
        <v>2817</v>
      </c>
      <c r="L1904" s="2">
        <f t="shared" si="29"/>
        <v>150</v>
      </c>
    </row>
    <row r="1905" spans="1:12" ht="25" customHeight="1">
      <c r="A1905" s="2" t="s">
        <v>12</v>
      </c>
      <c r="B1905" s="2" t="str">
        <f>HYPERLINK("http://bbs.12365auto.com/postcontent.aspx?tID=195229","遇见只是一个开始 往后一起风雨同行")</f>
        <v>遇见只是一个开始 往后一起风雨同行</v>
      </c>
      <c r="C1905" s="2" t="s">
        <v>13</v>
      </c>
      <c r="D1905" s="2" t="s">
        <v>12</v>
      </c>
      <c r="E1905" s="2" t="s">
        <v>214</v>
      </c>
      <c r="F1905" s="2" t="str">
        <f>HYPERLINK("http://bbs.12365auto.com/postcontent.aspx?tID=195229","http://bbs.12365auto.com/postcontent.aspx?tID=195229")</f>
        <v>http://bbs.12365auto.com/postcontent.aspx?tID=195229</v>
      </c>
      <c r="G1905" s="2"/>
      <c r="H1905" s="2" t="s">
        <v>2820</v>
      </c>
      <c r="I1905" s="2" t="s">
        <v>15</v>
      </c>
      <c r="J1905" s="2" t="s">
        <v>2821</v>
      </c>
      <c r="K1905" s="2" t="s">
        <v>2822</v>
      </c>
      <c r="L1905" s="2">
        <f t="shared" si="29"/>
        <v>150</v>
      </c>
    </row>
    <row r="1906" spans="1:12" ht="25" customHeight="1">
      <c r="A1906" s="2" t="s">
        <v>12</v>
      </c>
      <c r="B1906" s="2" t="str">
        <f>HYPERLINK("http://bbs.12365auto.com/postcontent.aspx?tID=195228","水泡车的危害有多大 告诉如鉴别水泡车")</f>
        <v>水泡车的危害有多大 告诉如鉴别水泡车</v>
      </c>
      <c r="C1906" s="2" t="s">
        <v>13</v>
      </c>
      <c r="D1906" s="2" t="s">
        <v>12</v>
      </c>
      <c r="E1906" s="2" t="s">
        <v>1660</v>
      </c>
      <c r="F1906" s="2" t="str">
        <f>HYPERLINK("http://bbs.12365auto.com/postcontent.aspx?tID=195228","http://bbs.12365auto.com/postcontent.aspx?tID=195228")</f>
        <v>http://bbs.12365auto.com/postcontent.aspx?tID=195228</v>
      </c>
      <c r="G1906" s="2"/>
      <c r="H1906" s="2" t="s">
        <v>2823</v>
      </c>
      <c r="I1906" s="2" t="s">
        <v>15</v>
      </c>
      <c r="J1906" s="2" t="s">
        <v>2824</v>
      </c>
      <c r="K1906" s="2" t="s">
        <v>2822</v>
      </c>
      <c r="L1906" s="2">
        <f t="shared" si="29"/>
        <v>150</v>
      </c>
    </row>
    <row r="1907" spans="1:12" ht="25" customHeight="1">
      <c r="A1907" s="2" t="s">
        <v>12</v>
      </c>
      <c r="B1907" s="2" t="str">
        <f>HYPERLINK("http://www.12365auto.com/news/20200226/419569.shtml","美孚腾讯等企业成立后市场公司“孚创”")</f>
        <v>美孚腾讯等企业成立后市场公司“孚创”</v>
      </c>
      <c r="C1907" s="2" t="s">
        <v>13</v>
      </c>
      <c r="D1907" s="2" t="s">
        <v>12</v>
      </c>
      <c r="E1907" s="2" t="s">
        <v>282</v>
      </c>
      <c r="F1907" s="2" t="str">
        <f>HYPERLINK("http://www.12365auto.com/news/20200226/419569.shtml","http://www.12365auto.com/news/20200226/419569.shtml")</f>
        <v>http://www.12365auto.com/news/20200226/419569.shtml</v>
      </c>
      <c r="G1907" s="2"/>
      <c r="H1907" s="2" t="s">
        <v>2825</v>
      </c>
      <c r="I1907" s="2" t="s">
        <v>19</v>
      </c>
      <c r="J1907" s="2" t="s">
        <v>12</v>
      </c>
      <c r="K1907" s="2" t="s">
        <v>2822</v>
      </c>
      <c r="L1907" s="2">
        <f t="shared" si="29"/>
        <v>150</v>
      </c>
    </row>
    <row r="1908" spans="1:12" ht="25" customHeight="1">
      <c r="A1908" s="2" t="s">
        <v>12</v>
      </c>
      <c r="B1908" s="2" t="str">
        <f>HYPERLINK("http://m.12365auto.com/news/20200226/419569.shtml","美孚腾讯等企业成立后市场公司“孚创”")</f>
        <v>美孚腾讯等企业成立后市场公司“孚创”</v>
      </c>
      <c r="C1908" s="2" t="s">
        <v>13</v>
      </c>
      <c r="D1908" s="2" t="s">
        <v>12</v>
      </c>
      <c r="E1908" s="2"/>
      <c r="F1908" s="2" t="str">
        <f>HYPERLINK("http://m.12365auto.com/news/20200226/419569.shtml","http://m.12365auto.com/news/20200226/419569.shtml")</f>
        <v>http://m.12365auto.com/news/20200226/419569.shtml</v>
      </c>
      <c r="G1908" s="2"/>
      <c r="H1908" s="2" t="s">
        <v>2826</v>
      </c>
      <c r="I1908" s="2" t="s">
        <v>19</v>
      </c>
      <c r="J1908" s="2" t="s">
        <v>2808</v>
      </c>
      <c r="K1908" s="2" t="s">
        <v>2822</v>
      </c>
      <c r="L1908" s="2">
        <f t="shared" si="29"/>
        <v>150</v>
      </c>
    </row>
    <row r="1909" spans="1:12" ht="25" customHeight="1">
      <c r="A1909" s="2" t="s">
        <v>12</v>
      </c>
      <c r="B1909" s="2" t="str">
        <f>HYPERLINK("http://m.12365auto.com/xcdg/20200226/419568.shtml","安全配置很丰富 实拍奕泽IZOA低配车")</f>
        <v>安全配置很丰富 实拍奕泽IZOA低配车</v>
      </c>
      <c r="C1909" s="2" t="s">
        <v>13</v>
      </c>
      <c r="D1909" s="2" t="s">
        <v>12</v>
      </c>
      <c r="E1909" s="2"/>
      <c r="F1909" s="2" t="str">
        <f>HYPERLINK("http://m.12365auto.com/xcdg/20200226/419568.shtml","http://m.12365auto.com/xcdg/20200226/419568.shtml")</f>
        <v>http://m.12365auto.com/xcdg/20200226/419568.shtml</v>
      </c>
      <c r="G1909" s="2"/>
      <c r="H1909" s="2" t="s">
        <v>2827</v>
      </c>
      <c r="I1909" s="2" t="s">
        <v>19</v>
      </c>
      <c r="J1909" s="2" t="s">
        <v>2828</v>
      </c>
      <c r="K1909" s="2" t="s">
        <v>2822</v>
      </c>
      <c r="L1909" s="2">
        <f t="shared" si="29"/>
        <v>150</v>
      </c>
    </row>
    <row r="1910" spans="1:12" ht="25" customHeight="1">
      <c r="A1910" s="2" t="s">
        <v>12</v>
      </c>
      <c r="B1910" s="2" t="str">
        <f>HYPERLINK("http://m.12365auto.com/xcdg/20200226/419567.shtml","解读低配车 实拍全新揽胜极光青春版")</f>
        <v>解读低配车 实拍全新揽胜极光青春版</v>
      </c>
      <c r="C1910" s="2" t="s">
        <v>13</v>
      </c>
      <c r="D1910" s="2" t="s">
        <v>12</v>
      </c>
      <c r="E1910" s="2"/>
      <c r="F1910" s="2" t="str">
        <f>HYPERLINK("http://m.12365auto.com/xcdg/20200226/419567.shtml","http://m.12365auto.com/xcdg/20200226/419567.shtml")</f>
        <v>http://m.12365auto.com/xcdg/20200226/419567.shtml</v>
      </c>
      <c r="G1910" s="2"/>
      <c r="H1910" s="2" t="s">
        <v>2829</v>
      </c>
      <c r="I1910" s="2" t="s">
        <v>19</v>
      </c>
      <c r="J1910" s="2" t="s">
        <v>2830</v>
      </c>
      <c r="K1910" s="2" t="s">
        <v>2831</v>
      </c>
      <c r="L1910" s="2">
        <f t="shared" si="29"/>
        <v>150</v>
      </c>
    </row>
    <row r="1911" spans="1:12" ht="25" customHeight="1">
      <c r="A1911" s="2" t="s">
        <v>12</v>
      </c>
      <c r="B1911" s="2" t="str">
        <f>HYPERLINK("http://bbs.12365auto.com/postcontent.aspx?tId=195227","一挡升二挡时变速箱有异响领动的质量不行")</f>
        <v>一挡升二挡时变速箱有异响领动的质量不行</v>
      </c>
      <c r="C1911" s="2" t="s">
        <v>13</v>
      </c>
      <c r="D1911" s="2" t="s">
        <v>12</v>
      </c>
      <c r="E1911" s="2" t="s">
        <v>66</v>
      </c>
      <c r="F1911" s="2" t="str">
        <f>HYPERLINK("http://bbs.12365auto.com/postcontent.aspx?tId=195227","http://bbs.12365auto.com/postcontent.aspx?tId=195227")</f>
        <v>http://bbs.12365auto.com/postcontent.aspx?tId=195227</v>
      </c>
      <c r="G1911" s="2"/>
      <c r="H1911" s="2" t="s">
        <v>2832</v>
      </c>
      <c r="I1911" s="2" t="s">
        <v>15</v>
      </c>
      <c r="J1911" s="2" t="s">
        <v>2833</v>
      </c>
      <c r="K1911" s="2" t="s">
        <v>2834</v>
      </c>
      <c r="L1911" s="2">
        <f t="shared" si="29"/>
        <v>64</v>
      </c>
    </row>
    <row r="1912" spans="1:12" ht="25" customHeight="1">
      <c r="A1912" s="2" t="s">
        <v>12</v>
      </c>
      <c r="B1912" s="2" t="str">
        <f>HYPERLINK("http://bbs.12365auto.com/postcontent.aspx?tID=195227","一挡升二挡时变速箱有异响领动的质量不行")</f>
        <v>一挡升二挡时变速箱有异响领动的质量不行</v>
      </c>
      <c r="C1912" s="2" t="s">
        <v>13</v>
      </c>
      <c r="D1912" s="2" t="s">
        <v>12</v>
      </c>
      <c r="E1912" s="2" t="s">
        <v>67</v>
      </c>
      <c r="F1912" s="2" t="str">
        <f>HYPERLINK("http://bbs.12365auto.com/postcontent.aspx?tID=195227","http://bbs.12365auto.com/postcontent.aspx?tID=195227")</f>
        <v>http://bbs.12365auto.com/postcontent.aspx?tID=195227</v>
      </c>
      <c r="G1912" s="2"/>
      <c r="H1912" s="2" t="s">
        <v>2835</v>
      </c>
      <c r="I1912" s="2" t="s">
        <v>15</v>
      </c>
      <c r="J1912" s="2" t="s">
        <v>2833</v>
      </c>
      <c r="K1912" s="2" t="s">
        <v>2834</v>
      </c>
      <c r="L1912" s="2">
        <f t="shared" si="29"/>
        <v>83</v>
      </c>
    </row>
    <row r="1913" spans="1:12" ht="25" customHeight="1">
      <c r="A1913" s="2" t="s">
        <v>12</v>
      </c>
      <c r="B1913" s="2" t="str">
        <f>HYPERLINK("http://m.12365auto.com/xcdg/20200226/419566.shtml","15万元以内还有折扣 划算的旅行车海选")</f>
        <v>15万元以内还有折扣 划算的旅行车海选</v>
      </c>
      <c r="C1913" s="2" t="s">
        <v>13</v>
      </c>
      <c r="D1913" s="2" t="s">
        <v>12</v>
      </c>
      <c r="E1913" s="2"/>
      <c r="F1913" s="2" t="str">
        <f>HYPERLINK("http://m.12365auto.com/xcdg/20200226/419566.shtml","http://m.12365auto.com/xcdg/20200226/419566.shtml")</f>
        <v>http://m.12365auto.com/xcdg/20200226/419566.shtml</v>
      </c>
      <c r="G1913" s="2"/>
      <c r="H1913" s="2" t="s">
        <v>2836</v>
      </c>
      <c r="I1913" s="2" t="s">
        <v>19</v>
      </c>
      <c r="J1913" s="2" t="s">
        <v>2837</v>
      </c>
      <c r="K1913" s="2" t="s">
        <v>2834</v>
      </c>
      <c r="L1913" s="2">
        <f t="shared" si="29"/>
        <v>150</v>
      </c>
    </row>
    <row r="1914" spans="1:12" ht="25" customHeight="1">
      <c r="A1914" s="2" t="s">
        <v>12</v>
      </c>
      <c r="B1914" s="2" t="str">
        <f>HYPERLINK("http://m.12365auto.com/bbs/postcontent.aspx?tID=195227","一挡升二挡时变速箱有异响领动的质量不行")</f>
        <v>一挡升二挡时变速箱有异响领动的质量不行</v>
      </c>
      <c r="C1914" s="2" t="s">
        <v>13</v>
      </c>
      <c r="D1914" s="2" t="s">
        <v>23</v>
      </c>
      <c r="E1914" s="2"/>
      <c r="F1914" s="2" t="str">
        <f>HYPERLINK("http://m.12365auto.com/bbs/postcontent.aspx?tID=195227","http://m.12365auto.com/bbs/postcontent.aspx?tID=195227")</f>
        <v>http://m.12365auto.com/bbs/postcontent.aspx?tID=195227</v>
      </c>
      <c r="G1914" s="2"/>
      <c r="H1914" s="2" t="s">
        <v>2832</v>
      </c>
      <c r="I1914" s="2" t="s">
        <v>15</v>
      </c>
      <c r="J1914" s="2" t="s">
        <v>2833</v>
      </c>
      <c r="K1914" s="2" t="s">
        <v>2834</v>
      </c>
      <c r="L1914" s="2">
        <f t="shared" si="29"/>
        <v>64</v>
      </c>
    </row>
    <row r="1915" spans="1:12" ht="25" customHeight="1">
      <c r="A1915" s="2" t="s">
        <v>12</v>
      </c>
      <c r="B1915" s="2" t="str">
        <f>HYPERLINK("http://bbs.12365auto.com/postcontent.aspx?tID=195226","朗逸发动机运转时有异响质量也没谁了")</f>
        <v>朗逸发动机运转时有异响质量也没谁了</v>
      </c>
      <c r="C1915" s="2" t="s">
        <v>13</v>
      </c>
      <c r="D1915" s="2" t="s">
        <v>12</v>
      </c>
      <c r="E1915" s="2" t="s">
        <v>67</v>
      </c>
      <c r="F1915" s="2" t="str">
        <f>HYPERLINK("http://bbs.12365auto.com/postcontent.aspx?tID=195226","http://bbs.12365auto.com/postcontent.aspx?tID=195226")</f>
        <v>http://bbs.12365auto.com/postcontent.aspx?tID=195226</v>
      </c>
      <c r="G1915" s="2"/>
      <c r="H1915" s="2" t="s">
        <v>2838</v>
      </c>
      <c r="I1915" s="2" t="s">
        <v>15</v>
      </c>
      <c r="J1915" s="2" t="s">
        <v>2839</v>
      </c>
      <c r="K1915" s="2" t="s">
        <v>2840</v>
      </c>
      <c r="L1915" s="2">
        <f t="shared" si="29"/>
        <v>102</v>
      </c>
    </row>
    <row r="1916" spans="1:12" ht="25" customHeight="1">
      <c r="A1916" s="2" t="s">
        <v>12</v>
      </c>
      <c r="B1916" s="2" t="str">
        <f>HYPERLINK("http://bbs.12365auto.com/postcontent.aspx?tId=195226","朗逸发动机运转时有异响质量也没谁了")</f>
        <v>朗逸发动机运转时有异响质量也没谁了</v>
      </c>
      <c r="C1916" s="2" t="s">
        <v>13</v>
      </c>
      <c r="D1916" s="2" t="s">
        <v>12</v>
      </c>
      <c r="E1916" s="2" t="s">
        <v>66</v>
      </c>
      <c r="F1916" s="2" t="str">
        <f>HYPERLINK("http://bbs.12365auto.com/postcontent.aspx?tId=195226","http://bbs.12365auto.com/postcontent.aspx?tId=195226")</f>
        <v>http://bbs.12365auto.com/postcontent.aspx?tId=195226</v>
      </c>
      <c r="G1916" s="2"/>
      <c r="H1916" s="2" t="s">
        <v>2841</v>
      </c>
      <c r="I1916" s="2" t="s">
        <v>15</v>
      </c>
      <c r="J1916" s="2" t="s">
        <v>2839</v>
      </c>
      <c r="K1916" s="2" t="s">
        <v>2840</v>
      </c>
      <c r="L1916" s="2">
        <f t="shared" si="29"/>
        <v>85</v>
      </c>
    </row>
    <row r="1917" spans="1:12" ht="25" customHeight="1">
      <c r="A1917" s="2" t="s">
        <v>12</v>
      </c>
      <c r="B1917" s="2" t="str">
        <f>HYPERLINK("http://bbs.12365auto.com/postcontent.aspx?tId=195225","柯迪亚克无法挂入倒挡变速箱质量不行呀")</f>
        <v>柯迪亚克无法挂入倒挡变速箱质量不行呀</v>
      </c>
      <c r="C1917" s="2" t="s">
        <v>13</v>
      </c>
      <c r="D1917" s="2" t="s">
        <v>12</v>
      </c>
      <c r="E1917" s="2" t="s">
        <v>66</v>
      </c>
      <c r="F1917" s="2" t="str">
        <f>HYPERLINK("http://bbs.12365auto.com/postcontent.aspx?tId=195225","http://bbs.12365auto.com/postcontent.aspx?tId=195225")</f>
        <v>http://bbs.12365auto.com/postcontent.aspx?tId=195225</v>
      </c>
      <c r="G1917" s="2"/>
      <c r="H1917" s="2" t="s">
        <v>2842</v>
      </c>
      <c r="I1917" s="2" t="s">
        <v>15</v>
      </c>
      <c r="J1917" s="2" t="s">
        <v>2843</v>
      </c>
      <c r="K1917" s="2" t="s">
        <v>2840</v>
      </c>
      <c r="L1917" s="2">
        <f t="shared" si="29"/>
        <v>48</v>
      </c>
    </row>
    <row r="1918" spans="1:12" ht="25" customHeight="1">
      <c r="A1918" s="2" t="s">
        <v>12</v>
      </c>
      <c r="B1918" s="2" t="str">
        <f>HYPERLINK("http://m.12365auto.com/bbs/postcontent.aspx?tID=195225","柯迪亚克无法挂入倒挡变速箱质量不行呀")</f>
        <v>柯迪亚克无法挂入倒挡变速箱质量不行呀</v>
      </c>
      <c r="C1918" s="2" t="s">
        <v>13</v>
      </c>
      <c r="D1918" s="2" t="s">
        <v>23</v>
      </c>
      <c r="E1918" s="2"/>
      <c r="F1918" s="2" t="str">
        <f>HYPERLINK("http://m.12365auto.com/bbs/postcontent.aspx?tID=195225","http://m.12365auto.com/bbs/postcontent.aspx?tID=195225")</f>
        <v>http://m.12365auto.com/bbs/postcontent.aspx?tID=195225</v>
      </c>
      <c r="G1918" s="2"/>
      <c r="H1918" s="2" t="s">
        <v>2842</v>
      </c>
      <c r="I1918" s="2" t="s">
        <v>15</v>
      </c>
      <c r="J1918" s="2" t="s">
        <v>2843</v>
      </c>
      <c r="K1918" s="2" t="s">
        <v>2840</v>
      </c>
      <c r="L1918" s="2">
        <f t="shared" si="29"/>
        <v>48</v>
      </c>
    </row>
    <row r="1919" spans="1:12" ht="25" customHeight="1">
      <c r="A1919" s="2" t="s">
        <v>12</v>
      </c>
      <c r="B1919" s="2" t="str">
        <f>HYPERLINK("http://m.12365auto.com/bbs/postcontent.aspx?tID=195226","朗逸发动机运转时有异响质量也没谁了")</f>
        <v>朗逸发动机运转时有异响质量也没谁了</v>
      </c>
      <c r="C1919" s="2" t="s">
        <v>13</v>
      </c>
      <c r="D1919" s="2" t="s">
        <v>23</v>
      </c>
      <c r="E1919" s="2"/>
      <c r="F1919" s="2" t="str">
        <f>HYPERLINK("http://m.12365auto.com/bbs/postcontent.aspx?tID=195226","http://m.12365auto.com/bbs/postcontent.aspx?tID=195226")</f>
        <v>http://m.12365auto.com/bbs/postcontent.aspx?tID=195226</v>
      </c>
      <c r="G1919" s="2"/>
      <c r="H1919" s="2" t="s">
        <v>2841</v>
      </c>
      <c r="I1919" s="2" t="s">
        <v>15</v>
      </c>
      <c r="J1919" s="2" t="s">
        <v>2839</v>
      </c>
      <c r="K1919" s="2" t="s">
        <v>2840</v>
      </c>
      <c r="L1919" s="2">
        <f t="shared" si="29"/>
        <v>85</v>
      </c>
    </row>
    <row r="1920" spans="1:12" ht="25" customHeight="1">
      <c r="A1920" s="2" t="s">
        <v>12</v>
      </c>
      <c r="B1920" s="2" t="str">
        <f>HYPERLINK("http://bbs.12365auto.com/postcontent.aspx?tID=195225","柯迪亚克无法挂入倒挡变速箱质量不行呀")</f>
        <v>柯迪亚克无法挂入倒挡变速箱质量不行呀</v>
      </c>
      <c r="C1920" s="2" t="s">
        <v>13</v>
      </c>
      <c r="D1920" s="2" t="s">
        <v>12</v>
      </c>
      <c r="E1920" s="2" t="s">
        <v>67</v>
      </c>
      <c r="F1920" s="2" t="str">
        <f>HYPERLINK("http://bbs.12365auto.com/postcontent.aspx?tID=195225","http://bbs.12365auto.com/postcontent.aspx?tID=195225")</f>
        <v>http://bbs.12365auto.com/postcontent.aspx?tID=195225</v>
      </c>
      <c r="G1920" s="2"/>
      <c r="H1920" s="2" t="s">
        <v>2844</v>
      </c>
      <c r="I1920" s="2" t="s">
        <v>15</v>
      </c>
      <c r="J1920" s="2" t="s">
        <v>2843</v>
      </c>
      <c r="K1920" s="2" t="s">
        <v>2840</v>
      </c>
      <c r="L1920" s="2">
        <f t="shared" si="29"/>
        <v>66</v>
      </c>
    </row>
    <row r="1921" spans="1:12" ht="25" customHeight="1">
      <c r="A1921" s="2" t="s">
        <v>12</v>
      </c>
      <c r="B1921" s="2" t="str">
        <f>HYPERLINK("http://bbs.12365auto.com/postcontent.aspx?tId=195224","名爵HS变速箱有严重的异响质量差")</f>
        <v>名爵HS变速箱有严重的异响质量差</v>
      </c>
      <c r="C1921" s="2" t="s">
        <v>13</v>
      </c>
      <c r="D1921" s="2" t="s">
        <v>12</v>
      </c>
      <c r="E1921" s="2" t="s">
        <v>66</v>
      </c>
      <c r="F1921" s="2" t="str">
        <f>HYPERLINK("http://bbs.12365auto.com/postcontent.aspx?tId=195224","http://bbs.12365auto.com/postcontent.aspx?tId=195224")</f>
        <v>http://bbs.12365auto.com/postcontent.aspx?tId=195224</v>
      </c>
      <c r="G1921" s="2"/>
      <c r="H1921" s="2" t="s">
        <v>2845</v>
      </c>
      <c r="I1921" s="2" t="s">
        <v>15</v>
      </c>
      <c r="J1921" s="2" t="s">
        <v>2846</v>
      </c>
      <c r="K1921" s="2" t="s">
        <v>2847</v>
      </c>
      <c r="L1921" s="2">
        <f t="shared" si="29"/>
        <v>65</v>
      </c>
    </row>
    <row r="1922" spans="1:12" ht="25" customHeight="1">
      <c r="A1922" s="2" t="s">
        <v>12</v>
      </c>
      <c r="B1922" s="2" t="str">
        <f>HYPERLINK("http://m.12365auto.com/bbs/postcontent.aspx?tID=195224","名爵HS变速箱有严重的异响质量差")</f>
        <v>名爵HS变速箱有严重的异响质量差</v>
      </c>
      <c r="C1922" s="2" t="s">
        <v>13</v>
      </c>
      <c r="D1922" s="2" t="s">
        <v>23</v>
      </c>
      <c r="E1922" s="2"/>
      <c r="F1922" s="2" t="str">
        <f>HYPERLINK("http://m.12365auto.com/bbs/postcontent.aspx?tID=195224","http://m.12365auto.com/bbs/postcontent.aspx?tID=195224")</f>
        <v>http://m.12365auto.com/bbs/postcontent.aspx?tID=195224</v>
      </c>
      <c r="G1922" s="2"/>
      <c r="H1922" s="2" t="s">
        <v>2845</v>
      </c>
      <c r="I1922" s="2" t="s">
        <v>15</v>
      </c>
      <c r="J1922" s="2" t="s">
        <v>2846</v>
      </c>
      <c r="K1922" s="2" t="s">
        <v>2847</v>
      </c>
      <c r="L1922" s="2">
        <f t="shared" si="29"/>
        <v>65</v>
      </c>
    </row>
    <row r="1923" spans="1:12" ht="25" customHeight="1">
      <c r="A1923" s="2" t="s">
        <v>12</v>
      </c>
      <c r="B1923" s="2" t="str">
        <f>HYPERLINK("http://bbs.12365auto.com/postcontent.aspx?tID=195224","名爵HS变速箱有严重的异响质量差")</f>
        <v>名爵HS变速箱有严重的异响质量差</v>
      </c>
      <c r="C1923" s="2" t="s">
        <v>13</v>
      </c>
      <c r="D1923" s="2" t="s">
        <v>12</v>
      </c>
      <c r="E1923" s="2" t="s">
        <v>67</v>
      </c>
      <c r="F1923" s="2" t="str">
        <f>HYPERLINK("http://bbs.12365auto.com/postcontent.aspx?tID=195224","http://bbs.12365auto.com/postcontent.aspx?tID=195224")</f>
        <v>http://bbs.12365auto.com/postcontent.aspx?tID=195224</v>
      </c>
      <c r="G1923" s="2"/>
      <c r="H1923" s="2" t="s">
        <v>2848</v>
      </c>
      <c r="I1923" s="2" t="s">
        <v>15</v>
      </c>
      <c r="J1923" s="2" t="s">
        <v>2846</v>
      </c>
      <c r="K1923" s="2" t="s">
        <v>2847</v>
      </c>
      <c r="L1923" s="2">
        <f t="shared" ref="L1923:L1986" si="30">LEN(H1923)</f>
        <v>81</v>
      </c>
    </row>
    <row r="1924" spans="1:12" ht="25" customHeight="1">
      <c r="A1924" s="2" t="s">
        <v>12</v>
      </c>
      <c r="B1924" s="2" t="str">
        <f>HYPERLINK("http://bbs.12365auto.com/postcontent.aspx?tId=195223","车内异响帕萨特碰撞测试A柱断裂")</f>
        <v>车内异响帕萨特碰撞测试A柱断裂</v>
      </c>
      <c r="C1924" s="2" t="s">
        <v>13</v>
      </c>
      <c r="D1924" s="2" t="s">
        <v>12</v>
      </c>
      <c r="E1924" s="2" t="s">
        <v>66</v>
      </c>
      <c r="F1924" s="2" t="str">
        <f>HYPERLINK("http://bbs.12365auto.com/postcontent.aspx?tId=195223","http://bbs.12365auto.com/postcontent.aspx?tId=195223")</f>
        <v>http://bbs.12365auto.com/postcontent.aspx?tId=195223</v>
      </c>
      <c r="G1924" s="2"/>
      <c r="H1924" s="2" t="s">
        <v>2849</v>
      </c>
      <c r="I1924" s="2" t="s">
        <v>15</v>
      </c>
      <c r="J1924" s="2" t="s">
        <v>2850</v>
      </c>
      <c r="K1924" s="2" t="s">
        <v>2851</v>
      </c>
      <c r="L1924" s="2">
        <f t="shared" si="30"/>
        <v>150</v>
      </c>
    </row>
    <row r="1925" spans="1:12" ht="25" customHeight="1">
      <c r="A1925" s="2" t="s">
        <v>12</v>
      </c>
      <c r="B1925" s="2" t="str">
        <f>HYPERLINK("http://bbs.12365auto.com/postcontent.aspx?tID=195223","车内异响帕萨特碰撞测试A柱断裂")</f>
        <v>车内异响帕萨特碰撞测试A柱断裂</v>
      </c>
      <c r="C1925" s="2" t="s">
        <v>13</v>
      </c>
      <c r="D1925" s="2" t="s">
        <v>12</v>
      </c>
      <c r="E1925" s="2" t="s">
        <v>67</v>
      </c>
      <c r="F1925" s="2" t="str">
        <f>HYPERLINK("http://bbs.12365auto.com/postcontent.aspx?tID=195223","http://bbs.12365auto.com/postcontent.aspx?tID=195223")</f>
        <v>http://bbs.12365auto.com/postcontent.aspx?tID=195223</v>
      </c>
      <c r="G1925" s="2"/>
      <c r="H1925" s="2" t="s">
        <v>2852</v>
      </c>
      <c r="I1925" s="2" t="s">
        <v>15</v>
      </c>
      <c r="J1925" s="2" t="s">
        <v>2850</v>
      </c>
      <c r="K1925" s="2" t="s">
        <v>2851</v>
      </c>
      <c r="L1925" s="2">
        <f t="shared" si="30"/>
        <v>150</v>
      </c>
    </row>
    <row r="1926" spans="1:12" ht="25" customHeight="1">
      <c r="A1926" s="2" t="s">
        <v>12</v>
      </c>
      <c r="B1926" s="2" t="str">
        <f>HYPERLINK("http://m.12365auto.com/bbs/postcontent.aspx?tID=195223","车内异响帕萨特碰撞测试A柱断裂")</f>
        <v>车内异响帕萨特碰撞测试A柱断裂</v>
      </c>
      <c r="C1926" s="2" t="s">
        <v>13</v>
      </c>
      <c r="D1926" s="2" t="s">
        <v>23</v>
      </c>
      <c r="E1926" s="2"/>
      <c r="F1926" s="2" t="str">
        <f>HYPERLINK("http://m.12365auto.com/bbs/postcontent.aspx?tID=195223","http://m.12365auto.com/bbs/postcontent.aspx?tID=195223")</f>
        <v>http://m.12365auto.com/bbs/postcontent.aspx?tID=195223</v>
      </c>
      <c r="G1926" s="2"/>
      <c r="H1926" s="2" t="s">
        <v>2849</v>
      </c>
      <c r="I1926" s="2" t="s">
        <v>15</v>
      </c>
      <c r="J1926" s="2" t="s">
        <v>2850</v>
      </c>
      <c r="K1926" s="2" t="s">
        <v>2851</v>
      </c>
      <c r="L1926" s="2">
        <f t="shared" si="30"/>
        <v>150</v>
      </c>
    </row>
    <row r="1927" spans="1:12" ht="25" customHeight="1">
      <c r="A1927" s="2" t="s">
        <v>12</v>
      </c>
      <c r="B1927" s="2" t="str">
        <f>HYPERLINK("http://bbs.12365auto.com/postcontent.aspx?tId=195221","S6天窗生锈腐烂胶条脱落")</f>
        <v>S6天窗生锈腐烂胶条脱落</v>
      </c>
      <c r="C1927" s="2" t="s">
        <v>13</v>
      </c>
      <c r="D1927" s="2" t="s">
        <v>12</v>
      </c>
      <c r="E1927" s="2" t="s">
        <v>66</v>
      </c>
      <c r="F1927" s="2" t="str">
        <f>HYPERLINK("http://bbs.12365auto.com/postcontent.aspx?tId=195221","http://bbs.12365auto.com/postcontent.aspx?tId=195221")</f>
        <v>http://bbs.12365auto.com/postcontent.aspx?tId=195221</v>
      </c>
      <c r="G1927" s="2"/>
      <c r="H1927" s="2" t="s">
        <v>2853</v>
      </c>
      <c r="I1927" s="2" t="s">
        <v>15</v>
      </c>
      <c r="J1927" s="2" t="s">
        <v>2854</v>
      </c>
      <c r="K1927" s="2" t="s">
        <v>2855</v>
      </c>
      <c r="L1927" s="2">
        <f t="shared" si="30"/>
        <v>150</v>
      </c>
    </row>
    <row r="1928" spans="1:12" ht="25" customHeight="1">
      <c r="A1928" s="2" t="s">
        <v>12</v>
      </c>
      <c r="B1928" s="2" t="str">
        <f>HYPERLINK("http://bbs.12365auto.com/postcontent.aspx?tId=195222","Z500质保期内出现很多的质量问题")</f>
        <v>Z500质保期内出现很多的质量问题</v>
      </c>
      <c r="C1928" s="2" t="s">
        <v>13</v>
      </c>
      <c r="D1928" s="2" t="s">
        <v>12</v>
      </c>
      <c r="E1928" s="2" t="s">
        <v>66</v>
      </c>
      <c r="F1928" s="2" t="str">
        <f>HYPERLINK("http://bbs.12365auto.com/postcontent.aspx?tId=195222","http://bbs.12365auto.com/postcontent.aspx?tId=195222")</f>
        <v>http://bbs.12365auto.com/postcontent.aspx?tId=195222</v>
      </c>
      <c r="G1928" s="2"/>
      <c r="H1928" s="2" t="s">
        <v>2856</v>
      </c>
      <c r="I1928" s="2" t="s">
        <v>15</v>
      </c>
      <c r="J1928" s="2" t="s">
        <v>2857</v>
      </c>
      <c r="K1928" s="2" t="s">
        <v>2855</v>
      </c>
      <c r="L1928" s="2">
        <f t="shared" si="30"/>
        <v>117</v>
      </c>
    </row>
    <row r="1929" spans="1:12" ht="25" customHeight="1">
      <c r="A1929" s="2" t="s">
        <v>12</v>
      </c>
      <c r="B1929" s="2" t="str">
        <f>HYPERLINK("http://m.12365auto.com/bbs/postcontent.aspx?tID=195222","Z500质保期内出现很多的质量问题")</f>
        <v>Z500质保期内出现很多的质量问题</v>
      </c>
      <c r="C1929" s="2" t="s">
        <v>13</v>
      </c>
      <c r="D1929" s="2" t="s">
        <v>23</v>
      </c>
      <c r="E1929" s="2"/>
      <c r="F1929" s="2" t="str">
        <f>HYPERLINK("http://m.12365auto.com/bbs/postcontent.aspx?tID=195222","http://m.12365auto.com/bbs/postcontent.aspx?tID=195222")</f>
        <v>http://m.12365auto.com/bbs/postcontent.aspx?tID=195222</v>
      </c>
      <c r="G1929" s="2"/>
      <c r="H1929" s="2" t="s">
        <v>2856</v>
      </c>
      <c r="I1929" s="2" t="s">
        <v>15</v>
      </c>
      <c r="J1929" s="2" t="s">
        <v>2857</v>
      </c>
      <c r="K1929" s="2" t="s">
        <v>2855</v>
      </c>
      <c r="L1929" s="2">
        <f t="shared" si="30"/>
        <v>117</v>
      </c>
    </row>
    <row r="1930" spans="1:12" ht="25" customHeight="1">
      <c r="A1930" s="2" t="s">
        <v>12</v>
      </c>
      <c r="B1930" s="2" t="str">
        <f>HYPERLINK("http://m.12365auto.com/bbs/postcontent.aspx?tID=195221","S6天窗生锈腐烂胶条脱落")</f>
        <v>S6天窗生锈腐烂胶条脱落</v>
      </c>
      <c r="C1930" s="2" t="s">
        <v>13</v>
      </c>
      <c r="D1930" s="2" t="s">
        <v>23</v>
      </c>
      <c r="E1930" s="2"/>
      <c r="F1930" s="2" t="str">
        <f>HYPERLINK("http://m.12365auto.com/bbs/postcontent.aspx?tID=195221","http://m.12365auto.com/bbs/postcontent.aspx?tID=195221")</f>
        <v>http://m.12365auto.com/bbs/postcontent.aspx?tID=195221</v>
      </c>
      <c r="G1930" s="2"/>
      <c r="H1930" s="2" t="s">
        <v>2853</v>
      </c>
      <c r="I1930" s="2" t="s">
        <v>15</v>
      </c>
      <c r="J1930" s="2" t="s">
        <v>2854</v>
      </c>
      <c r="K1930" s="2" t="s">
        <v>2855</v>
      </c>
      <c r="L1930" s="2">
        <f t="shared" si="30"/>
        <v>150</v>
      </c>
    </row>
    <row r="1931" spans="1:12" ht="25" customHeight="1">
      <c r="A1931" s="2" t="s">
        <v>12</v>
      </c>
      <c r="B1931" s="2" t="str">
        <f>HYPERLINK("http://bbs.12365auto.com/postcontent.aspx?tID=195221","S6天窗生锈腐烂胶条脱落")</f>
        <v>S6天窗生锈腐烂胶条脱落</v>
      </c>
      <c r="C1931" s="2" t="s">
        <v>13</v>
      </c>
      <c r="D1931" s="2" t="s">
        <v>12</v>
      </c>
      <c r="E1931" s="2" t="s">
        <v>67</v>
      </c>
      <c r="F1931" s="2" t="str">
        <f>HYPERLINK("http://bbs.12365auto.com/postcontent.aspx?tID=195221","http://bbs.12365auto.com/postcontent.aspx?tID=195221")</f>
        <v>http://bbs.12365auto.com/postcontent.aspx?tID=195221</v>
      </c>
      <c r="G1931" s="2"/>
      <c r="H1931" s="2" t="s">
        <v>2858</v>
      </c>
      <c r="I1931" s="2" t="s">
        <v>15</v>
      </c>
      <c r="J1931" s="2" t="s">
        <v>2854</v>
      </c>
      <c r="K1931" s="2" t="s">
        <v>2855</v>
      </c>
      <c r="L1931" s="2">
        <f t="shared" si="30"/>
        <v>150</v>
      </c>
    </row>
    <row r="1932" spans="1:12" ht="25" customHeight="1">
      <c r="A1932" s="2" t="s">
        <v>12</v>
      </c>
      <c r="B1932" s="2" t="str">
        <f>HYPERLINK("http://bbs.12365auto.com/postcontent.aspx?tID=195222","Z500质保期内出现很多的质量问题")</f>
        <v>Z500质保期内出现很多的质量问题</v>
      </c>
      <c r="C1932" s="2" t="s">
        <v>13</v>
      </c>
      <c r="D1932" s="2" t="s">
        <v>12</v>
      </c>
      <c r="E1932" s="2" t="s">
        <v>67</v>
      </c>
      <c r="F1932" s="2" t="str">
        <f>HYPERLINK("http://bbs.12365auto.com/postcontent.aspx?tID=195222","http://bbs.12365auto.com/postcontent.aspx?tID=195222")</f>
        <v>http://bbs.12365auto.com/postcontent.aspx?tID=195222</v>
      </c>
      <c r="G1932" s="2"/>
      <c r="H1932" s="2" t="s">
        <v>2859</v>
      </c>
      <c r="I1932" s="2" t="s">
        <v>15</v>
      </c>
      <c r="J1932" s="2" t="s">
        <v>2857</v>
      </c>
      <c r="K1932" s="2" t="s">
        <v>2855</v>
      </c>
      <c r="L1932" s="2">
        <f t="shared" si="30"/>
        <v>134</v>
      </c>
    </row>
    <row r="1933" spans="1:12" ht="25" customHeight="1">
      <c r="A1933" s="2" t="s">
        <v>12</v>
      </c>
      <c r="B1933" s="2" t="str">
        <f>HYPERLINK("http://bbs.12365auto.com/postcontent.aspx?tId=195220","思域曲轴后油封漏油严重")</f>
        <v>思域曲轴后油封漏油严重</v>
      </c>
      <c r="C1933" s="2" t="s">
        <v>13</v>
      </c>
      <c r="D1933" s="2" t="s">
        <v>12</v>
      </c>
      <c r="E1933" s="2" t="s">
        <v>66</v>
      </c>
      <c r="F1933" s="2" t="str">
        <f>HYPERLINK("http://bbs.12365auto.com/postcontent.aspx?tId=195220","http://bbs.12365auto.com/postcontent.aspx?tId=195220")</f>
        <v>http://bbs.12365auto.com/postcontent.aspx?tId=195220</v>
      </c>
      <c r="G1933" s="2"/>
      <c r="H1933" s="2" t="s">
        <v>2860</v>
      </c>
      <c r="I1933" s="2" t="s">
        <v>15</v>
      </c>
      <c r="J1933" s="2" t="s">
        <v>2861</v>
      </c>
      <c r="K1933" s="2" t="s">
        <v>2862</v>
      </c>
      <c r="L1933" s="2">
        <f t="shared" si="30"/>
        <v>71</v>
      </c>
    </row>
    <row r="1934" spans="1:12" ht="25" customHeight="1">
      <c r="A1934" s="2" t="s">
        <v>12</v>
      </c>
      <c r="B1934" s="2" t="str">
        <f>HYPERLINK("http://www.12365auto.com/news/20200226/419564.shtml","疫情之下 带你了解转产口罩的比亚迪")</f>
        <v>疫情之下 带你了解转产口罩的比亚迪</v>
      </c>
      <c r="C1934" s="2" t="s">
        <v>13</v>
      </c>
      <c r="D1934" s="2" t="s">
        <v>12</v>
      </c>
      <c r="E1934" s="2" t="s">
        <v>276</v>
      </c>
      <c r="F1934" s="2" t="str">
        <f>HYPERLINK("http://www.12365auto.com/news/20200226/419564.shtml","http://www.12365auto.com/news/20200226/419564.shtml")</f>
        <v>http://www.12365auto.com/news/20200226/419564.shtml</v>
      </c>
      <c r="G1934" s="2"/>
      <c r="H1934" s="2" t="s">
        <v>2863</v>
      </c>
      <c r="I1934" s="2" t="s">
        <v>15</v>
      </c>
      <c r="J1934" s="2" t="s">
        <v>12</v>
      </c>
      <c r="K1934" s="2" t="s">
        <v>2862</v>
      </c>
      <c r="L1934" s="2">
        <f t="shared" si="30"/>
        <v>150</v>
      </c>
    </row>
    <row r="1935" spans="1:12" ht="25" customHeight="1">
      <c r="A1935" s="2" t="s">
        <v>12</v>
      </c>
      <c r="B1935" s="2" t="str">
        <f>HYPERLINK("http://m.12365auto.com/news/20200226/419564.shtml","疫情之下 带你了解转产口罩的比亚迪")</f>
        <v>疫情之下 带你了解转产口罩的比亚迪</v>
      </c>
      <c r="C1935" s="2" t="s">
        <v>13</v>
      </c>
      <c r="D1935" s="2" t="s">
        <v>12</v>
      </c>
      <c r="E1935" s="2"/>
      <c r="F1935" s="2" t="str">
        <f>HYPERLINK("http://m.12365auto.com/news/20200226/419564.shtml","http://m.12365auto.com/news/20200226/419564.shtml")</f>
        <v>http://m.12365auto.com/news/20200226/419564.shtml</v>
      </c>
      <c r="G1935" s="2"/>
      <c r="H1935" s="2" t="s">
        <v>2864</v>
      </c>
      <c r="I1935" s="2" t="s">
        <v>19</v>
      </c>
      <c r="J1935" s="2" t="s">
        <v>2865</v>
      </c>
      <c r="K1935" s="2" t="s">
        <v>2862</v>
      </c>
      <c r="L1935" s="2">
        <f t="shared" si="30"/>
        <v>150</v>
      </c>
    </row>
    <row r="1936" spans="1:12" ht="25" customHeight="1">
      <c r="A1936" s="2" t="s">
        <v>12</v>
      </c>
      <c r="B1936" s="2" t="str">
        <f>HYPERLINK("http://m.12365auto.com/bbs/postcontent.aspx?tID=195220","思域曲轴后油封漏油严重")</f>
        <v>思域曲轴后油封漏油严重</v>
      </c>
      <c r="C1936" s="2" t="s">
        <v>13</v>
      </c>
      <c r="D1936" s="2" t="s">
        <v>23</v>
      </c>
      <c r="E1936" s="2"/>
      <c r="F1936" s="2" t="str">
        <f>HYPERLINK("http://m.12365auto.com/bbs/postcontent.aspx?tID=195220","http://m.12365auto.com/bbs/postcontent.aspx?tID=195220")</f>
        <v>http://m.12365auto.com/bbs/postcontent.aspx?tID=195220</v>
      </c>
      <c r="G1936" s="2"/>
      <c r="H1936" s="2" t="s">
        <v>2860</v>
      </c>
      <c r="I1936" s="2" t="s">
        <v>15</v>
      </c>
      <c r="J1936" s="2" t="s">
        <v>2861</v>
      </c>
      <c r="K1936" s="2" t="s">
        <v>2862</v>
      </c>
      <c r="L1936" s="2">
        <f t="shared" si="30"/>
        <v>71</v>
      </c>
    </row>
    <row r="1937" spans="1:12" ht="25" customHeight="1">
      <c r="A1937" s="2" t="s">
        <v>12</v>
      </c>
      <c r="B1937" s="2" t="str">
        <f>HYPERLINK("http://bbs.12365auto.com/postcontent.aspx?tID=195220","思域曲轴后油封漏油严重")</f>
        <v>思域曲轴后油封漏油严重</v>
      </c>
      <c r="C1937" s="2" t="s">
        <v>13</v>
      </c>
      <c r="D1937" s="2" t="s">
        <v>12</v>
      </c>
      <c r="E1937" s="2" t="s">
        <v>67</v>
      </c>
      <c r="F1937" s="2" t="str">
        <f>HYPERLINK("http://bbs.12365auto.com/postcontent.aspx?tID=195220","http://bbs.12365auto.com/postcontent.aspx?tID=195220")</f>
        <v>http://bbs.12365auto.com/postcontent.aspx?tID=195220</v>
      </c>
      <c r="G1937" s="2"/>
      <c r="H1937" s="2" t="s">
        <v>2866</v>
      </c>
      <c r="I1937" s="2" t="s">
        <v>15</v>
      </c>
      <c r="J1937" s="2" t="s">
        <v>2861</v>
      </c>
      <c r="K1937" s="2" t="s">
        <v>2862</v>
      </c>
      <c r="L1937" s="2">
        <f t="shared" si="30"/>
        <v>82</v>
      </c>
    </row>
    <row r="1938" spans="1:12" ht="25" customHeight="1">
      <c r="A1938" s="2" t="s">
        <v>12</v>
      </c>
      <c r="B1938" s="2" t="str">
        <f>HYPERLINK("http://www.12365auto.com/zlts/20200226/448782.shtml","一汽丰田威驰向右打方向盘时右前轮有异响")</f>
        <v>一汽丰田威驰向右打方向盘时右前轮有异响</v>
      </c>
      <c r="C1938" s="2" t="s">
        <v>13</v>
      </c>
      <c r="D1938" s="2" t="s">
        <v>12</v>
      </c>
      <c r="E1938" s="2" t="s">
        <v>17</v>
      </c>
      <c r="F1938" s="2" t="str">
        <f>HYPERLINK("http://www.12365auto.com/zlts/20200226/448782.shtml","http://www.12365auto.com/zlts/20200226/448782.shtml")</f>
        <v>http://www.12365auto.com/zlts/20200226/448782.shtml</v>
      </c>
      <c r="G1938" s="2"/>
      <c r="H1938" s="2" t="s">
        <v>2867</v>
      </c>
      <c r="I1938" s="2" t="s">
        <v>15</v>
      </c>
      <c r="J1938" s="2" t="s">
        <v>12</v>
      </c>
      <c r="K1938" s="2" t="s">
        <v>2868</v>
      </c>
      <c r="L1938" s="2">
        <f t="shared" si="30"/>
        <v>150</v>
      </c>
    </row>
    <row r="1939" spans="1:12" ht="25" customHeight="1">
      <c r="A1939" s="2" t="s">
        <v>12</v>
      </c>
      <c r="B1939" s="2" t="str">
        <f>HYPERLINK("http://bbs.12365auto.com/postcontent.aspx?tId=195218","CX-4中控显示屏出现了故障")</f>
        <v>CX-4中控显示屏出现了故障</v>
      </c>
      <c r="C1939" s="2" t="s">
        <v>13</v>
      </c>
      <c r="D1939" s="2" t="s">
        <v>12</v>
      </c>
      <c r="E1939" s="2" t="s">
        <v>66</v>
      </c>
      <c r="F1939" s="2" t="str">
        <f>HYPERLINK("http://bbs.12365auto.com/postcontent.aspx?tId=195218","http://bbs.12365auto.com/postcontent.aspx?tId=195218")</f>
        <v>http://bbs.12365auto.com/postcontent.aspx?tId=195218</v>
      </c>
      <c r="G1939" s="2"/>
      <c r="H1939" s="2" t="s">
        <v>2869</v>
      </c>
      <c r="I1939" s="2" t="s">
        <v>15</v>
      </c>
      <c r="J1939" s="2" t="s">
        <v>2870</v>
      </c>
      <c r="K1939" s="2" t="s">
        <v>2868</v>
      </c>
      <c r="L1939" s="2">
        <f t="shared" si="30"/>
        <v>47</v>
      </c>
    </row>
    <row r="1940" spans="1:12" ht="25" customHeight="1">
      <c r="A1940" s="2" t="s">
        <v>12</v>
      </c>
      <c r="B1940" s="2" t="str">
        <f>HYPERLINK("http://bbs.12365auto.com/postcontent.aspx?tId=195219","艾瑞泽5车门把手无故损坏")</f>
        <v>艾瑞泽5车门把手无故损坏</v>
      </c>
      <c r="C1940" s="2" t="s">
        <v>13</v>
      </c>
      <c r="D1940" s="2" t="s">
        <v>12</v>
      </c>
      <c r="E1940" s="2" t="s">
        <v>66</v>
      </c>
      <c r="F1940" s="2" t="str">
        <f>HYPERLINK("http://bbs.12365auto.com/postcontent.aspx?tId=195219","http://bbs.12365auto.com/postcontent.aspx?tId=195219")</f>
        <v>http://bbs.12365auto.com/postcontent.aspx?tId=195219</v>
      </c>
      <c r="G1940" s="2"/>
      <c r="H1940" s="2" t="s">
        <v>2871</v>
      </c>
      <c r="I1940" s="2" t="s">
        <v>15</v>
      </c>
      <c r="J1940" s="2" t="s">
        <v>2872</v>
      </c>
      <c r="K1940" s="2" t="s">
        <v>2868</v>
      </c>
      <c r="L1940" s="2">
        <f t="shared" si="30"/>
        <v>51</v>
      </c>
    </row>
    <row r="1941" spans="1:12" ht="25" customHeight="1">
      <c r="A1941" s="2" t="s">
        <v>12</v>
      </c>
      <c r="B1941" s="2" t="str">
        <f>HYPERLINK("http://bbs.12365auto.com/postcontent.aspx?tID=195219","艾瑞泽5车门把手无故损坏")</f>
        <v>艾瑞泽5车门把手无故损坏</v>
      </c>
      <c r="C1941" s="2" t="s">
        <v>13</v>
      </c>
      <c r="D1941" s="2" t="s">
        <v>12</v>
      </c>
      <c r="E1941" s="2" t="s">
        <v>67</v>
      </c>
      <c r="F1941" s="2" t="str">
        <f>HYPERLINK("http://bbs.12365auto.com/postcontent.aspx?tID=195219","http://bbs.12365auto.com/postcontent.aspx?tID=195219")</f>
        <v>http://bbs.12365auto.com/postcontent.aspx?tID=195219</v>
      </c>
      <c r="G1941" s="2"/>
      <c r="H1941" s="2" t="s">
        <v>2873</v>
      </c>
      <c r="I1941" s="2" t="s">
        <v>15</v>
      </c>
      <c r="J1941" s="2" t="s">
        <v>2872</v>
      </c>
      <c r="K1941" s="2" t="s">
        <v>2868</v>
      </c>
      <c r="L1941" s="2">
        <f t="shared" si="30"/>
        <v>63</v>
      </c>
    </row>
    <row r="1942" spans="1:12" ht="25" customHeight="1">
      <c r="A1942" s="2" t="s">
        <v>12</v>
      </c>
      <c r="B1942" s="2" t="str">
        <f>HYPERLINK("http://bbs.12365auto.com/postcontent.aspx?tID=195218","CX-4中控显示屏出现了故障")</f>
        <v>CX-4中控显示屏出现了故障</v>
      </c>
      <c r="C1942" s="2" t="s">
        <v>13</v>
      </c>
      <c r="D1942" s="2" t="s">
        <v>12</v>
      </c>
      <c r="E1942" s="2" t="s">
        <v>67</v>
      </c>
      <c r="F1942" s="2" t="str">
        <f>HYPERLINK("http://bbs.12365auto.com/postcontent.aspx?tID=195218","http://bbs.12365auto.com/postcontent.aspx?tID=195218")</f>
        <v>http://bbs.12365auto.com/postcontent.aspx?tID=195218</v>
      </c>
      <c r="G1942" s="2"/>
      <c r="H1942" s="2" t="s">
        <v>2874</v>
      </c>
      <c r="I1942" s="2" t="s">
        <v>15</v>
      </c>
      <c r="J1942" s="2" t="s">
        <v>2870</v>
      </c>
      <c r="K1942" s="2" t="s">
        <v>2868</v>
      </c>
      <c r="L1942" s="2">
        <f t="shared" si="30"/>
        <v>61</v>
      </c>
    </row>
    <row r="1943" spans="1:12" ht="25" customHeight="1">
      <c r="A1943" s="2" t="s">
        <v>12</v>
      </c>
      <c r="B1943" s="2" t="str">
        <f>HYPERLINK("http://www.12365auto.com/zlts/20200226/448781.shtml","一汽马自达CX-4防侧滑和ABS故障灯亮")</f>
        <v>一汽马自达CX-4防侧滑和ABS故障灯亮</v>
      </c>
      <c r="C1943" s="2" t="s">
        <v>13</v>
      </c>
      <c r="D1943" s="2" t="s">
        <v>12</v>
      </c>
      <c r="E1943" s="2" t="s">
        <v>17</v>
      </c>
      <c r="F1943" s="2" t="str">
        <f>HYPERLINK("http://www.12365auto.com/zlts/20200226/448781.shtml","http://www.12365auto.com/zlts/20200226/448781.shtml")</f>
        <v>http://www.12365auto.com/zlts/20200226/448781.shtml</v>
      </c>
      <c r="G1943" s="2"/>
      <c r="H1943" s="2" t="s">
        <v>2875</v>
      </c>
      <c r="I1943" s="2" t="s">
        <v>15</v>
      </c>
      <c r="J1943" s="2" t="s">
        <v>12</v>
      </c>
      <c r="K1943" s="2" t="s">
        <v>2868</v>
      </c>
      <c r="L1943" s="2">
        <f t="shared" si="30"/>
        <v>150</v>
      </c>
    </row>
    <row r="1944" spans="1:12" ht="25" customHeight="1">
      <c r="A1944" s="2" t="s">
        <v>12</v>
      </c>
      <c r="B1944" s="2" t="str">
        <f>HYPERLINK("http://m.12365auto.com/bbs/postcontent.aspx?tID=195219","艾瑞泽5车门把手无故损坏")</f>
        <v>艾瑞泽5车门把手无故损坏</v>
      </c>
      <c r="C1944" s="2" t="s">
        <v>13</v>
      </c>
      <c r="D1944" s="2" t="s">
        <v>23</v>
      </c>
      <c r="E1944" s="2"/>
      <c r="F1944" s="2" t="str">
        <f>HYPERLINK("http://m.12365auto.com/bbs/postcontent.aspx?tID=195219","http://m.12365auto.com/bbs/postcontent.aspx?tID=195219")</f>
        <v>http://m.12365auto.com/bbs/postcontent.aspx?tID=195219</v>
      </c>
      <c r="G1944" s="2"/>
      <c r="H1944" s="2" t="s">
        <v>2871</v>
      </c>
      <c r="I1944" s="2" t="s">
        <v>15</v>
      </c>
      <c r="J1944" s="2" t="s">
        <v>2872</v>
      </c>
      <c r="K1944" s="2" t="s">
        <v>2868</v>
      </c>
      <c r="L1944" s="2">
        <f t="shared" si="30"/>
        <v>51</v>
      </c>
    </row>
    <row r="1945" spans="1:12" ht="25" customHeight="1">
      <c r="A1945" s="2" t="s">
        <v>12</v>
      </c>
      <c r="B1945" s="2" t="str">
        <f>HYPERLINK("http://m.12365auto.com/bbs/postcontent.aspx?tID=195218","CX-4中控显示屏出现了故障")</f>
        <v>CX-4中控显示屏出现了故障</v>
      </c>
      <c r="C1945" s="2" t="s">
        <v>13</v>
      </c>
      <c r="D1945" s="2" t="s">
        <v>23</v>
      </c>
      <c r="E1945" s="2"/>
      <c r="F1945" s="2" t="str">
        <f>HYPERLINK("http://m.12365auto.com/bbs/postcontent.aspx?tID=195218","http://m.12365auto.com/bbs/postcontent.aspx?tID=195218")</f>
        <v>http://m.12365auto.com/bbs/postcontent.aspx?tID=195218</v>
      </c>
      <c r="G1945" s="2"/>
      <c r="H1945" s="2" t="s">
        <v>2869</v>
      </c>
      <c r="I1945" s="2" t="s">
        <v>15</v>
      </c>
      <c r="J1945" s="2" t="s">
        <v>2870</v>
      </c>
      <c r="K1945" s="2" t="s">
        <v>2868</v>
      </c>
      <c r="L1945" s="2">
        <f t="shared" si="30"/>
        <v>47</v>
      </c>
    </row>
    <row r="1946" spans="1:12" ht="25" customHeight="1">
      <c r="A1946" s="2" t="s">
        <v>12</v>
      </c>
      <c r="B1946" s="2" t="str">
        <f>HYPERLINK("http://www.12365auto.com/xcdg/20200226/419563.shtml","环保理念 Polestar极星Precept设计解读")</f>
        <v>环保理念 Polestar极星Precept设计解读</v>
      </c>
      <c r="C1946" s="2" t="s">
        <v>13</v>
      </c>
      <c r="D1946" s="2" t="s">
        <v>12</v>
      </c>
      <c r="E1946" s="2" t="s">
        <v>216</v>
      </c>
      <c r="F1946" s="2" t="str">
        <f>HYPERLINK("http://www.12365auto.com/xcdg/20200226/419563.shtml","http://www.12365auto.com/xcdg/20200226/419563.shtml")</f>
        <v>http://www.12365auto.com/xcdg/20200226/419563.shtml</v>
      </c>
      <c r="G1946" s="2"/>
      <c r="H1946" s="2" t="s">
        <v>2876</v>
      </c>
      <c r="I1946" s="2" t="s">
        <v>15</v>
      </c>
      <c r="J1946" s="2" t="s">
        <v>12</v>
      </c>
      <c r="K1946" s="2" t="s">
        <v>2877</v>
      </c>
      <c r="L1946" s="2">
        <f t="shared" si="30"/>
        <v>150</v>
      </c>
    </row>
    <row r="1947" spans="1:12" ht="25" customHeight="1">
      <c r="A1947" s="2" t="s">
        <v>12</v>
      </c>
      <c r="B1947" s="2" t="str">
        <f>HYPERLINK("http://www.12365auto.com/zlts/20200226/448780.shtml","众泰T600 Coupe方向盘右打跑偏严重")</f>
        <v>众泰T600 Coupe方向盘右打跑偏严重</v>
      </c>
      <c r="C1947" s="2" t="s">
        <v>13</v>
      </c>
      <c r="D1947" s="2" t="s">
        <v>12</v>
      </c>
      <c r="E1947" s="2" t="s">
        <v>17</v>
      </c>
      <c r="F1947" s="2" t="str">
        <f>HYPERLINK("http://www.12365auto.com/zlts/20200226/448780.shtml","http://www.12365auto.com/zlts/20200226/448780.shtml")</f>
        <v>http://www.12365auto.com/zlts/20200226/448780.shtml</v>
      </c>
      <c r="G1947" s="2"/>
      <c r="H1947" s="2" t="s">
        <v>2878</v>
      </c>
      <c r="I1947" s="2" t="s">
        <v>19</v>
      </c>
      <c r="J1947" s="2" t="s">
        <v>12</v>
      </c>
      <c r="K1947" s="2" t="s">
        <v>2877</v>
      </c>
      <c r="L1947" s="2">
        <f t="shared" si="30"/>
        <v>150</v>
      </c>
    </row>
    <row r="1948" spans="1:12" ht="25" customHeight="1">
      <c r="A1948" s="2" t="s">
        <v>12</v>
      </c>
      <c r="B1948" s="2" t="str">
        <f>HYPERLINK("http://m.12365auto.com/xcdg/20200226/419563.shtml","环保理念 Polestar极星Precept设计解读")</f>
        <v>环保理念 Polestar极星Precept设计解读</v>
      </c>
      <c r="C1948" s="2" t="s">
        <v>13</v>
      </c>
      <c r="D1948" s="2" t="s">
        <v>12</v>
      </c>
      <c r="E1948" s="2"/>
      <c r="F1948" s="2" t="str">
        <f>HYPERLINK("http://m.12365auto.com/xcdg/20200226/419563.shtml","http://m.12365auto.com/xcdg/20200226/419563.shtml")</f>
        <v>http://m.12365auto.com/xcdg/20200226/419563.shtml</v>
      </c>
      <c r="G1948" s="2"/>
      <c r="H1948" s="2" t="s">
        <v>2879</v>
      </c>
      <c r="I1948" s="2" t="s">
        <v>19</v>
      </c>
      <c r="J1948" s="2" t="s">
        <v>330</v>
      </c>
      <c r="K1948" s="2" t="s">
        <v>2877</v>
      </c>
      <c r="L1948" s="2">
        <f t="shared" si="30"/>
        <v>150</v>
      </c>
    </row>
    <row r="1949" spans="1:12" ht="25" customHeight="1">
      <c r="A1949" s="2" t="s">
        <v>12</v>
      </c>
      <c r="B1949" s="2" t="str">
        <f>HYPERLINK("http://www.12365auto.com/news/20200226/419562.shtml","滴滴组医护车队 免费服务14城医务人员")</f>
        <v>滴滴组医护车队 免费服务14城医务人员</v>
      </c>
      <c r="C1949" s="2" t="s">
        <v>13</v>
      </c>
      <c r="D1949" s="2" t="s">
        <v>12</v>
      </c>
      <c r="E1949" s="2" t="s">
        <v>276</v>
      </c>
      <c r="F1949" s="2" t="str">
        <f>HYPERLINK("http://www.12365auto.com/news/20200226/419562.shtml","http://www.12365auto.com/news/20200226/419562.shtml")</f>
        <v>http://www.12365auto.com/news/20200226/419562.shtml</v>
      </c>
      <c r="G1949" s="2"/>
      <c r="H1949" s="2" t="s">
        <v>2880</v>
      </c>
      <c r="I1949" s="2" t="s">
        <v>15</v>
      </c>
      <c r="J1949" s="2" t="s">
        <v>12</v>
      </c>
      <c r="K1949" s="2" t="s">
        <v>2881</v>
      </c>
      <c r="L1949" s="2">
        <f t="shared" si="30"/>
        <v>150</v>
      </c>
    </row>
    <row r="1950" spans="1:12" ht="25" customHeight="1">
      <c r="A1950" s="2" t="s">
        <v>12</v>
      </c>
      <c r="B1950" s="2" t="str">
        <f>HYPERLINK("http://m.12365auto.com/news/20200226/419562.shtml","滴滴组医护车队 免费服务14城医务人员")</f>
        <v>滴滴组医护车队 免费服务14城医务人员</v>
      </c>
      <c r="C1950" s="2" t="s">
        <v>13</v>
      </c>
      <c r="D1950" s="2" t="s">
        <v>12</v>
      </c>
      <c r="E1950" s="2"/>
      <c r="F1950" s="2" t="str">
        <f>HYPERLINK("http://m.12365auto.com/news/20200226/419562.shtml","http://m.12365auto.com/news/20200226/419562.shtml")</f>
        <v>http://m.12365auto.com/news/20200226/419562.shtml</v>
      </c>
      <c r="G1950" s="2"/>
      <c r="H1950" s="2" t="s">
        <v>2882</v>
      </c>
      <c r="I1950" s="2" t="s">
        <v>19</v>
      </c>
      <c r="J1950" s="2" t="s">
        <v>2808</v>
      </c>
      <c r="K1950" s="2" t="s">
        <v>2881</v>
      </c>
      <c r="L1950" s="2">
        <f t="shared" si="30"/>
        <v>150</v>
      </c>
    </row>
    <row r="1951" spans="1:12" ht="25" customHeight="1">
      <c r="A1951" s="2" t="s">
        <v>12</v>
      </c>
      <c r="B1951" s="2" t="str">
        <f>HYPERLINK("http://www.12365auto.com/zlts/20200226/448779.shtml","广汽丰田凯美瑞Carlife导航语音播报失灵")</f>
        <v>广汽丰田凯美瑞Carlife导航语音播报失灵</v>
      </c>
      <c r="C1951" s="2" t="s">
        <v>13</v>
      </c>
      <c r="D1951" s="2" t="s">
        <v>12</v>
      </c>
      <c r="E1951" s="2" t="s">
        <v>17</v>
      </c>
      <c r="F1951" s="2" t="str">
        <f>HYPERLINK("http://www.12365auto.com/zlts/20200226/448779.shtml","http://www.12365auto.com/zlts/20200226/448779.shtml")</f>
        <v>http://www.12365auto.com/zlts/20200226/448779.shtml</v>
      </c>
      <c r="G1951" s="2"/>
      <c r="H1951" s="2" t="s">
        <v>2883</v>
      </c>
      <c r="I1951" s="2" t="s">
        <v>19</v>
      </c>
      <c r="J1951" s="2" t="s">
        <v>12</v>
      </c>
      <c r="K1951" s="2" t="s">
        <v>2884</v>
      </c>
      <c r="L1951" s="2">
        <f t="shared" si="30"/>
        <v>150</v>
      </c>
    </row>
    <row r="1952" spans="1:12" ht="25" customHeight="1">
      <c r="A1952" s="2" t="s">
        <v>12</v>
      </c>
      <c r="B1952" s="2" t="str">
        <f>HYPERLINK("http://www.12365auto.com/news/20200226/419561.shtml","丰田雷凌1月销量增11.5%  连续销量超2万")</f>
        <v>丰田雷凌1月销量增11.5%  连续销量超2万</v>
      </c>
      <c r="C1952" s="2" t="s">
        <v>13</v>
      </c>
      <c r="D1952" s="2" t="s">
        <v>12</v>
      </c>
      <c r="E1952" s="2" t="s">
        <v>276</v>
      </c>
      <c r="F1952" s="2" t="str">
        <f>HYPERLINK("http://www.12365auto.com/news/20200226/419561.shtml","http://www.12365auto.com/news/20200226/419561.shtml")</f>
        <v>http://www.12365auto.com/news/20200226/419561.shtml</v>
      </c>
      <c r="G1952" s="2"/>
      <c r="H1952" s="2" t="s">
        <v>2885</v>
      </c>
      <c r="I1952" s="2" t="s">
        <v>15</v>
      </c>
      <c r="J1952" s="2" t="s">
        <v>12</v>
      </c>
      <c r="K1952" s="2" t="s">
        <v>2886</v>
      </c>
      <c r="L1952" s="2">
        <f t="shared" si="30"/>
        <v>150</v>
      </c>
    </row>
    <row r="1953" spans="1:12" ht="25" customHeight="1">
      <c r="A1953" s="2" t="s">
        <v>12</v>
      </c>
      <c r="B1953" s="2" t="str">
        <f>HYPERLINK("http://m.12365auto.com/news/20200226/419561.shtml","丰田雷凌1月销量增11.5%  连续销量超2万")</f>
        <v>丰田雷凌1月销量增11.5%  连续销量超2万</v>
      </c>
      <c r="C1953" s="2" t="s">
        <v>13</v>
      </c>
      <c r="D1953" s="2" t="s">
        <v>12</v>
      </c>
      <c r="E1953" s="2"/>
      <c r="F1953" s="2" t="str">
        <f>HYPERLINK("http://m.12365auto.com/news/20200226/419561.shtml","http://m.12365auto.com/news/20200226/419561.shtml")</f>
        <v>http://m.12365auto.com/news/20200226/419561.shtml</v>
      </c>
      <c r="G1953" s="2"/>
      <c r="H1953" s="2" t="s">
        <v>2887</v>
      </c>
      <c r="I1953" s="2" t="s">
        <v>19</v>
      </c>
      <c r="J1953" s="2" t="s">
        <v>739</v>
      </c>
      <c r="K1953" s="2" t="s">
        <v>2886</v>
      </c>
      <c r="L1953" s="2">
        <f t="shared" si="30"/>
        <v>150</v>
      </c>
    </row>
    <row r="1954" spans="1:12" ht="25" customHeight="1">
      <c r="A1954" s="2" t="s">
        <v>12</v>
      </c>
      <c r="B1954" s="2" t="str">
        <f>HYPERLINK("http://www.12365auto.com/xcdg/20200226/419560.shtml","新款福特F-150内饰外观曝光 还有混动版本")</f>
        <v>新款福特F-150内饰外观曝光 还有混动版本</v>
      </c>
      <c r="C1954" s="2" t="s">
        <v>13</v>
      </c>
      <c r="D1954" s="2" t="s">
        <v>12</v>
      </c>
      <c r="E1954" s="2" t="s">
        <v>224</v>
      </c>
      <c r="F1954" s="2" t="str">
        <f>HYPERLINK("http://www.12365auto.com/xcdg/20200226/419560.shtml","http://www.12365auto.com/xcdg/20200226/419560.shtml")</f>
        <v>http://www.12365auto.com/xcdg/20200226/419560.shtml</v>
      </c>
      <c r="G1954" s="2"/>
      <c r="H1954" s="2" t="s">
        <v>2888</v>
      </c>
      <c r="I1954" s="2" t="s">
        <v>15</v>
      </c>
      <c r="J1954" s="2" t="s">
        <v>12</v>
      </c>
      <c r="K1954" s="2" t="s">
        <v>2889</v>
      </c>
      <c r="L1954" s="2">
        <f t="shared" si="30"/>
        <v>150</v>
      </c>
    </row>
    <row r="1955" spans="1:12" ht="25" customHeight="1">
      <c r="A1955" s="2" t="s">
        <v>12</v>
      </c>
      <c r="B1955" s="2" t="str">
        <f>HYPERLINK("http://m.12365auto.com/xcdg/20200226/419560.shtml","新款福特F-150内饰外观曝光 还有混动版本")</f>
        <v>新款福特F-150内饰外观曝光 还有混动版本</v>
      </c>
      <c r="C1955" s="2" t="s">
        <v>13</v>
      </c>
      <c r="D1955" s="2" t="s">
        <v>12</v>
      </c>
      <c r="E1955" s="2"/>
      <c r="F1955" s="2" t="str">
        <f>HYPERLINK("http://m.12365auto.com/xcdg/20200226/419560.shtml","http://m.12365auto.com/xcdg/20200226/419560.shtml")</f>
        <v>http://m.12365auto.com/xcdg/20200226/419560.shtml</v>
      </c>
      <c r="G1955" s="2"/>
      <c r="H1955" s="2" t="s">
        <v>2890</v>
      </c>
      <c r="I1955" s="2" t="s">
        <v>19</v>
      </c>
      <c r="J1955" s="2" t="s">
        <v>249</v>
      </c>
      <c r="K1955" s="2" t="s">
        <v>2889</v>
      </c>
      <c r="L1955" s="2">
        <f t="shared" si="30"/>
        <v>150</v>
      </c>
    </row>
    <row r="1956" spans="1:12" ht="25" customHeight="1">
      <c r="A1956" s="2" t="s">
        <v>12</v>
      </c>
      <c r="B1956" s="2" t="str">
        <f>HYPERLINK("http://www.12365auto.com/zlts/20200226/448778.shtml","一汽大众探岳后备箱车漆表面有瑕疵")</f>
        <v>一汽大众探岳后备箱车漆表面有瑕疵</v>
      </c>
      <c r="C1956" s="2" t="s">
        <v>13</v>
      </c>
      <c r="D1956" s="2" t="s">
        <v>12</v>
      </c>
      <c r="E1956" s="2" t="s">
        <v>17</v>
      </c>
      <c r="F1956" s="2" t="str">
        <f>HYPERLINK("http://www.12365auto.com/zlts/20200226/448778.shtml","http://www.12365auto.com/zlts/20200226/448778.shtml")</f>
        <v>http://www.12365auto.com/zlts/20200226/448778.shtml</v>
      </c>
      <c r="G1956" s="2"/>
      <c r="H1956" s="2" t="s">
        <v>2891</v>
      </c>
      <c r="I1956" s="2" t="s">
        <v>19</v>
      </c>
      <c r="J1956" s="2" t="s">
        <v>12</v>
      </c>
      <c r="K1956" s="2" t="s">
        <v>2892</v>
      </c>
      <c r="L1956" s="2">
        <f t="shared" si="30"/>
        <v>150</v>
      </c>
    </row>
    <row r="1957" spans="1:12" ht="25" customHeight="1">
      <c r="A1957" s="2" t="s">
        <v>12</v>
      </c>
      <c r="B1957" s="2" t="str">
        <f>HYPERLINK("http://www.12365auto.com/xcdg/20200226/419559.shtml","高能纯电轿跑江淮iC5预售价15.5万元起")</f>
        <v>高能纯电轿跑江淮iC5预售价15.5万元起</v>
      </c>
      <c r="C1957" s="2" t="s">
        <v>13</v>
      </c>
      <c r="D1957" s="2" t="s">
        <v>12</v>
      </c>
      <c r="E1957" s="2" t="s">
        <v>245</v>
      </c>
      <c r="F1957" s="2" t="str">
        <f>HYPERLINK("http://www.12365auto.com/xcdg/20200226/419559.shtml","http://www.12365auto.com/xcdg/20200226/419559.shtml")</f>
        <v>http://www.12365auto.com/xcdg/20200226/419559.shtml</v>
      </c>
      <c r="G1957" s="2"/>
      <c r="H1957" s="2" t="s">
        <v>2893</v>
      </c>
      <c r="I1957" s="2" t="s">
        <v>19</v>
      </c>
      <c r="J1957" s="2" t="s">
        <v>12</v>
      </c>
      <c r="K1957" s="2" t="s">
        <v>2892</v>
      </c>
      <c r="L1957" s="2">
        <f t="shared" si="30"/>
        <v>150</v>
      </c>
    </row>
    <row r="1958" spans="1:12" ht="25" customHeight="1">
      <c r="A1958" s="2" t="s">
        <v>12</v>
      </c>
      <c r="B1958" s="2" t="str">
        <f>HYPERLINK("http://m.12365auto.com/xcdg/20200226/419559.shtml","高能纯电轿跑江淮iC5预售价15.5万元起")</f>
        <v>高能纯电轿跑江淮iC5预售价15.5万元起</v>
      </c>
      <c r="C1958" s="2" t="s">
        <v>13</v>
      </c>
      <c r="D1958" s="2" t="s">
        <v>12</v>
      </c>
      <c r="E1958" s="2"/>
      <c r="F1958" s="2" t="str">
        <f>HYPERLINK("http://m.12365auto.com/xcdg/20200226/419559.shtml","http://m.12365auto.com/xcdg/20200226/419559.shtml")</f>
        <v>http://m.12365auto.com/xcdg/20200226/419559.shtml</v>
      </c>
      <c r="G1958" s="2"/>
      <c r="H1958" s="2" t="s">
        <v>2894</v>
      </c>
      <c r="I1958" s="2" t="s">
        <v>19</v>
      </c>
      <c r="J1958" s="2" t="s">
        <v>12</v>
      </c>
      <c r="K1958" s="2" t="s">
        <v>2892</v>
      </c>
      <c r="L1958" s="2">
        <f t="shared" si="30"/>
        <v>150</v>
      </c>
    </row>
    <row r="1959" spans="1:12" ht="25" customHeight="1">
      <c r="A1959" s="2" t="s">
        <v>12</v>
      </c>
      <c r="B1959" s="2" t="str">
        <f>HYPERLINK("http://m.12365auto.com/xcdg/20200226/419565.shtml","购房看恒大 北京新能源中指标选BEIJING汽车")</f>
        <v>购房看恒大 北京新能源中指标选BEIJING汽车</v>
      </c>
      <c r="C1959" s="2" t="s">
        <v>13</v>
      </c>
      <c r="D1959" s="2" t="s">
        <v>12</v>
      </c>
      <c r="E1959" s="2"/>
      <c r="F1959" s="2" t="str">
        <f>HYPERLINK("http://m.12365auto.com/xcdg/20200226/419565.shtml","http://m.12365auto.com/xcdg/20200226/419565.shtml")</f>
        <v>http://m.12365auto.com/xcdg/20200226/419565.shtml</v>
      </c>
      <c r="G1959" s="2"/>
      <c r="H1959" s="2" t="s">
        <v>2895</v>
      </c>
      <c r="I1959" s="2" t="s">
        <v>19</v>
      </c>
      <c r="J1959" s="2" t="s">
        <v>12</v>
      </c>
      <c r="K1959" s="2" t="s">
        <v>2896</v>
      </c>
      <c r="L1959" s="2">
        <f t="shared" si="30"/>
        <v>150</v>
      </c>
    </row>
    <row r="1960" spans="1:12" ht="25" customHeight="1">
      <c r="A1960" s="2" t="s">
        <v>12</v>
      </c>
      <c r="B1960" s="2" t="str">
        <f>HYPERLINK("http://bbs.12365auto.com/postcontent.aspx?tID=195217","2020款新高尔夫来了")</f>
        <v>2020款新高尔夫来了</v>
      </c>
      <c r="C1960" s="2" t="s">
        <v>13</v>
      </c>
      <c r="D1960" s="2" t="s">
        <v>12</v>
      </c>
      <c r="E1960" s="2" t="s">
        <v>28</v>
      </c>
      <c r="F1960" s="2" t="str">
        <f>HYPERLINK("http://bbs.12365auto.com/postcontent.aspx?tID=195217","http://bbs.12365auto.com/postcontent.aspx?tID=195217")</f>
        <v>http://bbs.12365auto.com/postcontent.aspx?tID=195217</v>
      </c>
      <c r="G1960" s="2"/>
      <c r="H1960" s="2" t="s">
        <v>2897</v>
      </c>
      <c r="I1960" s="2" t="s">
        <v>15</v>
      </c>
      <c r="J1960" s="2" t="s">
        <v>2898</v>
      </c>
      <c r="K1960" s="2" t="s">
        <v>2899</v>
      </c>
      <c r="L1960" s="2">
        <f t="shared" si="30"/>
        <v>150</v>
      </c>
    </row>
    <row r="1961" spans="1:12" ht="25" customHeight="1">
      <c r="A1961" s="2" t="s">
        <v>12</v>
      </c>
      <c r="B1961" s="2" t="str">
        <f>HYPERLINK("http://bbs.12365auto.com/postcontent.aspx?tId=195217","2020款新高尔夫来了")</f>
        <v>2020款新高尔夫来了</v>
      </c>
      <c r="C1961" s="2" t="s">
        <v>13</v>
      </c>
      <c r="D1961" s="2" t="s">
        <v>12</v>
      </c>
      <c r="E1961" s="2" t="s">
        <v>27</v>
      </c>
      <c r="F1961" s="2" t="str">
        <f>HYPERLINK("http://bbs.12365auto.com/postcontent.aspx?tId=195217","http://bbs.12365auto.com/postcontent.aspx?tId=195217")</f>
        <v>http://bbs.12365auto.com/postcontent.aspx?tId=195217</v>
      </c>
      <c r="G1961" s="2"/>
      <c r="H1961" s="2" t="s">
        <v>2900</v>
      </c>
      <c r="I1961" s="2" t="s">
        <v>15</v>
      </c>
      <c r="J1961" s="2" t="s">
        <v>2898</v>
      </c>
      <c r="K1961" s="2" t="s">
        <v>2899</v>
      </c>
      <c r="L1961" s="2">
        <f t="shared" si="30"/>
        <v>150</v>
      </c>
    </row>
    <row r="1962" spans="1:12" ht="25" customHeight="1">
      <c r="A1962" s="2" t="s">
        <v>12</v>
      </c>
      <c r="B1962" s="2" t="str">
        <f>HYPERLINK("http://m.12365auto.com/bbs/postcontent.aspx?tID=195217","2020款新高尔夫来了")</f>
        <v>2020款新高尔夫来了</v>
      </c>
      <c r="C1962" s="2" t="s">
        <v>13</v>
      </c>
      <c r="D1962" s="2" t="s">
        <v>23</v>
      </c>
      <c r="E1962" s="2"/>
      <c r="F1962" s="2" t="str">
        <f>HYPERLINK("http://m.12365auto.com/bbs/postcontent.aspx?tID=195217","http://m.12365auto.com/bbs/postcontent.aspx?tID=195217")</f>
        <v>http://m.12365auto.com/bbs/postcontent.aspx?tID=195217</v>
      </c>
      <c r="G1962" s="2"/>
      <c r="H1962" s="2" t="s">
        <v>2900</v>
      </c>
      <c r="I1962" s="2" t="s">
        <v>15</v>
      </c>
      <c r="J1962" s="2" t="s">
        <v>2898</v>
      </c>
      <c r="K1962" s="2" t="s">
        <v>2899</v>
      </c>
      <c r="L1962" s="2">
        <f t="shared" si="30"/>
        <v>150</v>
      </c>
    </row>
    <row r="1963" spans="1:12" ht="25" customHeight="1">
      <c r="A1963" s="2" t="s">
        <v>12</v>
      </c>
      <c r="B1963" s="2" t="str">
        <f>HYPERLINK("http://m.12365auto.com/xcdg/20200226/419558.shtml","标配“N95口罩”的吉利ICON怎么选？")</f>
        <v>标配“N95口罩”的吉利ICON怎么选？</v>
      </c>
      <c r="C1963" s="2" t="s">
        <v>13</v>
      </c>
      <c r="D1963" s="2" t="s">
        <v>12</v>
      </c>
      <c r="E1963" s="2"/>
      <c r="F1963" s="2" t="str">
        <f>HYPERLINK("http://m.12365auto.com/xcdg/20200226/419558.shtml","http://m.12365auto.com/xcdg/20200226/419558.shtml")</f>
        <v>http://m.12365auto.com/xcdg/20200226/419558.shtml</v>
      </c>
      <c r="G1963" s="2"/>
      <c r="H1963" s="2" t="s">
        <v>2901</v>
      </c>
      <c r="I1963" s="2" t="s">
        <v>19</v>
      </c>
      <c r="J1963" s="2" t="s">
        <v>1257</v>
      </c>
      <c r="K1963" s="2" t="s">
        <v>2899</v>
      </c>
      <c r="L1963" s="2">
        <f t="shared" si="30"/>
        <v>150</v>
      </c>
    </row>
    <row r="1964" spans="1:12" ht="25" customHeight="1">
      <c r="A1964" s="2" t="s">
        <v>12</v>
      </c>
      <c r="B1964" s="2" t="str">
        <f>HYPERLINK("http://bbs.12365auto.com/postcontent.aspx?tID=195216","输出310马力 全新Cupra LEON官图发布")</f>
        <v>输出310马力 全新Cupra LEON官图发布</v>
      </c>
      <c r="C1964" s="2" t="s">
        <v>13</v>
      </c>
      <c r="D1964" s="2" t="s">
        <v>12</v>
      </c>
      <c r="E1964" s="2" t="s">
        <v>28</v>
      </c>
      <c r="F1964" s="2" t="str">
        <f>HYPERLINK("http://bbs.12365auto.com/postcontent.aspx?tID=195216","http://bbs.12365auto.com/postcontent.aspx?tID=195216")</f>
        <v>http://bbs.12365auto.com/postcontent.aspx?tID=195216</v>
      </c>
      <c r="G1964" s="2"/>
      <c r="H1964" s="2" t="s">
        <v>2902</v>
      </c>
      <c r="I1964" s="2" t="s">
        <v>15</v>
      </c>
      <c r="J1964" s="2" t="s">
        <v>2898</v>
      </c>
      <c r="K1964" s="2" t="s">
        <v>2903</v>
      </c>
      <c r="L1964" s="2">
        <f t="shared" si="30"/>
        <v>150</v>
      </c>
    </row>
    <row r="1965" spans="1:12" ht="25" customHeight="1">
      <c r="A1965" s="2" t="s">
        <v>12</v>
      </c>
      <c r="B1965" s="2" t="str">
        <f>HYPERLINK("http://bbs.12365auto.com/postcontent.aspx?tId=195216","输出310马力 全新Cupra LEON官图发布")</f>
        <v>输出310马力 全新Cupra LEON官图发布</v>
      </c>
      <c r="C1965" s="2" t="s">
        <v>13</v>
      </c>
      <c r="D1965" s="2" t="s">
        <v>12</v>
      </c>
      <c r="E1965" s="2" t="s">
        <v>27</v>
      </c>
      <c r="F1965" s="2" t="str">
        <f>HYPERLINK("http://bbs.12365auto.com/postcontent.aspx?tId=195216","http://bbs.12365auto.com/postcontent.aspx?tId=195216")</f>
        <v>http://bbs.12365auto.com/postcontent.aspx?tId=195216</v>
      </c>
      <c r="G1965" s="2"/>
      <c r="H1965" s="2" t="s">
        <v>2904</v>
      </c>
      <c r="I1965" s="2" t="s">
        <v>15</v>
      </c>
      <c r="J1965" s="2" t="s">
        <v>2898</v>
      </c>
      <c r="K1965" s="2" t="s">
        <v>2903</v>
      </c>
      <c r="L1965" s="2">
        <f t="shared" si="30"/>
        <v>150</v>
      </c>
    </row>
    <row r="1966" spans="1:12" ht="25" customHeight="1">
      <c r="A1966" s="2" t="s">
        <v>12</v>
      </c>
      <c r="B1966" s="2" t="str">
        <f>HYPERLINK("http://m.12365auto.com/bbs/postcontent.aspx?tID=195216","输出310马力 全新Cupra LEON官图发布")</f>
        <v>输出310马力 全新Cupra LEON官图发布</v>
      </c>
      <c r="C1966" s="2" t="s">
        <v>13</v>
      </c>
      <c r="D1966" s="2" t="s">
        <v>23</v>
      </c>
      <c r="E1966" s="2"/>
      <c r="F1966" s="2" t="str">
        <f>HYPERLINK("http://m.12365auto.com/bbs/postcontent.aspx?tID=195216","http://m.12365auto.com/bbs/postcontent.aspx?tID=195216")</f>
        <v>http://m.12365auto.com/bbs/postcontent.aspx?tID=195216</v>
      </c>
      <c r="G1966" s="2"/>
      <c r="H1966" s="2" t="s">
        <v>2904</v>
      </c>
      <c r="I1966" s="2" t="s">
        <v>15</v>
      </c>
      <c r="J1966" s="2" t="s">
        <v>2898</v>
      </c>
      <c r="K1966" s="2" t="s">
        <v>2903</v>
      </c>
      <c r="L1966" s="2">
        <f t="shared" si="30"/>
        <v>150</v>
      </c>
    </row>
    <row r="1967" spans="1:12" ht="25" customHeight="1">
      <c r="A1967" s="2" t="s">
        <v>12</v>
      </c>
      <c r="B1967" s="2" t="str">
        <f>HYPERLINK("http://bbs.12365auto.com/postcontent.aspx?tID=195215","电动“Smart”的雏形？雷诺Twingo ZE纯电版发布")</f>
        <v>电动“Smart”的雏形？雷诺Twingo ZE纯电版发布</v>
      </c>
      <c r="C1967" s="2" t="s">
        <v>13</v>
      </c>
      <c r="D1967" s="2" t="s">
        <v>12</v>
      </c>
      <c r="E1967" s="2" t="s">
        <v>28</v>
      </c>
      <c r="F1967" s="2" t="str">
        <f>HYPERLINK("http://bbs.12365auto.com/postcontent.aspx?tID=195215","http://bbs.12365auto.com/postcontent.aspx?tID=195215")</f>
        <v>http://bbs.12365auto.com/postcontent.aspx?tID=195215</v>
      </c>
      <c r="G1967" s="2"/>
      <c r="H1967" s="2" t="s">
        <v>2905</v>
      </c>
      <c r="I1967" s="2" t="s">
        <v>15</v>
      </c>
      <c r="J1967" s="2" t="s">
        <v>2898</v>
      </c>
      <c r="K1967" s="2" t="s">
        <v>2906</v>
      </c>
      <c r="L1967" s="2">
        <f t="shared" si="30"/>
        <v>150</v>
      </c>
    </row>
    <row r="1968" spans="1:12" ht="25" customHeight="1">
      <c r="A1968" s="2" t="s">
        <v>12</v>
      </c>
      <c r="B1968" s="2" t="str">
        <f>HYPERLINK("http://bbs.12365auto.com/postcontent.aspx?tId=195214","搭载2.0T发动机 长城炮售价9.78万起")</f>
        <v>搭载2.0T发动机 长城炮售价9.78万起</v>
      </c>
      <c r="C1968" s="2" t="s">
        <v>13</v>
      </c>
      <c r="D1968" s="2" t="s">
        <v>12</v>
      </c>
      <c r="E1968" s="2" t="s">
        <v>27</v>
      </c>
      <c r="F1968" s="2" t="str">
        <f>HYPERLINK("http://bbs.12365auto.com/postcontent.aspx?tId=195214","http://bbs.12365auto.com/postcontent.aspx?tId=195214")</f>
        <v>http://bbs.12365auto.com/postcontent.aspx?tId=195214</v>
      </c>
      <c r="G1968" s="2"/>
      <c r="H1968" s="2" t="s">
        <v>2907</v>
      </c>
      <c r="I1968" s="2" t="s">
        <v>15</v>
      </c>
      <c r="J1968" s="2" t="s">
        <v>2898</v>
      </c>
      <c r="K1968" s="2" t="s">
        <v>2906</v>
      </c>
      <c r="L1968" s="2">
        <f t="shared" si="30"/>
        <v>150</v>
      </c>
    </row>
    <row r="1969" spans="1:12" ht="25" customHeight="1">
      <c r="A1969" s="2" t="s">
        <v>12</v>
      </c>
      <c r="B1969" s="2" t="str">
        <f>HYPERLINK("http://bbs.12365auto.com/postcontent.aspx?tId=195215","电动“Smart”的雏形？雷诺Twingo ZE纯电版发布")</f>
        <v>电动“Smart”的雏形？雷诺Twingo ZE纯电版发布</v>
      </c>
      <c r="C1969" s="2" t="s">
        <v>13</v>
      </c>
      <c r="D1969" s="2" t="s">
        <v>12</v>
      </c>
      <c r="E1969" s="2" t="s">
        <v>27</v>
      </c>
      <c r="F1969" s="2" t="str">
        <f>HYPERLINK("http://bbs.12365auto.com/postcontent.aspx?tId=195215","http://bbs.12365auto.com/postcontent.aspx?tId=195215")</f>
        <v>http://bbs.12365auto.com/postcontent.aspx?tId=195215</v>
      </c>
      <c r="G1969" s="2"/>
      <c r="H1969" s="2" t="s">
        <v>2908</v>
      </c>
      <c r="I1969" s="2" t="s">
        <v>15</v>
      </c>
      <c r="J1969" s="2" t="s">
        <v>2898</v>
      </c>
      <c r="K1969" s="2" t="s">
        <v>2906</v>
      </c>
      <c r="L1969" s="2">
        <f t="shared" si="30"/>
        <v>150</v>
      </c>
    </row>
    <row r="1970" spans="1:12" ht="25" customHeight="1">
      <c r="A1970" s="2" t="s">
        <v>12</v>
      </c>
      <c r="B1970" s="2" t="str">
        <f>HYPERLINK("http://www.12365auto.com/xcdg/20200226/419557.shtml","奥迪国产新A4L实拍 两种外观-上半年开卖")</f>
        <v>奥迪国产新A4L实拍 两种外观-上半年开卖</v>
      </c>
      <c r="C1970" s="2" t="s">
        <v>13</v>
      </c>
      <c r="D1970" s="2" t="s">
        <v>12</v>
      </c>
      <c r="E1970" s="2" t="s">
        <v>245</v>
      </c>
      <c r="F1970" s="2" t="str">
        <f>HYPERLINK("http://www.12365auto.com/xcdg/20200226/419557.shtml","http://www.12365auto.com/xcdg/20200226/419557.shtml")</f>
        <v>http://www.12365auto.com/xcdg/20200226/419557.shtml</v>
      </c>
      <c r="G1970" s="2"/>
      <c r="H1970" s="2" t="s">
        <v>2909</v>
      </c>
      <c r="I1970" s="2" t="s">
        <v>19</v>
      </c>
      <c r="J1970" s="2" t="s">
        <v>12</v>
      </c>
      <c r="K1970" s="2" t="s">
        <v>2906</v>
      </c>
      <c r="L1970" s="2">
        <f t="shared" si="30"/>
        <v>150</v>
      </c>
    </row>
    <row r="1971" spans="1:12" ht="25" customHeight="1">
      <c r="A1971" s="2" t="s">
        <v>12</v>
      </c>
      <c r="B1971" s="2" t="str">
        <f>HYPERLINK("http://m.12365auto.com/bbs/postcontent.aspx?tID=195215","电动“Smart”的雏形？雷诺Twingo ZE纯电版发布")</f>
        <v>电动“Smart”的雏形？雷诺Twingo ZE纯电版发布</v>
      </c>
      <c r="C1971" s="2" t="s">
        <v>13</v>
      </c>
      <c r="D1971" s="2" t="s">
        <v>23</v>
      </c>
      <c r="E1971" s="2"/>
      <c r="F1971" s="2" t="str">
        <f>HYPERLINK("http://m.12365auto.com/bbs/postcontent.aspx?tID=195215","http://m.12365auto.com/bbs/postcontent.aspx?tID=195215")</f>
        <v>http://m.12365auto.com/bbs/postcontent.aspx?tID=195215</v>
      </c>
      <c r="G1971" s="2"/>
      <c r="H1971" s="2" t="s">
        <v>2908</v>
      </c>
      <c r="I1971" s="2" t="s">
        <v>15</v>
      </c>
      <c r="J1971" s="2" t="s">
        <v>2898</v>
      </c>
      <c r="K1971" s="2" t="s">
        <v>2906</v>
      </c>
      <c r="L1971" s="2">
        <f t="shared" si="30"/>
        <v>150</v>
      </c>
    </row>
    <row r="1972" spans="1:12" ht="25" customHeight="1">
      <c r="A1972" s="2" t="s">
        <v>12</v>
      </c>
      <c r="B1972" s="2" t="str">
        <f>HYPERLINK("http://m.12365auto.com/bbs/postcontent.aspx?tID=195214","搭载2.0T发动机 长城炮售价9.78万起")</f>
        <v>搭载2.0T发动机 长城炮售价9.78万起</v>
      </c>
      <c r="C1972" s="2" t="s">
        <v>13</v>
      </c>
      <c r="D1972" s="2" t="s">
        <v>23</v>
      </c>
      <c r="E1972" s="2"/>
      <c r="F1972" s="2" t="str">
        <f>HYPERLINK("http://m.12365auto.com/bbs/postcontent.aspx?tID=195214","http://m.12365auto.com/bbs/postcontent.aspx?tID=195214")</f>
        <v>http://m.12365auto.com/bbs/postcontent.aspx?tID=195214</v>
      </c>
      <c r="G1972" s="2"/>
      <c r="H1972" s="2" t="s">
        <v>2907</v>
      </c>
      <c r="I1972" s="2" t="s">
        <v>15</v>
      </c>
      <c r="J1972" s="2" t="s">
        <v>2898</v>
      </c>
      <c r="K1972" s="2" t="s">
        <v>2906</v>
      </c>
      <c r="L1972" s="2">
        <f t="shared" si="30"/>
        <v>150</v>
      </c>
    </row>
    <row r="1973" spans="1:12" ht="25" customHeight="1">
      <c r="A1973" s="2" t="s">
        <v>12</v>
      </c>
      <c r="B1973" s="2" t="str">
        <f>HYPERLINK("http://m.12365auto.com/xcdg/20200226/419557.shtml","奥迪国产新A4L实拍 两种外观-上半年开卖")</f>
        <v>奥迪国产新A4L实拍 两种外观-上半年开卖</v>
      </c>
      <c r="C1973" s="2" t="s">
        <v>13</v>
      </c>
      <c r="D1973" s="2" t="s">
        <v>12</v>
      </c>
      <c r="E1973" s="2"/>
      <c r="F1973" s="2" t="str">
        <f>HYPERLINK("http://m.12365auto.com/xcdg/20200226/419557.shtml","http://m.12365auto.com/xcdg/20200226/419557.shtml")</f>
        <v>http://m.12365auto.com/xcdg/20200226/419557.shtml</v>
      </c>
      <c r="G1973" s="2"/>
      <c r="H1973" s="2" t="s">
        <v>2910</v>
      </c>
      <c r="I1973" s="2" t="s">
        <v>19</v>
      </c>
      <c r="J1973" s="2" t="s">
        <v>718</v>
      </c>
      <c r="K1973" s="2" t="s">
        <v>2906</v>
      </c>
      <c r="L1973" s="2">
        <f t="shared" si="30"/>
        <v>150</v>
      </c>
    </row>
    <row r="1974" spans="1:12" ht="25" customHeight="1">
      <c r="A1974" s="2" t="s">
        <v>12</v>
      </c>
      <c r="B1974" s="2" t="str">
        <f>HYPERLINK("http://bbs.12365auto.com/postcontent.aspx?tID=195214","搭载2.0T发动机 长城炮售价9.78万起")</f>
        <v>搭载2.0T发动机 长城炮售价9.78万起</v>
      </c>
      <c r="C1974" s="2" t="s">
        <v>13</v>
      </c>
      <c r="D1974" s="2" t="s">
        <v>12</v>
      </c>
      <c r="E1974" s="2" t="s">
        <v>28</v>
      </c>
      <c r="F1974" s="2" t="str">
        <f>HYPERLINK("http://bbs.12365auto.com/postcontent.aspx?tID=195214","http://bbs.12365auto.com/postcontent.aspx?tID=195214")</f>
        <v>http://bbs.12365auto.com/postcontent.aspx?tID=195214</v>
      </c>
      <c r="G1974" s="2"/>
      <c r="H1974" s="2" t="s">
        <v>2911</v>
      </c>
      <c r="I1974" s="2" t="s">
        <v>15</v>
      </c>
      <c r="J1974" s="2" t="s">
        <v>2898</v>
      </c>
      <c r="K1974" s="2" t="s">
        <v>2906</v>
      </c>
      <c r="L1974" s="2">
        <f t="shared" si="30"/>
        <v>150</v>
      </c>
    </row>
    <row r="1975" spans="1:12" ht="25" customHeight="1">
      <c r="A1975" s="2" t="s">
        <v>12</v>
      </c>
      <c r="B1975" s="2" t="str">
        <f>HYPERLINK("http://bbs.12365auto.com/postcontent.aspx?tId=195213","2020年这几款日韩系新车即将上市")</f>
        <v>2020年这几款日韩系新车即将上市</v>
      </c>
      <c r="C1975" s="2" t="s">
        <v>13</v>
      </c>
      <c r="D1975" s="2" t="s">
        <v>12</v>
      </c>
      <c r="E1975" s="2" t="s">
        <v>27</v>
      </c>
      <c r="F1975" s="2" t="str">
        <f>HYPERLINK("http://bbs.12365auto.com/postcontent.aspx?tId=195213","http://bbs.12365auto.com/postcontent.aspx?tId=195213")</f>
        <v>http://bbs.12365auto.com/postcontent.aspx?tId=195213</v>
      </c>
      <c r="G1975" s="2"/>
      <c r="H1975" s="2" t="s">
        <v>2912</v>
      </c>
      <c r="I1975" s="2" t="s">
        <v>15</v>
      </c>
      <c r="J1975" s="2" t="s">
        <v>2898</v>
      </c>
      <c r="K1975" s="2" t="s">
        <v>2913</v>
      </c>
      <c r="L1975" s="2">
        <f t="shared" si="30"/>
        <v>150</v>
      </c>
    </row>
    <row r="1976" spans="1:12" ht="25" customHeight="1">
      <c r="A1976" s="2" t="s">
        <v>12</v>
      </c>
      <c r="B1976" s="2" t="str">
        <f>HYPERLINK("http://m.12365auto.com/bbs/postcontent.aspx?tID=195213","2020年这几款日韩系新车即将上市")</f>
        <v>2020年这几款日韩系新车即将上市</v>
      </c>
      <c r="C1976" s="2" t="s">
        <v>13</v>
      </c>
      <c r="D1976" s="2" t="s">
        <v>23</v>
      </c>
      <c r="E1976" s="2"/>
      <c r="F1976" s="2" t="str">
        <f>HYPERLINK("http://m.12365auto.com/bbs/postcontent.aspx?tID=195213","http://m.12365auto.com/bbs/postcontent.aspx?tID=195213")</f>
        <v>http://m.12365auto.com/bbs/postcontent.aspx?tID=195213</v>
      </c>
      <c r="G1976" s="2"/>
      <c r="H1976" s="2" t="s">
        <v>2912</v>
      </c>
      <c r="I1976" s="2" t="s">
        <v>15</v>
      </c>
      <c r="J1976" s="2" t="s">
        <v>2898</v>
      </c>
      <c r="K1976" s="2" t="s">
        <v>2913</v>
      </c>
      <c r="L1976" s="2">
        <f t="shared" si="30"/>
        <v>150</v>
      </c>
    </row>
    <row r="1977" spans="1:12" ht="25" customHeight="1">
      <c r="A1977" s="2" t="s">
        <v>12</v>
      </c>
      <c r="B1977" s="2" t="str">
        <f>HYPERLINK("http://bbs.12365auto.com/postcontent.aspx?tID=195213","2020年这几款日韩系新车即将上市")</f>
        <v>2020年这几款日韩系新车即将上市</v>
      </c>
      <c r="C1977" s="2" t="s">
        <v>13</v>
      </c>
      <c r="D1977" s="2" t="s">
        <v>12</v>
      </c>
      <c r="E1977" s="2" t="s">
        <v>28</v>
      </c>
      <c r="F1977" s="2" t="str">
        <f>HYPERLINK("http://bbs.12365auto.com/postcontent.aspx?tID=195213","http://bbs.12365auto.com/postcontent.aspx?tID=195213")</f>
        <v>http://bbs.12365auto.com/postcontent.aspx?tID=195213</v>
      </c>
      <c r="G1977" s="2"/>
      <c r="H1977" s="2" t="s">
        <v>2914</v>
      </c>
      <c r="I1977" s="2" t="s">
        <v>15</v>
      </c>
      <c r="J1977" s="2" t="s">
        <v>2898</v>
      </c>
      <c r="K1977" s="2" t="s">
        <v>2913</v>
      </c>
      <c r="L1977" s="2">
        <f t="shared" si="30"/>
        <v>150</v>
      </c>
    </row>
    <row r="1978" spans="1:12" ht="25" customHeight="1">
      <c r="A1978" s="2" t="s">
        <v>12</v>
      </c>
      <c r="B1978" s="2" t="str">
        <f>HYPERLINK("http://www.12365auto.com/xcdg/20200226/419556.shtml","奥迪改款A4L疑似售价曝光 30.8万起")</f>
        <v>奥迪改款A4L疑似售价曝光 30.8万起</v>
      </c>
      <c r="C1978" s="2" t="s">
        <v>13</v>
      </c>
      <c r="D1978" s="2" t="s">
        <v>12</v>
      </c>
      <c r="E1978" s="2" t="s">
        <v>216</v>
      </c>
      <c r="F1978" s="2" t="str">
        <f>HYPERLINK("http://www.12365auto.com/xcdg/20200226/419556.shtml","http://www.12365auto.com/xcdg/20200226/419556.shtml")</f>
        <v>http://www.12365auto.com/xcdg/20200226/419556.shtml</v>
      </c>
      <c r="G1978" s="2"/>
      <c r="H1978" s="2" t="s">
        <v>2915</v>
      </c>
      <c r="I1978" s="2" t="s">
        <v>15</v>
      </c>
      <c r="J1978" s="2" t="s">
        <v>12</v>
      </c>
      <c r="K1978" s="2" t="s">
        <v>2916</v>
      </c>
      <c r="L1978" s="2">
        <f t="shared" si="30"/>
        <v>150</v>
      </c>
    </row>
    <row r="1979" spans="1:12" ht="25" customHeight="1">
      <c r="A1979" s="2" t="s">
        <v>12</v>
      </c>
      <c r="B1979" s="2" t="str">
        <f>HYPERLINK("http://bbs.12365auto.com/postcontent.aspx?tId=195211","宝马全新5系曝光 正式告别天使眼")</f>
        <v>宝马全新5系曝光 正式告别天使眼</v>
      </c>
      <c r="C1979" s="2" t="s">
        <v>13</v>
      </c>
      <c r="D1979" s="2" t="s">
        <v>12</v>
      </c>
      <c r="E1979" s="2" t="s">
        <v>27</v>
      </c>
      <c r="F1979" s="2" t="str">
        <f>HYPERLINK("http://bbs.12365auto.com/postcontent.aspx?tId=195211","http://bbs.12365auto.com/postcontent.aspx?tId=195211")</f>
        <v>http://bbs.12365auto.com/postcontent.aspx?tId=195211</v>
      </c>
      <c r="G1979" s="2"/>
      <c r="H1979" s="2" t="s">
        <v>2917</v>
      </c>
      <c r="I1979" s="2" t="s">
        <v>15</v>
      </c>
      <c r="J1979" s="2" t="s">
        <v>2898</v>
      </c>
      <c r="K1979" s="2" t="s">
        <v>2916</v>
      </c>
      <c r="L1979" s="2">
        <f t="shared" si="30"/>
        <v>150</v>
      </c>
    </row>
    <row r="1980" spans="1:12" ht="25" customHeight="1">
      <c r="A1980" s="2" t="s">
        <v>12</v>
      </c>
      <c r="B1980" s="2" t="str">
        <f>HYPERLINK("http://bbs.12365auto.com/postcontent.aspx?tID=195211","宝马全新5系曝光 正式告别天使眼")</f>
        <v>宝马全新5系曝光 正式告别天使眼</v>
      </c>
      <c r="C1980" s="2" t="s">
        <v>13</v>
      </c>
      <c r="D1980" s="2" t="s">
        <v>12</v>
      </c>
      <c r="E1980" s="2" t="s">
        <v>28</v>
      </c>
      <c r="F1980" s="2" t="str">
        <f>HYPERLINK("http://bbs.12365auto.com/postcontent.aspx?tID=195211","http://bbs.12365auto.com/postcontent.aspx?tID=195211")</f>
        <v>http://bbs.12365auto.com/postcontent.aspx?tID=195211</v>
      </c>
      <c r="G1980" s="2"/>
      <c r="H1980" s="2" t="s">
        <v>2918</v>
      </c>
      <c r="I1980" s="2" t="s">
        <v>15</v>
      </c>
      <c r="J1980" s="2" t="s">
        <v>2898</v>
      </c>
      <c r="K1980" s="2" t="s">
        <v>2916</v>
      </c>
      <c r="L1980" s="2">
        <f t="shared" si="30"/>
        <v>150</v>
      </c>
    </row>
    <row r="1981" spans="1:12" ht="25" customHeight="1">
      <c r="A1981" s="2" t="s">
        <v>12</v>
      </c>
      <c r="B1981" s="2" t="str">
        <f>HYPERLINK("http://m.12365auto.com/bbs/postcontent.aspx?tID=195211","宝马全新5系曝光 正式告别天使眼")</f>
        <v>宝马全新5系曝光 正式告别天使眼</v>
      </c>
      <c r="C1981" s="2" t="s">
        <v>13</v>
      </c>
      <c r="D1981" s="2" t="s">
        <v>23</v>
      </c>
      <c r="E1981" s="2"/>
      <c r="F1981" s="2" t="str">
        <f>HYPERLINK("http://m.12365auto.com/bbs/postcontent.aspx?tID=195211","http://m.12365auto.com/bbs/postcontent.aspx?tID=195211")</f>
        <v>http://m.12365auto.com/bbs/postcontent.aspx?tID=195211</v>
      </c>
      <c r="G1981" s="2"/>
      <c r="H1981" s="2" t="s">
        <v>2917</v>
      </c>
      <c r="I1981" s="2" t="s">
        <v>15</v>
      </c>
      <c r="J1981" s="2" t="s">
        <v>2898</v>
      </c>
      <c r="K1981" s="2" t="s">
        <v>2916</v>
      </c>
      <c r="L1981" s="2">
        <f t="shared" si="30"/>
        <v>150</v>
      </c>
    </row>
    <row r="1982" spans="1:12" ht="25" customHeight="1">
      <c r="A1982" s="2" t="s">
        <v>12</v>
      </c>
      <c r="B1982" s="2" t="str">
        <f>HYPERLINK("http://m.12365auto.com/xcdg/20200226/419556.shtml","奥迪改款A4L疑似售价曝光 30.8万起")</f>
        <v>奥迪改款A4L疑似售价曝光 30.8万起</v>
      </c>
      <c r="C1982" s="2" t="s">
        <v>13</v>
      </c>
      <c r="D1982" s="2" t="s">
        <v>12</v>
      </c>
      <c r="E1982" s="2"/>
      <c r="F1982" s="2" t="str">
        <f>HYPERLINK("http://m.12365auto.com/xcdg/20200226/419556.shtml","http://m.12365auto.com/xcdg/20200226/419556.shtml")</f>
        <v>http://m.12365auto.com/xcdg/20200226/419556.shtml</v>
      </c>
      <c r="G1982" s="2"/>
      <c r="H1982" s="2" t="s">
        <v>2919</v>
      </c>
      <c r="I1982" s="2" t="s">
        <v>19</v>
      </c>
      <c r="J1982" s="2" t="s">
        <v>718</v>
      </c>
      <c r="K1982" s="2" t="s">
        <v>2916</v>
      </c>
      <c r="L1982" s="2">
        <f t="shared" si="30"/>
        <v>150</v>
      </c>
    </row>
    <row r="1983" spans="1:12" ht="25" customHeight="1">
      <c r="A1983" s="2" t="s">
        <v>12</v>
      </c>
      <c r="B1983" s="2" t="str">
        <f>HYPERLINK("http://www.12365auto.com/zlts/20200226/448775.shtml","吉利博越转向异响 刹车异响 左前轮异响")</f>
        <v>吉利博越转向异响 刹车异响 左前轮异响</v>
      </c>
      <c r="C1983" s="2" t="s">
        <v>13</v>
      </c>
      <c r="D1983" s="2" t="s">
        <v>12</v>
      </c>
      <c r="E1983" s="2" t="s">
        <v>17</v>
      </c>
      <c r="F1983" s="2" t="str">
        <f>HYPERLINK("http://www.12365auto.com/zlts/20200226/448775.shtml","http://www.12365auto.com/zlts/20200226/448775.shtml")</f>
        <v>http://www.12365auto.com/zlts/20200226/448775.shtml</v>
      </c>
      <c r="G1983" s="2"/>
      <c r="H1983" s="2" t="s">
        <v>2920</v>
      </c>
      <c r="I1983" s="2" t="s">
        <v>19</v>
      </c>
      <c r="J1983" s="2" t="s">
        <v>12</v>
      </c>
      <c r="K1983" s="2" t="s">
        <v>2921</v>
      </c>
      <c r="L1983" s="2">
        <f t="shared" si="30"/>
        <v>150</v>
      </c>
    </row>
    <row r="1984" spans="1:12" ht="25" customHeight="1">
      <c r="A1984" s="2" t="s">
        <v>12</v>
      </c>
      <c r="B1984" s="2" t="str">
        <f>HYPERLINK("http://bbs.12365auto.com/postcontent.aspx?tID=195210","30万元预算买什么车？这五款车型很有性价比")</f>
        <v>30万元预算买什么车？这五款车型很有性价比</v>
      </c>
      <c r="C1984" s="2" t="s">
        <v>13</v>
      </c>
      <c r="D1984" s="2" t="s">
        <v>12</v>
      </c>
      <c r="E1984" s="2" t="s">
        <v>214</v>
      </c>
      <c r="F1984" s="2" t="str">
        <f>HYPERLINK("http://bbs.12365auto.com/postcontent.aspx?tID=195210","http://bbs.12365auto.com/postcontent.aspx?tID=195210")</f>
        <v>http://bbs.12365auto.com/postcontent.aspx?tID=195210</v>
      </c>
      <c r="G1984" s="2"/>
      <c r="H1984" s="2" t="s">
        <v>2922</v>
      </c>
      <c r="I1984" s="2" t="s">
        <v>15</v>
      </c>
      <c r="J1984" s="2" t="s">
        <v>1790</v>
      </c>
      <c r="K1984" s="2" t="s">
        <v>2923</v>
      </c>
      <c r="L1984" s="2">
        <f t="shared" si="30"/>
        <v>150</v>
      </c>
    </row>
    <row r="1985" spans="1:12" ht="25" customHeight="1">
      <c r="A1985" s="2" t="s">
        <v>12</v>
      </c>
      <c r="B1985" s="2" t="str">
        <f>HYPERLINK("http://m.12365auto.com/bbs/postcontent.aspx?tID=195210","30万元预算买什么车？这五款车型很有性价比")</f>
        <v>30万元预算买什么车？这五款车型很有性价比</v>
      </c>
      <c r="C1985" s="2" t="s">
        <v>13</v>
      </c>
      <c r="D1985" s="2" t="s">
        <v>23</v>
      </c>
      <c r="E1985" s="2"/>
      <c r="F1985" s="2" t="str">
        <f>HYPERLINK("http://m.12365auto.com/bbs/postcontent.aspx?tID=195210","http://m.12365auto.com/bbs/postcontent.aspx?tID=195210")</f>
        <v>http://m.12365auto.com/bbs/postcontent.aspx?tID=195210</v>
      </c>
      <c r="G1985" s="2"/>
      <c r="H1985" s="2" t="s">
        <v>2924</v>
      </c>
      <c r="I1985" s="2" t="s">
        <v>15</v>
      </c>
      <c r="J1985" s="2" t="s">
        <v>1790</v>
      </c>
      <c r="K1985" s="2" t="s">
        <v>2923</v>
      </c>
      <c r="L1985" s="2">
        <f t="shared" si="30"/>
        <v>150</v>
      </c>
    </row>
    <row r="1986" spans="1:12" ht="25" customHeight="1">
      <c r="A1986" s="2" t="s">
        <v>12</v>
      </c>
      <c r="B1986" s="2" t="str">
        <f>HYPERLINK("http://bbs.12365auto.com/postcontent.aspx?tId=195210","30万元预算买什么车？这五款车型很有性价比")</f>
        <v>30万元预算买什么车？这五款车型很有性价比</v>
      </c>
      <c r="C1986" s="2" t="s">
        <v>13</v>
      </c>
      <c r="D1986" s="2" t="s">
        <v>12</v>
      </c>
      <c r="E1986" s="2" t="s">
        <v>210</v>
      </c>
      <c r="F1986" s="2" t="str">
        <f>HYPERLINK("http://bbs.12365auto.com/postcontent.aspx?tId=195210","http://bbs.12365auto.com/postcontent.aspx?tId=195210")</f>
        <v>http://bbs.12365auto.com/postcontent.aspx?tId=195210</v>
      </c>
      <c r="G1986" s="2"/>
      <c r="H1986" s="2" t="s">
        <v>2924</v>
      </c>
      <c r="I1986" s="2" t="s">
        <v>15</v>
      </c>
      <c r="J1986" s="2" t="s">
        <v>1790</v>
      </c>
      <c r="K1986" s="2" t="s">
        <v>2923</v>
      </c>
      <c r="L1986" s="2">
        <f t="shared" si="30"/>
        <v>150</v>
      </c>
    </row>
    <row r="1987" spans="1:12" ht="25" customHeight="1">
      <c r="A1987" s="2" t="s">
        <v>12</v>
      </c>
      <c r="B1987" s="2" t="str">
        <f>HYPERLINK("http://www.12365auto.com/news/20200226/419555.shtml","蔚来将转A股上市 目标营收增20倍-达1200亿")</f>
        <v>蔚来将转A股上市 目标营收增20倍-达1200亿</v>
      </c>
      <c r="C1987" s="2" t="s">
        <v>13</v>
      </c>
      <c r="D1987" s="2" t="s">
        <v>12</v>
      </c>
      <c r="E1987" s="2" t="s">
        <v>276</v>
      </c>
      <c r="F1987" s="2" t="str">
        <f>HYPERLINK("http://www.12365auto.com/news/20200226/419555.shtml","http://www.12365auto.com/news/20200226/419555.shtml")</f>
        <v>http://www.12365auto.com/news/20200226/419555.shtml</v>
      </c>
      <c r="G1987" s="2"/>
      <c r="H1987" s="2" t="s">
        <v>2925</v>
      </c>
      <c r="I1987" s="2" t="s">
        <v>15</v>
      </c>
      <c r="J1987" s="2" t="s">
        <v>12</v>
      </c>
      <c r="K1987" s="2" t="s">
        <v>2926</v>
      </c>
      <c r="L1987" s="2">
        <f t="shared" ref="L1987:L2050" si="31">LEN(H1987)</f>
        <v>150</v>
      </c>
    </row>
    <row r="1988" spans="1:12" ht="25" customHeight="1">
      <c r="A1988" s="2" t="s">
        <v>12</v>
      </c>
      <c r="B1988" s="2" t="str">
        <f>HYPERLINK("http://m.12365auto.com/news/20200226/419555.shtml","蔚来将转A股上市 目标营收增20倍-达1200亿")</f>
        <v>蔚来将转A股上市 目标营收增20倍-达1200亿</v>
      </c>
      <c r="C1988" s="2" t="s">
        <v>13</v>
      </c>
      <c r="D1988" s="2" t="s">
        <v>12</v>
      </c>
      <c r="E1988" s="2"/>
      <c r="F1988" s="2" t="str">
        <f>HYPERLINK("http://m.12365auto.com/news/20200226/419555.shtml","http://m.12365auto.com/news/20200226/419555.shtml")</f>
        <v>http://m.12365auto.com/news/20200226/419555.shtml</v>
      </c>
      <c r="G1988" s="2"/>
      <c r="H1988" s="2" t="s">
        <v>2927</v>
      </c>
      <c r="I1988" s="2" t="s">
        <v>19</v>
      </c>
      <c r="J1988" s="2" t="s">
        <v>2928</v>
      </c>
      <c r="K1988" s="2" t="s">
        <v>2926</v>
      </c>
      <c r="L1988" s="2">
        <f t="shared" si="31"/>
        <v>150</v>
      </c>
    </row>
    <row r="1989" spans="1:12" ht="25" customHeight="1">
      <c r="A1989" s="2" t="s">
        <v>12</v>
      </c>
      <c r="B1989" s="2" t="str">
        <f>HYPERLINK("http://m.12365auto.com/bbs/postcontent.aspx?tID=195208","20w内 加速最快的4款轿车")</f>
        <v>20w内 加速最快的4款轿车</v>
      </c>
      <c r="C1989" s="2" t="s">
        <v>13</v>
      </c>
      <c r="D1989" s="2" t="s">
        <v>23</v>
      </c>
      <c r="E1989" s="2"/>
      <c r="F1989" s="2" t="str">
        <f>HYPERLINK("http://m.12365auto.com/bbs/postcontent.aspx?tID=195208","http://m.12365auto.com/bbs/postcontent.aspx?tID=195208")</f>
        <v>http://m.12365auto.com/bbs/postcontent.aspx?tID=195208</v>
      </c>
      <c r="G1989" s="2"/>
      <c r="H1989" s="2" t="s">
        <v>2929</v>
      </c>
      <c r="I1989" s="2" t="s">
        <v>15</v>
      </c>
      <c r="J1989" s="2" t="s">
        <v>1790</v>
      </c>
      <c r="K1989" s="2" t="s">
        <v>2930</v>
      </c>
      <c r="L1989" s="2">
        <f t="shared" si="31"/>
        <v>150</v>
      </c>
    </row>
    <row r="1990" spans="1:12" ht="25" customHeight="1">
      <c r="A1990" s="2" t="s">
        <v>12</v>
      </c>
      <c r="B1990" s="2" t="str">
        <f>HYPERLINK("http://bbs.12365auto.com/postcontent.aspx?tId=195208","20w内 加速最快的4款轿车")</f>
        <v>20w内 加速最快的4款轿车</v>
      </c>
      <c r="C1990" s="2" t="s">
        <v>13</v>
      </c>
      <c r="D1990" s="2" t="s">
        <v>12</v>
      </c>
      <c r="E1990" s="2" t="s">
        <v>210</v>
      </c>
      <c r="F1990" s="2" t="str">
        <f>HYPERLINK("http://bbs.12365auto.com/postcontent.aspx?tId=195208","http://bbs.12365auto.com/postcontent.aspx?tId=195208")</f>
        <v>http://bbs.12365auto.com/postcontent.aspx?tId=195208</v>
      </c>
      <c r="G1990" s="2"/>
      <c r="H1990" s="2" t="s">
        <v>2929</v>
      </c>
      <c r="I1990" s="2" t="s">
        <v>15</v>
      </c>
      <c r="J1990" s="2" t="s">
        <v>1790</v>
      </c>
      <c r="K1990" s="2" t="s">
        <v>2930</v>
      </c>
      <c r="L1990" s="2">
        <f t="shared" si="31"/>
        <v>150</v>
      </c>
    </row>
    <row r="1991" spans="1:12" ht="25" customHeight="1">
      <c r="A1991" s="2" t="s">
        <v>12</v>
      </c>
      <c r="B1991" s="2" t="str">
        <f>HYPERLINK("http://bbs.12365auto.com/postcontent.aspx?tId=195209","名爵6 20T自动Trophy超级运动互联网版")</f>
        <v>名爵6 20T自动Trophy超级运动互联网版</v>
      </c>
      <c r="C1991" s="2" t="s">
        <v>13</v>
      </c>
      <c r="D1991" s="2" t="s">
        <v>12</v>
      </c>
      <c r="E1991" s="2" t="s">
        <v>27</v>
      </c>
      <c r="F1991" s="2" t="str">
        <f>HYPERLINK("http://bbs.12365auto.com/postcontent.aspx?tId=195209","http://bbs.12365auto.com/postcontent.aspx?tId=195209")</f>
        <v>http://bbs.12365auto.com/postcontent.aspx?tId=195209</v>
      </c>
      <c r="G1991" s="2"/>
      <c r="H1991" s="2" t="s">
        <v>2931</v>
      </c>
      <c r="I1991" s="2" t="s">
        <v>15</v>
      </c>
      <c r="J1991" s="2" t="s">
        <v>2898</v>
      </c>
      <c r="K1991" s="2" t="s">
        <v>2930</v>
      </c>
      <c r="L1991" s="2">
        <f t="shared" si="31"/>
        <v>150</v>
      </c>
    </row>
    <row r="1992" spans="1:12" ht="25" customHeight="1">
      <c r="A1992" s="2" t="s">
        <v>12</v>
      </c>
      <c r="B1992" s="2" t="str">
        <f>HYPERLINK("http://bbs.12365auto.com/postcontent.aspx?tID=195209","名爵6 20T自动Trophy超级运动互联网版")</f>
        <v>名爵6 20T自动Trophy超级运动互联网版</v>
      </c>
      <c r="C1992" s="2" t="s">
        <v>13</v>
      </c>
      <c r="D1992" s="2" t="s">
        <v>12</v>
      </c>
      <c r="E1992" s="2" t="s">
        <v>28</v>
      </c>
      <c r="F1992" s="2" t="str">
        <f>HYPERLINK("http://bbs.12365auto.com/postcontent.aspx?tID=195209","http://bbs.12365auto.com/postcontent.aspx?tID=195209")</f>
        <v>http://bbs.12365auto.com/postcontent.aspx?tID=195209</v>
      </c>
      <c r="G1992" s="2"/>
      <c r="H1992" s="2" t="s">
        <v>2932</v>
      </c>
      <c r="I1992" s="2" t="s">
        <v>15</v>
      </c>
      <c r="J1992" s="2" t="s">
        <v>2898</v>
      </c>
      <c r="K1992" s="2" t="s">
        <v>2930</v>
      </c>
      <c r="L1992" s="2">
        <f t="shared" si="31"/>
        <v>150</v>
      </c>
    </row>
    <row r="1993" spans="1:12" ht="25" customHeight="1">
      <c r="A1993" s="2" t="s">
        <v>12</v>
      </c>
      <c r="B1993" s="2" t="str">
        <f>HYPERLINK("http://bbs.12365auto.com/postcontent.aspx?tID=195208","20w内 加速最快的4款轿车")</f>
        <v>20w内 加速最快的4款轿车</v>
      </c>
      <c r="C1993" s="2" t="s">
        <v>13</v>
      </c>
      <c r="D1993" s="2" t="s">
        <v>12</v>
      </c>
      <c r="E1993" s="2" t="s">
        <v>214</v>
      </c>
      <c r="F1993" s="2" t="str">
        <f>HYPERLINK("http://bbs.12365auto.com/postcontent.aspx?tID=195208","http://bbs.12365auto.com/postcontent.aspx?tID=195208")</f>
        <v>http://bbs.12365auto.com/postcontent.aspx?tID=195208</v>
      </c>
      <c r="G1993" s="2"/>
      <c r="H1993" s="2" t="s">
        <v>2933</v>
      </c>
      <c r="I1993" s="2" t="s">
        <v>15</v>
      </c>
      <c r="J1993" s="2" t="s">
        <v>1790</v>
      </c>
      <c r="K1993" s="2" t="s">
        <v>2930</v>
      </c>
      <c r="L1993" s="2">
        <f t="shared" si="31"/>
        <v>150</v>
      </c>
    </row>
    <row r="1994" spans="1:12" ht="25" customHeight="1">
      <c r="A1994" s="2" t="s">
        <v>12</v>
      </c>
      <c r="B1994" s="2" t="str">
        <f>HYPERLINK("http://m.12365auto.com/bbs/postcontent.aspx?tID=195209","名爵6 20T自动Trophy超级运动互联网版")</f>
        <v>名爵6 20T自动Trophy超级运动互联网版</v>
      </c>
      <c r="C1994" s="2" t="s">
        <v>13</v>
      </c>
      <c r="D1994" s="2" t="s">
        <v>23</v>
      </c>
      <c r="E1994" s="2"/>
      <c r="F1994" s="2" t="str">
        <f>HYPERLINK("http://m.12365auto.com/bbs/postcontent.aspx?tID=195209","http://m.12365auto.com/bbs/postcontent.aspx?tID=195209")</f>
        <v>http://m.12365auto.com/bbs/postcontent.aspx?tID=195209</v>
      </c>
      <c r="G1994" s="2"/>
      <c r="H1994" s="2" t="s">
        <v>2931</v>
      </c>
      <c r="I1994" s="2" t="s">
        <v>15</v>
      </c>
      <c r="J1994" s="2" t="s">
        <v>2898</v>
      </c>
      <c r="K1994" s="2" t="s">
        <v>2930</v>
      </c>
      <c r="L1994" s="2">
        <f t="shared" si="31"/>
        <v>150</v>
      </c>
    </row>
    <row r="1995" spans="1:12" ht="25" customHeight="1">
      <c r="A1995" s="2" t="s">
        <v>12</v>
      </c>
      <c r="B1995" s="2" t="str">
        <f>HYPERLINK("http://bbs.12365auto.com/postcontent.aspx?tId=195206","这才是真正的马自达 配直列6缸+后驱+8AT")</f>
        <v>这才是真正的马自达 配直列6缸+后驱+8AT</v>
      </c>
      <c r="C1995" s="2" t="s">
        <v>13</v>
      </c>
      <c r="D1995" s="2" t="s">
        <v>12</v>
      </c>
      <c r="E1995" s="2" t="s">
        <v>27</v>
      </c>
      <c r="F1995" s="2" t="str">
        <f>HYPERLINK("http://bbs.12365auto.com/postcontent.aspx?tId=195206","http://bbs.12365auto.com/postcontent.aspx?tId=195206")</f>
        <v>http://bbs.12365auto.com/postcontent.aspx?tId=195206</v>
      </c>
      <c r="G1995" s="2"/>
      <c r="H1995" s="2" t="s">
        <v>2934</v>
      </c>
      <c r="I1995" s="2" t="s">
        <v>15</v>
      </c>
      <c r="J1995" s="2" t="s">
        <v>2898</v>
      </c>
      <c r="K1995" s="2" t="s">
        <v>2935</v>
      </c>
      <c r="L1995" s="2">
        <f t="shared" si="31"/>
        <v>150</v>
      </c>
    </row>
    <row r="1996" spans="1:12" ht="25" customHeight="1">
      <c r="A1996" s="2" t="s">
        <v>12</v>
      </c>
      <c r="B1996" s="2" t="str">
        <f>HYPERLINK("http://www.12365auto.com/xcdg/20200226/419554.shtml","双色内饰 悬浮大屏  林肯冒险家内饰解读")</f>
        <v>双色内饰 悬浮大屏  林肯冒险家内饰解读</v>
      </c>
      <c r="C1996" s="2" t="s">
        <v>13</v>
      </c>
      <c r="D1996" s="2" t="s">
        <v>12</v>
      </c>
      <c r="E1996" s="2" t="s">
        <v>216</v>
      </c>
      <c r="F1996" s="2" t="str">
        <f>HYPERLINK("http://www.12365auto.com/xcdg/20200226/419554.shtml","http://www.12365auto.com/xcdg/20200226/419554.shtml")</f>
        <v>http://www.12365auto.com/xcdg/20200226/419554.shtml</v>
      </c>
      <c r="G1996" s="2"/>
      <c r="H1996" s="2" t="s">
        <v>2936</v>
      </c>
      <c r="I1996" s="2" t="s">
        <v>15</v>
      </c>
      <c r="J1996" s="2" t="s">
        <v>12</v>
      </c>
      <c r="K1996" s="2" t="s">
        <v>2935</v>
      </c>
      <c r="L1996" s="2">
        <f t="shared" si="31"/>
        <v>131</v>
      </c>
    </row>
    <row r="1997" spans="1:12" ht="25" customHeight="1">
      <c r="A1997" s="2" t="s">
        <v>12</v>
      </c>
      <c r="B1997" s="2" t="str">
        <f>HYPERLINK("http://m.12365auto.com/bbs/postcontent.aspx?tID=195207","2020年奥迪将完成产品大换代 将推出23款新车")</f>
        <v>2020年奥迪将完成产品大换代 将推出23款新车</v>
      </c>
      <c r="C1997" s="2" t="s">
        <v>13</v>
      </c>
      <c r="D1997" s="2" t="s">
        <v>23</v>
      </c>
      <c r="E1997" s="2"/>
      <c r="F1997" s="2" t="str">
        <f>HYPERLINK("http://m.12365auto.com/bbs/postcontent.aspx?tID=195207","http://m.12365auto.com/bbs/postcontent.aspx?tID=195207")</f>
        <v>http://m.12365auto.com/bbs/postcontent.aspx?tID=195207</v>
      </c>
      <c r="G1997" s="2"/>
      <c r="H1997" s="2" t="s">
        <v>2937</v>
      </c>
      <c r="I1997" s="2" t="s">
        <v>15</v>
      </c>
      <c r="J1997" s="2" t="s">
        <v>1790</v>
      </c>
      <c r="K1997" s="2" t="s">
        <v>2935</v>
      </c>
      <c r="L1997" s="2">
        <f t="shared" si="31"/>
        <v>150</v>
      </c>
    </row>
    <row r="1998" spans="1:12" ht="25" customHeight="1">
      <c r="A1998" s="2" t="s">
        <v>12</v>
      </c>
      <c r="B1998" s="2" t="str">
        <f>HYPERLINK("http://m.12365auto.com/bbs/postcontent.aspx?tID=195206","这才是真正的马自达 配直列6缸+后驱+8AT")</f>
        <v>这才是真正的马自达 配直列6缸+后驱+8AT</v>
      </c>
      <c r="C1998" s="2" t="s">
        <v>13</v>
      </c>
      <c r="D1998" s="2" t="s">
        <v>23</v>
      </c>
      <c r="E1998" s="2"/>
      <c r="F1998" s="2" t="str">
        <f>HYPERLINK("http://m.12365auto.com/bbs/postcontent.aspx?tID=195206","http://m.12365auto.com/bbs/postcontent.aspx?tID=195206")</f>
        <v>http://m.12365auto.com/bbs/postcontent.aspx?tID=195206</v>
      </c>
      <c r="G1998" s="2"/>
      <c r="H1998" s="2" t="s">
        <v>2934</v>
      </c>
      <c r="I1998" s="2" t="s">
        <v>15</v>
      </c>
      <c r="J1998" s="2" t="s">
        <v>2898</v>
      </c>
      <c r="K1998" s="2" t="s">
        <v>2935</v>
      </c>
      <c r="L1998" s="2">
        <f t="shared" si="31"/>
        <v>150</v>
      </c>
    </row>
    <row r="1999" spans="1:12" ht="25" customHeight="1">
      <c r="A1999" s="2" t="s">
        <v>12</v>
      </c>
      <c r="B1999" s="2" t="str">
        <f>HYPERLINK("http://m.12365auto.com/bbs/postcontent.aspx?tID=195205","2020还没到 沃德十佳发动机就已经出来了")</f>
        <v>2020还没到 沃德十佳发动机就已经出来了</v>
      </c>
      <c r="C1999" s="2" t="s">
        <v>13</v>
      </c>
      <c r="D1999" s="2" t="s">
        <v>23</v>
      </c>
      <c r="E1999" s="2"/>
      <c r="F1999" s="2" t="str">
        <f>HYPERLINK("http://m.12365auto.com/bbs/postcontent.aspx?tID=195205","http://m.12365auto.com/bbs/postcontent.aspx?tID=195205")</f>
        <v>http://m.12365auto.com/bbs/postcontent.aspx?tID=195205</v>
      </c>
      <c r="G1999" s="2"/>
      <c r="H1999" s="2" t="s">
        <v>2938</v>
      </c>
      <c r="I1999" s="2" t="s">
        <v>15</v>
      </c>
      <c r="J1999" s="2" t="s">
        <v>1790</v>
      </c>
      <c r="K1999" s="2" t="s">
        <v>2935</v>
      </c>
      <c r="L1999" s="2">
        <f t="shared" si="31"/>
        <v>150</v>
      </c>
    </row>
    <row r="2000" spans="1:12" ht="25" customHeight="1">
      <c r="A2000" s="2" t="s">
        <v>12</v>
      </c>
      <c r="B2000" s="2" t="str">
        <f>HYPERLINK("http://m.12365auto.com/bbs/postcontent.aspx?tID=195204","疫情结束后汽车经销商会不会降价促销？")</f>
        <v>疫情结束后汽车经销商会不会降价促销？</v>
      </c>
      <c r="C2000" s="2" t="s">
        <v>13</v>
      </c>
      <c r="D2000" s="2" t="s">
        <v>23</v>
      </c>
      <c r="E2000" s="2"/>
      <c r="F2000" s="2" t="str">
        <f>HYPERLINK("http://m.12365auto.com/bbs/postcontent.aspx?tID=195204","http://m.12365auto.com/bbs/postcontent.aspx?tID=195204")</f>
        <v>http://m.12365auto.com/bbs/postcontent.aspx?tID=195204</v>
      </c>
      <c r="G2000" s="2"/>
      <c r="H2000" s="2" t="s">
        <v>2939</v>
      </c>
      <c r="I2000" s="2" t="s">
        <v>15</v>
      </c>
      <c r="J2000" s="2" t="s">
        <v>1790</v>
      </c>
      <c r="K2000" s="2" t="s">
        <v>2935</v>
      </c>
      <c r="L2000" s="2">
        <f t="shared" si="31"/>
        <v>150</v>
      </c>
    </row>
    <row r="2001" spans="1:12" ht="25" customHeight="1">
      <c r="A2001" s="2" t="s">
        <v>12</v>
      </c>
      <c r="B2001" s="2" t="str">
        <f>HYPERLINK("http://bbs.12365auto.com/postcontent.aspx?tId=195207","2020年奥迪将完成产品大换代 将推出23款新车")</f>
        <v>2020年奥迪将完成产品大换代 将推出23款新车</v>
      </c>
      <c r="C2001" s="2" t="s">
        <v>13</v>
      </c>
      <c r="D2001" s="2" t="s">
        <v>12</v>
      </c>
      <c r="E2001" s="2" t="s">
        <v>210</v>
      </c>
      <c r="F2001" s="2" t="str">
        <f>HYPERLINK("http://bbs.12365auto.com/postcontent.aspx?tId=195207","http://bbs.12365auto.com/postcontent.aspx?tId=195207")</f>
        <v>http://bbs.12365auto.com/postcontent.aspx?tId=195207</v>
      </c>
      <c r="G2001" s="2"/>
      <c r="H2001" s="2" t="s">
        <v>2937</v>
      </c>
      <c r="I2001" s="2" t="s">
        <v>15</v>
      </c>
      <c r="J2001" s="2" t="s">
        <v>1790</v>
      </c>
      <c r="K2001" s="2" t="s">
        <v>2935</v>
      </c>
      <c r="L2001" s="2">
        <f t="shared" si="31"/>
        <v>150</v>
      </c>
    </row>
    <row r="2002" spans="1:12" ht="25" customHeight="1">
      <c r="A2002" s="2" t="s">
        <v>12</v>
      </c>
      <c r="B2002" s="2" t="str">
        <f>HYPERLINK("http://bbs.12365auto.com/postcontent.aspx?tId=195204","疫情结束后汽车经销商会不会降价促销？")</f>
        <v>疫情结束后汽车经销商会不会降价促销？</v>
      </c>
      <c r="C2002" s="2" t="s">
        <v>13</v>
      </c>
      <c r="D2002" s="2" t="s">
        <v>12</v>
      </c>
      <c r="E2002" s="2" t="s">
        <v>210</v>
      </c>
      <c r="F2002" s="2" t="str">
        <f>HYPERLINK("http://bbs.12365auto.com/postcontent.aspx?tId=195204","http://bbs.12365auto.com/postcontent.aspx?tId=195204")</f>
        <v>http://bbs.12365auto.com/postcontent.aspx?tId=195204</v>
      </c>
      <c r="G2002" s="2"/>
      <c r="H2002" s="2" t="s">
        <v>2939</v>
      </c>
      <c r="I2002" s="2" t="s">
        <v>15</v>
      </c>
      <c r="J2002" s="2" t="s">
        <v>1790</v>
      </c>
      <c r="K2002" s="2" t="s">
        <v>2935</v>
      </c>
      <c r="L2002" s="2">
        <f t="shared" si="31"/>
        <v>150</v>
      </c>
    </row>
    <row r="2003" spans="1:12" ht="25" customHeight="1">
      <c r="A2003" s="2" t="s">
        <v>12</v>
      </c>
      <c r="B2003" s="2" t="str">
        <f>HYPERLINK("http://bbs.12365auto.com/postcontent.aspx?tId=195205","2020还没到 沃德十佳发动机就已经出来了")</f>
        <v>2020还没到 沃德十佳发动机就已经出来了</v>
      </c>
      <c r="C2003" s="2" t="s">
        <v>13</v>
      </c>
      <c r="D2003" s="2" t="s">
        <v>12</v>
      </c>
      <c r="E2003" s="2" t="s">
        <v>210</v>
      </c>
      <c r="F2003" s="2" t="str">
        <f>HYPERLINK("http://bbs.12365auto.com/postcontent.aspx?tId=195205","http://bbs.12365auto.com/postcontent.aspx?tId=195205")</f>
        <v>http://bbs.12365auto.com/postcontent.aspx?tId=195205</v>
      </c>
      <c r="G2003" s="2"/>
      <c r="H2003" s="2" t="s">
        <v>2938</v>
      </c>
      <c r="I2003" s="2" t="s">
        <v>15</v>
      </c>
      <c r="J2003" s="2" t="s">
        <v>1790</v>
      </c>
      <c r="K2003" s="2" t="s">
        <v>2935</v>
      </c>
      <c r="L2003" s="2">
        <f t="shared" si="31"/>
        <v>150</v>
      </c>
    </row>
    <row r="2004" spans="1:12" ht="25" customHeight="1">
      <c r="A2004" s="2" t="s">
        <v>12</v>
      </c>
      <c r="B2004" s="2" t="str">
        <f>HYPERLINK("http://bbs.12365auto.com/postcontent.aspx?tID=195207","2020年奥迪将完成产品大换代 将推出23款新车")</f>
        <v>2020年奥迪将完成产品大换代 将推出23款新车</v>
      </c>
      <c r="C2004" s="2" t="s">
        <v>13</v>
      </c>
      <c r="D2004" s="2" t="s">
        <v>12</v>
      </c>
      <c r="E2004" s="2" t="s">
        <v>214</v>
      </c>
      <c r="F2004" s="2" t="str">
        <f>HYPERLINK("http://bbs.12365auto.com/postcontent.aspx?tID=195207","http://bbs.12365auto.com/postcontent.aspx?tID=195207")</f>
        <v>http://bbs.12365auto.com/postcontent.aspx?tID=195207</v>
      </c>
      <c r="G2004" s="2"/>
      <c r="H2004" s="2" t="s">
        <v>2940</v>
      </c>
      <c r="I2004" s="2" t="s">
        <v>15</v>
      </c>
      <c r="J2004" s="2" t="s">
        <v>1790</v>
      </c>
      <c r="K2004" s="2" t="s">
        <v>2935</v>
      </c>
      <c r="L2004" s="2">
        <f t="shared" si="31"/>
        <v>150</v>
      </c>
    </row>
    <row r="2005" spans="1:12" ht="25" customHeight="1">
      <c r="A2005" s="2" t="s">
        <v>12</v>
      </c>
      <c r="B2005" s="2" t="str">
        <f>HYPERLINK("http://bbs.12365auto.com/postcontent.aspx?tID=195204","疫情结束后汽车经销商会不会降价促销？")</f>
        <v>疫情结束后汽车经销商会不会降价促销？</v>
      </c>
      <c r="C2005" s="2" t="s">
        <v>13</v>
      </c>
      <c r="D2005" s="2" t="s">
        <v>12</v>
      </c>
      <c r="E2005" s="2" t="s">
        <v>214</v>
      </c>
      <c r="F2005" s="2" t="str">
        <f>HYPERLINK("http://bbs.12365auto.com/postcontent.aspx?tID=195204","http://bbs.12365auto.com/postcontent.aspx?tID=195204")</f>
        <v>http://bbs.12365auto.com/postcontent.aspx?tID=195204</v>
      </c>
      <c r="G2005" s="2"/>
      <c r="H2005" s="2" t="s">
        <v>2941</v>
      </c>
      <c r="I2005" s="2" t="s">
        <v>15</v>
      </c>
      <c r="J2005" s="2" t="s">
        <v>1790</v>
      </c>
      <c r="K2005" s="2" t="s">
        <v>2935</v>
      </c>
      <c r="L2005" s="2">
        <f t="shared" si="31"/>
        <v>150</v>
      </c>
    </row>
    <row r="2006" spans="1:12" ht="25" customHeight="1">
      <c r="A2006" s="2" t="s">
        <v>12</v>
      </c>
      <c r="B2006" s="2" t="str">
        <f>HYPERLINK("http://bbs.12365auto.com/postcontent.aspx?tID=195205","2020还没到 沃德十佳发动机就已经出来了")</f>
        <v>2020还没到 沃德十佳发动机就已经出来了</v>
      </c>
      <c r="C2006" s="2" t="s">
        <v>13</v>
      </c>
      <c r="D2006" s="2" t="s">
        <v>12</v>
      </c>
      <c r="E2006" s="2" t="s">
        <v>214</v>
      </c>
      <c r="F2006" s="2" t="str">
        <f>HYPERLINK("http://bbs.12365auto.com/postcontent.aspx?tID=195205","http://bbs.12365auto.com/postcontent.aspx?tID=195205")</f>
        <v>http://bbs.12365auto.com/postcontent.aspx?tID=195205</v>
      </c>
      <c r="G2006" s="2"/>
      <c r="H2006" s="2" t="s">
        <v>2942</v>
      </c>
      <c r="I2006" s="2" t="s">
        <v>15</v>
      </c>
      <c r="J2006" s="2" t="s">
        <v>1790</v>
      </c>
      <c r="K2006" s="2" t="s">
        <v>2935</v>
      </c>
      <c r="L2006" s="2">
        <f t="shared" si="31"/>
        <v>150</v>
      </c>
    </row>
    <row r="2007" spans="1:12" ht="25" customHeight="1">
      <c r="A2007" s="2" t="s">
        <v>12</v>
      </c>
      <c r="B2007" s="2" t="str">
        <f>HYPERLINK("http://bbs.12365auto.com/postcontent.aspx?tID=195206","这才是真正的马自达 配直列6缸+后驱+8AT")</f>
        <v>这才是真正的马自达 配直列6缸+后驱+8AT</v>
      </c>
      <c r="C2007" s="2" t="s">
        <v>13</v>
      </c>
      <c r="D2007" s="2" t="s">
        <v>12</v>
      </c>
      <c r="E2007" s="2" t="s">
        <v>28</v>
      </c>
      <c r="F2007" s="2" t="str">
        <f>HYPERLINK("http://bbs.12365auto.com/postcontent.aspx?tID=195206","http://bbs.12365auto.com/postcontent.aspx?tID=195206")</f>
        <v>http://bbs.12365auto.com/postcontent.aspx?tID=195206</v>
      </c>
      <c r="G2007" s="2"/>
      <c r="H2007" s="2" t="s">
        <v>2943</v>
      </c>
      <c r="I2007" s="2" t="s">
        <v>15</v>
      </c>
      <c r="J2007" s="2" t="s">
        <v>2898</v>
      </c>
      <c r="K2007" s="2" t="s">
        <v>2935</v>
      </c>
      <c r="L2007" s="2">
        <f t="shared" si="31"/>
        <v>150</v>
      </c>
    </row>
    <row r="2008" spans="1:12" ht="25" customHeight="1">
      <c r="A2008" s="2" t="s">
        <v>12</v>
      </c>
      <c r="B2008" s="2" t="str">
        <f>HYPERLINK("http://m.12365auto.com/xcdg/20200226/419554.shtml","双色内饰 悬浮大屏  林肯冒险家内饰解读")</f>
        <v>双色内饰 悬浮大屏  林肯冒险家内饰解读</v>
      </c>
      <c r="C2008" s="2" t="s">
        <v>13</v>
      </c>
      <c r="D2008" s="2" t="s">
        <v>12</v>
      </c>
      <c r="E2008" s="2"/>
      <c r="F2008" s="2" t="str">
        <f>HYPERLINK("http://m.12365auto.com/xcdg/20200226/419554.shtml","http://m.12365auto.com/xcdg/20200226/419554.shtml")</f>
        <v>http://m.12365auto.com/xcdg/20200226/419554.shtml</v>
      </c>
      <c r="G2008" s="2"/>
      <c r="H2008" s="2" t="s">
        <v>2944</v>
      </c>
      <c r="I2008" s="2" t="s">
        <v>19</v>
      </c>
      <c r="J2008" s="2" t="s">
        <v>1247</v>
      </c>
      <c r="K2008" s="2" t="s">
        <v>2935</v>
      </c>
      <c r="L2008" s="2">
        <f t="shared" si="31"/>
        <v>150</v>
      </c>
    </row>
    <row r="2009" spans="1:12" ht="25" customHeight="1">
      <c r="A2009" s="2" t="s">
        <v>12</v>
      </c>
      <c r="B2009" s="2" t="str">
        <f>HYPERLINK("http://bbs.12365auto.com/postcontent.aspx?tId=195203","新雅阁曝光 比帕萨特还帅气")</f>
        <v>新雅阁曝光 比帕萨特还帅气</v>
      </c>
      <c r="C2009" s="2" t="s">
        <v>13</v>
      </c>
      <c r="D2009" s="2" t="s">
        <v>12</v>
      </c>
      <c r="E2009" s="2" t="s">
        <v>27</v>
      </c>
      <c r="F2009" s="2" t="str">
        <f>HYPERLINK("http://bbs.12365auto.com/postcontent.aspx?tId=195203","http://bbs.12365auto.com/postcontent.aspx?tId=195203")</f>
        <v>http://bbs.12365auto.com/postcontent.aspx?tId=195203</v>
      </c>
      <c r="G2009" s="2"/>
      <c r="H2009" s="2" t="s">
        <v>2945</v>
      </c>
      <c r="I2009" s="2" t="s">
        <v>15</v>
      </c>
      <c r="J2009" s="2" t="s">
        <v>2898</v>
      </c>
      <c r="K2009" s="2" t="s">
        <v>2946</v>
      </c>
      <c r="L2009" s="2">
        <f t="shared" si="31"/>
        <v>150</v>
      </c>
    </row>
    <row r="2010" spans="1:12" ht="25" customHeight="1">
      <c r="A2010" s="2" t="s">
        <v>12</v>
      </c>
      <c r="B2010" s="2" t="str">
        <f>HYPERLINK("http://m.12365auto.com/bbs/postcontent.aspx?tID=195203","新雅阁曝光 比帕萨特还帅气")</f>
        <v>新雅阁曝光 比帕萨特还帅气</v>
      </c>
      <c r="C2010" s="2" t="s">
        <v>13</v>
      </c>
      <c r="D2010" s="2" t="s">
        <v>23</v>
      </c>
      <c r="E2010" s="2"/>
      <c r="F2010" s="2" t="str">
        <f>HYPERLINK("http://m.12365auto.com/bbs/postcontent.aspx?tID=195203","http://m.12365auto.com/bbs/postcontent.aspx?tID=195203")</f>
        <v>http://m.12365auto.com/bbs/postcontent.aspx?tID=195203</v>
      </c>
      <c r="G2010" s="2"/>
      <c r="H2010" s="2" t="s">
        <v>2945</v>
      </c>
      <c r="I2010" s="2" t="s">
        <v>15</v>
      </c>
      <c r="J2010" s="2" t="s">
        <v>2898</v>
      </c>
      <c r="K2010" s="2" t="s">
        <v>2946</v>
      </c>
      <c r="L2010" s="2">
        <f t="shared" si="31"/>
        <v>150</v>
      </c>
    </row>
    <row r="2011" spans="1:12" ht="25" customHeight="1">
      <c r="A2011" s="2" t="s">
        <v>12</v>
      </c>
      <c r="B2011" s="2" t="str">
        <f>HYPERLINK("http://m.12365auto.com/bbs/postcontent.aspx?tID=195202","国家都表态了 当下购车优惠多")</f>
        <v>国家都表态了 当下购车优惠多</v>
      </c>
      <c r="C2011" s="2" t="s">
        <v>13</v>
      </c>
      <c r="D2011" s="2" t="s">
        <v>23</v>
      </c>
      <c r="E2011" s="2"/>
      <c r="F2011" s="2" t="str">
        <f>HYPERLINK("http://m.12365auto.com/bbs/postcontent.aspx?tID=195202","http://m.12365auto.com/bbs/postcontent.aspx?tID=195202")</f>
        <v>http://m.12365auto.com/bbs/postcontent.aspx?tID=195202</v>
      </c>
      <c r="G2011" s="2"/>
      <c r="H2011" s="2" t="s">
        <v>2947</v>
      </c>
      <c r="I2011" s="2" t="s">
        <v>15</v>
      </c>
      <c r="J2011" s="2" t="s">
        <v>1790</v>
      </c>
      <c r="K2011" s="2" t="s">
        <v>2946</v>
      </c>
      <c r="L2011" s="2">
        <f t="shared" si="31"/>
        <v>150</v>
      </c>
    </row>
    <row r="2012" spans="1:12" ht="25" customHeight="1">
      <c r="A2012" s="2" t="s">
        <v>12</v>
      </c>
      <c r="B2012" s="2" t="str">
        <f>HYPERLINK("http://bbs.12365auto.com/postcontent.aspx?tId=195202","国家都表态了 当下购车优惠多")</f>
        <v>国家都表态了 当下购车优惠多</v>
      </c>
      <c r="C2012" s="2" t="s">
        <v>13</v>
      </c>
      <c r="D2012" s="2" t="s">
        <v>12</v>
      </c>
      <c r="E2012" s="2" t="s">
        <v>210</v>
      </c>
      <c r="F2012" s="2" t="str">
        <f>HYPERLINK("http://bbs.12365auto.com/postcontent.aspx?tId=195202","http://bbs.12365auto.com/postcontent.aspx?tId=195202")</f>
        <v>http://bbs.12365auto.com/postcontent.aspx?tId=195202</v>
      </c>
      <c r="G2012" s="2"/>
      <c r="H2012" s="2" t="s">
        <v>2947</v>
      </c>
      <c r="I2012" s="2" t="s">
        <v>15</v>
      </c>
      <c r="J2012" s="2" t="s">
        <v>1790</v>
      </c>
      <c r="K2012" s="2" t="s">
        <v>2946</v>
      </c>
      <c r="L2012" s="2">
        <f t="shared" si="31"/>
        <v>150</v>
      </c>
    </row>
    <row r="2013" spans="1:12" ht="25" customHeight="1">
      <c r="A2013" s="2" t="s">
        <v>12</v>
      </c>
      <c r="B2013" s="2" t="str">
        <f>HYPERLINK("http://bbs.12365auto.com/postcontent.aspx?tID=195203","新雅阁曝光 比帕萨特还帅气")</f>
        <v>新雅阁曝光 比帕萨特还帅气</v>
      </c>
      <c r="C2013" s="2" t="s">
        <v>13</v>
      </c>
      <c r="D2013" s="2" t="s">
        <v>12</v>
      </c>
      <c r="E2013" s="2" t="s">
        <v>28</v>
      </c>
      <c r="F2013" s="2" t="str">
        <f>HYPERLINK("http://bbs.12365auto.com/postcontent.aspx?tID=195203","http://bbs.12365auto.com/postcontent.aspx?tID=195203")</f>
        <v>http://bbs.12365auto.com/postcontent.aspx?tID=195203</v>
      </c>
      <c r="G2013" s="2"/>
      <c r="H2013" s="2" t="s">
        <v>2948</v>
      </c>
      <c r="I2013" s="2" t="s">
        <v>15</v>
      </c>
      <c r="J2013" s="2" t="s">
        <v>2898</v>
      </c>
      <c r="K2013" s="2" t="s">
        <v>2946</v>
      </c>
      <c r="L2013" s="2">
        <f t="shared" si="31"/>
        <v>150</v>
      </c>
    </row>
    <row r="2014" spans="1:12" ht="25" customHeight="1">
      <c r="A2014" s="2" t="s">
        <v>12</v>
      </c>
      <c r="B2014" s="2" t="str">
        <f>HYPERLINK("http://bbs.12365auto.com/postcontent.aspx?tID=195202","国家都表态了 当下购车优惠多")</f>
        <v>国家都表态了 当下购车优惠多</v>
      </c>
      <c r="C2014" s="2" t="s">
        <v>13</v>
      </c>
      <c r="D2014" s="2" t="s">
        <v>12</v>
      </c>
      <c r="E2014" s="2" t="s">
        <v>214</v>
      </c>
      <c r="F2014" s="2" t="str">
        <f>HYPERLINK("http://bbs.12365auto.com/postcontent.aspx?tID=195202","http://bbs.12365auto.com/postcontent.aspx?tID=195202")</f>
        <v>http://bbs.12365auto.com/postcontent.aspx?tID=195202</v>
      </c>
      <c r="G2014" s="2"/>
      <c r="H2014" s="2" t="s">
        <v>2949</v>
      </c>
      <c r="I2014" s="2" t="s">
        <v>15</v>
      </c>
      <c r="J2014" s="2" t="s">
        <v>1790</v>
      </c>
      <c r="K2014" s="2" t="s">
        <v>2946</v>
      </c>
      <c r="L2014" s="2">
        <f t="shared" si="31"/>
        <v>150</v>
      </c>
    </row>
    <row r="2015" spans="1:12" ht="25" customHeight="1">
      <c r="A2015" s="2" t="s">
        <v>12</v>
      </c>
      <c r="B2015" s="2" t="str">
        <f>HYPERLINK("http://bbs.12365auto.com/postcontent.aspx?tId=195201","这才叫美式豪车 全新一代2021款凯雷德")</f>
        <v>这才叫美式豪车 全新一代2021款凯雷德</v>
      </c>
      <c r="C2015" s="2" t="s">
        <v>13</v>
      </c>
      <c r="D2015" s="2" t="s">
        <v>12</v>
      </c>
      <c r="E2015" s="2" t="s">
        <v>27</v>
      </c>
      <c r="F2015" s="2" t="str">
        <f>HYPERLINK("http://bbs.12365auto.com/postcontent.aspx?tId=195201","http://bbs.12365auto.com/postcontent.aspx?tId=195201")</f>
        <v>http://bbs.12365auto.com/postcontent.aspx?tId=195201</v>
      </c>
      <c r="G2015" s="2"/>
      <c r="H2015" s="2" t="s">
        <v>2950</v>
      </c>
      <c r="I2015" s="2" t="s">
        <v>15</v>
      </c>
      <c r="J2015" s="2" t="s">
        <v>2898</v>
      </c>
      <c r="K2015" s="2" t="s">
        <v>2951</v>
      </c>
      <c r="L2015" s="2">
        <f t="shared" si="31"/>
        <v>150</v>
      </c>
    </row>
    <row r="2016" spans="1:12" ht="25" customHeight="1">
      <c r="A2016" s="2" t="s">
        <v>12</v>
      </c>
      <c r="B2016" s="2" t="str">
        <f>HYPERLINK("http://www.12365auto.com/xcdg/20200226/419553.shtml","奔腾新T77 11天后上市 1.5T动力更强")</f>
        <v>奔腾新T77 11天后上市 1.5T动力更强</v>
      </c>
      <c r="C2016" s="2" t="s">
        <v>13</v>
      </c>
      <c r="D2016" s="2" t="s">
        <v>12</v>
      </c>
      <c r="E2016" s="2" t="s">
        <v>216</v>
      </c>
      <c r="F2016" s="2" t="str">
        <f>HYPERLINK("http://www.12365auto.com/xcdg/20200226/419553.shtml","http://www.12365auto.com/xcdg/20200226/419553.shtml")</f>
        <v>http://www.12365auto.com/xcdg/20200226/419553.shtml</v>
      </c>
      <c r="G2016" s="2"/>
      <c r="H2016" s="2" t="s">
        <v>2952</v>
      </c>
      <c r="I2016" s="2" t="s">
        <v>15</v>
      </c>
      <c r="J2016" s="2" t="s">
        <v>12</v>
      </c>
      <c r="K2016" s="2" t="s">
        <v>2951</v>
      </c>
      <c r="L2016" s="2">
        <f t="shared" si="31"/>
        <v>150</v>
      </c>
    </row>
    <row r="2017" spans="1:12" ht="25" customHeight="1">
      <c r="A2017" s="2" t="s">
        <v>12</v>
      </c>
      <c r="B2017" s="2" t="str">
        <f>HYPERLINK("http://m.12365auto.com/bbs/postcontent.aspx?tID=195200","要说5万多就能买到的新车 我第一个想到它")</f>
        <v>要说5万多就能买到的新车 我第一个想到它</v>
      </c>
      <c r="C2017" s="2" t="s">
        <v>13</v>
      </c>
      <c r="D2017" s="2" t="s">
        <v>23</v>
      </c>
      <c r="E2017" s="2"/>
      <c r="F2017" s="2" t="str">
        <f>HYPERLINK("http://m.12365auto.com/bbs/postcontent.aspx?tID=195200","http://m.12365auto.com/bbs/postcontent.aspx?tID=195200")</f>
        <v>http://m.12365auto.com/bbs/postcontent.aspx?tID=195200</v>
      </c>
      <c r="G2017" s="2"/>
      <c r="H2017" s="2" t="s">
        <v>2953</v>
      </c>
      <c r="I2017" s="2" t="s">
        <v>15</v>
      </c>
      <c r="J2017" s="2" t="s">
        <v>1790</v>
      </c>
      <c r="K2017" s="2" t="s">
        <v>2951</v>
      </c>
      <c r="L2017" s="2">
        <f t="shared" si="31"/>
        <v>150</v>
      </c>
    </row>
    <row r="2018" spans="1:12" ht="25" customHeight="1">
      <c r="A2018" s="2" t="s">
        <v>12</v>
      </c>
      <c r="B2018" s="2" t="str">
        <f>HYPERLINK("http://m.12365auto.com/bbs/postcontent.aspx?tID=195201","这才叫美式豪车 全新一代2021款凯雷德")</f>
        <v>这才叫美式豪车 全新一代2021款凯雷德</v>
      </c>
      <c r="C2018" s="2" t="s">
        <v>13</v>
      </c>
      <c r="D2018" s="2" t="s">
        <v>23</v>
      </c>
      <c r="E2018" s="2"/>
      <c r="F2018" s="2" t="str">
        <f>HYPERLINK("http://m.12365auto.com/bbs/postcontent.aspx?tID=195201","http://m.12365auto.com/bbs/postcontent.aspx?tID=195201")</f>
        <v>http://m.12365auto.com/bbs/postcontent.aspx?tID=195201</v>
      </c>
      <c r="G2018" s="2"/>
      <c r="H2018" s="2" t="s">
        <v>2950</v>
      </c>
      <c r="I2018" s="2" t="s">
        <v>15</v>
      </c>
      <c r="J2018" s="2" t="s">
        <v>2898</v>
      </c>
      <c r="K2018" s="2" t="s">
        <v>2951</v>
      </c>
      <c r="L2018" s="2">
        <f t="shared" si="31"/>
        <v>150</v>
      </c>
    </row>
    <row r="2019" spans="1:12" ht="25" customHeight="1">
      <c r="A2019" s="2" t="s">
        <v>12</v>
      </c>
      <c r="B2019" s="2" t="str">
        <f>HYPERLINK("http://bbs.12365auto.com/postcontent.aspx?tId=195200","要说5万多就能买到的新车 我第一个想到它")</f>
        <v>要说5万多就能买到的新车 我第一个想到它</v>
      </c>
      <c r="C2019" s="2" t="s">
        <v>13</v>
      </c>
      <c r="D2019" s="2" t="s">
        <v>12</v>
      </c>
      <c r="E2019" s="2" t="s">
        <v>210</v>
      </c>
      <c r="F2019" s="2" t="str">
        <f>HYPERLINK("http://bbs.12365auto.com/postcontent.aspx?tId=195200","http://bbs.12365auto.com/postcontent.aspx?tId=195200")</f>
        <v>http://bbs.12365auto.com/postcontent.aspx?tId=195200</v>
      </c>
      <c r="G2019" s="2"/>
      <c r="H2019" s="2" t="s">
        <v>2953</v>
      </c>
      <c r="I2019" s="2" t="s">
        <v>15</v>
      </c>
      <c r="J2019" s="2" t="s">
        <v>1790</v>
      </c>
      <c r="K2019" s="2" t="s">
        <v>2951</v>
      </c>
      <c r="L2019" s="2">
        <f t="shared" si="31"/>
        <v>150</v>
      </c>
    </row>
    <row r="2020" spans="1:12" ht="25" customHeight="1">
      <c r="A2020" s="2" t="s">
        <v>12</v>
      </c>
      <c r="B2020" s="2" t="str">
        <f>HYPERLINK("http://bbs.12365auto.com/postcontent.aspx?tID=195200","要说5万多就能买到的新车 我第一个想到它")</f>
        <v>要说5万多就能买到的新车 我第一个想到它</v>
      </c>
      <c r="C2020" s="2" t="s">
        <v>13</v>
      </c>
      <c r="D2020" s="2" t="s">
        <v>12</v>
      </c>
      <c r="E2020" s="2" t="s">
        <v>214</v>
      </c>
      <c r="F2020" s="2" t="str">
        <f>HYPERLINK("http://bbs.12365auto.com/postcontent.aspx?tID=195200","http://bbs.12365auto.com/postcontent.aspx?tID=195200")</f>
        <v>http://bbs.12365auto.com/postcontent.aspx?tID=195200</v>
      </c>
      <c r="G2020" s="2"/>
      <c r="H2020" s="2" t="s">
        <v>2954</v>
      </c>
      <c r="I2020" s="2" t="s">
        <v>15</v>
      </c>
      <c r="J2020" s="2" t="s">
        <v>1790</v>
      </c>
      <c r="K2020" s="2" t="s">
        <v>2951</v>
      </c>
      <c r="L2020" s="2">
        <f t="shared" si="31"/>
        <v>150</v>
      </c>
    </row>
    <row r="2021" spans="1:12" ht="25" customHeight="1">
      <c r="A2021" s="2" t="s">
        <v>12</v>
      </c>
      <c r="B2021" s="2" t="str">
        <f>HYPERLINK("http://m.12365auto.com/xcdg/20200226/419553.shtml","奔腾新T77 11天后上市 1.5T动力更强")</f>
        <v>奔腾新T77 11天后上市 1.5T动力更强</v>
      </c>
      <c r="C2021" s="2" t="s">
        <v>13</v>
      </c>
      <c r="D2021" s="2" t="s">
        <v>12</v>
      </c>
      <c r="E2021" s="2"/>
      <c r="F2021" s="2" t="str">
        <f>HYPERLINK("http://m.12365auto.com/xcdg/20200226/419553.shtml","http://m.12365auto.com/xcdg/20200226/419553.shtml")</f>
        <v>http://m.12365auto.com/xcdg/20200226/419553.shtml</v>
      </c>
      <c r="G2021" s="2"/>
      <c r="H2021" s="2" t="s">
        <v>2955</v>
      </c>
      <c r="I2021" s="2" t="s">
        <v>19</v>
      </c>
      <c r="J2021" s="2" t="s">
        <v>718</v>
      </c>
      <c r="K2021" s="2" t="s">
        <v>2951</v>
      </c>
      <c r="L2021" s="2">
        <f t="shared" si="31"/>
        <v>150</v>
      </c>
    </row>
    <row r="2022" spans="1:12" ht="25" customHeight="1">
      <c r="A2022" s="2" t="s">
        <v>12</v>
      </c>
      <c r="B2022" s="2" t="str">
        <f>HYPERLINK("http://bbs.12365auto.com/postcontent.aspx?tID=195201","这才叫美式豪车 全新一代2021款凯雷德")</f>
        <v>这才叫美式豪车 全新一代2021款凯雷德</v>
      </c>
      <c r="C2022" s="2" t="s">
        <v>13</v>
      </c>
      <c r="D2022" s="2" t="s">
        <v>12</v>
      </c>
      <c r="E2022" s="2" t="s">
        <v>28</v>
      </c>
      <c r="F2022" s="2" t="str">
        <f>HYPERLINK("http://bbs.12365auto.com/postcontent.aspx?tID=195201","http://bbs.12365auto.com/postcontent.aspx?tID=195201")</f>
        <v>http://bbs.12365auto.com/postcontent.aspx?tID=195201</v>
      </c>
      <c r="G2022" s="2"/>
      <c r="H2022" s="2" t="s">
        <v>2956</v>
      </c>
      <c r="I2022" s="2" t="s">
        <v>15</v>
      </c>
      <c r="J2022" s="2" t="s">
        <v>2898</v>
      </c>
      <c r="K2022" s="2" t="s">
        <v>2951</v>
      </c>
      <c r="L2022" s="2">
        <f t="shared" si="31"/>
        <v>150</v>
      </c>
    </row>
    <row r="2023" spans="1:12" ht="25" customHeight="1">
      <c r="A2023" s="2" t="s">
        <v>12</v>
      </c>
      <c r="B2023" s="2" t="str">
        <f>HYPERLINK("http://m.12365auto.com/xcdg/20200226/419552.shtml","日内瓦车展重磅新车 奔驰E级/宝马4系领衔")</f>
        <v>日内瓦车展重磅新车 奔驰E级/宝马4系领衔</v>
      </c>
      <c r="C2023" s="2" t="s">
        <v>13</v>
      </c>
      <c r="D2023" s="2" t="s">
        <v>12</v>
      </c>
      <c r="E2023" s="2"/>
      <c r="F2023" s="2" t="str">
        <f>HYPERLINK("http://m.12365auto.com/xcdg/20200226/419552.shtml","http://m.12365auto.com/xcdg/20200226/419552.shtml")</f>
        <v>http://m.12365auto.com/xcdg/20200226/419552.shtml</v>
      </c>
      <c r="G2023" s="2"/>
      <c r="H2023" s="2" t="s">
        <v>2957</v>
      </c>
      <c r="I2023" s="2" t="s">
        <v>19</v>
      </c>
      <c r="J2023" s="2" t="s">
        <v>718</v>
      </c>
      <c r="K2023" s="2" t="s">
        <v>2958</v>
      </c>
      <c r="L2023" s="2">
        <f t="shared" si="31"/>
        <v>150</v>
      </c>
    </row>
    <row r="2024" spans="1:12" ht="25" customHeight="1">
      <c r="A2024" s="2" t="s">
        <v>12</v>
      </c>
      <c r="B2024" s="2" t="str">
        <f>HYPERLINK("http://www.12365auto.com/xcdg/20200226/419552.shtml","日内瓦车展重磅新车 奔驰E级/宝马4系领衔")</f>
        <v>日内瓦车展重磅新车 奔驰E级/宝马4系领衔</v>
      </c>
      <c r="C2024" s="2" t="s">
        <v>13</v>
      </c>
      <c r="D2024" s="2" t="s">
        <v>12</v>
      </c>
      <c r="E2024" s="2" t="s">
        <v>216</v>
      </c>
      <c r="F2024" s="2" t="str">
        <f>HYPERLINK("http://www.12365auto.com/xcdg/20200226/419552.shtml","http://www.12365auto.com/xcdg/20200226/419552.shtml")</f>
        <v>http://www.12365auto.com/xcdg/20200226/419552.shtml</v>
      </c>
      <c r="G2024" s="2"/>
      <c r="H2024" s="2" t="s">
        <v>2959</v>
      </c>
      <c r="I2024" s="2" t="s">
        <v>15</v>
      </c>
      <c r="J2024" s="2" t="s">
        <v>12</v>
      </c>
      <c r="K2024" s="2" t="s">
        <v>2958</v>
      </c>
      <c r="L2024" s="2">
        <f t="shared" si="31"/>
        <v>150</v>
      </c>
    </row>
    <row r="2025" spans="1:12" ht="25" customHeight="1">
      <c r="A2025" s="2" t="s">
        <v>12</v>
      </c>
      <c r="B2025" s="2" t="str">
        <f>HYPERLINK("http://bbs.12365auto.com/postcontent.aspx?tId=195199","3款即将上市的豪华SUV 先来饱饱眼福")</f>
        <v>3款即将上市的豪华SUV 先来饱饱眼福</v>
      </c>
      <c r="C2025" s="2" t="s">
        <v>13</v>
      </c>
      <c r="D2025" s="2" t="s">
        <v>12</v>
      </c>
      <c r="E2025" s="2" t="s">
        <v>210</v>
      </c>
      <c r="F2025" s="2" t="str">
        <f>HYPERLINK("http://bbs.12365auto.com/postcontent.aspx?tId=195199","http://bbs.12365auto.com/postcontent.aspx?tId=195199")</f>
        <v>http://bbs.12365auto.com/postcontent.aspx?tId=195199</v>
      </c>
      <c r="G2025" s="2"/>
      <c r="H2025" s="2" t="s">
        <v>2960</v>
      </c>
      <c r="I2025" s="2" t="s">
        <v>15</v>
      </c>
      <c r="J2025" s="2" t="s">
        <v>1790</v>
      </c>
      <c r="K2025" s="2" t="s">
        <v>2961</v>
      </c>
      <c r="L2025" s="2">
        <f t="shared" si="31"/>
        <v>150</v>
      </c>
    </row>
    <row r="2026" spans="1:12" ht="25" customHeight="1">
      <c r="A2026" s="2" t="s">
        <v>12</v>
      </c>
      <c r="B2026" s="2" t="str">
        <f>HYPERLINK("http://bbs.12365auto.com/postcontent.aspx?tID=195199","3款即将上市的豪华SUV 先来饱饱眼福")</f>
        <v>3款即将上市的豪华SUV 先来饱饱眼福</v>
      </c>
      <c r="C2026" s="2" t="s">
        <v>13</v>
      </c>
      <c r="D2026" s="2" t="s">
        <v>12</v>
      </c>
      <c r="E2026" s="2" t="s">
        <v>214</v>
      </c>
      <c r="F2026" s="2" t="str">
        <f>HYPERLINK("http://bbs.12365auto.com/postcontent.aspx?tID=195199","http://bbs.12365auto.com/postcontent.aspx?tID=195199")</f>
        <v>http://bbs.12365auto.com/postcontent.aspx?tID=195199</v>
      </c>
      <c r="G2026" s="2"/>
      <c r="H2026" s="2" t="s">
        <v>2962</v>
      </c>
      <c r="I2026" s="2" t="s">
        <v>15</v>
      </c>
      <c r="J2026" s="2" t="s">
        <v>1790</v>
      </c>
      <c r="K2026" s="2" t="s">
        <v>2961</v>
      </c>
      <c r="L2026" s="2">
        <f t="shared" si="31"/>
        <v>150</v>
      </c>
    </row>
    <row r="2027" spans="1:12" ht="25" customHeight="1">
      <c r="A2027" s="2" t="s">
        <v>12</v>
      </c>
      <c r="B2027" s="2" t="str">
        <f>HYPERLINK("http://m.12365auto.com/xcdg/20200226/419551.shtml","送三年免费保养 广汽本田皓影到店探访")</f>
        <v>送三年免费保养 广汽本田皓影到店探访</v>
      </c>
      <c r="C2027" s="2" t="s">
        <v>13</v>
      </c>
      <c r="D2027" s="2" t="s">
        <v>12</v>
      </c>
      <c r="E2027" s="2"/>
      <c r="F2027" s="2" t="str">
        <f>HYPERLINK("http://m.12365auto.com/xcdg/20200226/419551.shtml","http://m.12365auto.com/xcdg/20200226/419551.shtml")</f>
        <v>http://m.12365auto.com/xcdg/20200226/419551.shtml</v>
      </c>
      <c r="G2027" s="2"/>
      <c r="H2027" s="2" t="s">
        <v>2963</v>
      </c>
      <c r="I2027" s="2" t="s">
        <v>19</v>
      </c>
      <c r="J2027" s="2" t="s">
        <v>1247</v>
      </c>
      <c r="K2027" s="2" t="s">
        <v>2964</v>
      </c>
      <c r="L2027" s="2">
        <f t="shared" si="31"/>
        <v>150</v>
      </c>
    </row>
    <row r="2028" spans="1:12" ht="25" customHeight="1">
      <c r="A2028" s="2" t="s">
        <v>12</v>
      </c>
      <c r="B2028" s="2" t="str">
        <f>HYPERLINK("http://bbs.12365auto.com/postcontent.aspx?tID=195197","智能汽车 十万亿级新产业将崛起")</f>
        <v>智能汽车 十万亿级新产业将崛起</v>
      </c>
      <c r="C2028" s="2" t="s">
        <v>13</v>
      </c>
      <c r="D2028" s="2" t="s">
        <v>12</v>
      </c>
      <c r="E2028" s="2" t="s">
        <v>28</v>
      </c>
      <c r="F2028" s="2" t="str">
        <f>HYPERLINK("http://bbs.12365auto.com/postcontent.aspx?tID=195197","http://bbs.12365auto.com/postcontent.aspx?tID=195197")</f>
        <v>http://bbs.12365auto.com/postcontent.aspx?tID=195197</v>
      </c>
      <c r="G2028" s="2"/>
      <c r="H2028" s="2" t="s">
        <v>2965</v>
      </c>
      <c r="I2028" s="2" t="s">
        <v>15</v>
      </c>
      <c r="J2028" s="2" t="s">
        <v>2966</v>
      </c>
      <c r="K2028" s="2" t="s">
        <v>2967</v>
      </c>
      <c r="L2028" s="2">
        <f t="shared" si="31"/>
        <v>150</v>
      </c>
    </row>
    <row r="2029" spans="1:12" ht="25" customHeight="1">
      <c r="A2029" s="2" t="s">
        <v>12</v>
      </c>
      <c r="B2029" s="2" t="str">
        <f>HYPERLINK("http://bbs.12365auto.com/postcontent.aspx?tID=195198","2021年7月实施国六排放")</f>
        <v>2021年7月实施国六排放</v>
      </c>
      <c r="C2029" s="2" t="s">
        <v>13</v>
      </c>
      <c r="D2029" s="2" t="s">
        <v>12</v>
      </c>
      <c r="E2029" s="2" t="s">
        <v>28</v>
      </c>
      <c r="F2029" s="2" t="str">
        <f>HYPERLINK("http://bbs.12365auto.com/postcontent.aspx?tID=195198","http://bbs.12365auto.com/postcontent.aspx?tID=195198")</f>
        <v>http://bbs.12365auto.com/postcontent.aspx?tID=195198</v>
      </c>
      <c r="G2029" s="2"/>
      <c r="H2029" s="2" t="s">
        <v>2968</v>
      </c>
      <c r="I2029" s="2" t="s">
        <v>15</v>
      </c>
      <c r="J2029" s="2" t="s">
        <v>2966</v>
      </c>
      <c r="K2029" s="2" t="s">
        <v>2967</v>
      </c>
      <c r="L2029" s="2">
        <f t="shared" si="31"/>
        <v>150</v>
      </c>
    </row>
    <row r="2030" spans="1:12" ht="25" customHeight="1">
      <c r="A2030" s="2" t="s">
        <v>12</v>
      </c>
      <c r="B2030" s="2" t="str">
        <f>HYPERLINK("http://bbs.12365auto.com/postcontent.aspx?tId=195196","今年的重磅新车 你最期待哪款？")</f>
        <v>今年的重磅新车 你最期待哪款？</v>
      </c>
      <c r="C2030" s="2" t="s">
        <v>13</v>
      </c>
      <c r="D2030" s="2" t="s">
        <v>12</v>
      </c>
      <c r="E2030" s="2" t="s">
        <v>27</v>
      </c>
      <c r="F2030" s="2" t="str">
        <f>HYPERLINK("http://bbs.12365auto.com/postcontent.aspx?tId=195196","http://bbs.12365auto.com/postcontent.aspx?tId=195196")</f>
        <v>http://bbs.12365auto.com/postcontent.aspx?tId=195196</v>
      </c>
      <c r="G2030" s="2"/>
      <c r="H2030" s="2" t="s">
        <v>2969</v>
      </c>
      <c r="I2030" s="2" t="s">
        <v>15</v>
      </c>
      <c r="J2030" s="2" t="s">
        <v>2966</v>
      </c>
      <c r="K2030" s="2" t="s">
        <v>2970</v>
      </c>
      <c r="L2030" s="2">
        <f t="shared" si="31"/>
        <v>150</v>
      </c>
    </row>
    <row r="2031" spans="1:12" ht="25" customHeight="1">
      <c r="A2031" s="2" t="s">
        <v>12</v>
      </c>
      <c r="B2031" s="2" t="str">
        <f>HYPERLINK("http://m.12365auto.com/bbs/postcontent.aspx?tID=195196","今年的重磅新车 你最期待哪款？")</f>
        <v>今年的重磅新车 你最期待哪款？</v>
      </c>
      <c r="C2031" s="2" t="s">
        <v>13</v>
      </c>
      <c r="D2031" s="2" t="s">
        <v>23</v>
      </c>
      <c r="E2031" s="2"/>
      <c r="F2031" s="2" t="str">
        <f>HYPERLINK("http://m.12365auto.com/bbs/postcontent.aspx?tID=195196","http://m.12365auto.com/bbs/postcontent.aspx?tID=195196")</f>
        <v>http://m.12365auto.com/bbs/postcontent.aspx?tID=195196</v>
      </c>
      <c r="G2031" s="2"/>
      <c r="H2031" s="2" t="s">
        <v>2969</v>
      </c>
      <c r="I2031" s="2" t="s">
        <v>15</v>
      </c>
      <c r="J2031" s="2" t="s">
        <v>2966</v>
      </c>
      <c r="K2031" s="2" t="s">
        <v>2970</v>
      </c>
      <c r="L2031" s="2">
        <f t="shared" si="31"/>
        <v>150</v>
      </c>
    </row>
    <row r="2032" spans="1:12" ht="25" customHeight="1">
      <c r="A2032" s="2" t="s">
        <v>12</v>
      </c>
      <c r="B2032" s="2" t="str">
        <f>HYPERLINK("http://bbs.12365auto.com/postcontent.aspx?tID=195196","今年的重磅新车 你最期待哪款？")</f>
        <v>今年的重磅新车 你最期待哪款？</v>
      </c>
      <c r="C2032" s="2" t="s">
        <v>13</v>
      </c>
      <c r="D2032" s="2" t="s">
        <v>12</v>
      </c>
      <c r="E2032" s="2" t="s">
        <v>28</v>
      </c>
      <c r="F2032" s="2" t="str">
        <f>HYPERLINK("http://bbs.12365auto.com/postcontent.aspx?tID=195196","http://bbs.12365auto.com/postcontent.aspx?tID=195196")</f>
        <v>http://bbs.12365auto.com/postcontent.aspx?tID=195196</v>
      </c>
      <c r="G2032" s="2"/>
      <c r="H2032" s="2" t="s">
        <v>2971</v>
      </c>
      <c r="I2032" s="2" t="s">
        <v>15</v>
      </c>
      <c r="J2032" s="2" t="s">
        <v>2966</v>
      </c>
      <c r="K2032" s="2" t="s">
        <v>2970</v>
      </c>
      <c r="L2032" s="2">
        <f t="shared" si="31"/>
        <v>150</v>
      </c>
    </row>
    <row r="2033" spans="1:12" ht="25" customHeight="1">
      <c r="A2033" s="2" t="s">
        <v>12</v>
      </c>
      <c r="B2033" s="2" t="str">
        <f>HYPERLINK("http://bbs.12365auto.com/postcontent.aspx?tId=195193","开不坏的丰田 修不好的大众")</f>
        <v>开不坏的丰田 修不好的大众</v>
      </c>
      <c r="C2033" s="2" t="s">
        <v>13</v>
      </c>
      <c r="D2033" s="2" t="s">
        <v>12</v>
      </c>
      <c r="E2033" s="2" t="s">
        <v>210</v>
      </c>
      <c r="F2033" s="2" t="str">
        <f>HYPERLINK("http://bbs.12365auto.com/postcontent.aspx?tId=195193","http://bbs.12365auto.com/postcontent.aspx?tId=195193")</f>
        <v>http://bbs.12365auto.com/postcontent.aspx?tId=195193</v>
      </c>
      <c r="G2033" s="2"/>
      <c r="H2033" s="2" t="s">
        <v>2712</v>
      </c>
      <c r="I2033" s="2" t="s">
        <v>15</v>
      </c>
      <c r="J2033" s="2" t="s">
        <v>1790</v>
      </c>
      <c r="K2033" s="2" t="s">
        <v>2972</v>
      </c>
      <c r="L2033" s="2">
        <f t="shared" si="31"/>
        <v>150</v>
      </c>
    </row>
    <row r="2034" spans="1:12" ht="25" customHeight="1">
      <c r="A2034" s="2" t="s">
        <v>12</v>
      </c>
      <c r="B2034" s="2" t="str">
        <f>HYPERLINK("http://bbs.12365auto.com/postcontent.aspx?tId=195195","三缸机的战役 消费者赢了")</f>
        <v>三缸机的战役 消费者赢了</v>
      </c>
      <c r="C2034" s="2" t="s">
        <v>13</v>
      </c>
      <c r="D2034" s="2" t="s">
        <v>12</v>
      </c>
      <c r="E2034" s="2" t="s">
        <v>27</v>
      </c>
      <c r="F2034" s="2" t="str">
        <f>HYPERLINK("http://bbs.12365auto.com/postcontent.aspx?tId=195195","http://bbs.12365auto.com/postcontent.aspx?tId=195195")</f>
        <v>http://bbs.12365auto.com/postcontent.aspx?tId=195195</v>
      </c>
      <c r="G2034" s="2"/>
      <c r="H2034" s="2" t="s">
        <v>2973</v>
      </c>
      <c r="I2034" s="2" t="s">
        <v>15</v>
      </c>
      <c r="J2034" s="2" t="s">
        <v>2966</v>
      </c>
      <c r="K2034" s="2" t="s">
        <v>2972</v>
      </c>
      <c r="L2034" s="2">
        <f t="shared" si="31"/>
        <v>150</v>
      </c>
    </row>
    <row r="2035" spans="1:12" ht="25" customHeight="1">
      <c r="A2035" s="2" t="s">
        <v>12</v>
      </c>
      <c r="B2035" s="2" t="str">
        <f>HYPERLINK("http://bbs.12365auto.com/postcontent.aspx?tID=195195","三缸机的战役 消费者赢了")</f>
        <v>三缸机的战役 消费者赢了</v>
      </c>
      <c r="C2035" s="2" t="s">
        <v>13</v>
      </c>
      <c r="D2035" s="2" t="s">
        <v>12</v>
      </c>
      <c r="E2035" s="2" t="s">
        <v>28</v>
      </c>
      <c r="F2035" s="2" t="str">
        <f>HYPERLINK("http://bbs.12365auto.com/postcontent.aspx?tID=195195","http://bbs.12365auto.com/postcontent.aspx?tID=195195")</f>
        <v>http://bbs.12365auto.com/postcontent.aspx?tID=195195</v>
      </c>
      <c r="G2035" s="2"/>
      <c r="H2035" s="2" t="s">
        <v>2974</v>
      </c>
      <c r="I2035" s="2" t="s">
        <v>15</v>
      </c>
      <c r="J2035" s="2" t="s">
        <v>2966</v>
      </c>
      <c r="K2035" s="2" t="s">
        <v>2972</v>
      </c>
      <c r="L2035" s="2">
        <f t="shared" si="31"/>
        <v>150</v>
      </c>
    </row>
    <row r="2036" spans="1:12" ht="25" customHeight="1">
      <c r="A2036" s="2" t="s">
        <v>12</v>
      </c>
      <c r="B2036" s="2" t="str">
        <f>HYPERLINK("http://bbs.12365auto.com/postcontent.aspx?tId=195194","投资者抛售股票 特斯拉股价大跌")</f>
        <v>投资者抛售股票 特斯拉股价大跌</v>
      </c>
      <c r="C2036" s="2" t="s">
        <v>13</v>
      </c>
      <c r="D2036" s="2" t="s">
        <v>12</v>
      </c>
      <c r="E2036" s="2" t="s">
        <v>27</v>
      </c>
      <c r="F2036" s="2" t="str">
        <f>HYPERLINK("http://bbs.12365auto.com/postcontent.aspx?tId=195194","http://bbs.12365auto.com/postcontent.aspx?tId=195194")</f>
        <v>http://bbs.12365auto.com/postcontent.aspx?tId=195194</v>
      </c>
      <c r="G2036" s="2"/>
      <c r="H2036" s="2" t="s">
        <v>2975</v>
      </c>
      <c r="I2036" s="2" t="s">
        <v>15</v>
      </c>
      <c r="J2036" s="2" t="s">
        <v>2966</v>
      </c>
      <c r="K2036" s="2" t="s">
        <v>2972</v>
      </c>
      <c r="L2036" s="2">
        <f t="shared" si="31"/>
        <v>150</v>
      </c>
    </row>
    <row r="2037" spans="1:12" ht="25" customHeight="1">
      <c r="A2037" s="2" t="s">
        <v>12</v>
      </c>
      <c r="B2037" s="2" t="str">
        <f>HYPERLINK("http://m.12365auto.com/bbs/postcontent.aspx?tID=195195","三缸机的战役 消费者赢了")</f>
        <v>三缸机的战役 消费者赢了</v>
      </c>
      <c r="C2037" s="2" t="s">
        <v>13</v>
      </c>
      <c r="D2037" s="2" t="s">
        <v>23</v>
      </c>
      <c r="E2037" s="2"/>
      <c r="F2037" s="2" t="str">
        <f>HYPERLINK("http://m.12365auto.com/bbs/postcontent.aspx?tID=195195","http://m.12365auto.com/bbs/postcontent.aspx?tID=195195")</f>
        <v>http://m.12365auto.com/bbs/postcontent.aspx?tID=195195</v>
      </c>
      <c r="G2037" s="2"/>
      <c r="H2037" s="2" t="s">
        <v>2973</v>
      </c>
      <c r="I2037" s="2" t="s">
        <v>15</v>
      </c>
      <c r="J2037" s="2" t="s">
        <v>2966</v>
      </c>
      <c r="K2037" s="2" t="s">
        <v>2972</v>
      </c>
      <c r="L2037" s="2">
        <f t="shared" si="31"/>
        <v>150</v>
      </c>
    </row>
    <row r="2038" spans="1:12" ht="25" customHeight="1">
      <c r="A2038" s="2" t="s">
        <v>12</v>
      </c>
      <c r="B2038" s="2" t="str">
        <f>HYPERLINK("http://m.12365auto.com/bbs/postcontent.aspx?tID=195194","投资者抛售股票 特斯拉股价大跌")</f>
        <v>投资者抛售股票 特斯拉股价大跌</v>
      </c>
      <c r="C2038" s="2" t="s">
        <v>13</v>
      </c>
      <c r="D2038" s="2" t="s">
        <v>23</v>
      </c>
      <c r="E2038" s="2"/>
      <c r="F2038" s="2" t="str">
        <f>HYPERLINK("http://m.12365auto.com/bbs/postcontent.aspx?tID=195194","http://m.12365auto.com/bbs/postcontent.aspx?tID=195194")</f>
        <v>http://m.12365auto.com/bbs/postcontent.aspx?tID=195194</v>
      </c>
      <c r="G2038" s="2"/>
      <c r="H2038" s="2" t="s">
        <v>2975</v>
      </c>
      <c r="I2038" s="2" t="s">
        <v>15</v>
      </c>
      <c r="J2038" s="2" t="s">
        <v>2966</v>
      </c>
      <c r="K2038" s="2" t="s">
        <v>2972</v>
      </c>
      <c r="L2038" s="2">
        <f t="shared" si="31"/>
        <v>150</v>
      </c>
    </row>
    <row r="2039" spans="1:12" ht="25" customHeight="1">
      <c r="A2039" s="2" t="s">
        <v>12</v>
      </c>
      <c r="B2039" s="2" t="str">
        <f>HYPERLINK("http://bbs.12365auto.com/postcontent.aspx?tID=195193","开不坏的丰田 修不好的大众")</f>
        <v>开不坏的丰田 修不好的大众</v>
      </c>
      <c r="C2039" s="2" t="s">
        <v>13</v>
      </c>
      <c r="D2039" s="2" t="s">
        <v>12</v>
      </c>
      <c r="E2039" s="2" t="s">
        <v>214</v>
      </c>
      <c r="F2039" s="2" t="str">
        <f>HYPERLINK("http://bbs.12365auto.com/postcontent.aspx?tID=195193","http://bbs.12365auto.com/postcontent.aspx?tID=195193")</f>
        <v>http://bbs.12365auto.com/postcontent.aspx?tID=195193</v>
      </c>
      <c r="G2039" s="2"/>
      <c r="H2039" s="2" t="s">
        <v>2976</v>
      </c>
      <c r="I2039" s="2" t="s">
        <v>15</v>
      </c>
      <c r="J2039" s="2" t="s">
        <v>1790</v>
      </c>
      <c r="K2039" s="2" t="s">
        <v>2972</v>
      </c>
      <c r="L2039" s="2">
        <f t="shared" si="31"/>
        <v>150</v>
      </c>
    </row>
    <row r="2040" spans="1:12" ht="25" customHeight="1">
      <c r="A2040" s="2" t="s">
        <v>12</v>
      </c>
      <c r="B2040" s="2" t="str">
        <f>HYPERLINK("http://bbs.12365auto.com/postcontent.aspx?tID=195194","投资者抛售股票 特斯拉股价大跌")</f>
        <v>投资者抛售股票 特斯拉股价大跌</v>
      </c>
      <c r="C2040" s="2" t="s">
        <v>13</v>
      </c>
      <c r="D2040" s="2" t="s">
        <v>12</v>
      </c>
      <c r="E2040" s="2" t="s">
        <v>28</v>
      </c>
      <c r="F2040" s="2" t="str">
        <f>HYPERLINK("http://bbs.12365auto.com/postcontent.aspx?tID=195194","http://bbs.12365auto.com/postcontent.aspx?tID=195194")</f>
        <v>http://bbs.12365auto.com/postcontent.aspx?tID=195194</v>
      </c>
      <c r="G2040" s="2"/>
      <c r="H2040" s="2" t="s">
        <v>2977</v>
      </c>
      <c r="I2040" s="2" t="s">
        <v>15</v>
      </c>
      <c r="J2040" s="2" t="s">
        <v>2966</v>
      </c>
      <c r="K2040" s="2" t="s">
        <v>2972</v>
      </c>
      <c r="L2040" s="2">
        <f t="shared" si="31"/>
        <v>150</v>
      </c>
    </row>
    <row r="2041" spans="1:12" ht="25" customHeight="1">
      <c r="A2041" s="2" t="s">
        <v>12</v>
      </c>
      <c r="B2041" s="2" t="str">
        <f>HYPERLINK("http://bbs.12365auto.com/postcontent.aspx?tId=195191","一定有你喜欢的 12款促销SUV大盘点")</f>
        <v>一定有你喜欢的 12款促销SUV大盘点</v>
      </c>
      <c r="C2041" s="2" t="s">
        <v>13</v>
      </c>
      <c r="D2041" s="2" t="s">
        <v>12</v>
      </c>
      <c r="E2041" s="2" t="s">
        <v>210</v>
      </c>
      <c r="F2041" s="2" t="str">
        <f>HYPERLINK("http://bbs.12365auto.com/postcontent.aspx?tId=195191","http://bbs.12365auto.com/postcontent.aspx?tId=195191")</f>
        <v>http://bbs.12365auto.com/postcontent.aspx?tId=195191</v>
      </c>
      <c r="G2041" s="2"/>
      <c r="H2041" s="2" t="s">
        <v>2978</v>
      </c>
      <c r="I2041" s="2" t="s">
        <v>15</v>
      </c>
      <c r="J2041" s="2" t="s">
        <v>1790</v>
      </c>
      <c r="K2041" s="2" t="s">
        <v>2979</v>
      </c>
      <c r="L2041" s="2">
        <f t="shared" si="31"/>
        <v>150</v>
      </c>
    </row>
    <row r="2042" spans="1:12" ht="25" customHeight="1">
      <c r="A2042" s="2" t="s">
        <v>12</v>
      </c>
      <c r="B2042" s="2" t="str">
        <f>HYPERLINK("http://bbs.12365auto.com/postcontent.aspx?tId=195192","铃木印度发布全新维特拉Brezza")</f>
        <v>铃木印度发布全新维特拉Brezza</v>
      </c>
      <c r="C2042" s="2" t="s">
        <v>13</v>
      </c>
      <c r="D2042" s="2" t="s">
        <v>12</v>
      </c>
      <c r="E2042" s="2" t="s">
        <v>27</v>
      </c>
      <c r="F2042" s="2" t="str">
        <f>HYPERLINK("http://bbs.12365auto.com/postcontent.aspx?tId=195192","http://bbs.12365auto.com/postcontent.aspx?tId=195192")</f>
        <v>http://bbs.12365auto.com/postcontent.aspx?tId=195192</v>
      </c>
      <c r="G2042" s="2"/>
      <c r="H2042" s="2" t="s">
        <v>2980</v>
      </c>
      <c r="I2042" s="2" t="s">
        <v>15</v>
      </c>
      <c r="J2042" s="2" t="s">
        <v>2966</v>
      </c>
      <c r="K2042" s="2" t="s">
        <v>2979</v>
      </c>
      <c r="L2042" s="2">
        <f t="shared" si="31"/>
        <v>150</v>
      </c>
    </row>
    <row r="2043" spans="1:12" ht="25" customHeight="1">
      <c r="A2043" s="2" t="s">
        <v>12</v>
      </c>
      <c r="B2043" s="2" t="str">
        <f>HYPERLINK("http://bbs.12365auto.com/postcontent.aspx?tId=195190","比虚荣心更可怕的是淘宝套件")</f>
        <v>比虚荣心更可怕的是淘宝套件</v>
      </c>
      <c r="C2043" s="2" t="s">
        <v>13</v>
      </c>
      <c r="D2043" s="2" t="s">
        <v>12</v>
      </c>
      <c r="E2043" s="2" t="s">
        <v>27</v>
      </c>
      <c r="F2043" s="2" t="str">
        <f>HYPERLINK("http://bbs.12365auto.com/postcontent.aspx?tId=195190","http://bbs.12365auto.com/postcontent.aspx?tId=195190")</f>
        <v>http://bbs.12365auto.com/postcontent.aspx?tId=195190</v>
      </c>
      <c r="G2043" s="2"/>
      <c r="H2043" s="2" t="s">
        <v>2981</v>
      </c>
      <c r="I2043" s="2" t="s">
        <v>15</v>
      </c>
      <c r="J2043" s="2" t="s">
        <v>2966</v>
      </c>
      <c r="K2043" s="2" t="s">
        <v>2979</v>
      </c>
      <c r="L2043" s="2">
        <f t="shared" si="31"/>
        <v>150</v>
      </c>
    </row>
    <row r="2044" spans="1:12" ht="25" customHeight="1">
      <c r="A2044" s="2" t="s">
        <v>12</v>
      </c>
      <c r="B2044" s="2" t="str">
        <f>HYPERLINK("http://bbs.12365auto.com/postcontent.aspx?tID=195192","铃木印度发布全新维特拉Brezza")</f>
        <v>铃木印度发布全新维特拉Brezza</v>
      </c>
      <c r="C2044" s="2" t="s">
        <v>13</v>
      </c>
      <c r="D2044" s="2" t="s">
        <v>12</v>
      </c>
      <c r="E2044" s="2" t="s">
        <v>28</v>
      </c>
      <c r="F2044" s="2" t="str">
        <f>HYPERLINK("http://bbs.12365auto.com/postcontent.aspx?tID=195192","http://bbs.12365auto.com/postcontent.aspx?tID=195192")</f>
        <v>http://bbs.12365auto.com/postcontent.aspx?tID=195192</v>
      </c>
      <c r="G2044" s="2"/>
      <c r="H2044" s="2" t="s">
        <v>2982</v>
      </c>
      <c r="I2044" s="2" t="s">
        <v>15</v>
      </c>
      <c r="J2044" s="2" t="s">
        <v>2966</v>
      </c>
      <c r="K2044" s="2" t="s">
        <v>2979</v>
      </c>
      <c r="L2044" s="2">
        <f t="shared" si="31"/>
        <v>150</v>
      </c>
    </row>
    <row r="2045" spans="1:12" ht="25" customHeight="1">
      <c r="A2045" s="2" t="s">
        <v>12</v>
      </c>
      <c r="B2045" s="2" t="str">
        <f>HYPERLINK("http://m.12365auto.com/bbs/postcontent.aspx?tID=195192","铃木印度发布全新维特拉Brezza")</f>
        <v>铃木印度发布全新维特拉Brezza</v>
      </c>
      <c r="C2045" s="2" t="s">
        <v>13</v>
      </c>
      <c r="D2045" s="2" t="s">
        <v>23</v>
      </c>
      <c r="E2045" s="2"/>
      <c r="F2045" s="2" t="str">
        <f>HYPERLINK("http://m.12365auto.com/bbs/postcontent.aspx?tID=195192","http://m.12365auto.com/bbs/postcontent.aspx?tID=195192")</f>
        <v>http://m.12365auto.com/bbs/postcontent.aspx?tID=195192</v>
      </c>
      <c r="G2045" s="2"/>
      <c r="H2045" s="2" t="s">
        <v>2980</v>
      </c>
      <c r="I2045" s="2" t="s">
        <v>15</v>
      </c>
      <c r="J2045" s="2" t="s">
        <v>2966</v>
      </c>
      <c r="K2045" s="2" t="s">
        <v>2979</v>
      </c>
      <c r="L2045" s="2">
        <f t="shared" si="31"/>
        <v>150</v>
      </c>
    </row>
    <row r="2046" spans="1:12" ht="25" customHeight="1">
      <c r="A2046" s="2" t="s">
        <v>12</v>
      </c>
      <c r="B2046" s="2" t="str">
        <f>HYPERLINK("http://m.12365auto.com/bbs/postcontent.aspx?tID=195190","比虚荣心更可怕的是淘宝套件")</f>
        <v>比虚荣心更可怕的是淘宝套件</v>
      </c>
      <c r="C2046" s="2" t="s">
        <v>13</v>
      </c>
      <c r="D2046" s="2" t="s">
        <v>23</v>
      </c>
      <c r="E2046" s="2"/>
      <c r="F2046" s="2" t="str">
        <f>HYPERLINK("http://m.12365auto.com/bbs/postcontent.aspx?tID=195190","http://m.12365auto.com/bbs/postcontent.aspx?tID=195190")</f>
        <v>http://m.12365auto.com/bbs/postcontent.aspx?tID=195190</v>
      </c>
      <c r="G2046" s="2"/>
      <c r="H2046" s="2" t="s">
        <v>2981</v>
      </c>
      <c r="I2046" s="2" t="s">
        <v>15</v>
      </c>
      <c r="J2046" s="2" t="s">
        <v>2966</v>
      </c>
      <c r="K2046" s="2" t="s">
        <v>2979</v>
      </c>
      <c r="L2046" s="2">
        <f t="shared" si="31"/>
        <v>150</v>
      </c>
    </row>
    <row r="2047" spans="1:12" ht="25" customHeight="1">
      <c r="A2047" s="2" t="s">
        <v>12</v>
      </c>
      <c r="B2047" s="2" t="str">
        <f>HYPERLINK("http://bbs.12365auto.com/postcontent.aspx?tID=195190","比虚荣心更可怕的是淘宝套件")</f>
        <v>比虚荣心更可怕的是淘宝套件</v>
      </c>
      <c r="C2047" s="2" t="s">
        <v>13</v>
      </c>
      <c r="D2047" s="2" t="s">
        <v>12</v>
      </c>
      <c r="E2047" s="2" t="s">
        <v>28</v>
      </c>
      <c r="F2047" s="2" t="str">
        <f>HYPERLINK("http://bbs.12365auto.com/postcontent.aspx?tID=195190","http://bbs.12365auto.com/postcontent.aspx?tID=195190")</f>
        <v>http://bbs.12365auto.com/postcontent.aspx?tID=195190</v>
      </c>
      <c r="G2047" s="2"/>
      <c r="H2047" s="2" t="s">
        <v>2983</v>
      </c>
      <c r="I2047" s="2" t="s">
        <v>15</v>
      </c>
      <c r="J2047" s="2" t="s">
        <v>2966</v>
      </c>
      <c r="K2047" s="2" t="s">
        <v>2979</v>
      </c>
      <c r="L2047" s="2">
        <f t="shared" si="31"/>
        <v>150</v>
      </c>
    </row>
    <row r="2048" spans="1:12" ht="25" customHeight="1">
      <c r="A2048" s="2" t="s">
        <v>12</v>
      </c>
      <c r="B2048" s="2" t="str">
        <f>HYPERLINK("http://bbs.12365auto.com/postcontent.aspx?tID=195191","一定有你喜欢的 12款促销SUV大盘点")</f>
        <v>一定有你喜欢的 12款促销SUV大盘点</v>
      </c>
      <c r="C2048" s="2" t="s">
        <v>13</v>
      </c>
      <c r="D2048" s="2" t="s">
        <v>12</v>
      </c>
      <c r="E2048" s="2" t="s">
        <v>214</v>
      </c>
      <c r="F2048" s="2" t="str">
        <f>HYPERLINK("http://bbs.12365auto.com/postcontent.aspx?tID=195191","http://bbs.12365auto.com/postcontent.aspx?tID=195191")</f>
        <v>http://bbs.12365auto.com/postcontent.aspx?tID=195191</v>
      </c>
      <c r="G2048" s="2"/>
      <c r="H2048" s="2" t="s">
        <v>2984</v>
      </c>
      <c r="I2048" s="2" t="s">
        <v>15</v>
      </c>
      <c r="J2048" s="2" t="s">
        <v>1790</v>
      </c>
      <c r="K2048" s="2" t="s">
        <v>2979</v>
      </c>
      <c r="L2048" s="2">
        <f t="shared" si="31"/>
        <v>150</v>
      </c>
    </row>
    <row r="2049" spans="1:12" ht="25" customHeight="1">
      <c r="A2049" s="2" t="s">
        <v>12</v>
      </c>
      <c r="B2049" s="2" t="str">
        <f>HYPERLINK("http://bbs.12365auto.com/postcontent.aspx?tId=195189","请拉黑极力让你买三缸机的那个人")</f>
        <v>请拉黑极力让你买三缸机的那个人</v>
      </c>
      <c r="C2049" s="2" t="s">
        <v>13</v>
      </c>
      <c r="D2049" s="2" t="s">
        <v>12</v>
      </c>
      <c r="E2049" s="2" t="s">
        <v>27</v>
      </c>
      <c r="F2049" s="2" t="str">
        <f>HYPERLINK("http://bbs.12365auto.com/postcontent.aspx?tId=195189","http://bbs.12365auto.com/postcontent.aspx?tId=195189")</f>
        <v>http://bbs.12365auto.com/postcontent.aspx?tId=195189</v>
      </c>
      <c r="G2049" s="2"/>
      <c r="H2049" s="2" t="s">
        <v>2985</v>
      </c>
      <c r="I2049" s="2" t="s">
        <v>15</v>
      </c>
      <c r="J2049" s="2" t="s">
        <v>2966</v>
      </c>
      <c r="K2049" s="2" t="s">
        <v>2986</v>
      </c>
      <c r="L2049" s="2">
        <f t="shared" si="31"/>
        <v>150</v>
      </c>
    </row>
    <row r="2050" spans="1:12" ht="25" customHeight="1">
      <c r="A2050" s="2" t="s">
        <v>12</v>
      </c>
      <c r="B2050" s="2" t="str">
        <f>HYPERLINK("http://bbs.12365auto.com/postcontent.aspx?tId=195188","六年磨一剑 丰田汉兰达全面升级归来")</f>
        <v>六年磨一剑 丰田汉兰达全面升级归来</v>
      </c>
      <c r="C2050" s="2" t="s">
        <v>13</v>
      </c>
      <c r="D2050" s="2" t="s">
        <v>12</v>
      </c>
      <c r="E2050" s="2" t="s">
        <v>27</v>
      </c>
      <c r="F2050" s="2" t="str">
        <f>HYPERLINK("http://bbs.12365auto.com/postcontent.aspx?tId=195188","http://bbs.12365auto.com/postcontent.aspx?tId=195188")</f>
        <v>http://bbs.12365auto.com/postcontent.aspx?tId=195188</v>
      </c>
      <c r="G2050" s="2"/>
      <c r="H2050" s="2" t="s">
        <v>2987</v>
      </c>
      <c r="I2050" s="2" t="s">
        <v>15</v>
      </c>
      <c r="J2050" s="2" t="s">
        <v>2966</v>
      </c>
      <c r="K2050" s="2" t="s">
        <v>2986</v>
      </c>
      <c r="L2050" s="2">
        <f t="shared" si="31"/>
        <v>150</v>
      </c>
    </row>
    <row r="2051" spans="1:12" ht="25" customHeight="1">
      <c r="A2051" s="2" t="s">
        <v>12</v>
      </c>
      <c r="B2051" s="2" t="str">
        <f>HYPERLINK("http://m.12365auto.com/bbs/postcontent.aspx?tID=195189","请拉黑极力让你买三缸机的那个人")</f>
        <v>请拉黑极力让你买三缸机的那个人</v>
      </c>
      <c r="C2051" s="2" t="s">
        <v>13</v>
      </c>
      <c r="D2051" s="2" t="s">
        <v>23</v>
      </c>
      <c r="E2051" s="2"/>
      <c r="F2051" s="2" t="str">
        <f>HYPERLINK("http://m.12365auto.com/bbs/postcontent.aspx?tID=195189","http://m.12365auto.com/bbs/postcontent.aspx?tID=195189")</f>
        <v>http://m.12365auto.com/bbs/postcontent.aspx?tID=195189</v>
      </c>
      <c r="G2051" s="2"/>
      <c r="H2051" s="2" t="s">
        <v>2985</v>
      </c>
      <c r="I2051" s="2" t="s">
        <v>15</v>
      </c>
      <c r="J2051" s="2" t="s">
        <v>2966</v>
      </c>
      <c r="K2051" s="2" t="s">
        <v>2986</v>
      </c>
      <c r="L2051" s="2">
        <f t="shared" ref="L2051:L2114" si="32">LEN(H2051)</f>
        <v>150</v>
      </c>
    </row>
    <row r="2052" spans="1:12" ht="25" customHeight="1">
      <c r="A2052" s="2" t="s">
        <v>12</v>
      </c>
      <c r="B2052" s="2" t="str">
        <f>HYPERLINK("http://m.12365auto.com/bbs/postcontent.aspx?tID=195188","六年磨一剑 丰田汉兰达全面升级归来")</f>
        <v>六年磨一剑 丰田汉兰达全面升级归来</v>
      </c>
      <c r="C2052" s="2" t="s">
        <v>13</v>
      </c>
      <c r="D2052" s="2" t="s">
        <v>23</v>
      </c>
      <c r="E2052" s="2"/>
      <c r="F2052" s="2" t="str">
        <f>HYPERLINK("http://m.12365auto.com/bbs/postcontent.aspx?tID=195188","http://m.12365auto.com/bbs/postcontent.aspx?tID=195188")</f>
        <v>http://m.12365auto.com/bbs/postcontent.aspx?tID=195188</v>
      </c>
      <c r="G2052" s="2"/>
      <c r="H2052" s="2" t="s">
        <v>2987</v>
      </c>
      <c r="I2052" s="2" t="s">
        <v>15</v>
      </c>
      <c r="J2052" s="2" t="s">
        <v>2966</v>
      </c>
      <c r="K2052" s="2" t="s">
        <v>2986</v>
      </c>
      <c r="L2052" s="2">
        <f t="shared" si="32"/>
        <v>150</v>
      </c>
    </row>
    <row r="2053" spans="1:12" ht="25" customHeight="1">
      <c r="A2053" s="2" t="s">
        <v>12</v>
      </c>
      <c r="B2053" s="2" t="str">
        <f>HYPERLINK("http://bbs.12365auto.com/postcontent.aspx?tID=195189","请拉黑极力让你买三缸机的那个人")</f>
        <v>请拉黑极力让你买三缸机的那个人</v>
      </c>
      <c r="C2053" s="2" t="s">
        <v>13</v>
      </c>
      <c r="D2053" s="2" t="s">
        <v>12</v>
      </c>
      <c r="E2053" s="2" t="s">
        <v>28</v>
      </c>
      <c r="F2053" s="2" t="str">
        <f>HYPERLINK("http://bbs.12365auto.com/postcontent.aspx?tID=195189","http://bbs.12365auto.com/postcontent.aspx?tID=195189")</f>
        <v>http://bbs.12365auto.com/postcontent.aspx?tID=195189</v>
      </c>
      <c r="G2053" s="2"/>
      <c r="H2053" s="2" t="s">
        <v>2988</v>
      </c>
      <c r="I2053" s="2" t="s">
        <v>15</v>
      </c>
      <c r="J2053" s="2" t="s">
        <v>2966</v>
      </c>
      <c r="K2053" s="2" t="s">
        <v>2986</v>
      </c>
      <c r="L2053" s="2">
        <f t="shared" si="32"/>
        <v>150</v>
      </c>
    </row>
    <row r="2054" spans="1:12" ht="25" customHeight="1">
      <c r="A2054" s="2" t="s">
        <v>12</v>
      </c>
      <c r="B2054" s="2" t="str">
        <f>HYPERLINK("http://bbs.12365auto.com/postcontent.aspx?tID=195188","六年磨一剑 丰田汉兰达全面升级归来")</f>
        <v>六年磨一剑 丰田汉兰达全面升级归来</v>
      </c>
      <c r="C2054" s="2" t="s">
        <v>13</v>
      </c>
      <c r="D2054" s="2" t="s">
        <v>12</v>
      </c>
      <c r="E2054" s="2" t="s">
        <v>28</v>
      </c>
      <c r="F2054" s="2" t="str">
        <f>HYPERLINK("http://bbs.12365auto.com/postcontent.aspx?tID=195188","http://bbs.12365auto.com/postcontent.aspx?tID=195188")</f>
        <v>http://bbs.12365auto.com/postcontent.aspx?tID=195188</v>
      </c>
      <c r="G2054" s="2"/>
      <c r="H2054" s="2" t="s">
        <v>2989</v>
      </c>
      <c r="I2054" s="2" t="s">
        <v>15</v>
      </c>
      <c r="J2054" s="2" t="s">
        <v>2966</v>
      </c>
      <c r="K2054" s="2" t="s">
        <v>2986</v>
      </c>
      <c r="L2054" s="2">
        <f t="shared" si="32"/>
        <v>150</v>
      </c>
    </row>
    <row r="2055" spans="1:12" ht="25" customHeight="1">
      <c r="A2055" s="2" t="s">
        <v>12</v>
      </c>
      <c r="B2055" s="2" t="str">
        <f>HYPERLINK("http://bbs.12365auto.com/postcontent.aspx?tID=195186","玛莎拉蒂GT改MC")</f>
        <v>玛莎拉蒂GT改MC</v>
      </c>
      <c r="C2055" s="2" t="s">
        <v>13</v>
      </c>
      <c r="D2055" s="2" t="s">
        <v>12</v>
      </c>
      <c r="E2055" s="2" t="s">
        <v>2990</v>
      </c>
      <c r="F2055" s="2" t="str">
        <f>HYPERLINK("http://bbs.12365auto.com/postcontent.aspx?tID=195186","http://bbs.12365auto.com/postcontent.aspx?tID=195186")</f>
        <v>http://bbs.12365auto.com/postcontent.aspx?tID=195186</v>
      </c>
      <c r="G2055" s="2"/>
      <c r="H2055" s="2" t="s">
        <v>2991</v>
      </c>
      <c r="I2055" s="2" t="s">
        <v>15</v>
      </c>
      <c r="J2055" s="2" t="s">
        <v>145</v>
      </c>
      <c r="K2055" s="2" t="s">
        <v>2992</v>
      </c>
      <c r="L2055" s="2">
        <f t="shared" si="32"/>
        <v>18</v>
      </c>
    </row>
    <row r="2056" spans="1:12" ht="25" customHeight="1">
      <c r="A2056" s="2" t="s">
        <v>12</v>
      </c>
      <c r="B2056" s="2" t="str">
        <f>HYPERLINK("http://bbs.12365auto.com/postcontent.aspx?tId=195187","蒙迪欧的落败 福特要负全责")</f>
        <v>蒙迪欧的落败 福特要负全责</v>
      </c>
      <c r="C2056" s="2" t="s">
        <v>13</v>
      </c>
      <c r="D2056" s="2" t="s">
        <v>12</v>
      </c>
      <c r="E2056" s="2" t="s">
        <v>27</v>
      </c>
      <c r="F2056" s="2" t="str">
        <f>HYPERLINK("http://bbs.12365auto.com/postcontent.aspx?tId=195187","http://bbs.12365auto.com/postcontent.aspx?tId=195187")</f>
        <v>http://bbs.12365auto.com/postcontent.aspx?tId=195187</v>
      </c>
      <c r="G2056" s="2"/>
      <c r="H2056" s="2" t="s">
        <v>2993</v>
      </c>
      <c r="I2056" s="2" t="s">
        <v>15</v>
      </c>
      <c r="J2056" s="2" t="s">
        <v>2966</v>
      </c>
      <c r="K2056" s="2" t="s">
        <v>2992</v>
      </c>
      <c r="L2056" s="2">
        <f t="shared" si="32"/>
        <v>150</v>
      </c>
    </row>
    <row r="2057" spans="1:12" ht="25" customHeight="1">
      <c r="A2057" s="2" t="s">
        <v>12</v>
      </c>
      <c r="B2057" s="2" t="str">
        <f>HYPERLINK("http://m.12365auto.com/bbs/postcontent.aspx?tID=195187","蒙迪欧的落败 福特要负全责")</f>
        <v>蒙迪欧的落败 福特要负全责</v>
      </c>
      <c r="C2057" s="2" t="s">
        <v>13</v>
      </c>
      <c r="D2057" s="2" t="s">
        <v>23</v>
      </c>
      <c r="E2057" s="2"/>
      <c r="F2057" s="2" t="str">
        <f>HYPERLINK("http://m.12365auto.com/bbs/postcontent.aspx?tID=195187","http://m.12365auto.com/bbs/postcontent.aspx?tID=195187")</f>
        <v>http://m.12365auto.com/bbs/postcontent.aspx?tID=195187</v>
      </c>
      <c r="G2057" s="2"/>
      <c r="H2057" s="2" t="s">
        <v>2993</v>
      </c>
      <c r="I2057" s="2" t="s">
        <v>15</v>
      </c>
      <c r="J2057" s="2" t="s">
        <v>2966</v>
      </c>
      <c r="K2057" s="2" t="s">
        <v>2992</v>
      </c>
      <c r="L2057" s="2">
        <f t="shared" si="32"/>
        <v>150</v>
      </c>
    </row>
    <row r="2058" spans="1:12" ht="25" customHeight="1">
      <c r="A2058" s="2" t="s">
        <v>12</v>
      </c>
      <c r="B2058" s="2" t="str">
        <f>HYPERLINK("http://bbs.12365auto.com/postcontent.aspx?tID=195187","蒙迪欧的落败 福特要负全责")</f>
        <v>蒙迪欧的落败 福特要负全责</v>
      </c>
      <c r="C2058" s="2" t="s">
        <v>13</v>
      </c>
      <c r="D2058" s="2" t="s">
        <v>12</v>
      </c>
      <c r="E2058" s="2" t="s">
        <v>28</v>
      </c>
      <c r="F2058" s="2" t="str">
        <f>HYPERLINK("http://bbs.12365auto.com/postcontent.aspx?tID=195187","http://bbs.12365auto.com/postcontent.aspx?tID=195187")</f>
        <v>http://bbs.12365auto.com/postcontent.aspx?tID=195187</v>
      </c>
      <c r="G2058" s="2"/>
      <c r="H2058" s="2" t="s">
        <v>2994</v>
      </c>
      <c r="I2058" s="2" t="s">
        <v>15</v>
      </c>
      <c r="J2058" s="2" t="s">
        <v>2966</v>
      </c>
      <c r="K2058" s="2" t="s">
        <v>2992</v>
      </c>
      <c r="L2058" s="2">
        <f t="shared" si="32"/>
        <v>150</v>
      </c>
    </row>
    <row r="2059" spans="1:12" ht="25" customHeight="1">
      <c r="A2059" s="2" t="s">
        <v>12</v>
      </c>
      <c r="B2059" s="2" t="str">
        <f>HYPERLINK("http://bbs.12365auto.com/postcontent.aspx?tId=195185","被吹爆的进口旅行车鲜有人问津 新沃尔沃V90能改变局面吗")</f>
        <v>被吹爆的进口旅行车鲜有人问津 新沃尔沃V90能改变局面吗</v>
      </c>
      <c r="C2059" s="2" t="s">
        <v>13</v>
      </c>
      <c r="D2059" s="2" t="s">
        <v>12</v>
      </c>
      <c r="E2059" s="2" t="s">
        <v>27</v>
      </c>
      <c r="F2059" s="2" t="str">
        <f>HYPERLINK("http://bbs.12365auto.com/postcontent.aspx?tId=195185","http://bbs.12365auto.com/postcontent.aspx?tId=195185")</f>
        <v>http://bbs.12365auto.com/postcontent.aspx?tId=195185</v>
      </c>
      <c r="G2059" s="2"/>
      <c r="H2059" s="2" t="s">
        <v>2995</v>
      </c>
      <c r="I2059" s="2" t="s">
        <v>15</v>
      </c>
      <c r="J2059" s="2" t="s">
        <v>2996</v>
      </c>
      <c r="K2059" s="2" t="s">
        <v>2997</v>
      </c>
      <c r="L2059" s="2">
        <f t="shared" si="32"/>
        <v>150</v>
      </c>
    </row>
    <row r="2060" spans="1:12" ht="25" customHeight="1">
      <c r="A2060" s="2" t="s">
        <v>12</v>
      </c>
      <c r="B2060" s="2" t="str">
        <f>HYPERLINK("http://bbs.12365auto.com/postcontent.aspx?tId=195184","30万出头就能办齐美系中大型SUV 别克昂科旗真值")</f>
        <v>30万出头就能办齐美系中大型SUV 别克昂科旗真值</v>
      </c>
      <c r="C2060" s="2" t="s">
        <v>13</v>
      </c>
      <c r="D2060" s="2" t="s">
        <v>12</v>
      </c>
      <c r="E2060" s="2" t="s">
        <v>27</v>
      </c>
      <c r="F2060" s="2" t="str">
        <f>HYPERLINK("http://bbs.12365auto.com/postcontent.aspx?tId=195184","http://bbs.12365auto.com/postcontent.aspx?tId=195184")</f>
        <v>http://bbs.12365auto.com/postcontent.aspx?tId=195184</v>
      </c>
      <c r="G2060" s="2"/>
      <c r="H2060" s="2" t="s">
        <v>2998</v>
      </c>
      <c r="I2060" s="2" t="s">
        <v>15</v>
      </c>
      <c r="J2060" s="2" t="s">
        <v>2996</v>
      </c>
      <c r="K2060" s="2" t="s">
        <v>2997</v>
      </c>
      <c r="L2060" s="2">
        <f t="shared" si="32"/>
        <v>150</v>
      </c>
    </row>
    <row r="2061" spans="1:12" ht="25" customHeight="1">
      <c r="A2061" s="2" t="s">
        <v>12</v>
      </c>
      <c r="B2061" s="2" t="str">
        <f>HYPERLINK("http://m.12365auto.com/bbs/postcontent.aspx?tID=195184&amp;i=1","30万出头就能办齐美系中大型SUV 别克昂科旗真值")</f>
        <v>30万出头就能办齐美系中大型SUV 别克昂科旗真值</v>
      </c>
      <c r="C2061" s="2" t="s">
        <v>13</v>
      </c>
      <c r="D2061" s="2" t="s">
        <v>23</v>
      </c>
      <c r="E2061" s="2"/>
      <c r="F2061" s="2" t="str">
        <f>HYPERLINK("http://m.12365auto.com/bbs/postcontent.aspx?tID=195184&amp;i=1","http://m.12365auto.com/bbs/postcontent.aspx?tID=195184&amp;i=1")</f>
        <v>http://m.12365auto.com/bbs/postcontent.aspx?tID=195184&amp;i=1</v>
      </c>
      <c r="G2061" s="2"/>
      <c r="H2061" s="2" t="s">
        <v>2998</v>
      </c>
      <c r="I2061" s="2" t="s">
        <v>15</v>
      </c>
      <c r="J2061" s="2" t="s">
        <v>2996</v>
      </c>
      <c r="K2061" s="2" t="s">
        <v>2997</v>
      </c>
      <c r="L2061" s="2">
        <f t="shared" si="32"/>
        <v>150</v>
      </c>
    </row>
    <row r="2062" spans="1:12" ht="25" customHeight="1">
      <c r="A2062" s="2" t="s">
        <v>12</v>
      </c>
      <c r="B2062" s="2" t="str">
        <f>HYPERLINK("http://m.12365auto.com/bbs/postcontent.aspx?tID=195185","被吹爆的进口旅行车鲜有人问津 新沃尔沃V90能改变局面吗")</f>
        <v>被吹爆的进口旅行车鲜有人问津 新沃尔沃V90能改变局面吗</v>
      </c>
      <c r="C2062" s="2" t="s">
        <v>13</v>
      </c>
      <c r="D2062" s="2" t="s">
        <v>23</v>
      </c>
      <c r="E2062" s="2"/>
      <c r="F2062" s="2" t="str">
        <f>HYPERLINK("http://m.12365auto.com/bbs/postcontent.aspx?tID=195185","http://m.12365auto.com/bbs/postcontent.aspx?tID=195185")</f>
        <v>http://m.12365auto.com/bbs/postcontent.aspx?tID=195185</v>
      </c>
      <c r="G2062" s="2"/>
      <c r="H2062" s="2" t="s">
        <v>2995</v>
      </c>
      <c r="I2062" s="2" t="s">
        <v>15</v>
      </c>
      <c r="J2062" s="2" t="s">
        <v>2996</v>
      </c>
      <c r="K2062" s="2" t="s">
        <v>2997</v>
      </c>
      <c r="L2062" s="2">
        <f t="shared" si="32"/>
        <v>150</v>
      </c>
    </row>
    <row r="2063" spans="1:12" ht="25" customHeight="1">
      <c r="A2063" s="2" t="s">
        <v>12</v>
      </c>
      <c r="B2063" s="2" t="str">
        <f>HYPERLINK("http://m.12365auto.com/bbs/postcontent.aspx?tID=195184","30万出头就能办齐美系中大型SUV 别克昂科旗真值")</f>
        <v>30万出头就能办齐美系中大型SUV 别克昂科旗真值</v>
      </c>
      <c r="C2063" s="2" t="s">
        <v>13</v>
      </c>
      <c r="D2063" s="2" t="s">
        <v>23</v>
      </c>
      <c r="E2063" s="2"/>
      <c r="F2063" s="2" t="str">
        <f>HYPERLINK("http://m.12365auto.com/bbs/postcontent.aspx?tID=195184","http://m.12365auto.com/bbs/postcontent.aspx?tID=195184")</f>
        <v>http://m.12365auto.com/bbs/postcontent.aspx?tID=195184</v>
      </c>
      <c r="G2063" s="2"/>
      <c r="H2063" s="2" t="s">
        <v>2998</v>
      </c>
      <c r="I2063" s="2" t="s">
        <v>15</v>
      </c>
      <c r="J2063" s="2" t="s">
        <v>2996</v>
      </c>
      <c r="K2063" s="2" t="s">
        <v>2997</v>
      </c>
      <c r="L2063" s="2">
        <f t="shared" si="32"/>
        <v>150</v>
      </c>
    </row>
    <row r="2064" spans="1:12" ht="25" customHeight="1">
      <c r="A2064" s="2" t="s">
        <v>12</v>
      </c>
      <c r="B2064" s="2" t="str">
        <f>HYPERLINK("http://bbs.12365auto.com/postcontent.aspx?tID=195184","30万出头就能办齐美系中大型SUV 别克昂科旗真值")</f>
        <v>30万出头就能办齐美系中大型SUV 别克昂科旗真值</v>
      </c>
      <c r="C2064" s="2" t="s">
        <v>13</v>
      </c>
      <c r="D2064" s="2" t="s">
        <v>12</v>
      </c>
      <c r="E2064" s="2" t="s">
        <v>28</v>
      </c>
      <c r="F2064" s="2" t="str">
        <f>HYPERLINK("http://bbs.12365auto.com/postcontent.aspx?tID=195184","http://bbs.12365auto.com/postcontent.aspx?tID=195184")</f>
        <v>http://bbs.12365auto.com/postcontent.aspx?tID=195184</v>
      </c>
      <c r="G2064" s="2"/>
      <c r="H2064" s="2" t="s">
        <v>2999</v>
      </c>
      <c r="I2064" s="2" t="s">
        <v>15</v>
      </c>
      <c r="J2064" s="2" t="s">
        <v>2996</v>
      </c>
      <c r="K2064" s="2" t="s">
        <v>2997</v>
      </c>
      <c r="L2064" s="2">
        <f t="shared" si="32"/>
        <v>150</v>
      </c>
    </row>
    <row r="2065" spans="1:12" ht="25" customHeight="1">
      <c r="A2065" s="2" t="s">
        <v>12</v>
      </c>
      <c r="B2065" s="2" t="str">
        <f>HYPERLINK("http://bbs.12365auto.com/postcontent.aspx?tID=195185","被吹爆的进口旅行车鲜有人问津 新沃尔沃V90能改变局面吗")</f>
        <v>被吹爆的进口旅行车鲜有人问津 新沃尔沃V90能改变局面吗</v>
      </c>
      <c r="C2065" s="2" t="s">
        <v>13</v>
      </c>
      <c r="D2065" s="2" t="s">
        <v>12</v>
      </c>
      <c r="E2065" s="2" t="s">
        <v>28</v>
      </c>
      <c r="F2065" s="2" t="str">
        <f>HYPERLINK("http://bbs.12365auto.com/postcontent.aspx?tID=195185","http://bbs.12365auto.com/postcontent.aspx?tID=195185")</f>
        <v>http://bbs.12365auto.com/postcontent.aspx?tID=195185</v>
      </c>
      <c r="G2065" s="2"/>
      <c r="H2065" s="2" t="s">
        <v>3000</v>
      </c>
      <c r="I2065" s="2" t="s">
        <v>15</v>
      </c>
      <c r="J2065" s="2" t="s">
        <v>2996</v>
      </c>
      <c r="K2065" s="2" t="s">
        <v>2997</v>
      </c>
      <c r="L2065" s="2">
        <f t="shared" si="32"/>
        <v>150</v>
      </c>
    </row>
    <row r="2066" spans="1:12" ht="25" customHeight="1">
      <c r="A2066" s="2" t="s">
        <v>12</v>
      </c>
      <c r="B2066" s="2" t="str">
        <f>HYPERLINK("http://www.12365auto.com/zlts/20200226/448772.shtml","广汽传祺GS5怠速不稳 刹车异响 换挡异响")</f>
        <v>广汽传祺GS5怠速不稳 刹车异响 换挡异响</v>
      </c>
      <c r="C2066" s="2" t="s">
        <v>13</v>
      </c>
      <c r="D2066" s="2" t="s">
        <v>12</v>
      </c>
      <c r="E2066" s="2" t="s">
        <v>17</v>
      </c>
      <c r="F2066" s="2" t="str">
        <f>HYPERLINK("http://www.12365auto.com/zlts/20200226/448772.shtml","http://www.12365auto.com/zlts/20200226/448772.shtml")</f>
        <v>http://www.12365auto.com/zlts/20200226/448772.shtml</v>
      </c>
      <c r="G2066" s="2"/>
      <c r="H2066" s="2" t="s">
        <v>3001</v>
      </c>
      <c r="I2066" s="2" t="s">
        <v>15</v>
      </c>
      <c r="J2066" s="2" t="s">
        <v>12</v>
      </c>
      <c r="K2066" s="2" t="s">
        <v>3002</v>
      </c>
      <c r="L2066" s="2">
        <f t="shared" si="32"/>
        <v>150</v>
      </c>
    </row>
    <row r="2067" spans="1:12" ht="25" customHeight="1">
      <c r="A2067" s="2" t="s">
        <v>12</v>
      </c>
      <c r="B2067" s="2" t="str">
        <f>HYPERLINK("http://bbs.12365auto.com/postcontent.aspx?tId=195182","首款混合动力R系列车型 大众途锐R官图发布")</f>
        <v>首款混合动力R系列车型 大众途锐R官图发布</v>
      </c>
      <c r="C2067" s="2" t="s">
        <v>13</v>
      </c>
      <c r="D2067" s="2" t="s">
        <v>12</v>
      </c>
      <c r="E2067" s="2" t="s">
        <v>27</v>
      </c>
      <c r="F2067" s="2" t="str">
        <f>HYPERLINK("http://bbs.12365auto.com/postcontent.aspx?tId=195182","http://bbs.12365auto.com/postcontent.aspx?tId=195182")</f>
        <v>http://bbs.12365auto.com/postcontent.aspx?tId=195182</v>
      </c>
      <c r="G2067" s="2"/>
      <c r="H2067" s="2" t="s">
        <v>3003</v>
      </c>
      <c r="I2067" s="2" t="s">
        <v>15</v>
      </c>
      <c r="J2067" s="2" t="s">
        <v>2996</v>
      </c>
      <c r="K2067" s="2" t="s">
        <v>3004</v>
      </c>
      <c r="L2067" s="2">
        <f t="shared" si="32"/>
        <v>150</v>
      </c>
    </row>
    <row r="2068" spans="1:12" ht="25" customHeight="1">
      <c r="A2068" s="2" t="s">
        <v>12</v>
      </c>
      <c r="B2068" s="2" t="str">
        <f>HYPERLINK("http://bbs.12365auto.com/postcontent.aspx?tId=195181","9万元买到的比亚迪电动车 除了双大屏还有什么？")</f>
        <v>9万元买到的比亚迪电动车 除了双大屏还有什么？</v>
      </c>
      <c r="C2068" s="2" t="s">
        <v>13</v>
      </c>
      <c r="D2068" s="2" t="s">
        <v>12</v>
      </c>
      <c r="E2068" s="2" t="s">
        <v>27</v>
      </c>
      <c r="F2068" s="2" t="str">
        <f>HYPERLINK("http://bbs.12365auto.com/postcontent.aspx?tId=195181","http://bbs.12365auto.com/postcontent.aspx?tId=195181")</f>
        <v>http://bbs.12365auto.com/postcontent.aspx?tId=195181</v>
      </c>
      <c r="G2068" s="2"/>
      <c r="H2068" s="2" t="s">
        <v>3005</v>
      </c>
      <c r="I2068" s="2" t="s">
        <v>15</v>
      </c>
      <c r="J2068" s="2" t="s">
        <v>2996</v>
      </c>
      <c r="K2068" s="2" t="s">
        <v>3004</v>
      </c>
      <c r="L2068" s="2">
        <f t="shared" si="32"/>
        <v>150</v>
      </c>
    </row>
    <row r="2069" spans="1:12" ht="25" customHeight="1">
      <c r="A2069" s="2" t="s">
        <v>12</v>
      </c>
      <c r="B2069" s="2" t="str">
        <f>HYPERLINK("http://bbs.12365auto.com/postcontent.aspx?tID=195182","首款混合动力R系列车型 大众途锐R官图发布")</f>
        <v>首款混合动力R系列车型 大众途锐R官图发布</v>
      </c>
      <c r="C2069" s="2" t="s">
        <v>13</v>
      </c>
      <c r="D2069" s="2" t="s">
        <v>12</v>
      </c>
      <c r="E2069" s="2" t="s">
        <v>28</v>
      </c>
      <c r="F2069" s="2" t="str">
        <f>HYPERLINK("http://bbs.12365auto.com/postcontent.aspx?tID=195182","http://bbs.12365auto.com/postcontent.aspx?tID=195182")</f>
        <v>http://bbs.12365auto.com/postcontent.aspx?tID=195182</v>
      </c>
      <c r="G2069" s="2"/>
      <c r="H2069" s="2" t="s">
        <v>3006</v>
      </c>
      <c r="I2069" s="2" t="s">
        <v>15</v>
      </c>
      <c r="J2069" s="2" t="s">
        <v>2996</v>
      </c>
      <c r="K2069" s="2" t="s">
        <v>3004</v>
      </c>
      <c r="L2069" s="2">
        <f t="shared" si="32"/>
        <v>150</v>
      </c>
    </row>
    <row r="2070" spans="1:12" ht="25" customHeight="1">
      <c r="A2070" s="2" t="s">
        <v>12</v>
      </c>
      <c r="B2070" s="2" t="str">
        <f>HYPERLINK("http://bbs.12365auto.com/postcontent.aspx?tID=195181","9万元买到的比亚迪电动车 除了双大屏还有什么？")</f>
        <v>9万元买到的比亚迪电动车 除了双大屏还有什么？</v>
      </c>
      <c r="C2070" s="2" t="s">
        <v>13</v>
      </c>
      <c r="D2070" s="2" t="s">
        <v>12</v>
      </c>
      <c r="E2070" s="2" t="s">
        <v>28</v>
      </c>
      <c r="F2070" s="2" t="str">
        <f>HYPERLINK("http://bbs.12365auto.com/postcontent.aspx?tID=195181","http://bbs.12365auto.com/postcontent.aspx?tID=195181")</f>
        <v>http://bbs.12365auto.com/postcontent.aspx?tID=195181</v>
      </c>
      <c r="G2070" s="2"/>
      <c r="H2070" s="2" t="s">
        <v>3007</v>
      </c>
      <c r="I2070" s="2" t="s">
        <v>15</v>
      </c>
      <c r="J2070" s="2" t="s">
        <v>2996</v>
      </c>
      <c r="K2070" s="2" t="s">
        <v>3004</v>
      </c>
      <c r="L2070" s="2">
        <f t="shared" si="32"/>
        <v>150</v>
      </c>
    </row>
    <row r="2071" spans="1:12" ht="25" customHeight="1">
      <c r="A2071" s="2" t="s">
        <v>12</v>
      </c>
      <c r="B2071" s="2" t="str">
        <f>HYPERLINK("http://bbs.12365auto.com/postcontent.aspx?tID=195183","预算20来万 买大五座SUV怎么选")</f>
        <v>预算20来万 买大五座SUV怎么选</v>
      </c>
      <c r="C2071" s="2" t="s">
        <v>13</v>
      </c>
      <c r="D2071" s="2" t="s">
        <v>12</v>
      </c>
      <c r="E2071" s="2" t="s">
        <v>214</v>
      </c>
      <c r="F2071" s="2" t="str">
        <f>HYPERLINK("http://bbs.12365auto.com/postcontent.aspx?tID=195183","http://bbs.12365auto.com/postcontent.aspx?tID=195183")</f>
        <v>http://bbs.12365auto.com/postcontent.aspx?tID=195183</v>
      </c>
      <c r="G2071" s="2"/>
      <c r="H2071" s="2" t="s">
        <v>3008</v>
      </c>
      <c r="I2071" s="2" t="s">
        <v>15</v>
      </c>
      <c r="J2071" s="2" t="s">
        <v>1790</v>
      </c>
      <c r="K2071" s="2" t="s">
        <v>3004</v>
      </c>
      <c r="L2071" s="2">
        <f t="shared" si="32"/>
        <v>150</v>
      </c>
    </row>
    <row r="2072" spans="1:12" ht="25" customHeight="1">
      <c r="A2072" s="2" t="s">
        <v>12</v>
      </c>
      <c r="B2072" s="2" t="str">
        <f>HYPERLINK("http://bbs.12365auto.com/postcontent.aspx?tID=195179","宝马全新iX3谍照曝光！即将国产续航达440km")</f>
        <v>宝马全新iX3谍照曝光！即将国产续航达440km</v>
      </c>
      <c r="C2072" s="2" t="s">
        <v>13</v>
      </c>
      <c r="D2072" s="2" t="s">
        <v>12</v>
      </c>
      <c r="E2072" s="2" t="s">
        <v>28</v>
      </c>
      <c r="F2072" s="2" t="str">
        <f>HYPERLINK("http://bbs.12365auto.com/postcontent.aspx?tID=195179","http://bbs.12365auto.com/postcontent.aspx?tID=195179")</f>
        <v>http://bbs.12365auto.com/postcontent.aspx?tID=195179</v>
      </c>
      <c r="G2072" s="2"/>
      <c r="H2072" s="2" t="s">
        <v>3009</v>
      </c>
      <c r="I2072" s="2" t="s">
        <v>15</v>
      </c>
      <c r="J2072" s="2" t="s">
        <v>2996</v>
      </c>
      <c r="K2072" s="2" t="s">
        <v>3010</v>
      </c>
      <c r="L2072" s="2">
        <f t="shared" si="32"/>
        <v>150</v>
      </c>
    </row>
    <row r="2073" spans="1:12" ht="25" customHeight="1">
      <c r="A2073" s="2" t="s">
        <v>12</v>
      </c>
      <c r="B2073" s="2" t="str">
        <f>HYPERLINK("http://bbs.12365auto.com/postcontent.aspx?tID=195180","这些二手车 谁买谁后悔")</f>
        <v>这些二手车 谁买谁后悔</v>
      </c>
      <c r="C2073" s="2" t="s">
        <v>13</v>
      </c>
      <c r="D2073" s="2" t="s">
        <v>12</v>
      </c>
      <c r="E2073" s="2" t="s">
        <v>214</v>
      </c>
      <c r="F2073" s="2" t="str">
        <f>HYPERLINK("http://bbs.12365auto.com/postcontent.aspx?tID=195180","http://bbs.12365auto.com/postcontent.aspx?tID=195180")</f>
        <v>http://bbs.12365auto.com/postcontent.aspx?tID=195180</v>
      </c>
      <c r="G2073" s="2"/>
      <c r="H2073" s="2" t="s">
        <v>3011</v>
      </c>
      <c r="I2073" s="2" t="s">
        <v>15</v>
      </c>
      <c r="J2073" s="2" t="s">
        <v>1790</v>
      </c>
      <c r="K2073" s="2" t="s">
        <v>3010</v>
      </c>
      <c r="L2073" s="2">
        <f t="shared" si="32"/>
        <v>150</v>
      </c>
    </row>
    <row r="2074" spans="1:12" ht="25" customHeight="1">
      <c r="A2074" s="2" t="s">
        <v>12</v>
      </c>
      <c r="B2074" s="2" t="str">
        <f>HYPERLINK("http://bbs.12365auto.com/postcontent.aspx?tId=195179","宝马全新iX3谍照曝光！即将国产续航达440km")</f>
        <v>宝马全新iX3谍照曝光！即将国产续航达440km</v>
      </c>
      <c r="C2074" s="2" t="s">
        <v>13</v>
      </c>
      <c r="D2074" s="2" t="s">
        <v>12</v>
      </c>
      <c r="E2074" s="2" t="s">
        <v>27</v>
      </c>
      <c r="F2074" s="2" t="str">
        <f>HYPERLINK("http://bbs.12365auto.com/postcontent.aspx?tId=195179","http://bbs.12365auto.com/postcontent.aspx?tId=195179")</f>
        <v>http://bbs.12365auto.com/postcontent.aspx?tId=195179</v>
      </c>
      <c r="G2074" s="2"/>
      <c r="H2074" s="2" t="s">
        <v>3012</v>
      </c>
      <c r="I2074" s="2" t="s">
        <v>15</v>
      </c>
      <c r="J2074" s="2" t="s">
        <v>2996</v>
      </c>
      <c r="K2074" s="2" t="s">
        <v>3010</v>
      </c>
      <c r="L2074" s="2">
        <f t="shared" si="32"/>
        <v>150</v>
      </c>
    </row>
    <row r="2075" spans="1:12" ht="25" customHeight="1">
      <c r="A2075" s="2" t="s">
        <v>12</v>
      </c>
      <c r="B2075" s="2" t="str">
        <f>HYPERLINK("http://bbs.12365auto.com/postcontent.aspx?tID=195177","奇瑞设计陷入迷茫期？凯文·莱斯跳槽意大利平宁法利纳")</f>
        <v>奇瑞设计陷入迷茫期？凯文·莱斯跳槽意大利平宁法利纳</v>
      </c>
      <c r="C2075" s="2" t="s">
        <v>13</v>
      </c>
      <c r="D2075" s="2" t="s">
        <v>12</v>
      </c>
      <c r="E2075" s="2" t="s">
        <v>28</v>
      </c>
      <c r="F2075" s="2" t="str">
        <f>HYPERLINK("http://bbs.12365auto.com/postcontent.aspx?tID=195177","http://bbs.12365auto.com/postcontent.aspx?tID=195177")</f>
        <v>http://bbs.12365auto.com/postcontent.aspx?tID=195177</v>
      </c>
      <c r="G2075" s="2"/>
      <c r="H2075" s="2" t="s">
        <v>3013</v>
      </c>
      <c r="I2075" s="2" t="s">
        <v>15</v>
      </c>
      <c r="J2075" s="2" t="s">
        <v>2996</v>
      </c>
      <c r="K2075" s="2" t="s">
        <v>3014</v>
      </c>
      <c r="L2075" s="2">
        <f t="shared" si="32"/>
        <v>150</v>
      </c>
    </row>
    <row r="2076" spans="1:12" ht="25" customHeight="1">
      <c r="A2076" s="2" t="s">
        <v>12</v>
      </c>
      <c r="B2076" s="2" t="str">
        <f>HYPERLINK("http://bbs.12365auto.com/postcontent.aspx?tID=195178","吉利也当“价格屠夫”？顶配不到13万 光看颜值就爱了")</f>
        <v>吉利也当“价格屠夫”？顶配不到13万 光看颜值就爱了</v>
      </c>
      <c r="C2076" s="2" t="s">
        <v>13</v>
      </c>
      <c r="D2076" s="2" t="s">
        <v>12</v>
      </c>
      <c r="E2076" s="2" t="s">
        <v>28</v>
      </c>
      <c r="F2076" s="2" t="str">
        <f>HYPERLINK("http://bbs.12365auto.com/postcontent.aspx?tID=195178","http://bbs.12365auto.com/postcontent.aspx?tID=195178")</f>
        <v>http://bbs.12365auto.com/postcontent.aspx?tID=195178</v>
      </c>
      <c r="G2076" s="2"/>
      <c r="H2076" s="2" t="s">
        <v>3015</v>
      </c>
      <c r="I2076" s="2" t="s">
        <v>15</v>
      </c>
      <c r="J2076" s="2" t="s">
        <v>2996</v>
      </c>
      <c r="K2076" s="2" t="s">
        <v>3014</v>
      </c>
      <c r="L2076" s="2">
        <f t="shared" si="32"/>
        <v>150</v>
      </c>
    </row>
    <row r="2077" spans="1:12" ht="25" customHeight="1">
      <c r="A2077" s="2" t="s">
        <v>12</v>
      </c>
      <c r="B2077" s="2" t="str">
        <f>HYPERLINK("http://bbs.12365auto.com/postcontent.aspx?tId=195177","奇瑞设计陷入迷茫期？凯文·莱斯跳槽意大利平宁法利纳")</f>
        <v>奇瑞设计陷入迷茫期？凯文·莱斯跳槽意大利平宁法利纳</v>
      </c>
      <c r="C2077" s="2" t="s">
        <v>13</v>
      </c>
      <c r="D2077" s="2" t="s">
        <v>12</v>
      </c>
      <c r="E2077" s="2" t="s">
        <v>27</v>
      </c>
      <c r="F2077" s="2" t="str">
        <f>HYPERLINK("http://bbs.12365auto.com/postcontent.aspx?tId=195177","http://bbs.12365auto.com/postcontent.aspx?tId=195177")</f>
        <v>http://bbs.12365auto.com/postcontent.aspx?tId=195177</v>
      </c>
      <c r="G2077" s="2"/>
      <c r="H2077" s="2" t="s">
        <v>3016</v>
      </c>
      <c r="I2077" s="2" t="s">
        <v>15</v>
      </c>
      <c r="J2077" s="2" t="s">
        <v>2996</v>
      </c>
      <c r="K2077" s="2" t="s">
        <v>3014</v>
      </c>
      <c r="L2077" s="2">
        <f t="shared" si="32"/>
        <v>150</v>
      </c>
    </row>
    <row r="2078" spans="1:12" ht="25" customHeight="1">
      <c r="A2078" s="2" t="s">
        <v>12</v>
      </c>
      <c r="B2078" s="2" t="str">
        <f>HYPERLINK("http://bbs.12365auto.com/postcontent.aspx?tId=195178","吉利也当“价格屠夫”？顶配不到13万 光看颜值就爱了")</f>
        <v>吉利也当“价格屠夫”？顶配不到13万 光看颜值就爱了</v>
      </c>
      <c r="C2078" s="2" t="s">
        <v>13</v>
      </c>
      <c r="D2078" s="2" t="s">
        <v>12</v>
      </c>
      <c r="E2078" s="2" t="s">
        <v>27</v>
      </c>
      <c r="F2078" s="2" t="str">
        <f>HYPERLINK("http://bbs.12365auto.com/postcontent.aspx?tId=195178","http://bbs.12365auto.com/postcontent.aspx?tId=195178")</f>
        <v>http://bbs.12365auto.com/postcontent.aspx?tId=195178</v>
      </c>
      <c r="G2078" s="2"/>
      <c r="H2078" s="2" t="s">
        <v>3017</v>
      </c>
      <c r="I2078" s="2" t="s">
        <v>15</v>
      </c>
      <c r="J2078" s="2" t="s">
        <v>2996</v>
      </c>
      <c r="K2078" s="2" t="s">
        <v>3014</v>
      </c>
      <c r="L2078" s="2">
        <f t="shared" si="32"/>
        <v>150</v>
      </c>
    </row>
    <row r="2079" spans="1:12" ht="25" customHeight="1">
      <c r="A2079" s="2" t="s">
        <v>12</v>
      </c>
      <c r="B2079" s="2" t="str">
        <f>HYPERLINK("http://bbs.12365auto.com/postcontent.aspx?tID=195175","黑棚图曝出几何C 设计美学与科技智能兼备")</f>
        <v>黑棚图曝出几何C 设计美学与科技智能兼备</v>
      </c>
      <c r="C2079" s="2" t="s">
        <v>13</v>
      </c>
      <c r="D2079" s="2" t="s">
        <v>12</v>
      </c>
      <c r="E2079" s="2" t="s">
        <v>28</v>
      </c>
      <c r="F2079" s="2" t="str">
        <f>HYPERLINK("http://bbs.12365auto.com/postcontent.aspx?tID=195175","http://bbs.12365auto.com/postcontent.aspx?tID=195175")</f>
        <v>http://bbs.12365auto.com/postcontent.aspx?tID=195175</v>
      </c>
      <c r="G2079" s="2"/>
      <c r="H2079" s="2" t="s">
        <v>3018</v>
      </c>
      <c r="I2079" s="2" t="s">
        <v>15</v>
      </c>
      <c r="J2079" s="2" t="s">
        <v>2996</v>
      </c>
      <c r="K2079" s="2" t="s">
        <v>3019</v>
      </c>
      <c r="L2079" s="2">
        <f t="shared" si="32"/>
        <v>150</v>
      </c>
    </row>
    <row r="2080" spans="1:12" ht="25" customHeight="1">
      <c r="A2080" s="2" t="s">
        <v>12</v>
      </c>
      <c r="B2080" s="2" t="str">
        <f>HYPERLINK("http://bbs.12365auto.com/postcontent.aspx?tID=195174","实话实说：国产变速箱全球地位有多高？")</f>
        <v>实话实说：国产变速箱全球地位有多高？</v>
      </c>
      <c r="C2080" s="2" t="s">
        <v>13</v>
      </c>
      <c r="D2080" s="2" t="s">
        <v>12</v>
      </c>
      <c r="E2080" s="2" t="s">
        <v>214</v>
      </c>
      <c r="F2080" s="2" t="str">
        <f>HYPERLINK("http://bbs.12365auto.com/postcontent.aspx?tID=195174","http://bbs.12365auto.com/postcontent.aspx?tID=195174")</f>
        <v>http://bbs.12365auto.com/postcontent.aspx?tID=195174</v>
      </c>
      <c r="G2080" s="2"/>
      <c r="H2080" s="2" t="s">
        <v>3020</v>
      </c>
      <c r="I2080" s="2" t="s">
        <v>15</v>
      </c>
      <c r="J2080" s="2" t="s">
        <v>1790</v>
      </c>
      <c r="K2080" s="2" t="s">
        <v>3019</v>
      </c>
      <c r="L2080" s="2">
        <f t="shared" si="32"/>
        <v>150</v>
      </c>
    </row>
    <row r="2081" spans="1:12" ht="25" customHeight="1">
      <c r="A2081" s="2" t="s">
        <v>12</v>
      </c>
      <c r="B2081" s="2" t="str">
        <f>HYPERLINK("http://bbs.12365auto.com/postcontent.aspx?tId=195176","最懂你味蕾的车 奥迪大将来袭")</f>
        <v>最懂你味蕾的车 奥迪大将来袭</v>
      </c>
      <c r="C2081" s="2" t="s">
        <v>13</v>
      </c>
      <c r="D2081" s="2" t="s">
        <v>12</v>
      </c>
      <c r="E2081" s="2" t="s">
        <v>27</v>
      </c>
      <c r="F2081" s="2" t="str">
        <f>HYPERLINK("http://bbs.12365auto.com/postcontent.aspx?tId=195176","http://bbs.12365auto.com/postcontent.aspx?tId=195176")</f>
        <v>http://bbs.12365auto.com/postcontent.aspx?tId=195176</v>
      </c>
      <c r="G2081" s="2"/>
      <c r="H2081" s="2" t="s">
        <v>3021</v>
      </c>
      <c r="I2081" s="2" t="s">
        <v>15</v>
      </c>
      <c r="J2081" s="2" t="s">
        <v>2996</v>
      </c>
      <c r="K2081" s="2" t="s">
        <v>3019</v>
      </c>
      <c r="L2081" s="2">
        <f t="shared" si="32"/>
        <v>150</v>
      </c>
    </row>
    <row r="2082" spans="1:12" ht="25" customHeight="1">
      <c r="A2082" s="2" t="s">
        <v>12</v>
      </c>
      <c r="B2082" s="2" t="str">
        <f>HYPERLINK("http://bbs.12365auto.com/postcontent.aspx?tId=195175","黑棚图曝出几何C 设计美学与科技智能兼备")</f>
        <v>黑棚图曝出几何C 设计美学与科技智能兼备</v>
      </c>
      <c r="C2082" s="2" t="s">
        <v>13</v>
      </c>
      <c r="D2082" s="2" t="s">
        <v>12</v>
      </c>
      <c r="E2082" s="2" t="s">
        <v>27</v>
      </c>
      <c r="F2082" s="2" t="str">
        <f>HYPERLINK("http://bbs.12365auto.com/postcontent.aspx?tId=195175","http://bbs.12365auto.com/postcontent.aspx?tId=195175")</f>
        <v>http://bbs.12365auto.com/postcontent.aspx?tId=195175</v>
      </c>
      <c r="G2082" s="2"/>
      <c r="H2082" s="2" t="s">
        <v>3022</v>
      </c>
      <c r="I2082" s="2" t="s">
        <v>15</v>
      </c>
      <c r="J2082" s="2" t="s">
        <v>2996</v>
      </c>
      <c r="K2082" s="2" t="s">
        <v>3019</v>
      </c>
      <c r="L2082" s="2">
        <f t="shared" si="32"/>
        <v>150</v>
      </c>
    </row>
    <row r="2083" spans="1:12" ht="25" customHeight="1">
      <c r="A2083" s="2" t="s">
        <v>12</v>
      </c>
      <c r="B2083" s="2" t="str">
        <f>HYPERLINK("http://bbs.12365auto.com/postcontent.aspx?tId=195174","实话实说：国产变速箱全球地位有多高？")</f>
        <v>实话实说：国产变速箱全球地位有多高？</v>
      </c>
      <c r="C2083" s="2" t="s">
        <v>13</v>
      </c>
      <c r="D2083" s="2" t="s">
        <v>12</v>
      </c>
      <c r="E2083" s="2" t="s">
        <v>210</v>
      </c>
      <c r="F2083" s="2" t="str">
        <f>HYPERLINK("http://bbs.12365auto.com/postcontent.aspx?tId=195174","http://bbs.12365auto.com/postcontent.aspx?tId=195174")</f>
        <v>http://bbs.12365auto.com/postcontent.aspx?tId=195174</v>
      </c>
      <c r="G2083" s="2"/>
      <c r="H2083" s="2" t="s">
        <v>3023</v>
      </c>
      <c r="I2083" s="2" t="s">
        <v>15</v>
      </c>
      <c r="J2083" s="2" t="s">
        <v>1790</v>
      </c>
      <c r="K2083" s="2" t="s">
        <v>3019</v>
      </c>
      <c r="L2083" s="2">
        <f t="shared" si="32"/>
        <v>150</v>
      </c>
    </row>
    <row r="2084" spans="1:12" ht="25" customHeight="1">
      <c r="A2084" s="2" t="s">
        <v>12</v>
      </c>
      <c r="B2084" s="2" t="str">
        <f>HYPERLINK("http://bbs.12365auto.com/postcontent.aspx?tID=195176","最懂你味蕾的车 奥迪大将来袭")</f>
        <v>最懂你味蕾的车 奥迪大将来袭</v>
      </c>
      <c r="C2084" s="2" t="s">
        <v>13</v>
      </c>
      <c r="D2084" s="2" t="s">
        <v>12</v>
      </c>
      <c r="E2084" s="2" t="s">
        <v>28</v>
      </c>
      <c r="F2084" s="2" t="str">
        <f>HYPERLINK("http://bbs.12365auto.com/postcontent.aspx?tID=195176","http://bbs.12365auto.com/postcontent.aspx?tID=195176")</f>
        <v>http://bbs.12365auto.com/postcontent.aspx?tID=195176</v>
      </c>
      <c r="G2084" s="2"/>
      <c r="H2084" s="2" t="s">
        <v>3024</v>
      </c>
      <c r="I2084" s="2" t="s">
        <v>15</v>
      </c>
      <c r="J2084" s="2" t="s">
        <v>2996</v>
      </c>
      <c r="K2084" s="2" t="s">
        <v>3019</v>
      </c>
      <c r="L2084" s="2">
        <f t="shared" si="32"/>
        <v>150</v>
      </c>
    </row>
    <row r="2085" spans="1:12" ht="25" customHeight="1">
      <c r="A2085" s="2" t="s">
        <v>12</v>
      </c>
      <c r="B2085" s="2" t="str">
        <f>HYPERLINK("http://bbs.12365auto.com/postcontent.aspx?tID=195173","捷达VS7尝鲜价格公布 10.68万元起/3月20日上市")</f>
        <v>捷达VS7尝鲜价格公布 10.68万元起/3月20日上市</v>
      </c>
      <c r="C2085" s="2" t="s">
        <v>13</v>
      </c>
      <c r="D2085" s="2" t="s">
        <v>12</v>
      </c>
      <c r="E2085" s="2" t="s">
        <v>28</v>
      </c>
      <c r="F2085" s="2" t="str">
        <f>HYPERLINK("http://bbs.12365auto.com/postcontent.aspx?tID=195173","http://bbs.12365auto.com/postcontent.aspx?tID=195173")</f>
        <v>http://bbs.12365auto.com/postcontent.aspx?tID=195173</v>
      </c>
      <c r="G2085" s="2"/>
      <c r="H2085" s="2" t="s">
        <v>3025</v>
      </c>
      <c r="I2085" s="2" t="s">
        <v>15</v>
      </c>
      <c r="J2085" s="2" t="s">
        <v>2996</v>
      </c>
      <c r="K2085" s="2" t="s">
        <v>3026</v>
      </c>
      <c r="L2085" s="2">
        <f t="shared" si="32"/>
        <v>150</v>
      </c>
    </row>
    <row r="2086" spans="1:12" ht="25" customHeight="1">
      <c r="A2086" s="2" t="s">
        <v>12</v>
      </c>
      <c r="B2086" s="2" t="str">
        <f>HYPERLINK("http://bbs.12365auto.com/postcontent.aspx?tId=195173","捷达VS7尝鲜价格公布 10.68万元起/3月20日上市")</f>
        <v>捷达VS7尝鲜价格公布 10.68万元起/3月20日上市</v>
      </c>
      <c r="C2086" s="2" t="s">
        <v>13</v>
      </c>
      <c r="D2086" s="2" t="s">
        <v>12</v>
      </c>
      <c r="E2086" s="2" t="s">
        <v>27</v>
      </c>
      <c r="F2086" s="2" t="str">
        <f>HYPERLINK("http://bbs.12365auto.com/postcontent.aspx?tId=195173","http://bbs.12365auto.com/postcontent.aspx?tId=195173")</f>
        <v>http://bbs.12365auto.com/postcontent.aspx?tId=195173</v>
      </c>
      <c r="G2086" s="2"/>
      <c r="H2086" s="2" t="s">
        <v>3027</v>
      </c>
      <c r="I2086" s="2" t="s">
        <v>15</v>
      </c>
      <c r="J2086" s="2" t="s">
        <v>2996</v>
      </c>
      <c r="K2086" s="2" t="s">
        <v>3026</v>
      </c>
      <c r="L2086" s="2">
        <f t="shared" si="32"/>
        <v>150</v>
      </c>
    </row>
    <row r="2087" spans="1:12" ht="25" customHeight="1">
      <c r="A2087" s="2" t="s">
        <v>12</v>
      </c>
      <c r="B2087" s="2" t="str">
        <f>HYPERLINK("http://bbs.12365auto.com/postcontent.aspx?tID=195172","你想要的它们都有 8.98万起这些新车要火")</f>
        <v>你想要的它们都有 8.98万起这些新车要火</v>
      </c>
      <c r="C2087" s="2" t="s">
        <v>13</v>
      </c>
      <c r="D2087" s="2" t="s">
        <v>12</v>
      </c>
      <c r="E2087" s="2" t="s">
        <v>214</v>
      </c>
      <c r="F2087" s="2" t="str">
        <f>HYPERLINK("http://bbs.12365auto.com/postcontent.aspx?tID=195172","http://bbs.12365auto.com/postcontent.aspx?tID=195172")</f>
        <v>http://bbs.12365auto.com/postcontent.aspx?tID=195172</v>
      </c>
      <c r="G2087" s="2"/>
      <c r="H2087" s="2" t="s">
        <v>3028</v>
      </c>
      <c r="I2087" s="2" t="s">
        <v>15</v>
      </c>
      <c r="J2087" s="2" t="s">
        <v>1790</v>
      </c>
      <c r="K2087" s="2" t="s">
        <v>3029</v>
      </c>
      <c r="L2087" s="2">
        <f t="shared" si="32"/>
        <v>150</v>
      </c>
    </row>
    <row r="2088" spans="1:12" ht="25" customHeight="1">
      <c r="A2088" s="2" t="s">
        <v>12</v>
      </c>
      <c r="B2088" s="2" t="str">
        <f>HYPERLINK("http://bbs.12365auto.com/postcontent.aspx?tId=195172","你想要的它们都有 8.98万起这些新车要火")</f>
        <v>你想要的它们都有 8.98万起这些新车要火</v>
      </c>
      <c r="C2088" s="2" t="s">
        <v>13</v>
      </c>
      <c r="D2088" s="2" t="s">
        <v>12</v>
      </c>
      <c r="E2088" s="2" t="s">
        <v>210</v>
      </c>
      <c r="F2088" s="2" t="str">
        <f>HYPERLINK("http://bbs.12365auto.com/postcontent.aspx?tId=195172","http://bbs.12365auto.com/postcontent.aspx?tId=195172")</f>
        <v>http://bbs.12365auto.com/postcontent.aspx?tId=195172</v>
      </c>
      <c r="G2088" s="2"/>
      <c r="H2088" s="2" t="s">
        <v>3030</v>
      </c>
      <c r="I2088" s="2" t="s">
        <v>15</v>
      </c>
      <c r="J2088" s="2" t="s">
        <v>1790</v>
      </c>
      <c r="K2088" s="2" t="s">
        <v>3029</v>
      </c>
      <c r="L2088" s="2">
        <f t="shared" si="32"/>
        <v>150</v>
      </c>
    </row>
    <row r="2089" spans="1:12" ht="25" customHeight="1">
      <c r="A2089" s="2" t="s">
        <v>12</v>
      </c>
      <c r="B2089" s="2" t="str">
        <f>HYPERLINK("http://www.12365auto.com/xcdg/20200226/419550.shtml","捷达VS7尝鲜上市 尝鲜价10.68-13.68万元")</f>
        <v>捷达VS7尝鲜上市 尝鲜价10.68-13.68万元</v>
      </c>
      <c r="C2089" s="2" t="s">
        <v>13</v>
      </c>
      <c r="D2089" s="2" t="s">
        <v>12</v>
      </c>
      <c r="E2089" s="2" t="s">
        <v>245</v>
      </c>
      <c r="F2089" s="2" t="str">
        <f>HYPERLINK("http://www.12365auto.com/xcdg/20200226/419550.shtml","http://www.12365auto.com/xcdg/20200226/419550.shtml")</f>
        <v>http://www.12365auto.com/xcdg/20200226/419550.shtml</v>
      </c>
      <c r="G2089" s="2"/>
      <c r="H2089" s="2" t="s">
        <v>3031</v>
      </c>
      <c r="I2089" s="2" t="s">
        <v>19</v>
      </c>
      <c r="J2089" s="2" t="s">
        <v>12</v>
      </c>
      <c r="K2089" s="2" t="s">
        <v>3032</v>
      </c>
      <c r="L2089" s="2">
        <f t="shared" si="32"/>
        <v>150</v>
      </c>
    </row>
    <row r="2090" spans="1:12" ht="25" customHeight="1">
      <c r="A2090" s="2" t="s">
        <v>12</v>
      </c>
      <c r="B2090" s="2" t="str">
        <f>HYPERLINK("http://m.12365auto.com/xcdg/20200226/419550.shtml","捷达VS7尝鲜上市 尝鲜价10.68-13.68万元")</f>
        <v>捷达VS7尝鲜上市 尝鲜价10.68-13.68万元</v>
      </c>
      <c r="C2090" s="2" t="s">
        <v>13</v>
      </c>
      <c r="D2090" s="2" t="s">
        <v>12</v>
      </c>
      <c r="E2090" s="2"/>
      <c r="F2090" s="2" t="str">
        <f>HYPERLINK("http://m.12365auto.com/xcdg/20200226/419550.shtml","http://m.12365auto.com/xcdg/20200226/419550.shtml")</f>
        <v>http://m.12365auto.com/xcdg/20200226/419550.shtml</v>
      </c>
      <c r="G2090" s="2"/>
      <c r="H2090" s="2" t="s">
        <v>3033</v>
      </c>
      <c r="I2090" s="2" t="s">
        <v>19</v>
      </c>
      <c r="J2090" s="2" t="s">
        <v>12</v>
      </c>
      <c r="K2090" s="2" t="s">
        <v>3032</v>
      </c>
      <c r="L2090" s="2">
        <f t="shared" si="32"/>
        <v>150</v>
      </c>
    </row>
    <row r="2091" spans="1:12" ht="25" customHeight="1">
      <c r="A2091" s="2" t="s">
        <v>12</v>
      </c>
      <c r="B2091" s="2" t="str">
        <f>HYPERLINK("http://m.12365auto.com/xcdg/20200226/419549.shtml","30万办齐美系中大型SUV 别克昂科旗真值")</f>
        <v>30万办齐美系中大型SUV 别克昂科旗真值</v>
      </c>
      <c r="C2091" s="2" t="s">
        <v>13</v>
      </c>
      <c r="D2091" s="2" t="s">
        <v>12</v>
      </c>
      <c r="E2091" s="2"/>
      <c r="F2091" s="2" t="str">
        <f>HYPERLINK("http://m.12365auto.com/xcdg/20200226/419549.shtml","http://m.12365auto.com/xcdg/20200226/419549.shtml")</f>
        <v>http://m.12365auto.com/xcdg/20200226/419549.shtml</v>
      </c>
      <c r="G2091" s="2"/>
      <c r="H2091" s="2" t="s">
        <v>3034</v>
      </c>
      <c r="I2091" s="2" t="s">
        <v>19</v>
      </c>
      <c r="J2091" s="2" t="s">
        <v>1247</v>
      </c>
      <c r="K2091" s="2" t="s">
        <v>3035</v>
      </c>
      <c r="L2091" s="2">
        <f t="shared" si="32"/>
        <v>150</v>
      </c>
    </row>
    <row r="2092" spans="1:12" ht="25" customHeight="1">
      <c r="A2092" s="2" t="s">
        <v>12</v>
      </c>
      <c r="B2092" s="2" t="str">
        <f>HYPERLINK("http://www.12365auto.com/news/20200226/419548.shtml","长城汽车“满血”复工 四大基地恢复生产")</f>
        <v>长城汽车“满血”复工 四大基地恢复生产</v>
      </c>
      <c r="C2092" s="2" t="s">
        <v>13</v>
      </c>
      <c r="D2092" s="2" t="s">
        <v>12</v>
      </c>
      <c r="E2092" s="2" t="s">
        <v>276</v>
      </c>
      <c r="F2092" s="2" t="str">
        <f>HYPERLINK("http://www.12365auto.com/news/20200226/419548.shtml","http://www.12365auto.com/news/20200226/419548.shtml")</f>
        <v>http://www.12365auto.com/news/20200226/419548.shtml</v>
      </c>
      <c r="G2092" s="2"/>
      <c r="H2092" s="2" t="s">
        <v>3036</v>
      </c>
      <c r="I2092" s="2" t="s">
        <v>15</v>
      </c>
      <c r="J2092" s="2" t="s">
        <v>12</v>
      </c>
      <c r="K2092" s="2" t="s">
        <v>3037</v>
      </c>
      <c r="L2092" s="2">
        <f t="shared" si="32"/>
        <v>150</v>
      </c>
    </row>
    <row r="2093" spans="1:12" ht="25" customHeight="1">
      <c r="A2093" s="2" t="s">
        <v>12</v>
      </c>
      <c r="B2093" s="2" t="str">
        <f>HYPERLINK("http://m.12365auto.com/news/20200226/419548.shtml","长城汽车“满血”复工 四大基地恢复生产")</f>
        <v>长城汽车“满血”复工 四大基地恢复生产</v>
      </c>
      <c r="C2093" s="2" t="s">
        <v>13</v>
      </c>
      <c r="D2093" s="2" t="s">
        <v>12</v>
      </c>
      <c r="E2093" s="2"/>
      <c r="F2093" s="2" t="str">
        <f>HYPERLINK("http://m.12365auto.com/news/20200226/419548.shtml","http://m.12365auto.com/news/20200226/419548.shtml")</f>
        <v>http://m.12365auto.com/news/20200226/419548.shtml</v>
      </c>
      <c r="G2093" s="2"/>
      <c r="H2093" s="2" t="s">
        <v>3038</v>
      </c>
      <c r="I2093" s="2" t="s">
        <v>19</v>
      </c>
      <c r="J2093" s="2" t="s">
        <v>249</v>
      </c>
      <c r="K2093" s="2" t="s">
        <v>3037</v>
      </c>
      <c r="L2093" s="2">
        <f t="shared" si="32"/>
        <v>150</v>
      </c>
    </row>
    <row r="2094" spans="1:12" ht="25" customHeight="1">
      <c r="A2094" s="2" t="s">
        <v>12</v>
      </c>
      <c r="B2094" s="2" t="str">
        <f>HYPERLINK("http://www.12365auto.com/xcdg/20200226/419547.shtml","5种按摩配24向调节座椅 林肯冒险家真舒服")</f>
        <v>5种按摩配24向调节座椅 林肯冒险家真舒服</v>
      </c>
      <c r="C2094" s="2" t="s">
        <v>13</v>
      </c>
      <c r="D2094" s="2" t="s">
        <v>12</v>
      </c>
      <c r="E2094" s="2" t="s">
        <v>216</v>
      </c>
      <c r="F2094" s="2" t="str">
        <f>HYPERLINK("http://www.12365auto.com/xcdg/20200226/419547.shtml","http://www.12365auto.com/xcdg/20200226/419547.shtml")</f>
        <v>http://www.12365auto.com/xcdg/20200226/419547.shtml</v>
      </c>
      <c r="G2094" s="2"/>
      <c r="H2094" s="2" t="s">
        <v>3039</v>
      </c>
      <c r="I2094" s="2" t="s">
        <v>15</v>
      </c>
      <c r="J2094" s="2" t="s">
        <v>12</v>
      </c>
      <c r="K2094" s="2" t="s">
        <v>3040</v>
      </c>
      <c r="L2094" s="2">
        <f t="shared" si="32"/>
        <v>150</v>
      </c>
    </row>
    <row r="2095" spans="1:12" ht="25" customHeight="1">
      <c r="A2095" s="2" t="s">
        <v>12</v>
      </c>
      <c r="B2095" s="2" t="str">
        <f>HYPERLINK("http://www.12365auto.com/zlts/20200226/448769.shtml","东风雪铁龙C4L方向盘松动影响安全")</f>
        <v>东风雪铁龙C4L方向盘松动影响安全</v>
      </c>
      <c r="C2095" s="2" t="s">
        <v>13</v>
      </c>
      <c r="D2095" s="2" t="s">
        <v>12</v>
      </c>
      <c r="E2095" s="2" t="s">
        <v>17</v>
      </c>
      <c r="F2095" s="2" t="str">
        <f>HYPERLINK("http://www.12365auto.com/zlts/20200226/448769.shtml","http://www.12365auto.com/zlts/20200226/448769.shtml")</f>
        <v>http://www.12365auto.com/zlts/20200226/448769.shtml</v>
      </c>
      <c r="G2095" s="2"/>
      <c r="H2095" s="2" t="s">
        <v>3041</v>
      </c>
      <c r="I2095" s="2" t="s">
        <v>19</v>
      </c>
      <c r="J2095" s="2" t="s">
        <v>12</v>
      </c>
      <c r="K2095" s="2" t="s">
        <v>3040</v>
      </c>
      <c r="L2095" s="2">
        <f t="shared" si="32"/>
        <v>150</v>
      </c>
    </row>
    <row r="2096" spans="1:12" ht="25" customHeight="1">
      <c r="A2096" s="2" t="s">
        <v>12</v>
      </c>
      <c r="B2096" s="2" t="str">
        <f>HYPERLINK("http://www.12365auto.com/zlts/20200226/448770.shtml","东风雪铁龙C4L方向盘松动特别严重")</f>
        <v>东风雪铁龙C4L方向盘松动特别严重</v>
      </c>
      <c r="C2096" s="2" t="s">
        <v>13</v>
      </c>
      <c r="D2096" s="2" t="s">
        <v>12</v>
      </c>
      <c r="E2096" s="2" t="s">
        <v>17</v>
      </c>
      <c r="F2096" s="2" t="str">
        <f>HYPERLINK("http://www.12365auto.com/zlts/20200226/448770.shtml","http://www.12365auto.com/zlts/20200226/448770.shtml")</f>
        <v>http://www.12365auto.com/zlts/20200226/448770.shtml</v>
      </c>
      <c r="G2096" s="2"/>
      <c r="H2096" s="2" t="s">
        <v>3042</v>
      </c>
      <c r="I2096" s="2" t="s">
        <v>19</v>
      </c>
      <c r="J2096" s="2" t="s">
        <v>12</v>
      </c>
      <c r="K2096" s="2" t="s">
        <v>3040</v>
      </c>
      <c r="L2096" s="2">
        <f t="shared" si="32"/>
        <v>150</v>
      </c>
    </row>
    <row r="2097" spans="1:12" ht="25" customHeight="1">
      <c r="A2097" s="2" t="s">
        <v>12</v>
      </c>
      <c r="B2097" s="2" t="str">
        <f>HYPERLINK("http://m.12365auto.com/xcdg/20200226/419547.shtml","5种按摩配24向调节座椅 林肯冒险家真舒服")</f>
        <v>5种按摩配24向调节座椅 林肯冒险家真舒服</v>
      </c>
      <c r="C2097" s="2" t="s">
        <v>13</v>
      </c>
      <c r="D2097" s="2" t="s">
        <v>12</v>
      </c>
      <c r="E2097" s="2"/>
      <c r="F2097" s="2" t="str">
        <f>HYPERLINK("http://m.12365auto.com/xcdg/20200226/419547.shtml","http://m.12365auto.com/xcdg/20200226/419547.shtml")</f>
        <v>http://m.12365auto.com/xcdg/20200226/419547.shtml</v>
      </c>
      <c r="G2097" s="2"/>
      <c r="H2097" s="2" t="s">
        <v>3043</v>
      </c>
      <c r="I2097" s="2" t="s">
        <v>19</v>
      </c>
      <c r="J2097" s="2" t="s">
        <v>1247</v>
      </c>
      <c r="K2097" s="2" t="s">
        <v>3040</v>
      </c>
      <c r="L2097" s="2">
        <f t="shared" si="32"/>
        <v>150</v>
      </c>
    </row>
    <row r="2098" spans="1:12" ht="25" customHeight="1">
      <c r="A2098" s="2" t="s">
        <v>12</v>
      </c>
      <c r="B2098" s="2" t="str">
        <f>HYPERLINK("http://m.12365auto.com/zjdy/20200226/121653.shtml","广汽传祺GS5这车质量如何是否值得购买？")</f>
        <v>广汽传祺GS5这车质量如何是否值得购买？</v>
      </c>
      <c r="C2098" s="2" t="s">
        <v>13</v>
      </c>
      <c r="D2098" s="2" t="s">
        <v>12</v>
      </c>
      <c r="E2098" s="2"/>
      <c r="F2098" s="2" t="str">
        <f>HYPERLINK("http://m.12365auto.com/zjdy/20200226/121653.shtml","http://m.12365auto.com/zjdy/20200226/121653.shtml")</f>
        <v>http://m.12365auto.com/zjdy/20200226/121653.shtml</v>
      </c>
      <c r="G2098" s="2"/>
      <c r="H2098" s="2" t="s">
        <v>3044</v>
      </c>
      <c r="I2098" s="2" t="s">
        <v>19</v>
      </c>
      <c r="J2098" s="2" t="s">
        <v>12</v>
      </c>
      <c r="K2098" s="2" t="s">
        <v>3045</v>
      </c>
      <c r="L2098" s="2">
        <f t="shared" si="32"/>
        <v>33</v>
      </c>
    </row>
    <row r="2099" spans="1:12" ht="25" customHeight="1">
      <c r="A2099" s="2" t="s">
        <v>12</v>
      </c>
      <c r="B2099" s="2" t="str">
        <f>HYPERLINK("http://m.12365auto.com/zjdy/20200226/121654.shtml","车辆排气管发黑是什么原因怎么处理？")</f>
        <v>车辆排气管发黑是什么原因怎么处理？</v>
      </c>
      <c r="C2099" s="2" t="s">
        <v>13</v>
      </c>
      <c r="D2099" s="2" t="s">
        <v>12</v>
      </c>
      <c r="E2099" s="2"/>
      <c r="F2099" s="2" t="str">
        <f>HYPERLINK("http://m.12365auto.com/zjdy/20200226/121654.shtml","http://m.12365auto.com/zjdy/20200226/121654.shtml")</f>
        <v>http://m.12365auto.com/zjdy/20200226/121654.shtml</v>
      </c>
      <c r="G2099" s="2"/>
      <c r="H2099" s="2" t="s">
        <v>3046</v>
      </c>
      <c r="I2099" s="2" t="s">
        <v>19</v>
      </c>
      <c r="J2099" s="2" t="s">
        <v>12</v>
      </c>
      <c r="K2099" s="2" t="s">
        <v>3045</v>
      </c>
      <c r="L2099" s="2">
        <f t="shared" si="32"/>
        <v>27</v>
      </c>
    </row>
    <row r="2100" spans="1:12" ht="25" customHeight="1">
      <c r="A2100" s="2" t="s">
        <v>12</v>
      </c>
      <c r="B2100" s="2" t="str">
        <f>HYPERLINK("http://m.12365auto.com/xcdg/20200226/419546.shtml","近500km续航 菲斯塔纯电动叫板特斯拉")</f>
        <v>近500km续航 菲斯塔纯电动叫板特斯拉</v>
      </c>
      <c r="C2100" s="2" t="s">
        <v>13</v>
      </c>
      <c r="D2100" s="2" t="s">
        <v>12</v>
      </c>
      <c r="E2100" s="2"/>
      <c r="F2100" s="2" t="str">
        <f>HYPERLINK("http://m.12365auto.com/xcdg/20200226/419546.shtml","http://m.12365auto.com/xcdg/20200226/419546.shtml")</f>
        <v>http://m.12365auto.com/xcdg/20200226/419546.shtml</v>
      </c>
      <c r="G2100" s="2"/>
      <c r="H2100" s="2" t="s">
        <v>3047</v>
      </c>
      <c r="I2100" s="2" t="s">
        <v>19</v>
      </c>
      <c r="J2100" s="2" t="s">
        <v>3048</v>
      </c>
      <c r="K2100" s="2" t="s">
        <v>3049</v>
      </c>
      <c r="L2100" s="2">
        <f t="shared" si="32"/>
        <v>150</v>
      </c>
    </row>
    <row r="2101" spans="1:12" ht="25" customHeight="1">
      <c r="A2101" s="2" t="s">
        <v>12</v>
      </c>
      <c r="B2101" s="2" t="str">
        <f>HYPERLINK("http://www.12365auto.com/news/20200226/419545.shtml","公布捐款细则 梅赛德斯-奔驰再追加2000万")</f>
        <v>公布捐款细则 梅赛德斯-奔驰再追加2000万</v>
      </c>
      <c r="C2101" s="2" t="s">
        <v>13</v>
      </c>
      <c r="D2101" s="2" t="s">
        <v>12</v>
      </c>
      <c r="E2101" s="2" t="s">
        <v>276</v>
      </c>
      <c r="F2101" s="2" t="str">
        <f>HYPERLINK("http://www.12365auto.com/news/20200226/419545.shtml","http://www.12365auto.com/news/20200226/419545.shtml")</f>
        <v>http://www.12365auto.com/news/20200226/419545.shtml</v>
      </c>
      <c r="G2101" s="2"/>
      <c r="H2101" s="2" t="s">
        <v>3050</v>
      </c>
      <c r="I2101" s="2" t="s">
        <v>15</v>
      </c>
      <c r="J2101" s="2" t="s">
        <v>12</v>
      </c>
      <c r="K2101" s="2" t="s">
        <v>3051</v>
      </c>
      <c r="L2101" s="2">
        <f t="shared" si="32"/>
        <v>150</v>
      </c>
    </row>
    <row r="2102" spans="1:12" ht="25" customHeight="1">
      <c r="A2102" s="2" t="s">
        <v>12</v>
      </c>
      <c r="B2102" s="2" t="str">
        <f>HYPERLINK("http://m.12365auto.com/news/20200226/419545.shtml","公布捐款细则 梅赛德斯-奔驰再追加2000万")</f>
        <v>公布捐款细则 梅赛德斯-奔驰再追加2000万</v>
      </c>
      <c r="C2102" s="2" t="s">
        <v>13</v>
      </c>
      <c r="D2102" s="2" t="s">
        <v>12</v>
      </c>
      <c r="E2102" s="2"/>
      <c r="F2102" s="2" t="str">
        <f>HYPERLINK("http://m.12365auto.com/news/20200226/419545.shtml","http://m.12365auto.com/news/20200226/419545.shtml")</f>
        <v>http://m.12365auto.com/news/20200226/419545.shtml</v>
      </c>
      <c r="G2102" s="2"/>
      <c r="H2102" s="2" t="s">
        <v>3052</v>
      </c>
      <c r="I2102" s="2" t="s">
        <v>19</v>
      </c>
      <c r="J2102" s="2" t="s">
        <v>3053</v>
      </c>
      <c r="K2102" s="2" t="s">
        <v>3051</v>
      </c>
      <c r="L2102" s="2">
        <f t="shared" si="32"/>
        <v>150</v>
      </c>
    </row>
    <row r="2103" spans="1:12" ht="25" customHeight="1">
      <c r="A2103" s="2" t="s">
        <v>12</v>
      </c>
      <c r="B2103" s="2" t="str">
        <f>HYPERLINK("http://www.12365auto.com/xcdg/20200226/419544.shtml","未来要放大招？保时捷10款新车将推出")</f>
        <v>未来要放大招？保时捷10款新车将推出</v>
      </c>
      <c r="C2103" s="2" t="s">
        <v>13</v>
      </c>
      <c r="D2103" s="2" t="s">
        <v>12</v>
      </c>
      <c r="E2103" s="2" t="s">
        <v>216</v>
      </c>
      <c r="F2103" s="2" t="str">
        <f>HYPERLINK("http://www.12365auto.com/xcdg/20200226/419544.shtml","http://www.12365auto.com/xcdg/20200226/419544.shtml")</f>
        <v>http://www.12365auto.com/xcdg/20200226/419544.shtml</v>
      </c>
      <c r="G2103" s="2"/>
      <c r="H2103" s="2" t="s">
        <v>3054</v>
      </c>
      <c r="I2103" s="2" t="s">
        <v>15</v>
      </c>
      <c r="J2103" s="2" t="s">
        <v>12</v>
      </c>
      <c r="K2103" s="2" t="s">
        <v>3055</v>
      </c>
      <c r="L2103" s="2">
        <f t="shared" si="32"/>
        <v>150</v>
      </c>
    </row>
    <row r="2104" spans="1:12" ht="25" customHeight="1">
      <c r="A2104" s="2" t="s">
        <v>12</v>
      </c>
      <c r="B2104" s="2" t="str">
        <f>HYPERLINK("http://www.12365auto.com/zlts/20200226/448767.shtml","一汽大众探岳大灯不亮 冷却液缺失")</f>
        <v>一汽大众探岳大灯不亮 冷却液缺失</v>
      </c>
      <c r="C2104" s="2" t="s">
        <v>13</v>
      </c>
      <c r="D2104" s="2" t="s">
        <v>12</v>
      </c>
      <c r="E2104" s="2" t="s">
        <v>17</v>
      </c>
      <c r="F2104" s="2" t="str">
        <f>HYPERLINK("http://www.12365auto.com/zlts/20200226/448767.shtml","http://www.12365auto.com/zlts/20200226/448767.shtml")</f>
        <v>http://www.12365auto.com/zlts/20200226/448767.shtml</v>
      </c>
      <c r="G2104" s="2"/>
      <c r="H2104" s="2" t="s">
        <v>3056</v>
      </c>
      <c r="I2104" s="2" t="s">
        <v>19</v>
      </c>
      <c r="J2104" s="2" t="s">
        <v>12</v>
      </c>
      <c r="K2104" s="2" t="s">
        <v>3055</v>
      </c>
      <c r="L2104" s="2">
        <f t="shared" si="32"/>
        <v>150</v>
      </c>
    </row>
    <row r="2105" spans="1:12" ht="25" customHeight="1">
      <c r="A2105" s="2" t="s">
        <v>12</v>
      </c>
      <c r="B2105" s="2" t="str">
        <f>HYPERLINK("http://m.12365auto.com/xcdg/20200226/419544.shtml","未来要放大招？保时捷10款新车将推出")</f>
        <v>未来要放大招？保时捷10款新车将推出</v>
      </c>
      <c r="C2105" s="2" t="s">
        <v>13</v>
      </c>
      <c r="D2105" s="2" t="s">
        <v>12</v>
      </c>
      <c r="E2105" s="2"/>
      <c r="F2105" s="2" t="str">
        <f>HYPERLINK("http://m.12365auto.com/xcdg/20200226/419544.shtml","http://m.12365auto.com/xcdg/20200226/419544.shtml")</f>
        <v>http://m.12365auto.com/xcdg/20200226/419544.shtml</v>
      </c>
      <c r="G2105" s="2"/>
      <c r="H2105" s="2" t="s">
        <v>3057</v>
      </c>
      <c r="I2105" s="2" t="s">
        <v>19</v>
      </c>
      <c r="J2105" s="2" t="s">
        <v>3058</v>
      </c>
      <c r="K2105" s="2" t="s">
        <v>3055</v>
      </c>
      <c r="L2105" s="2">
        <f t="shared" si="32"/>
        <v>150</v>
      </c>
    </row>
    <row r="2106" spans="1:12" ht="25" customHeight="1">
      <c r="A2106" s="2" t="s">
        <v>12</v>
      </c>
      <c r="B2106" s="2" t="str">
        <f>HYPERLINK("http://m.12365auto.com/xcdg/20200226/419543.shtml","以“一敌二”亚洲龙比“双探SUV”更具势能")</f>
        <v>以“一敌二”亚洲龙比“双探SUV”更具势能</v>
      </c>
      <c r="C2106" s="2" t="s">
        <v>13</v>
      </c>
      <c r="D2106" s="2" t="s">
        <v>12</v>
      </c>
      <c r="E2106" s="2"/>
      <c r="F2106" s="2" t="str">
        <f>HYPERLINK("http://m.12365auto.com/xcdg/20200226/419543.shtml","http://m.12365auto.com/xcdg/20200226/419543.shtml")</f>
        <v>http://m.12365auto.com/xcdg/20200226/419543.shtml</v>
      </c>
      <c r="G2106" s="2"/>
      <c r="H2106" s="2" t="s">
        <v>3059</v>
      </c>
      <c r="I2106" s="2" t="s">
        <v>19</v>
      </c>
      <c r="J2106" s="2" t="s">
        <v>3060</v>
      </c>
      <c r="K2106" s="2" t="s">
        <v>3061</v>
      </c>
      <c r="L2106" s="2">
        <f t="shared" si="32"/>
        <v>150</v>
      </c>
    </row>
    <row r="2107" spans="1:12" ht="25" customHeight="1">
      <c r="A2107" s="2" t="s">
        <v>12</v>
      </c>
      <c r="B2107" s="2" t="str">
        <f>HYPERLINK("http://m.12365auto.com/xcdg/20200226/419542.shtml","豪华SUV怎么选？在这8款中肯定会找到答案")</f>
        <v>豪华SUV怎么选？在这8款中肯定会找到答案</v>
      </c>
      <c r="C2107" s="2" t="s">
        <v>13</v>
      </c>
      <c r="D2107" s="2" t="s">
        <v>12</v>
      </c>
      <c r="E2107" s="2"/>
      <c r="F2107" s="2" t="str">
        <f>HYPERLINK("http://m.12365auto.com/xcdg/20200226/419542.shtml","http://m.12365auto.com/xcdg/20200226/419542.shtml")</f>
        <v>http://m.12365auto.com/xcdg/20200226/419542.shtml</v>
      </c>
      <c r="G2107" s="2"/>
      <c r="H2107" s="2" t="s">
        <v>3062</v>
      </c>
      <c r="I2107" s="2" t="s">
        <v>19</v>
      </c>
      <c r="J2107" s="2" t="s">
        <v>1257</v>
      </c>
      <c r="K2107" s="2" t="s">
        <v>3063</v>
      </c>
      <c r="L2107" s="2">
        <f t="shared" si="32"/>
        <v>150</v>
      </c>
    </row>
    <row r="2108" spans="1:12" ht="25" customHeight="1">
      <c r="A2108" s="2" t="s">
        <v>12</v>
      </c>
      <c r="B2108" s="2" t="str">
        <f>HYPERLINK("http://m.12365auto.com/xcdg/20200226/419540.shtml","合资 靠谱 16万多值得买的电动车推荐")</f>
        <v>合资 靠谱 16万多值得买的电动车推荐</v>
      </c>
      <c r="C2108" s="2" t="s">
        <v>13</v>
      </c>
      <c r="D2108" s="2" t="s">
        <v>12</v>
      </c>
      <c r="E2108" s="2"/>
      <c r="F2108" s="2" t="str">
        <f>HYPERLINK("http://m.12365auto.com/xcdg/20200226/419540.shtml","http://m.12365auto.com/xcdg/20200226/419540.shtml")</f>
        <v>http://m.12365auto.com/xcdg/20200226/419540.shtml</v>
      </c>
      <c r="G2108" s="2"/>
      <c r="H2108" s="2" t="s">
        <v>3064</v>
      </c>
      <c r="I2108" s="2" t="s">
        <v>19</v>
      </c>
      <c r="J2108" s="2" t="s">
        <v>1247</v>
      </c>
      <c r="K2108" s="2" t="s">
        <v>3065</v>
      </c>
      <c r="L2108" s="2">
        <f t="shared" si="32"/>
        <v>150</v>
      </c>
    </row>
    <row r="2109" spans="1:12" ht="25" customHeight="1">
      <c r="A2109" s="2" t="s">
        <v>12</v>
      </c>
      <c r="B2109" s="2" t="str">
        <f>HYPERLINK("http://m.12365auto.com/xcdg/20200226/419539.shtml","9万的比亚迪电动车 除了双大屏还有什么？")</f>
        <v>9万的比亚迪电动车 除了双大屏还有什么？</v>
      </c>
      <c r="C2109" s="2" t="s">
        <v>13</v>
      </c>
      <c r="D2109" s="2" t="s">
        <v>12</v>
      </c>
      <c r="E2109" s="2"/>
      <c r="F2109" s="2" t="str">
        <f>HYPERLINK("http://m.12365auto.com/xcdg/20200226/419539.shtml","http://m.12365auto.com/xcdg/20200226/419539.shtml")</f>
        <v>http://m.12365auto.com/xcdg/20200226/419539.shtml</v>
      </c>
      <c r="G2109" s="2"/>
      <c r="H2109" s="2" t="s">
        <v>3066</v>
      </c>
      <c r="I2109" s="2" t="s">
        <v>19</v>
      </c>
      <c r="J2109" s="2" t="s">
        <v>1257</v>
      </c>
      <c r="K2109" s="2" t="s">
        <v>3067</v>
      </c>
      <c r="L2109" s="2">
        <f t="shared" si="32"/>
        <v>150</v>
      </c>
    </row>
    <row r="2110" spans="1:12" ht="25" customHeight="1">
      <c r="A2110" s="2" t="s">
        <v>12</v>
      </c>
      <c r="B2110" s="2" t="str">
        <f>HYPERLINK("http://bbs.12365auto.com/postcontent.aspx?tId=195171","2020新车盘点 哪一款是你所期待的？")</f>
        <v>2020新车盘点 哪一款是你所期待的？</v>
      </c>
      <c r="C2110" s="2" t="s">
        <v>13</v>
      </c>
      <c r="D2110" s="2" t="s">
        <v>12</v>
      </c>
      <c r="E2110" s="2" t="s">
        <v>210</v>
      </c>
      <c r="F2110" s="2" t="str">
        <f>HYPERLINK("http://bbs.12365auto.com/postcontent.aspx?tId=195171","http://bbs.12365auto.com/postcontent.aspx?tId=195171")</f>
        <v>http://bbs.12365auto.com/postcontent.aspx?tId=195171</v>
      </c>
      <c r="G2110" s="2"/>
      <c r="H2110" s="2" t="s">
        <v>3068</v>
      </c>
      <c r="I2110" s="2" t="s">
        <v>15</v>
      </c>
      <c r="J2110" s="2" t="s">
        <v>1790</v>
      </c>
      <c r="K2110" s="2" t="s">
        <v>3069</v>
      </c>
      <c r="L2110" s="2">
        <f t="shared" si="32"/>
        <v>150</v>
      </c>
    </row>
    <row r="2111" spans="1:12" ht="25" customHeight="1">
      <c r="A2111" s="2" t="s">
        <v>12</v>
      </c>
      <c r="B2111" s="2" t="str">
        <f>HYPERLINK("http://bbs.12365auto.com/postcontent.aspx?tID=195171","2020新车盘点 哪一款是你所期待的？")</f>
        <v>2020新车盘点 哪一款是你所期待的？</v>
      </c>
      <c r="C2111" s="2" t="s">
        <v>13</v>
      </c>
      <c r="D2111" s="2" t="s">
        <v>12</v>
      </c>
      <c r="E2111" s="2" t="s">
        <v>214</v>
      </c>
      <c r="F2111" s="2" t="str">
        <f>HYPERLINK("http://bbs.12365auto.com/postcontent.aspx?tID=195171","http://bbs.12365auto.com/postcontent.aspx?tID=195171")</f>
        <v>http://bbs.12365auto.com/postcontent.aspx?tID=195171</v>
      </c>
      <c r="G2111" s="2"/>
      <c r="H2111" s="2" t="s">
        <v>3070</v>
      </c>
      <c r="I2111" s="2" t="s">
        <v>15</v>
      </c>
      <c r="J2111" s="2" t="s">
        <v>1790</v>
      </c>
      <c r="K2111" s="2" t="s">
        <v>3069</v>
      </c>
      <c r="L2111" s="2">
        <f t="shared" si="32"/>
        <v>150</v>
      </c>
    </row>
    <row r="2112" spans="1:12" ht="25" customHeight="1">
      <c r="A2112" s="2" t="s">
        <v>12</v>
      </c>
      <c r="B2112" s="2" t="str">
        <f>HYPERLINK("http://m.12365auto.com/xcdg/20200226/419538.shtml","宝马全新iX3谍照曝光 续航达440km")</f>
        <v>宝马全新iX3谍照曝光 续航达440km</v>
      </c>
      <c r="C2112" s="2" t="s">
        <v>13</v>
      </c>
      <c r="D2112" s="2" t="s">
        <v>12</v>
      </c>
      <c r="E2112" s="2"/>
      <c r="F2112" s="2" t="str">
        <f>HYPERLINK("http://m.12365auto.com/xcdg/20200226/419538.shtml","http://m.12365auto.com/xcdg/20200226/419538.shtml")</f>
        <v>http://m.12365auto.com/xcdg/20200226/419538.shtml</v>
      </c>
      <c r="G2112" s="2"/>
      <c r="H2112" s="2" t="s">
        <v>3071</v>
      </c>
      <c r="I2112" s="2" t="s">
        <v>19</v>
      </c>
      <c r="J2112" s="2" t="s">
        <v>220</v>
      </c>
      <c r="K2112" s="2" t="s">
        <v>3072</v>
      </c>
      <c r="L2112" s="2">
        <f t="shared" si="32"/>
        <v>150</v>
      </c>
    </row>
    <row r="2113" spans="1:12" ht="25" customHeight="1">
      <c r="A2113" s="2" t="s">
        <v>12</v>
      </c>
      <c r="B2113" s="2" t="str">
        <f>HYPERLINK("http://bbs.12365auto.com/postcontent.aspx?tID=195169","又一款豪车清库存降价 最高可优惠13万元")</f>
        <v>又一款豪车清库存降价 最高可优惠13万元</v>
      </c>
      <c r="C2113" s="2" t="s">
        <v>13</v>
      </c>
      <c r="D2113" s="2" t="s">
        <v>12</v>
      </c>
      <c r="E2113" s="2" t="s">
        <v>214</v>
      </c>
      <c r="F2113" s="2" t="str">
        <f>HYPERLINK("http://bbs.12365auto.com/postcontent.aspx?tID=195169","http://bbs.12365auto.com/postcontent.aspx?tID=195169")</f>
        <v>http://bbs.12365auto.com/postcontent.aspx?tID=195169</v>
      </c>
      <c r="G2113" s="2"/>
      <c r="H2113" s="2" t="s">
        <v>3073</v>
      </c>
      <c r="I2113" s="2" t="s">
        <v>15</v>
      </c>
      <c r="J2113" s="2" t="s">
        <v>1790</v>
      </c>
      <c r="K2113" s="2" t="s">
        <v>3072</v>
      </c>
      <c r="L2113" s="2">
        <f t="shared" si="32"/>
        <v>150</v>
      </c>
    </row>
    <row r="2114" spans="1:12" ht="25" customHeight="1">
      <c r="A2114" s="2" t="s">
        <v>12</v>
      </c>
      <c r="B2114" s="2" t="str">
        <f>HYPERLINK("http://bbs.12365auto.com/postcontent.aspx?tID=195170","玛莎拉蒂GT改装DMC大包围")</f>
        <v>玛莎拉蒂GT改装DMC大包围</v>
      </c>
      <c r="C2114" s="2" t="s">
        <v>13</v>
      </c>
      <c r="D2114" s="2" t="s">
        <v>12</v>
      </c>
      <c r="E2114" s="2" t="s">
        <v>2990</v>
      </c>
      <c r="F2114" s="2" t="str">
        <f>HYPERLINK("http://bbs.12365auto.com/postcontent.aspx?tID=195170","http://bbs.12365auto.com/postcontent.aspx?tID=195170")</f>
        <v>http://bbs.12365auto.com/postcontent.aspx?tID=195170</v>
      </c>
      <c r="G2114" s="2"/>
      <c r="H2114" s="2" t="s">
        <v>3074</v>
      </c>
      <c r="I2114" s="2" t="s">
        <v>15</v>
      </c>
      <c r="J2114" s="2" t="s">
        <v>145</v>
      </c>
      <c r="K2114" s="2" t="s">
        <v>3072</v>
      </c>
      <c r="L2114" s="2">
        <f t="shared" si="32"/>
        <v>28</v>
      </c>
    </row>
    <row r="2115" spans="1:12" ht="25" customHeight="1">
      <c r="A2115" s="2" t="s">
        <v>12</v>
      </c>
      <c r="B2115" s="2" t="str">
        <f>HYPERLINK("http://www.12365auto.com/xcdg/20200226/419538.shtml","宝马全新iX3谍照曝光 续航达440km")</f>
        <v>宝马全新iX3谍照曝光 续航达440km</v>
      </c>
      <c r="C2115" s="2" t="s">
        <v>13</v>
      </c>
      <c r="D2115" s="2" t="s">
        <v>12</v>
      </c>
      <c r="E2115" s="2" t="s">
        <v>224</v>
      </c>
      <c r="F2115" s="2" t="str">
        <f>HYPERLINK("http://www.12365auto.com/xcdg/20200226/419538.shtml","http://www.12365auto.com/xcdg/20200226/419538.shtml")</f>
        <v>http://www.12365auto.com/xcdg/20200226/419538.shtml</v>
      </c>
      <c r="G2115" s="2"/>
      <c r="H2115" s="2" t="s">
        <v>3075</v>
      </c>
      <c r="I2115" s="2" t="s">
        <v>15</v>
      </c>
      <c r="J2115" s="2" t="s">
        <v>12</v>
      </c>
      <c r="K2115" s="2" t="s">
        <v>3072</v>
      </c>
      <c r="L2115" s="2">
        <f t="shared" ref="L2115:L2178" si="33">LEN(H2115)</f>
        <v>150</v>
      </c>
    </row>
    <row r="2116" spans="1:12" ht="25" customHeight="1">
      <c r="A2116" s="2" t="s">
        <v>12</v>
      </c>
      <c r="B2116" s="2" t="str">
        <f>HYPERLINK("http://bbs.12365auto.com/postcontent.aspx?tId=195169","又一款豪车清库存降价 最高可优惠13万元")</f>
        <v>又一款豪车清库存降价 最高可优惠13万元</v>
      </c>
      <c r="C2116" s="2" t="s">
        <v>13</v>
      </c>
      <c r="D2116" s="2" t="s">
        <v>12</v>
      </c>
      <c r="E2116" s="2" t="s">
        <v>210</v>
      </c>
      <c r="F2116" s="2" t="str">
        <f>HYPERLINK("http://bbs.12365auto.com/postcontent.aspx?tId=195169","http://bbs.12365auto.com/postcontent.aspx?tId=195169")</f>
        <v>http://bbs.12365auto.com/postcontent.aspx?tId=195169</v>
      </c>
      <c r="G2116" s="2"/>
      <c r="H2116" s="2" t="s">
        <v>3076</v>
      </c>
      <c r="I2116" s="2" t="s">
        <v>15</v>
      </c>
      <c r="J2116" s="2" t="s">
        <v>1790</v>
      </c>
      <c r="K2116" s="2" t="s">
        <v>3072</v>
      </c>
      <c r="L2116" s="2">
        <f t="shared" si="33"/>
        <v>150</v>
      </c>
    </row>
    <row r="2117" spans="1:12" ht="25" customHeight="1">
      <c r="A2117" s="2" t="s">
        <v>12</v>
      </c>
      <c r="B2117" s="2" t="str">
        <f>HYPERLINK("http://bbs.12365auto.com/postcontent.aspx?tId=195168","钱包直呼受不了！通用今年给你准备了15款新车")</f>
        <v>钱包直呼受不了！通用今年给你准备了15款新车</v>
      </c>
      <c r="C2117" s="2" t="s">
        <v>13</v>
      </c>
      <c r="D2117" s="2" t="s">
        <v>12</v>
      </c>
      <c r="E2117" s="2" t="s">
        <v>210</v>
      </c>
      <c r="F2117" s="2" t="str">
        <f>HYPERLINK("http://bbs.12365auto.com/postcontent.aspx?tId=195168","http://bbs.12365auto.com/postcontent.aspx?tId=195168")</f>
        <v>http://bbs.12365auto.com/postcontent.aspx?tId=195168</v>
      </c>
      <c r="G2117" s="2"/>
      <c r="H2117" s="2" t="s">
        <v>3077</v>
      </c>
      <c r="I2117" s="2" t="s">
        <v>15</v>
      </c>
      <c r="J2117" s="2" t="s">
        <v>1790</v>
      </c>
      <c r="K2117" s="2" t="s">
        <v>3078</v>
      </c>
      <c r="L2117" s="2">
        <f t="shared" si="33"/>
        <v>150</v>
      </c>
    </row>
    <row r="2118" spans="1:12" ht="25" customHeight="1">
      <c r="A2118" s="2" t="s">
        <v>12</v>
      </c>
      <c r="B2118" s="2" t="str">
        <f>HYPERLINK("http://bbs.12365auto.com/postcontent.aspx?tID=195168","钱包直呼受不了！通用今年给你准备了15款新车")</f>
        <v>钱包直呼受不了！通用今年给你准备了15款新车</v>
      </c>
      <c r="C2118" s="2" t="s">
        <v>13</v>
      </c>
      <c r="D2118" s="2" t="s">
        <v>12</v>
      </c>
      <c r="E2118" s="2" t="s">
        <v>214</v>
      </c>
      <c r="F2118" s="2" t="str">
        <f>HYPERLINK("http://bbs.12365auto.com/postcontent.aspx?tID=195168","http://bbs.12365auto.com/postcontent.aspx?tID=195168")</f>
        <v>http://bbs.12365auto.com/postcontent.aspx?tID=195168</v>
      </c>
      <c r="G2118" s="2"/>
      <c r="H2118" s="2" t="s">
        <v>3079</v>
      </c>
      <c r="I2118" s="2" t="s">
        <v>15</v>
      </c>
      <c r="J2118" s="2" t="s">
        <v>1790</v>
      </c>
      <c r="K2118" s="2" t="s">
        <v>3078</v>
      </c>
      <c r="L2118" s="2">
        <f t="shared" si="33"/>
        <v>150</v>
      </c>
    </row>
    <row r="2119" spans="1:12" ht="25" customHeight="1">
      <c r="A2119" s="2" t="s">
        <v>12</v>
      </c>
      <c r="B2119" s="2" t="str">
        <f>HYPERLINK("http://bbs.12365auto.com/postcontent.aspx?tId=195167","性价比高的SUV 千万别忽视这几款")</f>
        <v>性价比高的SUV 千万别忽视这几款</v>
      </c>
      <c r="C2119" s="2" t="s">
        <v>13</v>
      </c>
      <c r="D2119" s="2" t="s">
        <v>12</v>
      </c>
      <c r="E2119" s="2" t="s">
        <v>210</v>
      </c>
      <c r="F2119" s="2" t="str">
        <f>HYPERLINK("http://bbs.12365auto.com/postcontent.aspx?tId=195167","http://bbs.12365auto.com/postcontent.aspx?tId=195167")</f>
        <v>http://bbs.12365auto.com/postcontent.aspx?tId=195167</v>
      </c>
      <c r="G2119" s="2"/>
      <c r="H2119" s="2" t="s">
        <v>3080</v>
      </c>
      <c r="I2119" s="2" t="s">
        <v>15</v>
      </c>
      <c r="J2119" s="2" t="s">
        <v>1790</v>
      </c>
      <c r="K2119" s="2" t="s">
        <v>3081</v>
      </c>
      <c r="L2119" s="2">
        <f t="shared" si="33"/>
        <v>150</v>
      </c>
    </row>
    <row r="2120" spans="1:12" ht="25" customHeight="1">
      <c r="A2120" s="2" t="s">
        <v>12</v>
      </c>
      <c r="B2120" s="2" t="str">
        <f>HYPERLINK("http://bbs.12365auto.com/postcontent.aspx?tID=195167","性价比高的SUV 千万别忽视这几款")</f>
        <v>性价比高的SUV 千万别忽视这几款</v>
      </c>
      <c r="C2120" s="2" t="s">
        <v>13</v>
      </c>
      <c r="D2120" s="2" t="s">
        <v>12</v>
      </c>
      <c r="E2120" s="2" t="s">
        <v>214</v>
      </c>
      <c r="F2120" s="2" t="str">
        <f>HYPERLINK("http://bbs.12365auto.com/postcontent.aspx?tID=195167","http://bbs.12365auto.com/postcontent.aspx?tID=195167")</f>
        <v>http://bbs.12365auto.com/postcontent.aspx?tID=195167</v>
      </c>
      <c r="G2120" s="2"/>
      <c r="H2120" s="2" t="s">
        <v>3082</v>
      </c>
      <c r="I2120" s="2" t="s">
        <v>15</v>
      </c>
      <c r="J2120" s="2" t="s">
        <v>1790</v>
      </c>
      <c r="K2120" s="2" t="s">
        <v>3081</v>
      </c>
      <c r="L2120" s="2">
        <f t="shared" si="33"/>
        <v>150</v>
      </c>
    </row>
    <row r="2121" spans="1:12" ht="25" customHeight="1">
      <c r="A2121" s="2" t="s">
        <v>12</v>
      </c>
      <c r="B2121" s="2" t="str">
        <f>HYPERLINK("http://m.12365auto.com/xcdg/20200226/419537.shtml","标致508插电混动性能版官图发布 日内瓦亮相")</f>
        <v>标致508插电混动性能版官图发布 日内瓦亮相</v>
      </c>
      <c r="C2121" s="2" t="s">
        <v>13</v>
      </c>
      <c r="D2121" s="2" t="s">
        <v>12</v>
      </c>
      <c r="E2121" s="2"/>
      <c r="F2121" s="2" t="str">
        <f>HYPERLINK("http://m.12365auto.com/xcdg/20200226/419537.shtml","http://m.12365auto.com/xcdg/20200226/419537.shtml")</f>
        <v>http://m.12365auto.com/xcdg/20200226/419537.shtml</v>
      </c>
      <c r="G2121" s="2"/>
      <c r="H2121" s="2" t="s">
        <v>3083</v>
      </c>
      <c r="I2121" s="2" t="s">
        <v>19</v>
      </c>
      <c r="J2121" s="2" t="s">
        <v>1241</v>
      </c>
      <c r="K2121" s="2" t="s">
        <v>3084</v>
      </c>
      <c r="L2121" s="2">
        <f t="shared" si="33"/>
        <v>150</v>
      </c>
    </row>
    <row r="2122" spans="1:12" ht="25" customHeight="1">
      <c r="A2122" s="2" t="s">
        <v>12</v>
      </c>
      <c r="B2122" s="2" t="str">
        <f>HYPERLINK("http://www.12365auto.com/xcdg/20200226/419537.shtml","标致508插电混动性能版官图发布 日内瓦亮相")</f>
        <v>标致508插电混动性能版官图发布 日内瓦亮相</v>
      </c>
      <c r="C2122" s="2" t="s">
        <v>13</v>
      </c>
      <c r="D2122" s="2" t="s">
        <v>12</v>
      </c>
      <c r="E2122" s="2" t="s">
        <v>216</v>
      </c>
      <c r="F2122" s="2" t="str">
        <f>HYPERLINK("http://www.12365auto.com/xcdg/20200226/419537.shtml","http://www.12365auto.com/xcdg/20200226/419537.shtml")</f>
        <v>http://www.12365auto.com/xcdg/20200226/419537.shtml</v>
      </c>
      <c r="G2122" s="2"/>
      <c r="H2122" s="2" t="s">
        <v>3085</v>
      </c>
      <c r="I2122" s="2" t="s">
        <v>15</v>
      </c>
      <c r="J2122" s="2" t="s">
        <v>12</v>
      </c>
      <c r="K2122" s="2" t="s">
        <v>3084</v>
      </c>
      <c r="L2122" s="2">
        <f t="shared" si="33"/>
        <v>150</v>
      </c>
    </row>
    <row r="2123" spans="1:12" ht="25" customHeight="1">
      <c r="A2123" s="2" t="s">
        <v>12</v>
      </c>
      <c r="B2123" s="2" t="str">
        <f>HYPERLINK("http://www.12365auto.com/xcdg/20200226/419535.shtml","新增1.5L+CVT车型 2020款野马博骏即将上市")</f>
        <v>新增1.5L+CVT车型 2020款野马博骏即将上市</v>
      </c>
      <c r="C2123" s="2" t="s">
        <v>13</v>
      </c>
      <c r="D2123" s="2" t="s">
        <v>12</v>
      </c>
      <c r="E2123" s="2" t="s">
        <v>216</v>
      </c>
      <c r="F2123" s="2" t="str">
        <f>HYPERLINK("http://www.12365auto.com/xcdg/20200226/419535.shtml","http://www.12365auto.com/xcdg/20200226/419535.shtml")</f>
        <v>http://www.12365auto.com/xcdg/20200226/419535.shtml</v>
      </c>
      <c r="G2123" s="2"/>
      <c r="H2123" s="2" t="s">
        <v>3086</v>
      </c>
      <c r="I2123" s="2" t="s">
        <v>15</v>
      </c>
      <c r="J2123" s="2" t="s">
        <v>12</v>
      </c>
      <c r="K2123" s="2" t="s">
        <v>3087</v>
      </c>
      <c r="L2123" s="2">
        <f t="shared" si="33"/>
        <v>150</v>
      </c>
    </row>
    <row r="2124" spans="1:12" ht="25" customHeight="1">
      <c r="A2124" s="2" t="s">
        <v>12</v>
      </c>
      <c r="B2124" s="2" t="str">
        <f>HYPERLINK("http://bbs.12365auto.com/postcontent.aspx?tId=195166","吉利ICON选哪款？不妨直接上顶配")</f>
        <v>吉利ICON选哪款？不妨直接上顶配</v>
      </c>
      <c r="C2124" s="2" t="s">
        <v>13</v>
      </c>
      <c r="D2124" s="2" t="s">
        <v>12</v>
      </c>
      <c r="E2124" s="2" t="s">
        <v>27</v>
      </c>
      <c r="F2124" s="2" t="str">
        <f>HYPERLINK("http://bbs.12365auto.com/postcontent.aspx?tId=195166","http://bbs.12365auto.com/postcontent.aspx?tId=195166")</f>
        <v>http://bbs.12365auto.com/postcontent.aspx?tId=195166</v>
      </c>
      <c r="G2124" s="2"/>
      <c r="H2124" s="2" t="s">
        <v>3088</v>
      </c>
      <c r="I2124" s="2" t="s">
        <v>15</v>
      </c>
      <c r="J2124" s="2" t="s">
        <v>3089</v>
      </c>
      <c r="K2124" s="2" t="s">
        <v>3090</v>
      </c>
      <c r="L2124" s="2">
        <f t="shared" si="33"/>
        <v>150</v>
      </c>
    </row>
    <row r="2125" spans="1:12" ht="25" customHeight="1">
      <c r="A2125" s="2" t="s">
        <v>12</v>
      </c>
      <c r="B2125" s="2" t="str">
        <f>HYPERLINK("http://m.12365auto.com/bbs/postcontent.aspx?tID=195166","吉利ICON选哪款？不妨直接上顶配")</f>
        <v>吉利ICON选哪款？不妨直接上顶配</v>
      </c>
      <c r="C2125" s="2" t="s">
        <v>13</v>
      </c>
      <c r="D2125" s="2" t="s">
        <v>23</v>
      </c>
      <c r="E2125" s="2"/>
      <c r="F2125" s="2" t="str">
        <f>HYPERLINK("http://m.12365auto.com/bbs/postcontent.aspx?tID=195166","http://m.12365auto.com/bbs/postcontent.aspx?tID=195166")</f>
        <v>http://m.12365auto.com/bbs/postcontent.aspx?tID=195166</v>
      </c>
      <c r="G2125" s="2"/>
      <c r="H2125" s="2" t="s">
        <v>3088</v>
      </c>
      <c r="I2125" s="2" t="s">
        <v>15</v>
      </c>
      <c r="J2125" s="2" t="s">
        <v>3089</v>
      </c>
      <c r="K2125" s="2" t="s">
        <v>3090</v>
      </c>
      <c r="L2125" s="2">
        <f t="shared" si="33"/>
        <v>150</v>
      </c>
    </row>
    <row r="2126" spans="1:12" ht="25" customHeight="1">
      <c r="A2126" s="2" t="s">
        <v>12</v>
      </c>
      <c r="B2126" s="2" t="str">
        <f>HYPERLINK("http://bbs.12365auto.com/postcontent.aspx?tID=195166","吉利ICON选哪款？不妨直接上顶配")</f>
        <v>吉利ICON选哪款？不妨直接上顶配</v>
      </c>
      <c r="C2126" s="2" t="s">
        <v>13</v>
      </c>
      <c r="D2126" s="2" t="s">
        <v>12</v>
      </c>
      <c r="E2126" s="2" t="s">
        <v>28</v>
      </c>
      <c r="F2126" s="2" t="str">
        <f>HYPERLINK("http://bbs.12365auto.com/postcontent.aspx?tID=195166","http://bbs.12365auto.com/postcontent.aspx?tID=195166")</f>
        <v>http://bbs.12365auto.com/postcontent.aspx?tID=195166</v>
      </c>
      <c r="G2126" s="2"/>
      <c r="H2126" s="2" t="s">
        <v>3091</v>
      </c>
      <c r="I2126" s="2" t="s">
        <v>15</v>
      </c>
      <c r="J2126" s="2" t="s">
        <v>3089</v>
      </c>
      <c r="K2126" s="2" t="s">
        <v>3090</v>
      </c>
      <c r="L2126" s="2">
        <f t="shared" si="33"/>
        <v>150</v>
      </c>
    </row>
    <row r="2127" spans="1:12" ht="25" customHeight="1">
      <c r="A2127" s="2" t="s">
        <v>12</v>
      </c>
      <c r="B2127" s="2" t="str">
        <f>HYPERLINK("http://bbs.12365auto.com/postcontent.aspx?tId=195164","想要手动挡 从这3款中选吧")</f>
        <v>想要手动挡 从这3款中选吧</v>
      </c>
      <c r="C2127" s="2" t="s">
        <v>13</v>
      </c>
      <c r="D2127" s="2" t="s">
        <v>12</v>
      </c>
      <c r="E2127" s="2" t="s">
        <v>27</v>
      </c>
      <c r="F2127" s="2" t="str">
        <f>HYPERLINK("http://bbs.12365auto.com/postcontent.aspx?tId=195164","http://bbs.12365auto.com/postcontent.aspx?tId=195164")</f>
        <v>http://bbs.12365auto.com/postcontent.aspx?tId=195164</v>
      </c>
      <c r="G2127" s="2"/>
      <c r="H2127" s="2" t="s">
        <v>3092</v>
      </c>
      <c r="I2127" s="2" t="s">
        <v>15</v>
      </c>
      <c r="J2127" s="2" t="s">
        <v>3089</v>
      </c>
      <c r="K2127" s="2" t="s">
        <v>3093</v>
      </c>
      <c r="L2127" s="2">
        <f t="shared" si="33"/>
        <v>150</v>
      </c>
    </row>
    <row r="2128" spans="1:12" ht="25" customHeight="1">
      <c r="A2128" s="2" t="s">
        <v>12</v>
      </c>
      <c r="B2128" s="2" t="str">
        <f>HYPERLINK("http://bbs.12365auto.com/postcontent.aspx?tId=195165","长城WEY VV7值不值得买？")</f>
        <v>长城WEY VV7值不值得买？</v>
      </c>
      <c r="C2128" s="2" t="s">
        <v>13</v>
      </c>
      <c r="D2128" s="2" t="s">
        <v>12</v>
      </c>
      <c r="E2128" s="2" t="s">
        <v>27</v>
      </c>
      <c r="F2128" s="2" t="str">
        <f>HYPERLINK("http://bbs.12365auto.com/postcontent.aspx?tId=195165","http://bbs.12365auto.com/postcontent.aspx?tId=195165")</f>
        <v>http://bbs.12365auto.com/postcontent.aspx?tId=195165</v>
      </c>
      <c r="G2128" s="2"/>
      <c r="H2128" s="2" t="s">
        <v>3094</v>
      </c>
      <c r="I2128" s="2" t="s">
        <v>15</v>
      </c>
      <c r="J2128" s="2" t="s">
        <v>3089</v>
      </c>
      <c r="K2128" s="2" t="s">
        <v>3093</v>
      </c>
      <c r="L2128" s="2">
        <f t="shared" si="33"/>
        <v>150</v>
      </c>
    </row>
    <row r="2129" spans="1:12" ht="25" customHeight="1">
      <c r="A2129" s="2" t="s">
        <v>12</v>
      </c>
      <c r="B2129" s="2" t="str">
        <f>HYPERLINK("http://m.12365auto.com/bbs/postcontent.aspx?tID=195164","想要手动挡 从这3款中选吧")</f>
        <v>想要手动挡 从这3款中选吧</v>
      </c>
      <c r="C2129" s="2" t="s">
        <v>13</v>
      </c>
      <c r="D2129" s="2" t="s">
        <v>23</v>
      </c>
      <c r="E2129" s="2"/>
      <c r="F2129" s="2" t="str">
        <f>HYPERLINK("http://m.12365auto.com/bbs/postcontent.aspx?tID=195164","http://m.12365auto.com/bbs/postcontent.aspx?tID=195164")</f>
        <v>http://m.12365auto.com/bbs/postcontent.aspx?tID=195164</v>
      </c>
      <c r="G2129" s="2"/>
      <c r="H2129" s="2" t="s">
        <v>3092</v>
      </c>
      <c r="I2129" s="2" t="s">
        <v>15</v>
      </c>
      <c r="J2129" s="2" t="s">
        <v>3089</v>
      </c>
      <c r="K2129" s="2" t="s">
        <v>3093</v>
      </c>
      <c r="L2129" s="2">
        <f t="shared" si="33"/>
        <v>150</v>
      </c>
    </row>
    <row r="2130" spans="1:12" ht="25" customHeight="1">
      <c r="A2130" s="2" t="s">
        <v>12</v>
      </c>
      <c r="B2130" s="2" t="str">
        <f>HYPERLINK("http://m.12365auto.com/bbs/postcontent.aspx?tID=195165","长城WEY VV7值不值得买？")</f>
        <v>长城WEY VV7值不值得买？</v>
      </c>
      <c r="C2130" s="2" t="s">
        <v>13</v>
      </c>
      <c r="D2130" s="2" t="s">
        <v>23</v>
      </c>
      <c r="E2130" s="2"/>
      <c r="F2130" s="2" t="str">
        <f>HYPERLINK("http://m.12365auto.com/bbs/postcontent.aspx?tID=195165","http://m.12365auto.com/bbs/postcontent.aspx?tID=195165")</f>
        <v>http://m.12365auto.com/bbs/postcontent.aspx?tID=195165</v>
      </c>
      <c r="G2130" s="2"/>
      <c r="H2130" s="2" t="s">
        <v>3094</v>
      </c>
      <c r="I2130" s="2" t="s">
        <v>15</v>
      </c>
      <c r="J2130" s="2" t="s">
        <v>3089</v>
      </c>
      <c r="K2130" s="2" t="s">
        <v>3093</v>
      </c>
      <c r="L2130" s="2">
        <f t="shared" si="33"/>
        <v>150</v>
      </c>
    </row>
    <row r="2131" spans="1:12" ht="25" customHeight="1">
      <c r="A2131" s="2" t="s">
        <v>12</v>
      </c>
      <c r="B2131" s="2" t="str">
        <f>HYPERLINK("http://bbs.12365auto.com/postcontent.aspx?tID=195164","想要手动挡 从这3款中选吧")</f>
        <v>想要手动挡 从这3款中选吧</v>
      </c>
      <c r="C2131" s="2" t="s">
        <v>13</v>
      </c>
      <c r="D2131" s="2" t="s">
        <v>12</v>
      </c>
      <c r="E2131" s="2" t="s">
        <v>28</v>
      </c>
      <c r="F2131" s="2" t="str">
        <f>HYPERLINK("http://bbs.12365auto.com/postcontent.aspx?tID=195164","http://bbs.12365auto.com/postcontent.aspx?tID=195164")</f>
        <v>http://bbs.12365auto.com/postcontent.aspx?tID=195164</v>
      </c>
      <c r="G2131" s="2"/>
      <c r="H2131" s="2" t="s">
        <v>3095</v>
      </c>
      <c r="I2131" s="2" t="s">
        <v>15</v>
      </c>
      <c r="J2131" s="2" t="s">
        <v>3089</v>
      </c>
      <c r="K2131" s="2" t="s">
        <v>3093</v>
      </c>
      <c r="L2131" s="2">
        <f t="shared" si="33"/>
        <v>150</v>
      </c>
    </row>
    <row r="2132" spans="1:12" ht="25" customHeight="1">
      <c r="A2132" s="2" t="s">
        <v>12</v>
      </c>
      <c r="B2132" s="2" t="str">
        <f>HYPERLINK("http://bbs.12365auto.com/postcontent.aspx?tID=195165","长城WEY VV7值不值得买？")</f>
        <v>长城WEY VV7值不值得买？</v>
      </c>
      <c r="C2132" s="2" t="s">
        <v>13</v>
      </c>
      <c r="D2132" s="2" t="s">
        <v>12</v>
      </c>
      <c r="E2132" s="2" t="s">
        <v>28</v>
      </c>
      <c r="F2132" s="2" t="str">
        <f>HYPERLINK("http://bbs.12365auto.com/postcontent.aspx?tID=195165","http://bbs.12365auto.com/postcontent.aspx?tID=195165")</f>
        <v>http://bbs.12365auto.com/postcontent.aspx?tID=195165</v>
      </c>
      <c r="G2132" s="2"/>
      <c r="H2132" s="2" t="s">
        <v>3096</v>
      </c>
      <c r="I2132" s="2" t="s">
        <v>15</v>
      </c>
      <c r="J2132" s="2" t="s">
        <v>3089</v>
      </c>
      <c r="K2132" s="2" t="s">
        <v>3093</v>
      </c>
      <c r="L2132" s="2">
        <f t="shared" si="33"/>
        <v>150</v>
      </c>
    </row>
    <row r="2133" spans="1:12" ht="25" customHeight="1">
      <c r="A2133" s="2" t="s">
        <v>12</v>
      </c>
      <c r="B2133" s="2" t="str">
        <f>HYPERLINK("http://bbs.12365auto.com/postcontent.aspx?tId=195163","哈弗H6运动版为何值得信任？")</f>
        <v>哈弗H6运动版为何值得信任？</v>
      </c>
      <c r="C2133" s="2" t="s">
        <v>13</v>
      </c>
      <c r="D2133" s="2" t="s">
        <v>12</v>
      </c>
      <c r="E2133" s="2" t="s">
        <v>27</v>
      </c>
      <c r="F2133" s="2" t="str">
        <f>HYPERLINK("http://bbs.12365auto.com/postcontent.aspx?tId=195163","http://bbs.12365auto.com/postcontent.aspx?tId=195163")</f>
        <v>http://bbs.12365auto.com/postcontent.aspx?tId=195163</v>
      </c>
      <c r="G2133" s="2"/>
      <c r="H2133" s="2" t="s">
        <v>3097</v>
      </c>
      <c r="I2133" s="2" t="s">
        <v>15</v>
      </c>
      <c r="J2133" s="2" t="s">
        <v>3089</v>
      </c>
      <c r="K2133" s="2" t="s">
        <v>3098</v>
      </c>
      <c r="L2133" s="2">
        <f t="shared" si="33"/>
        <v>150</v>
      </c>
    </row>
    <row r="2134" spans="1:12" ht="25" customHeight="1">
      <c r="A2134" s="2" t="s">
        <v>12</v>
      </c>
      <c r="B2134" s="2" t="str">
        <f>HYPERLINK("http://m.12365auto.com/bbs/postcontent.aspx?tID=195163","哈弗H6运动版为何值得信任？")</f>
        <v>哈弗H6运动版为何值得信任？</v>
      </c>
      <c r="C2134" s="2" t="s">
        <v>13</v>
      </c>
      <c r="D2134" s="2" t="s">
        <v>23</v>
      </c>
      <c r="E2134" s="2"/>
      <c r="F2134" s="2" t="str">
        <f>HYPERLINK("http://m.12365auto.com/bbs/postcontent.aspx?tID=195163","http://m.12365auto.com/bbs/postcontent.aspx?tID=195163")</f>
        <v>http://m.12365auto.com/bbs/postcontent.aspx?tID=195163</v>
      </c>
      <c r="G2134" s="2"/>
      <c r="H2134" s="2" t="s">
        <v>3097</v>
      </c>
      <c r="I2134" s="2" t="s">
        <v>15</v>
      </c>
      <c r="J2134" s="2" t="s">
        <v>3089</v>
      </c>
      <c r="K2134" s="2" t="s">
        <v>3098</v>
      </c>
      <c r="L2134" s="2">
        <f t="shared" si="33"/>
        <v>150</v>
      </c>
    </row>
    <row r="2135" spans="1:12" ht="25" customHeight="1">
      <c r="A2135" s="2" t="s">
        <v>12</v>
      </c>
      <c r="B2135" s="2" t="str">
        <f>HYPERLINK("http://bbs.12365auto.com/postcontent.aspx?tID=195163","哈弗H6运动版为何值得信任？")</f>
        <v>哈弗H6运动版为何值得信任？</v>
      </c>
      <c r="C2135" s="2" t="s">
        <v>13</v>
      </c>
      <c r="D2135" s="2" t="s">
        <v>12</v>
      </c>
      <c r="E2135" s="2" t="s">
        <v>28</v>
      </c>
      <c r="F2135" s="2" t="str">
        <f>HYPERLINK("http://bbs.12365auto.com/postcontent.aspx?tID=195163","http://bbs.12365auto.com/postcontent.aspx?tID=195163")</f>
        <v>http://bbs.12365auto.com/postcontent.aspx?tID=195163</v>
      </c>
      <c r="G2135" s="2"/>
      <c r="H2135" s="2" t="s">
        <v>3099</v>
      </c>
      <c r="I2135" s="2" t="s">
        <v>15</v>
      </c>
      <c r="J2135" s="2" t="s">
        <v>3089</v>
      </c>
      <c r="K2135" s="2" t="s">
        <v>3098</v>
      </c>
      <c r="L2135" s="2">
        <f t="shared" si="33"/>
        <v>150</v>
      </c>
    </row>
    <row r="2136" spans="1:12" ht="25" customHeight="1">
      <c r="A2136" s="2" t="s">
        <v>12</v>
      </c>
      <c r="B2136" s="2" t="str">
        <f>HYPERLINK("http://m.12365auto.com/xcdg/20200226/419532.shtml","外部线条动感流畅 几何C官方预告图曝光")</f>
        <v>外部线条动感流畅 几何C官方预告图曝光</v>
      </c>
      <c r="C2136" s="2" t="s">
        <v>13</v>
      </c>
      <c r="D2136" s="2" t="s">
        <v>12</v>
      </c>
      <c r="E2136" s="2"/>
      <c r="F2136" s="2" t="str">
        <f>HYPERLINK("http://m.12365auto.com/xcdg/20200226/419532.shtml","http://m.12365auto.com/xcdg/20200226/419532.shtml")</f>
        <v>http://m.12365auto.com/xcdg/20200226/419532.shtml</v>
      </c>
      <c r="G2136" s="2"/>
      <c r="H2136" s="2" t="s">
        <v>3100</v>
      </c>
      <c r="I2136" s="2" t="s">
        <v>19</v>
      </c>
      <c r="J2136" s="2" t="s">
        <v>1250</v>
      </c>
      <c r="K2136" s="2" t="s">
        <v>3101</v>
      </c>
      <c r="L2136" s="2">
        <f t="shared" si="33"/>
        <v>150</v>
      </c>
    </row>
    <row r="2137" spans="1:12" ht="25" customHeight="1">
      <c r="A2137" s="2" t="s">
        <v>12</v>
      </c>
      <c r="B2137" s="2" t="str">
        <f>HYPERLINK("http://www.12365auto.com/xcdg/20200226/419532.shtml","外部线条动感流畅 几何C官方预告图曝光")</f>
        <v>外部线条动感流畅 几何C官方预告图曝光</v>
      </c>
      <c r="C2137" s="2" t="s">
        <v>13</v>
      </c>
      <c r="D2137" s="2" t="s">
        <v>12</v>
      </c>
      <c r="E2137" s="2" t="s">
        <v>245</v>
      </c>
      <c r="F2137" s="2" t="str">
        <f>HYPERLINK("http://www.12365auto.com/xcdg/20200226/419532.shtml","http://www.12365auto.com/xcdg/20200226/419532.shtml")</f>
        <v>http://www.12365auto.com/xcdg/20200226/419532.shtml</v>
      </c>
      <c r="G2137" s="2"/>
      <c r="H2137" s="2" t="s">
        <v>3102</v>
      </c>
      <c r="I2137" s="2" t="s">
        <v>19</v>
      </c>
      <c r="J2137" s="2" t="s">
        <v>12</v>
      </c>
      <c r="K2137" s="2" t="s">
        <v>3101</v>
      </c>
      <c r="L2137" s="2">
        <f t="shared" si="33"/>
        <v>150</v>
      </c>
    </row>
    <row r="2138" spans="1:12" ht="25" customHeight="1">
      <c r="A2138" s="2" t="s">
        <v>12</v>
      </c>
      <c r="B2138" s="2" t="str">
        <f>HYPERLINK("http://www.12365auto.com/xcdg/20200226/419533.shtml","首批特斯拉Model Y最早将于3月15日交付")</f>
        <v>首批特斯拉Model Y最早将于3月15日交付</v>
      </c>
      <c r="C2138" s="2" t="s">
        <v>13</v>
      </c>
      <c r="D2138" s="2" t="s">
        <v>12</v>
      </c>
      <c r="E2138" s="2" t="s">
        <v>245</v>
      </c>
      <c r="F2138" s="2" t="str">
        <f>HYPERLINK("http://www.12365auto.com/xcdg/20200226/419533.shtml","http://www.12365auto.com/xcdg/20200226/419533.shtml")</f>
        <v>http://www.12365auto.com/xcdg/20200226/419533.shtml</v>
      </c>
      <c r="G2138" s="2"/>
      <c r="H2138" s="2" t="s">
        <v>3103</v>
      </c>
      <c r="I2138" s="2" t="s">
        <v>19</v>
      </c>
      <c r="J2138" s="2" t="s">
        <v>12</v>
      </c>
      <c r="K2138" s="2" t="s">
        <v>3104</v>
      </c>
      <c r="L2138" s="2">
        <f t="shared" si="33"/>
        <v>150</v>
      </c>
    </row>
    <row r="2139" spans="1:12" ht="25" customHeight="1">
      <c r="A2139" s="2" t="s">
        <v>12</v>
      </c>
      <c r="B2139" s="2" t="str">
        <f>HYPERLINK("http://m.12365auto.com/xcdg/20200226/419541.shtml","极具未来感 Polestar极星Precept官图发布")</f>
        <v>极具未来感 Polestar极星Precept官图发布</v>
      </c>
      <c r="C2139" s="2" t="s">
        <v>13</v>
      </c>
      <c r="D2139" s="2" t="s">
        <v>12</v>
      </c>
      <c r="E2139" s="2"/>
      <c r="F2139" s="2" t="str">
        <f>HYPERLINK("http://m.12365auto.com/xcdg/20200226/419541.shtml","http://m.12365auto.com/xcdg/20200226/419541.shtml")</f>
        <v>http://m.12365auto.com/xcdg/20200226/419541.shtml</v>
      </c>
      <c r="G2139" s="2"/>
      <c r="H2139" s="2" t="s">
        <v>3105</v>
      </c>
      <c r="I2139" s="2" t="s">
        <v>19</v>
      </c>
      <c r="J2139" s="2" t="s">
        <v>1326</v>
      </c>
      <c r="K2139" s="2" t="s">
        <v>3106</v>
      </c>
      <c r="L2139" s="2">
        <f t="shared" si="33"/>
        <v>150</v>
      </c>
    </row>
    <row r="2140" spans="1:12" ht="25" customHeight="1">
      <c r="A2140" s="2" t="s">
        <v>12</v>
      </c>
      <c r="B2140" s="2" t="str">
        <f>HYPERLINK("http://www.12365auto.com/xcdg/20200226/419541.shtml","极具未来感 Polestar极星Precept官图发布")</f>
        <v>极具未来感 Polestar极星Precept官图发布</v>
      </c>
      <c r="C2140" s="2" t="s">
        <v>13</v>
      </c>
      <c r="D2140" s="2" t="s">
        <v>12</v>
      </c>
      <c r="E2140" s="2" t="s">
        <v>245</v>
      </c>
      <c r="F2140" s="2" t="str">
        <f>HYPERLINK("http://www.12365auto.com/xcdg/20200226/419541.shtml","http://www.12365auto.com/xcdg/20200226/419541.shtml")</f>
        <v>http://www.12365auto.com/xcdg/20200226/419541.shtml</v>
      </c>
      <c r="G2140" s="2"/>
      <c r="H2140" s="2" t="s">
        <v>3107</v>
      </c>
      <c r="I2140" s="2" t="s">
        <v>19</v>
      </c>
      <c r="J2140" s="2" t="s">
        <v>12</v>
      </c>
      <c r="K2140" s="2" t="s">
        <v>3106</v>
      </c>
      <c r="L2140" s="2">
        <f t="shared" si="33"/>
        <v>150</v>
      </c>
    </row>
    <row r="2141" spans="1:12" ht="25" customHeight="1">
      <c r="A2141" s="2" t="s">
        <v>12</v>
      </c>
      <c r="B2141" s="2" t="str">
        <f>HYPERLINK("http://www.12365auto.com/xcdg/20200226/419534.shtml","续航180km 雷诺Twingo Z.E.官图正式发布")</f>
        <v>续航180km 雷诺Twingo Z.E.官图正式发布</v>
      </c>
      <c r="C2141" s="2" t="s">
        <v>13</v>
      </c>
      <c r="D2141" s="2" t="s">
        <v>12</v>
      </c>
      <c r="E2141" s="2" t="s">
        <v>245</v>
      </c>
      <c r="F2141" s="2" t="str">
        <f>HYPERLINK("http://www.12365auto.com/xcdg/20200226/419534.shtml","http://www.12365auto.com/xcdg/20200226/419534.shtml")</f>
        <v>http://www.12365auto.com/xcdg/20200226/419534.shtml</v>
      </c>
      <c r="G2141" s="2"/>
      <c r="H2141" s="2" t="s">
        <v>3108</v>
      </c>
      <c r="I2141" s="2" t="s">
        <v>19</v>
      </c>
      <c r="J2141" s="2" t="s">
        <v>12</v>
      </c>
      <c r="K2141" s="2" t="s">
        <v>3109</v>
      </c>
      <c r="L2141" s="2">
        <f t="shared" si="33"/>
        <v>150</v>
      </c>
    </row>
    <row r="2142" spans="1:12" ht="25" customHeight="1">
      <c r="A2142" s="2" t="s">
        <v>12</v>
      </c>
      <c r="B2142" s="2" t="str">
        <f>HYPERLINK("http://m.12365auto.com/xcdg/20200226/419534.shtml","续航180km 雷诺Twingo Z.E.官图正式发布")</f>
        <v>续航180km 雷诺Twingo Z.E.官图正式发布</v>
      </c>
      <c r="C2142" s="2" t="s">
        <v>13</v>
      </c>
      <c r="D2142" s="2" t="s">
        <v>12</v>
      </c>
      <c r="E2142" s="2"/>
      <c r="F2142" s="2" t="str">
        <f>HYPERLINK("http://m.12365auto.com/xcdg/20200226/419534.shtml","http://m.12365auto.com/xcdg/20200226/419534.shtml")</f>
        <v>http://m.12365auto.com/xcdg/20200226/419534.shtml</v>
      </c>
      <c r="G2142" s="2"/>
      <c r="H2142" s="2" t="s">
        <v>3110</v>
      </c>
      <c r="I2142" s="2" t="s">
        <v>19</v>
      </c>
      <c r="J2142" s="2" t="s">
        <v>369</v>
      </c>
      <c r="K2142" s="2" t="s">
        <v>3109</v>
      </c>
      <c r="L2142" s="2">
        <f t="shared" si="33"/>
        <v>150</v>
      </c>
    </row>
    <row r="2143" spans="1:12" ht="25" customHeight="1">
      <c r="A2143" s="2" t="s">
        <v>12</v>
      </c>
      <c r="B2143" s="2" t="str">
        <f>HYPERLINK("http://www.12365auto.com/zlts/20200226/448764.shtml","一汽马自达CX-4中控显示屏故障无法正常使用")</f>
        <v>一汽马自达CX-4中控显示屏故障无法正常使用</v>
      </c>
      <c r="C2143" s="2" t="s">
        <v>13</v>
      </c>
      <c r="D2143" s="2" t="s">
        <v>12</v>
      </c>
      <c r="E2143" s="2" t="s">
        <v>17</v>
      </c>
      <c r="F2143" s="2" t="str">
        <f>HYPERLINK("http://www.12365auto.com/zlts/20200226/448764.shtml","http://www.12365auto.com/zlts/20200226/448764.shtml")</f>
        <v>http://www.12365auto.com/zlts/20200226/448764.shtml</v>
      </c>
      <c r="G2143" s="2"/>
      <c r="H2143" s="2" t="s">
        <v>3111</v>
      </c>
      <c r="I2143" s="2" t="s">
        <v>19</v>
      </c>
      <c r="J2143" s="2" t="s">
        <v>12</v>
      </c>
      <c r="K2143" s="2" t="s">
        <v>3112</v>
      </c>
      <c r="L2143" s="2">
        <f t="shared" si="33"/>
        <v>150</v>
      </c>
    </row>
    <row r="2144" spans="1:12" ht="25" customHeight="1">
      <c r="A2144" s="2" t="s">
        <v>12</v>
      </c>
      <c r="B2144" s="2" t="str">
        <f>HYPERLINK("http://m.12365auto.com/xcdg/20200226/419536.shtml","DS 9官图发布 或将于今年下半年国产上市")</f>
        <v>DS 9官图发布 或将于今年下半年国产上市</v>
      </c>
      <c r="C2144" s="2" t="s">
        <v>13</v>
      </c>
      <c r="D2144" s="2" t="s">
        <v>12</v>
      </c>
      <c r="E2144" s="2"/>
      <c r="F2144" s="2" t="str">
        <f>HYPERLINK("http://m.12365auto.com/xcdg/20200226/419536.shtml","http://m.12365auto.com/xcdg/20200226/419536.shtml")</f>
        <v>http://m.12365auto.com/xcdg/20200226/419536.shtml</v>
      </c>
      <c r="G2144" s="2"/>
      <c r="H2144" s="2" t="s">
        <v>3113</v>
      </c>
      <c r="I2144" s="2" t="s">
        <v>19</v>
      </c>
      <c r="J2144" s="2" t="s">
        <v>1305</v>
      </c>
      <c r="K2144" s="2" t="s">
        <v>3114</v>
      </c>
      <c r="L2144" s="2">
        <f t="shared" si="33"/>
        <v>150</v>
      </c>
    </row>
    <row r="2145" spans="1:12" ht="25" customHeight="1">
      <c r="A2145" s="2" t="s">
        <v>12</v>
      </c>
      <c r="B2145" s="2" t="str">
        <f>HYPERLINK("http://www.12365auto.com/xcdg/20200226/419536.shtml","DS 9官图发布 或将于今年下半年国产上市")</f>
        <v>DS 9官图发布 或将于今年下半年国产上市</v>
      </c>
      <c r="C2145" s="2" t="s">
        <v>13</v>
      </c>
      <c r="D2145" s="2" t="s">
        <v>12</v>
      </c>
      <c r="E2145" s="2" t="s">
        <v>216</v>
      </c>
      <c r="F2145" s="2" t="str">
        <f>HYPERLINK("http://www.12365auto.com/xcdg/20200226/419536.shtml","http://www.12365auto.com/xcdg/20200226/419536.shtml")</f>
        <v>http://www.12365auto.com/xcdg/20200226/419536.shtml</v>
      </c>
      <c r="G2145" s="2"/>
      <c r="H2145" s="2" t="s">
        <v>3115</v>
      </c>
      <c r="I2145" s="2" t="s">
        <v>15</v>
      </c>
      <c r="J2145" s="2" t="s">
        <v>12</v>
      </c>
      <c r="K2145" s="2" t="s">
        <v>3114</v>
      </c>
      <c r="L2145" s="2">
        <f t="shared" si="33"/>
        <v>150</v>
      </c>
    </row>
    <row r="2146" spans="1:12" ht="25" customHeight="1">
      <c r="A2146" s="2" t="s">
        <v>12</v>
      </c>
      <c r="B2146" s="2" t="str">
        <f>HYPERLINK("http://m.12365auto.com/zjdy/20200225/121643.shtml","本田思域的三缸发动机的质量怎么样？")</f>
        <v>本田思域的三缸发动机的质量怎么样？</v>
      </c>
      <c r="C2146" s="2" t="s">
        <v>13</v>
      </c>
      <c r="D2146" s="2" t="s">
        <v>12</v>
      </c>
      <c r="E2146" s="2"/>
      <c r="F2146" s="2" t="str">
        <f>HYPERLINK("http://m.12365auto.com/zjdy/20200225/121643.shtml","http://m.12365auto.com/zjdy/20200225/121643.shtml")</f>
        <v>http://m.12365auto.com/zjdy/20200225/121643.shtml</v>
      </c>
      <c r="G2146" s="2"/>
      <c r="H2146" s="2" t="s">
        <v>3116</v>
      </c>
      <c r="I2146" s="2" t="s">
        <v>19</v>
      </c>
      <c r="J2146" s="2" t="s">
        <v>12</v>
      </c>
      <c r="K2146" s="2" t="s">
        <v>3117</v>
      </c>
      <c r="L2146" s="2">
        <f t="shared" si="33"/>
        <v>36</v>
      </c>
    </row>
    <row r="2147" spans="1:12" ht="25" customHeight="1">
      <c r="A2147" s="2" t="s">
        <v>12</v>
      </c>
      <c r="B2147" s="2" t="str">
        <f>HYPERLINK("http://m.12365auto.com/zjdy/20200225/121644.shtml","劲客2020款智联豪华版有日间行车灯吗？")</f>
        <v>劲客2020款智联豪华版有日间行车灯吗？</v>
      </c>
      <c r="C2147" s="2" t="s">
        <v>13</v>
      </c>
      <c r="D2147" s="2" t="s">
        <v>12</v>
      </c>
      <c r="E2147" s="2"/>
      <c r="F2147" s="2" t="str">
        <f>HYPERLINK("http://m.12365auto.com/zjdy/20200225/121644.shtml","http://m.12365auto.com/zjdy/20200225/121644.shtml")</f>
        <v>http://m.12365auto.com/zjdy/20200225/121644.shtml</v>
      </c>
      <c r="G2147" s="2"/>
      <c r="H2147" s="2" t="s">
        <v>3118</v>
      </c>
      <c r="I2147" s="2" t="s">
        <v>19</v>
      </c>
      <c r="J2147" s="2" t="s">
        <v>12</v>
      </c>
      <c r="K2147" s="2" t="s">
        <v>3117</v>
      </c>
      <c r="L2147" s="2">
        <f t="shared" si="33"/>
        <v>23</v>
      </c>
    </row>
    <row r="2148" spans="1:12" ht="25" customHeight="1">
      <c r="A2148" s="2" t="s">
        <v>12</v>
      </c>
      <c r="B2148" s="2" t="str">
        <f>HYPERLINK("http://www.12365auto.com/zlts/20200226/448763.shtml","奇瑞艾瑞泽5车门把手无故损坏要求处理")</f>
        <v>奇瑞艾瑞泽5车门把手无故损坏要求处理</v>
      </c>
      <c r="C2148" s="2" t="s">
        <v>13</v>
      </c>
      <c r="D2148" s="2" t="s">
        <v>12</v>
      </c>
      <c r="E2148" s="2" t="s">
        <v>17</v>
      </c>
      <c r="F2148" s="2" t="str">
        <f>HYPERLINK("http://www.12365auto.com/zlts/20200226/448763.shtml","http://www.12365auto.com/zlts/20200226/448763.shtml")</f>
        <v>http://www.12365auto.com/zlts/20200226/448763.shtml</v>
      </c>
      <c r="G2148" s="2"/>
      <c r="H2148" s="2" t="s">
        <v>3119</v>
      </c>
      <c r="I2148" s="2" t="s">
        <v>15</v>
      </c>
      <c r="J2148" s="2" t="s">
        <v>12</v>
      </c>
      <c r="K2148" s="2" t="s">
        <v>3120</v>
      </c>
      <c r="L2148" s="2">
        <f t="shared" si="33"/>
        <v>150</v>
      </c>
    </row>
    <row r="2149" spans="1:12" ht="25" customHeight="1">
      <c r="A2149" s="2" t="s">
        <v>12</v>
      </c>
      <c r="B2149" s="2" t="str">
        <f>HYPERLINK("http://m.12365auto.com/zjdy/20200226/121647.shtml","2020款哈弗F7和哈弗H6应该如何选择？")</f>
        <v>2020款哈弗F7和哈弗H6应该如何选择？</v>
      </c>
      <c r="C2149" s="2" t="s">
        <v>13</v>
      </c>
      <c r="D2149" s="2" t="s">
        <v>12</v>
      </c>
      <c r="E2149" s="2"/>
      <c r="F2149" s="2" t="str">
        <f>HYPERLINK("http://m.12365auto.com/zjdy/20200226/121647.shtml","http://m.12365auto.com/zjdy/20200226/121647.shtml")</f>
        <v>http://m.12365auto.com/zjdy/20200226/121647.shtml</v>
      </c>
      <c r="G2149" s="2"/>
      <c r="H2149" s="2" t="s">
        <v>3121</v>
      </c>
      <c r="I2149" s="2" t="s">
        <v>19</v>
      </c>
      <c r="J2149" s="2" t="s">
        <v>12</v>
      </c>
      <c r="K2149" s="2" t="s">
        <v>3122</v>
      </c>
      <c r="L2149" s="2">
        <f t="shared" si="33"/>
        <v>30</v>
      </c>
    </row>
    <row r="2150" spans="1:12" ht="25" customHeight="1">
      <c r="A2150" s="2" t="s">
        <v>12</v>
      </c>
      <c r="B2150" s="2" t="str">
        <f>HYPERLINK("http://m.12365auto.com/zjdy/20200225/121646.shtml","雅阁引擎盖弹起这个问题如何处理？")</f>
        <v>雅阁引擎盖弹起这个问题如何处理？</v>
      </c>
      <c r="C2150" s="2" t="s">
        <v>13</v>
      </c>
      <c r="D2150" s="2" t="s">
        <v>12</v>
      </c>
      <c r="E2150" s="2"/>
      <c r="F2150" s="2" t="str">
        <f>HYPERLINK("http://m.12365auto.com/zjdy/20200225/121646.shtml","http://m.12365auto.com/zjdy/20200225/121646.shtml")</f>
        <v>http://m.12365auto.com/zjdy/20200225/121646.shtml</v>
      </c>
      <c r="G2150" s="2"/>
      <c r="H2150" s="2" t="s">
        <v>3123</v>
      </c>
      <c r="I2150" s="2" t="s">
        <v>19</v>
      </c>
      <c r="J2150" s="2" t="s">
        <v>12</v>
      </c>
      <c r="K2150" s="2" t="s">
        <v>3122</v>
      </c>
      <c r="L2150" s="2">
        <f t="shared" si="33"/>
        <v>46</v>
      </c>
    </row>
    <row r="2151" spans="1:12" ht="25" customHeight="1">
      <c r="A2151" s="2" t="s">
        <v>12</v>
      </c>
      <c r="B2151" s="2" t="str">
        <f>HYPERLINK("http://m.12365auto.com/zjdy/20200225/121645.shtml","比亚迪宋自动精英型是干式的还是湿式的？")</f>
        <v>比亚迪宋自动精英型是干式的还是湿式的？</v>
      </c>
      <c r="C2151" s="2" t="s">
        <v>13</v>
      </c>
      <c r="D2151" s="2" t="s">
        <v>12</v>
      </c>
      <c r="E2151" s="2"/>
      <c r="F2151" s="2" t="str">
        <f>HYPERLINK("http://m.12365auto.com/zjdy/20200225/121645.shtml","http://m.12365auto.com/zjdy/20200225/121645.shtml")</f>
        <v>http://m.12365auto.com/zjdy/20200225/121645.shtml</v>
      </c>
      <c r="G2151" s="2"/>
      <c r="H2151" s="2" t="s">
        <v>3124</v>
      </c>
      <c r="I2151" s="2" t="s">
        <v>19</v>
      </c>
      <c r="J2151" s="2" t="s">
        <v>12</v>
      </c>
      <c r="K2151" s="2" t="s">
        <v>3122</v>
      </c>
      <c r="L2151" s="2">
        <f t="shared" si="33"/>
        <v>20</v>
      </c>
    </row>
    <row r="2152" spans="1:12" ht="25" customHeight="1">
      <c r="A2152" s="2" t="s">
        <v>12</v>
      </c>
      <c r="B2152" s="2" t="str">
        <f>HYPERLINK("http://m.12365auto.com/zjdy/20200226/121648.shtml","吉利帝豪GL艾瑞泽GX对比哪个更好一些？")</f>
        <v>吉利帝豪GL艾瑞泽GX对比哪个更好一些？</v>
      </c>
      <c r="C2152" s="2" t="s">
        <v>13</v>
      </c>
      <c r="D2152" s="2" t="s">
        <v>12</v>
      </c>
      <c r="E2152" s="2"/>
      <c r="F2152" s="2" t="str">
        <f>HYPERLINK("http://m.12365auto.com/zjdy/20200226/121648.shtml","http://m.12365auto.com/zjdy/20200226/121648.shtml")</f>
        <v>http://m.12365auto.com/zjdy/20200226/121648.shtml</v>
      </c>
      <c r="G2152" s="2"/>
      <c r="H2152" s="2" t="s">
        <v>3125</v>
      </c>
      <c r="I2152" s="2" t="s">
        <v>19</v>
      </c>
      <c r="J2152" s="2" t="s">
        <v>12</v>
      </c>
      <c r="K2152" s="2" t="s">
        <v>3126</v>
      </c>
      <c r="L2152" s="2">
        <f t="shared" si="33"/>
        <v>50</v>
      </c>
    </row>
    <row r="2153" spans="1:12" ht="25" customHeight="1">
      <c r="A2153" s="2" t="s">
        <v>12</v>
      </c>
      <c r="B2153" s="2" t="str">
        <f>HYPERLINK("http://m.12365auto.com/zjdy/20200226/121649.shtml","吉利远景X3可以换帝豪GS的中控屏幕吗？")</f>
        <v>吉利远景X3可以换帝豪GS的中控屏幕吗？</v>
      </c>
      <c r="C2153" s="2" t="s">
        <v>13</v>
      </c>
      <c r="D2153" s="2" t="s">
        <v>12</v>
      </c>
      <c r="E2153" s="2"/>
      <c r="F2153" s="2" t="str">
        <f>HYPERLINK("http://m.12365auto.com/zjdy/20200226/121649.shtml","http://m.12365auto.com/zjdy/20200226/121649.shtml")</f>
        <v>http://m.12365auto.com/zjdy/20200226/121649.shtml</v>
      </c>
      <c r="G2153" s="2"/>
      <c r="H2153" s="2" t="s">
        <v>3127</v>
      </c>
      <c r="I2153" s="2" t="s">
        <v>19</v>
      </c>
      <c r="J2153" s="2" t="s">
        <v>12</v>
      </c>
      <c r="K2153" s="2" t="s">
        <v>3126</v>
      </c>
      <c r="L2153" s="2">
        <f t="shared" si="33"/>
        <v>20</v>
      </c>
    </row>
    <row r="2154" spans="1:12" ht="25" customHeight="1">
      <c r="A2154" s="2" t="s">
        <v>12</v>
      </c>
      <c r="B2154" s="2" t="str">
        <f>HYPERLINK("http://m.12365auto.com/zjdy/20200226/121650.shtml","沃尔沃V90这款车怎么样可以购买吗？")</f>
        <v>沃尔沃V90这款车怎么样可以购买吗？</v>
      </c>
      <c r="C2154" s="2" t="s">
        <v>13</v>
      </c>
      <c r="D2154" s="2" t="s">
        <v>12</v>
      </c>
      <c r="E2154" s="2"/>
      <c r="F2154" s="2" t="str">
        <f>HYPERLINK("http://m.12365auto.com/zjdy/20200226/121650.shtml","http://m.12365auto.com/zjdy/20200226/121650.shtml")</f>
        <v>http://m.12365auto.com/zjdy/20200226/121650.shtml</v>
      </c>
      <c r="G2154" s="2"/>
      <c r="H2154" s="2" t="s">
        <v>3128</v>
      </c>
      <c r="I2154" s="2" t="s">
        <v>19</v>
      </c>
      <c r="J2154" s="2" t="s">
        <v>12</v>
      </c>
      <c r="K2154" s="2" t="s">
        <v>3129</v>
      </c>
      <c r="L2154" s="2">
        <f t="shared" si="33"/>
        <v>20</v>
      </c>
    </row>
    <row r="2155" spans="1:12" ht="25" customHeight="1">
      <c r="A2155" s="2" t="s">
        <v>12</v>
      </c>
      <c r="B2155" s="2" t="str">
        <f>HYPERLINK("http://m.12365auto.com/zjdy/20200226/121652.shtml","东风标致4008刹车踩不动是为什么？")</f>
        <v>东风标致4008刹车踩不动是为什么？</v>
      </c>
      <c r="C2155" s="2" t="s">
        <v>13</v>
      </c>
      <c r="D2155" s="2" t="s">
        <v>12</v>
      </c>
      <c r="E2155" s="2"/>
      <c r="F2155" s="2" t="str">
        <f>HYPERLINK("http://m.12365auto.com/zjdy/20200226/121652.shtml","http://m.12365auto.com/zjdy/20200226/121652.shtml")</f>
        <v>http://m.12365auto.com/zjdy/20200226/121652.shtml</v>
      </c>
      <c r="G2155" s="2"/>
      <c r="H2155" s="2" t="s">
        <v>3130</v>
      </c>
      <c r="I2155" s="2" t="s">
        <v>19</v>
      </c>
      <c r="J2155" s="2" t="s">
        <v>12</v>
      </c>
      <c r="K2155" s="2" t="s">
        <v>3131</v>
      </c>
      <c r="L2155" s="2">
        <f t="shared" si="33"/>
        <v>18</v>
      </c>
    </row>
    <row r="2156" spans="1:12" ht="25" customHeight="1">
      <c r="A2156" s="2" t="s">
        <v>12</v>
      </c>
      <c r="B2156" s="2" t="str">
        <f>HYPERLINK("http://m.12365auto.com/zjdy/20200226/121651.shtml","东风小康C32无法提速是什么原因？")</f>
        <v>东风小康C32无法提速是什么原因？</v>
      </c>
      <c r="C2156" s="2" t="s">
        <v>13</v>
      </c>
      <c r="D2156" s="2" t="s">
        <v>12</v>
      </c>
      <c r="E2156" s="2"/>
      <c r="F2156" s="2" t="str">
        <f>HYPERLINK("http://m.12365auto.com/zjdy/20200226/121651.shtml","http://m.12365auto.com/zjdy/20200226/121651.shtml")</f>
        <v>http://m.12365auto.com/zjdy/20200226/121651.shtml</v>
      </c>
      <c r="G2156" s="2"/>
      <c r="H2156" s="2" t="s">
        <v>3132</v>
      </c>
      <c r="I2156" s="2" t="s">
        <v>19</v>
      </c>
      <c r="J2156" s="2" t="s">
        <v>12</v>
      </c>
      <c r="K2156" s="2" t="s">
        <v>3131</v>
      </c>
      <c r="L2156" s="2">
        <f t="shared" si="33"/>
        <v>17</v>
      </c>
    </row>
    <row r="2157" spans="1:12" ht="25" customHeight="1">
      <c r="A2157" s="2" t="s">
        <v>12</v>
      </c>
      <c r="B2157" s="2" t="str">
        <f>HYPERLINK("http://www.12365auto.com/xcdg/20200226/419531.shtml","不忘经典 MINI COOPER SE新车图解")</f>
        <v>不忘经典 MINI COOPER SE新车图解</v>
      </c>
      <c r="C2157" s="2" t="s">
        <v>13</v>
      </c>
      <c r="D2157" s="2" t="s">
        <v>12</v>
      </c>
      <c r="E2157" s="2" t="s">
        <v>216</v>
      </c>
      <c r="F2157" s="2" t="str">
        <f>HYPERLINK("http://www.12365auto.com/xcdg/20200226/419531.shtml","http://www.12365auto.com/xcdg/20200226/419531.shtml")</f>
        <v>http://www.12365auto.com/xcdg/20200226/419531.shtml</v>
      </c>
      <c r="G2157" s="2"/>
      <c r="H2157" s="2" t="s">
        <v>3133</v>
      </c>
      <c r="I2157" s="2" t="s">
        <v>15</v>
      </c>
      <c r="J2157" s="2" t="s">
        <v>12</v>
      </c>
      <c r="K2157" s="2" t="s">
        <v>3134</v>
      </c>
      <c r="L2157" s="2">
        <f t="shared" si="33"/>
        <v>150</v>
      </c>
    </row>
    <row r="2158" spans="1:12" ht="25" customHeight="1">
      <c r="A2158" s="2" t="s">
        <v>12</v>
      </c>
      <c r="B2158" s="2" t="str">
        <f>HYPERLINK("http://www.12365auto.com/scbg/20200226/419529.shtml","呈上完美旗舰！试驾2020款宝马X7")</f>
        <v>呈上完美旗舰！试驾2020款宝马X7</v>
      </c>
      <c r="C2158" s="2" t="s">
        <v>13</v>
      </c>
      <c r="D2158" s="2" t="s">
        <v>12</v>
      </c>
      <c r="E2158" s="2" t="s">
        <v>1548</v>
      </c>
      <c r="F2158" s="2" t="str">
        <f>HYPERLINK("http://www.12365auto.com/scbg/20200226/419529.shtml","http://www.12365auto.com/scbg/20200226/419529.shtml")</f>
        <v>http://www.12365auto.com/scbg/20200226/419529.shtml</v>
      </c>
      <c r="G2158" s="2"/>
      <c r="H2158" s="2" t="s">
        <v>3135</v>
      </c>
      <c r="I2158" s="2" t="s">
        <v>15</v>
      </c>
      <c r="J2158" s="2" t="s">
        <v>12</v>
      </c>
      <c r="K2158" s="2" t="s">
        <v>3134</v>
      </c>
      <c r="L2158" s="2">
        <f t="shared" si="33"/>
        <v>150</v>
      </c>
    </row>
    <row r="2159" spans="1:12" ht="25" customHeight="1">
      <c r="A2159" s="2" t="s">
        <v>12</v>
      </c>
      <c r="B2159" s="2" t="str">
        <f>HYPERLINK("http://www.12365auto.com/dcbg/20200226/419528.shtml","2019年度国内微型车投诉排行榜")</f>
        <v>2019年度国内微型车投诉排行榜</v>
      </c>
      <c r="C2159" s="2" t="s">
        <v>13</v>
      </c>
      <c r="D2159" s="2" t="s">
        <v>12</v>
      </c>
      <c r="E2159" s="2" t="s">
        <v>1319</v>
      </c>
      <c r="F2159" s="2" t="str">
        <f>HYPERLINK("http://www.12365auto.com/dcbg/20200226/419528.shtml","http://www.12365auto.com/dcbg/20200226/419528.shtml")</f>
        <v>http://www.12365auto.com/dcbg/20200226/419528.shtml</v>
      </c>
      <c r="G2159" s="2"/>
      <c r="H2159" s="2" t="s">
        <v>3136</v>
      </c>
      <c r="I2159" s="2" t="s">
        <v>15</v>
      </c>
      <c r="J2159" s="2" t="s">
        <v>12</v>
      </c>
      <c r="K2159" s="2" t="s">
        <v>3134</v>
      </c>
      <c r="L2159" s="2">
        <f t="shared" si="33"/>
        <v>150</v>
      </c>
    </row>
    <row r="2160" spans="1:12" ht="25" customHeight="1">
      <c r="A2160" s="2" t="s">
        <v>12</v>
      </c>
      <c r="B2160" s="2" t="str">
        <f>HYPERLINK("http://www.12365auto.com/dcbg/20200226/419530.shtml","新车产品力指数：奇瑞全新一代瑞虎7")</f>
        <v>新车产品力指数：奇瑞全新一代瑞虎7</v>
      </c>
      <c r="C2160" s="2" t="s">
        <v>13</v>
      </c>
      <c r="D2160" s="2" t="s">
        <v>12</v>
      </c>
      <c r="E2160" s="2" t="s">
        <v>1319</v>
      </c>
      <c r="F2160" s="2" t="str">
        <f>HYPERLINK("http://www.12365auto.com/dcbg/20200226/419530.shtml","http://www.12365auto.com/dcbg/20200226/419530.shtml")</f>
        <v>http://www.12365auto.com/dcbg/20200226/419530.shtml</v>
      </c>
      <c r="G2160" s="2"/>
      <c r="H2160" s="2" t="s">
        <v>3137</v>
      </c>
      <c r="I2160" s="2" t="s">
        <v>15</v>
      </c>
      <c r="J2160" s="2" t="s">
        <v>12</v>
      </c>
      <c r="K2160" s="2" t="s">
        <v>3134</v>
      </c>
      <c r="L2160" s="2">
        <f t="shared" si="33"/>
        <v>150</v>
      </c>
    </row>
    <row r="2161" spans="1:12" ht="25" customHeight="1">
      <c r="A2161" s="2" t="s">
        <v>12</v>
      </c>
      <c r="B2161" s="2" t="str">
        <f>HYPERLINK("http://m.12365auto.com/xcdg/20200226/419531.shtml","不忘经典 MINI COOPER SE新车图解")</f>
        <v>不忘经典 MINI COOPER SE新车图解</v>
      </c>
      <c r="C2161" s="2" t="s">
        <v>13</v>
      </c>
      <c r="D2161" s="2" t="s">
        <v>12</v>
      </c>
      <c r="E2161" s="2"/>
      <c r="F2161" s="2" t="str">
        <f>HYPERLINK("http://m.12365auto.com/xcdg/20200226/419531.shtml","http://m.12365auto.com/xcdg/20200226/419531.shtml")</f>
        <v>http://m.12365auto.com/xcdg/20200226/419531.shtml</v>
      </c>
      <c r="G2161" s="2"/>
      <c r="H2161" s="2" t="s">
        <v>3138</v>
      </c>
      <c r="I2161" s="2" t="s">
        <v>19</v>
      </c>
      <c r="J2161" s="2" t="s">
        <v>371</v>
      </c>
      <c r="K2161" s="2" t="s">
        <v>3134</v>
      </c>
      <c r="L2161" s="2">
        <f t="shared" si="33"/>
        <v>150</v>
      </c>
    </row>
    <row r="2162" spans="1:12" ht="25" customHeight="1">
      <c r="A2162" s="2" t="s">
        <v>12</v>
      </c>
      <c r="B2162" s="2" t="str">
        <f>HYPERLINK("http://m.12365auto.com/dcbg/20200226/419528.shtml","2019年度国内微型车投诉排行榜")</f>
        <v>2019年度国内微型车投诉排行榜</v>
      </c>
      <c r="C2162" s="2" t="s">
        <v>13</v>
      </c>
      <c r="D2162" s="2" t="s">
        <v>12</v>
      </c>
      <c r="E2162" s="2"/>
      <c r="F2162" s="2" t="str">
        <f>HYPERLINK("http://m.12365auto.com/dcbg/20200226/419528.shtml","http://m.12365auto.com/dcbg/20200226/419528.shtml")</f>
        <v>http://m.12365auto.com/dcbg/20200226/419528.shtml</v>
      </c>
      <c r="G2162" s="2"/>
      <c r="H2162" s="2" t="s">
        <v>3139</v>
      </c>
      <c r="I2162" s="2" t="s">
        <v>19</v>
      </c>
      <c r="J2162" s="2" t="s">
        <v>1322</v>
      </c>
      <c r="K2162" s="2" t="s">
        <v>3134</v>
      </c>
      <c r="L2162" s="2">
        <f t="shared" si="33"/>
        <v>150</v>
      </c>
    </row>
    <row r="2163" spans="1:12" ht="25" customHeight="1">
      <c r="A2163" s="2" t="s">
        <v>12</v>
      </c>
      <c r="B2163" s="2" t="str">
        <f>HYPERLINK("http://m.12365auto.com/scbg/20200226/419529.shtml","呈上完美旗舰！试驾2020款宝马X7")</f>
        <v>呈上完美旗舰！试驾2020款宝马X7</v>
      </c>
      <c r="C2163" s="2" t="s">
        <v>13</v>
      </c>
      <c r="D2163" s="2" t="s">
        <v>12</v>
      </c>
      <c r="E2163" s="2"/>
      <c r="F2163" s="2" t="str">
        <f>HYPERLINK("http://m.12365auto.com/scbg/20200226/419529.shtml","http://m.12365auto.com/scbg/20200226/419529.shtml")</f>
        <v>http://m.12365auto.com/scbg/20200226/419529.shtml</v>
      </c>
      <c r="G2163" s="2"/>
      <c r="H2163" s="2" t="s">
        <v>3140</v>
      </c>
      <c r="I2163" s="2" t="s">
        <v>19</v>
      </c>
      <c r="J2163" s="2" t="s">
        <v>1250</v>
      </c>
      <c r="K2163" s="2" t="s">
        <v>3134</v>
      </c>
      <c r="L2163" s="2">
        <f t="shared" si="33"/>
        <v>150</v>
      </c>
    </row>
    <row r="2164" spans="1:12" ht="25" customHeight="1">
      <c r="A2164" s="2" t="s">
        <v>12</v>
      </c>
      <c r="B2164" s="2" t="str">
        <f>HYPERLINK("http://m.12365auto.com/dcbg/20200226/419530.shtml","新车产品力指数：奇瑞全新一代瑞虎7")</f>
        <v>新车产品力指数：奇瑞全新一代瑞虎7</v>
      </c>
      <c r="C2164" s="2" t="s">
        <v>13</v>
      </c>
      <c r="D2164" s="2" t="s">
        <v>12</v>
      </c>
      <c r="E2164" s="2"/>
      <c r="F2164" s="2" t="str">
        <f>HYPERLINK("http://m.12365auto.com/dcbg/20200226/419530.shtml","http://m.12365auto.com/dcbg/20200226/419530.shtml")</f>
        <v>http://m.12365auto.com/dcbg/20200226/419530.shtml</v>
      </c>
      <c r="G2164" s="2"/>
      <c r="H2164" s="2" t="s">
        <v>3141</v>
      </c>
      <c r="I2164" s="2" t="s">
        <v>19</v>
      </c>
      <c r="J2164" s="2" t="s">
        <v>1241</v>
      </c>
      <c r="K2164" s="2" t="s">
        <v>3134</v>
      </c>
      <c r="L2164" s="2">
        <f t="shared" si="33"/>
        <v>150</v>
      </c>
    </row>
    <row r="2165" spans="1:12" ht="25" customHeight="1">
      <c r="A2165" s="2" t="s">
        <v>12</v>
      </c>
      <c r="B2165" s="2" t="str">
        <f>HYPERLINK("http://bbs.12365auto.com/postcontent.aspx?tID=195161","日产颈客20款豪华版 没有日行灯")</f>
        <v>日产颈客20款豪华版 没有日行灯</v>
      </c>
      <c r="C2165" s="2" t="s">
        <v>13</v>
      </c>
      <c r="D2165" s="2" t="s">
        <v>12</v>
      </c>
      <c r="E2165" s="2" t="s">
        <v>3142</v>
      </c>
      <c r="F2165" s="2" t="str">
        <f>HYPERLINK("http://bbs.12365auto.com/postcontent.aspx?tID=195161","http://bbs.12365auto.com/postcontent.aspx?tID=195161")</f>
        <v>http://bbs.12365auto.com/postcontent.aspx?tID=195161</v>
      </c>
      <c r="G2165" s="2"/>
      <c r="H2165" s="2" t="s">
        <v>3143</v>
      </c>
      <c r="I2165" s="2" t="s">
        <v>15</v>
      </c>
      <c r="J2165" s="2" t="s">
        <v>3144</v>
      </c>
      <c r="K2165" s="2" t="s">
        <v>3145</v>
      </c>
      <c r="L2165" s="2">
        <f t="shared" si="33"/>
        <v>29</v>
      </c>
    </row>
    <row r="2166" spans="1:12" ht="25" customHeight="1">
      <c r="A2166" s="2" t="s">
        <v>12</v>
      </c>
      <c r="B2166" s="2" t="str">
        <f>HYPERLINK("http://www.12365auto.com/zlts/20200226/448761.shtml","东风本田思域曲轴后油封有严重漏油的现象")</f>
        <v>东风本田思域曲轴后油封有严重漏油的现象</v>
      </c>
      <c r="C2166" s="2" t="s">
        <v>13</v>
      </c>
      <c r="D2166" s="2" t="s">
        <v>12</v>
      </c>
      <c r="E2166" s="2" t="s">
        <v>17</v>
      </c>
      <c r="F2166" s="2" t="str">
        <f>HYPERLINK("http://www.12365auto.com/zlts/20200226/448761.shtml","http://www.12365auto.com/zlts/20200226/448761.shtml")</f>
        <v>http://www.12365auto.com/zlts/20200226/448761.shtml</v>
      </c>
      <c r="G2166" s="2"/>
      <c r="H2166" s="2" t="s">
        <v>3146</v>
      </c>
      <c r="I2166" s="2" t="s">
        <v>19</v>
      </c>
      <c r="J2166" s="2" t="s">
        <v>12</v>
      </c>
      <c r="K2166" s="2" t="s">
        <v>3147</v>
      </c>
      <c r="L2166" s="2">
        <f t="shared" si="33"/>
        <v>150</v>
      </c>
    </row>
    <row r="2167" spans="1:12" ht="25" customHeight="1">
      <c r="A2167" s="2" t="s">
        <v>12</v>
      </c>
      <c r="B2167" s="2" t="str">
        <f>HYPERLINK("http://www.12365auto.com/zlts/20200226/448760.shtml","北汽幻速S6天窗生锈腐烂胶条脱落并且漏水")</f>
        <v>北汽幻速S6天窗生锈腐烂胶条脱落并且漏水</v>
      </c>
      <c r="C2167" s="2" t="s">
        <v>13</v>
      </c>
      <c r="D2167" s="2" t="s">
        <v>12</v>
      </c>
      <c r="E2167" s="2"/>
      <c r="F2167" s="2" t="str">
        <f>HYPERLINK("http://www.12365auto.com/zlts/20200226/448760.shtml","http://www.12365auto.com/zlts/20200226/448760.shtml")</f>
        <v>http://www.12365auto.com/zlts/20200226/448760.shtml</v>
      </c>
      <c r="G2167" s="2"/>
      <c r="H2167" s="3" t="s">
        <v>3148</v>
      </c>
      <c r="I2167" s="2" t="s">
        <v>15</v>
      </c>
      <c r="J2167" s="2" t="s">
        <v>12</v>
      </c>
      <c r="K2167" s="2" t="s">
        <v>3149</v>
      </c>
      <c r="L2167" s="2">
        <f t="shared" si="33"/>
        <v>108</v>
      </c>
    </row>
    <row r="2168" spans="1:12" ht="25" customHeight="1">
      <c r="A2168" s="2" t="s">
        <v>12</v>
      </c>
      <c r="B2168" s="2" t="str">
        <f>HYPERLINK("http://www.12365auto.com/zlts/20200226/448757.shtml","别克凯越中控台饰板翘起存在严重安全隐患")</f>
        <v>别克凯越中控台饰板翘起存在严重安全隐患</v>
      </c>
      <c r="C2168" s="2" t="s">
        <v>13</v>
      </c>
      <c r="D2168" s="2" t="s">
        <v>12</v>
      </c>
      <c r="E2168" s="2"/>
      <c r="F2168" s="2" t="str">
        <f>HYPERLINK("http://www.12365auto.com/zlts/20200226/448757.shtml","http://www.12365auto.com/zlts/20200226/448757.shtml")</f>
        <v>http://www.12365auto.com/zlts/20200226/448757.shtml</v>
      </c>
      <c r="G2168" s="2"/>
      <c r="H2168" s="3" t="s">
        <v>3150</v>
      </c>
      <c r="I2168" s="2" t="s">
        <v>15</v>
      </c>
      <c r="J2168" s="2" t="s">
        <v>12</v>
      </c>
      <c r="K2168" s="2" t="s">
        <v>3151</v>
      </c>
      <c r="L2168" s="2">
        <f t="shared" si="33"/>
        <v>105</v>
      </c>
    </row>
    <row r="2169" spans="1:12" ht="25" customHeight="1">
      <c r="A2169" s="2" t="s">
        <v>12</v>
      </c>
      <c r="B2169" s="2" t="str">
        <f>HYPERLINK("http://www.12365auto.com/zlts/20200226/448758.shtml","众泰Z500质保期内出现的质量问题不予索赔")</f>
        <v>众泰Z500质保期内出现的质量问题不予索赔</v>
      </c>
      <c r="C2169" s="2" t="s">
        <v>13</v>
      </c>
      <c r="D2169" s="2" t="s">
        <v>12</v>
      </c>
      <c r="E2169" s="2" t="s">
        <v>17</v>
      </c>
      <c r="F2169" s="2" t="str">
        <f>HYPERLINK("http://www.12365auto.com/zlts/20200226/448758.shtml","http://www.12365auto.com/zlts/20200226/448758.shtml")</f>
        <v>http://www.12365auto.com/zlts/20200226/448758.shtml</v>
      </c>
      <c r="G2169" s="2"/>
      <c r="H2169" s="2" t="s">
        <v>3152</v>
      </c>
      <c r="I2169" s="2" t="s">
        <v>19</v>
      </c>
      <c r="J2169" s="2" t="s">
        <v>12</v>
      </c>
      <c r="K2169" s="2" t="s">
        <v>3153</v>
      </c>
      <c r="L2169" s="2">
        <f t="shared" si="33"/>
        <v>150</v>
      </c>
    </row>
    <row r="2170" spans="1:12" ht="25" customHeight="1">
      <c r="A2170" s="2" t="s">
        <v>12</v>
      </c>
      <c r="B2170" s="2" t="str">
        <f>HYPERLINK("http://www.12365auto.com/zlts/20200226/448755.shtml","上汽大众帕萨特碰撞测试A柱断裂 车内异响")</f>
        <v>上汽大众帕萨特碰撞测试A柱断裂 车内异响</v>
      </c>
      <c r="C2170" s="2" t="s">
        <v>13</v>
      </c>
      <c r="D2170" s="2" t="s">
        <v>12</v>
      </c>
      <c r="E2170" s="2" t="s">
        <v>17</v>
      </c>
      <c r="F2170" s="2" t="str">
        <f>HYPERLINK("http://www.12365auto.com/zlts/20200226/448755.shtml","http://www.12365auto.com/zlts/20200226/448755.shtml")</f>
        <v>http://www.12365auto.com/zlts/20200226/448755.shtml</v>
      </c>
      <c r="G2170" s="2"/>
      <c r="H2170" s="2" t="s">
        <v>3154</v>
      </c>
      <c r="I2170" s="2" t="s">
        <v>19</v>
      </c>
      <c r="J2170" s="2" t="s">
        <v>12</v>
      </c>
      <c r="K2170" s="2" t="s">
        <v>3155</v>
      </c>
      <c r="L2170" s="2">
        <f t="shared" si="33"/>
        <v>150</v>
      </c>
    </row>
    <row r="2171" spans="1:12" ht="25" customHeight="1">
      <c r="A2171" s="2" t="s">
        <v>12</v>
      </c>
      <c r="B2171" s="2" t="str">
        <f>HYPERLINK("http://www.12365auto.com/zlts/20200225/448751.shtml","高速微调反向盘卡顿")</f>
        <v>高速微调反向盘卡顿</v>
      </c>
      <c r="C2171" s="2" t="s">
        <v>13</v>
      </c>
      <c r="D2171" s="2" t="s">
        <v>12</v>
      </c>
      <c r="E2171" s="2"/>
      <c r="F2171" s="2" t="str">
        <f>HYPERLINK("http://www.12365auto.com/zlts/20200225/448751.shtml","http://www.12365auto.com/zlts/20200225/448751.shtml")</f>
        <v>http://www.12365auto.com/zlts/20200225/448751.shtml</v>
      </c>
      <c r="G2171" s="2"/>
      <c r="H2171" s="3" t="s">
        <v>3156</v>
      </c>
      <c r="I2171" s="2" t="s">
        <v>15</v>
      </c>
      <c r="J2171" s="2" t="s">
        <v>12</v>
      </c>
      <c r="K2171" s="2" t="s">
        <v>3157</v>
      </c>
      <c r="L2171" s="2">
        <f t="shared" si="33"/>
        <v>101</v>
      </c>
    </row>
    <row r="2172" spans="1:12" ht="25" customHeight="1">
      <c r="A2172" s="2" t="s">
        <v>12</v>
      </c>
      <c r="B2172" s="2" t="str">
        <f>HYPERLINK("http://www.12365auto.com/zlts/20200225/448753.shtml","上汽名爵HS行驶过程中变速箱有严重异响")</f>
        <v>上汽名爵HS行驶过程中变速箱有严重异响</v>
      </c>
      <c r="C2172" s="2" t="s">
        <v>13</v>
      </c>
      <c r="D2172" s="2" t="s">
        <v>12</v>
      </c>
      <c r="E2172" s="2" t="s">
        <v>17</v>
      </c>
      <c r="F2172" s="2" t="str">
        <f>HYPERLINK("http://www.12365auto.com/zlts/20200225/448753.shtml","http://www.12365auto.com/zlts/20200225/448753.shtml")</f>
        <v>http://www.12365auto.com/zlts/20200225/448753.shtml</v>
      </c>
      <c r="G2172" s="2"/>
      <c r="H2172" s="2" t="s">
        <v>3158</v>
      </c>
      <c r="I2172" s="2" t="s">
        <v>19</v>
      </c>
      <c r="J2172" s="2" t="s">
        <v>12</v>
      </c>
      <c r="K2172" s="2" t="s">
        <v>3159</v>
      </c>
      <c r="L2172" s="2">
        <f t="shared" si="33"/>
        <v>150</v>
      </c>
    </row>
    <row r="2173" spans="1:12" ht="25" customHeight="1">
      <c r="A2173" s="2" t="s">
        <v>12</v>
      </c>
      <c r="B2173" s="2" t="str">
        <f>HYPERLINK("http://www.12365auto.com/zlts/20200225/448740.shtml","漏汽油，后排座椅浸水，刹车干扰收音，雷达无故失效")</f>
        <v>漏汽油，后排座椅浸水，刹车干扰收音，雷达无故失效</v>
      </c>
      <c r="C2173" s="2" t="s">
        <v>13</v>
      </c>
      <c r="D2173" s="2" t="s">
        <v>12</v>
      </c>
      <c r="E2173" s="2"/>
      <c r="F2173" s="2" t="str">
        <f>HYPERLINK("http://www.12365auto.com/zlts/20200225/448740.shtml","http://www.12365auto.com/zlts/20200225/448740.shtml")</f>
        <v>http://www.12365auto.com/zlts/20200225/448740.shtml</v>
      </c>
      <c r="G2173" s="2"/>
      <c r="H2173" s="3" t="s">
        <v>3160</v>
      </c>
      <c r="I2173" s="2" t="s">
        <v>15</v>
      </c>
      <c r="J2173" s="2" t="s">
        <v>12</v>
      </c>
      <c r="K2173" s="2" t="s">
        <v>3161</v>
      </c>
      <c r="L2173" s="2">
        <f t="shared" si="33"/>
        <v>111</v>
      </c>
    </row>
    <row r="2174" spans="1:12" ht="25" customHeight="1">
      <c r="A2174" s="2" t="s">
        <v>12</v>
      </c>
      <c r="B2174" s="2" t="str">
        <f>HYPERLINK("http://www.12365auto.com/zlts/20200225/448749.shtml","江淮嘉悦A5驾驶室以及后排大量进水")</f>
        <v>江淮嘉悦A5驾驶室以及后排大量进水</v>
      </c>
      <c r="C2174" s="2" t="s">
        <v>13</v>
      </c>
      <c r="D2174" s="2" t="s">
        <v>12</v>
      </c>
      <c r="E2174" s="2" t="s">
        <v>17</v>
      </c>
      <c r="F2174" s="2" t="str">
        <f>HYPERLINK("http://www.12365auto.com/zlts/20200225/448749.shtml","http://www.12365auto.com/zlts/20200225/448749.shtml")</f>
        <v>http://www.12365auto.com/zlts/20200225/448749.shtml</v>
      </c>
      <c r="G2174" s="2"/>
      <c r="H2174" s="2" t="s">
        <v>3162</v>
      </c>
      <c r="I2174" s="2" t="s">
        <v>19</v>
      </c>
      <c r="J2174" s="2" t="s">
        <v>12</v>
      </c>
      <c r="K2174" s="2" t="s">
        <v>3163</v>
      </c>
      <c r="L2174" s="2">
        <f t="shared" si="33"/>
        <v>150</v>
      </c>
    </row>
    <row r="2175" spans="1:12" ht="25" customHeight="1">
      <c r="A2175" s="2" t="s">
        <v>12</v>
      </c>
      <c r="B2175" s="2" t="str">
        <f>HYPERLINK("http://www.12365auto.com/zlts/20200225/448734.shtml","转向系统有意向，电瓶缺电打不着火")</f>
        <v>转向系统有意向，电瓶缺电打不着火</v>
      </c>
      <c r="C2175" s="2" t="s">
        <v>13</v>
      </c>
      <c r="D2175" s="2" t="s">
        <v>12</v>
      </c>
      <c r="E2175" s="2"/>
      <c r="F2175" s="2" t="str">
        <f>HYPERLINK("http://www.12365auto.com/zlts/20200225/448734.shtml","http://www.12365auto.com/zlts/20200225/448734.shtml")</f>
        <v>http://www.12365auto.com/zlts/20200225/448734.shtml</v>
      </c>
      <c r="G2175" s="2"/>
      <c r="H2175" s="3" t="s">
        <v>3164</v>
      </c>
      <c r="I2175" s="2" t="s">
        <v>15</v>
      </c>
      <c r="J2175" s="2" t="s">
        <v>12</v>
      </c>
      <c r="K2175" s="2" t="s">
        <v>3165</v>
      </c>
      <c r="L2175" s="2">
        <f t="shared" si="33"/>
        <v>105</v>
      </c>
    </row>
    <row r="2176" spans="1:12" ht="25" customHeight="1">
      <c r="A2176" s="2" t="s">
        <v>12</v>
      </c>
      <c r="B2176" s="2" t="str">
        <f>HYPERLINK("http://www.12365auto.com/zlts/20200225/448736.shtml","严重吃胎")</f>
        <v>严重吃胎</v>
      </c>
      <c r="C2176" s="2" t="s">
        <v>13</v>
      </c>
      <c r="D2176" s="2" t="s">
        <v>12</v>
      </c>
      <c r="E2176" s="2"/>
      <c r="F2176" s="2" t="str">
        <f>HYPERLINK("http://www.12365auto.com/zlts/20200225/448736.shtml","http://www.12365auto.com/zlts/20200225/448736.shtml")</f>
        <v>http://www.12365auto.com/zlts/20200225/448736.shtml</v>
      </c>
      <c r="G2176" s="2"/>
      <c r="H2176" s="3" t="s">
        <v>3166</v>
      </c>
      <c r="I2176" s="2" t="s">
        <v>15</v>
      </c>
      <c r="J2176" s="2" t="s">
        <v>12</v>
      </c>
      <c r="K2176" s="2" t="s">
        <v>3167</v>
      </c>
      <c r="L2176" s="2">
        <f t="shared" si="33"/>
        <v>92</v>
      </c>
    </row>
    <row r="2177" spans="1:12" ht="25" customHeight="1">
      <c r="A2177" s="2" t="s">
        <v>12</v>
      </c>
      <c r="B2177" s="2" t="str">
        <f>HYPERLINK("http://www.12365auto.com/zlts/20200225/448737.shtml","长安睿骋车内严重异味一直未能解决")</f>
        <v>长安睿骋车内严重异味一直未能解决</v>
      </c>
      <c r="C2177" s="2" t="s">
        <v>13</v>
      </c>
      <c r="D2177" s="2" t="s">
        <v>12</v>
      </c>
      <c r="E2177" s="2" t="s">
        <v>17</v>
      </c>
      <c r="F2177" s="2" t="str">
        <f>HYPERLINK("http://www.12365auto.com/zlts/20200225/448737.shtml","http://www.12365auto.com/zlts/20200225/448737.shtml")</f>
        <v>http://www.12365auto.com/zlts/20200225/448737.shtml</v>
      </c>
      <c r="G2177" s="2"/>
      <c r="H2177" s="2" t="s">
        <v>3168</v>
      </c>
      <c r="I2177" s="2" t="s">
        <v>19</v>
      </c>
      <c r="J2177" s="2" t="s">
        <v>12</v>
      </c>
      <c r="K2177" s="2" t="s">
        <v>3169</v>
      </c>
      <c r="L2177" s="2">
        <f t="shared" si="33"/>
        <v>150</v>
      </c>
    </row>
    <row r="2178" spans="1:12" ht="25" customHeight="1">
      <c r="A2178" s="2" t="s">
        <v>12</v>
      </c>
      <c r="B2178" s="2" t="str">
        <f>HYPERLINK("http://www.12365auto.com/zlts/20200225/448735.shtml","广汽丰田凯美瑞前半轴防尘套漏油")</f>
        <v>广汽丰田凯美瑞前半轴防尘套漏油</v>
      </c>
      <c r="C2178" s="2" t="s">
        <v>13</v>
      </c>
      <c r="D2178" s="2" t="s">
        <v>12</v>
      </c>
      <c r="E2178" s="2" t="s">
        <v>17</v>
      </c>
      <c r="F2178" s="2" t="str">
        <f>HYPERLINK("http://www.12365auto.com/zlts/20200225/448735.shtml","http://www.12365auto.com/zlts/20200225/448735.shtml")</f>
        <v>http://www.12365auto.com/zlts/20200225/448735.shtml</v>
      </c>
      <c r="G2178" s="2"/>
      <c r="H2178" s="2" t="s">
        <v>3170</v>
      </c>
      <c r="I2178" s="2" t="s">
        <v>19</v>
      </c>
      <c r="J2178" s="2" t="s">
        <v>12</v>
      </c>
      <c r="K2178" s="2" t="s">
        <v>3171</v>
      </c>
      <c r="L2178" s="2">
        <f t="shared" si="33"/>
        <v>150</v>
      </c>
    </row>
    <row r="2179" spans="1:12" ht="25" customHeight="1">
      <c r="A2179" s="2" t="s">
        <v>12</v>
      </c>
      <c r="B2179" s="2" t="str">
        <f>HYPERLINK("http://www.12365auto.com/zlts/20200225/448732.shtml","东风日产天籁加满油后异响 车身共振")</f>
        <v>东风日产天籁加满油后异响 车身共振</v>
      </c>
      <c r="C2179" s="2" t="s">
        <v>13</v>
      </c>
      <c r="D2179" s="2" t="s">
        <v>12</v>
      </c>
      <c r="E2179" s="2" t="s">
        <v>17</v>
      </c>
      <c r="F2179" s="2" t="str">
        <f>HYPERLINK("http://www.12365auto.com/zlts/20200225/448732.shtml","http://www.12365auto.com/zlts/20200225/448732.shtml")</f>
        <v>http://www.12365auto.com/zlts/20200225/448732.shtml</v>
      </c>
      <c r="G2179" s="2"/>
      <c r="H2179" s="2" t="s">
        <v>3172</v>
      </c>
      <c r="I2179" s="2" t="s">
        <v>19</v>
      </c>
      <c r="J2179" s="2" t="s">
        <v>12</v>
      </c>
      <c r="K2179" s="2" t="s">
        <v>3173</v>
      </c>
      <c r="L2179" s="2">
        <f t="shared" ref="L2179:L2242" si="34">LEN(H2179)</f>
        <v>150</v>
      </c>
    </row>
    <row r="2180" spans="1:12" ht="25" customHeight="1">
      <c r="A2180" s="2" t="s">
        <v>12</v>
      </c>
      <c r="B2180" s="2" t="str">
        <f>HYPERLINK("http://www.12365auto.com/zlts/20200225/448730.shtml","冷车左转向时，左前轮异响")</f>
        <v>冷车左转向时，左前轮异响</v>
      </c>
      <c r="C2180" s="2" t="s">
        <v>13</v>
      </c>
      <c r="D2180" s="2" t="s">
        <v>12</v>
      </c>
      <c r="E2180" s="2"/>
      <c r="F2180" s="2" t="str">
        <f>HYPERLINK("http://www.12365auto.com/zlts/20200225/448730.shtml","http://www.12365auto.com/zlts/20200225/448730.shtml")</f>
        <v>http://www.12365auto.com/zlts/20200225/448730.shtml</v>
      </c>
      <c r="G2180" s="2"/>
      <c r="H2180" s="3" t="s">
        <v>3174</v>
      </c>
      <c r="I2180" s="2" t="s">
        <v>15</v>
      </c>
      <c r="J2180" s="2" t="s">
        <v>12</v>
      </c>
      <c r="K2180" s="2" t="s">
        <v>3175</v>
      </c>
      <c r="L2180" s="2">
        <f t="shared" si="34"/>
        <v>106</v>
      </c>
    </row>
    <row r="2181" spans="1:12" ht="25" customHeight="1">
      <c r="A2181" s="2" t="s">
        <v>12</v>
      </c>
      <c r="B2181" s="2" t="str">
        <f>HYPERLINK("http://www.12365auto.com/zlts/20200225/448727.shtml","北京奔驰GLC倍耐力右前轮开裂影响安全")</f>
        <v>北京奔驰GLC倍耐力右前轮开裂影响安全</v>
      </c>
      <c r="C2181" s="2" t="s">
        <v>13</v>
      </c>
      <c r="D2181" s="2" t="s">
        <v>12</v>
      </c>
      <c r="E2181" s="2" t="s">
        <v>17</v>
      </c>
      <c r="F2181" s="2" t="str">
        <f>HYPERLINK("http://www.12365auto.com/zlts/20200225/448727.shtml","http://www.12365auto.com/zlts/20200225/448727.shtml")</f>
        <v>http://www.12365auto.com/zlts/20200225/448727.shtml</v>
      </c>
      <c r="G2181" s="2"/>
      <c r="H2181" s="2" t="s">
        <v>3176</v>
      </c>
      <c r="I2181" s="2" t="s">
        <v>19</v>
      </c>
      <c r="J2181" s="2" t="s">
        <v>12</v>
      </c>
      <c r="K2181" s="2" t="s">
        <v>3177</v>
      </c>
      <c r="L2181" s="2">
        <f t="shared" si="34"/>
        <v>150</v>
      </c>
    </row>
    <row r="2182" spans="1:12" ht="25" customHeight="1">
      <c r="A2182" s="2" t="s">
        <v>12</v>
      </c>
      <c r="B2182" s="2" t="str">
        <f>HYPERLINK("http://www.12365auto.com/zlts/20200225/448726.shtml","广汽本田雅阁电瓶亏电厂家一直不予解决")</f>
        <v>广汽本田雅阁电瓶亏电厂家一直不予解决</v>
      </c>
      <c r="C2182" s="2" t="s">
        <v>13</v>
      </c>
      <c r="D2182" s="2" t="s">
        <v>12</v>
      </c>
      <c r="E2182" s="2" t="s">
        <v>17</v>
      </c>
      <c r="F2182" s="2" t="str">
        <f>HYPERLINK("http://www.12365auto.com/zlts/20200225/448726.shtml","http://www.12365auto.com/zlts/20200225/448726.shtml")</f>
        <v>http://www.12365auto.com/zlts/20200225/448726.shtml</v>
      </c>
      <c r="G2182" s="2"/>
      <c r="H2182" s="2" t="s">
        <v>3178</v>
      </c>
      <c r="I2182" s="2" t="s">
        <v>19</v>
      </c>
      <c r="J2182" s="2" t="s">
        <v>12</v>
      </c>
      <c r="K2182" s="2" t="s">
        <v>3179</v>
      </c>
      <c r="L2182" s="2">
        <f t="shared" si="34"/>
        <v>150</v>
      </c>
    </row>
    <row r="2183" spans="1:12" ht="25" customHeight="1">
      <c r="A2183" s="2" t="s">
        <v>12</v>
      </c>
      <c r="B2183" s="2" t="str">
        <f>HYPERLINK("http://www.12365auto.com/zlts/20200225/448725.shtml","一汽大众速腾副驾驶处漏水要求尽快处理")</f>
        <v>一汽大众速腾副驾驶处漏水要求尽快处理</v>
      </c>
      <c r="C2183" s="2" t="s">
        <v>13</v>
      </c>
      <c r="D2183" s="2" t="s">
        <v>12</v>
      </c>
      <c r="E2183" s="2" t="s">
        <v>17</v>
      </c>
      <c r="F2183" s="2" t="str">
        <f>HYPERLINK("http://www.12365auto.com/zlts/20200225/448725.shtml","http://www.12365auto.com/zlts/20200225/448725.shtml")</f>
        <v>http://www.12365auto.com/zlts/20200225/448725.shtml</v>
      </c>
      <c r="G2183" s="2"/>
      <c r="H2183" s="2" t="s">
        <v>3180</v>
      </c>
      <c r="I2183" s="2" t="s">
        <v>19</v>
      </c>
      <c r="J2183" s="2" t="s">
        <v>12</v>
      </c>
      <c r="K2183" s="2" t="s">
        <v>3181</v>
      </c>
      <c r="L2183" s="2">
        <f t="shared" si="34"/>
        <v>150</v>
      </c>
    </row>
    <row r="2184" spans="1:12" ht="25" customHeight="1">
      <c r="A2184" s="2" t="s">
        <v>12</v>
      </c>
      <c r="B2184" s="2" t="str">
        <f>HYPERLINK("http://www.12365auto.com/zlts/20200225/448724.shtml","哈弗H7后备箱盖生锈严重影响美观")</f>
        <v>哈弗H7后备箱盖生锈严重影响美观</v>
      </c>
      <c r="C2184" s="2" t="s">
        <v>13</v>
      </c>
      <c r="D2184" s="2" t="s">
        <v>12</v>
      </c>
      <c r="E2184" s="2" t="s">
        <v>17</v>
      </c>
      <c r="F2184" s="2" t="str">
        <f>HYPERLINK("http://www.12365auto.com/zlts/20200225/448724.shtml","http://www.12365auto.com/zlts/20200225/448724.shtml")</f>
        <v>http://www.12365auto.com/zlts/20200225/448724.shtml</v>
      </c>
      <c r="G2184" s="2"/>
      <c r="H2184" s="2" t="s">
        <v>3182</v>
      </c>
      <c r="I2184" s="2" t="s">
        <v>19</v>
      </c>
      <c r="J2184" s="2" t="s">
        <v>12</v>
      </c>
      <c r="K2184" s="2" t="s">
        <v>3183</v>
      </c>
      <c r="L2184" s="2">
        <f t="shared" si="34"/>
        <v>150</v>
      </c>
    </row>
    <row r="2185" spans="1:12" ht="25" customHeight="1">
      <c r="A2185" s="2" t="s">
        <v>12</v>
      </c>
      <c r="B2185" s="2" t="str">
        <f>HYPERLINK("http://www.12365auto.com/zlts/20200225/448721.shtml","北京现代途胜变速箱漏油顿挫希望处理")</f>
        <v>北京现代途胜变速箱漏油顿挫希望处理</v>
      </c>
      <c r="C2185" s="2" t="s">
        <v>13</v>
      </c>
      <c r="D2185" s="2" t="s">
        <v>12</v>
      </c>
      <c r="E2185" s="2" t="s">
        <v>17</v>
      </c>
      <c r="F2185" s="2" t="str">
        <f>HYPERLINK("http://www.12365auto.com/zlts/20200225/448721.shtml","http://www.12365auto.com/zlts/20200225/448721.shtml")</f>
        <v>http://www.12365auto.com/zlts/20200225/448721.shtml</v>
      </c>
      <c r="G2185" s="2"/>
      <c r="H2185" s="2" t="s">
        <v>3184</v>
      </c>
      <c r="I2185" s="2" t="s">
        <v>19</v>
      </c>
      <c r="J2185" s="2" t="s">
        <v>12</v>
      </c>
      <c r="K2185" s="2" t="s">
        <v>3185</v>
      </c>
      <c r="L2185" s="2">
        <f t="shared" si="34"/>
        <v>150</v>
      </c>
    </row>
    <row r="2186" spans="1:12" ht="25" customHeight="1">
      <c r="A2186" s="2" t="s">
        <v>12</v>
      </c>
      <c r="B2186" s="2" t="str">
        <f>HYPERLINK("http://www.12365auto.com/zlts/20200225/448720.shtml","广汽丰田凯美瑞半轴防尘套出现漏油")</f>
        <v>广汽丰田凯美瑞半轴防尘套出现漏油</v>
      </c>
      <c r="C2186" s="2" t="s">
        <v>13</v>
      </c>
      <c r="D2186" s="2" t="s">
        <v>12</v>
      </c>
      <c r="E2186" s="2" t="s">
        <v>17</v>
      </c>
      <c r="F2186" s="2" t="str">
        <f>HYPERLINK("http://www.12365auto.com/zlts/20200225/448720.shtml","http://www.12365auto.com/zlts/20200225/448720.shtml")</f>
        <v>http://www.12365auto.com/zlts/20200225/448720.shtml</v>
      </c>
      <c r="G2186" s="2"/>
      <c r="H2186" s="2" t="s">
        <v>3186</v>
      </c>
      <c r="I2186" s="2" t="s">
        <v>19</v>
      </c>
      <c r="J2186" s="2" t="s">
        <v>12</v>
      </c>
      <c r="K2186" s="2" t="s">
        <v>3187</v>
      </c>
      <c r="L2186" s="2">
        <f t="shared" si="34"/>
        <v>150</v>
      </c>
    </row>
    <row r="2187" spans="1:12" ht="25" customHeight="1">
      <c r="A2187" s="2" t="s">
        <v>12</v>
      </c>
      <c r="B2187" s="2" t="str">
        <f>HYPERLINK("http://www.12365auto.com/zlts/20200225/448718.shtml","一汽大众探岳大灯发白严重影响照明")</f>
        <v>一汽大众探岳大灯发白严重影响照明</v>
      </c>
      <c r="C2187" s="2" t="s">
        <v>13</v>
      </c>
      <c r="D2187" s="2" t="s">
        <v>12</v>
      </c>
      <c r="E2187" s="2" t="s">
        <v>17</v>
      </c>
      <c r="F2187" s="2" t="str">
        <f>HYPERLINK("http://www.12365auto.com/zlts/20200225/448718.shtml","http://www.12365auto.com/zlts/20200225/448718.shtml")</f>
        <v>http://www.12365auto.com/zlts/20200225/448718.shtml</v>
      </c>
      <c r="G2187" s="2"/>
      <c r="H2187" s="2" t="s">
        <v>3188</v>
      </c>
      <c r="I2187" s="2" t="s">
        <v>19</v>
      </c>
      <c r="J2187" s="2" t="s">
        <v>12</v>
      </c>
      <c r="K2187" s="2" t="s">
        <v>3189</v>
      </c>
      <c r="L2187" s="2">
        <f t="shared" si="34"/>
        <v>150</v>
      </c>
    </row>
    <row r="2188" spans="1:12" ht="25" customHeight="1">
      <c r="A2188" s="2" t="s">
        <v>12</v>
      </c>
      <c r="B2188" s="2" t="str">
        <f>HYPERLINK("http://www.12365auto.com/zlts/20200225/448717.shtml","哈弗M6驾驶位车门附近存在明显异响")</f>
        <v>哈弗M6驾驶位车门附近存在明显异响</v>
      </c>
      <c r="C2188" s="2" t="s">
        <v>13</v>
      </c>
      <c r="D2188" s="2" t="s">
        <v>12</v>
      </c>
      <c r="E2188" s="2" t="s">
        <v>17</v>
      </c>
      <c r="F2188" s="2" t="str">
        <f>HYPERLINK("http://www.12365auto.com/zlts/20200225/448717.shtml","http://www.12365auto.com/zlts/20200225/448717.shtml")</f>
        <v>http://www.12365auto.com/zlts/20200225/448717.shtml</v>
      </c>
      <c r="G2188" s="2"/>
      <c r="H2188" s="2" t="s">
        <v>3190</v>
      </c>
      <c r="I2188" s="2" t="s">
        <v>19</v>
      </c>
      <c r="J2188" s="2" t="s">
        <v>12</v>
      </c>
      <c r="K2188" s="2" t="s">
        <v>3191</v>
      </c>
      <c r="L2188" s="2">
        <f t="shared" si="34"/>
        <v>150</v>
      </c>
    </row>
    <row r="2189" spans="1:12" ht="25" customHeight="1">
      <c r="A2189" s="2" t="s">
        <v>12</v>
      </c>
      <c r="B2189" s="2" t="str">
        <f>HYPERLINK("http://www.12365auto.com/zlts/20200225/448715.shtml","吉利缤越加装LED大灯规格未通知")</f>
        <v>吉利缤越加装LED大灯规格未通知</v>
      </c>
      <c r="C2189" s="2" t="s">
        <v>13</v>
      </c>
      <c r="D2189" s="2" t="s">
        <v>12</v>
      </c>
      <c r="E2189" s="2" t="s">
        <v>17</v>
      </c>
      <c r="F2189" s="2" t="str">
        <f>HYPERLINK("http://www.12365auto.com/zlts/20200225/448715.shtml","http://www.12365auto.com/zlts/20200225/448715.shtml")</f>
        <v>http://www.12365auto.com/zlts/20200225/448715.shtml</v>
      </c>
      <c r="G2189" s="2"/>
      <c r="H2189" s="2" t="s">
        <v>3192</v>
      </c>
      <c r="I2189" s="2" t="s">
        <v>19</v>
      </c>
      <c r="J2189" s="2" t="s">
        <v>12</v>
      </c>
      <c r="K2189" s="2" t="s">
        <v>3193</v>
      </c>
      <c r="L2189" s="2">
        <f t="shared" si="34"/>
        <v>150</v>
      </c>
    </row>
    <row r="2190" spans="1:12" ht="25" customHeight="1">
      <c r="A2190" s="2" t="s">
        <v>12</v>
      </c>
      <c r="B2190" s="2" t="str">
        <f>HYPERLINK("http://www.12365auto.com/zlts/20200225/448713.shtml","东风日产天籁变速箱大面积漏油希望处理")</f>
        <v>东风日产天籁变速箱大面积漏油希望处理</v>
      </c>
      <c r="C2190" s="2" t="s">
        <v>13</v>
      </c>
      <c r="D2190" s="2" t="s">
        <v>12</v>
      </c>
      <c r="E2190" s="2" t="s">
        <v>17</v>
      </c>
      <c r="F2190" s="2" t="str">
        <f>HYPERLINK("http://www.12365auto.com/zlts/20200225/448713.shtml","http://www.12365auto.com/zlts/20200225/448713.shtml")</f>
        <v>http://www.12365auto.com/zlts/20200225/448713.shtml</v>
      </c>
      <c r="G2190" s="2"/>
      <c r="H2190" s="2" t="s">
        <v>3194</v>
      </c>
      <c r="I2190" s="2" t="s">
        <v>19</v>
      </c>
      <c r="J2190" s="2" t="s">
        <v>12</v>
      </c>
      <c r="K2190" s="2" t="s">
        <v>3195</v>
      </c>
      <c r="L2190" s="2">
        <f t="shared" si="34"/>
        <v>150</v>
      </c>
    </row>
    <row r="2191" spans="1:12" ht="25" customHeight="1">
      <c r="A2191" s="2" t="s">
        <v>12</v>
      </c>
      <c r="B2191" s="2" t="str">
        <f>HYPERLINK("http://www.12365auto.com/zlts/20200225/448710.shtml","广汽本田雅阁转向卡顿严重影响安全")</f>
        <v>广汽本田雅阁转向卡顿严重影响安全</v>
      </c>
      <c r="C2191" s="2" t="s">
        <v>13</v>
      </c>
      <c r="D2191" s="2" t="s">
        <v>12</v>
      </c>
      <c r="E2191" s="2" t="s">
        <v>17</v>
      </c>
      <c r="F2191" s="2" t="str">
        <f>HYPERLINK("http://www.12365auto.com/zlts/20200225/448710.shtml","http://www.12365auto.com/zlts/20200225/448710.shtml")</f>
        <v>http://www.12365auto.com/zlts/20200225/448710.shtml</v>
      </c>
      <c r="G2191" s="2"/>
      <c r="H2191" s="2" t="s">
        <v>3196</v>
      </c>
      <c r="I2191" s="2" t="s">
        <v>19</v>
      </c>
      <c r="J2191" s="2" t="s">
        <v>12</v>
      </c>
      <c r="K2191" s="2" t="s">
        <v>3197</v>
      </c>
      <c r="L2191" s="2">
        <f t="shared" si="34"/>
        <v>150</v>
      </c>
    </row>
    <row r="2192" spans="1:12" ht="25" customHeight="1">
      <c r="A2192" s="2" t="s">
        <v>12</v>
      </c>
      <c r="B2192" s="2" t="str">
        <f>HYPERLINK("http://www.12365auto.com/zlts/20200225/448708.shtml","上汽荣威i6新能源车灯不亮 所报配置不符")</f>
        <v>上汽荣威i6新能源车灯不亮 所报配置不符</v>
      </c>
      <c r="C2192" s="2" t="s">
        <v>13</v>
      </c>
      <c r="D2192" s="2" t="s">
        <v>12</v>
      </c>
      <c r="E2192" s="2" t="s">
        <v>17</v>
      </c>
      <c r="F2192" s="2" t="str">
        <f>HYPERLINK("http://www.12365auto.com/zlts/20200225/448708.shtml","http://www.12365auto.com/zlts/20200225/448708.shtml")</f>
        <v>http://www.12365auto.com/zlts/20200225/448708.shtml</v>
      </c>
      <c r="G2192" s="2"/>
      <c r="H2192" s="2" t="s">
        <v>3198</v>
      </c>
      <c r="I2192" s="2" t="s">
        <v>19</v>
      </c>
      <c r="J2192" s="2" t="s">
        <v>12</v>
      </c>
      <c r="K2192" s="2" t="s">
        <v>3199</v>
      </c>
      <c r="L2192" s="2">
        <f t="shared" si="34"/>
        <v>150</v>
      </c>
    </row>
    <row r="2193" spans="1:12" ht="25" customHeight="1">
      <c r="A2193" s="2" t="s">
        <v>12</v>
      </c>
      <c r="B2193" s="2" t="str">
        <f>HYPERLINK("http://www.12365auto.com/zlts/20200225/448706.shtml","一汽丰田RAV4荣放发动机多处进泥浆")</f>
        <v>一汽丰田RAV4荣放发动机多处进泥浆</v>
      </c>
      <c r="C2193" s="2" t="s">
        <v>13</v>
      </c>
      <c r="D2193" s="2" t="s">
        <v>12</v>
      </c>
      <c r="E2193" s="2" t="s">
        <v>17</v>
      </c>
      <c r="F2193" s="2" t="str">
        <f>HYPERLINK("http://www.12365auto.com/zlts/20200225/448706.shtml","http://www.12365auto.com/zlts/20200225/448706.shtml")</f>
        <v>http://www.12365auto.com/zlts/20200225/448706.shtml</v>
      </c>
      <c r="G2193" s="2"/>
      <c r="H2193" s="2" t="s">
        <v>3200</v>
      </c>
      <c r="I2193" s="2" t="s">
        <v>19</v>
      </c>
      <c r="J2193" s="2" t="s">
        <v>12</v>
      </c>
      <c r="K2193" s="2" t="s">
        <v>3201</v>
      </c>
      <c r="L2193" s="2">
        <f t="shared" si="34"/>
        <v>150</v>
      </c>
    </row>
    <row r="2194" spans="1:12" ht="25" customHeight="1">
      <c r="A2194" s="2" t="s">
        <v>12</v>
      </c>
      <c r="B2194" s="2" t="str">
        <f>HYPERLINK("http://www.12365auto.com/zlts/20200225/448707.shtml","一汽大众探岳大灯透镜发白 碳罐电磁阀漏气")</f>
        <v>一汽大众探岳大灯透镜发白 碳罐电磁阀漏气</v>
      </c>
      <c r="C2194" s="2" t="s">
        <v>13</v>
      </c>
      <c r="D2194" s="2" t="s">
        <v>12</v>
      </c>
      <c r="E2194" s="2" t="s">
        <v>17</v>
      </c>
      <c r="F2194" s="2" t="str">
        <f>HYPERLINK("http://www.12365auto.com/zlts/20200225/448707.shtml","http://www.12365auto.com/zlts/20200225/448707.shtml")</f>
        <v>http://www.12365auto.com/zlts/20200225/448707.shtml</v>
      </c>
      <c r="G2194" s="2"/>
      <c r="H2194" s="2" t="s">
        <v>3202</v>
      </c>
      <c r="I2194" s="2" t="s">
        <v>19</v>
      </c>
      <c r="J2194" s="2" t="s">
        <v>12</v>
      </c>
      <c r="K2194" s="2" t="s">
        <v>3201</v>
      </c>
      <c r="L2194" s="2">
        <f t="shared" si="34"/>
        <v>150</v>
      </c>
    </row>
    <row r="2195" spans="1:12" ht="25" customHeight="1">
      <c r="A2195" s="2" t="s">
        <v>12</v>
      </c>
      <c r="B2195" s="2" t="str">
        <f>HYPERLINK("http://www.12365auto.com/zhgg/20200225/419527.shtml","因减震器断裂 奔驰扩大召回进口E级汽车")</f>
        <v>因减震器断裂 奔驰扩大召回进口E级汽车</v>
      </c>
      <c r="C2195" s="2" t="s">
        <v>13</v>
      </c>
      <c r="D2195" s="2" t="s">
        <v>12</v>
      </c>
      <c r="E2195" s="2" t="s">
        <v>1460</v>
      </c>
      <c r="F2195" s="2" t="str">
        <f>HYPERLINK("http://www.12365auto.com/zhgg/20200225/419527.shtml","http://www.12365auto.com/zhgg/20200225/419527.shtml")</f>
        <v>http://www.12365auto.com/zhgg/20200225/419527.shtml</v>
      </c>
      <c r="G2195" s="2"/>
      <c r="H2195" s="2" t="s">
        <v>3203</v>
      </c>
      <c r="I2195" s="2" t="s">
        <v>15</v>
      </c>
      <c r="J2195" s="2" t="s">
        <v>12</v>
      </c>
      <c r="K2195" s="2" t="s">
        <v>3204</v>
      </c>
      <c r="L2195" s="2">
        <f t="shared" si="34"/>
        <v>150</v>
      </c>
    </row>
    <row r="2196" spans="1:12" ht="25" customHeight="1">
      <c r="A2196" s="2" t="s">
        <v>12</v>
      </c>
      <c r="B2196" s="2" t="str">
        <f>HYPERLINK("http://m.12365auto.com/zhgg/20200225/419527.shtml","因减震器断裂 奔驰扩大召回进口E级汽车")</f>
        <v>因减震器断裂 奔驰扩大召回进口E级汽车</v>
      </c>
      <c r="C2196" s="2" t="s">
        <v>13</v>
      </c>
      <c r="D2196" s="2" t="s">
        <v>12</v>
      </c>
      <c r="E2196" s="2"/>
      <c r="F2196" s="2" t="str">
        <f>HYPERLINK("http://m.12365auto.com/zhgg/20200225/419527.shtml","http://m.12365auto.com/zhgg/20200225/419527.shtml")</f>
        <v>http://m.12365auto.com/zhgg/20200225/419527.shtml</v>
      </c>
      <c r="G2196" s="2"/>
      <c r="H2196" s="2" t="s">
        <v>3205</v>
      </c>
      <c r="I2196" s="2" t="s">
        <v>19</v>
      </c>
      <c r="J2196" s="2" t="s">
        <v>12</v>
      </c>
      <c r="K2196" s="2" t="s">
        <v>3204</v>
      </c>
      <c r="L2196" s="2">
        <f t="shared" si="34"/>
        <v>150</v>
      </c>
    </row>
    <row r="2197" spans="1:12" ht="25" customHeight="1">
      <c r="A2197" s="2" t="s">
        <v>12</v>
      </c>
      <c r="B2197" s="2" t="str">
        <f>HYPERLINK("http://m.12365auto.com/zhgg/20200225/419526.shtml","因安全带装置问题 奔驰召回进口C级等汽车")</f>
        <v>因安全带装置问题 奔驰召回进口C级等汽车</v>
      </c>
      <c r="C2197" s="2" t="s">
        <v>13</v>
      </c>
      <c r="D2197" s="2" t="s">
        <v>12</v>
      </c>
      <c r="E2197" s="2"/>
      <c r="F2197" s="2" t="str">
        <f>HYPERLINK("http://m.12365auto.com/zhgg/20200225/419526.shtml","http://m.12365auto.com/zhgg/20200225/419526.shtml")</f>
        <v>http://m.12365auto.com/zhgg/20200225/419526.shtml</v>
      </c>
      <c r="G2197" s="2"/>
      <c r="H2197" s="2" t="s">
        <v>3206</v>
      </c>
      <c r="I2197" s="2" t="s">
        <v>19</v>
      </c>
      <c r="J2197" s="2" t="s">
        <v>12</v>
      </c>
      <c r="K2197" s="2" t="s">
        <v>3207</v>
      </c>
      <c r="L2197" s="2">
        <f t="shared" si="34"/>
        <v>150</v>
      </c>
    </row>
    <row r="2198" spans="1:12" ht="25" customHeight="1">
      <c r="A2198" s="2" t="s">
        <v>12</v>
      </c>
      <c r="B2198" s="2" t="str">
        <f>HYPERLINK("http://www.12365auto.com/zhgg/20200225/419526.shtml","因安全带装置问题 奔驰召回进口C级等汽车")</f>
        <v>因安全带装置问题 奔驰召回进口C级等汽车</v>
      </c>
      <c r="C2198" s="2" t="s">
        <v>13</v>
      </c>
      <c r="D2198" s="2" t="s">
        <v>12</v>
      </c>
      <c r="E2198" s="2" t="s">
        <v>1460</v>
      </c>
      <c r="F2198" s="2" t="str">
        <f>HYPERLINK("http://www.12365auto.com/zhgg/20200225/419526.shtml","http://www.12365auto.com/zhgg/20200225/419526.shtml")</f>
        <v>http://www.12365auto.com/zhgg/20200225/419526.shtml</v>
      </c>
      <c r="G2198" s="2"/>
      <c r="H2198" s="2" t="s">
        <v>3208</v>
      </c>
      <c r="I2198" s="2" t="s">
        <v>15</v>
      </c>
      <c r="J2198" s="2" t="s">
        <v>12</v>
      </c>
      <c r="K2198" s="2" t="s">
        <v>3207</v>
      </c>
      <c r="L2198" s="2">
        <f t="shared" si="34"/>
        <v>150</v>
      </c>
    </row>
    <row r="2199" spans="1:12" ht="25" customHeight="1">
      <c r="A2199" s="2" t="s">
        <v>12</v>
      </c>
      <c r="B2199" s="2" t="str">
        <f>HYPERLINK("http://www.12365auto.com/zhgg/20200225/419525.shtml","因刹车卡钳存隐患 宝马召回C400GT等摩托车")</f>
        <v>因刹车卡钳存隐患 宝马召回C400GT等摩托车</v>
      </c>
      <c r="C2199" s="2" t="s">
        <v>13</v>
      </c>
      <c r="D2199" s="2" t="s">
        <v>12</v>
      </c>
      <c r="E2199" s="2" t="s">
        <v>1460</v>
      </c>
      <c r="F2199" s="2" t="str">
        <f>HYPERLINK("http://www.12365auto.com/zhgg/20200225/419525.shtml","http://www.12365auto.com/zhgg/20200225/419525.shtml")</f>
        <v>http://www.12365auto.com/zhgg/20200225/419525.shtml</v>
      </c>
      <c r="G2199" s="2"/>
      <c r="H2199" s="2" t="s">
        <v>3209</v>
      </c>
      <c r="I2199" s="2" t="s">
        <v>15</v>
      </c>
      <c r="J2199" s="2" t="s">
        <v>12</v>
      </c>
      <c r="K2199" s="2" t="s">
        <v>3210</v>
      </c>
      <c r="L2199" s="2">
        <f t="shared" si="34"/>
        <v>150</v>
      </c>
    </row>
    <row r="2200" spans="1:12" ht="25" customHeight="1">
      <c r="A2200" s="2" t="s">
        <v>12</v>
      </c>
      <c r="B2200" s="2" t="str">
        <f>HYPERLINK("http://m.12365auto.com/zhgg/20200225/419525.shtml","因刹车卡钳存隐患 宝马召回C400GT等摩托车")</f>
        <v>因刹车卡钳存隐患 宝马召回C400GT等摩托车</v>
      </c>
      <c r="C2200" s="2" t="s">
        <v>13</v>
      </c>
      <c r="D2200" s="2" t="s">
        <v>12</v>
      </c>
      <c r="E2200" s="2"/>
      <c r="F2200" s="2" t="str">
        <f>HYPERLINK("http://m.12365auto.com/zhgg/20200225/419525.shtml","http://m.12365auto.com/zhgg/20200225/419525.shtml")</f>
        <v>http://m.12365auto.com/zhgg/20200225/419525.shtml</v>
      </c>
      <c r="G2200" s="2"/>
      <c r="H2200" s="2" t="s">
        <v>3211</v>
      </c>
      <c r="I2200" s="2" t="s">
        <v>19</v>
      </c>
      <c r="J2200" s="2" t="s">
        <v>12</v>
      </c>
      <c r="K2200" s="2" t="s">
        <v>3210</v>
      </c>
      <c r="L2200" s="2">
        <f t="shared" si="34"/>
        <v>150</v>
      </c>
    </row>
    <row r="2201" spans="1:12" ht="25" customHeight="1">
      <c r="A2201" s="2" t="s">
        <v>12</v>
      </c>
      <c r="B2201" s="2" t="str">
        <f>HYPERLINK("http://www.12365auto.com/zlts/20200225/448703.shtml","长安睿骋邓禄普轮胎开裂 爆胎 油耗高")</f>
        <v>长安睿骋邓禄普轮胎开裂 爆胎 油耗高</v>
      </c>
      <c r="C2201" s="2" t="s">
        <v>13</v>
      </c>
      <c r="D2201" s="2" t="s">
        <v>12</v>
      </c>
      <c r="E2201" s="2" t="s">
        <v>17</v>
      </c>
      <c r="F2201" s="2" t="str">
        <f>HYPERLINK("http://www.12365auto.com/zlts/20200225/448703.shtml","http://www.12365auto.com/zlts/20200225/448703.shtml")</f>
        <v>http://www.12365auto.com/zlts/20200225/448703.shtml</v>
      </c>
      <c r="G2201" s="2"/>
      <c r="H2201" s="2" t="s">
        <v>3212</v>
      </c>
      <c r="I2201" s="2" t="s">
        <v>19</v>
      </c>
      <c r="J2201" s="2" t="s">
        <v>12</v>
      </c>
      <c r="K2201" s="2" t="s">
        <v>3213</v>
      </c>
      <c r="L2201" s="2">
        <f t="shared" si="34"/>
        <v>150</v>
      </c>
    </row>
    <row r="2202" spans="1:12" ht="25" customHeight="1">
      <c r="A2202" s="2" t="s">
        <v>12</v>
      </c>
      <c r="B2202" s="2" t="str">
        <f>HYPERLINK("http://www.12365auto.com/zlts/20200225/448701.shtml","北京奔驰GLB新车无法启动 4S店不解决")</f>
        <v>北京奔驰GLB新车无法启动 4S店不解决</v>
      </c>
      <c r="C2202" s="2" t="s">
        <v>13</v>
      </c>
      <c r="D2202" s="2" t="s">
        <v>12</v>
      </c>
      <c r="E2202" s="2" t="s">
        <v>17</v>
      </c>
      <c r="F2202" s="2" t="str">
        <f>HYPERLINK("http://www.12365auto.com/zlts/20200225/448701.shtml","http://www.12365auto.com/zlts/20200225/448701.shtml")</f>
        <v>http://www.12365auto.com/zlts/20200225/448701.shtml</v>
      </c>
      <c r="G2202" s="2"/>
      <c r="H2202" s="2" t="s">
        <v>3214</v>
      </c>
      <c r="I2202" s="2" t="s">
        <v>19</v>
      </c>
      <c r="J2202" s="2" t="s">
        <v>12</v>
      </c>
      <c r="K2202" s="2" t="s">
        <v>3215</v>
      </c>
      <c r="L2202" s="2">
        <f t="shared" si="34"/>
        <v>150</v>
      </c>
    </row>
    <row r="2203" spans="1:12" ht="25" customHeight="1">
      <c r="A2203" s="2" t="s">
        <v>12</v>
      </c>
      <c r="B2203" s="2" t="str">
        <f>HYPERLINK("http://www.12365auto.com/zlts/20200225/448699.shtml","吉利远景螺丝生锈 车窗座椅异响 中控黑屏")</f>
        <v>吉利远景螺丝生锈 车窗座椅异响 中控黑屏</v>
      </c>
      <c r="C2203" s="2" t="s">
        <v>13</v>
      </c>
      <c r="D2203" s="2" t="s">
        <v>12</v>
      </c>
      <c r="E2203" s="2" t="s">
        <v>17</v>
      </c>
      <c r="F2203" s="2" t="str">
        <f>HYPERLINK("http://www.12365auto.com/zlts/20200225/448699.shtml","http://www.12365auto.com/zlts/20200225/448699.shtml")</f>
        <v>http://www.12365auto.com/zlts/20200225/448699.shtml</v>
      </c>
      <c r="G2203" s="2"/>
      <c r="H2203" s="2" t="s">
        <v>3216</v>
      </c>
      <c r="I2203" s="2" t="s">
        <v>15</v>
      </c>
      <c r="J2203" s="2" t="s">
        <v>12</v>
      </c>
      <c r="K2203" s="2" t="s">
        <v>3217</v>
      </c>
      <c r="L2203" s="2">
        <f t="shared" si="34"/>
        <v>150</v>
      </c>
    </row>
    <row r="2204" spans="1:12" ht="25" customHeight="1">
      <c r="A2204" s="2" t="s">
        <v>12</v>
      </c>
      <c r="B2204" s="2" t="str">
        <f>HYPERLINK("http://www.12365auto.com/zlts/20200225/448698.shtml","一汽大众奥迪A6L变速箱顿挫要求解决")</f>
        <v>一汽大众奥迪A6L变速箱顿挫要求解决</v>
      </c>
      <c r="C2204" s="2" t="s">
        <v>13</v>
      </c>
      <c r="D2204" s="2" t="s">
        <v>12</v>
      </c>
      <c r="E2204" s="2" t="s">
        <v>17</v>
      </c>
      <c r="F2204" s="2" t="str">
        <f>HYPERLINK("http://www.12365auto.com/zlts/20200225/448698.shtml","http://www.12365auto.com/zlts/20200225/448698.shtml")</f>
        <v>http://www.12365auto.com/zlts/20200225/448698.shtml</v>
      </c>
      <c r="G2204" s="2"/>
      <c r="H2204" s="2" t="s">
        <v>3218</v>
      </c>
      <c r="I2204" s="2" t="s">
        <v>19</v>
      </c>
      <c r="J2204" s="2" t="s">
        <v>12</v>
      </c>
      <c r="K2204" s="2" t="s">
        <v>3219</v>
      </c>
      <c r="L2204" s="2">
        <f t="shared" si="34"/>
        <v>150</v>
      </c>
    </row>
    <row r="2205" spans="1:12" ht="25" customHeight="1">
      <c r="A2205" s="2" t="s">
        <v>12</v>
      </c>
      <c r="B2205" s="2" t="str">
        <f>HYPERLINK("http://www.12365auto.com/zlts/20200225/448696.shtml","北京现代领动转向沉重要求解决问题")</f>
        <v>北京现代领动转向沉重要求解决问题</v>
      </c>
      <c r="C2205" s="2" t="s">
        <v>13</v>
      </c>
      <c r="D2205" s="2" t="s">
        <v>12</v>
      </c>
      <c r="E2205" s="2" t="s">
        <v>17</v>
      </c>
      <c r="F2205" s="2" t="str">
        <f>HYPERLINK("http://www.12365auto.com/zlts/20200225/448696.shtml","http://www.12365auto.com/zlts/20200225/448696.shtml")</f>
        <v>http://www.12365auto.com/zlts/20200225/448696.shtml</v>
      </c>
      <c r="G2205" s="2"/>
      <c r="H2205" s="2" t="s">
        <v>3220</v>
      </c>
      <c r="I2205" s="2" t="s">
        <v>15</v>
      </c>
      <c r="J2205" s="2" t="s">
        <v>12</v>
      </c>
      <c r="K2205" s="2" t="s">
        <v>3221</v>
      </c>
      <c r="L2205" s="2">
        <f t="shared" si="34"/>
        <v>150</v>
      </c>
    </row>
    <row r="2206" spans="1:12" ht="25" customHeight="1">
      <c r="A2206" s="2" t="s">
        <v>12</v>
      </c>
      <c r="B2206" s="2" t="str">
        <f>HYPERLINK("http://www.12365auto.com/zlts/20200225/448695.shtml","上汽大众凌渡变速箱机电单元故障要求延保")</f>
        <v>上汽大众凌渡变速箱机电单元故障要求延保</v>
      </c>
      <c r="C2206" s="2" t="s">
        <v>13</v>
      </c>
      <c r="D2206" s="2" t="s">
        <v>12</v>
      </c>
      <c r="E2206" s="2" t="s">
        <v>17</v>
      </c>
      <c r="F2206" s="2" t="str">
        <f>HYPERLINK("http://www.12365auto.com/zlts/20200225/448695.shtml","http://www.12365auto.com/zlts/20200225/448695.shtml")</f>
        <v>http://www.12365auto.com/zlts/20200225/448695.shtml</v>
      </c>
      <c r="G2206" s="2"/>
      <c r="H2206" s="2" t="s">
        <v>3222</v>
      </c>
      <c r="I2206" s="2" t="s">
        <v>19</v>
      </c>
      <c r="J2206" s="2" t="s">
        <v>12</v>
      </c>
      <c r="K2206" s="2" t="s">
        <v>3223</v>
      </c>
      <c r="L2206" s="2">
        <f t="shared" si="34"/>
        <v>150</v>
      </c>
    </row>
    <row r="2207" spans="1:12" ht="25" customHeight="1">
      <c r="A2207" s="2" t="s">
        <v>12</v>
      </c>
      <c r="B2207" s="2" t="str">
        <f>HYPERLINK("http://m.12365auto.com/zjdy/20200225/121636.shtml","宝骏530自动挡车型质量怎么样值得购买吗？")</f>
        <v>宝骏530自动挡车型质量怎么样值得购买吗？</v>
      </c>
      <c r="C2207" s="2" t="s">
        <v>13</v>
      </c>
      <c r="D2207" s="2" t="s">
        <v>12</v>
      </c>
      <c r="E2207" s="2"/>
      <c r="F2207" s="2" t="str">
        <f>HYPERLINK("http://m.12365auto.com/zjdy/20200225/121636.shtml","http://m.12365auto.com/zjdy/20200225/121636.shtml")</f>
        <v>http://m.12365auto.com/zjdy/20200225/121636.shtml</v>
      </c>
      <c r="G2207" s="2"/>
      <c r="H2207" s="2" t="s">
        <v>3224</v>
      </c>
      <c r="I2207" s="2" t="s">
        <v>19</v>
      </c>
      <c r="J2207" s="2" t="s">
        <v>12</v>
      </c>
      <c r="K2207" s="2" t="s">
        <v>3225</v>
      </c>
      <c r="L2207" s="2">
        <f t="shared" si="34"/>
        <v>14</v>
      </c>
    </row>
    <row r="2208" spans="1:12" ht="25" customHeight="1">
      <c r="A2208" s="2" t="s">
        <v>12</v>
      </c>
      <c r="B2208" s="2" t="str">
        <f>HYPERLINK("http://www.12365auto.com/zlts/20200225/448694.shtml","广汽三菱欧蓝德加满油后行驶顿挫严重")</f>
        <v>广汽三菱欧蓝德加满油后行驶顿挫严重</v>
      </c>
      <c r="C2208" s="2" t="s">
        <v>13</v>
      </c>
      <c r="D2208" s="2" t="s">
        <v>12</v>
      </c>
      <c r="E2208" s="2" t="s">
        <v>17</v>
      </c>
      <c r="F2208" s="2" t="str">
        <f>HYPERLINK("http://www.12365auto.com/zlts/20200225/448694.shtml","http://www.12365auto.com/zlts/20200225/448694.shtml")</f>
        <v>http://www.12365auto.com/zlts/20200225/448694.shtml</v>
      </c>
      <c r="G2208" s="2"/>
      <c r="H2208" s="2" t="s">
        <v>3226</v>
      </c>
      <c r="I2208" s="2" t="s">
        <v>15</v>
      </c>
      <c r="J2208" s="2" t="s">
        <v>12</v>
      </c>
      <c r="K2208" s="2" t="s">
        <v>3227</v>
      </c>
      <c r="L2208" s="2">
        <f t="shared" si="34"/>
        <v>150</v>
      </c>
    </row>
    <row r="2209" spans="1:12" ht="25" customHeight="1">
      <c r="A2209" s="2" t="s">
        <v>12</v>
      </c>
      <c r="B2209" s="2" t="str">
        <f>HYPERLINK("http://m.12365auto.com/zjdy/20200225/121635.shtml","五菱荣光V发动机异响及水温异常怎么办？")</f>
        <v>五菱荣光V发动机异响及水温异常怎么办？</v>
      </c>
      <c r="C2209" s="2" t="s">
        <v>13</v>
      </c>
      <c r="D2209" s="2" t="s">
        <v>12</v>
      </c>
      <c r="E2209" s="2"/>
      <c r="F2209" s="2" t="str">
        <f>HYPERLINK("http://m.12365auto.com/zjdy/20200225/121635.shtml","http://m.12365auto.com/zjdy/20200225/121635.shtml")</f>
        <v>http://m.12365auto.com/zjdy/20200225/121635.shtml</v>
      </c>
      <c r="G2209" s="2"/>
      <c r="H2209" s="2" t="s">
        <v>3228</v>
      </c>
      <c r="I2209" s="2" t="s">
        <v>19</v>
      </c>
      <c r="J2209" s="2" t="s">
        <v>12</v>
      </c>
      <c r="K2209" s="2" t="s">
        <v>3229</v>
      </c>
      <c r="L2209" s="2">
        <f t="shared" si="34"/>
        <v>80</v>
      </c>
    </row>
    <row r="2210" spans="1:12" ht="25" customHeight="1">
      <c r="A2210" s="2" t="s">
        <v>12</v>
      </c>
      <c r="B2210" s="2" t="str">
        <f>HYPERLINK("http://m.12365auto.com/zjdy/20200225/121634.shtml","长安CS75 PLUS发动机故障灯亮是什么原因？")</f>
        <v>长安CS75 PLUS发动机故障灯亮是什么原因？</v>
      </c>
      <c r="C2210" s="2" t="s">
        <v>13</v>
      </c>
      <c r="D2210" s="2" t="s">
        <v>12</v>
      </c>
      <c r="E2210" s="2"/>
      <c r="F2210" s="2" t="str">
        <f>HYPERLINK("http://m.12365auto.com/zjdy/20200225/121634.shtml","http://m.12365auto.com/zjdy/20200225/121634.shtml")</f>
        <v>http://m.12365auto.com/zjdy/20200225/121634.shtml</v>
      </c>
      <c r="G2210" s="2"/>
      <c r="H2210" s="2" t="s">
        <v>3230</v>
      </c>
      <c r="I2210" s="2" t="s">
        <v>19</v>
      </c>
      <c r="J2210" s="2" t="s">
        <v>12</v>
      </c>
      <c r="K2210" s="2" t="s">
        <v>3231</v>
      </c>
      <c r="L2210" s="2">
        <f t="shared" si="34"/>
        <v>24</v>
      </c>
    </row>
    <row r="2211" spans="1:12" ht="25" customHeight="1">
      <c r="A2211" s="2" t="s">
        <v>12</v>
      </c>
      <c r="B2211" s="2" t="str">
        <f>HYPERLINK("http://m.12365auto.com/bbs/postcontent.aspx?tID=195155","车辆保养每天应该做哪些事情")</f>
        <v>车辆保养每天应该做哪些事情</v>
      </c>
      <c r="C2211" s="2" t="s">
        <v>13</v>
      </c>
      <c r="D2211" s="2" t="s">
        <v>23</v>
      </c>
      <c r="E2211" s="2"/>
      <c r="F2211" s="2" t="str">
        <f>HYPERLINK("http://m.12365auto.com/bbs/postcontent.aspx?tID=195155","http://m.12365auto.com/bbs/postcontent.aspx?tID=195155")</f>
        <v>http://m.12365auto.com/bbs/postcontent.aspx?tID=195155</v>
      </c>
      <c r="G2211" s="2"/>
      <c r="H2211" s="2" t="s">
        <v>3232</v>
      </c>
      <c r="I2211" s="2" t="s">
        <v>15</v>
      </c>
      <c r="J2211" s="2" t="s">
        <v>1446</v>
      </c>
      <c r="K2211" s="2" t="s">
        <v>3233</v>
      </c>
      <c r="L2211" s="2">
        <f t="shared" si="34"/>
        <v>150</v>
      </c>
    </row>
    <row r="2212" spans="1:12" ht="25" customHeight="1">
      <c r="A2212" s="2" t="s">
        <v>12</v>
      </c>
      <c r="B2212" s="2" t="str">
        <f>HYPERLINK("http://bbs.12365auto.com/postcontent.aspx?tId=195155","车辆保养每天应该做哪些事情")</f>
        <v>车辆保养每天应该做哪些事情</v>
      </c>
      <c r="C2212" s="2" t="s">
        <v>13</v>
      </c>
      <c r="D2212" s="2" t="s">
        <v>12</v>
      </c>
      <c r="E2212" s="2" t="s">
        <v>27</v>
      </c>
      <c r="F2212" s="2" t="str">
        <f>HYPERLINK("http://bbs.12365auto.com/postcontent.aspx?tId=195155","http://bbs.12365auto.com/postcontent.aspx?tId=195155")</f>
        <v>http://bbs.12365auto.com/postcontent.aspx?tId=195155</v>
      </c>
      <c r="G2212" s="2"/>
      <c r="H2212" s="2" t="s">
        <v>3232</v>
      </c>
      <c r="I2212" s="2" t="s">
        <v>15</v>
      </c>
      <c r="J2212" s="2" t="s">
        <v>1446</v>
      </c>
      <c r="K2212" s="2" t="s">
        <v>3233</v>
      </c>
      <c r="L2212" s="2">
        <f t="shared" si="34"/>
        <v>150</v>
      </c>
    </row>
    <row r="2213" spans="1:12" ht="25" customHeight="1">
      <c r="A2213" s="2" t="s">
        <v>12</v>
      </c>
      <c r="B2213" s="2" t="str">
        <f>HYPERLINK("http://bbs.12365auto.com/postcontent.aspx?tID=195155","车辆保养每天应该做哪些事情")</f>
        <v>车辆保养每天应该做哪些事情</v>
      </c>
      <c r="C2213" s="2" t="s">
        <v>13</v>
      </c>
      <c r="D2213" s="2" t="s">
        <v>12</v>
      </c>
      <c r="E2213" s="2" t="s">
        <v>28</v>
      </c>
      <c r="F2213" s="2" t="str">
        <f>HYPERLINK("http://bbs.12365auto.com/postcontent.aspx?tID=195155","http://bbs.12365auto.com/postcontent.aspx?tID=195155")</f>
        <v>http://bbs.12365auto.com/postcontent.aspx?tID=195155</v>
      </c>
      <c r="G2213" s="2"/>
      <c r="H2213" s="2" t="s">
        <v>3234</v>
      </c>
      <c r="I2213" s="2" t="s">
        <v>15</v>
      </c>
      <c r="J2213" s="2" t="s">
        <v>1446</v>
      </c>
      <c r="K2213" s="2" t="s">
        <v>3233</v>
      </c>
      <c r="L2213" s="2">
        <f t="shared" si="34"/>
        <v>150</v>
      </c>
    </row>
    <row r="2214" spans="1:12" ht="25" customHeight="1">
      <c r="A2214" s="2" t="s">
        <v>12</v>
      </c>
      <c r="B2214" s="2" t="str">
        <f>HYPERLINK("http://m.12365auto.com/zjdy/20200225/121633.shtml","雪铁龙C3-XR捷达VS5创酷哪款值得入手？")</f>
        <v>雪铁龙C3-XR捷达VS5创酷哪款值得入手？</v>
      </c>
      <c r="C2214" s="2" t="s">
        <v>13</v>
      </c>
      <c r="D2214" s="2" t="s">
        <v>12</v>
      </c>
      <c r="E2214" s="2"/>
      <c r="F2214" s="2" t="str">
        <f>HYPERLINK("http://m.12365auto.com/zjdy/20200225/121633.shtml","http://m.12365auto.com/zjdy/20200225/121633.shtml")</f>
        <v>http://m.12365auto.com/zjdy/20200225/121633.shtml</v>
      </c>
      <c r="G2214" s="2"/>
      <c r="H2214" s="2" t="s">
        <v>3235</v>
      </c>
      <c r="I2214" s="2" t="s">
        <v>19</v>
      </c>
      <c r="J2214" s="2" t="s">
        <v>12</v>
      </c>
      <c r="K2214" s="2" t="s">
        <v>3236</v>
      </c>
      <c r="L2214" s="2">
        <f t="shared" si="34"/>
        <v>45</v>
      </c>
    </row>
    <row r="2215" spans="1:12" ht="25" customHeight="1">
      <c r="A2215" s="2" t="s">
        <v>12</v>
      </c>
      <c r="B2215" s="2" t="str">
        <f>HYPERLINK("http://www.12365auto.com/zlts/20200225/448691.shtml","广汽丰田凯美瑞仪表台出油开裂有异味")</f>
        <v>广汽丰田凯美瑞仪表台出油开裂有异味</v>
      </c>
      <c r="C2215" s="2" t="s">
        <v>13</v>
      </c>
      <c r="D2215" s="2" t="s">
        <v>12</v>
      </c>
      <c r="E2215" s="2" t="s">
        <v>17</v>
      </c>
      <c r="F2215" s="2" t="str">
        <f>HYPERLINK("http://www.12365auto.com/zlts/20200225/448691.shtml","http://www.12365auto.com/zlts/20200225/448691.shtml")</f>
        <v>http://www.12365auto.com/zlts/20200225/448691.shtml</v>
      </c>
      <c r="G2215" s="2"/>
      <c r="H2215" s="2" t="s">
        <v>3237</v>
      </c>
      <c r="I2215" s="2" t="s">
        <v>15</v>
      </c>
      <c r="J2215" s="2" t="s">
        <v>12</v>
      </c>
      <c r="K2215" s="2" t="s">
        <v>3238</v>
      </c>
      <c r="L2215" s="2">
        <f t="shared" si="34"/>
        <v>150</v>
      </c>
    </row>
    <row r="2216" spans="1:12" ht="25" customHeight="1">
      <c r="A2216" s="2" t="s">
        <v>12</v>
      </c>
      <c r="B2216" s="2" t="str">
        <f>HYPERLINK("http://www.12365auto.com/zlts/20200225/448683.shtml","一汽奔腾T77车身漆面存在明显色差")</f>
        <v>一汽奔腾T77车身漆面存在明显色差</v>
      </c>
      <c r="C2216" s="2" t="s">
        <v>13</v>
      </c>
      <c r="D2216" s="2" t="s">
        <v>12</v>
      </c>
      <c r="E2216" s="2"/>
      <c r="F2216" s="2" t="str">
        <f>HYPERLINK("http://www.12365auto.com/zlts/20200225/448683.shtml","http://www.12365auto.com/zlts/20200225/448683.shtml")</f>
        <v>http://www.12365auto.com/zlts/20200225/448683.shtml</v>
      </c>
      <c r="G2216" s="2"/>
      <c r="H2216" s="3" t="s">
        <v>3239</v>
      </c>
      <c r="I2216" s="2" t="s">
        <v>15</v>
      </c>
      <c r="J2216" s="2" t="s">
        <v>12</v>
      </c>
      <c r="K2216" s="2" t="s">
        <v>3240</v>
      </c>
      <c r="L2216" s="2">
        <f t="shared" si="34"/>
        <v>101</v>
      </c>
    </row>
    <row r="2217" spans="1:12" ht="25" customHeight="1">
      <c r="A2217" s="2" t="s">
        <v>12</v>
      </c>
      <c r="B2217" s="2" t="str">
        <f>HYPERLINK("http://www.12365auto.com/zlts/20200225/448688.shtml","进口大众尚酷变速箱阀体损坏不予质保")</f>
        <v>进口大众尚酷变速箱阀体损坏不予质保</v>
      </c>
      <c r="C2217" s="2" t="s">
        <v>13</v>
      </c>
      <c r="D2217" s="2" t="s">
        <v>12</v>
      </c>
      <c r="E2217" s="2" t="s">
        <v>17</v>
      </c>
      <c r="F2217" s="2" t="str">
        <f>HYPERLINK("http://www.12365auto.com/zlts/20200225/448688.shtml","http://www.12365auto.com/zlts/20200225/448688.shtml")</f>
        <v>http://www.12365auto.com/zlts/20200225/448688.shtml</v>
      </c>
      <c r="G2217" s="2"/>
      <c r="H2217" s="2" t="s">
        <v>3241</v>
      </c>
      <c r="I2217" s="2" t="s">
        <v>19</v>
      </c>
      <c r="J2217" s="2" t="s">
        <v>12</v>
      </c>
      <c r="K2217" s="2" t="s">
        <v>3242</v>
      </c>
      <c r="L2217" s="2">
        <f t="shared" si="34"/>
        <v>150</v>
      </c>
    </row>
    <row r="2218" spans="1:12" ht="25" customHeight="1">
      <c r="A2218" s="2" t="s">
        <v>12</v>
      </c>
      <c r="B2218" s="2" t="str">
        <f>HYPERLINK("http://www.12365auto.com/zlts/20200225/448686.shtml","众泰T600车灯不亮一直无配件提供")</f>
        <v>众泰T600车灯不亮一直无配件提供</v>
      </c>
      <c r="C2218" s="2" t="s">
        <v>13</v>
      </c>
      <c r="D2218" s="2" t="s">
        <v>12</v>
      </c>
      <c r="E2218" s="2" t="s">
        <v>17</v>
      </c>
      <c r="F2218" s="2" t="str">
        <f>HYPERLINK("http://www.12365auto.com/zlts/20200225/448686.shtml","http://www.12365auto.com/zlts/20200225/448686.shtml")</f>
        <v>http://www.12365auto.com/zlts/20200225/448686.shtml</v>
      </c>
      <c r="G2218" s="2"/>
      <c r="H2218" s="2" t="s">
        <v>3243</v>
      </c>
      <c r="I2218" s="2" t="s">
        <v>19</v>
      </c>
      <c r="J2218" s="2" t="s">
        <v>12</v>
      </c>
      <c r="K2218" s="2" t="s">
        <v>3244</v>
      </c>
      <c r="L2218" s="2">
        <f t="shared" si="34"/>
        <v>150</v>
      </c>
    </row>
    <row r="2219" spans="1:12" ht="25" customHeight="1">
      <c r="A2219" s="2" t="s">
        <v>12</v>
      </c>
      <c r="B2219" s="2" t="str">
        <f>HYPERLINK("http://www.12365auto.com/zlts/20200225/448684.shtml","上汽名爵ZS悬架减震器副车架后桥排气管生锈")</f>
        <v>上汽名爵ZS悬架减震器副车架后桥排气管生锈</v>
      </c>
      <c r="C2219" s="2" t="s">
        <v>13</v>
      </c>
      <c r="D2219" s="2" t="s">
        <v>12</v>
      </c>
      <c r="E2219" s="2" t="s">
        <v>17</v>
      </c>
      <c r="F2219" s="2" t="str">
        <f>HYPERLINK("http://www.12365auto.com/zlts/20200225/448684.shtml","http://www.12365auto.com/zlts/20200225/448684.shtml")</f>
        <v>http://www.12365auto.com/zlts/20200225/448684.shtml</v>
      </c>
      <c r="G2219" s="2"/>
      <c r="H2219" s="2" t="s">
        <v>3245</v>
      </c>
      <c r="I2219" s="2" t="s">
        <v>15</v>
      </c>
      <c r="J2219" s="2" t="s">
        <v>12</v>
      </c>
      <c r="K2219" s="2" t="s">
        <v>3246</v>
      </c>
      <c r="L2219" s="2">
        <f t="shared" si="34"/>
        <v>150</v>
      </c>
    </row>
    <row r="2220" spans="1:12" ht="25" customHeight="1">
      <c r="A2220" s="2" t="s">
        <v>12</v>
      </c>
      <c r="B2220" s="2" t="str">
        <f>HYPERLINK("http://www.12365auto.com/zlts/20200225/448681.shtml","一汽大众奥迪A3承诺免费保养一直拖延不处理")</f>
        <v>一汽大众奥迪A3承诺免费保养一直拖延不处理</v>
      </c>
      <c r="C2220" s="2" t="s">
        <v>13</v>
      </c>
      <c r="D2220" s="2" t="s">
        <v>12</v>
      </c>
      <c r="E2220" s="2" t="s">
        <v>17</v>
      </c>
      <c r="F2220" s="2" t="str">
        <f>HYPERLINK("http://www.12365auto.com/zlts/20200225/448681.shtml","http://www.12365auto.com/zlts/20200225/448681.shtml")</f>
        <v>http://www.12365auto.com/zlts/20200225/448681.shtml</v>
      </c>
      <c r="G2220" s="2"/>
      <c r="H2220" s="2" t="s">
        <v>3247</v>
      </c>
      <c r="I2220" s="2" t="s">
        <v>19</v>
      </c>
      <c r="J2220" s="2" t="s">
        <v>12</v>
      </c>
      <c r="K2220" s="2" t="s">
        <v>3248</v>
      </c>
      <c r="L2220" s="2">
        <f t="shared" si="34"/>
        <v>150</v>
      </c>
    </row>
    <row r="2221" spans="1:12" ht="25" customHeight="1">
      <c r="A2221" s="2" t="s">
        <v>12</v>
      </c>
      <c r="B2221" s="2" t="str">
        <f>HYPERLINK("http://www.12365auto.com/zlts/20200225/448677.shtml","广汽丰田凯美瑞发动机烧机油严重")</f>
        <v>广汽丰田凯美瑞发动机烧机油严重</v>
      </c>
      <c r="C2221" s="2" t="s">
        <v>13</v>
      </c>
      <c r="D2221" s="2" t="s">
        <v>12</v>
      </c>
      <c r="E2221" s="2" t="s">
        <v>17</v>
      </c>
      <c r="F2221" s="2" t="str">
        <f>HYPERLINK("http://www.12365auto.com/zlts/20200225/448677.shtml","http://www.12365auto.com/zlts/20200225/448677.shtml")</f>
        <v>http://www.12365auto.com/zlts/20200225/448677.shtml</v>
      </c>
      <c r="G2221" s="2"/>
      <c r="H2221" s="2" t="s">
        <v>3249</v>
      </c>
      <c r="I2221" s="2" t="s">
        <v>19</v>
      </c>
      <c r="J2221" s="2" t="s">
        <v>12</v>
      </c>
      <c r="K2221" s="2" t="s">
        <v>3250</v>
      </c>
      <c r="L2221" s="2">
        <f t="shared" si="34"/>
        <v>150</v>
      </c>
    </row>
    <row r="2222" spans="1:12" ht="25" customHeight="1">
      <c r="A2222" s="2" t="s">
        <v>12</v>
      </c>
      <c r="B2222" s="2" t="str">
        <f>HYPERLINK("http://www.12365auto.com/zlts/20200225/448673.shtml","广汽丰田凯美瑞发动机漏机油且存在异响")</f>
        <v>广汽丰田凯美瑞发动机漏机油且存在异响</v>
      </c>
      <c r="C2222" s="2" t="s">
        <v>13</v>
      </c>
      <c r="D2222" s="2" t="s">
        <v>12</v>
      </c>
      <c r="E2222" s="2" t="s">
        <v>17</v>
      </c>
      <c r="F2222" s="2" t="str">
        <f>HYPERLINK("http://www.12365auto.com/zlts/20200225/448673.shtml","http://www.12365auto.com/zlts/20200225/448673.shtml")</f>
        <v>http://www.12365auto.com/zlts/20200225/448673.shtml</v>
      </c>
      <c r="G2222" s="2"/>
      <c r="H2222" s="2" t="s">
        <v>3251</v>
      </c>
      <c r="I2222" s="2" t="s">
        <v>19</v>
      </c>
      <c r="J2222" s="2" t="s">
        <v>12</v>
      </c>
      <c r="K2222" s="2" t="s">
        <v>3252</v>
      </c>
      <c r="L2222" s="2">
        <f t="shared" si="34"/>
        <v>150</v>
      </c>
    </row>
    <row r="2223" spans="1:12" ht="25" customHeight="1">
      <c r="A2223" s="2" t="s">
        <v>12</v>
      </c>
      <c r="B2223" s="2" t="str">
        <f>HYPERLINK("http://www.12365auto.com/zlts/20200225/448670.shtml","斯柯达昊锐车内异味严重影响人员健康")</f>
        <v>斯柯达昊锐车内异味严重影响人员健康</v>
      </c>
      <c r="C2223" s="2" t="s">
        <v>13</v>
      </c>
      <c r="D2223" s="2" t="s">
        <v>12</v>
      </c>
      <c r="E2223" s="2"/>
      <c r="F2223" s="2" t="str">
        <f>HYPERLINK("http://www.12365auto.com/zlts/20200225/448670.shtml","http://www.12365auto.com/zlts/20200225/448670.shtml")</f>
        <v>http://www.12365auto.com/zlts/20200225/448670.shtml</v>
      </c>
      <c r="G2223" s="2"/>
      <c r="H2223" s="3" t="s">
        <v>3253</v>
      </c>
      <c r="I2223" s="2" t="s">
        <v>15</v>
      </c>
      <c r="J2223" s="2" t="s">
        <v>12</v>
      </c>
      <c r="K2223" s="2" t="s">
        <v>3254</v>
      </c>
      <c r="L2223" s="2">
        <f t="shared" si="34"/>
        <v>106</v>
      </c>
    </row>
    <row r="2224" spans="1:12" ht="25" customHeight="1">
      <c r="A2224" s="2" t="s">
        <v>12</v>
      </c>
      <c r="B2224" s="2" t="str">
        <f>HYPERLINK("http://www.12365auto.com/zlts/20200225/448672.shtml","北京现代朗动四个车门排水孔生绣")</f>
        <v>北京现代朗动四个车门排水孔生绣</v>
      </c>
      <c r="C2224" s="2" t="s">
        <v>13</v>
      </c>
      <c r="D2224" s="2" t="s">
        <v>12</v>
      </c>
      <c r="E2224" s="2" t="s">
        <v>17</v>
      </c>
      <c r="F2224" s="2" t="str">
        <f>HYPERLINK("http://www.12365auto.com/zlts/20200225/448672.shtml","http://www.12365auto.com/zlts/20200225/448672.shtml")</f>
        <v>http://www.12365auto.com/zlts/20200225/448672.shtml</v>
      </c>
      <c r="G2224" s="2"/>
      <c r="H2224" s="2" t="s">
        <v>3255</v>
      </c>
      <c r="I2224" s="2" t="s">
        <v>19</v>
      </c>
      <c r="J2224" s="2" t="s">
        <v>12</v>
      </c>
      <c r="K2224" s="2" t="s">
        <v>3256</v>
      </c>
      <c r="L2224" s="2">
        <f t="shared" si="34"/>
        <v>150</v>
      </c>
    </row>
    <row r="2225" spans="1:12" ht="25" customHeight="1">
      <c r="A2225" s="2" t="s">
        <v>12</v>
      </c>
      <c r="B2225" s="2" t="str">
        <f>HYPERLINK("http://www.12365auto.com/zlts/20200225/448659.shtml","雪佛兰科沃兹打方向卡滞行驶中跑偏")</f>
        <v>雪佛兰科沃兹打方向卡滞行驶中跑偏</v>
      </c>
      <c r="C2225" s="2" t="s">
        <v>13</v>
      </c>
      <c r="D2225" s="2" t="s">
        <v>12</v>
      </c>
      <c r="E2225" s="2"/>
      <c r="F2225" s="2" t="str">
        <f>HYPERLINK("http://www.12365auto.com/zlts/20200225/448659.shtml","http://www.12365auto.com/zlts/20200225/448659.shtml")</f>
        <v>http://www.12365auto.com/zlts/20200225/448659.shtml</v>
      </c>
      <c r="G2225" s="2"/>
      <c r="H2225" s="3" t="s">
        <v>3257</v>
      </c>
      <c r="I2225" s="2" t="s">
        <v>15</v>
      </c>
      <c r="J2225" s="2" t="s">
        <v>12</v>
      </c>
      <c r="K2225" s="2" t="s">
        <v>3258</v>
      </c>
      <c r="L2225" s="2">
        <f t="shared" si="34"/>
        <v>125</v>
      </c>
    </row>
    <row r="2226" spans="1:12" ht="25" customHeight="1">
      <c r="A2226" s="2" t="s">
        <v>12</v>
      </c>
      <c r="B2226" s="2" t="str">
        <f>HYPERLINK("http://www.12365auto.com/zlts/20200225/448668.shtml","广汽丰田雷凌挂P挡或N挡转速指针不稳定")</f>
        <v>广汽丰田雷凌挂P挡或N挡转速指针不稳定</v>
      </c>
      <c r="C2226" s="2" t="s">
        <v>13</v>
      </c>
      <c r="D2226" s="2" t="s">
        <v>12</v>
      </c>
      <c r="E2226" s="2" t="s">
        <v>17</v>
      </c>
      <c r="F2226" s="2" t="str">
        <f>HYPERLINK("http://www.12365auto.com/zlts/20200225/448668.shtml","http://www.12365auto.com/zlts/20200225/448668.shtml")</f>
        <v>http://www.12365auto.com/zlts/20200225/448668.shtml</v>
      </c>
      <c r="G2226" s="2"/>
      <c r="H2226" s="2" t="s">
        <v>3259</v>
      </c>
      <c r="I2226" s="2" t="s">
        <v>19</v>
      </c>
      <c r="J2226" s="2" t="s">
        <v>12</v>
      </c>
      <c r="K2226" s="2" t="s">
        <v>3260</v>
      </c>
      <c r="L2226" s="2">
        <f t="shared" si="34"/>
        <v>150</v>
      </c>
    </row>
    <row r="2227" spans="1:12" ht="25" customHeight="1">
      <c r="A2227" s="2" t="s">
        <v>12</v>
      </c>
      <c r="B2227" s="2" t="str">
        <f>HYPERLINK("http://m.12365auto.com/bbs/postcontent.aspx?tID=195153","迈凯伦650S改装LB")</f>
        <v>迈凯伦650S改装LB</v>
      </c>
      <c r="C2227" s="2" t="s">
        <v>13</v>
      </c>
      <c r="D2227" s="2" t="s">
        <v>23</v>
      </c>
      <c r="E2227" s="2"/>
      <c r="F2227" s="2" t="str">
        <f>HYPERLINK("http://m.12365auto.com/bbs/postcontent.aspx?tID=195153","http://m.12365auto.com/bbs/postcontent.aspx?tID=195153")</f>
        <v>http://m.12365auto.com/bbs/postcontent.aspx?tID=195153</v>
      </c>
      <c r="G2227" s="2"/>
      <c r="H2227" s="2" t="s">
        <v>3261</v>
      </c>
      <c r="I2227" s="2" t="s">
        <v>15</v>
      </c>
      <c r="J2227" s="2" t="s">
        <v>145</v>
      </c>
      <c r="K2227" s="2" t="s">
        <v>3262</v>
      </c>
      <c r="L2227" s="2">
        <f t="shared" si="34"/>
        <v>11</v>
      </c>
    </row>
    <row r="2228" spans="1:12" ht="25" customHeight="1">
      <c r="A2228" s="2" t="s">
        <v>12</v>
      </c>
      <c r="B2228" s="2" t="str">
        <f>HYPERLINK("http://bbs.12365auto.com/postcontent.aspx?tId=195153","迈凯伦650S改装LB")</f>
        <v>迈凯伦650S改装LB</v>
      </c>
      <c r="C2228" s="2" t="s">
        <v>13</v>
      </c>
      <c r="D2228" s="2" t="s">
        <v>12</v>
      </c>
      <c r="E2228" s="2" t="s">
        <v>210</v>
      </c>
      <c r="F2228" s="2" t="str">
        <f>HYPERLINK("http://bbs.12365auto.com/postcontent.aspx?tId=195153","http://bbs.12365auto.com/postcontent.aspx?tId=195153")</f>
        <v>http://bbs.12365auto.com/postcontent.aspx?tId=195153</v>
      </c>
      <c r="G2228" s="2"/>
      <c r="H2228" s="2" t="s">
        <v>3261</v>
      </c>
      <c r="I2228" s="2" t="s">
        <v>15</v>
      </c>
      <c r="J2228" s="2" t="s">
        <v>145</v>
      </c>
      <c r="K2228" s="2" t="s">
        <v>3262</v>
      </c>
      <c r="L2228" s="2">
        <f t="shared" si="34"/>
        <v>11</v>
      </c>
    </row>
    <row r="2229" spans="1:12" ht="25" customHeight="1">
      <c r="A2229" s="2" t="s">
        <v>12</v>
      </c>
      <c r="B2229" s="2" t="str">
        <f>HYPERLINK("http://bbs.12365auto.com/postcontent.aspx?tID=195153","迈凯伦650S改装LB")</f>
        <v>迈凯伦650S改装LB</v>
      </c>
      <c r="C2229" s="2" t="s">
        <v>13</v>
      </c>
      <c r="D2229" s="2" t="s">
        <v>12</v>
      </c>
      <c r="E2229" s="2" t="s">
        <v>214</v>
      </c>
      <c r="F2229" s="2" t="str">
        <f>HYPERLINK("http://bbs.12365auto.com/postcontent.aspx?tID=195153","http://bbs.12365auto.com/postcontent.aspx?tID=195153")</f>
        <v>http://bbs.12365auto.com/postcontent.aspx?tID=195153</v>
      </c>
      <c r="G2229" s="2"/>
      <c r="H2229" s="2" t="s">
        <v>3263</v>
      </c>
      <c r="I2229" s="2" t="s">
        <v>15</v>
      </c>
      <c r="J2229" s="2" t="s">
        <v>145</v>
      </c>
      <c r="K2229" s="2" t="s">
        <v>3262</v>
      </c>
      <c r="L2229" s="2">
        <f t="shared" si="34"/>
        <v>22</v>
      </c>
    </row>
    <row r="2230" spans="1:12" ht="25" customHeight="1">
      <c r="A2230" s="2" t="s">
        <v>12</v>
      </c>
      <c r="B2230" s="2" t="str">
        <f>HYPERLINK("http://www.12365auto.com/zlts/20200225/448666.shtml","北汽幻速S6发动机噪音大 后视镜漆面变色")</f>
        <v>北汽幻速S6发动机噪音大 后视镜漆面变色</v>
      </c>
      <c r="C2230" s="2" t="s">
        <v>13</v>
      </c>
      <c r="D2230" s="2" t="s">
        <v>12</v>
      </c>
      <c r="E2230" s="2" t="s">
        <v>17</v>
      </c>
      <c r="F2230" s="2" t="str">
        <f>HYPERLINK("http://www.12365auto.com/zlts/20200225/448666.shtml","http://www.12365auto.com/zlts/20200225/448666.shtml")</f>
        <v>http://www.12365auto.com/zlts/20200225/448666.shtml</v>
      </c>
      <c r="G2230" s="2"/>
      <c r="H2230" s="2" t="s">
        <v>3264</v>
      </c>
      <c r="I2230" s="2" t="s">
        <v>15</v>
      </c>
      <c r="J2230" s="2" t="s">
        <v>12</v>
      </c>
      <c r="K2230" s="2" t="s">
        <v>3265</v>
      </c>
      <c r="L2230" s="2">
        <f t="shared" si="34"/>
        <v>150</v>
      </c>
    </row>
    <row r="2231" spans="1:12" ht="25" customHeight="1">
      <c r="A2231" s="2" t="s">
        <v>12</v>
      </c>
      <c r="B2231" s="2" t="str">
        <f>HYPERLINK("http://www.12365auto.com/zlts/20200225/448665.shtml","东风悦达起亚KXCROSS怠速时发动机抖动")</f>
        <v>东风悦达起亚KXCROSS怠速时发动机抖动</v>
      </c>
      <c r="C2231" s="2" t="s">
        <v>13</v>
      </c>
      <c r="D2231" s="2" t="s">
        <v>12</v>
      </c>
      <c r="E2231" s="2" t="s">
        <v>17</v>
      </c>
      <c r="F2231" s="2" t="str">
        <f>HYPERLINK("http://www.12365auto.com/zlts/20200225/448665.shtml","http://www.12365auto.com/zlts/20200225/448665.shtml")</f>
        <v>http://www.12365auto.com/zlts/20200225/448665.shtml</v>
      </c>
      <c r="G2231" s="2"/>
      <c r="H2231" s="2" t="s">
        <v>3266</v>
      </c>
      <c r="I2231" s="2" t="s">
        <v>15</v>
      </c>
      <c r="J2231" s="2" t="s">
        <v>12</v>
      </c>
      <c r="K2231" s="2" t="s">
        <v>3267</v>
      </c>
      <c r="L2231" s="2">
        <f t="shared" si="34"/>
        <v>150</v>
      </c>
    </row>
    <row r="2232" spans="1:12" ht="25" customHeight="1">
      <c r="A2232" s="2" t="s">
        <v>12</v>
      </c>
      <c r="B2232" s="2" t="str">
        <f>HYPERLINK("http://m.12365auto.com/bbs/postcontent.aspx?tID=195152","国产越野房车该如何保养呢？")</f>
        <v>国产越野房车该如何保养呢？</v>
      </c>
      <c r="C2232" s="2" t="s">
        <v>13</v>
      </c>
      <c r="D2232" s="2" t="s">
        <v>23</v>
      </c>
      <c r="E2232" s="2"/>
      <c r="F2232" s="2" t="str">
        <f>HYPERLINK("http://m.12365auto.com/bbs/postcontent.aspx?tID=195152","http://m.12365auto.com/bbs/postcontent.aspx?tID=195152")</f>
        <v>http://m.12365auto.com/bbs/postcontent.aspx?tID=195152</v>
      </c>
      <c r="G2232" s="2"/>
      <c r="H2232" s="2" t="s">
        <v>3268</v>
      </c>
      <c r="I2232" s="2" t="s">
        <v>15</v>
      </c>
      <c r="J2232" s="2" t="s">
        <v>3269</v>
      </c>
      <c r="K2232" s="2" t="s">
        <v>3270</v>
      </c>
      <c r="L2232" s="2">
        <f t="shared" si="34"/>
        <v>150</v>
      </c>
    </row>
    <row r="2233" spans="1:12" ht="25" customHeight="1">
      <c r="A2233" s="2" t="s">
        <v>12</v>
      </c>
      <c r="B2233" s="2" t="str">
        <f>HYPERLINK("http://bbs.12365auto.com/postcontent.aspx?tId=195152","国产越野房车该如何保养呢？")</f>
        <v>国产越野房车该如何保养呢？</v>
      </c>
      <c r="C2233" s="2" t="s">
        <v>13</v>
      </c>
      <c r="D2233" s="2" t="s">
        <v>12</v>
      </c>
      <c r="E2233" s="2" t="s">
        <v>210</v>
      </c>
      <c r="F2233" s="2" t="str">
        <f>HYPERLINK("http://bbs.12365auto.com/postcontent.aspx?tId=195152","http://bbs.12365auto.com/postcontent.aspx?tId=195152")</f>
        <v>http://bbs.12365auto.com/postcontent.aspx?tId=195152</v>
      </c>
      <c r="G2233" s="2"/>
      <c r="H2233" s="2" t="s">
        <v>3268</v>
      </c>
      <c r="I2233" s="2" t="s">
        <v>15</v>
      </c>
      <c r="J2233" s="2" t="s">
        <v>3269</v>
      </c>
      <c r="K2233" s="2" t="s">
        <v>3270</v>
      </c>
      <c r="L2233" s="2">
        <f t="shared" si="34"/>
        <v>150</v>
      </c>
    </row>
    <row r="2234" spans="1:12" ht="25" customHeight="1">
      <c r="A2234" s="2" t="s">
        <v>12</v>
      </c>
      <c r="B2234" s="2" t="str">
        <f>HYPERLINK("http://bbs.12365auto.com/postcontent.aspx?tID=195152","国产越野房车该如何保养呢？")</f>
        <v>国产越野房车该如何保养呢？</v>
      </c>
      <c r="C2234" s="2" t="s">
        <v>13</v>
      </c>
      <c r="D2234" s="2" t="s">
        <v>12</v>
      </c>
      <c r="E2234" s="2" t="s">
        <v>214</v>
      </c>
      <c r="F2234" s="2" t="str">
        <f>HYPERLINK("http://bbs.12365auto.com/postcontent.aspx?tID=195152","http://bbs.12365auto.com/postcontent.aspx?tID=195152")</f>
        <v>http://bbs.12365auto.com/postcontent.aspx?tID=195152</v>
      </c>
      <c r="G2234" s="2"/>
      <c r="H2234" s="2" t="s">
        <v>3271</v>
      </c>
      <c r="I2234" s="2" t="s">
        <v>15</v>
      </c>
      <c r="J2234" s="2" t="s">
        <v>3269</v>
      </c>
      <c r="K2234" s="2" t="s">
        <v>3270</v>
      </c>
      <c r="L2234" s="2">
        <f t="shared" si="34"/>
        <v>150</v>
      </c>
    </row>
    <row r="2235" spans="1:12" ht="25" customHeight="1">
      <c r="A2235" s="2" t="s">
        <v>12</v>
      </c>
      <c r="B2235" s="2" t="str">
        <f>HYPERLINK("http://www.12365auto.com/zlts/20200225/448661.shtml","中控屏黑屏打不开。")</f>
        <v>中控屏黑屏打不开。</v>
      </c>
      <c r="C2235" s="2" t="s">
        <v>13</v>
      </c>
      <c r="D2235" s="2" t="s">
        <v>12</v>
      </c>
      <c r="E2235" s="2"/>
      <c r="F2235" s="2" t="str">
        <f>HYPERLINK("http://www.12365auto.com/zlts/20200225/448661.shtml","http://www.12365auto.com/zlts/20200225/448661.shtml")</f>
        <v>http://www.12365auto.com/zlts/20200225/448661.shtml</v>
      </c>
      <c r="G2235" s="2"/>
      <c r="H2235" s="3" t="s">
        <v>3272</v>
      </c>
      <c r="I2235" s="2" t="s">
        <v>15</v>
      </c>
      <c r="J2235" s="2" t="s">
        <v>12</v>
      </c>
      <c r="K2235" s="2" t="s">
        <v>3273</v>
      </c>
      <c r="L2235" s="2">
        <f t="shared" si="34"/>
        <v>99</v>
      </c>
    </row>
    <row r="2236" spans="1:12" ht="25" customHeight="1">
      <c r="A2236" s="2" t="s">
        <v>12</v>
      </c>
      <c r="B2236" s="2" t="str">
        <f>HYPERLINK("http://www.12365auto.com/zlts/20200225/448662.shtml","奇瑞瑞虎5电脑板进水导致发动机启动困难")</f>
        <v>奇瑞瑞虎5电脑板进水导致发动机启动困难</v>
      </c>
      <c r="C2236" s="2" t="s">
        <v>13</v>
      </c>
      <c r="D2236" s="2" t="s">
        <v>12</v>
      </c>
      <c r="E2236" s="2" t="s">
        <v>17</v>
      </c>
      <c r="F2236" s="2" t="str">
        <f>HYPERLINK("http://www.12365auto.com/zlts/20200225/448662.shtml","http://www.12365auto.com/zlts/20200225/448662.shtml")</f>
        <v>http://www.12365auto.com/zlts/20200225/448662.shtml</v>
      </c>
      <c r="G2236" s="2"/>
      <c r="H2236" s="2" t="s">
        <v>3274</v>
      </c>
      <c r="I2236" s="2" t="s">
        <v>19</v>
      </c>
      <c r="J2236" s="2" t="s">
        <v>12</v>
      </c>
      <c r="K2236" s="2" t="s">
        <v>3275</v>
      </c>
      <c r="L2236" s="2">
        <f t="shared" si="34"/>
        <v>150</v>
      </c>
    </row>
    <row r="2237" spans="1:12" ht="25" customHeight="1">
      <c r="A2237" s="2" t="s">
        <v>12</v>
      </c>
      <c r="B2237" s="2" t="str">
        <f>HYPERLINK("http://m.12365auto.com/zjdy/20200225/121632.shtml","艾瑞泽GX冠军版质量怎么样值得买吗？")</f>
        <v>艾瑞泽GX冠军版质量怎么样值得买吗？</v>
      </c>
      <c r="C2237" s="2" t="s">
        <v>13</v>
      </c>
      <c r="D2237" s="2" t="s">
        <v>12</v>
      </c>
      <c r="E2237" s="2"/>
      <c r="F2237" s="2" t="str">
        <f>HYPERLINK("http://m.12365auto.com/zjdy/20200225/121632.shtml","http://m.12365auto.com/zjdy/20200225/121632.shtml")</f>
        <v>http://m.12365auto.com/zjdy/20200225/121632.shtml</v>
      </c>
      <c r="G2237" s="2"/>
      <c r="H2237" s="2" t="s">
        <v>3276</v>
      </c>
      <c r="I2237" s="2" t="s">
        <v>19</v>
      </c>
      <c r="J2237" s="2" t="s">
        <v>12</v>
      </c>
      <c r="K2237" s="2" t="s">
        <v>3277</v>
      </c>
      <c r="L2237" s="2">
        <f t="shared" si="34"/>
        <v>44</v>
      </c>
    </row>
    <row r="2238" spans="1:12" ht="25" customHeight="1">
      <c r="A2238" s="2" t="s">
        <v>12</v>
      </c>
      <c r="B2238" s="2" t="str">
        <f>HYPERLINK("http://m.12365auto.com/zjdy/20200225/121631.shtml","哈弗H6挡杆锁止故障应该怎么处理？")</f>
        <v>哈弗H6挡杆锁止故障应该怎么处理？</v>
      </c>
      <c r="C2238" s="2" t="s">
        <v>13</v>
      </c>
      <c r="D2238" s="2" t="s">
        <v>12</v>
      </c>
      <c r="E2238" s="2"/>
      <c r="F2238" s="2" t="str">
        <f>HYPERLINK("http://m.12365auto.com/zjdy/20200225/121631.shtml","http://m.12365auto.com/zjdy/20200225/121631.shtml")</f>
        <v>http://m.12365auto.com/zjdy/20200225/121631.shtml</v>
      </c>
      <c r="G2238" s="2"/>
      <c r="H2238" s="2" t="s">
        <v>3278</v>
      </c>
      <c r="I2238" s="2" t="s">
        <v>19</v>
      </c>
      <c r="J2238" s="2" t="s">
        <v>12</v>
      </c>
      <c r="K2238" s="2" t="s">
        <v>3279</v>
      </c>
      <c r="L2238" s="2">
        <f t="shared" si="34"/>
        <v>15</v>
      </c>
    </row>
    <row r="2239" spans="1:12" ht="25" customHeight="1">
      <c r="A2239" s="2" t="s">
        <v>12</v>
      </c>
      <c r="B2239" s="2" t="str">
        <f>HYPERLINK("http://www.12365auto.com/zlts/20200225/448657.shtml","广汽丰田致炫方向盘越来越重厂家未回复")</f>
        <v>广汽丰田致炫方向盘越来越重厂家未回复</v>
      </c>
      <c r="C2239" s="2" t="s">
        <v>13</v>
      </c>
      <c r="D2239" s="2" t="s">
        <v>12</v>
      </c>
      <c r="E2239" s="2" t="s">
        <v>17</v>
      </c>
      <c r="F2239" s="2" t="str">
        <f>HYPERLINK("http://www.12365auto.com/zlts/20200225/448657.shtml","http://www.12365auto.com/zlts/20200225/448657.shtml")</f>
        <v>http://www.12365auto.com/zlts/20200225/448657.shtml</v>
      </c>
      <c r="G2239" s="2"/>
      <c r="H2239" s="2" t="s">
        <v>3280</v>
      </c>
      <c r="I2239" s="2" t="s">
        <v>15</v>
      </c>
      <c r="J2239" s="2" t="s">
        <v>12</v>
      </c>
      <c r="K2239" s="2" t="s">
        <v>3281</v>
      </c>
      <c r="L2239" s="2">
        <f t="shared" si="34"/>
        <v>150</v>
      </c>
    </row>
    <row r="2240" spans="1:12" ht="25" customHeight="1">
      <c r="A2240" s="2" t="s">
        <v>12</v>
      </c>
      <c r="B2240" s="2" t="str">
        <f>HYPERLINK("http://www.12365auto.com/zlts/20200225/448655.shtml","上汽名爵HS电瓶亏电希望厂家处理问题")</f>
        <v>上汽名爵HS电瓶亏电希望厂家处理问题</v>
      </c>
      <c r="C2240" s="2" t="s">
        <v>13</v>
      </c>
      <c r="D2240" s="2" t="s">
        <v>12</v>
      </c>
      <c r="E2240" s="2" t="s">
        <v>17</v>
      </c>
      <c r="F2240" s="2" t="str">
        <f>HYPERLINK("http://www.12365auto.com/zlts/20200225/448655.shtml","http://www.12365auto.com/zlts/20200225/448655.shtml")</f>
        <v>http://www.12365auto.com/zlts/20200225/448655.shtml</v>
      </c>
      <c r="G2240" s="2"/>
      <c r="H2240" s="2" t="s">
        <v>3282</v>
      </c>
      <c r="I2240" s="2" t="s">
        <v>15</v>
      </c>
      <c r="J2240" s="2" t="s">
        <v>12</v>
      </c>
      <c r="K2240" s="2" t="s">
        <v>3283</v>
      </c>
      <c r="L2240" s="2">
        <f t="shared" si="34"/>
        <v>150</v>
      </c>
    </row>
    <row r="2241" spans="1:12" ht="25" customHeight="1">
      <c r="A2241" s="2" t="s">
        <v>12</v>
      </c>
      <c r="B2241" s="2" t="str">
        <f>HYPERLINK("http://www.12365auto.com/zlts/20200225/448652.shtml","一汽丰田奕泽刹车踏板抖动发动机故障灯亮")</f>
        <v>一汽丰田奕泽刹车踏板抖动发动机故障灯亮</v>
      </c>
      <c r="C2241" s="2" t="s">
        <v>13</v>
      </c>
      <c r="D2241" s="2" t="s">
        <v>12</v>
      </c>
      <c r="E2241" s="2" t="s">
        <v>17</v>
      </c>
      <c r="F2241" s="2" t="str">
        <f>HYPERLINK("http://www.12365auto.com/zlts/20200225/448652.shtml","http://www.12365auto.com/zlts/20200225/448652.shtml")</f>
        <v>http://www.12365auto.com/zlts/20200225/448652.shtml</v>
      </c>
      <c r="G2241" s="2"/>
      <c r="H2241" s="2" t="s">
        <v>3284</v>
      </c>
      <c r="I2241" s="2" t="s">
        <v>15</v>
      </c>
      <c r="J2241" s="2" t="s">
        <v>12</v>
      </c>
      <c r="K2241" s="2" t="s">
        <v>3285</v>
      </c>
      <c r="L2241" s="2">
        <f t="shared" si="34"/>
        <v>150</v>
      </c>
    </row>
    <row r="2242" spans="1:12" ht="25" customHeight="1">
      <c r="A2242" s="2" t="s">
        <v>12</v>
      </c>
      <c r="B2242" s="2" t="str">
        <f>HYPERLINK("http://www.12365auto.com/zlts/20200225/448650.shtml","广汽本田缤智发动机怠速抖动非常严重")</f>
        <v>广汽本田缤智发动机怠速抖动非常严重</v>
      </c>
      <c r="C2242" s="2" t="s">
        <v>13</v>
      </c>
      <c r="D2242" s="2" t="s">
        <v>12</v>
      </c>
      <c r="E2242" s="2" t="s">
        <v>17</v>
      </c>
      <c r="F2242" s="2" t="str">
        <f>HYPERLINK("http://www.12365auto.com/zlts/20200225/448650.shtml","http://www.12365auto.com/zlts/20200225/448650.shtml")</f>
        <v>http://www.12365auto.com/zlts/20200225/448650.shtml</v>
      </c>
      <c r="G2242" s="2"/>
      <c r="H2242" s="2" t="s">
        <v>3286</v>
      </c>
      <c r="I2242" s="2" t="s">
        <v>19</v>
      </c>
      <c r="J2242" s="2" t="s">
        <v>12</v>
      </c>
      <c r="K2242" s="2" t="s">
        <v>3287</v>
      </c>
      <c r="L2242" s="2">
        <f t="shared" si="34"/>
        <v>150</v>
      </c>
    </row>
    <row r="2243" spans="1:12" ht="25" customHeight="1">
      <c r="A2243" s="2" t="s">
        <v>12</v>
      </c>
      <c r="B2243" s="2" t="str">
        <f>HYPERLINK("http://www.12365auto.com/zlts/20200225/448649.shtml","一汽奔腾T77发动机下部漏油未处理")</f>
        <v>一汽奔腾T77发动机下部漏油未处理</v>
      </c>
      <c r="C2243" s="2" t="s">
        <v>13</v>
      </c>
      <c r="D2243" s="2" t="s">
        <v>12</v>
      </c>
      <c r="E2243" s="2" t="s">
        <v>17</v>
      </c>
      <c r="F2243" s="2" t="str">
        <f>HYPERLINK("http://www.12365auto.com/zlts/20200225/448649.shtml","http://www.12365auto.com/zlts/20200225/448649.shtml")</f>
        <v>http://www.12365auto.com/zlts/20200225/448649.shtml</v>
      </c>
      <c r="G2243" s="2"/>
      <c r="H2243" s="2" t="s">
        <v>3288</v>
      </c>
      <c r="I2243" s="2" t="s">
        <v>19</v>
      </c>
      <c r="J2243" s="2" t="s">
        <v>12</v>
      </c>
      <c r="K2243" s="2" t="s">
        <v>3289</v>
      </c>
      <c r="L2243" s="2">
        <f t="shared" ref="L2243:L2306" si="35">LEN(H2243)</f>
        <v>150</v>
      </c>
    </row>
    <row r="2244" spans="1:12" ht="25" customHeight="1">
      <c r="A2244" s="2" t="s">
        <v>12</v>
      </c>
      <c r="B2244" s="2" t="str">
        <f>HYPERLINK("http://www.12365auto.com/zlts/20200225/448646.shtml","广汽本田奥德赛发动机烧机油要求更换总成")</f>
        <v>广汽本田奥德赛发动机烧机油要求更换总成</v>
      </c>
      <c r="C2244" s="2" t="s">
        <v>13</v>
      </c>
      <c r="D2244" s="2" t="s">
        <v>12</v>
      </c>
      <c r="E2244" s="2" t="s">
        <v>17</v>
      </c>
      <c r="F2244" s="2" t="str">
        <f>HYPERLINK("http://www.12365auto.com/zlts/20200225/448646.shtml","http://www.12365auto.com/zlts/20200225/448646.shtml")</f>
        <v>http://www.12365auto.com/zlts/20200225/448646.shtml</v>
      </c>
      <c r="G2244" s="2"/>
      <c r="H2244" s="2" t="s">
        <v>3290</v>
      </c>
      <c r="I2244" s="2" t="s">
        <v>19</v>
      </c>
      <c r="J2244" s="2" t="s">
        <v>12</v>
      </c>
      <c r="K2244" s="2" t="s">
        <v>3291</v>
      </c>
      <c r="L2244" s="2">
        <f t="shared" si="35"/>
        <v>150</v>
      </c>
    </row>
    <row r="2245" spans="1:12" ht="25" customHeight="1">
      <c r="A2245" s="2" t="s">
        <v>12</v>
      </c>
      <c r="B2245" s="2" t="str">
        <f>HYPERLINK("http://www.12365auto.com/zlts/20200225/448645.shtml","一汽大众奥迪A6L变速箱前进挡失效")</f>
        <v>一汽大众奥迪A6L变速箱前进挡失效</v>
      </c>
      <c r="C2245" s="2" t="s">
        <v>13</v>
      </c>
      <c r="D2245" s="2" t="s">
        <v>12</v>
      </c>
      <c r="E2245" s="2" t="s">
        <v>17</v>
      </c>
      <c r="F2245" s="2" t="str">
        <f>HYPERLINK("http://www.12365auto.com/zlts/20200225/448645.shtml","http://www.12365auto.com/zlts/20200225/448645.shtml")</f>
        <v>http://www.12365auto.com/zlts/20200225/448645.shtml</v>
      </c>
      <c r="G2245" s="2"/>
      <c r="H2245" s="2" t="s">
        <v>3292</v>
      </c>
      <c r="I2245" s="2" t="s">
        <v>15</v>
      </c>
      <c r="J2245" s="2" t="s">
        <v>12</v>
      </c>
      <c r="K2245" s="2" t="s">
        <v>3293</v>
      </c>
      <c r="L2245" s="2">
        <f t="shared" si="35"/>
        <v>150</v>
      </c>
    </row>
    <row r="2246" spans="1:12" ht="25" customHeight="1">
      <c r="A2246" s="2" t="s">
        <v>12</v>
      </c>
      <c r="B2246" s="2" t="str">
        <f>HYPERLINK("http://bbs.12365auto.com/postcontent.aspx?tId=195148","呵护爱车小秘籍整理 全做到可真不容易")</f>
        <v>呵护爱车小秘籍整理 全做到可真不容易</v>
      </c>
      <c r="C2246" s="2" t="s">
        <v>13</v>
      </c>
      <c r="D2246" s="2" t="s">
        <v>12</v>
      </c>
      <c r="E2246" s="2" t="s">
        <v>1397</v>
      </c>
      <c r="F2246" s="2" t="str">
        <f>HYPERLINK("http://bbs.12365auto.com/postcontent.aspx?tId=195148","http://bbs.12365auto.com/postcontent.aspx?tId=195148")</f>
        <v>http://bbs.12365auto.com/postcontent.aspx?tId=195148</v>
      </c>
      <c r="G2246" s="2"/>
      <c r="H2246" s="2" t="s">
        <v>3294</v>
      </c>
      <c r="I2246" s="2" t="s">
        <v>15</v>
      </c>
      <c r="J2246" s="2" t="s">
        <v>3295</v>
      </c>
      <c r="K2246" s="2" t="s">
        <v>3296</v>
      </c>
      <c r="L2246" s="2">
        <f t="shared" si="35"/>
        <v>150</v>
      </c>
    </row>
    <row r="2247" spans="1:12" ht="25" customHeight="1">
      <c r="A2247" s="2" t="s">
        <v>12</v>
      </c>
      <c r="B2247" s="2" t="str">
        <f>HYPERLINK("http://m.12365auto.com/bbs/postcontent.aspx?tID=195148","呵护爱车小秘籍整理 全做到可真不容易")</f>
        <v>呵护爱车小秘籍整理 全做到可真不容易</v>
      </c>
      <c r="C2247" s="2" t="s">
        <v>13</v>
      </c>
      <c r="D2247" s="2" t="s">
        <v>23</v>
      </c>
      <c r="E2247" s="2"/>
      <c r="F2247" s="2" t="str">
        <f>HYPERLINK("http://m.12365auto.com/bbs/postcontent.aspx?tID=195148","http://m.12365auto.com/bbs/postcontent.aspx?tID=195148")</f>
        <v>http://m.12365auto.com/bbs/postcontent.aspx?tID=195148</v>
      </c>
      <c r="G2247" s="2"/>
      <c r="H2247" s="2" t="s">
        <v>3294</v>
      </c>
      <c r="I2247" s="2" t="s">
        <v>15</v>
      </c>
      <c r="J2247" s="2" t="s">
        <v>3295</v>
      </c>
      <c r="K2247" s="2" t="s">
        <v>3296</v>
      </c>
      <c r="L2247" s="2">
        <f t="shared" si="35"/>
        <v>150</v>
      </c>
    </row>
    <row r="2248" spans="1:12" ht="25" customHeight="1">
      <c r="A2248" s="2" t="s">
        <v>12</v>
      </c>
      <c r="B2248" s="2" t="str">
        <f>HYPERLINK("http://bbs.12365auto.com/postcontent.aspx?tID=195148","呵护爱车小秘籍整理 全做到可真不容易")</f>
        <v>呵护爱车小秘籍整理 全做到可真不容易</v>
      </c>
      <c r="C2248" s="2" t="s">
        <v>13</v>
      </c>
      <c r="D2248" s="2" t="s">
        <v>12</v>
      </c>
      <c r="E2248" s="2" t="s">
        <v>1393</v>
      </c>
      <c r="F2248" s="2" t="str">
        <f>HYPERLINK("http://bbs.12365auto.com/postcontent.aspx?tID=195148","http://bbs.12365auto.com/postcontent.aspx?tID=195148")</f>
        <v>http://bbs.12365auto.com/postcontent.aspx?tID=195148</v>
      </c>
      <c r="G2248" s="2"/>
      <c r="H2248" s="2" t="s">
        <v>3297</v>
      </c>
      <c r="I2248" s="2" t="s">
        <v>15</v>
      </c>
      <c r="J2248" s="2" t="s">
        <v>3295</v>
      </c>
      <c r="K2248" s="2" t="s">
        <v>3296</v>
      </c>
      <c r="L2248" s="2">
        <f t="shared" si="35"/>
        <v>150</v>
      </c>
    </row>
    <row r="2249" spans="1:12" ht="25" customHeight="1">
      <c r="A2249" s="2" t="s">
        <v>12</v>
      </c>
      <c r="B2249" s="2" t="str">
        <f>HYPERLINK("http://bbs.12365auto.com/postcontent.aspx?tId=195147","小车窗大学问 解读车窗角标的含义")</f>
        <v>小车窗大学问 解读车窗角标的含义</v>
      </c>
      <c r="C2249" s="2" t="s">
        <v>13</v>
      </c>
      <c r="D2249" s="2" t="s">
        <v>12</v>
      </c>
      <c r="E2249" s="2" t="s">
        <v>1397</v>
      </c>
      <c r="F2249" s="2" t="str">
        <f>HYPERLINK("http://bbs.12365auto.com/postcontent.aspx?tId=195147","http://bbs.12365auto.com/postcontent.aspx?tId=195147")</f>
        <v>http://bbs.12365auto.com/postcontent.aspx?tId=195147</v>
      </c>
      <c r="G2249" s="2"/>
      <c r="H2249" s="2" t="s">
        <v>3298</v>
      </c>
      <c r="I2249" s="2" t="s">
        <v>15</v>
      </c>
      <c r="J2249" s="2" t="s">
        <v>3295</v>
      </c>
      <c r="K2249" s="2" t="s">
        <v>3299</v>
      </c>
      <c r="L2249" s="2">
        <f t="shared" si="35"/>
        <v>150</v>
      </c>
    </row>
    <row r="2250" spans="1:12" ht="25" customHeight="1">
      <c r="A2250" s="2" t="s">
        <v>12</v>
      </c>
      <c r="B2250" s="2" t="str">
        <f>HYPERLINK("http://bbs.12365auto.com/postcontent.aspx?tId=195146","重要信息不能忽略 解读轮胎上字母与数字的含义")</f>
        <v>重要信息不能忽略 解读轮胎上字母与数字的含义</v>
      </c>
      <c r="C2250" s="2" t="s">
        <v>13</v>
      </c>
      <c r="D2250" s="2" t="s">
        <v>12</v>
      </c>
      <c r="E2250" s="2" t="s">
        <v>1397</v>
      </c>
      <c r="F2250" s="2" t="str">
        <f>HYPERLINK("http://bbs.12365auto.com/postcontent.aspx?tId=195146","http://bbs.12365auto.com/postcontent.aspx?tId=195146")</f>
        <v>http://bbs.12365auto.com/postcontent.aspx?tId=195146</v>
      </c>
      <c r="G2250" s="2"/>
      <c r="H2250" s="2" t="s">
        <v>3300</v>
      </c>
      <c r="I2250" s="2" t="s">
        <v>15</v>
      </c>
      <c r="J2250" s="2" t="s">
        <v>3295</v>
      </c>
      <c r="K2250" s="2" t="s">
        <v>3299</v>
      </c>
      <c r="L2250" s="2">
        <f t="shared" si="35"/>
        <v>150</v>
      </c>
    </row>
    <row r="2251" spans="1:12" ht="25" customHeight="1">
      <c r="A2251" s="2" t="s">
        <v>12</v>
      </c>
      <c r="B2251" s="2" t="str">
        <f>HYPERLINK("http://m.12365auto.com/bbs/postcontent.aspx?tID=195146","重要信息不能忽略 解读轮胎上字母与数字的含义")</f>
        <v>重要信息不能忽略 解读轮胎上字母与数字的含义</v>
      </c>
      <c r="C2251" s="2" t="s">
        <v>13</v>
      </c>
      <c r="D2251" s="2" t="s">
        <v>23</v>
      </c>
      <c r="E2251" s="2"/>
      <c r="F2251" s="2" t="str">
        <f>HYPERLINK("http://m.12365auto.com/bbs/postcontent.aspx?tID=195146","http://m.12365auto.com/bbs/postcontent.aspx?tID=195146")</f>
        <v>http://m.12365auto.com/bbs/postcontent.aspx?tID=195146</v>
      </c>
      <c r="G2251" s="2"/>
      <c r="H2251" s="2" t="s">
        <v>3300</v>
      </c>
      <c r="I2251" s="2" t="s">
        <v>15</v>
      </c>
      <c r="J2251" s="2" t="s">
        <v>3295</v>
      </c>
      <c r="K2251" s="2" t="s">
        <v>3299</v>
      </c>
      <c r="L2251" s="2">
        <f t="shared" si="35"/>
        <v>150</v>
      </c>
    </row>
    <row r="2252" spans="1:12" ht="25" customHeight="1">
      <c r="A2252" s="2" t="s">
        <v>12</v>
      </c>
      <c r="B2252" s="2" t="str">
        <f>HYPERLINK("http://m.12365auto.com/bbs/postcontent.aspx?tID=195147","小车窗大学问 解读车窗角标的含义")</f>
        <v>小车窗大学问 解读车窗角标的含义</v>
      </c>
      <c r="C2252" s="2" t="s">
        <v>13</v>
      </c>
      <c r="D2252" s="2" t="s">
        <v>23</v>
      </c>
      <c r="E2252" s="2"/>
      <c r="F2252" s="2" t="str">
        <f>HYPERLINK("http://m.12365auto.com/bbs/postcontent.aspx?tID=195147","http://m.12365auto.com/bbs/postcontent.aspx?tID=195147")</f>
        <v>http://m.12365auto.com/bbs/postcontent.aspx?tID=195147</v>
      </c>
      <c r="G2252" s="2"/>
      <c r="H2252" s="2" t="s">
        <v>3298</v>
      </c>
      <c r="I2252" s="2" t="s">
        <v>15</v>
      </c>
      <c r="J2252" s="2" t="s">
        <v>3295</v>
      </c>
      <c r="K2252" s="2" t="s">
        <v>3299</v>
      </c>
      <c r="L2252" s="2">
        <f t="shared" si="35"/>
        <v>150</v>
      </c>
    </row>
    <row r="2253" spans="1:12" ht="25" customHeight="1">
      <c r="A2253" s="2" t="s">
        <v>12</v>
      </c>
      <c r="B2253" s="2" t="str">
        <f>HYPERLINK("http://bbs.12365auto.com/postcontent.aspx?tID=195147","小车窗大学问 解读车窗角标的含义")</f>
        <v>小车窗大学问 解读车窗角标的含义</v>
      </c>
      <c r="C2253" s="2" t="s">
        <v>13</v>
      </c>
      <c r="D2253" s="2" t="s">
        <v>12</v>
      </c>
      <c r="E2253" s="2" t="s">
        <v>1393</v>
      </c>
      <c r="F2253" s="2" t="str">
        <f>HYPERLINK("http://bbs.12365auto.com/postcontent.aspx?tID=195147","http://bbs.12365auto.com/postcontent.aspx?tID=195147")</f>
        <v>http://bbs.12365auto.com/postcontent.aspx?tID=195147</v>
      </c>
      <c r="G2253" s="2"/>
      <c r="H2253" s="2" t="s">
        <v>3301</v>
      </c>
      <c r="I2253" s="2" t="s">
        <v>15</v>
      </c>
      <c r="J2253" s="2" t="s">
        <v>3295</v>
      </c>
      <c r="K2253" s="2" t="s">
        <v>3299</v>
      </c>
      <c r="L2253" s="2">
        <f t="shared" si="35"/>
        <v>150</v>
      </c>
    </row>
    <row r="2254" spans="1:12" ht="25" customHeight="1">
      <c r="A2254" s="2" t="s">
        <v>12</v>
      </c>
      <c r="B2254" s="2" t="str">
        <f>HYPERLINK("http://bbs.12365auto.com/postcontent.aspx?tID=195146","重要信息不能忽略 解读轮胎上字母与数字的含义")</f>
        <v>重要信息不能忽略 解读轮胎上字母与数字的含义</v>
      </c>
      <c r="C2254" s="2" t="s">
        <v>13</v>
      </c>
      <c r="D2254" s="2" t="s">
        <v>12</v>
      </c>
      <c r="E2254" s="2" t="s">
        <v>1393</v>
      </c>
      <c r="F2254" s="2" t="str">
        <f>HYPERLINK("http://bbs.12365auto.com/postcontent.aspx?tID=195146","http://bbs.12365auto.com/postcontent.aspx?tID=195146")</f>
        <v>http://bbs.12365auto.com/postcontent.aspx?tID=195146</v>
      </c>
      <c r="G2254" s="2"/>
      <c r="H2254" s="2" t="s">
        <v>3302</v>
      </c>
      <c r="I2254" s="2" t="s">
        <v>15</v>
      </c>
      <c r="J2254" s="2" t="s">
        <v>3295</v>
      </c>
      <c r="K2254" s="2" t="s">
        <v>3299</v>
      </c>
      <c r="L2254" s="2">
        <f t="shared" si="35"/>
        <v>150</v>
      </c>
    </row>
    <row r="2255" spans="1:12" ht="25" customHeight="1">
      <c r="A2255" s="2" t="s">
        <v>12</v>
      </c>
      <c r="B2255" s="2" t="str">
        <f>HYPERLINK("http://bbs.12365auto.com/postcontent.aspx?tId=195143","如果氢能源车普及你会选择它吗")</f>
        <v>如果氢能源车普及你会选择它吗</v>
      </c>
      <c r="C2255" s="2" t="s">
        <v>13</v>
      </c>
      <c r="D2255" s="2" t="s">
        <v>12</v>
      </c>
      <c r="E2255" s="2" t="s">
        <v>1397</v>
      </c>
      <c r="F2255" s="2" t="str">
        <f>HYPERLINK("http://bbs.12365auto.com/postcontent.aspx?tId=195143","http://bbs.12365auto.com/postcontent.aspx?tId=195143")</f>
        <v>http://bbs.12365auto.com/postcontent.aspx?tId=195143</v>
      </c>
      <c r="G2255" s="2"/>
      <c r="H2255" s="2" t="s">
        <v>3303</v>
      </c>
      <c r="I2255" s="2" t="s">
        <v>15</v>
      </c>
      <c r="J2255" s="2" t="s">
        <v>3295</v>
      </c>
      <c r="K2255" s="2" t="s">
        <v>3304</v>
      </c>
      <c r="L2255" s="2">
        <f t="shared" si="35"/>
        <v>150</v>
      </c>
    </row>
    <row r="2256" spans="1:12" ht="25" customHeight="1">
      <c r="A2256" s="2" t="s">
        <v>12</v>
      </c>
      <c r="B2256" s="2" t="str">
        <f>HYPERLINK("http://bbs.12365auto.com/postcontent.aspx?tId=195144","新能源号牌为什么要比蓝牌多一位")</f>
        <v>新能源号牌为什么要比蓝牌多一位</v>
      </c>
      <c r="C2256" s="2" t="s">
        <v>13</v>
      </c>
      <c r="D2256" s="2" t="s">
        <v>12</v>
      </c>
      <c r="E2256" s="2" t="s">
        <v>1397</v>
      </c>
      <c r="F2256" s="2" t="str">
        <f>HYPERLINK("http://bbs.12365auto.com/postcontent.aspx?tId=195144","http://bbs.12365auto.com/postcontent.aspx?tId=195144")</f>
        <v>http://bbs.12365auto.com/postcontent.aspx?tId=195144</v>
      </c>
      <c r="G2256" s="2"/>
      <c r="H2256" s="2" t="s">
        <v>3305</v>
      </c>
      <c r="I2256" s="2" t="s">
        <v>15</v>
      </c>
      <c r="J2256" s="2" t="s">
        <v>3295</v>
      </c>
      <c r="K2256" s="2" t="s">
        <v>3304</v>
      </c>
      <c r="L2256" s="2">
        <f t="shared" si="35"/>
        <v>150</v>
      </c>
    </row>
    <row r="2257" spans="1:12" ht="25" customHeight="1">
      <c r="A2257" s="2" t="s">
        <v>12</v>
      </c>
      <c r="B2257" s="2" t="str">
        <f>HYPERLINK("http://bbs.12365auto.com/postcontent.aspx?tId=195145","疫情会影响汽车研发的方向吗")</f>
        <v>疫情会影响汽车研发的方向吗</v>
      </c>
      <c r="C2257" s="2" t="s">
        <v>13</v>
      </c>
      <c r="D2257" s="2" t="s">
        <v>12</v>
      </c>
      <c r="E2257" s="2" t="s">
        <v>1397</v>
      </c>
      <c r="F2257" s="2" t="str">
        <f>HYPERLINK("http://bbs.12365auto.com/postcontent.aspx?tId=195145","http://bbs.12365auto.com/postcontent.aspx?tId=195145")</f>
        <v>http://bbs.12365auto.com/postcontent.aspx?tId=195145</v>
      </c>
      <c r="G2257" s="2"/>
      <c r="H2257" s="2" t="s">
        <v>3306</v>
      </c>
      <c r="I2257" s="2" t="s">
        <v>15</v>
      </c>
      <c r="J2257" s="2" t="s">
        <v>3295</v>
      </c>
      <c r="K2257" s="2" t="s">
        <v>3304</v>
      </c>
      <c r="L2257" s="2">
        <f t="shared" si="35"/>
        <v>150</v>
      </c>
    </row>
    <row r="2258" spans="1:12" ht="25" customHeight="1">
      <c r="A2258" s="2" t="s">
        <v>12</v>
      </c>
      <c r="B2258" s="2" t="str">
        <f>HYPERLINK("http://m.12365auto.com/bbs/postcontent.aspx?tID=195144","新能源号牌为什么要比蓝牌多一位")</f>
        <v>新能源号牌为什么要比蓝牌多一位</v>
      </c>
      <c r="C2258" s="2" t="s">
        <v>13</v>
      </c>
      <c r="D2258" s="2" t="s">
        <v>23</v>
      </c>
      <c r="E2258" s="2"/>
      <c r="F2258" s="2" t="str">
        <f>HYPERLINK("http://m.12365auto.com/bbs/postcontent.aspx?tID=195144","http://m.12365auto.com/bbs/postcontent.aspx?tID=195144")</f>
        <v>http://m.12365auto.com/bbs/postcontent.aspx?tID=195144</v>
      </c>
      <c r="G2258" s="2"/>
      <c r="H2258" s="2" t="s">
        <v>3305</v>
      </c>
      <c r="I2258" s="2" t="s">
        <v>15</v>
      </c>
      <c r="J2258" s="2" t="s">
        <v>3295</v>
      </c>
      <c r="K2258" s="2" t="s">
        <v>3304</v>
      </c>
      <c r="L2258" s="2">
        <f t="shared" si="35"/>
        <v>150</v>
      </c>
    </row>
    <row r="2259" spans="1:12" ht="25" customHeight="1">
      <c r="A2259" s="2" t="s">
        <v>12</v>
      </c>
      <c r="B2259" s="2" t="str">
        <f>HYPERLINK("http://m.12365auto.com/bbs/postcontent.aspx?tID=195145","疫情会影响汽车研发的方向吗")</f>
        <v>疫情会影响汽车研发的方向吗</v>
      </c>
      <c r="C2259" s="2" t="s">
        <v>13</v>
      </c>
      <c r="D2259" s="2" t="s">
        <v>23</v>
      </c>
      <c r="E2259" s="2"/>
      <c r="F2259" s="2" t="str">
        <f>HYPERLINK("http://m.12365auto.com/bbs/postcontent.aspx?tID=195145","http://m.12365auto.com/bbs/postcontent.aspx?tID=195145")</f>
        <v>http://m.12365auto.com/bbs/postcontent.aspx?tID=195145</v>
      </c>
      <c r="G2259" s="2"/>
      <c r="H2259" s="2" t="s">
        <v>3306</v>
      </c>
      <c r="I2259" s="2" t="s">
        <v>15</v>
      </c>
      <c r="J2259" s="2" t="s">
        <v>3295</v>
      </c>
      <c r="K2259" s="2" t="s">
        <v>3304</v>
      </c>
      <c r="L2259" s="2">
        <f t="shared" si="35"/>
        <v>150</v>
      </c>
    </row>
    <row r="2260" spans="1:12" ht="25" customHeight="1">
      <c r="A2260" s="2" t="s">
        <v>12</v>
      </c>
      <c r="B2260" s="2" t="str">
        <f>HYPERLINK("http://m.12365auto.com/bbs/postcontent.aspx?tID=195143","如果氢能源车普及你会选择它吗")</f>
        <v>如果氢能源车普及你会选择它吗</v>
      </c>
      <c r="C2260" s="2" t="s">
        <v>13</v>
      </c>
      <c r="D2260" s="2" t="s">
        <v>23</v>
      </c>
      <c r="E2260" s="2"/>
      <c r="F2260" s="2" t="str">
        <f>HYPERLINK("http://m.12365auto.com/bbs/postcontent.aspx?tID=195143","http://m.12365auto.com/bbs/postcontent.aspx?tID=195143")</f>
        <v>http://m.12365auto.com/bbs/postcontent.aspx?tID=195143</v>
      </c>
      <c r="G2260" s="2"/>
      <c r="H2260" s="2" t="s">
        <v>3303</v>
      </c>
      <c r="I2260" s="2" t="s">
        <v>15</v>
      </c>
      <c r="J2260" s="2" t="s">
        <v>3295</v>
      </c>
      <c r="K2260" s="2" t="s">
        <v>3304</v>
      </c>
      <c r="L2260" s="2">
        <f t="shared" si="35"/>
        <v>150</v>
      </c>
    </row>
    <row r="2261" spans="1:12" ht="25" customHeight="1">
      <c r="A2261" s="2" t="s">
        <v>12</v>
      </c>
      <c r="B2261" s="2" t="str">
        <f>HYPERLINK("http://bbs.12365auto.com/postcontent.aspx?tID=195143","如果氢能源车普及你会选择它吗")</f>
        <v>如果氢能源车普及你会选择它吗</v>
      </c>
      <c r="C2261" s="2" t="s">
        <v>13</v>
      </c>
      <c r="D2261" s="2" t="s">
        <v>12</v>
      </c>
      <c r="E2261" s="2" t="s">
        <v>1393</v>
      </c>
      <c r="F2261" s="2" t="str">
        <f>HYPERLINK("http://bbs.12365auto.com/postcontent.aspx?tID=195143","http://bbs.12365auto.com/postcontent.aspx?tID=195143")</f>
        <v>http://bbs.12365auto.com/postcontent.aspx?tID=195143</v>
      </c>
      <c r="G2261" s="2"/>
      <c r="H2261" s="2" t="s">
        <v>3307</v>
      </c>
      <c r="I2261" s="2" t="s">
        <v>15</v>
      </c>
      <c r="J2261" s="2" t="s">
        <v>3295</v>
      </c>
      <c r="K2261" s="2" t="s">
        <v>3304</v>
      </c>
      <c r="L2261" s="2">
        <f t="shared" si="35"/>
        <v>150</v>
      </c>
    </row>
    <row r="2262" spans="1:12" ht="25" customHeight="1">
      <c r="A2262" s="2" t="s">
        <v>12</v>
      </c>
      <c r="B2262" s="2" t="str">
        <f>HYPERLINK("http://bbs.12365auto.com/postcontent.aspx?tID=195144","新能源号牌为什么要比蓝牌多一位")</f>
        <v>新能源号牌为什么要比蓝牌多一位</v>
      </c>
      <c r="C2262" s="2" t="s">
        <v>13</v>
      </c>
      <c r="D2262" s="2" t="s">
        <v>12</v>
      </c>
      <c r="E2262" s="2" t="s">
        <v>1393</v>
      </c>
      <c r="F2262" s="2" t="str">
        <f>HYPERLINK("http://bbs.12365auto.com/postcontent.aspx?tID=195144","http://bbs.12365auto.com/postcontent.aspx?tID=195144")</f>
        <v>http://bbs.12365auto.com/postcontent.aspx?tID=195144</v>
      </c>
      <c r="G2262" s="2"/>
      <c r="H2262" s="2" t="s">
        <v>3308</v>
      </c>
      <c r="I2262" s="2" t="s">
        <v>15</v>
      </c>
      <c r="J2262" s="2" t="s">
        <v>3295</v>
      </c>
      <c r="K2262" s="2" t="s">
        <v>3304</v>
      </c>
      <c r="L2262" s="2">
        <f t="shared" si="35"/>
        <v>150</v>
      </c>
    </row>
    <row r="2263" spans="1:12" ht="25" customHeight="1">
      <c r="A2263" s="2" t="s">
        <v>12</v>
      </c>
      <c r="B2263" s="2" t="str">
        <f>HYPERLINK("http://bbs.12365auto.com/postcontent.aspx?tID=195145","疫情会影响汽车研发的方向吗")</f>
        <v>疫情会影响汽车研发的方向吗</v>
      </c>
      <c r="C2263" s="2" t="s">
        <v>13</v>
      </c>
      <c r="D2263" s="2" t="s">
        <v>12</v>
      </c>
      <c r="E2263" s="2" t="s">
        <v>1393</v>
      </c>
      <c r="F2263" s="2" t="str">
        <f>HYPERLINK("http://bbs.12365auto.com/postcontent.aspx?tID=195145","http://bbs.12365auto.com/postcontent.aspx?tID=195145")</f>
        <v>http://bbs.12365auto.com/postcontent.aspx?tID=195145</v>
      </c>
      <c r="G2263" s="2"/>
      <c r="H2263" s="2" t="s">
        <v>3309</v>
      </c>
      <c r="I2263" s="2" t="s">
        <v>15</v>
      </c>
      <c r="J2263" s="2" t="s">
        <v>3295</v>
      </c>
      <c r="K2263" s="2" t="s">
        <v>3304</v>
      </c>
      <c r="L2263" s="2">
        <f t="shared" si="35"/>
        <v>150</v>
      </c>
    </row>
    <row r="2264" spans="1:12" ht="25" customHeight="1">
      <c r="A2264" s="2" t="s">
        <v>12</v>
      </c>
      <c r="B2264" s="2" t="str">
        <f>HYPERLINK("http://bbs.12365auto.com/postcontent.aspx?tId=195142","来自疫情的思考 汽车会实现无接触交付吗")</f>
        <v>来自疫情的思考 汽车会实现无接触交付吗</v>
      </c>
      <c r="C2264" s="2" t="s">
        <v>13</v>
      </c>
      <c r="D2264" s="2" t="s">
        <v>12</v>
      </c>
      <c r="E2264" s="2" t="s">
        <v>1397</v>
      </c>
      <c r="F2264" s="2" t="str">
        <f>HYPERLINK("http://bbs.12365auto.com/postcontent.aspx?tId=195142","http://bbs.12365auto.com/postcontent.aspx?tId=195142")</f>
        <v>http://bbs.12365auto.com/postcontent.aspx?tId=195142</v>
      </c>
      <c r="G2264" s="2"/>
      <c r="H2264" s="2" t="s">
        <v>3310</v>
      </c>
      <c r="I2264" s="2" t="s">
        <v>15</v>
      </c>
      <c r="J2264" s="2" t="s">
        <v>3295</v>
      </c>
      <c r="K2264" s="2" t="s">
        <v>3311</v>
      </c>
      <c r="L2264" s="2">
        <f t="shared" si="35"/>
        <v>150</v>
      </c>
    </row>
    <row r="2265" spans="1:12" ht="25" customHeight="1">
      <c r="A2265" s="2" t="s">
        <v>12</v>
      </c>
      <c r="B2265" s="2" t="str">
        <f>HYPERLINK("http://m.12365auto.com/bbs/postcontent.aspx?tID=195142","来自疫情的思考 汽车会实现无接触交付吗")</f>
        <v>来自疫情的思考 汽车会实现无接触交付吗</v>
      </c>
      <c r="C2265" s="2" t="s">
        <v>13</v>
      </c>
      <c r="D2265" s="2" t="s">
        <v>23</v>
      </c>
      <c r="E2265" s="2"/>
      <c r="F2265" s="2" t="str">
        <f>HYPERLINK("http://m.12365auto.com/bbs/postcontent.aspx?tID=195142","http://m.12365auto.com/bbs/postcontent.aspx?tID=195142")</f>
        <v>http://m.12365auto.com/bbs/postcontent.aspx?tID=195142</v>
      </c>
      <c r="G2265" s="2"/>
      <c r="H2265" s="2" t="s">
        <v>3310</v>
      </c>
      <c r="I2265" s="2" t="s">
        <v>15</v>
      </c>
      <c r="J2265" s="2" t="s">
        <v>3295</v>
      </c>
      <c r="K2265" s="2" t="s">
        <v>3311</v>
      </c>
      <c r="L2265" s="2">
        <f t="shared" si="35"/>
        <v>150</v>
      </c>
    </row>
    <row r="2266" spans="1:12" ht="25" customHeight="1">
      <c r="A2266" s="2" t="s">
        <v>12</v>
      </c>
      <c r="B2266" s="2" t="str">
        <f>HYPERLINK("http://bbs.12365auto.com/postcontent.aspx?tID=195142","来自疫情的思考 汽车会实现无接触交付吗")</f>
        <v>来自疫情的思考 汽车会实现无接触交付吗</v>
      </c>
      <c r="C2266" s="2" t="s">
        <v>13</v>
      </c>
      <c r="D2266" s="2" t="s">
        <v>12</v>
      </c>
      <c r="E2266" s="2" t="s">
        <v>1393</v>
      </c>
      <c r="F2266" s="2" t="str">
        <f>HYPERLINK("http://bbs.12365auto.com/postcontent.aspx?tID=195142","http://bbs.12365auto.com/postcontent.aspx?tID=195142")</f>
        <v>http://bbs.12365auto.com/postcontent.aspx?tID=195142</v>
      </c>
      <c r="G2266" s="2"/>
      <c r="H2266" s="2" t="s">
        <v>3312</v>
      </c>
      <c r="I2266" s="2" t="s">
        <v>15</v>
      </c>
      <c r="J2266" s="2" t="s">
        <v>3295</v>
      </c>
      <c r="K2266" s="2" t="s">
        <v>3311</v>
      </c>
      <c r="L2266" s="2">
        <f t="shared" si="35"/>
        <v>150</v>
      </c>
    </row>
    <row r="2267" spans="1:12" ht="25" customHeight="1">
      <c r="A2267" s="2" t="s">
        <v>12</v>
      </c>
      <c r="B2267" s="2" t="str">
        <f>HYPERLINK("http://bbs.12365auto.com/postcontent.aspx?tId=195141","疫情或导致新能源汽车补贴将延长")</f>
        <v>疫情或导致新能源汽车补贴将延长</v>
      </c>
      <c r="C2267" s="2" t="s">
        <v>13</v>
      </c>
      <c r="D2267" s="2" t="s">
        <v>12</v>
      </c>
      <c r="E2267" s="2" t="s">
        <v>1397</v>
      </c>
      <c r="F2267" s="2" t="str">
        <f>HYPERLINK("http://bbs.12365auto.com/postcontent.aspx?tId=195141","http://bbs.12365auto.com/postcontent.aspx?tId=195141")</f>
        <v>http://bbs.12365auto.com/postcontent.aspx?tId=195141</v>
      </c>
      <c r="G2267" s="2"/>
      <c r="H2267" s="2" t="s">
        <v>3313</v>
      </c>
      <c r="I2267" s="2" t="s">
        <v>15</v>
      </c>
      <c r="J2267" s="2" t="s">
        <v>3295</v>
      </c>
      <c r="K2267" s="2" t="s">
        <v>3314</v>
      </c>
      <c r="L2267" s="2">
        <f t="shared" si="35"/>
        <v>150</v>
      </c>
    </row>
    <row r="2268" spans="1:12" ht="25" customHeight="1">
      <c r="A2268" s="2" t="s">
        <v>12</v>
      </c>
      <c r="B2268" s="2" t="str">
        <f>HYPERLINK("http://bbs.12365auto.com/postcontent.aspx?tId=195140","新加坡宣布计划2040年前淘汰燃油车 我国是什么时候")</f>
        <v>新加坡宣布计划2040年前淘汰燃油车 我国是什么时候</v>
      </c>
      <c r="C2268" s="2" t="s">
        <v>13</v>
      </c>
      <c r="D2268" s="2" t="s">
        <v>12</v>
      </c>
      <c r="E2268" s="2" t="s">
        <v>1397</v>
      </c>
      <c r="F2268" s="2" t="str">
        <f>HYPERLINK("http://bbs.12365auto.com/postcontent.aspx?tId=195140","http://bbs.12365auto.com/postcontent.aspx?tId=195140")</f>
        <v>http://bbs.12365auto.com/postcontent.aspx?tId=195140</v>
      </c>
      <c r="G2268" s="2"/>
      <c r="H2268" s="2" t="s">
        <v>3315</v>
      </c>
      <c r="I2268" s="2" t="s">
        <v>15</v>
      </c>
      <c r="J2268" s="2" t="s">
        <v>3295</v>
      </c>
      <c r="K2268" s="2" t="s">
        <v>3314</v>
      </c>
      <c r="L2268" s="2">
        <f t="shared" si="35"/>
        <v>150</v>
      </c>
    </row>
    <row r="2269" spans="1:12" ht="25" customHeight="1">
      <c r="A2269" s="2" t="s">
        <v>12</v>
      </c>
      <c r="B2269" s="2" t="str">
        <f>HYPERLINK("http://m.12365auto.com/bbs/postcontent.aspx?tID=195141","疫情或导致新能源汽车补贴将延长")</f>
        <v>疫情或导致新能源汽车补贴将延长</v>
      </c>
      <c r="C2269" s="2" t="s">
        <v>13</v>
      </c>
      <c r="D2269" s="2" t="s">
        <v>23</v>
      </c>
      <c r="E2269" s="2"/>
      <c r="F2269" s="2" t="str">
        <f>HYPERLINK("http://m.12365auto.com/bbs/postcontent.aspx?tID=195141","http://m.12365auto.com/bbs/postcontent.aspx?tID=195141")</f>
        <v>http://m.12365auto.com/bbs/postcontent.aspx?tID=195141</v>
      </c>
      <c r="G2269" s="2"/>
      <c r="H2269" s="2" t="s">
        <v>3313</v>
      </c>
      <c r="I2269" s="2" t="s">
        <v>15</v>
      </c>
      <c r="J2269" s="2" t="s">
        <v>3295</v>
      </c>
      <c r="K2269" s="2" t="s">
        <v>3314</v>
      </c>
      <c r="L2269" s="2">
        <f t="shared" si="35"/>
        <v>150</v>
      </c>
    </row>
    <row r="2270" spans="1:12" ht="25" customHeight="1">
      <c r="A2270" s="2" t="s">
        <v>12</v>
      </c>
      <c r="B2270" s="2" t="str">
        <f>HYPERLINK("http://m.12365auto.com/bbs/postcontent.aspx?tID=195140","新加坡宣布计划2040年前淘汰燃油车 我国是什么时候")</f>
        <v>新加坡宣布计划2040年前淘汰燃油车 我国是什么时候</v>
      </c>
      <c r="C2270" s="2" t="s">
        <v>13</v>
      </c>
      <c r="D2270" s="2" t="s">
        <v>23</v>
      </c>
      <c r="E2270" s="2"/>
      <c r="F2270" s="2" t="str">
        <f>HYPERLINK("http://m.12365auto.com/bbs/postcontent.aspx?tID=195140","http://m.12365auto.com/bbs/postcontent.aspx?tID=195140")</f>
        <v>http://m.12365auto.com/bbs/postcontent.aspx?tID=195140</v>
      </c>
      <c r="G2270" s="2"/>
      <c r="H2270" s="2" t="s">
        <v>3315</v>
      </c>
      <c r="I2270" s="2" t="s">
        <v>15</v>
      </c>
      <c r="J2270" s="2" t="s">
        <v>3295</v>
      </c>
      <c r="K2270" s="2" t="s">
        <v>3314</v>
      </c>
      <c r="L2270" s="2">
        <f t="shared" si="35"/>
        <v>150</v>
      </c>
    </row>
    <row r="2271" spans="1:12" ht="25" customHeight="1">
      <c r="A2271" s="2" t="s">
        <v>12</v>
      </c>
      <c r="B2271" s="2" t="str">
        <f>HYPERLINK("http://www.12365auto.com/zlts/20200225/448643.shtml","一汽奔腾B30转向卡顿车身生锈 厂家不解决")</f>
        <v>一汽奔腾B30转向卡顿车身生锈 厂家不解决</v>
      </c>
      <c r="C2271" s="2" t="s">
        <v>13</v>
      </c>
      <c r="D2271" s="2" t="s">
        <v>12</v>
      </c>
      <c r="E2271" s="2" t="s">
        <v>17</v>
      </c>
      <c r="F2271" s="2" t="str">
        <f>HYPERLINK("http://www.12365auto.com/zlts/20200225/448643.shtml","http://www.12365auto.com/zlts/20200225/448643.shtml")</f>
        <v>http://www.12365auto.com/zlts/20200225/448643.shtml</v>
      </c>
      <c r="G2271" s="2"/>
      <c r="H2271" s="2" t="s">
        <v>3316</v>
      </c>
      <c r="I2271" s="2" t="s">
        <v>15</v>
      </c>
      <c r="J2271" s="2" t="s">
        <v>12</v>
      </c>
      <c r="K2271" s="2" t="s">
        <v>3314</v>
      </c>
      <c r="L2271" s="2">
        <f t="shared" si="35"/>
        <v>150</v>
      </c>
    </row>
    <row r="2272" spans="1:12" ht="25" customHeight="1">
      <c r="A2272" s="2" t="s">
        <v>12</v>
      </c>
      <c r="B2272" s="2" t="str">
        <f>HYPERLINK("http://www.12365auto.com/zlts/20200225/448642.shtml","宝骏630车身大面积生锈腐烂一直未解决")</f>
        <v>宝骏630车身大面积生锈腐烂一直未解决</v>
      </c>
      <c r="C2272" s="2" t="s">
        <v>13</v>
      </c>
      <c r="D2272" s="2" t="s">
        <v>12</v>
      </c>
      <c r="E2272" s="2" t="s">
        <v>17</v>
      </c>
      <c r="F2272" s="2" t="str">
        <f>HYPERLINK("http://www.12365auto.com/zlts/20200225/448642.shtml","http://www.12365auto.com/zlts/20200225/448642.shtml")</f>
        <v>http://www.12365auto.com/zlts/20200225/448642.shtml</v>
      </c>
      <c r="G2272" s="2"/>
      <c r="H2272" s="2" t="s">
        <v>3317</v>
      </c>
      <c r="I2272" s="2" t="s">
        <v>15</v>
      </c>
      <c r="J2272" s="2" t="s">
        <v>12</v>
      </c>
      <c r="K2272" s="2" t="s">
        <v>3314</v>
      </c>
      <c r="L2272" s="2">
        <f t="shared" si="35"/>
        <v>150</v>
      </c>
    </row>
    <row r="2273" spans="1:12" ht="25" customHeight="1">
      <c r="A2273" s="2" t="s">
        <v>12</v>
      </c>
      <c r="B2273" s="2" t="str">
        <f>HYPERLINK("http://www.12365auto.com/zlts/20200225/448644.shtml","奇瑞瑞虎8变速箱换挡异响 大灯盲区大")</f>
        <v>奇瑞瑞虎8变速箱换挡异响 大灯盲区大</v>
      </c>
      <c r="C2273" s="2" t="s">
        <v>13</v>
      </c>
      <c r="D2273" s="2" t="s">
        <v>12</v>
      </c>
      <c r="E2273" s="2" t="s">
        <v>17</v>
      </c>
      <c r="F2273" s="2" t="str">
        <f>HYPERLINK("http://www.12365auto.com/zlts/20200225/448644.shtml","http://www.12365auto.com/zlts/20200225/448644.shtml")</f>
        <v>http://www.12365auto.com/zlts/20200225/448644.shtml</v>
      </c>
      <c r="G2273" s="2"/>
      <c r="H2273" s="2" t="s">
        <v>3318</v>
      </c>
      <c r="I2273" s="2" t="s">
        <v>19</v>
      </c>
      <c r="J2273" s="2" t="s">
        <v>12</v>
      </c>
      <c r="K2273" s="2" t="s">
        <v>3314</v>
      </c>
      <c r="L2273" s="2">
        <f t="shared" si="35"/>
        <v>150</v>
      </c>
    </row>
    <row r="2274" spans="1:12" ht="25" customHeight="1">
      <c r="A2274" s="2" t="s">
        <v>12</v>
      </c>
      <c r="B2274" s="2" t="str">
        <f>HYPERLINK("http://bbs.12365auto.com/postcontent.aspx?tID=195140","新加坡宣布计划2040年前淘汰燃油车 我国是什么时候")</f>
        <v>新加坡宣布计划2040年前淘汰燃油车 我国是什么时候</v>
      </c>
      <c r="C2274" s="2" t="s">
        <v>13</v>
      </c>
      <c r="D2274" s="2" t="s">
        <v>12</v>
      </c>
      <c r="E2274" s="2" t="s">
        <v>1393</v>
      </c>
      <c r="F2274" s="2" t="str">
        <f>HYPERLINK("http://bbs.12365auto.com/postcontent.aspx?tID=195140","http://bbs.12365auto.com/postcontent.aspx?tID=195140")</f>
        <v>http://bbs.12365auto.com/postcontent.aspx?tID=195140</v>
      </c>
      <c r="G2274" s="2"/>
      <c r="H2274" s="2" t="s">
        <v>3319</v>
      </c>
      <c r="I2274" s="2" t="s">
        <v>15</v>
      </c>
      <c r="J2274" s="2" t="s">
        <v>3295</v>
      </c>
      <c r="K2274" s="2" t="s">
        <v>3314</v>
      </c>
      <c r="L2274" s="2">
        <f t="shared" si="35"/>
        <v>150</v>
      </c>
    </row>
    <row r="2275" spans="1:12" ht="25" customHeight="1">
      <c r="A2275" s="2" t="s">
        <v>12</v>
      </c>
      <c r="B2275" s="2" t="str">
        <f>HYPERLINK("http://bbs.12365auto.com/postcontent.aspx?tID=195141","疫情或导致新能源汽车补贴将延长")</f>
        <v>疫情或导致新能源汽车补贴将延长</v>
      </c>
      <c r="C2275" s="2" t="s">
        <v>13</v>
      </c>
      <c r="D2275" s="2" t="s">
        <v>12</v>
      </c>
      <c r="E2275" s="2" t="s">
        <v>1393</v>
      </c>
      <c r="F2275" s="2" t="str">
        <f>HYPERLINK("http://bbs.12365auto.com/postcontent.aspx?tID=195141","http://bbs.12365auto.com/postcontent.aspx?tID=195141")</f>
        <v>http://bbs.12365auto.com/postcontent.aspx?tID=195141</v>
      </c>
      <c r="G2275" s="2"/>
      <c r="H2275" s="2" t="s">
        <v>3320</v>
      </c>
      <c r="I2275" s="2" t="s">
        <v>15</v>
      </c>
      <c r="J2275" s="2" t="s">
        <v>3295</v>
      </c>
      <c r="K2275" s="2" t="s">
        <v>3314</v>
      </c>
      <c r="L2275" s="2">
        <f t="shared" si="35"/>
        <v>150</v>
      </c>
    </row>
    <row r="2276" spans="1:12" ht="25" customHeight="1">
      <c r="A2276" s="2" t="s">
        <v>12</v>
      </c>
      <c r="B2276" s="2" t="str">
        <f>HYPERLINK("http://bbs.12365auto.com/postcontent.aspx?tId=195139","燃油车禁售会导致混动车也被禁售吗")</f>
        <v>燃油车禁售会导致混动车也被禁售吗</v>
      </c>
      <c r="C2276" s="2" t="s">
        <v>13</v>
      </c>
      <c r="D2276" s="2" t="s">
        <v>12</v>
      </c>
      <c r="E2276" s="2" t="s">
        <v>1397</v>
      </c>
      <c r="F2276" s="2" t="str">
        <f>HYPERLINK("http://bbs.12365auto.com/postcontent.aspx?tId=195139","http://bbs.12365auto.com/postcontent.aspx?tId=195139")</f>
        <v>http://bbs.12365auto.com/postcontent.aspx?tId=195139</v>
      </c>
      <c r="G2276" s="2"/>
      <c r="H2276" s="2" t="s">
        <v>3321</v>
      </c>
      <c r="I2276" s="2" t="s">
        <v>15</v>
      </c>
      <c r="J2276" s="2" t="s">
        <v>3295</v>
      </c>
      <c r="K2276" s="2" t="s">
        <v>3322</v>
      </c>
      <c r="L2276" s="2">
        <f t="shared" si="35"/>
        <v>150</v>
      </c>
    </row>
    <row r="2277" spans="1:12" ht="25" customHeight="1">
      <c r="A2277" s="2" t="s">
        <v>12</v>
      </c>
      <c r="B2277" s="2" t="str">
        <f>HYPERLINK("http://m.12365auto.com/bbs/postcontent.aspx?tID=195139","燃油车禁售会导致混动车也被禁售吗")</f>
        <v>燃油车禁售会导致混动车也被禁售吗</v>
      </c>
      <c r="C2277" s="2" t="s">
        <v>13</v>
      </c>
      <c r="D2277" s="2" t="s">
        <v>23</v>
      </c>
      <c r="E2277" s="2"/>
      <c r="F2277" s="2" t="str">
        <f>HYPERLINK("http://m.12365auto.com/bbs/postcontent.aspx?tID=195139","http://m.12365auto.com/bbs/postcontent.aspx?tID=195139")</f>
        <v>http://m.12365auto.com/bbs/postcontent.aspx?tID=195139</v>
      </c>
      <c r="G2277" s="2"/>
      <c r="H2277" s="2" t="s">
        <v>3321</v>
      </c>
      <c r="I2277" s="2" t="s">
        <v>15</v>
      </c>
      <c r="J2277" s="2" t="s">
        <v>3295</v>
      </c>
      <c r="K2277" s="2" t="s">
        <v>3322</v>
      </c>
      <c r="L2277" s="2">
        <f t="shared" si="35"/>
        <v>150</v>
      </c>
    </row>
    <row r="2278" spans="1:12" ht="25" customHeight="1">
      <c r="A2278" s="2" t="s">
        <v>12</v>
      </c>
      <c r="B2278" s="2" t="str">
        <f>HYPERLINK("http://bbs.12365auto.com/postcontent.aspx?tID=195139","燃油车禁售会导致混动车也被禁售吗")</f>
        <v>燃油车禁售会导致混动车也被禁售吗</v>
      </c>
      <c r="C2278" s="2" t="s">
        <v>13</v>
      </c>
      <c r="D2278" s="2" t="s">
        <v>12</v>
      </c>
      <c r="E2278" s="2" t="s">
        <v>1393</v>
      </c>
      <c r="F2278" s="2" t="str">
        <f>HYPERLINK("http://bbs.12365auto.com/postcontent.aspx?tID=195139","http://bbs.12365auto.com/postcontent.aspx?tID=195139")</f>
        <v>http://bbs.12365auto.com/postcontent.aspx?tID=195139</v>
      </c>
      <c r="G2278" s="2"/>
      <c r="H2278" s="2" t="s">
        <v>3323</v>
      </c>
      <c r="I2278" s="2" t="s">
        <v>15</v>
      </c>
      <c r="J2278" s="2" t="s">
        <v>3295</v>
      </c>
      <c r="K2278" s="2" t="s">
        <v>3322</v>
      </c>
      <c r="L2278" s="2">
        <f t="shared" si="35"/>
        <v>150</v>
      </c>
    </row>
    <row r="2279" spans="1:12" ht="25" customHeight="1">
      <c r="A2279" s="2" t="s">
        <v>12</v>
      </c>
      <c r="B2279" s="2" t="str">
        <f>HYPERLINK("http://m.12365auto.com/zjdy/20200225/121626.shtml","哈弗H6电子挡杆故障需要如何处理解决？")</f>
        <v>哈弗H6电子挡杆故障需要如何处理解决？</v>
      </c>
      <c r="C2279" s="2" t="s">
        <v>13</v>
      </c>
      <c r="D2279" s="2" t="s">
        <v>12</v>
      </c>
      <c r="E2279" s="2"/>
      <c r="F2279" s="2" t="str">
        <f>HYPERLINK("http://m.12365auto.com/zjdy/20200225/121626.shtml","http://m.12365auto.com/zjdy/20200225/121626.shtml")</f>
        <v>http://m.12365auto.com/zjdy/20200225/121626.shtml</v>
      </c>
      <c r="G2279" s="2"/>
      <c r="H2279" s="2" t="s">
        <v>3324</v>
      </c>
      <c r="I2279" s="2" t="s">
        <v>19</v>
      </c>
      <c r="J2279" s="2" t="s">
        <v>12</v>
      </c>
      <c r="K2279" s="2" t="s">
        <v>3325</v>
      </c>
      <c r="L2279" s="2">
        <f t="shared" si="35"/>
        <v>56</v>
      </c>
    </row>
    <row r="2280" spans="1:12" ht="25" customHeight="1">
      <c r="A2280" s="2" t="s">
        <v>12</v>
      </c>
      <c r="B2280" s="2" t="str">
        <f>HYPERLINK("http://m.12365auto.com/zjdy/20200225/121625.shtml","广汽传祺GS5和日产逍客应该如何选择？")</f>
        <v>广汽传祺GS5和日产逍客应该如何选择？</v>
      </c>
      <c r="C2280" s="2" t="s">
        <v>13</v>
      </c>
      <c r="D2280" s="2" t="s">
        <v>12</v>
      </c>
      <c r="E2280" s="2"/>
      <c r="F2280" s="2" t="str">
        <f>HYPERLINK("http://m.12365auto.com/zjdy/20200225/121625.shtml","http://m.12365auto.com/zjdy/20200225/121625.shtml")</f>
        <v>http://m.12365auto.com/zjdy/20200225/121625.shtml</v>
      </c>
      <c r="G2280" s="2"/>
      <c r="H2280" s="2" t="s">
        <v>3326</v>
      </c>
      <c r="I2280" s="2" t="s">
        <v>19</v>
      </c>
      <c r="J2280" s="2" t="s">
        <v>12</v>
      </c>
      <c r="K2280" s="2" t="s">
        <v>3327</v>
      </c>
      <c r="L2280" s="2">
        <f t="shared" si="35"/>
        <v>41</v>
      </c>
    </row>
    <row r="2281" spans="1:12" ht="25" customHeight="1">
      <c r="A2281" s="2" t="s">
        <v>12</v>
      </c>
      <c r="B2281" s="2" t="str">
        <f>HYPERLINK("http://m.12365auto.com/zjdy/20200225/121624.shtml","买车时保险怎么买需要买哪些险种？")</f>
        <v>买车时保险怎么买需要买哪些险种？</v>
      </c>
      <c r="C2281" s="2" t="s">
        <v>13</v>
      </c>
      <c r="D2281" s="2" t="s">
        <v>12</v>
      </c>
      <c r="E2281" s="2"/>
      <c r="F2281" s="2" t="str">
        <f>HYPERLINK("http://m.12365auto.com/zjdy/20200225/121624.shtml","http://m.12365auto.com/zjdy/20200225/121624.shtml")</f>
        <v>http://m.12365auto.com/zjdy/20200225/121624.shtml</v>
      </c>
      <c r="G2281" s="2"/>
      <c r="H2281" s="2" t="s">
        <v>3328</v>
      </c>
      <c r="I2281" s="2" t="s">
        <v>19</v>
      </c>
      <c r="J2281" s="2" t="s">
        <v>12</v>
      </c>
      <c r="K2281" s="2" t="s">
        <v>3327</v>
      </c>
      <c r="L2281" s="2">
        <f t="shared" si="35"/>
        <v>8</v>
      </c>
    </row>
    <row r="2282" spans="1:12" ht="25" customHeight="1">
      <c r="A2282" s="2" t="s">
        <v>12</v>
      </c>
      <c r="B2282" s="2" t="str">
        <f>HYPERLINK("http://m.12365auto.com/bbs/postcontent.aspx?tID=195138","保留驾驶的乐趣 四款中型后驱轿车推荐")</f>
        <v>保留驾驶的乐趣 四款中型后驱轿车推荐</v>
      </c>
      <c r="C2282" s="2" t="s">
        <v>13</v>
      </c>
      <c r="D2282" s="2" t="s">
        <v>23</v>
      </c>
      <c r="E2282" s="2"/>
      <c r="F2282" s="2" t="str">
        <f>HYPERLINK("http://m.12365auto.com/bbs/postcontent.aspx?tID=195138","http://m.12365auto.com/bbs/postcontent.aspx?tID=195138")</f>
        <v>http://m.12365auto.com/bbs/postcontent.aspx?tID=195138</v>
      </c>
      <c r="G2282" s="2"/>
      <c r="H2282" s="2" t="s">
        <v>3329</v>
      </c>
      <c r="I2282" s="2" t="s">
        <v>15</v>
      </c>
      <c r="J2282" s="2" t="s">
        <v>683</v>
      </c>
      <c r="K2282" s="2" t="s">
        <v>3330</v>
      </c>
      <c r="L2282" s="2">
        <f t="shared" si="35"/>
        <v>150</v>
      </c>
    </row>
    <row r="2283" spans="1:12" ht="25" customHeight="1">
      <c r="A2283" s="2" t="s">
        <v>12</v>
      </c>
      <c r="B2283" s="2" t="str">
        <f>HYPERLINK("http://m.12365auto.com/bbs/postcontent.aspx?tID=195137","为何只有三菱才玩的动“横置四驱”？")</f>
        <v>为何只有三菱才玩的动“横置四驱”？</v>
      </c>
      <c r="C2283" s="2" t="s">
        <v>13</v>
      </c>
      <c r="D2283" s="2" t="s">
        <v>23</v>
      </c>
      <c r="E2283" s="2"/>
      <c r="F2283" s="2" t="str">
        <f>HYPERLINK("http://m.12365auto.com/bbs/postcontent.aspx?tID=195137","http://m.12365auto.com/bbs/postcontent.aspx?tID=195137")</f>
        <v>http://m.12365auto.com/bbs/postcontent.aspx?tID=195137</v>
      </c>
      <c r="G2283" s="2"/>
      <c r="H2283" s="2" t="s">
        <v>3331</v>
      </c>
      <c r="I2283" s="2" t="s">
        <v>15</v>
      </c>
      <c r="J2283" s="2" t="s">
        <v>683</v>
      </c>
      <c r="K2283" s="2" t="s">
        <v>3330</v>
      </c>
      <c r="L2283" s="2">
        <f t="shared" si="35"/>
        <v>150</v>
      </c>
    </row>
    <row r="2284" spans="1:12" ht="25" customHeight="1">
      <c r="A2284" s="2" t="s">
        <v>12</v>
      </c>
      <c r="B2284" s="2" t="str">
        <f>HYPERLINK("http://bbs.12365auto.com/postcontent.aspx?tId=195138","保留驾驶的乐趣 四款中型后驱轿车推荐")</f>
        <v>保留驾驶的乐趣 四款中型后驱轿车推荐</v>
      </c>
      <c r="C2284" s="2" t="s">
        <v>13</v>
      </c>
      <c r="D2284" s="2" t="s">
        <v>12</v>
      </c>
      <c r="E2284" s="2" t="s">
        <v>27</v>
      </c>
      <c r="F2284" s="2" t="str">
        <f>HYPERLINK("http://bbs.12365auto.com/postcontent.aspx?tId=195138","http://bbs.12365auto.com/postcontent.aspx?tId=195138")</f>
        <v>http://bbs.12365auto.com/postcontent.aspx?tId=195138</v>
      </c>
      <c r="G2284" s="2"/>
      <c r="H2284" s="2" t="s">
        <v>3329</v>
      </c>
      <c r="I2284" s="2" t="s">
        <v>15</v>
      </c>
      <c r="J2284" s="2" t="s">
        <v>683</v>
      </c>
      <c r="K2284" s="2" t="s">
        <v>3330</v>
      </c>
      <c r="L2284" s="2">
        <f t="shared" si="35"/>
        <v>150</v>
      </c>
    </row>
    <row r="2285" spans="1:12" ht="25" customHeight="1">
      <c r="A2285" s="2" t="s">
        <v>12</v>
      </c>
      <c r="B2285" s="2" t="str">
        <f>HYPERLINK("http://bbs.12365auto.com/postcontent.aspx?tId=195137","为何只有三菱才玩的动“横置四驱”？")</f>
        <v>为何只有三菱才玩的动“横置四驱”？</v>
      </c>
      <c r="C2285" s="2" t="s">
        <v>13</v>
      </c>
      <c r="D2285" s="2" t="s">
        <v>12</v>
      </c>
      <c r="E2285" s="2" t="s">
        <v>27</v>
      </c>
      <c r="F2285" s="2" t="str">
        <f>HYPERLINK("http://bbs.12365auto.com/postcontent.aspx?tId=195137","http://bbs.12365auto.com/postcontent.aspx?tId=195137")</f>
        <v>http://bbs.12365auto.com/postcontent.aspx?tId=195137</v>
      </c>
      <c r="G2285" s="2"/>
      <c r="H2285" s="2" t="s">
        <v>3331</v>
      </c>
      <c r="I2285" s="2" t="s">
        <v>15</v>
      </c>
      <c r="J2285" s="2" t="s">
        <v>683</v>
      </c>
      <c r="K2285" s="2" t="s">
        <v>3330</v>
      </c>
      <c r="L2285" s="2">
        <f t="shared" si="35"/>
        <v>150</v>
      </c>
    </row>
    <row r="2286" spans="1:12" ht="25" customHeight="1">
      <c r="A2286" s="2" t="s">
        <v>12</v>
      </c>
      <c r="B2286" s="2" t="str">
        <f>HYPERLINK("http://bbs.12365auto.com/postcontent.aspx?tID=195138","保留驾驶的乐趣 四款中型后驱轿车推荐")</f>
        <v>保留驾驶的乐趣 四款中型后驱轿车推荐</v>
      </c>
      <c r="C2286" s="2" t="s">
        <v>13</v>
      </c>
      <c r="D2286" s="2" t="s">
        <v>12</v>
      </c>
      <c r="E2286" s="2" t="s">
        <v>28</v>
      </c>
      <c r="F2286" s="2" t="str">
        <f>HYPERLINK("http://bbs.12365auto.com/postcontent.aspx?tID=195138","http://bbs.12365auto.com/postcontent.aspx?tID=195138")</f>
        <v>http://bbs.12365auto.com/postcontent.aspx?tID=195138</v>
      </c>
      <c r="G2286" s="2"/>
      <c r="H2286" s="2" t="s">
        <v>3332</v>
      </c>
      <c r="I2286" s="2" t="s">
        <v>15</v>
      </c>
      <c r="J2286" s="2" t="s">
        <v>683</v>
      </c>
      <c r="K2286" s="2" t="s">
        <v>3330</v>
      </c>
      <c r="L2286" s="2">
        <f t="shared" si="35"/>
        <v>150</v>
      </c>
    </row>
    <row r="2287" spans="1:12" ht="25" customHeight="1">
      <c r="A2287" s="2" t="s">
        <v>12</v>
      </c>
      <c r="B2287" s="2" t="str">
        <f>HYPERLINK("http://bbs.12365auto.com/postcontent.aspx?tID=195137","为何只有三菱才玩的动“横置四驱”？")</f>
        <v>为何只有三菱才玩的动“横置四驱”？</v>
      </c>
      <c r="C2287" s="2" t="s">
        <v>13</v>
      </c>
      <c r="D2287" s="2" t="s">
        <v>12</v>
      </c>
      <c r="E2287" s="2" t="s">
        <v>28</v>
      </c>
      <c r="F2287" s="2" t="str">
        <f>HYPERLINK("http://bbs.12365auto.com/postcontent.aspx?tID=195137","http://bbs.12365auto.com/postcontent.aspx?tID=195137")</f>
        <v>http://bbs.12365auto.com/postcontent.aspx?tID=195137</v>
      </c>
      <c r="G2287" s="2"/>
      <c r="H2287" s="2" t="s">
        <v>3333</v>
      </c>
      <c r="I2287" s="2" t="s">
        <v>15</v>
      </c>
      <c r="J2287" s="2" t="s">
        <v>683</v>
      </c>
      <c r="K2287" s="2" t="s">
        <v>3330</v>
      </c>
      <c r="L2287" s="2">
        <f t="shared" si="35"/>
        <v>150</v>
      </c>
    </row>
    <row r="2288" spans="1:12" ht="25" customHeight="1">
      <c r="A2288" s="2" t="s">
        <v>12</v>
      </c>
      <c r="B2288" s="2" t="str">
        <f>HYPERLINK("http://m.12365auto.com/bbs/postcontent.aspx?tID=195136","开车慢也招车祸？拒做“马路杀手” 这几点要谨记")</f>
        <v>开车慢也招车祸？拒做“马路杀手” 这几点要谨记</v>
      </c>
      <c r="C2288" s="2" t="s">
        <v>13</v>
      </c>
      <c r="D2288" s="2" t="s">
        <v>23</v>
      </c>
      <c r="E2288" s="2"/>
      <c r="F2288" s="2" t="str">
        <f>HYPERLINK("http://m.12365auto.com/bbs/postcontent.aspx?tID=195136","http://m.12365auto.com/bbs/postcontent.aspx?tID=195136")</f>
        <v>http://m.12365auto.com/bbs/postcontent.aspx?tID=195136</v>
      </c>
      <c r="G2288" s="2"/>
      <c r="H2288" s="2" t="s">
        <v>3334</v>
      </c>
      <c r="I2288" s="2" t="s">
        <v>15</v>
      </c>
      <c r="J2288" s="2" t="s">
        <v>3335</v>
      </c>
      <c r="K2288" s="2" t="s">
        <v>3336</v>
      </c>
      <c r="L2288" s="2">
        <f t="shared" si="35"/>
        <v>150</v>
      </c>
    </row>
    <row r="2289" spans="1:12" ht="25" customHeight="1">
      <c r="A2289" s="2" t="s">
        <v>12</v>
      </c>
      <c r="B2289" s="2" t="str">
        <f>HYPERLINK("http://bbs.12365auto.com/postcontent.aspx?tId=195136","开车慢也招车祸？拒做“马路杀手” 这几点要谨记")</f>
        <v>开车慢也招车祸？拒做“马路杀手” 这几点要谨记</v>
      </c>
      <c r="C2289" s="2" t="s">
        <v>13</v>
      </c>
      <c r="D2289" s="2" t="s">
        <v>12</v>
      </c>
      <c r="E2289" s="2" t="s">
        <v>27</v>
      </c>
      <c r="F2289" s="2" t="str">
        <f>HYPERLINK("http://bbs.12365auto.com/postcontent.aspx?tId=195136","http://bbs.12365auto.com/postcontent.aspx?tId=195136")</f>
        <v>http://bbs.12365auto.com/postcontent.aspx?tId=195136</v>
      </c>
      <c r="G2289" s="2"/>
      <c r="H2289" s="2" t="s">
        <v>3334</v>
      </c>
      <c r="I2289" s="2" t="s">
        <v>15</v>
      </c>
      <c r="J2289" s="2" t="s">
        <v>3335</v>
      </c>
      <c r="K2289" s="2" t="s">
        <v>3336</v>
      </c>
      <c r="L2289" s="2">
        <f t="shared" si="35"/>
        <v>150</v>
      </c>
    </row>
    <row r="2290" spans="1:12" ht="25" customHeight="1">
      <c r="A2290" s="2" t="s">
        <v>12</v>
      </c>
      <c r="B2290" s="2" t="str">
        <f>HYPERLINK("http://bbs.12365auto.com/postcontent.aspx?tID=195136","开车慢也招车祸？拒做“马路杀手” 这几点要谨记")</f>
        <v>开车慢也招车祸？拒做“马路杀手” 这几点要谨记</v>
      </c>
      <c r="C2290" s="2" t="s">
        <v>13</v>
      </c>
      <c r="D2290" s="2" t="s">
        <v>12</v>
      </c>
      <c r="E2290" s="2" t="s">
        <v>28</v>
      </c>
      <c r="F2290" s="2" t="str">
        <f>HYPERLINK("http://bbs.12365auto.com/postcontent.aspx?tID=195136","http://bbs.12365auto.com/postcontent.aspx?tID=195136")</f>
        <v>http://bbs.12365auto.com/postcontent.aspx?tID=195136</v>
      </c>
      <c r="G2290" s="2"/>
      <c r="H2290" s="2" t="s">
        <v>3337</v>
      </c>
      <c r="I2290" s="2" t="s">
        <v>15</v>
      </c>
      <c r="J2290" s="2" t="s">
        <v>3335</v>
      </c>
      <c r="K2290" s="2" t="s">
        <v>3336</v>
      </c>
      <c r="L2290" s="2">
        <f t="shared" si="35"/>
        <v>150</v>
      </c>
    </row>
    <row r="2291" spans="1:12" ht="25" customHeight="1">
      <c r="A2291" s="2" t="s">
        <v>12</v>
      </c>
      <c r="B2291" s="2" t="str">
        <f>HYPERLINK("http://m.12365auto.com/zjdy/20200225/121623.shtml","奔驰C200起步时踩油门无法提速为什么？")</f>
        <v>奔驰C200起步时踩油门无法提速为什么？</v>
      </c>
      <c r="C2291" s="2" t="s">
        <v>13</v>
      </c>
      <c r="D2291" s="2" t="s">
        <v>12</v>
      </c>
      <c r="E2291" s="2"/>
      <c r="F2291" s="2" t="str">
        <f>HYPERLINK("http://m.12365auto.com/zjdy/20200225/121623.shtml","http://m.12365auto.com/zjdy/20200225/121623.shtml")</f>
        <v>http://m.12365auto.com/zjdy/20200225/121623.shtml</v>
      </c>
      <c r="G2291" s="2"/>
      <c r="H2291" s="2" t="s">
        <v>3338</v>
      </c>
      <c r="I2291" s="2" t="s">
        <v>19</v>
      </c>
      <c r="J2291" s="2" t="s">
        <v>12</v>
      </c>
      <c r="K2291" s="2" t="s">
        <v>3339</v>
      </c>
      <c r="L2291" s="2">
        <f t="shared" si="35"/>
        <v>150</v>
      </c>
    </row>
    <row r="2292" spans="1:12" ht="25" customHeight="1">
      <c r="A2292" s="2" t="s">
        <v>12</v>
      </c>
      <c r="B2292" s="2" t="str">
        <f>HYPERLINK("http://m.12365auto.com/bbs/postcontent.aspx?tID=195135","TopGear评选的十佳家用车 哪款最适合你？")</f>
        <v>TopGear评选的十佳家用车 哪款最适合你？</v>
      </c>
      <c r="C2292" s="2" t="s">
        <v>13</v>
      </c>
      <c r="D2292" s="2" t="s">
        <v>23</v>
      </c>
      <c r="E2292" s="2"/>
      <c r="F2292" s="2" t="str">
        <f>HYPERLINK("http://m.12365auto.com/bbs/postcontent.aspx?tID=195135","http://m.12365auto.com/bbs/postcontent.aspx?tID=195135")</f>
        <v>http://m.12365auto.com/bbs/postcontent.aspx?tID=195135</v>
      </c>
      <c r="G2292" s="2"/>
      <c r="H2292" s="2" t="s">
        <v>3340</v>
      </c>
      <c r="I2292" s="2" t="s">
        <v>15</v>
      </c>
      <c r="J2292" s="2" t="s">
        <v>3335</v>
      </c>
      <c r="K2292" s="2" t="s">
        <v>3341</v>
      </c>
      <c r="L2292" s="2">
        <f t="shared" si="35"/>
        <v>150</v>
      </c>
    </row>
    <row r="2293" spans="1:12" ht="25" customHeight="1">
      <c r="A2293" s="2" t="s">
        <v>12</v>
      </c>
      <c r="B2293" s="2" t="str">
        <f>HYPERLINK("http://bbs.12365auto.com/postcontent.aspx?tId=195135","TopGear评选的十佳家用车 哪款最适合你？")</f>
        <v>TopGear评选的十佳家用车 哪款最适合你？</v>
      </c>
      <c r="C2293" s="2" t="s">
        <v>13</v>
      </c>
      <c r="D2293" s="2" t="s">
        <v>12</v>
      </c>
      <c r="E2293" s="2" t="s">
        <v>27</v>
      </c>
      <c r="F2293" s="2" t="str">
        <f>HYPERLINK("http://bbs.12365auto.com/postcontent.aspx?tId=195135","http://bbs.12365auto.com/postcontent.aspx?tId=195135")</f>
        <v>http://bbs.12365auto.com/postcontent.aspx?tId=195135</v>
      </c>
      <c r="G2293" s="2"/>
      <c r="H2293" s="2" t="s">
        <v>3340</v>
      </c>
      <c r="I2293" s="2" t="s">
        <v>15</v>
      </c>
      <c r="J2293" s="2" t="s">
        <v>3335</v>
      </c>
      <c r="K2293" s="2" t="s">
        <v>3341</v>
      </c>
      <c r="L2293" s="2">
        <f t="shared" si="35"/>
        <v>150</v>
      </c>
    </row>
    <row r="2294" spans="1:12" ht="25" customHeight="1">
      <c r="A2294" s="2" t="s">
        <v>12</v>
      </c>
      <c r="B2294" s="2" t="str">
        <f>HYPERLINK("http://bbs.12365auto.com/postcontent.aspx?tID=195135","TopGear评选的十佳家用车 哪款最适合你？")</f>
        <v>TopGear评选的十佳家用车 哪款最适合你？</v>
      </c>
      <c r="C2294" s="2" t="s">
        <v>13</v>
      </c>
      <c r="D2294" s="2" t="s">
        <v>12</v>
      </c>
      <c r="E2294" s="2" t="s">
        <v>28</v>
      </c>
      <c r="F2294" s="2" t="str">
        <f>HYPERLINK("http://bbs.12365auto.com/postcontent.aspx?tID=195135","http://bbs.12365auto.com/postcontent.aspx?tID=195135")</f>
        <v>http://bbs.12365auto.com/postcontent.aspx?tID=195135</v>
      </c>
      <c r="G2294" s="2"/>
      <c r="H2294" s="2" t="s">
        <v>3342</v>
      </c>
      <c r="I2294" s="2" t="s">
        <v>15</v>
      </c>
      <c r="J2294" s="2" t="s">
        <v>3335</v>
      </c>
      <c r="K2294" s="2" t="s">
        <v>3341</v>
      </c>
      <c r="L2294" s="2">
        <f t="shared" si="35"/>
        <v>150</v>
      </c>
    </row>
    <row r="2295" spans="1:12" ht="25" customHeight="1">
      <c r="A2295" s="2" t="s">
        <v>12</v>
      </c>
      <c r="B2295" s="2" t="str">
        <f>HYPERLINK("http://www.12365auto.com/zlts/20200225/448638.shtml","长安睿骋发动机抖动 P挡卡死 车内异味")</f>
        <v>长安睿骋发动机抖动 P挡卡死 车内异味</v>
      </c>
      <c r="C2295" s="2" t="s">
        <v>13</v>
      </c>
      <c r="D2295" s="2" t="s">
        <v>12</v>
      </c>
      <c r="E2295" s="2" t="s">
        <v>17</v>
      </c>
      <c r="F2295" s="2" t="str">
        <f>HYPERLINK("http://www.12365auto.com/zlts/20200225/448638.shtml","http://www.12365auto.com/zlts/20200225/448638.shtml")</f>
        <v>http://www.12365auto.com/zlts/20200225/448638.shtml</v>
      </c>
      <c r="G2295" s="2"/>
      <c r="H2295" s="2" t="s">
        <v>3343</v>
      </c>
      <c r="I2295" s="2" t="s">
        <v>19</v>
      </c>
      <c r="J2295" s="2" t="s">
        <v>12</v>
      </c>
      <c r="K2295" s="2" t="s">
        <v>3344</v>
      </c>
      <c r="L2295" s="2">
        <f t="shared" si="35"/>
        <v>150</v>
      </c>
    </row>
    <row r="2296" spans="1:12" ht="25" customHeight="1">
      <c r="A2296" s="2" t="s">
        <v>12</v>
      </c>
      <c r="B2296" s="2" t="str">
        <f>HYPERLINK("http://m.12365auto.com/bbs/postcontent.aspx?tID=195133","喜欢大马力性能车的进来：近期性能狠货集中亮相")</f>
        <v>喜欢大马力性能车的进来：近期性能狠货集中亮相</v>
      </c>
      <c r="C2296" s="2" t="s">
        <v>13</v>
      </c>
      <c r="D2296" s="2" t="s">
        <v>23</v>
      </c>
      <c r="E2296" s="2"/>
      <c r="F2296" s="2" t="str">
        <f>HYPERLINK("http://m.12365auto.com/bbs/postcontent.aspx?tID=195133","http://m.12365auto.com/bbs/postcontent.aspx?tID=195133")</f>
        <v>http://m.12365auto.com/bbs/postcontent.aspx?tID=195133</v>
      </c>
      <c r="G2296" s="2"/>
      <c r="H2296" s="2" t="s">
        <v>3345</v>
      </c>
      <c r="I2296" s="2" t="s">
        <v>15</v>
      </c>
      <c r="J2296" s="2" t="s">
        <v>3346</v>
      </c>
      <c r="K2296" s="2" t="s">
        <v>3347</v>
      </c>
      <c r="L2296" s="2">
        <f t="shared" si="35"/>
        <v>150</v>
      </c>
    </row>
    <row r="2297" spans="1:12" ht="25" customHeight="1">
      <c r="A2297" s="2" t="s">
        <v>12</v>
      </c>
      <c r="B2297" s="2" t="str">
        <f>HYPERLINK("http://m.12365auto.com/bbs/postcontent.aspx?tID=195134","落寞的经典 在无限的遗憾中走下舞台")</f>
        <v>落寞的经典 在无限的遗憾中走下舞台</v>
      </c>
      <c r="C2297" s="2" t="s">
        <v>13</v>
      </c>
      <c r="D2297" s="2" t="s">
        <v>23</v>
      </c>
      <c r="E2297" s="2"/>
      <c r="F2297" s="2" t="str">
        <f>HYPERLINK("http://m.12365auto.com/bbs/postcontent.aspx?tID=195134","http://m.12365auto.com/bbs/postcontent.aspx?tID=195134")</f>
        <v>http://m.12365auto.com/bbs/postcontent.aspx?tID=195134</v>
      </c>
      <c r="G2297" s="2"/>
      <c r="H2297" s="2" t="s">
        <v>3348</v>
      </c>
      <c r="I2297" s="2" t="s">
        <v>15</v>
      </c>
      <c r="J2297" s="2" t="s">
        <v>3346</v>
      </c>
      <c r="K2297" s="2" t="s">
        <v>3347</v>
      </c>
      <c r="L2297" s="2">
        <f t="shared" si="35"/>
        <v>150</v>
      </c>
    </row>
    <row r="2298" spans="1:12" ht="25" customHeight="1">
      <c r="A2298" s="2" t="s">
        <v>12</v>
      </c>
      <c r="B2298" s="2" t="str">
        <f>HYPERLINK("http://bbs.12365auto.com/postcontent.aspx?tId=195133","喜欢大马力性能车的进来：近期性能狠货集中亮相")</f>
        <v>喜欢大马力性能车的进来：近期性能狠货集中亮相</v>
      </c>
      <c r="C2298" s="2" t="s">
        <v>13</v>
      </c>
      <c r="D2298" s="2" t="s">
        <v>12</v>
      </c>
      <c r="E2298" s="2" t="s">
        <v>27</v>
      </c>
      <c r="F2298" s="2" t="str">
        <f>HYPERLINK("http://bbs.12365auto.com/postcontent.aspx?tId=195133","http://bbs.12365auto.com/postcontent.aspx?tId=195133")</f>
        <v>http://bbs.12365auto.com/postcontent.aspx?tId=195133</v>
      </c>
      <c r="G2298" s="2"/>
      <c r="H2298" s="2" t="s">
        <v>3345</v>
      </c>
      <c r="I2298" s="2" t="s">
        <v>15</v>
      </c>
      <c r="J2298" s="2" t="s">
        <v>3346</v>
      </c>
      <c r="K2298" s="2" t="s">
        <v>3347</v>
      </c>
      <c r="L2298" s="2">
        <f t="shared" si="35"/>
        <v>150</v>
      </c>
    </row>
    <row r="2299" spans="1:12" ht="25" customHeight="1">
      <c r="A2299" s="2" t="s">
        <v>12</v>
      </c>
      <c r="B2299" s="2" t="str">
        <f>HYPERLINK("http://bbs.12365auto.com/postcontent.aspx?tId=195134","落寞的经典 在无限的遗憾中走下舞台")</f>
        <v>落寞的经典 在无限的遗憾中走下舞台</v>
      </c>
      <c r="C2299" s="2" t="s">
        <v>13</v>
      </c>
      <c r="D2299" s="2" t="s">
        <v>12</v>
      </c>
      <c r="E2299" s="2" t="s">
        <v>27</v>
      </c>
      <c r="F2299" s="2" t="str">
        <f>HYPERLINK("http://bbs.12365auto.com/postcontent.aspx?tId=195134","http://bbs.12365auto.com/postcontent.aspx?tId=195134")</f>
        <v>http://bbs.12365auto.com/postcontent.aspx?tId=195134</v>
      </c>
      <c r="G2299" s="2"/>
      <c r="H2299" s="2" t="s">
        <v>3348</v>
      </c>
      <c r="I2299" s="2" t="s">
        <v>15</v>
      </c>
      <c r="J2299" s="2" t="s">
        <v>3346</v>
      </c>
      <c r="K2299" s="2" t="s">
        <v>3347</v>
      </c>
      <c r="L2299" s="2">
        <f t="shared" si="35"/>
        <v>150</v>
      </c>
    </row>
    <row r="2300" spans="1:12" ht="25" customHeight="1">
      <c r="A2300" s="2" t="s">
        <v>12</v>
      </c>
      <c r="B2300" s="2" t="str">
        <f>HYPERLINK("http://bbs.12365auto.com/postcontent.aspx?tID=195134","落寞的经典 在无限的遗憾中走下舞台")</f>
        <v>落寞的经典 在无限的遗憾中走下舞台</v>
      </c>
      <c r="C2300" s="2" t="s">
        <v>13</v>
      </c>
      <c r="D2300" s="2" t="s">
        <v>12</v>
      </c>
      <c r="E2300" s="2" t="s">
        <v>28</v>
      </c>
      <c r="F2300" s="2" t="str">
        <f>HYPERLINK("http://bbs.12365auto.com/postcontent.aspx?tID=195134","http://bbs.12365auto.com/postcontent.aspx?tID=195134")</f>
        <v>http://bbs.12365auto.com/postcontent.aspx?tID=195134</v>
      </c>
      <c r="G2300" s="2"/>
      <c r="H2300" s="2" t="s">
        <v>3349</v>
      </c>
      <c r="I2300" s="2" t="s">
        <v>15</v>
      </c>
      <c r="J2300" s="2" t="s">
        <v>3346</v>
      </c>
      <c r="K2300" s="2" t="s">
        <v>3347</v>
      </c>
      <c r="L2300" s="2">
        <f t="shared" si="35"/>
        <v>150</v>
      </c>
    </row>
    <row r="2301" spans="1:12" ht="25" customHeight="1">
      <c r="A2301" s="2" t="s">
        <v>12</v>
      </c>
      <c r="B2301" s="2" t="str">
        <f>HYPERLINK("http://bbs.12365auto.com/postcontent.aspx?tID=195133","喜欢大马力性能车的进来：近期性能狠货集中亮相")</f>
        <v>喜欢大马力性能车的进来：近期性能狠货集中亮相</v>
      </c>
      <c r="C2301" s="2" t="s">
        <v>13</v>
      </c>
      <c r="D2301" s="2" t="s">
        <v>12</v>
      </c>
      <c r="E2301" s="2" t="s">
        <v>28</v>
      </c>
      <c r="F2301" s="2" t="str">
        <f>HYPERLINK("http://bbs.12365auto.com/postcontent.aspx?tID=195133","http://bbs.12365auto.com/postcontent.aspx?tID=195133")</f>
        <v>http://bbs.12365auto.com/postcontent.aspx?tID=195133</v>
      </c>
      <c r="G2301" s="2"/>
      <c r="H2301" s="2" t="s">
        <v>3350</v>
      </c>
      <c r="I2301" s="2" t="s">
        <v>15</v>
      </c>
      <c r="J2301" s="2" t="s">
        <v>3346</v>
      </c>
      <c r="K2301" s="2" t="s">
        <v>3347</v>
      </c>
      <c r="L2301" s="2">
        <f t="shared" si="35"/>
        <v>150</v>
      </c>
    </row>
    <row r="2302" spans="1:12" ht="25" customHeight="1">
      <c r="A2302" s="2" t="s">
        <v>12</v>
      </c>
      <c r="B2302" s="2" t="str">
        <f>HYPERLINK("http://m.12365auto.com/zjdy/20200225/121622.shtml","丰田C-HR使用哪个品牌的轮胎性价比高？")</f>
        <v>丰田C-HR使用哪个品牌的轮胎性价比高？</v>
      </c>
      <c r="C2302" s="2" t="s">
        <v>13</v>
      </c>
      <c r="D2302" s="2" t="s">
        <v>12</v>
      </c>
      <c r="E2302" s="2"/>
      <c r="F2302" s="2" t="str">
        <f>HYPERLINK("http://m.12365auto.com/zjdy/20200225/121622.shtml","http://m.12365auto.com/zjdy/20200225/121622.shtml")</f>
        <v>http://m.12365auto.com/zjdy/20200225/121622.shtml</v>
      </c>
      <c r="G2302" s="2"/>
      <c r="H2302" s="2" t="s">
        <v>3351</v>
      </c>
      <c r="I2302" s="2" t="s">
        <v>19</v>
      </c>
      <c r="J2302" s="2" t="s">
        <v>12</v>
      </c>
      <c r="K2302" s="2" t="s">
        <v>3352</v>
      </c>
      <c r="L2302" s="2">
        <f t="shared" si="35"/>
        <v>81</v>
      </c>
    </row>
    <row r="2303" spans="1:12" ht="25" customHeight="1">
      <c r="A2303" s="2" t="s">
        <v>12</v>
      </c>
      <c r="B2303" s="2" t="str">
        <f>HYPERLINK("http://m.12365auto.com/xcdg/20200225/419523.shtml","改装党福利 曝新宝马1系AC预览版/套件加身")</f>
        <v>改装党福利 曝新宝马1系AC预览版/套件加身</v>
      </c>
      <c r="C2303" s="2" t="s">
        <v>13</v>
      </c>
      <c r="D2303" s="2" t="s">
        <v>12</v>
      </c>
      <c r="E2303" s="2"/>
      <c r="F2303" s="2" t="str">
        <f>HYPERLINK("http://m.12365auto.com/xcdg/20200225/419523.shtml","http://m.12365auto.com/xcdg/20200225/419523.shtml")</f>
        <v>http://m.12365auto.com/xcdg/20200225/419523.shtml</v>
      </c>
      <c r="G2303" s="2"/>
      <c r="H2303" s="2" t="s">
        <v>3353</v>
      </c>
      <c r="I2303" s="2" t="s">
        <v>19</v>
      </c>
      <c r="J2303" s="2" t="s">
        <v>1076</v>
      </c>
      <c r="K2303" s="2" t="s">
        <v>3354</v>
      </c>
      <c r="L2303" s="2">
        <f t="shared" si="35"/>
        <v>150</v>
      </c>
    </row>
    <row r="2304" spans="1:12" ht="25" customHeight="1">
      <c r="A2304" s="2" t="s">
        <v>12</v>
      </c>
      <c r="B2304" s="2" t="str">
        <f>HYPERLINK("http://www.12365auto.com/xcdg/20200225/419523.shtml","改装党福利 曝新宝马1系AC预览版/套件加身")</f>
        <v>改装党福利 曝新宝马1系AC预览版/套件加身</v>
      </c>
      <c r="C2304" s="2" t="s">
        <v>13</v>
      </c>
      <c r="D2304" s="2" t="s">
        <v>12</v>
      </c>
      <c r="E2304" s="2" t="s">
        <v>216</v>
      </c>
      <c r="F2304" s="2" t="str">
        <f>HYPERLINK("http://www.12365auto.com/xcdg/20200225/419523.shtml","http://www.12365auto.com/xcdg/20200225/419523.shtml")</f>
        <v>http://www.12365auto.com/xcdg/20200225/419523.shtml</v>
      </c>
      <c r="G2304" s="2"/>
      <c r="H2304" s="2" t="s">
        <v>3355</v>
      </c>
      <c r="I2304" s="2" t="s">
        <v>15</v>
      </c>
      <c r="J2304" s="2" t="s">
        <v>12</v>
      </c>
      <c r="K2304" s="2" t="s">
        <v>3354</v>
      </c>
      <c r="L2304" s="2">
        <f t="shared" si="35"/>
        <v>150</v>
      </c>
    </row>
    <row r="2305" spans="1:12" ht="25" customHeight="1">
      <c r="A2305" s="2" t="s">
        <v>12</v>
      </c>
      <c r="B2305" s="2" t="str">
        <f>HYPERLINK("http://m.12365auto.com/xcdg/20200225/419522.shtml","回到主流阵营但默默无闻 简析北京现代胜达")</f>
        <v>回到主流阵营但默默无闻 简析北京现代胜达</v>
      </c>
      <c r="C2305" s="2" t="s">
        <v>13</v>
      </c>
      <c r="D2305" s="2" t="s">
        <v>12</v>
      </c>
      <c r="E2305" s="2"/>
      <c r="F2305" s="2" t="str">
        <f>HYPERLINK("http://m.12365auto.com/xcdg/20200225/419522.shtml","http://m.12365auto.com/xcdg/20200225/419522.shtml")</f>
        <v>http://m.12365auto.com/xcdg/20200225/419522.shtml</v>
      </c>
      <c r="G2305" s="2"/>
      <c r="H2305" s="2" t="s">
        <v>3356</v>
      </c>
      <c r="I2305" s="2" t="s">
        <v>19</v>
      </c>
      <c r="J2305" s="2" t="s">
        <v>849</v>
      </c>
      <c r="K2305" s="2" t="s">
        <v>3357</v>
      </c>
      <c r="L2305" s="2">
        <f t="shared" si="35"/>
        <v>150</v>
      </c>
    </row>
    <row r="2306" spans="1:12" ht="25" customHeight="1">
      <c r="A2306" s="2" t="s">
        <v>12</v>
      </c>
      <c r="B2306" s="2" t="str">
        <f>HYPERLINK("http://m.12365auto.com/xcdg/20200225/419521.shtml","2730mm的轴距了解一下 简析广汽本田凌派")</f>
        <v>2730mm的轴距了解一下 简析广汽本田凌派</v>
      </c>
      <c r="C2306" s="2" t="s">
        <v>13</v>
      </c>
      <c r="D2306" s="2" t="s">
        <v>12</v>
      </c>
      <c r="E2306" s="2"/>
      <c r="F2306" s="2" t="str">
        <f>HYPERLINK("http://m.12365auto.com/xcdg/20200225/419521.shtml","http://m.12365auto.com/xcdg/20200225/419521.shtml")</f>
        <v>http://m.12365auto.com/xcdg/20200225/419521.shtml</v>
      </c>
      <c r="G2306" s="2"/>
      <c r="H2306" s="2" t="s">
        <v>3358</v>
      </c>
      <c r="I2306" s="2" t="s">
        <v>19</v>
      </c>
      <c r="J2306" s="2" t="s">
        <v>849</v>
      </c>
      <c r="K2306" s="2" t="s">
        <v>3359</v>
      </c>
      <c r="L2306" s="2">
        <f t="shared" si="35"/>
        <v>150</v>
      </c>
    </row>
    <row r="2307" spans="1:12" ht="25" customHeight="1">
      <c r="A2307" s="2" t="s">
        <v>12</v>
      </c>
      <c r="B2307" s="2" t="str">
        <f>HYPERLINK("http://www.12365auto.com/zlts/20200225/448636.shtml","东风风光370燃油泵不供油故障灯亮")</f>
        <v>东风风光370燃油泵不供油故障灯亮</v>
      </c>
      <c r="C2307" s="2" t="s">
        <v>13</v>
      </c>
      <c r="D2307" s="2" t="s">
        <v>12</v>
      </c>
      <c r="E2307" s="2" t="s">
        <v>17</v>
      </c>
      <c r="F2307" s="2" t="str">
        <f>HYPERLINK("http://www.12365auto.com/zlts/20200225/448636.shtml","http://www.12365auto.com/zlts/20200225/448636.shtml")</f>
        <v>http://www.12365auto.com/zlts/20200225/448636.shtml</v>
      </c>
      <c r="G2307" s="2"/>
      <c r="H2307" s="2" t="s">
        <v>3360</v>
      </c>
      <c r="I2307" s="2" t="s">
        <v>15</v>
      </c>
      <c r="J2307" s="2" t="s">
        <v>12</v>
      </c>
      <c r="K2307" s="2" t="s">
        <v>3361</v>
      </c>
      <c r="L2307" s="2">
        <f t="shared" ref="L2307:L2370" si="36">LEN(H2307)</f>
        <v>150</v>
      </c>
    </row>
    <row r="2308" spans="1:12" ht="25" customHeight="1">
      <c r="A2308" s="2" t="s">
        <v>12</v>
      </c>
      <c r="B2308" s="2" t="str">
        <f>HYPERLINK("http://www.12365auto.com/news/20200225/419520.shtml","为量产奠基 百度Apollo平台获车规认证")</f>
        <v>为量产奠基 百度Apollo平台获车规认证</v>
      </c>
      <c r="C2308" s="2" t="s">
        <v>13</v>
      </c>
      <c r="D2308" s="2" t="s">
        <v>12</v>
      </c>
      <c r="E2308" s="2" t="s">
        <v>276</v>
      </c>
      <c r="F2308" s="2" t="str">
        <f>HYPERLINK("http://www.12365auto.com/news/20200225/419520.shtml","http://www.12365auto.com/news/20200225/419520.shtml")</f>
        <v>http://www.12365auto.com/news/20200225/419520.shtml</v>
      </c>
      <c r="G2308" s="2"/>
      <c r="H2308" s="2" t="s">
        <v>3362</v>
      </c>
      <c r="I2308" s="2" t="s">
        <v>15</v>
      </c>
      <c r="J2308" s="2" t="s">
        <v>12</v>
      </c>
      <c r="K2308" s="2" t="s">
        <v>3361</v>
      </c>
      <c r="L2308" s="2">
        <f t="shared" si="36"/>
        <v>150</v>
      </c>
    </row>
    <row r="2309" spans="1:12" ht="25" customHeight="1">
      <c r="A2309" s="2" t="s">
        <v>12</v>
      </c>
      <c r="B2309" s="2" t="str">
        <f>HYPERLINK("http://www.12365auto.com/zlts/20200225/448635.shtml","江淮瑞风S3前后轮胎偏磨维修未解决")</f>
        <v>江淮瑞风S3前后轮胎偏磨维修未解决</v>
      </c>
      <c r="C2309" s="2" t="s">
        <v>13</v>
      </c>
      <c r="D2309" s="2" t="s">
        <v>12</v>
      </c>
      <c r="E2309" s="2" t="s">
        <v>17</v>
      </c>
      <c r="F2309" s="2" t="str">
        <f>HYPERLINK("http://www.12365auto.com/zlts/20200225/448635.shtml","http://www.12365auto.com/zlts/20200225/448635.shtml")</f>
        <v>http://www.12365auto.com/zlts/20200225/448635.shtml</v>
      </c>
      <c r="G2309" s="2"/>
      <c r="H2309" s="2" t="s">
        <v>3363</v>
      </c>
      <c r="I2309" s="2" t="s">
        <v>19</v>
      </c>
      <c r="J2309" s="2" t="s">
        <v>12</v>
      </c>
      <c r="K2309" s="2" t="s">
        <v>3361</v>
      </c>
      <c r="L2309" s="2">
        <f t="shared" si="36"/>
        <v>150</v>
      </c>
    </row>
    <row r="2310" spans="1:12" ht="25" customHeight="1">
      <c r="A2310" s="2" t="s">
        <v>12</v>
      </c>
      <c r="B2310" s="2" t="str">
        <f>HYPERLINK("http://m.12365auto.com/news/20200225/419520.shtml","为量产奠基 百度Apollo平台获车规认证")</f>
        <v>为量产奠基 百度Apollo平台获车规认证</v>
      </c>
      <c r="C2310" s="2" t="s">
        <v>13</v>
      </c>
      <c r="D2310" s="2" t="s">
        <v>12</v>
      </c>
      <c r="E2310" s="2"/>
      <c r="F2310" s="2" t="str">
        <f>HYPERLINK("http://m.12365auto.com/news/20200225/419520.shtml","http://m.12365auto.com/news/20200225/419520.shtml")</f>
        <v>http://m.12365auto.com/news/20200225/419520.shtml</v>
      </c>
      <c r="G2310" s="2"/>
      <c r="H2310" s="2" t="s">
        <v>3364</v>
      </c>
      <c r="I2310" s="2" t="s">
        <v>19</v>
      </c>
      <c r="J2310" s="2" t="s">
        <v>1188</v>
      </c>
      <c r="K2310" s="2" t="s">
        <v>3361</v>
      </c>
      <c r="L2310" s="2">
        <f t="shared" si="36"/>
        <v>150</v>
      </c>
    </row>
    <row r="2311" spans="1:12" ht="25" customHeight="1">
      <c r="A2311" s="2" t="s">
        <v>12</v>
      </c>
      <c r="B2311" s="2" t="str">
        <f>HYPERLINK("http://www.12365auto.com/news/20200225/419519.shtml","做汽车界的Siri HERE拓展语音助理功能")</f>
        <v>做汽车界的Siri HERE拓展语音助理功能</v>
      </c>
      <c r="C2311" s="2" t="s">
        <v>13</v>
      </c>
      <c r="D2311" s="2" t="s">
        <v>12</v>
      </c>
      <c r="E2311" s="2" t="s">
        <v>276</v>
      </c>
      <c r="F2311" s="2" t="str">
        <f>HYPERLINK("http://www.12365auto.com/news/20200225/419519.shtml","http://www.12365auto.com/news/20200225/419519.shtml")</f>
        <v>http://www.12365auto.com/news/20200225/419519.shtml</v>
      </c>
      <c r="G2311" s="2"/>
      <c r="H2311" s="2" t="s">
        <v>3365</v>
      </c>
      <c r="I2311" s="2" t="s">
        <v>15</v>
      </c>
      <c r="J2311" s="2" t="s">
        <v>12</v>
      </c>
      <c r="K2311" s="2" t="s">
        <v>3366</v>
      </c>
      <c r="L2311" s="2">
        <f t="shared" si="36"/>
        <v>150</v>
      </c>
    </row>
    <row r="2312" spans="1:12" ht="25" customHeight="1">
      <c r="A2312" s="2" t="s">
        <v>12</v>
      </c>
      <c r="B2312" s="2" t="str">
        <f>HYPERLINK("http://m.12365auto.com/news/20200225/419519.shtml","做汽车界的Siri HERE拓展语音助理功能")</f>
        <v>做汽车界的Siri HERE拓展语音助理功能</v>
      </c>
      <c r="C2312" s="2" t="s">
        <v>13</v>
      </c>
      <c r="D2312" s="2" t="s">
        <v>12</v>
      </c>
      <c r="E2312" s="2"/>
      <c r="F2312" s="2" t="str">
        <f>HYPERLINK("http://m.12365auto.com/news/20200225/419519.shtml","http://m.12365auto.com/news/20200225/419519.shtml")</f>
        <v>http://m.12365auto.com/news/20200225/419519.shtml</v>
      </c>
      <c r="G2312" s="2"/>
      <c r="H2312" s="2" t="s">
        <v>3367</v>
      </c>
      <c r="I2312" s="2" t="s">
        <v>19</v>
      </c>
      <c r="J2312" s="2" t="s">
        <v>1543</v>
      </c>
      <c r="K2312" s="2" t="s">
        <v>3366</v>
      </c>
      <c r="L2312" s="2">
        <f t="shared" si="36"/>
        <v>150</v>
      </c>
    </row>
    <row r="2313" spans="1:12" ht="25" customHeight="1">
      <c r="A2313" s="2" t="s">
        <v>12</v>
      </c>
      <c r="B2313" s="2" t="str">
        <f>HYPERLINK("http://m.12365auto.com/xcdg/20200225/419518.shtml","全球车中国造 DS 9轿车正式发布/年底上市")</f>
        <v>全球车中国造 DS 9轿车正式发布/年底上市</v>
      </c>
      <c r="C2313" s="2" t="s">
        <v>13</v>
      </c>
      <c r="D2313" s="2" t="s">
        <v>12</v>
      </c>
      <c r="E2313" s="2"/>
      <c r="F2313" s="2" t="str">
        <f>HYPERLINK("http://m.12365auto.com/xcdg/20200225/419518.shtml","http://m.12365auto.com/xcdg/20200225/419518.shtml")</f>
        <v>http://m.12365auto.com/xcdg/20200225/419518.shtml</v>
      </c>
      <c r="G2313" s="2"/>
      <c r="H2313" s="2" t="s">
        <v>3368</v>
      </c>
      <c r="I2313" s="2" t="s">
        <v>19</v>
      </c>
      <c r="J2313" s="2" t="s">
        <v>3369</v>
      </c>
      <c r="K2313" s="2" t="s">
        <v>3370</v>
      </c>
      <c r="L2313" s="2">
        <f t="shared" si="36"/>
        <v>150</v>
      </c>
    </row>
    <row r="2314" spans="1:12" ht="25" customHeight="1">
      <c r="A2314" s="2" t="s">
        <v>12</v>
      </c>
      <c r="B2314" s="2" t="str">
        <f>HYPERLINK("http://www.12365auto.com/xcdg/20200225/419518.shtml","全球车中国造 DS 9轿车正式发布/年底上市")</f>
        <v>全球车中国造 DS 9轿车正式发布/年底上市</v>
      </c>
      <c r="C2314" s="2" t="s">
        <v>13</v>
      </c>
      <c r="D2314" s="2" t="s">
        <v>12</v>
      </c>
      <c r="E2314" s="2" t="s">
        <v>216</v>
      </c>
      <c r="F2314" s="2" t="str">
        <f>HYPERLINK("http://www.12365auto.com/xcdg/20200225/419518.shtml","http://www.12365auto.com/xcdg/20200225/419518.shtml")</f>
        <v>http://www.12365auto.com/xcdg/20200225/419518.shtml</v>
      </c>
      <c r="G2314" s="2"/>
      <c r="H2314" s="2" t="s">
        <v>3371</v>
      </c>
      <c r="I2314" s="2" t="s">
        <v>15</v>
      </c>
      <c r="J2314" s="2" t="s">
        <v>12</v>
      </c>
      <c r="K2314" s="2" t="s">
        <v>3370</v>
      </c>
      <c r="L2314" s="2">
        <f t="shared" si="36"/>
        <v>150</v>
      </c>
    </row>
    <row r="2315" spans="1:12" ht="25" customHeight="1">
      <c r="A2315" s="2" t="s">
        <v>12</v>
      </c>
      <c r="B2315" s="2" t="str">
        <f>HYPERLINK("http://m.12365auto.com/news/20200225/419517.shtml","蔚来中国总部将落户合肥 与合肥市签订合作")</f>
        <v>蔚来中国总部将落户合肥 与合肥市签订合作</v>
      </c>
      <c r="C2315" s="2" t="s">
        <v>13</v>
      </c>
      <c r="D2315" s="2" t="s">
        <v>12</v>
      </c>
      <c r="E2315" s="2"/>
      <c r="F2315" s="2" t="str">
        <f>HYPERLINK("http://m.12365auto.com/news/20200225/419517.shtml","http://m.12365auto.com/news/20200225/419517.shtml")</f>
        <v>http://m.12365auto.com/news/20200225/419517.shtml</v>
      </c>
      <c r="G2315" s="2"/>
      <c r="H2315" s="2" t="s">
        <v>3372</v>
      </c>
      <c r="I2315" s="2" t="s">
        <v>19</v>
      </c>
      <c r="J2315" s="2" t="s">
        <v>3373</v>
      </c>
      <c r="K2315" s="2" t="s">
        <v>3374</v>
      </c>
      <c r="L2315" s="2">
        <f t="shared" si="36"/>
        <v>150</v>
      </c>
    </row>
    <row r="2316" spans="1:12" ht="25" customHeight="1">
      <c r="A2316" s="2" t="s">
        <v>12</v>
      </c>
      <c r="B2316" s="2" t="str">
        <f>HYPERLINK("http://www.12365auto.com/news/20200225/419517.shtml","蔚来中国总部将落户合肥 与合肥市签订合作")</f>
        <v>蔚来中国总部将落户合肥 与合肥市签订合作</v>
      </c>
      <c r="C2316" s="2" t="s">
        <v>13</v>
      </c>
      <c r="D2316" s="2" t="s">
        <v>12</v>
      </c>
      <c r="E2316" s="2" t="s">
        <v>282</v>
      </c>
      <c r="F2316" s="2" t="str">
        <f>HYPERLINK("http://www.12365auto.com/news/20200225/419517.shtml","http://www.12365auto.com/news/20200225/419517.shtml")</f>
        <v>http://www.12365auto.com/news/20200225/419517.shtml</v>
      </c>
      <c r="G2316" s="2"/>
      <c r="H2316" s="2" t="s">
        <v>3375</v>
      </c>
      <c r="I2316" s="2" t="s">
        <v>19</v>
      </c>
      <c r="J2316" s="2" t="s">
        <v>12</v>
      </c>
      <c r="K2316" s="2" t="s">
        <v>3374</v>
      </c>
      <c r="L2316" s="2">
        <f t="shared" si="36"/>
        <v>150</v>
      </c>
    </row>
    <row r="2317" spans="1:12" ht="25" customHeight="1">
      <c r="A2317" s="2" t="s">
        <v>12</v>
      </c>
      <c r="B2317" s="2" t="str">
        <f>HYPERLINK("http://m.12365auto.com/news/20200225/419516.shtml","LG化学再获大单 为Lucid Motors供应电池")</f>
        <v>LG化学再获大单 为Lucid Motors供应电池</v>
      </c>
      <c r="C2317" s="2" t="s">
        <v>13</v>
      </c>
      <c r="D2317" s="2" t="s">
        <v>12</v>
      </c>
      <c r="E2317" s="2"/>
      <c r="F2317" s="2" t="str">
        <f>HYPERLINK("http://m.12365auto.com/news/20200225/419516.shtml","http://m.12365auto.com/news/20200225/419516.shtml")</f>
        <v>http://m.12365auto.com/news/20200225/419516.shtml</v>
      </c>
      <c r="G2317" s="2"/>
      <c r="H2317" s="2" t="s">
        <v>3376</v>
      </c>
      <c r="I2317" s="2" t="s">
        <v>19</v>
      </c>
      <c r="J2317" s="2" t="s">
        <v>1059</v>
      </c>
      <c r="K2317" s="2" t="s">
        <v>3377</v>
      </c>
      <c r="L2317" s="2">
        <f t="shared" si="36"/>
        <v>150</v>
      </c>
    </row>
    <row r="2318" spans="1:12" ht="25" customHeight="1">
      <c r="A2318" s="2" t="s">
        <v>12</v>
      </c>
      <c r="B2318" s="2" t="str">
        <f>HYPERLINK("http://www.12365auto.com/news/20200225/419516.shtml","LG化学再获大单 为Lucid Motors供应电池")</f>
        <v>LG化学再获大单 为Lucid Motors供应电池</v>
      </c>
      <c r="C2318" s="2" t="s">
        <v>13</v>
      </c>
      <c r="D2318" s="2" t="s">
        <v>12</v>
      </c>
      <c r="E2318" s="2" t="s">
        <v>282</v>
      </c>
      <c r="F2318" s="2" t="str">
        <f>HYPERLINK("http://www.12365auto.com/news/20200225/419516.shtml","http://www.12365auto.com/news/20200225/419516.shtml")</f>
        <v>http://www.12365auto.com/news/20200225/419516.shtml</v>
      </c>
      <c r="G2318" s="2"/>
      <c r="H2318" s="2" t="s">
        <v>3378</v>
      </c>
      <c r="I2318" s="2" t="s">
        <v>19</v>
      </c>
      <c r="J2318" s="2" t="s">
        <v>12</v>
      </c>
      <c r="K2318" s="2" t="s">
        <v>3377</v>
      </c>
      <c r="L2318" s="2">
        <f t="shared" si="36"/>
        <v>150</v>
      </c>
    </row>
    <row r="2319" spans="1:12" ht="25" customHeight="1">
      <c r="A2319" s="2" t="s">
        <v>12</v>
      </c>
      <c r="B2319" s="2" t="str">
        <f>HYPERLINK("http://www.12365auto.com/zlts/20200225/448633.shtml","斯柯达速派故障灯报警换挡杆损坏")</f>
        <v>斯柯达速派故障灯报警换挡杆损坏</v>
      </c>
      <c r="C2319" s="2" t="s">
        <v>13</v>
      </c>
      <c r="D2319" s="2" t="s">
        <v>12</v>
      </c>
      <c r="E2319" s="2" t="s">
        <v>17</v>
      </c>
      <c r="F2319" s="2" t="str">
        <f>HYPERLINK("http://www.12365auto.com/zlts/20200225/448633.shtml","http://www.12365auto.com/zlts/20200225/448633.shtml")</f>
        <v>http://www.12365auto.com/zlts/20200225/448633.shtml</v>
      </c>
      <c r="G2319" s="2"/>
      <c r="H2319" s="2" t="s">
        <v>3379</v>
      </c>
      <c r="I2319" s="2" t="s">
        <v>15</v>
      </c>
      <c r="J2319" s="2" t="s">
        <v>12</v>
      </c>
      <c r="K2319" s="2" t="s">
        <v>3380</v>
      </c>
      <c r="L2319" s="2">
        <f t="shared" si="36"/>
        <v>150</v>
      </c>
    </row>
    <row r="2320" spans="1:12" ht="25" customHeight="1">
      <c r="A2320" s="2" t="s">
        <v>12</v>
      </c>
      <c r="B2320" s="2" t="str">
        <f>HYPERLINK("http://m.12365auto.com/news/20200225/419515.shtml","Cruise获CPUC许可 可以不配备安全驾驶员")</f>
        <v>Cruise获CPUC许可 可以不配备安全驾驶员</v>
      </c>
      <c r="C2320" s="2" t="s">
        <v>13</v>
      </c>
      <c r="D2320" s="2" t="s">
        <v>12</v>
      </c>
      <c r="E2320" s="2"/>
      <c r="F2320" s="2" t="str">
        <f>HYPERLINK("http://m.12365auto.com/news/20200225/419515.shtml","http://m.12365auto.com/news/20200225/419515.shtml")</f>
        <v>http://m.12365auto.com/news/20200225/419515.shtml</v>
      </c>
      <c r="G2320" s="2"/>
      <c r="H2320" s="2" t="s">
        <v>3381</v>
      </c>
      <c r="I2320" s="2" t="s">
        <v>19</v>
      </c>
      <c r="J2320" s="2" t="s">
        <v>1029</v>
      </c>
      <c r="K2320" s="2" t="s">
        <v>3380</v>
      </c>
      <c r="L2320" s="2">
        <f t="shared" si="36"/>
        <v>150</v>
      </c>
    </row>
    <row r="2321" spans="1:12" ht="25" customHeight="1">
      <c r="A2321" s="2" t="s">
        <v>12</v>
      </c>
      <c r="B2321" s="2" t="str">
        <f>HYPERLINK("http://www.12365auto.com/news/20200225/419515.shtml","Cruise获CPUC许可 可以不配备安全驾驶员")</f>
        <v>Cruise获CPUC许可 可以不配备安全驾驶员</v>
      </c>
      <c r="C2321" s="2" t="s">
        <v>13</v>
      </c>
      <c r="D2321" s="2" t="s">
        <v>12</v>
      </c>
      <c r="E2321" s="2" t="s">
        <v>282</v>
      </c>
      <c r="F2321" s="2" t="str">
        <f>HYPERLINK("http://www.12365auto.com/news/20200225/419515.shtml","http://www.12365auto.com/news/20200225/419515.shtml")</f>
        <v>http://www.12365auto.com/news/20200225/419515.shtml</v>
      </c>
      <c r="G2321" s="2"/>
      <c r="H2321" s="2" t="s">
        <v>3382</v>
      </c>
      <c r="I2321" s="2" t="s">
        <v>19</v>
      </c>
      <c r="J2321" s="2" t="s">
        <v>12</v>
      </c>
      <c r="K2321" s="2" t="s">
        <v>3380</v>
      </c>
      <c r="L2321" s="2">
        <f t="shared" si="36"/>
        <v>150</v>
      </c>
    </row>
    <row r="2322" spans="1:12" ht="25" customHeight="1">
      <c r="A2322" s="2" t="s">
        <v>12</v>
      </c>
      <c r="B2322" s="2" t="str">
        <f>HYPERLINK("http://m.12365auto.com/news/20200225/419514.shtml","固特异测试可联网轮胎 可将汽车停车距离缩短")</f>
        <v>固特异测试可联网轮胎 可将汽车停车距离缩短</v>
      </c>
      <c r="C2322" s="2" t="s">
        <v>13</v>
      </c>
      <c r="D2322" s="2" t="s">
        <v>12</v>
      </c>
      <c r="E2322" s="2"/>
      <c r="F2322" s="2" t="str">
        <f>HYPERLINK("http://m.12365auto.com/news/20200225/419514.shtml","http://m.12365auto.com/news/20200225/419514.shtml")</f>
        <v>http://m.12365auto.com/news/20200225/419514.shtml</v>
      </c>
      <c r="G2322" s="2"/>
      <c r="H2322" s="2" t="s">
        <v>3383</v>
      </c>
      <c r="I2322" s="2" t="s">
        <v>19</v>
      </c>
      <c r="J2322" s="2" t="s">
        <v>1029</v>
      </c>
      <c r="K2322" s="2" t="s">
        <v>3384</v>
      </c>
      <c r="L2322" s="2">
        <f t="shared" si="36"/>
        <v>150</v>
      </c>
    </row>
    <row r="2323" spans="1:12" ht="25" customHeight="1">
      <c r="A2323" s="2" t="s">
        <v>12</v>
      </c>
      <c r="B2323" s="2" t="str">
        <f>HYPERLINK("http://www.12365auto.com/news/20200225/419514.shtml","固特异测试可联网轮胎 可将汽车停车距离缩短")</f>
        <v>固特异测试可联网轮胎 可将汽车停车距离缩短</v>
      </c>
      <c r="C2323" s="2" t="s">
        <v>13</v>
      </c>
      <c r="D2323" s="2" t="s">
        <v>12</v>
      </c>
      <c r="E2323" s="2" t="s">
        <v>282</v>
      </c>
      <c r="F2323" s="2" t="str">
        <f>HYPERLINK("http://www.12365auto.com/news/20200225/419514.shtml","http://www.12365auto.com/news/20200225/419514.shtml")</f>
        <v>http://www.12365auto.com/news/20200225/419514.shtml</v>
      </c>
      <c r="G2323" s="2"/>
      <c r="H2323" s="2" t="s">
        <v>3385</v>
      </c>
      <c r="I2323" s="2" t="s">
        <v>19</v>
      </c>
      <c r="J2323" s="2" t="s">
        <v>12</v>
      </c>
      <c r="K2323" s="2" t="s">
        <v>3384</v>
      </c>
      <c r="L2323" s="2">
        <f t="shared" si="36"/>
        <v>150</v>
      </c>
    </row>
    <row r="2324" spans="1:12" ht="25" customHeight="1">
      <c r="A2324" s="2" t="s">
        <v>12</v>
      </c>
      <c r="B2324" s="2" t="str">
        <f>HYPERLINK("http://www.12365auto.com/zlts/20200225/448632.shtml","一汽大众奥迪A4L行驶中提示变速箱故障")</f>
        <v>一汽大众奥迪A4L行驶中提示变速箱故障</v>
      </c>
      <c r="C2324" s="2" t="s">
        <v>13</v>
      </c>
      <c r="D2324" s="2" t="s">
        <v>12</v>
      </c>
      <c r="E2324" s="2" t="s">
        <v>17</v>
      </c>
      <c r="F2324" s="2" t="str">
        <f>HYPERLINK("http://www.12365auto.com/zlts/20200225/448632.shtml","http://www.12365auto.com/zlts/20200225/448632.shtml")</f>
        <v>http://www.12365auto.com/zlts/20200225/448632.shtml</v>
      </c>
      <c r="G2324" s="2"/>
      <c r="H2324" s="2" t="s">
        <v>3386</v>
      </c>
      <c r="I2324" s="2" t="s">
        <v>15</v>
      </c>
      <c r="J2324" s="2" t="s">
        <v>12</v>
      </c>
      <c r="K2324" s="2" t="s">
        <v>3387</v>
      </c>
      <c r="L2324" s="2">
        <f t="shared" si="36"/>
        <v>150</v>
      </c>
    </row>
    <row r="2325" spans="1:12" ht="25" customHeight="1">
      <c r="A2325" s="2" t="s">
        <v>12</v>
      </c>
      <c r="B2325" s="2" t="str">
        <f>HYPERLINK("http://www.12365auto.com/zlts/20200225/448631.shtml","北汽威旺M50F发动机熄火 厂家无配件")</f>
        <v>北汽威旺M50F发动机熄火 厂家无配件</v>
      </c>
      <c r="C2325" s="2" t="s">
        <v>13</v>
      </c>
      <c r="D2325" s="2" t="s">
        <v>12</v>
      </c>
      <c r="E2325" s="2" t="s">
        <v>17</v>
      </c>
      <c r="F2325" s="2" t="str">
        <f>HYPERLINK("http://www.12365auto.com/zlts/20200225/448631.shtml","http://www.12365auto.com/zlts/20200225/448631.shtml")</f>
        <v>http://www.12365auto.com/zlts/20200225/448631.shtml</v>
      </c>
      <c r="G2325" s="2"/>
      <c r="H2325" s="2" t="s">
        <v>3388</v>
      </c>
      <c r="I2325" s="2" t="s">
        <v>15</v>
      </c>
      <c r="J2325" s="2" t="s">
        <v>12</v>
      </c>
      <c r="K2325" s="2" t="s">
        <v>3387</v>
      </c>
      <c r="L2325" s="2">
        <f t="shared" si="36"/>
        <v>150</v>
      </c>
    </row>
    <row r="2326" spans="1:12" ht="25" customHeight="1">
      <c r="A2326" s="2" t="s">
        <v>12</v>
      </c>
      <c r="B2326" s="2" t="str">
        <f>HYPERLINK("http://m.12365auto.com/xcdg/20200225/419513.shtml","标致508L PHEV纯电续航56km 或5月上市")</f>
        <v>标致508L PHEV纯电续航56km 或5月上市</v>
      </c>
      <c r="C2326" s="2" t="s">
        <v>13</v>
      </c>
      <c r="D2326" s="2" t="s">
        <v>12</v>
      </c>
      <c r="E2326" s="2"/>
      <c r="F2326" s="2" t="str">
        <f>HYPERLINK("http://m.12365auto.com/xcdg/20200225/419513.shtml","http://m.12365auto.com/xcdg/20200225/419513.shtml")</f>
        <v>http://m.12365auto.com/xcdg/20200225/419513.shtml</v>
      </c>
      <c r="G2326" s="2"/>
      <c r="H2326" s="2" t="s">
        <v>3389</v>
      </c>
      <c r="I2326" s="2" t="s">
        <v>19</v>
      </c>
      <c r="J2326" s="2" t="s">
        <v>1205</v>
      </c>
      <c r="K2326" s="2" t="s">
        <v>3390</v>
      </c>
      <c r="L2326" s="2">
        <f t="shared" si="36"/>
        <v>150</v>
      </c>
    </row>
    <row r="2327" spans="1:12" ht="25" customHeight="1">
      <c r="A2327" s="2" t="s">
        <v>12</v>
      </c>
      <c r="B2327" s="2" t="str">
        <f>HYPERLINK("http://www.12365auto.com/xcdg/20200225/419513.shtml","标致508L PHEV纯电续航56km 或5月上市")</f>
        <v>标致508L PHEV纯电续航56km 或5月上市</v>
      </c>
      <c r="C2327" s="2" t="s">
        <v>13</v>
      </c>
      <c r="D2327" s="2" t="s">
        <v>12</v>
      </c>
      <c r="E2327" s="2" t="s">
        <v>245</v>
      </c>
      <c r="F2327" s="2" t="str">
        <f>HYPERLINK("http://www.12365auto.com/xcdg/20200225/419513.shtml","http://www.12365auto.com/xcdg/20200225/419513.shtml")</f>
        <v>http://www.12365auto.com/xcdg/20200225/419513.shtml</v>
      </c>
      <c r="G2327" s="2"/>
      <c r="H2327" s="2" t="s">
        <v>3391</v>
      </c>
      <c r="I2327" s="2" t="s">
        <v>19</v>
      </c>
      <c r="J2327" s="2" t="s">
        <v>12</v>
      </c>
      <c r="K2327" s="2" t="s">
        <v>3390</v>
      </c>
      <c r="L2327" s="2">
        <f t="shared" si="36"/>
        <v>150</v>
      </c>
    </row>
    <row r="2328" spans="1:12" ht="25" customHeight="1">
      <c r="A2328" s="2" t="s">
        <v>12</v>
      </c>
      <c r="B2328" s="2" t="str">
        <f>HYPERLINK("http://www.12365auto.com/xcdg/20200225/419512.shtml","上汽MAXUS插电混动MPV曝光 用途更广泛")</f>
        <v>上汽MAXUS插电混动MPV曝光 用途更广泛</v>
      </c>
      <c r="C2328" s="2" t="s">
        <v>13</v>
      </c>
      <c r="D2328" s="2" t="s">
        <v>12</v>
      </c>
      <c r="E2328" s="2" t="s">
        <v>245</v>
      </c>
      <c r="F2328" s="2" t="str">
        <f>HYPERLINK("http://www.12365auto.com/xcdg/20200225/419512.shtml","http://www.12365auto.com/xcdg/20200225/419512.shtml")</f>
        <v>http://www.12365auto.com/xcdg/20200225/419512.shtml</v>
      </c>
      <c r="G2328" s="2"/>
      <c r="H2328" s="2" t="s">
        <v>3392</v>
      </c>
      <c r="I2328" s="2" t="s">
        <v>19</v>
      </c>
      <c r="J2328" s="2" t="s">
        <v>12</v>
      </c>
      <c r="K2328" s="2" t="s">
        <v>3393</v>
      </c>
      <c r="L2328" s="2">
        <f t="shared" si="36"/>
        <v>150</v>
      </c>
    </row>
    <row r="2329" spans="1:12" ht="25" customHeight="1">
      <c r="A2329" s="2" t="s">
        <v>12</v>
      </c>
      <c r="B2329" s="2" t="str">
        <f>HYPERLINK("http://m.12365auto.com/xcdg/20200225/419512.shtml","上汽MAXUS插电混动MPV曝光 用途更广泛")</f>
        <v>上汽MAXUS插电混动MPV曝光 用途更广泛</v>
      </c>
      <c r="C2329" s="2" t="s">
        <v>13</v>
      </c>
      <c r="D2329" s="2" t="s">
        <v>12</v>
      </c>
      <c r="E2329" s="2"/>
      <c r="F2329" s="2" t="str">
        <f>HYPERLINK("http://m.12365auto.com/xcdg/20200225/419512.shtml","http://m.12365auto.com/xcdg/20200225/419512.shtml")</f>
        <v>http://m.12365auto.com/xcdg/20200225/419512.shtml</v>
      </c>
      <c r="G2329" s="2"/>
      <c r="H2329" s="2" t="s">
        <v>3394</v>
      </c>
      <c r="I2329" s="2" t="s">
        <v>19</v>
      </c>
      <c r="J2329" s="2" t="s">
        <v>1205</v>
      </c>
      <c r="K2329" s="2" t="s">
        <v>3393</v>
      </c>
      <c r="L2329" s="2">
        <f t="shared" si="36"/>
        <v>150</v>
      </c>
    </row>
    <row r="2330" spans="1:12" ht="25" customHeight="1">
      <c r="A2330" s="2" t="s">
        <v>12</v>
      </c>
      <c r="B2330" s="2" t="str">
        <f>HYPERLINK("http://m.12365auto.com/xcdg/20200225/419511.shtml","宿敌较量：宝马X5与奔驰GLE到底怎么选？")</f>
        <v>宿敌较量：宝马X5与奔驰GLE到底怎么选？</v>
      </c>
      <c r="C2330" s="2" t="s">
        <v>13</v>
      </c>
      <c r="D2330" s="2" t="s">
        <v>12</v>
      </c>
      <c r="E2330" s="2"/>
      <c r="F2330" s="2" t="str">
        <f>HYPERLINK("http://m.12365auto.com/xcdg/20200225/419511.shtml","http://m.12365auto.com/xcdg/20200225/419511.shtml")</f>
        <v>http://m.12365auto.com/xcdg/20200225/419511.shtml</v>
      </c>
      <c r="G2330" s="2"/>
      <c r="H2330" s="2" t="s">
        <v>3395</v>
      </c>
      <c r="I2330" s="2" t="s">
        <v>19</v>
      </c>
      <c r="J2330" s="2" t="s">
        <v>849</v>
      </c>
      <c r="K2330" s="2" t="s">
        <v>3396</v>
      </c>
      <c r="L2330" s="2">
        <f t="shared" si="36"/>
        <v>150</v>
      </c>
    </row>
    <row r="2331" spans="1:12" ht="25" customHeight="1">
      <c r="A2331" s="2" t="s">
        <v>12</v>
      </c>
      <c r="B2331" s="2" t="str">
        <f>HYPERLINK("http://www.12365auto.com/zlts/20200225/448630.shtml","猎豹CS10转向机有异响厂家一直没有配件")</f>
        <v>猎豹CS10转向机有异响厂家一直没有配件</v>
      </c>
      <c r="C2331" s="2" t="s">
        <v>13</v>
      </c>
      <c r="D2331" s="2" t="s">
        <v>12</v>
      </c>
      <c r="E2331" s="2" t="s">
        <v>17</v>
      </c>
      <c r="F2331" s="2" t="str">
        <f>HYPERLINK("http://www.12365auto.com/zlts/20200225/448630.shtml","http://www.12365auto.com/zlts/20200225/448630.shtml")</f>
        <v>http://www.12365auto.com/zlts/20200225/448630.shtml</v>
      </c>
      <c r="G2331" s="2"/>
      <c r="H2331" s="2" t="s">
        <v>3397</v>
      </c>
      <c r="I2331" s="2" t="s">
        <v>19</v>
      </c>
      <c r="J2331" s="2" t="s">
        <v>12</v>
      </c>
      <c r="K2331" s="2" t="s">
        <v>3398</v>
      </c>
      <c r="L2331" s="2">
        <f t="shared" si="36"/>
        <v>150</v>
      </c>
    </row>
    <row r="2332" spans="1:12" ht="25" customHeight="1">
      <c r="A2332" s="2" t="s">
        <v>12</v>
      </c>
      <c r="B2332" s="2" t="str">
        <f>HYPERLINK("http://www.12365auto.com/zlts/20200225/448629.shtml","众泰E200充电机无法充电一直无配件提供")</f>
        <v>众泰E200充电机无法充电一直无配件提供</v>
      </c>
      <c r="C2332" s="2" t="s">
        <v>13</v>
      </c>
      <c r="D2332" s="2" t="s">
        <v>12</v>
      </c>
      <c r="E2332" s="2" t="s">
        <v>17</v>
      </c>
      <c r="F2332" s="2" t="str">
        <f>HYPERLINK("http://www.12365auto.com/zlts/20200225/448629.shtml","http://www.12365auto.com/zlts/20200225/448629.shtml")</f>
        <v>http://www.12365auto.com/zlts/20200225/448629.shtml</v>
      </c>
      <c r="G2332" s="2"/>
      <c r="H2332" s="2" t="s">
        <v>3399</v>
      </c>
      <c r="I2332" s="2" t="s">
        <v>19</v>
      </c>
      <c r="J2332" s="2" t="s">
        <v>12</v>
      </c>
      <c r="K2332" s="2" t="s">
        <v>3400</v>
      </c>
      <c r="L2332" s="2">
        <f t="shared" si="36"/>
        <v>150</v>
      </c>
    </row>
    <row r="2333" spans="1:12" ht="25" customHeight="1">
      <c r="A2333" s="2" t="s">
        <v>12</v>
      </c>
      <c r="B2333" s="2" t="str">
        <f>HYPERLINK("http://www.12365auto.com/zlts/20200225/448617.shtml","发动机及ESP故障灯亮")</f>
        <v>发动机及ESP故障灯亮</v>
      </c>
      <c r="C2333" s="2" t="s">
        <v>13</v>
      </c>
      <c r="D2333" s="2" t="s">
        <v>12</v>
      </c>
      <c r="E2333" s="2"/>
      <c r="F2333" s="2" t="str">
        <f>HYPERLINK("http://www.12365auto.com/zlts/20200225/448617.shtml","http://www.12365auto.com/zlts/20200225/448617.shtml")</f>
        <v>http://www.12365auto.com/zlts/20200225/448617.shtml</v>
      </c>
      <c r="G2333" s="2"/>
      <c r="H2333" s="3" t="s">
        <v>3401</v>
      </c>
      <c r="I2333" s="2" t="s">
        <v>15</v>
      </c>
      <c r="J2333" s="2" t="s">
        <v>12</v>
      </c>
      <c r="K2333" s="2" t="s">
        <v>3402</v>
      </c>
      <c r="L2333" s="2">
        <f t="shared" si="36"/>
        <v>98</v>
      </c>
    </row>
    <row r="2334" spans="1:12" ht="25" customHeight="1">
      <c r="A2334" s="2" t="s">
        <v>12</v>
      </c>
      <c r="B2334" s="2" t="str">
        <f>HYPERLINK("http://www.12365auto.com/zlts/20200225/448627.shtml","吉利帝豪GL发动机驱动皮带开裂要求解决")</f>
        <v>吉利帝豪GL发动机驱动皮带开裂要求解决</v>
      </c>
      <c r="C2334" s="2" t="s">
        <v>13</v>
      </c>
      <c r="D2334" s="2" t="s">
        <v>12</v>
      </c>
      <c r="E2334" s="2" t="s">
        <v>17</v>
      </c>
      <c r="F2334" s="2" t="str">
        <f>HYPERLINK("http://www.12365auto.com/zlts/20200225/448627.shtml","http://www.12365auto.com/zlts/20200225/448627.shtml")</f>
        <v>http://www.12365auto.com/zlts/20200225/448627.shtml</v>
      </c>
      <c r="G2334" s="2"/>
      <c r="H2334" s="2" t="s">
        <v>3403</v>
      </c>
      <c r="I2334" s="2" t="s">
        <v>19</v>
      </c>
      <c r="J2334" s="2" t="s">
        <v>12</v>
      </c>
      <c r="K2334" s="2" t="s">
        <v>3404</v>
      </c>
      <c r="L2334" s="2">
        <f t="shared" si="36"/>
        <v>150</v>
      </c>
    </row>
    <row r="2335" spans="1:12" ht="25" customHeight="1">
      <c r="A2335" s="2" t="s">
        <v>12</v>
      </c>
      <c r="B2335" s="2" t="str">
        <f>HYPERLINK("http://www.12365auto.com/zlts/20200225/448621.shtml","轮胎胎噪相当大而且吃胎。")</f>
        <v>轮胎胎噪相当大而且吃胎。</v>
      </c>
      <c r="C2335" s="2" t="s">
        <v>13</v>
      </c>
      <c r="D2335" s="2" t="s">
        <v>12</v>
      </c>
      <c r="E2335" s="2"/>
      <c r="F2335" s="2" t="str">
        <f>HYPERLINK("http://www.12365auto.com/zlts/20200225/448621.shtml","http://www.12365auto.com/zlts/20200225/448621.shtml")</f>
        <v>http://www.12365auto.com/zlts/20200225/448621.shtml</v>
      </c>
      <c r="G2335" s="2"/>
      <c r="H2335" s="3" t="s">
        <v>3405</v>
      </c>
      <c r="I2335" s="2" t="s">
        <v>15</v>
      </c>
      <c r="J2335" s="2" t="s">
        <v>12</v>
      </c>
      <c r="K2335" s="2" t="s">
        <v>3406</v>
      </c>
      <c r="L2335" s="2">
        <f t="shared" si="36"/>
        <v>106</v>
      </c>
    </row>
    <row r="2336" spans="1:12" ht="25" customHeight="1">
      <c r="A2336" s="2" t="s">
        <v>12</v>
      </c>
      <c r="B2336" s="2" t="str">
        <f>HYPERLINK("http://www.12365auto.com/zlts/20200225/448625.shtml","北京现代名图下摆臂变形导致吃胎厂家未回复")</f>
        <v>北京现代名图下摆臂变形导致吃胎厂家未回复</v>
      </c>
      <c r="C2336" s="2" t="s">
        <v>13</v>
      </c>
      <c r="D2336" s="2" t="s">
        <v>12</v>
      </c>
      <c r="E2336" s="2" t="s">
        <v>17</v>
      </c>
      <c r="F2336" s="2" t="str">
        <f>HYPERLINK("http://www.12365auto.com/zlts/20200225/448625.shtml","http://www.12365auto.com/zlts/20200225/448625.shtml")</f>
        <v>http://www.12365auto.com/zlts/20200225/448625.shtml</v>
      </c>
      <c r="G2336" s="2"/>
      <c r="H2336" s="2" t="s">
        <v>3407</v>
      </c>
      <c r="I2336" s="2" t="s">
        <v>19</v>
      </c>
      <c r="J2336" s="2" t="s">
        <v>12</v>
      </c>
      <c r="K2336" s="2" t="s">
        <v>3408</v>
      </c>
      <c r="L2336" s="2">
        <f t="shared" si="36"/>
        <v>150</v>
      </c>
    </row>
    <row r="2337" spans="1:12" ht="25" customHeight="1">
      <c r="A2337" s="2" t="s">
        <v>12</v>
      </c>
      <c r="B2337" s="2" t="str">
        <f>HYPERLINK("http://www.12365auto.com/zlts/20200225/448623.shtml","广汽丰田凯美瑞仪表台皮革出油粘手")</f>
        <v>广汽丰田凯美瑞仪表台皮革出油粘手</v>
      </c>
      <c r="C2337" s="2" t="s">
        <v>13</v>
      </c>
      <c r="D2337" s="2" t="s">
        <v>12</v>
      </c>
      <c r="E2337" s="2" t="s">
        <v>17</v>
      </c>
      <c r="F2337" s="2" t="str">
        <f>HYPERLINK("http://www.12365auto.com/zlts/20200225/448623.shtml","http://www.12365auto.com/zlts/20200225/448623.shtml")</f>
        <v>http://www.12365auto.com/zlts/20200225/448623.shtml</v>
      </c>
      <c r="G2337" s="2"/>
      <c r="H2337" s="2" t="s">
        <v>3409</v>
      </c>
      <c r="I2337" s="2" t="s">
        <v>19</v>
      </c>
      <c r="J2337" s="2" t="s">
        <v>12</v>
      </c>
      <c r="K2337" s="2" t="s">
        <v>3410</v>
      </c>
      <c r="L2337" s="2">
        <f t="shared" si="36"/>
        <v>150</v>
      </c>
    </row>
    <row r="2338" spans="1:12" ht="25" customHeight="1">
      <c r="A2338" s="2" t="s">
        <v>12</v>
      </c>
      <c r="B2338" s="2" t="str">
        <f>HYPERLINK("http://www.12365auto.com/zlts/20200225/448622.shtml","新宝骏RM-5刹车失效 转向系统失效")</f>
        <v>新宝骏RM-5刹车失效 转向系统失效</v>
      </c>
      <c r="C2338" s="2" t="s">
        <v>13</v>
      </c>
      <c r="D2338" s="2" t="s">
        <v>12</v>
      </c>
      <c r="E2338" s="2" t="s">
        <v>17</v>
      </c>
      <c r="F2338" s="2" t="str">
        <f>HYPERLINK("http://www.12365auto.com/zlts/20200225/448622.shtml","http://www.12365auto.com/zlts/20200225/448622.shtml")</f>
        <v>http://www.12365auto.com/zlts/20200225/448622.shtml</v>
      </c>
      <c r="G2338" s="2"/>
      <c r="H2338" s="2" t="s">
        <v>3411</v>
      </c>
      <c r="I2338" s="2" t="s">
        <v>19</v>
      </c>
      <c r="J2338" s="2" t="s">
        <v>12</v>
      </c>
      <c r="K2338" s="2" t="s">
        <v>3412</v>
      </c>
      <c r="L2338" s="2">
        <f t="shared" si="36"/>
        <v>150</v>
      </c>
    </row>
    <row r="2339" spans="1:12" ht="25" customHeight="1">
      <c r="A2339" s="2" t="s">
        <v>12</v>
      </c>
      <c r="B2339" s="2" t="str">
        <f>HYPERLINK("http://www.12365auto.com/zlts/20200225/448619.shtml","上汽名爵ZS大灯进水起雾厂家不予质保")</f>
        <v>上汽名爵ZS大灯进水起雾厂家不予质保</v>
      </c>
      <c r="C2339" s="2" t="s">
        <v>13</v>
      </c>
      <c r="D2339" s="2" t="s">
        <v>12</v>
      </c>
      <c r="E2339" s="2" t="s">
        <v>17</v>
      </c>
      <c r="F2339" s="2" t="str">
        <f>HYPERLINK("http://www.12365auto.com/zlts/20200225/448619.shtml","http://www.12365auto.com/zlts/20200225/448619.shtml")</f>
        <v>http://www.12365auto.com/zlts/20200225/448619.shtml</v>
      </c>
      <c r="G2339" s="2"/>
      <c r="H2339" s="2" t="s">
        <v>3413</v>
      </c>
      <c r="I2339" s="2" t="s">
        <v>19</v>
      </c>
      <c r="J2339" s="2" t="s">
        <v>12</v>
      </c>
      <c r="K2339" s="2" t="s">
        <v>3414</v>
      </c>
      <c r="L2339" s="2">
        <f t="shared" si="36"/>
        <v>150</v>
      </c>
    </row>
    <row r="2340" spans="1:12" ht="25" customHeight="1">
      <c r="A2340" s="2" t="s">
        <v>12</v>
      </c>
      <c r="B2340" s="2" t="str">
        <f>HYPERLINK("http://www.12365auto.com/zlts/20200225/448618.shtml","一汽大众奥迪A6L SOS经常报警无法解决")</f>
        <v>一汽大众奥迪A6L SOS经常报警无法解决</v>
      </c>
      <c r="C2340" s="2" t="s">
        <v>13</v>
      </c>
      <c r="D2340" s="2" t="s">
        <v>12</v>
      </c>
      <c r="E2340" s="2" t="s">
        <v>17</v>
      </c>
      <c r="F2340" s="2" t="str">
        <f>HYPERLINK("http://www.12365auto.com/zlts/20200225/448618.shtml","http://www.12365auto.com/zlts/20200225/448618.shtml")</f>
        <v>http://www.12365auto.com/zlts/20200225/448618.shtml</v>
      </c>
      <c r="G2340" s="2"/>
      <c r="H2340" s="2" t="s">
        <v>3415</v>
      </c>
      <c r="I2340" s="2" t="s">
        <v>19</v>
      </c>
      <c r="J2340" s="2" t="s">
        <v>12</v>
      </c>
      <c r="K2340" s="2" t="s">
        <v>3416</v>
      </c>
      <c r="L2340" s="2">
        <f t="shared" si="36"/>
        <v>150</v>
      </c>
    </row>
    <row r="2341" spans="1:12" ht="25" customHeight="1">
      <c r="A2341" s="2" t="s">
        <v>12</v>
      </c>
      <c r="B2341" s="2" t="str">
        <f>HYPERLINK("http://m.12365auto.com/zjdy/20200225/121621.shtml","威朗分体轴加固件安装后效果怎么样？")</f>
        <v>威朗分体轴加固件安装后效果怎么样？</v>
      </c>
      <c r="C2341" s="2" t="s">
        <v>13</v>
      </c>
      <c r="D2341" s="2" t="s">
        <v>12</v>
      </c>
      <c r="E2341" s="2"/>
      <c r="F2341" s="2" t="str">
        <f>HYPERLINK("http://m.12365auto.com/zjdy/20200225/121621.shtml","http://m.12365auto.com/zjdy/20200225/121621.shtml")</f>
        <v>http://m.12365auto.com/zjdy/20200225/121621.shtml</v>
      </c>
      <c r="G2341" s="2"/>
      <c r="H2341" s="2" t="s">
        <v>3417</v>
      </c>
      <c r="I2341" s="2" t="s">
        <v>19</v>
      </c>
      <c r="J2341" s="2" t="s">
        <v>12</v>
      </c>
      <c r="K2341" s="2" t="s">
        <v>3418</v>
      </c>
      <c r="L2341" s="2">
        <f t="shared" si="36"/>
        <v>12</v>
      </c>
    </row>
    <row r="2342" spans="1:12" ht="25" customHeight="1">
      <c r="A2342" s="2" t="s">
        <v>12</v>
      </c>
      <c r="B2342" s="2" t="str">
        <f>HYPERLINK("http://m.12365auto.com/zjdy/20200225/121620.shtml","长安逸动DT发动机排放标准是什么？")</f>
        <v>长安逸动DT发动机排放标准是什么？</v>
      </c>
      <c r="C2342" s="2" t="s">
        <v>13</v>
      </c>
      <c r="D2342" s="2" t="s">
        <v>12</v>
      </c>
      <c r="E2342" s="2"/>
      <c r="F2342" s="2" t="str">
        <f>HYPERLINK("http://m.12365auto.com/zjdy/20200225/121620.shtml","http://m.12365auto.com/zjdy/20200225/121620.shtml")</f>
        <v>http://m.12365auto.com/zjdy/20200225/121620.shtml</v>
      </c>
      <c r="G2342" s="2"/>
      <c r="H2342" s="2" t="s">
        <v>3419</v>
      </c>
      <c r="I2342" s="2" t="s">
        <v>19</v>
      </c>
      <c r="J2342" s="2" t="s">
        <v>12</v>
      </c>
      <c r="K2342" s="2" t="s">
        <v>3418</v>
      </c>
      <c r="L2342" s="2">
        <f t="shared" si="36"/>
        <v>25</v>
      </c>
    </row>
    <row r="2343" spans="1:12" ht="25" customHeight="1">
      <c r="A2343" s="2" t="s">
        <v>12</v>
      </c>
      <c r="B2343" s="2" t="str">
        <f>HYPERLINK("http://bbs.12365auto.com/postcontent.aspx?tId=195132","看特斯拉“钦点”的磷酸铁锂到底有多牛")</f>
        <v>看特斯拉“钦点”的磷酸铁锂到底有多牛</v>
      </c>
      <c r="C2343" s="2" t="s">
        <v>13</v>
      </c>
      <c r="D2343" s="2" t="s">
        <v>12</v>
      </c>
      <c r="E2343" s="2" t="s">
        <v>210</v>
      </c>
      <c r="F2343" s="2" t="str">
        <f>HYPERLINK("http://bbs.12365auto.com/postcontent.aspx?tId=195132","http://bbs.12365auto.com/postcontent.aspx?tId=195132")</f>
        <v>http://bbs.12365auto.com/postcontent.aspx?tId=195132</v>
      </c>
      <c r="G2343" s="2"/>
      <c r="H2343" s="2" t="s">
        <v>3420</v>
      </c>
      <c r="I2343" s="2" t="s">
        <v>15</v>
      </c>
      <c r="J2343" s="2" t="s">
        <v>949</v>
      </c>
      <c r="K2343" s="2" t="s">
        <v>3421</v>
      </c>
      <c r="L2343" s="2">
        <f t="shared" si="36"/>
        <v>150</v>
      </c>
    </row>
    <row r="2344" spans="1:12" ht="25" customHeight="1">
      <c r="A2344" s="2" t="s">
        <v>12</v>
      </c>
      <c r="B2344" s="2" t="str">
        <f>HYPERLINK("http://m.12365auto.com/bbs/postcontent.aspx?tID=195132","看特斯拉“钦点”的磷酸铁锂到底有多牛")</f>
        <v>看特斯拉“钦点”的磷酸铁锂到底有多牛</v>
      </c>
      <c r="C2344" s="2" t="s">
        <v>13</v>
      </c>
      <c r="D2344" s="2" t="s">
        <v>23</v>
      </c>
      <c r="E2344" s="2"/>
      <c r="F2344" s="2" t="str">
        <f>HYPERLINK("http://m.12365auto.com/bbs/postcontent.aspx?tID=195132","http://m.12365auto.com/bbs/postcontent.aspx?tID=195132")</f>
        <v>http://m.12365auto.com/bbs/postcontent.aspx?tID=195132</v>
      </c>
      <c r="G2344" s="2"/>
      <c r="H2344" s="2" t="s">
        <v>3420</v>
      </c>
      <c r="I2344" s="2" t="s">
        <v>15</v>
      </c>
      <c r="J2344" s="2" t="s">
        <v>949</v>
      </c>
      <c r="K2344" s="2" t="s">
        <v>3421</v>
      </c>
      <c r="L2344" s="2">
        <f t="shared" si="36"/>
        <v>150</v>
      </c>
    </row>
    <row r="2345" spans="1:12" ht="25" customHeight="1">
      <c r="A2345" s="2" t="s">
        <v>12</v>
      </c>
      <c r="B2345" s="2" t="str">
        <f>HYPERLINK("http://bbs.12365auto.com/postcontent.aspx?tID=195132","看特斯拉“钦点”的磷酸铁锂到底有多牛")</f>
        <v>看特斯拉“钦点”的磷酸铁锂到底有多牛</v>
      </c>
      <c r="C2345" s="2" t="s">
        <v>13</v>
      </c>
      <c r="D2345" s="2" t="s">
        <v>12</v>
      </c>
      <c r="E2345" s="2" t="s">
        <v>214</v>
      </c>
      <c r="F2345" s="2" t="str">
        <f>HYPERLINK("http://bbs.12365auto.com/postcontent.aspx?tID=195132","http://bbs.12365auto.com/postcontent.aspx?tID=195132")</f>
        <v>http://bbs.12365auto.com/postcontent.aspx?tID=195132</v>
      </c>
      <c r="G2345" s="2"/>
      <c r="H2345" s="2" t="s">
        <v>3422</v>
      </c>
      <c r="I2345" s="2" t="s">
        <v>15</v>
      </c>
      <c r="J2345" s="2" t="s">
        <v>949</v>
      </c>
      <c r="K2345" s="2" t="s">
        <v>3421</v>
      </c>
      <c r="L2345" s="2">
        <f t="shared" si="36"/>
        <v>150</v>
      </c>
    </row>
    <row r="2346" spans="1:12" ht="25" customHeight="1">
      <c r="A2346" s="2" t="s">
        <v>12</v>
      </c>
      <c r="B2346" s="2" t="str">
        <f>HYPERLINK("http://www.12365auto.com/zlts/20200225/448608.shtml","东风标致207后桥变形导致有异响现象")</f>
        <v>东风标致207后桥变形导致有异响现象</v>
      </c>
      <c r="C2346" s="2" t="s">
        <v>13</v>
      </c>
      <c r="D2346" s="2" t="s">
        <v>12</v>
      </c>
      <c r="E2346" s="2"/>
      <c r="F2346" s="2" t="str">
        <f>HYPERLINK("http://www.12365auto.com/zlts/20200225/448608.shtml","http://www.12365auto.com/zlts/20200225/448608.shtml")</f>
        <v>http://www.12365auto.com/zlts/20200225/448608.shtml</v>
      </c>
      <c r="G2346" s="2"/>
      <c r="H2346" s="3" t="s">
        <v>3423</v>
      </c>
      <c r="I2346" s="2" t="s">
        <v>15</v>
      </c>
      <c r="J2346" s="2" t="s">
        <v>12</v>
      </c>
      <c r="K2346" s="2" t="s">
        <v>3424</v>
      </c>
      <c r="L2346" s="2">
        <f t="shared" si="36"/>
        <v>112</v>
      </c>
    </row>
    <row r="2347" spans="1:12" ht="25" customHeight="1">
      <c r="A2347" s="2" t="s">
        <v>12</v>
      </c>
      <c r="B2347" s="2" t="str">
        <f>HYPERLINK("http://bbs.12365auto.com/postcontent.aspx?tId=195131","吉利ICON上市了有惊喜有失落")</f>
        <v>吉利ICON上市了有惊喜有失落</v>
      </c>
      <c r="C2347" s="2" t="s">
        <v>13</v>
      </c>
      <c r="D2347" s="2" t="s">
        <v>12</v>
      </c>
      <c r="E2347" s="2" t="s">
        <v>210</v>
      </c>
      <c r="F2347" s="2" t="str">
        <f>HYPERLINK("http://bbs.12365auto.com/postcontent.aspx?tId=195131","http://bbs.12365auto.com/postcontent.aspx?tId=195131")</f>
        <v>http://bbs.12365auto.com/postcontent.aspx?tId=195131</v>
      </c>
      <c r="G2347" s="2"/>
      <c r="H2347" s="2" t="s">
        <v>3425</v>
      </c>
      <c r="I2347" s="2" t="s">
        <v>15</v>
      </c>
      <c r="J2347" s="2" t="s">
        <v>949</v>
      </c>
      <c r="K2347" s="2" t="s">
        <v>3426</v>
      </c>
      <c r="L2347" s="2">
        <f t="shared" si="36"/>
        <v>150</v>
      </c>
    </row>
    <row r="2348" spans="1:12" ht="25" customHeight="1">
      <c r="A2348" s="2" t="s">
        <v>12</v>
      </c>
      <c r="B2348" s="2" t="str">
        <f>HYPERLINK("http://m.12365auto.com/bbs/postcontent.aspx?tID=195131","吉利ICON上市了有惊喜有失落")</f>
        <v>吉利ICON上市了有惊喜有失落</v>
      </c>
      <c r="C2348" s="2" t="s">
        <v>13</v>
      </c>
      <c r="D2348" s="2" t="s">
        <v>23</v>
      </c>
      <c r="E2348" s="2"/>
      <c r="F2348" s="2" t="str">
        <f>HYPERLINK("http://m.12365auto.com/bbs/postcontent.aspx?tID=195131","http://m.12365auto.com/bbs/postcontent.aspx?tID=195131")</f>
        <v>http://m.12365auto.com/bbs/postcontent.aspx?tID=195131</v>
      </c>
      <c r="G2348" s="2"/>
      <c r="H2348" s="2" t="s">
        <v>3425</v>
      </c>
      <c r="I2348" s="2" t="s">
        <v>15</v>
      </c>
      <c r="J2348" s="2" t="s">
        <v>949</v>
      </c>
      <c r="K2348" s="2" t="s">
        <v>3426</v>
      </c>
      <c r="L2348" s="2">
        <f t="shared" si="36"/>
        <v>150</v>
      </c>
    </row>
    <row r="2349" spans="1:12" ht="25" customHeight="1">
      <c r="A2349" s="2" t="s">
        <v>12</v>
      </c>
      <c r="B2349" s="2" t="str">
        <f>HYPERLINK("http://bbs.12365auto.com/postcontent.aspx?tID=195131","吉利ICON上市了有惊喜有失落")</f>
        <v>吉利ICON上市了有惊喜有失落</v>
      </c>
      <c r="C2349" s="2" t="s">
        <v>13</v>
      </c>
      <c r="D2349" s="2" t="s">
        <v>12</v>
      </c>
      <c r="E2349" s="2" t="s">
        <v>214</v>
      </c>
      <c r="F2349" s="2" t="str">
        <f>HYPERLINK("http://bbs.12365auto.com/postcontent.aspx?tID=195131","http://bbs.12365auto.com/postcontent.aspx?tID=195131")</f>
        <v>http://bbs.12365auto.com/postcontent.aspx?tID=195131</v>
      </c>
      <c r="G2349" s="2"/>
      <c r="H2349" s="2" t="s">
        <v>3427</v>
      </c>
      <c r="I2349" s="2" t="s">
        <v>15</v>
      </c>
      <c r="J2349" s="2" t="s">
        <v>949</v>
      </c>
      <c r="K2349" s="2" t="s">
        <v>3426</v>
      </c>
      <c r="L2349" s="2">
        <f t="shared" si="36"/>
        <v>150</v>
      </c>
    </row>
    <row r="2350" spans="1:12" ht="25" customHeight="1">
      <c r="A2350" s="2" t="s">
        <v>12</v>
      </c>
      <c r="B2350" s="2" t="str">
        <f>HYPERLINK("http://m.12365auto.com/xcdg/20200225/419510.shtml","中级车中的宿敌 天籁与迈腾该如何选择？")</f>
        <v>中级车中的宿敌 天籁与迈腾该如何选择？</v>
      </c>
      <c r="C2350" s="2" t="s">
        <v>13</v>
      </c>
      <c r="D2350" s="2" t="s">
        <v>12</v>
      </c>
      <c r="E2350" s="2"/>
      <c r="F2350" s="2" t="str">
        <f>HYPERLINK("http://m.12365auto.com/xcdg/20200225/419510.shtml","http://m.12365auto.com/xcdg/20200225/419510.shtml")</f>
        <v>http://m.12365auto.com/xcdg/20200225/419510.shtml</v>
      </c>
      <c r="G2350" s="2"/>
      <c r="H2350" s="2" t="s">
        <v>3428</v>
      </c>
      <c r="I2350" s="2" t="s">
        <v>19</v>
      </c>
      <c r="J2350" s="2" t="s">
        <v>844</v>
      </c>
      <c r="K2350" s="2" t="s">
        <v>3429</v>
      </c>
      <c r="L2350" s="2">
        <f t="shared" si="36"/>
        <v>150</v>
      </c>
    </row>
    <row r="2351" spans="1:12" ht="25" customHeight="1">
      <c r="A2351" s="2" t="s">
        <v>12</v>
      </c>
      <c r="B2351" s="2" t="str">
        <f>HYPERLINK("http://m.12365auto.com/zjdy/20200225/121619.shtml","日产轩逸变速箱行驶有口哨声如何解决？")</f>
        <v>日产轩逸变速箱行驶有口哨声如何解决？</v>
      </c>
      <c r="C2351" s="2" t="s">
        <v>13</v>
      </c>
      <c r="D2351" s="2" t="s">
        <v>12</v>
      </c>
      <c r="E2351" s="2"/>
      <c r="F2351" s="2" t="str">
        <f>HYPERLINK("http://m.12365auto.com/zjdy/20200225/121619.shtml","http://m.12365auto.com/zjdy/20200225/121619.shtml")</f>
        <v>http://m.12365auto.com/zjdy/20200225/121619.shtml</v>
      </c>
      <c r="G2351" s="2"/>
      <c r="H2351" s="2" t="s">
        <v>3430</v>
      </c>
      <c r="I2351" s="2" t="s">
        <v>19</v>
      </c>
      <c r="J2351" s="2" t="s">
        <v>12</v>
      </c>
      <c r="K2351" s="2" t="s">
        <v>3431</v>
      </c>
      <c r="L2351" s="2">
        <f t="shared" si="36"/>
        <v>64</v>
      </c>
    </row>
    <row r="2352" spans="1:12" ht="25" customHeight="1">
      <c r="A2352" s="2" t="s">
        <v>12</v>
      </c>
      <c r="B2352" s="2" t="str">
        <f>HYPERLINK("http://www.12365auto.com/zlts/20200225/448614.shtml","吉利博越变速箱升级后出现故障影响安全")</f>
        <v>吉利博越变速箱升级后出现故障影响安全</v>
      </c>
      <c r="C2352" s="2" t="s">
        <v>13</v>
      </c>
      <c r="D2352" s="2" t="s">
        <v>12</v>
      </c>
      <c r="E2352" s="2" t="s">
        <v>17</v>
      </c>
      <c r="F2352" s="2" t="str">
        <f>HYPERLINK("http://www.12365auto.com/zlts/20200225/448614.shtml","http://www.12365auto.com/zlts/20200225/448614.shtml")</f>
        <v>http://www.12365auto.com/zlts/20200225/448614.shtml</v>
      </c>
      <c r="G2352" s="2"/>
      <c r="H2352" s="2" t="s">
        <v>3432</v>
      </c>
      <c r="I2352" s="2" t="s">
        <v>15</v>
      </c>
      <c r="J2352" s="2" t="s">
        <v>12</v>
      </c>
      <c r="K2352" s="2" t="s">
        <v>3433</v>
      </c>
      <c r="L2352" s="2">
        <f t="shared" si="36"/>
        <v>150</v>
      </c>
    </row>
    <row r="2353" spans="1:12" ht="25" customHeight="1">
      <c r="A2353" s="2" t="s">
        <v>12</v>
      </c>
      <c r="B2353" s="2" t="str">
        <f>HYPERLINK("http://www.12365auto.com/xcdg/20200225/419509.shtml","2021年发布 新一代路虎揽胜谍照曝光")</f>
        <v>2021年发布 新一代路虎揽胜谍照曝光</v>
      </c>
      <c r="C2353" s="2" t="s">
        <v>13</v>
      </c>
      <c r="D2353" s="2" t="s">
        <v>12</v>
      </c>
      <c r="E2353" s="2" t="s">
        <v>224</v>
      </c>
      <c r="F2353" s="2" t="str">
        <f>HYPERLINK("http://www.12365auto.com/xcdg/20200225/419509.shtml","http://www.12365auto.com/xcdg/20200225/419509.shtml")</f>
        <v>http://www.12365auto.com/xcdg/20200225/419509.shtml</v>
      </c>
      <c r="G2353" s="2"/>
      <c r="H2353" s="2" t="s">
        <v>3434</v>
      </c>
      <c r="I2353" s="2" t="s">
        <v>15</v>
      </c>
      <c r="J2353" s="2" t="s">
        <v>12</v>
      </c>
      <c r="K2353" s="2" t="s">
        <v>3435</v>
      </c>
      <c r="L2353" s="2">
        <f t="shared" si="36"/>
        <v>150</v>
      </c>
    </row>
    <row r="2354" spans="1:12" ht="25" customHeight="1">
      <c r="A2354" s="2" t="s">
        <v>12</v>
      </c>
      <c r="B2354" s="2" t="str">
        <f>HYPERLINK("http://m.12365auto.com/xcdg/20200225/419509.shtml","2021年发布 新一代路虎揽胜谍照曝光")</f>
        <v>2021年发布 新一代路虎揽胜谍照曝光</v>
      </c>
      <c r="C2354" s="2" t="s">
        <v>13</v>
      </c>
      <c r="D2354" s="2" t="s">
        <v>12</v>
      </c>
      <c r="E2354" s="2"/>
      <c r="F2354" s="2" t="str">
        <f>HYPERLINK("http://m.12365auto.com/xcdg/20200225/419509.shtml","http://m.12365auto.com/xcdg/20200225/419509.shtml")</f>
        <v>http://m.12365auto.com/xcdg/20200225/419509.shtml</v>
      </c>
      <c r="G2354" s="2"/>
      <c r="H2354" s="2" t="s">
        <v>3436</v>
      </c>
      <c r="I2354" s="2" t="s">
        <v>19</v>
      </c>
      <c r="J2354" s="2" t="s">
        <v>270</v>
      </c>
      <c r="K2354" s="2" t="s">
        <v>3435</v>
      </c>
      <c r="L2354" s="2">
        <f t="shared" si="36"/>
        <v>150</v>
      </c>
    </row>
    <row r="2355" spans="1:12" ht="25" customHeight="1">
      <c r="A2355" s="2" t="s">
        <v>12</v>
      </c>
      <c r="B2355" s="2" t="str">
        <f>HYPERLINK("http://www.12365auto.com/xcdg/20200225/419508.shtml","日内瓦车展亮相 大众途锐R官图发布")</f>
        <v>日内瓦车展亮相 大众途锐R官图发布</v>
      </c>
      <c r="C2355" s="2" t="s">
        <v>13</v>
      </c>
      <c r="D2355" s="2" t="s">
        <v>12</v>
      </c>
      <c r="E2355" s="2" t="s">
        <v>216</v>
      </c>
      <c r="F2355" s="2" t="str">
        <f>HYPERLINK("http://www.12365auto.com/xcdg/20200225/419508.shtml","http://www.12365auto.com/xcdg/20200225/419508.shtml")</f>
        <v>http://www.12365auto.com/xcdg/20200225/419508.shtml</v>
      </c>
      <c r="G2355" s="2"/>
      <c r="H2355" s="2" t="s">
        <v>3437</v>
      </c>
      <c r="I2355" s="2" t="s">
        <v>15</v>
      </c>
      <c r="J2355" s="2" t="s">
        <v>12</v>
      </c>
      <c r="K2355" s="2" t="s">
        <v>3438</v>
      </c>
      <c r="L2355" s="2">
        <f t="shared" si="36"/>
        <v>150</v>
      </c>
    </row>
    <row r="2356" spans="1:12" ht="25" customHeight="1">
      <c r="A2356" s="2" t="s">
        <v>12</v>
      </c>
      <c r="B2356" s="2" t="str">
        <f>HYPERLINK("http://m.12365auto.com/xcdg/20200225/419508.shtml","日内瓦车展亮相 大众途锐R官图发布")</f>
        <v>日内瓦车展亮相 大众途锐R官图发布</v>
      </c>
      <c r="C2356" s="2" t="s">
        <v>13</v>
      </c>
      <c r="D2356" s="2" t="s">
        <v>12</v>
      </c>
      <c r="E2356" s="2"/>
      <c r="F2356" s="2" t="str">
        <f>HYPERLINK("http://m.12365auto.com/xcdg/20200225/419508.shtml","http://m.12365auto.com/xcdg/20200225/419508.shtml")</f>
        <v>http://m.12365auto.com/xcdg/20200225/419508.shtml</v>
      </c>
      <c r="G2356" s="2"/>
      <c r="H2356" s="2" t="s">
        <v>3439</v>
      </c>
      <c r="I2356" s="2" t="s">
        <v>19</v>
      </c>
      <c r="J2356" s="2" t="s">
        <v>338</v>
      </c>
      <c r="K2356" s="2" t="s">
        <v>3438</v>
      </c>
      <c r="L2356" s="2">
        <f t="shared" si="36"/>
        <v>150</v>
      </c>
    </row>
    <row r="2357" spans="1:12" ht="25" customHeight="1">
      <c r="A2357" s="2" t="s">
        <v>12</v>
      </c>
      <c r="B2357" s="2" t="str">
        <f>HYPERLINK("http://m.12365auto.com/xcdg/20200225/419507.shtml","或与宝马Z4同动力 摩根全新跑车预告图")</f>
        <v>或与宝马Z4同动力 摩根全新跑车预告图</v>
      </c>
      <c r="C2357" s="2" t="s">
        <v>13</v>
      </c>
      <c r="D2357" s="2" t="s">
        <v>12</v>
      </c>
      <c r="E2357" s="2"/>
      <c r="F2357" s="2" t="str">
        <f>HYPERLINK("http://m.12365auto.com/xcdg/20200225/419507.shtml","http://m.12365auto.com/xcdg/20200225/419507.shtml")</f>
        <v>http://m.12365auto.com/xcdg/20200225/419507.shtml</v>
      </c>
      <c r="G2357" s="2"/>
      <c r="H2357" s="2" t="s">
        <v>3440</v>
      </c>
      <c r="I2357" s="2" t="s">
        <v>19</v>
      </c>
      <c r="J2357" s="2" t="s">
        <v>2560</v>
      </c>
      <c r="K2357" s="2" t="s">
        <v>3441</v>
      </c>
      <c r="L2357" s="2">
        <f t="shared" si="36"/>
        <v>150</v>
      </c>
    </row>
    <row r="2358" spans="1:12" ht="25" customHeight="1">
      <c r="A2358" s="2" t="s">
        <v>12</v>
      </c>
      <c r="B2358" s="2" t="str">
        <f>HYPERLINK("http://www.12365auto.com/xcdg/20200225/419507.shtml","或与宝马Z4同动力 摩根全新跑车预告图")</f>
        <v>或与宝马Z4同动力 摩根全新跑车预告图</v>
      </c>
      <c r="C2358" s="2" t="s">
        <v>13</v>
      </c>
      <c r="D2358" s="2" t="s">
        <v>12</v>
      </c>
      <c r="E2358" s="2" t="s">
        <v>245</v>
      </c>
      <c r="F2358" s="2" t="str">
        <f>HYPERLINK("http://www.12365auto.com/xcdg/20200225/419507.shtml","http://www.12365auto.com/xcdg/20200225/419507.shtml")</f>
        <v>http://www.12365auto.com/xcdg/20200225/419507.shtml</v>
      </c>
      <c r="G2358" s="2"/>
      <c r="H2358" s="2" t="s">
        <v>3442</v>
      </c>
      <c r="I2358" s="2" t="s">
        <v>19</v>
      </c>
      <c r="J2358" s="2" t="s">
        <v>12</v>
      </c>
      <c r="K2358" s="2" t="s">
        <v>3441</v>
      </c>
      <c r="L2358" s="2">
        <f t="shared" si="36"/>
        <v>150</v>
      </c>
    </row>
    <row r="2359" spans="1:12" ht="25" customHeight="1">
      <c r="A2359" s="2" t="s">
        <v>12</v>
      </c>
      <c r="B2359" s="2" t="str">
        <f>HYPERLINK("http://m.12365auto.com/xcdg/20200225/419506.shtml","难以作出选择？皓影混动对比RAV4荣放双擎")</f>
        <v>难以作出选择？皓影混动对比RAV4荣放双擎</v>
      </c>
      <c r="C2359" s="2" t="s">
        <v>13</v>
      </c>
      <c r="D2359" s="2" t="s">
        <v>12</v>
      </c>
      <c r="E2359" s="2"/>
      <c r="F2359" s="2" t="str">
        <f>HYPERLINK("http://m.12365auto.com/xcdg/20200225/419506.shtml","http://m.12365auto.com/xcdg/20200225/419506.shtml")</f>
        <v>http://m.12365auto.com/xcdg/20200225/419506.shtml</v>
      </c>
      <c r="G2359" s="2"/>
      <c r="H2359" s="2" t="s">
        <v>3443</v>
      </c>
      <c r="I2359" s="2" t="s">
        <v>19</v>
      </c>
      <c r="J2359" s="2" t="s">
        <v>849</v>
      </c>
      <c r="K2359" s="2" t="s">
        <v>3444</v>
      </c>
      <c r="L2359" s="2">
        <f t="shared" si="36"/>
        <v>150</v>
      </c>
    </row>
    <row r="2360" spans="1:12" ht="25" customHeight="1">
      <c r="A2360" s="2" t="s">
        <v>12</v>
      </c>
      <c r="B2360" s="2" t="str">
        <f>HYPERLINK("http://www.12365auto.com/zlts/20200225/448612.shtml","吉利远景正常行驶中变速箱无动力输出")</f>
        <v>吉利远景正常行驶中变速箱无动力输出</v>
      </c>
      <c r="C2360" s="2" t="s">
        <v>13</v>
      </c>
      <c r="D2360" s="2" t="s">
        <v>12</v>
      </c>
      <c r="E2360" s="2" t="s">
        <v>17</v>
      </c>
      <c r="F2360" s="2" t="str">
        <f>HYPERLINK("http://www.12365auto.com/zlts/20200225/448612.shtml","http://www.12365auto.com/zlts/20200225/448612.shtml")</f>
        <v>http://www.12365auto.com/zlts/20200225/448612.shtml</v>
      </c>
      <c r="G2360" s="2"/>
      <c r="H2360" s="2" t="s">
        <v>3445</v>
      </c>
      <c r="I2360" s="2" t="s">
        <v>19</v>
      </c>
      <c r="J2360" s="2" t="s">
        <v>12</v>
      </c>
      <c r="K2360" s="2" t="s">
        <v>3446</v>
      </c>
      <c r="L2360" s="2">
        <f t="shared" si="36"/>
        <v>150</v>
      </c>
    </row>
    <row r="2361" spans="1:12" ht="25" customHeight="1">
      <c r="A2361" s="2" t="s">
        <v>12</v>
      </c>
      <c r="B2361" s="2" t="str">
        <f>HYPERLINK("http://m.12365auto.com/xcdg/20200225/419505.shtml","凯迪拉克XT6同款发动机 昂科旗是否值得推荐")</f>
        <v>凯迪拉克XT6同款发动机 昂科旗是否值得推荐</v>
      </c>
      <c r="C2361" s="2" t="s">
        <v>13</v>
      </c>
      <c r="D2361" s="2" t="s">
        <v>12</v>
      </c>
      <c r="E2361" s="2"/>
      <c r="F2361" s="2" t="str">
        <f>HYPERLINK("http://m.12365auto.com/xcdg/20200225/419505.shtml","http://m.12365auto.com/xcdg/20200225/419505.shtml")</f>
        <v>http://m.12365auto.com/xcdg/20200225/419505.shtml</v>
      </c>
      <c r="G2361" s="2"/>
      <c r="H2361" s="2" t="s">
        <v>3447</v>
      </c>
      <c r="I2361" s="2" t="s">
        <v>19</v>
      </c>
      <c r="J2361" s="2" t="s">
        <v>849</v>
      </c>
      <c r="K2361" s="2" t="s">
        <v>3448</v>
      </c>
      <c r="L2361" s="2">
        <f t="shared" si="36"/>
        <v>150</v>
      </c>
    </row>
    <row r="2362" spans="1:12" ht="25" customHeight="1">
      <c r="A2362" s="2" t="s">
        <v>12</v>
      </c>
      <c r="B2362" s="2" t="str">
        <f>HYPERLINK("http://m.12365auto.com/xcdg/20200225/419504.shtml","选车：最便宜的保时捷 Macan的优缺点解析")</f>
        <v>选车：最便宜的保时捷 Macan的优缺点解析</v>
      </c>
      <c r="C2362" s="2" t="s">
        <v>13</v>
      </c>
      <c r="D2362" s="2" t="s">
        <v>12</v>
      </c>
      <c r="E2362" s="2"/>
      <c r="F2362" s="2" t="str">
        <f>HYPERLINK("http://m.12365auto.com/xcdg/20200225/419504.shtml","http://m.12365auto.com/xcdg/20200225/419504.shtml")</f>
        <v>http://m.12365auto.com/xcdg/20200225/419504.shtml</v>
      </c>
      <c r="G2362" s="2"/>
      <c r="H2362" s="2" t="s">
        <v>3449</v>
      </c>
      <c r="I2362" s="2" t="s">
        <v>19</v>
      </c>
      <c r="J2362" s="2" t="s">
        <v>844</v>
      </c>
      <c r="K2362" s="2" t="s">
        <v>3450</v>
      </c>
      <c r="L2362" s="2">
        <f t="shared" si="36"/>
        <v>150</v>
      </c>
    </row>
    <row r="2363" spans="1:12" ht="25" customHeight="1">
      <c r="A2363" s="2" t="s">
        <v>12</v>
      </c>
      <c r="B2363" s="2" t="str">
        <f>HYPERLINK("http://m.12365auto.com/xcdg/20200225/419503.shtml","多年未见明显改变 马自达CX-4还值得推荐吗")</f>
        <v>多年未见明显改变 马自达CX-4还值得推荐吗</v>
      </c>
      <c r="C2363" s="2" t="s">
        <v>13</v>
      </c>
      <c r="D2363" s="2" t="s">
        <v>12</v>
      </c>
      <c r="E2363" s="2"/>
      <c r="F2363" s="2" t="str">
        <f>HYPERLINK("http://m.12365auto.com/xcdg/20200225/419503.shtml","http://m.12365auto.com/xcdg/20200225/419503.shtml")</f>
        <v>http://m.12365auto.com/xcdg/20200225/419503.shtml</v>
      </c>
      <c r="G2363" s="2"/>
      <c r="H2363" s="2" t="s">
        <v>3451</v>
      </c>
      <c r="I2363" s="2" t="s">
        <v>19</v>
      </c>
      <c r="J2363" s="2" t="s">
        <v>849</v>
      </c>
      <c r="K2363" s="2" t="s">
        <v>3452</v>
      </c>
      <c r="L2363" s="2">
        <f t="shared" si="36"/>
        <v>150</v>
      </c>
    </row>
    <row r="2364" spans="1:12" ht="25" customHeight="1">
      <c r="A2364" s="2" t="s">
        <v>12</v>
      </c>
      <c r="B2364" s="2" t="str">
        <f>HYPERLINK("http://www.12365auto.com/zlts/20200225/448611.shtml","一汽大众高尔夫变速箱换挡机构故障")</f>
        <v>一汽大众高尔夫变速箱换挡机构故障</v>
      </c>
      <c r="C2364" s="2" t="s">
        <v>13</v>
      </c>
      <c r="D2364" s="2" t="s">
        <v>12</v>
      </c>
      <c r="E2364" s="2" t="s">
        <v>17</v>
      </c>
      <c r="F2364" s="2" t="str">
        <f>HYPERLINK("http://www.12365auto.com/zlts/20200225/448611.shtml","http://www.12365auto.com/zlts/20200225/448611.shtml")</f>
        <v>http://www.12365auto.com/zlts/20200225/448611.shtml</v>
      </c>
      <c r="G2364" s="2"/>
      <c r="H2364" s="3" t="s">
        <v>3453</v>
      </c>
      <c r="I2364" s="2" t="s">
        <v>15</v>
      </c>
      <c r="J2364" s="2" t="s">
        <v>12</v>
      </c>
      <c r="K2364" s="2" t="s">
        <v>3454</v>
      </c>
      <c r="L2364" s="2">
        <f t="shared" si="36"/>
        <v>70</v>
      </c>
    </row>
    <row r="2365" spans="1:12" ht="25" customHeight="1">
      <c r="A2365" s="2" t="s">
        <v>12</v>
      </c>
      <c r="B2365" s="2" t="str">
        <f>HYPERLINK("http://bbs.12365auto.com/postcontent.aspx?tID=195130","2020款新奥迪A4L—用细节打动消费者")</f>
        <v>2020款新奥迪A4L—用细节打动消费者</v>
      </c>
      <c r="C2365" s="2" t="s">
        <v>13</v>
      </c>
      <c r="D2365" s="2" t="s">
        <v>12</v>
      </c>
      <c r="E2365" s="2" t="s">
        <v>28</v>
      </c>
      <c r="F2365" s="2" t="str">
        <f>HYPERLINK("http://bbs.12365auto.com/postcontent.aspx?tID=195130","http://bbs.12365auto.com/postcontent.aspx?tID=195130")</f>
        <v>http://bbs.12365auto.com/postcontent.aspx?tID=195130</v>
      </c>
      <c r="G2365" s="2"/>
      <c r="H2365" s="2" t="s">
        <v>3455</v>
      </c>
      <c r="I2365" s="2" t="s">
        <v>15</v>
      </c>
      <c r="J2365" s="2" t="s">
        <v>616</v>
      </c>
      <c r="K2365" s="2" t="s">
        <v>3456</v>
      </c>
      <c r="L2365" s="2">
        <f t="shared" si="36"/>
        <v>150</v>
      </c>
    </row>
    <row r="2366" spans="1:12" ht="25" customHeight="1">
      <c r="A2366" s="2" t="s">
        <v>12</v>
      </c>
      <c r="B2366" s="2" t="str">
        <f>HYPERLINK("http://m.12365auto.com/bbs/postcontent.aspx?tID=195130","2020款新奥迪A4L—用细节打动消费者")</f>
        <v>2020款新奥迪A4L—用细节打动消费者</v>
      </c>
      <c r="C2366" s="2" t="s">
        <v>13</v>
      </c>
      <c r="D2366" s="2" t="s">
        <v>23</v>
      </c>
      <c r="E2366" s="2"/>
      <c r="F2366" s="2" t="str">
        <f>HYPERLINK("http://m.12365auto.com/bbs/postcontent.aspx?tID=195130","http://m.12365auto.com/bbs/postcontent.aspx?tID=195130")</f>
        <v>http://m.12365auto.com/bbs/postcontent.aspx?tID=195130</v>
      </c>
      <c r="G2366" s="2"/>
      <c r="H2366" s="2" t="s">
        <v>3457</v>
      </c>
      <c r="I2366" s="2" t="s">
        <v>15</v>
      </c>
      <c r="J2366" s="2" t="s">
        <v>616</v>
      </c>
      <c r="K2366" s="2" t="s">
        <v>3456</v>
      </c>
      <c r="L2366" s="2">
        <f t="shared" si="36"/>
        <v>150</v>
      </c>
    </row>
    <row r="2367" spans="1:12" ht="25" customHeight="1">
      <c r="A2367" s="2" t="s">
        <v>12</v>
      </c>
      <c r="B2367" s="2" t="str">
        <f>HYPERLINK("http://bbs.12365auto.com/postcontent.aspx?tId=195130","2020款新奥迪A4L—用细节打动消费者")</f>
        <v>2020款新奥迪A4L—用细节打动消费者</v>
      </c>
      <c r="C2367" s="2" t="s">
        <v>13</v>
      </c>
      <c r="D2367" s="2" t="s">
        <v>12</v>
      </c>
      <c r="E2367" s="2" t="s">
        <v>27</v>
      </c>
      <c r="F2367" s="2" t="str">
        <f>HYPERLINK("http://bbs.12365auto.com/postcontent.aspx?tId=195130","http://bbs.12365auto.com/postcontent.aspx?tId=195130")</f>
        <v>http://bbs.12365auto.com/postcontent.aspx?tId=195130</v>
      </c>
      <c r="G2367" s="2"/>
      <c r="H2367" s="2" t="s">
        <v>3457</v>
      </c>
      <c r="I2367" s="2" t="s">
        <v>15</v>
      </c>
      <c r="J2367" s="2" t="s">
        <v>616</v>
      </c>
      <c r="K2367" s="2" t="s">
        <v>3456</v>
      </c>
      <c r="L2367" s="2">
        <f t="shared" si="36"/>
        <v>150</v>
      </c>
    </row>
    <row r="2368" spans="1:12" ht="25" customHeight="1">
      <c r="A2368" s="2" t="s">
        <v>12</v>
      </c>
      <c r="B2368" s="2" t="str">
        <f>HYPERLINK("http://m.12365auto.com/xcdg/20200225/419502.shtml","驾控体验与外观背道而驰？简析奥迪A7")</f>
        <v>驾控体验与外观背道而驰？简析奥迪A7</v>
      </c>
      <c r="C2368" s="2" t="s">
        <v>13</v>
      </c>
      <c r="D2368" s="2" t="s">
        <v>12</v>
      </c>
      <c r="E2368" s="2"/>
      <c r="F2368" s="2" t="str">
        <f>HYPERLINK("http://m.12365auto.com/xcdg/20200225/419502.shtml","http://m.12365auto.com/xcdg/20200225/419502.shtml")</f>
        <v>http://m.12365auto.com/xcdg/20200225/419502.shtml</v>
      </c>
      <c r="G2368" s="2"/>
      <c r="H2368" s="2" t="s">
        <v>3458</v>
      </c>
      <c r="I2368" s="2" t="s">
        <v>19</v>
      </c>
      <c r="J2368" s="2" t="s">
        <v>849</v>
      </c>
      <c r="K2368" s="2" t="s">
        <v>3456</v>
      </c>
      <c r="L2368" s="2">
        <f t="shared" si="36"/>
        <v>150</v>
      </c>
    </row>
    <row r="2369" spans="1:12" ht="25" customHeight="1">
      <c r="A2369" s="2" t="s">
        <v>12</v>
      </c>
      <c r="B2369" s="2" t="str">
        <f>HYPERLINK("http://m.12365auto.com/zjdy/20200225/121615.shtml","别克威朗启动后多个故障灯亮如何处理？")</f>
        <v>别克威朗启动后多个故障灯亮如何处理？</v>
      </c>
      <c r="C2369" s="2" t="s">
        <v>13</v>
      </c>
      <c r="D2369" s="2" t="s">
        <v>12</v>
      </c>
      <c r="E2369" s="2"/>
      <c r="F2369" s="2" t="str">
        <f>HYPERLINK("http://m.12365auto.com/zjdy/20200225/121615.shtml","http://m.12365auto.com/zjdy/20200225/121615.shtml")</f>
        <v>http://m.12365auto.com/zjdy/20200225/121615.shtml</v>
      </c>
      <c r="G2369" s="2"/>
      <c r="H2369" s="2" t="s">
        <v>3459</v>
      </c>
      <c r="I2369" s="2" t="s">
        <v>19</v>
      </c>
      <c r="J2369" s="2" t="s">
        <v>12</v>
      </c>
      <c r="K2369" s="2" t="s">
        <v>3460</v>
      </c>
      <c r="L2369" s="2">
        <f t="shared" si="36"/>
        <v>46</v>
      </c>
    </row>
    <row r="2370" spans="1:12" ht="25" customHeight="1">
      <c r="A2370" s="2" t="s">
        <v>12</v>
      </c>
      <c r="B2370" s="2" t="str">
        <f>HYPERLINK("http://m.12365auto.com/zjdy/20200225/121616.shtml","VV5使用原厂的机油型号是什么？")</f>
        <v>VV5使用原厂的机油型号是什么？</v>
      </c>
      <c r="C2370" s="2" t="s">
        <v>13</v>
      </c>
      <c r="D2370" s="2" t="s">
        <v>12</v>
      </c>
      <c r="E2370" s="2"/>
      <c r="F2370" s="2" t="str">
        <f>HYPERLINK("http://m.12365auto.com/zjdy/20200225/121616.shtml","http://m.12365auto.com/zjdy/20200225/121616.shtml")</f>
        <v>http://m.12365auto.com/zjdy/20200225/121616.shtml</v>
      </c>
      <c r="G2370" s="2"/>
      <c r="H2370" s="2" t="s">
        <v>3461</v>
      </c>
      <c r="I2370" s="2" t="s">
        <v>19</v>
      </c>
      <c r="J2370" s="2" t="s">
        <v>12</v>
      </c>
      <c r="K2370" s="2" t="s">
        <v>3460</v>
      </c>
      <c r="L2370" s="2">
        <f t="shared" si="36"/>
        <v>142</v>
      </c>
    </row>
    <row r="2371" spans="1:12" ht="25" customHeight="1">
      <c r="A2371" s="2" t="s">
        <v>12</v>
      </c>
      <c r="B2371" s="2" t="str">
        <f>HYPERLINK("http://bbs.12365auto.com/postcontent.aspx?tID=195129","上市时骂声一片 如今一年大卖15.4万台")</f>
        <v>上市时骂声一片 如今一年大卖15.4万台</v>
      </c>
      <c r="C2371" s="2" t="s">
        <v>13</v>
      </c>
      <c r="D2371" s="2" t="s">
        <v>12</v>
      </c>
      <c r="E2371" s="2" t="s">
        <v>28</v>
      </c>
      <c r="F2371" s="2" t="str">
        <f>HYPERLINK("http://bbs.12365auto.com/postcontent.aspx?tID=195129","http://bbs.12365auto.com/postcontent.aspx?tID=195129")</f>
        <v>http://bbs.12365auto.com/postcontent.aspx?tID=195129</v>
      </c>
      <c r="G2371" s="2"/>
      <c r="H2371" s="2" t="s">
        <v>3462</v>
      </c>
      <c r="I2371" s="2" t="s">
        <v>15</v>
      </c>
      <c r="J2371" s="2" t="s">
        <v>616</v>
      </c>
      <c r="K2371" s="2" t="s">
        <v>3463</v>
      </c>
      <c r="L2371" s="2">
        <f t="shared" ref="L2371:L2434" si="37">LEN(H2371)</f>
        <v>150</v>
      </c>
    </row>
    <row r="2372" spans="1:12" ht="25" customHeight="1">
      <c r="A2372" s="2" t="s">
        <v>12</v>
      </c>
      <c r="B2372" s="2" t="str">
        <f>HYPERLINK("http://m.12365auto.com/bbs/postcontent.aspx?tID=195129","上市时骂声一片 如今一年大卖15.4万台")</f>
        <v>上市时骂声一片 如今一年大卖15.4万台</v>
      </c>
      <c r="C2372" s="2" t="s">
        <v>13</v>
      </c>
      <c r="D2372" s="2" t="s">
        <v>23</v>
      </c>
      <c r="E2372" s="2"/>
      <c r="F2372" s="2" t="str">
        <f>HYPERLINK("http://m.12365auto.com/bbs/postcontent.aspx?tID=195129","http://m.12365auto.com/bbs/postcontent.aspx?tID=195129")</f>
        <v>http://m.12365auto.com/bbs/postcontent.aspx?tID=195129</v>
      </c>
      <c r="G2372" s="2"/>
      <c r="H2372" s="2" t="s">
        <v>3464</v>
      </c>
      <c r="I2372" s="2" t="s">
        <v>15</v>
      </c>
      <c r="J2372" s="2" t="s">
        <v>616</v>
      </c>
      <c r="K2372" s="2" t="s">
        <v>3463</v>
      </c>
      <c r="L2372" s="2">
        <f t="shared" si="37"/>
        <v>150</v>
      </c>
    </row>
    <row r="2373" spans="1:12" ht="25" customHeight="1">
      <c r="A2373" s="2" t="s">
        <v>12</v>
      </c>
      <c r="B2373" s="2" t="str">
        <f>HYPERLINK("http://m.12365auto.com/bbs/postcontent.aspx?tID=195128","2020款新高尔夫来了 起售价14.13万")</f>
        <v>2020款新高尔夫来了 起售价14.13万</v>
      </c>
      <c r="C2373" s="2" t="s">
        <v>13</v>
      </c>
      <c r="D2373" s="2" t="s">
        <v>23</v>
      </c>
      <c r="E2373" s="2"/>
      <c r="F2373" s="2" t="str">
        <f>HYPERLINK("http://m.12365auto.com/bbs/postcontent.aspx?tID=195128","http://m.12365auto.com/bbs/postcontent.aspx?tID=195128")</f>
        <v>http://m.12365auto.com/bbs/postcontent.aspx?tID=195128</v>
      </c>
      <c r="G2373" s="2"/>
      <c r="H2373" s="2" t="s">
        <v>3465</v>
      </c>
      <c r="I2373" s="2" t="s">
        <v>15</v>
      </c>
      <c r="J2373" s="2" t="s">
        <v>616</v>
      </c>
      <c r="K2373" s="2" t="s">
        <v>3463</v>
      </c>
      <c r="L2373" s="2">
        <f t="shared" si="37"/>
        <v>150</v>
      </c>
    </row>
    <row r="2374" spans="1:12" ht="25" customHeight="1">
      <c r="A2374" s="2" t="s">
        <v>12</v>
      </c>
      <c r="B2374" s="2" t="str">
        <f>HYPERLINK("http://bbs.12365auto.com/postcontent.aspx?tId=195129","上市时骂声一片 如今一年大卖15.4万台")</f>
        <v>上市时骂声一片 如今一年大卖15.4万台</v>
      </c>
      <c r="C2374" s="2" t="s">
        <v>13</v>
      </c>
      <c r="D2374" s="2" t="s">
        <v>12</v>
      </c>
      <c r="E2374" s="2" t="s">
        <v>27</v>
      </c>
      <c r="F2374" s="2" t="str">
        <f>HYPERLINK("http://bbs.12365auto.com/postcontent.aspx?tId=195129","http://bbs.12365auto.com/postcontent.aspx?tId=195129")</f>
        <v>http://bbs.12365auto.com/postcontent.aspx?tId=195129</v>
      </c>
      <c r="G2374" s="2"/>
      <c r="H2374" s="2" t="s">
        <v>3464</v>
      </c>
      <c r="I2374" s="2" t="s">
        <v>15</v>
      </c>
      <c r="J2374" s="2" t="s">
        <v>616</v>
      </c>
      <c r="K2374" s="2" t="s">
        <v>3463</v>
      </c>
      <c r="L2374" s="2">
        <f t="shared" si="37"/>
        <v>150</v>
      </c>
    </row>
    <row r="2375" spans="1:12" ht="25" customHeight="1">
      <c r="A2375" s="2" t="s">
        <v>12</v>
      </c>
      <c r="B2375" s="2" t="str">
        <f>HYPERLINK("http://bbs.12365auto.com/postcontent.aspx?tId=195128","2020款新高尔夫来了 起售价14.13万")</f>
        <v>2020款新高尔夫来了 起售价14.13万</v>
      </c>
      <c r="C2375" s="2" t="s">
        <v>13</v>
      </c>
      <c r="D2375" s="2" t="s">
        <v>12</v>
      </c>
      <c r="E2375" s="2" t="s">
        <v>27</v>
      </c>
      <c r="F2375" s="2" t="str">
        <f>HYPERLINK("http://bbs.12365auto.com/postcontent.aspx?tId=195128","http://bbs.12365auto.com/postcontent.aspx?tId=195128")</f>
        <v>http://bbs.12365auto.com/postcontent.aspx?tId=195128</v>
      </c>
      <c r="G2375" s="2"/>
      <c r="H2375" s="2" t="s">
        <v>3465</v>
      </c>
      <c r="I2375" s="2" t="s">
        <v>15</v>
      </c>
      <c r="J2375" s="2" t="s">
        <v>616</v>
      </c>
      <c r="K2375" s="2" t="s">
        <v>3463</v>
      </c>
      <c r="L2375" s="2">
        <f t="shared" si="37"/>
        <v>150</v>
      </c>
    </row>
    <row r="2376" spans="1:12" ht="25" customHeight="1">
      <c r="A2376" s="2" t="s">
        <v>12</v>
      </c>
      <c r="B2376" s="2" t="str">
        <f>HYPERLINK("http://bbs.12365auto.com/postcontent.aspx?tID=195128","2020款新高尔夫来了 起售价14.13万")</f>
        <v>2020款新高尔夫来了 起售价14.13万</v>
      </c>
      <c r="C2376" s="2" t="s">
        <v>13</v>
      </c>
      <c r="D2376" s="2" t="s">
        <v>12</v>
      </c>
      <c r="E2376" s="2" t="s">
        <v>28</v>
      </c>
      <c r="F2376" s="2" t="str">
        <f>HYPERLINK("http://bbs.12365auto.com/postcontent.aspx?tID=195128","http://bbs.12365auto.com/postcontent.aspx?tID=195128")</f>
        <v>http://bbs.12365auto.com/postcontent.aspx?tID=195128</v>
      </c>
      <c r="G2376" s="2"/>
      <c r="H2376" s="2" t="s">
        <v>3466</v>
      </c>
      <c r="I2376" s="2" t="s">
        <v>15</v>
      </c>
      <c r="J2376" s="2" t="s">
        <v>616</v>
      </c>
      <c r="K2376" s="2" t="s">
        <v>3463</v>
      </c>
      <c r="L2376" s="2">
        <f t="shared" si="37"/>
        <v>150</v>
      </c>
    </row>
    <row r="2377" spans="1:12" ht="25" customHeight="1">
      <c r="A2377" s="2" t="s">
        <v>12</v>
      </c>
      <c r="B2377" s="2" t="str">
        <f>HYPERLINK("http://m.12365auto.com/bbs/postcontent.aspx?tID=195127","本田新思域TYPE R 2.0T发动机 你心动了吗")</f>
        <v>本田新思域TYPE R 2.0T发动机 你心动了吗</v>
      </c>
      <c r="C2377" s="2" t="s">
        <v>13</v>
      </c>
      <c r="D2377" s="2" t="s">
        <v>23</v>
      </c>
      <c r="E2377" s="2"/>
      <c r="F2377" s="2" t="str">
        <f>HYPERLINK("http://m.12365auto.com/bbs/postcontent.aspx?tID=195127","http://m.12365auto.com/bbs/postcontent.aspx?tID=195127")</f>
        <v>http://m.12365auto.com/bbs/postcontent.aspx?tID=195127</v>
      </c>
      <c r="G2377" s="2"/>
      <c r="H2377" s="2" t="s">
        <v>3467</v>
      </c>
      <c r="I2377" s="2" t="s">
        <v>15</v>
      </c>
      <c r="J2377" s="2" t="s">
        <v>616</v>
      </c>
      <c r="K2377" s="2" t="s">
        <v>3468</v>
      </c>
      <c r="L2377" s="2">
        <f t="shared" si="37"/>
        <v>150</v>
      </c>
    </row>
    <row r="2378" spans="1:12" ht="25" customHeight="1">
      <c r="A2378" s="2" t="s">
        <v>12</v>
      </c>
      <c r="B2378" s="2" t="str">
        <f>HYPERLINK("http://m.12365auto.com/xcdg/20200225/419501.shtml","拥有的德系质感的探影 能否抢占XR-V的市场")</f>
        <v>拥有的德系质感的探影 能否抢占XR-V的市场</v>
      </c>
      <c r="C2378" s="2" t="s">
        <v>13</v>
      </c>
      <c r="D2378" s="2" t="s">
        <v>12</v>
      </c>
      <c r="E2378" s="2"/>
      <c r="F2378" s="2" t="str">
        <f>HYPERLINK("http://m.12365auto.com/xcdg/20200225/419501.shtml","http://m.12365auto.com/xcdg/20200225/419501.shtml")</f>
        <v>http://m.12365auto.com/xcdg/20200225/419501.shtml</v>
      </c>
      <c r="G2378" s="2"/>
      <c r="H2378" s="2" t="s">
        <v>3469</v>
      </c>
      <c r="I2378" s="2" t="s">
        <v>19</v>
      </c>
      <c r="J2378" s="2" t="s">
        <v>844</v>
      </c>
      <c r="K2378" s="2" t="s">
        <v>3468</v>
      </c>
      <c r="L2378" s="2">
        <f t="shared" si="37"/>
        <v>150</v>
      </c>
    </row>
    <row r="2379" spans="1:12" ht="25" customHeight="1">
      <c r="A2379" s="2" t="s">
        <v>12</v>
      </c>
      <c r="B2379" s="2" t="str">
        <f>HYPERLINK("http://bbs.12365auto.com/postcontent.aspx?tID=195127","本田新思域TYPE R 2.0T发动机 你心动了吗")</f>
        <v>本田新思域TYPE R 2.0T发动机 你心动了吗</v>
      </c>
      <c r="C2379" s="2" t="s">
        <v>13</v>
      </c>
      <c r="D2379" s="2" t="s">
        <v>12</v>
      </c>
      <c r="E2379" s="2" t="s">
        <v>28</v>
      </c>
      <c r="F2379" s="2" t="str">
        <f>HYPERLINK("http://bbs.12365auto.com/postcontent.aspx?tID=195127","http://bbs.12365auto.com/postcontent.aspx?tID=195127")</f>
        <v>http://bbs.12365auto.com/postcontent.aspx?tID=195127</v>
      </c>
      <c r="G2379" s="2"/>
      <c r="H2379" s="2" t="s">
        <v>3470</v>
      </c>
      <c r="I2379" s="2" t="s">
        <v>15</v>
      </c>
      <c r="J2379" s="2" t="s">
        <v>616</v>
      </c>
      <c r="K2379" s="2" t="s">
        <v>3468</v>
      </c>
      <c r="L2379" s="2">
        <f t="shared" si="37"/>
        <v>150</v>
      </c>
    </row>
    <row r="2380" spans="1:12" ht="25" customHeight="1">
      <c r="A2380" s="2" t="s">
        <v>12</v>
      </c>
      <c r="B2380" s="2" t="str">
        <f>HYPERLINK("http://bbs.12365auto.com/postcontent.aspx?tId=195127","本田新思域TYPE R 2.0T发动机 你心动了吗")</f>
        <v>本田新思域TYPE R 2.0T发动机 你心动了吗</v>
      </c>
      <c r="C2380" s="2" t="s">
        <v>13</v>
      </c>
      <c r="D2380" s="2" t="s">
        <v>12</v>
      </c>
      <c r="E2380" s="2" t="s">
        <v>27</v>
      </c>
      <c r="F2380" s="2" t="str">
        <f>HYPERLINK("http://bbs.12365auto.com/postcontent.aspx?tId=195127","http://bbs.12365auto.com/postcontent.aspx?tId=195127")</f>
        <v>http://bbs.12365auto.com/postcontent.aspx?tId=195127</v>
      </c>
      <c r="G2380" s="2"/>
      <c r="H2380" s="2" t="s">
        <v>3467</v>
      </c>
      <c r="I2380" s="2" t="s">
        <v>15</v>
      </c>
      <c r="J2380" s="2" t="s">
        <v>616</v>
      </c>
      <c r="K2380" s="2" t="s">
        <v>3468</v>
      </c>
      <c r="L2380" s="2">
        <f t="shared" si="37"/>
        <v>150</v>
      </c>
    </row>
    <row r="2381" spans="1:12" ht="25" customHeight="1">
      <c r="A2381" s="2" t="s">
        <v>12</v>
      </c>
      <c r="B2381" s="2" t="str">
        <f>HYPERLINK("http://m.12365auto.com/bbs/postcontent.aspx?tID=195126","这样的兰博基尼新Aventador个不个性")</f>
        <v>这样的兰博基尼新Aventador个不个性</v>
      </c>
      <c r="C2381" s="2" t="s">
        <v>13</v>
      </c>
      <c r="D2381" s="2" t="s">
        <v>23</v>
      </c>
      <c r="E2381" s="2"/>
      <c r="F2381" s="2" t="str">
        <f>HYPERLINK("http://m.12365auto.com/bbs/postcontent.aspx?tID=195126","http://m.12365auto.com/bbs/postcontent.aspx?tID=195126")</f>
        <v>http://m.12365auto.com/bbs/postcontent.aspx?tID=195126</v>
      </c>
      <c r="G2381" s="2"/>
      <c r="H2381" s="2" t="s">
        <v>3471</v>
      </c>
      <c r="I2381" s="2" t="s">
        <v>15</v>
      </c>
      <c r="J2381" s="2" t="s">
        <v>616</v>
      </c>
      <c r="K2381" s="2" t="s">
        <v>3472</v>
      </c>
      <c r="L2381" s="2">
        <f t="shared" si="37"/>
        <v>150</v>
      </c>
    </row>
    <row r="2382" spans="1:12" ht="25" customHeight="1">
      <c r="A2382" s="2" t="s">
        <v>12</v>
      </c>
      <c r="B2382" s="2" t="str">
        <f>HYPERLINK("http://bbs.12365auto.com/postcontent.aspx?tID=195126","这样的兰博基尼新Aventador个不个性")</f>
        <v>这样的兰博基尼新Aventador个不个性</v>
      </c>
      <c r="C2382" s="2" t="s">
        <v>13</v>
      </c>
      <c r="D2382" s="2" t="s">
        <v>12</v>
      </c>
      <c r="E2382" s="2" t="s">
        <v>28</v>
      </c>
      <c r="F2382" s="2" t="str">
        <f>HYPERLINK("http://bbs.12365auto.com/postcontent.aspx?tID=195126","http://bbs.12365auto.com/postcontent.aspx?tID=195126")</f>
        <v>http://bbs.12365auto.com/postcontent.aspx?tID=195126</v>
      </c>
      <c r="G2382" s="2"/>
      <c r="H2382" s="2" t="s">
        <v>3473</v>
      </c>
      <c r="I2382" s="2" t="s">
        <v>15</v>
      </c>
      <c r="J2382" s="2" t="s">
        <v>616</v>
      </c>
      <c r="K2382" s="2" t="s">
        <v>3472</v>
      </c>
      <c r="L2382" s="2">
        <f t="shared" si="37"/>
        <v>150</v>
      </c>
    </row>
    <row r="2383" spans="1:12" ht="25" customHeight="1">
      <c r="A2383" s="2" t="s">
        <v>12</v>
      </c>
      <c r="B2383" s="2" t="str">
        <f>HYPERLINK("http://bbs.12365auto.com/postcontent.aspx?tId=195126","这样的兰博基尼新Aventador个不个性")</f>
        <v>这样的兰博基尼新Aventador个不个性</v>
      </c>
      <c r="C2383" s="2" t="s">
        <v>13</v>
      </c>
      <c r="D2383" s="2" t="s">
        <v>12</v>
      </c>
      <c r="E2383" s="2" t="s">
        <v>27</v>
      </c>
      <c r="F2383" s="2" t="str">
        <f>HYPERLINK("http://bbs.12365auto.com/postcontent.aspx?tId=195126","http://bbs.12365auto.com/postcontent.aspx?tId=195126")</f>
        <v>http://bbs.12365auto.com/postcontent.aspx?tId=195126</v>
      </c>
      <c r="G2383" s="2"/>
      <c r="H2383" s="2" t="s">
        <v>3471</v>
      </c>
      <c r="I2383" s="2" t="s">
        <v>15</v>
      </c>
      <c r="J2383" s="2" t="s">
        <v>616</v>
      </c>
      <c r="K2383" s="2" t="s">
        <v>3472</v>
      </c>
      <c r="L2383" s="2">
        <f t="shared" si="37"/>
        <v>150</v>
      </c>
    </row>
    <row r="2384" spans="1:12" ht="25" customHeight="1">
      <c r="A2384" s="2" t="s">
        <v>12</v>
      </c>
      <c r="B2384" s="2" t="str">
        <f>HYPERLINK("http://m.12365auto.com/xcdg/20200225/419500.shtml","这辆国产大众不一般 简析江淮大众思皓E20X")</f>
        <v>这辆国产大众不一般 简析江淮大众思皓E20X</v>
      </c>
      <c r="C2384" s="2" t="s">
        <v>13</v>
      </c>
      <c r="D2384" s="2" t="s">
        <v>12</v>
      </c>
      <c r="E2384" s="2"/>
      <c r="F2384" s="2" t="str">
        <f>HYPERLINK("http://m.12365auto.com/xcdg/20200225/419500.shtml","http://m.12365auto.com/xcdg/20200225/419500.shtml")</f>
        <v>http://m.12365auto.com/xcdg/20200225/419500.shtml</v>
      </c>
      <c r="G2384" s="2"/>
      <c r="H2384" s="2" t="s">
        <v>3474</v>
      </c>
      <c r="I2384" s="2" t="s">
        <v>19</v>
      </c>
      <c r="J2384" s="2" t="s">
        <v>844</v>
      </c>
      <c r="K2384" s="2" t="s">
        <v>3472</v>
      </c>
      <c r="L2384" s="2">
        <f t="shared" si="37"/>
        <v>150</v>
      </c>
    </row>
    <row r="2385" spans="1:12" ht="25" customHeight="1">
      <c r="A2385" s="2" t="s">
        <v>12</v>
      </c>
      <c r="B2385" s="2" t="str">
        <f>HYPERLINK("http://m.12365auto.com/bbs/postcontent.aspx?tID=195125","配置调整 2020款凯迪拉克CT6如何选")</f>
        <v>配置调整 2020款凯迪拉克CT6如何选</v>
      </c>
      <c r="C2385" s="2" t="s">
        <v>13</v>
      </c>
      <c r="D2385" s="2" t="s">
        <v>23</v>
      </c>
      <c r="E2385" s="2"/>
      <c r="F2385" s="2" t="str">
        <f>HYPERLINK("http://m.12365auto.com/bbs/postcontent.aspx?tID=195125","http://m.12365auto.com/bbs/postcontent.aspx?tID=195125")</f>
        <v>http://m.12365auto.com/bbs/postcontent.aspx?tID=195125</v>
      </c>
      <c r="G2385" s="2"/>
      <c r="H2385" s="2" t="s">
        <v>3475</v>
      </c>
      <c r="I2385" s="2" t="s">
        <v>15</v>
      </c>
      <c r="J2385" s="2" t="s">
        <v>616</v>
      </c>
      <c r="K2385" s="2" t="s">
        <v>3476</v>
      </c>
      <c r="L2385" s="2">
        <f t="shared" si="37"/>
        <v>150</v>
      </c>
    </row>
    <row r="2386" spans="1:12" ht="25" customHeight="1">
      <c r="A2386" s="2" t="s">
        <v>12</v>
      </c>
      <c r="B2386" s="2" t="str">
        <f>HYPERLINK("http://bbs.12365auto.com/postcontent.aspx?tID=195125","配置调整 2020款凯迪拉克CT6如何选")</f>
        <v>配置调整 2020款凯迪拉克CT6如何选</v>
      </c>
      <c r="C2386" s="2" t="s">
        <v>13</v>
      </c>
      <c r="D2386" s="2" t="s">
        <v>12</v>
      </c>
      <c r="E2386" s="2" t="s">
        <v>28</v>
      </c>
      <c r="F2386" s="2" t="str">
        <f>HYPERLINK("http://bbs.12365auto.com/postcontent.aspx?tID=195125","http://bbs.12365auto.com/postcontent.aspx?tID=195125")</f>
        <v>http://bbs.12365auto.com/postcontent.aspx?tID=195125</v>
      </c>
      <c r="G2386" s="2"/>
      <c r="H2386" s="2" t="s">
        <v>3477</v>
      </c>
      <c r="I2386" s="2" t="s">
        <v>15</v>
      </c>
      <c r="J2386" s="2" t="s">
        <v>616</v>
      </c>
      <c r="K2386" s="2" t="s">
        <v>3476</v>
      </c>
      <c r="L2386" s="2">
        <f t="shared" si="37"/>
        <v>150</v>
      </c>
    </row>
    <row r="2387" spans="1:12" ht="25" customHeight="1">
      <c r="A2387" s="2" t="s">
        <v>12</v>
      </c>
      <c r="B2387" s="2" t="str">
        <f>HYPERLINK("http://bbs.12365auto.com/postcontent.aspx?tId=195125","配置调整 2020款凯迪拉克CT6如何选")</f>
        <v>配置调整 2020款凯迪拉克CT6如何选</v>
      </c>
      <c r="C2387" s="2" t="s">
        <v>13</v>
      </c>
      <c r="D2387" s="2" t="s">
        <v>12</v>
      </c>
      <c r="E2387" s="2" t="s">
        <v>27</v>
      </c>
      <c r="F2387" s="2" t="str">
        <f>HYPERLINK("http://bbs.12365auto.com/postcontent.aspx?tId=195125","http://bbs.12365auto.com/postcontent.aspx?tId=195125")</f>
        <v>http://bbs.12365auto.com/postcontent.aspx?tId=195125</v>
      </c>
      <c r="G2387" s="2"/>
      <c r="H2387" s="2" t="s">
        <v>3475</v>
      </c>
      <c r="I2387" s="2" t="s">
        <v>15</v>
      </c>
      <c r="J2387" s="2" t="s">
        <v>616</v>
      </c>
      <c r="K2387" s="2" t="s">
        <v>3476</v>
      </c>
      <c r="L2387" s="2">
        <f t="shared" si="37"/>
        <v>150</v>
      </c>
    </row>
    <row r="2388" spans="1:12" ht="25" customHeight="1">
      <c r="A2388" s="2" t="s">
        <v>12</v>
      </c>
      <c r="B2388" s="2" t="str">
        <f>HYPERLINK("http://m.12365auto.com/bbs/postcontent.aspx?tID=195124","比亚迪2020款F3仅需4万元")</f>
        <v>比亚迪2020款F3仅需4万元</v>
      </c>
      <c r="C2388" s="2" t="s">
        <v>13</v>
      </c>
      <c r="D2388" s="2" t="s">
        <v>23</v>
      </c>
      <c r="E2388" s="2"/>
      <c r="F2388" s="2" t="str">
        <f>HYPERLINK("http://m.12365auto.com/bbs/postcontent.aspx?tID=195124","http://m.12365auto.com/bbs/postcontent.aspx?tID=195124")</f>
        <v>http://m.12365auto.com/bbs/postcontent.aspx?tID=195124</v>
      </c>
      <c r="G2388" s="2"/>
      <c r="H2388" s="2" t="s">
        <v>3478</v>
      </c>
      <c r="I2388" s="2" t="s">
        <v>15</v>
      </c>
      <c r="J2388" s="2" t="s">
        <v>616</v>
      </c>
      <c r="K2388" s="2" t="s">
        <v>3479</v>
      </c>
      <c r="L2388" s="2">
        <f t="shared" si="37"/>
        <v>150</v>
      </c>
    </row>
    <row r="2389" spans="1:12" ht="25" customHeight="1">
      <c r="A2389" s="2" t="s">
        <v>12</v>
      </c>
      <c r="B2389" s="2" t="str">
        <f>HYPERLINK("http://bbs.12365auto.com/postcontent.aspx?tID=195124","比亚迪2020款F3仅需4万元")</f>
        <v>比亚迪2020款F3仅需4万元</v>
      </c>
      <c r="C2389" s="2" t="s">
        <v>13</v>
      </c>
      <c r="D2389" s="2" t="s">
        <v>12</v>
      </c>
      <c r="E2389" s="2" t="s">
        <v>28</v>
      </c>
      <c r="F2389" s="2" t="str">
        <f>HYPERLINK("http://bbs.12365auto.com/postcontent.aspx?tID=195124","http://bbs.12365auto.com/postcontent.aspx?tID=195124")</f>
        <v>http://bbs.12365auto.com/postcontent.aspx?tID=195124</v>
      </c>
      <c r="G2389" s="2"/>
      <c r="H2389" s="2" t="s">
        <v>3480</v>
      </c>
      <c r="I2389" s="2" t="s">
        <v>15</v>
      </c>
      <c r="J2389" s="2" t="s">
        <v>616</v>
      </c>
      <c r="K2389" s="2" t="s">
        <v>3479</v>
      </c>
      <c r="L2389" s="2">
        <f t="shared" si="37"/>
        <v>150</v>
      </c>
    </row>
    <row r="2390" spans="1:12" ht="25" customHeight="1">
      <c r="A2390" s="2" t="s">
        <v>12</v>
      </c>
      <c r="B2390" s="2" t="str">
        <f>HYPERLINK("http://www.12365auto.com/zlts/20200225/448609.shtml","进口宝马X1车内异味存在严重质量问题")</f>
        <v>进口宝马X1车内异味存在严重质量问题</v>
      </c>
      <c r="C2390" s="2" t="s">
        <v>13</v>
      </c>
      <c r="D2390" s="2" t="s">
        <v>12</v>
      </c>
      <c r="E2390" s="2" t="s">
        <v>17</v>
      </c>
      <c r="F2390" s="2" t="str">
        <f>HYPERLINK("http://www.12365auto.com/zlts/20200225/448609.shtml","http://www.12365auto.com/zlts/20200225/448609.shtml")</f>
        <v>http://www.12365auto.com/zlts/20200225/448609.shtml</v>
      </c>
      <c r="G2390" s="2"/>
      <c r="H2390" s="2" t="s">
        <v>3481</v>
      </c>
      <c r="I2390" s="2" t="s">
        <v>19</v>
      </c>
      <c r="J2390" s="2" t="s">
        <v>12</v>
      </c>
      <c r="K2390" s="2" t="s">
        <v>3479</v>
      </c>
      <c r="L2390" s="2">
        <f t="shared" si="37"/>
        <v>150</v>
      </c>
    </row>
    <row r="2391" spans="1:12" ht="25" customHeight="1">
      <c r="A2391" s="2" t="s">
        <v>12</v>
      </c>
      <c r="B2391" s="2" t="str">
        <f>HYPERLINK("http://bbs.12365auto.com/postcontent.aspx?tId=195124","比亚迪2020款F3仅需4万元")</f>
        <v>比亚迪2020款F3仅需4万元</v>
      </c>
      <c r="C2391" s="2" t="s">
        <v>13</v>
      </c>
      <c r="D2391" s="2" t="s">
        <v>12</v>
      </c>
      <c r="E2391" s="2" t="s">
        <v>27</v>
      </c>
      <c r="F2391" s="2" t="str">
        <f>HYPERLINK("http://bbs.12365auto.com/postcontent.aspx?tId=195124","http://bbs.12365auto.com/postcontent.aspx?tId=195124")</f>
        <v>http://bbs.12365auto.com/postcontent.aspx?tId=195124</v>
      </c>
      <c r="G2391" s="2"/>
      <c r="H2391" s="2" t="s">
        <v>3478</v>
      </c>
      <c r="I2391" s="2" t="s">
        <v>15</v>
      </c>
      <c r="J2391" s="2" t="s">
        <v>616</v>
      </c>
      <c r="K2391" s="2" t="s">
        <v>3479</v>
      </c>
      <c r="L2391" s="2">
        <f t="shared" si="37"/>
        <v>150</v>
      </c>
    </row>
    <row r="2392" spans="1:12" ht="25" customHeight="1">
      <c r="A2392" s="2" t="s">
        <v>12</v>
      </c>
      <c r="B2392" s="2" t="str">
        <f>HYPERLINK("http://m.12365auto.com/zjdy/20200225/121614.shtml","变速箱挡杆指示灯不亮是什么原因？")</f>
        <v>变速箱挡杆指示灯不亮是什么原因？</v>
      </c>
      <c r="C2392" s="2" t="s">
        <v>13</v>
      </c>
      <c r="D2392" s="2" t="s">
        <v>12</v>
      </c>
      <c r="E2392" s="2"/>
      <c r="F2392" s="2" t="str">
        <f>HYPERLINK("http://m.12365auto.com/zjdy/20200225/121614.shtml","http://m.12365auto.com/zjdy/20200225/121614.shtml")</f>
        <v>http://m.12365auto.com/zjdy/20200225/121614.shtml</v>
      </c>
      <c r="G2392" s="2"/>
      <c r="H2392" s="2" t="s">
        <v>3482</v>
      </c>
      <c r="I2392" s="2" t="s">
        <v>19</v>
      </c>
      <c r="J2392" s="2" t="s">
        <v>12</v>
      </c>
      <c r="K2392" s="2" t="s">
        <v>3483</v>
      </c>
      <c r="L2392" s="2">
        <f t="shared" si="37"/>
        <v>23</v>
      </c>
    </row>
    <row r="2393" spans="1:12" ht="25" customHeight="1">
      <c r="A2393" s="2" t="s">
        <v>12</v>
      </c>
      <c r="B2393" s="2" t="str">
        <f>HYPERLINK("http://m.12365auto.com/bbs/postcontent.aspx?tID=195123","凯迪拉克CT4上市后 会让迈腾 亚洲龙颤抖")</f>
        <v>凯迪拉克CT4上市后 会让迈腾 亚洲龙颤抖</v>
      </c>
      <c r="C2393" s="2" t="s">
        <v>13</v>
      </c>
      <c r="D2393" s="2" t="s">
        <v>23</v>
      </c>
      <c r="E2393" s="2"/>
      <c r="F2393" s="2" t="str">
        <f>HYPERLINK("http://m.12365auto.com/bbs/postcontent.aspx?tID=195123","http://m.12365auto.com/bbs/postcontent.aspx?tID=195123")</f>
        <v>http://m.12365auto.com/bbs/postcontent.aspx?tID=195123</v>
      </c>
      <c r="G2393" s="2"/>
      <c r="H2393" s="2" t="s">
        <v>3484</v>
      </c>
      <c r="I2393" s="2" t="s">
        <v>15</v>
      </c>
      <c r="J2393" s="2" t="s">
        <v>616</v>
      </c>
      <c r="K2393" s="2" t="s">
        <v>3485</v>
      </c>
      <c r="L2393" s="2">
        <f t="shared" si="37"/>
        <v>150</v>
      </c>
    </row>
    <row r="2394" spans="1:12" ht="25" customHeight="1">
      <c r="A2394" s="2" t="s">
        <v>12</v>
      </c>
      <c r="B2394" s="2" t="str">
        <f>HYPERLINK("http://m.12365auto.com/bbs/postcontent.aspx?tID=195122","销量暴增的背后红旗经历了什么")</f>
        <v>销量暴增的背后红旗经历了什么</v>
      </c>
      <c r="C2394" s="2" t="s">
        <v>13</v>
      </c>
      <c r="D2394" s="2" t="s">
        <v>23</v>
      </c>
      <c r="E2394" s="2"/>
      <c r="F2394" s="2" t="str">
        <f>HYPERLINK("http://m.12365auto.com/bbs/postcontent.aspx?tID=195122","http://m.12365auto.com/bbs/postcontent.aspx?tID=195122")</f>
        <v>http://m.12365auto.com/bbs/postcontent.aspx?tID=195122</v>
      </c>
      <c r="G2394" s="2"/>
      <c r="H2394" s="2" t="s">
        <v>2747</v>
      </c>
      <c r="I2394" s="2" t="s">
        <v>15</v>
      </c>
      <c r="J2394" s="2" t="s">
        <v>616</v>
      </c>
      <c r="K2394" s="2" t="s">
        <v>3485</v>
      </c>
      <c r="L2394" s="2">
        <f t="shared" si="37"/>
        <v>150</v>
      </c>
    </row>
    <row r="2395" spans="1:12" ht="25" customHeight="1">
      <c r="A2395" s="2" t="s">
        <v>12</v>
      </c>
      <c r="B2395" s="2" t="str">
        <f>HYPERLINK("http://bbs.12365auto.com/postcontent.aspx?tID=195122","销量暴增的背后红旗经历了什么")</f>
        <v>销量暴增的背后红旗经历了什么</v>
      </c>
      <c r="C2395" s="2" t="s">
        <v>13</v>
      </c>
      <c r="D2395" s="2" t="s">
        <v>12</v>
      </c>
      <c r="E2395" s="2" t="s">
        <v>28</v>
      </c>
      <c r="F2395" s="2" t="str">
        <f>HYPERLINK("http://bbs.12365auto.com/postcontent.aspx?tID=195122","http://bbs.12365auto.com/postcontent.aspx?tID=195122")</f>
        <v>http://bbs.12365auto.com/postcontent.aspx?tID=195122</v>
      </c>
      <c r="G2395" s="2"/>
      <c r="H2395" s="2" t="s">
        <v>3486</v>
      </c>
      <c r="I2395" s="2" t="s">
        <v>15</v>
      </c>
      <c r="J2395" s="2" t="s">
        <v>616</v>
      </c>
      <c r="K2395" s="2" t="s">
        <v>3485</v>
      </c>
      <c r="L2395" s="2">
        <f t="shared" si="37"/>
        <v>150</v>
      </c>
    </row>
    <row r="2396" spans="1:12" ht="25" customHeight="1">
      <c r="A2396" s="2" t="s">
        <v>12</v>
      </c>
      <c r="B2396" s="2" t="str">
        <f>HYPERLINK("http://bbs.12365auto.com/postcontent.aspx?tID=195123","凯迪拉克CT4上市后 会让迈腾 亚洲龙颤抖")</f>
        <v>凯迪拉克CT4上市后 会让迈腾 亚洲龙颤抖</v>
      </c>
      <c r="C2396" s="2" t="s">
        <v>13</v>
      </c>
      <c r="D2396" s="2" t="s">
        <v>12</v>
      </c>
      <c r="E2396" s="2" t="s">
        <v>28</v>
      </c>
      <c r="F2396" s="2" t="str">
        <f>HYPERLINK("http://bbs.12365auto.com/postcontent.aspx?tID=195123","http://bbs.12365auto.com/postcontent.aspx?tID=195123")</f>
        <v>http://bbs.12365auto.com/postcontent.aspx?tID=195123</v>
      </c>
      <c r="G2396" s="2"/>
      <c r="H2396" s="2" t="s">
        <v>3487</v>
      </c>
      <c r="I2396" s="2" t="s">
        <v>15</v>
      </c>
      <c r="J2396" s="2" t="s">
        <v>616</v>
      </c>
      <c r="K2396" s="2" t="s">
        <v>3485</v>
      </c>
      <c r="L2396" s="2">
        <f t="shared" si="37"/>
        <v>150</v>
      </c>
    </row>
    <row r="2397" spans="1:12" ht="25" customHeight="1">
      <c r="A2397" s="2" t="s">
        <v>12</v>
      </c>
      <c r="B2397" s="2" t="str">
        <f>HYPERLINK("http://bbs.12365auto.com/postcontent.aspx?tId=195122","销量暴增的背后红旗经历了什么")</f>
        <v>销量暴增的背后红旗经历了什么</v>
      </c>
      <c r="C2397" s="2" t="s">
        <v>13</v>
      </c>
      <c r="D2397" s="2" t="s">
        <v>12</v>
      </c>
      <c r="E2397" s="2" t="s">
        <v>27</v>
      </c>
      <c r="F2397" s="2" t="str">
        <f>HYPERLINK("http://bbs.12365auto.com/postcontent.aspx?tId=195122","http://bbs.12365auto.com/postcontent.aspx?tId=195122")</f>
        <v>http://bbs.12365auto.com/postcontent.aspx?tId=195122</v>
      </c>
      <c r="G2397" s="2"/>
      <c r="H2397" s="2" t="s">
        <v>2747</v>
      </c>
      <c r="I2397" s="2" t="s">
        <v>15</v>
      </c>
      <c r="J2397" s="2" t="s">
        <v>616</v>
      </c>
      <c r="K2397" s="2" t="s">
        <v>3485</v>
      </c>
      <c r="L2397" s="2">
        <f t="shared" si="37"/>
        <v>150</v>
      </c>
    </row>
    <row r="2398" spans="1:12" ht="25" customHeight="1">
      <c r="A2398" s="2" t="s">
        <v>12</v>
      </c>
      <c r="B2398" s="2" t="str">
        <f>HYPERLINK("http://bbs.12365auto.com/postcontent.aspx?tId=195123","凯迪拉克CT4上市后 会让迈腾 亚洲龙颤抖")</f>
        <v>凯迪拉克CT4上市后 会让迈腾 亚洲龙颤抖</v>
      </c>
      <c r="C2398" s="2" t="s">
        <v>13</v>
      </c>
      <c r="D2398" s="2" t="s">
        <v>12</v>
      </c>
      <c r="E2398" s="2" t="s">
        <v>27</v>
      </c>
      <c r="F2398" s="2" t="str">
        <f>HYPERLINK("http://bbs.12365auto.com/postcontent.aspx?tId=195123","http://bbs.12365auto.com/postcontent.aspx?tId=195123")</f>
        <v>http://bbs.12365auto.com/postcontent.aspx?tId=195123</v>
      </c>
      <c r="G2398" s="2"/>
      <c r="H2398" s="2" t="s">
        <v>3484</v>
      </c>
      <c r="I2398" s="2" t="s">
        <v>15</v>
      </c>
      <c r="J2398" s="2" t="s">
        <v>616</v>
      </c>
      <c r="K2398" s="2" t="s">
        <v>3485</v>
      </c>
      <c r="L2398" s="2">
        <f t="shared" si="37"/>
        <v>150</v>
      </c>
    </row>
    <row r="2399" spans="1:12" ht="25" customHeight="1">
      <c r="A2399" s="2" t="s">
        <v>12</v>
      </c>
      <c r="B2399" s="2" t="str">
        <f>HYPERLINK("http://m.12365auto.com/xcdg/20200225/419499.shtml","宿敌较量：宝马3系与捷豹XEL谁更值得推荐")</f>
        <v>宿敌较量：宝马3系与捷豹XEL谁更值得推荐</v>
      </c>
      <c r="C2399" s="2" t="s">
        <v>13</v>
      </c>
      <c r="D2399" s="2" t="s">
        <v>12</v>
      </c>
      <c r="E2399" s="2"/>
      <c r="F2399" s="2" t="str">
        <f>HYPERLINK("http://m.12365auto.com/xcdg/20200225/419499.shtml","http://m.12365auto.com/xcdg/20200225/419499.shtml")</f>
        <v>http://m.12365auto.com/xcdg/20200225/419499.shtml</v>
      </c>
      <c r="G2399" s="2"/>
      <c r="H2399" s="2" t="s">
        <v>3488</v>
      </c>
      <c r="I2399" s="2" t="s">
        <v>19</v>
      </c>
      <c r="J2399" s="2" t="s">
        <v>844</v>
      </c>
      <c r="K2399" s="2" t="s">
        <v>3485</v>
      </c>
      <c r="L2399" s="2">
        <f t="shared" si="37"/>
        <v>150</v>
      </c>
    </row>
    <row r="2400" spans="1:12" ht="25" customHeight="1">
      <c r="A2400" s="2" t="s">
        <v>12</v>
      </c>
      <c r="B2400" s="2" t="str">
        <f>HYPERLINK("http://m.12365auto.com/bbs/postcontent.aspx?tID=195121","国产的奥迪A7L 究竟要不要死等")</f>
        <v>国产的奥迪A7L 究竟要不要死等</v>
      </c>
      <c r="C2400" s="2" t="s">
        <v>13</v>
      </c>
      <c r="D2400" s="2" t="s">
        <v>23</v>
      </c>
      <c r="E2400" s="2"/>
      <c r="F2400" s="2" t="str">
        <f>HYPERLINK("http://m.12365auto.com/bbs/postcontent.aspx?tID=195121","http://m.12365auto.com/bbs/postcontent.aspx?tID=195121")</f>
        <v>http://m.12365auto.com/bbs/postcontent.aspx?tID=195121</v>
      </c>
      <c r="G2400" s="2"/>
      <c r="H2400" s="2" t="s">
        <v>3489</v>
      </c>
      <c r="I2400" s="2" t="s">
        <v>15</v>
      </c>
      <c r="J2400" s="2" t="s">
        <v>616</v>
      </c>
      <c r="K2400" s="2" t="s">
        <v>3490</v>
      </c>
      <c r="L2400" s="2">
        <f t="shared" si="37"/>
        <v>150</v>
      </c>
    </row>
    <row r="2401" spans="1:12" ht="25" customHeight="1">
      <c r="A2401" s="2" t="s">
        <v>12</v>
      </c>
      <c r="B2401" s="2" t="str">
        <f>HYPERLINK("http://bbs.12365auto.com/postcontent.aspx?tID=195121","国产的奥迪A7L 究竟要不要死等")</f>
        <v>国产的奥迪A7L 究竟要不要死等</v>
      </c>
      <c r="C2401" s="2" t="s">
        <v>13</v>
      </c>
      <c r="D2401" s="2" t="s">
        <v>12</v>
      </c>
      <c r="E2401" s="2" t="s">
        <v>28</v>
      </c>
      <c r="F2401" s="2" t="str">
        <f>HYPERLINK("http://bbs.12365auto.com/postcontent.aspx?tID=195121","http://bbs.12365auto.com/postcontent.aspx?tID=195121")</f>
        <v>http://bbs.12365auto.com/postcontent.aspx?tID=195121</v>
      </c>
      <c r="G2401" s="2"/>
      <c r="H2401" s="2" t="s">
        <v>3491</v>
      </c>
      <c r="I2401" s="2" t="s">
        <v>15</v>
      </c>
      <c r="J2401" s="2" t="s">
        <v>616</v>
      </c>
      <c r="K2401" s="2" t="s">
        <v>3490</v>
      </c>
      <c r="L2401" s="2">
        <f t="shared" si="37"/>
        <v>150</v>
      </c>
    </row>
    <row r="2402" spans="1:12" ht="25" customHeight="1">
      <c r="A2402" s="2" t="s">
        <v>12</v>
      </c>
      <c r="B2402" s="2" t="str">
        <f>HYPERLINK("http://m.12365auto.com/xcdg/20200225/419498.shtml","坐稳销冠靠的啥？ 简析广汽本田雅阁")</f>
        <v>坐稳销冠靠的啥？ 简析广汽本田雅阁</v>
      </c>
      <c r="C2402" s="2" t="s">
        <v>13</v>
      </c>
      <c r="D2402" s="2" t="s">
        <v>12</v>
      </c>
      <c r="E2402" s="2"/>
      <c r="F2402" s="2" t="str">
        <f>HYPERLINK("http://m.12365auto.com/xcdg/20200225/419498.shtml","http://m.12365auto.com/xcdg/20200225/419498.shtml")</f>
        <v>http://m.12365auto.com/xcdg/20200225/419498.shtml</v>
      </c>
      <c r="G2402" s="2"/>
      <c r="H2402" s="2" t="s">
        <v>3492</v>
      </c>
      <c r="I2402" s="2" t="s">
        <v>19</v>
      </c>
      <c r="J2402" s="2" t="s">
        <v>849</v>
      </c>
      <c r="K2402" s="2" t="s">
        <v>3490</v>
      </c>
      <c r="L2402" s="2">
        <f t="shared" si="37"/>
        <v>150</v>
      </c>
    </row>
    <row r="2403" spans="1:12" ht="25" customHeight="1">
      <c r="A2403" s="2" t="s">
        <v>12</v>
      </c>
      <c r="B2403" s="2" t="str">
        <f>HYPERLINK("http://bbs.12365auto.com/postcontent.aspx?tId=195121","国产的奥迪A7L 究竟要不要死等")</f>
        <v>国产的奥迪A7L 究竟要不要死等</v>
      </c>
      <c r="C2403" s="2" t="s">
        <v>13</v>
      </c>
      <c r="D2403" s="2" t="s">
        <v>12</v>
      </c>
      <c r="E2403" s="2" t="s">
        <v>27</v>
      </c>
      <c r="F2403" s="2" t="str">
        <f>HYPERLINK("http://bbs.12365auto.com/postcontent.aspx?tId=195121","http://bbs.12365auto.com/postcontent.aspx?tId=195121")</f>
        <v>http://bbs.12365auto.com/postcontent.aspx?tId=195121</v>
      </c>
      <c r="G2403" s="2"/>
      <c r="H2403" s="2" t="s">
        <v>3489</v>
      </c>
      <c r="I2403" s="2" t="s">
        <v>15</v>
      </c>
      <c r="J2403" s="2" t="s">
        <v>616</v>
      </c>
      <c r="K2403" s="2" t="s">
        <v>3490</v>
      </c>
      <c r="L2403" s="2">
        <f t="shared" si="37"/>
        <v>150</v>
      </c>
    </row>
    <row r="2404" spans="1:12" ht="25" customHeight="1">
      <c r="A2404" s="2" t="s">
        <v>12</v>
      </c>
      <c r="B2404" s="2" t="str">
        <f>HYPERLINK("http://m.12365auto.com/zjdy/20200225/121613.shtml","变速箱挡油板变形是什么原因导致的？")</f>
        <v>变速箱挡油板变形是什么原因导致的？</v>
      </c>
      <c r="C2404" s="2" t="s">
        <v>13</v>
      </c>
      <c r="D2404" s="2" t="s">
        <v>12</v>
      </c>
      <c r="E2404" s="2"/>
      <c r="F2404" s="2" t="str">
        <f>HYPERLINK("http://m.12365auto.com/zjdy/20200225/121613.shtml","http://m.12365auto.com/zjdy/20200225/121613.shtml")</f>
        <v>http://m.12365auto.com/zjdy/20200225/121613.shtml</v>
      </c>
      <c r="G2404" s="2"/>
      <c r="H2404" s="2" t="s">
        <v>3493</v>
      </c>
      <c r="I2404" s="2" t="s">
        <v>19</v>
      </c>
      <c r="J2404" s="2" t="s">
        <v>12</v>
      </c>
      <c r="K2404" s="2" t="s">
        <v>3494</v>
      </c>
      <c r="L2404" s="2">
        <f t="shared" si="37"/>
        <v>150</v>
      </c>
    </row>
    <row r="2405" spans="1:12" ht="25" customHeight="1">
      <c r="A2405" s="2" t="s">
        <v>12</v>
      </c>
      <c r="B2405" s="2" t="str">
        <f>HYPERLINK("http://www.12365auto.com/zlts/20200225/448607.shtml","上汽名爵ZS发动机故障灯亮希望厂家处理")</f>
        <v>上汽名爵ZS发动机故障灯亮希望厂家处理</v>
      </c>
      <c r="C2405" s="2" t="s">
        <v>13</v>
      </c>
      <c r="D2405" s="2" t="s">
        <v>12</v>
      </c>
      <c r="E2405" s="2" t="s">
        <v>17</v>
      </c>
      <c r="F2405" s="2" t="str">
        <f>HYPERLINK("http://www.12365auto.com/zlts/20200225/448607.shtml","http://www.12365auto.com/zlts/20200225/448607.shtml")</f>
        <v>http://www.12365auto.com/zlts/20200225/448607.shtml</v>
      </c>
      <c r="G2405" s="2"/>
      <c r="H2405" s="2" t="s">
        <v>3495</v>
      </c>
      <c r="I2405" s="2" t="s">
        <v>15</v>
      </c>
      <c r="J2405" s="2" t="s">
        <v>12</v>
      </c>
      <c r="K2405" s="2" t="s">
        <v>3496</v>
      </c>
      <c r="L2405" s="2">
        <f t="shared" si="37"/>
        <v>150</v>
      </c>
    </row>
    <row r="2406" spans="1:12" ht="25" customHeight="1">
      <c r="A2406" s="2" t="s">
        <v>12</v>
      </c>
      <c r="B2406" s="2" t="str">
        <f>HYPERLINK("http://www.12365auto.com/scbg/20200225/419497.shtml","最强合资纯电轿跑 菲斯塔纯电动怎么样？")</f>
        <v>最强合资纯电轿跑 菲斯塔纯电动怎么样？</v>
      </c>
      <c r="C2406" s="2" t="s">
        <v>13</v>
      </c>
      <c r="D2406" s="2" t="s">
        <v>12</v>
      </c>
      <c r="E2406" s="2" t="s">
        <v>1548</v>
      </c>
      <c r="F2406" s="2" t="str">
        <f>HYPERLINK("http://www.12365auto.com/scbg/20200225/419497.shtml","http://www.12365auto.com/scbg/20200225/419497.shtml")</f>
        <v>http://www.12365auto.com/scbg/20200225/419497.shtml</v>
      </c>
      <c r="G2406" s="2"/>
      <c r="H2406" s="2" t="s">
        <v>3497</v>
      </c>
      <c r="I2406" s="2" t="s">
        <v>15</v>
      </c>
      <c r="J2406" s="2" t="s">
        <v>12</v>
      </c>
      <c r="K2406" s="2" t="s">
        <v>3498</v>
      </c>
      <c r="L2406" s="2">
        <f t="shared" si="37"/>
        <v>150</v>
      </c>
    </row>
    <row r="2407" spans="1:12" ht="25" customHeight="1">
      <c r="A2407" s="2" t="s">
        <v>12</v>
      </c>
      <c r="B2407" s="2" t="str">
        <f>HYPERLINK("http://m.12365auto.com/scbg/20200225/419497.shtml","最强合资纯电轿跑 菲斯塔纯电动怎么样？")</f>
        <v>最强合资纯电轿跑 菲斯塔纯电动怎么样？</v>
      </c>
      <c r="C2407" s="2" t="s">
        <v>13</v>
      </c>
      <c r="D2407" s="2" t="s">
        <v>12</v>
      </c>
      <c r="E2407" s="2"/>
      <c r="F2407" s="2" t="str">
        <f>HYPERLINK("http://m.12365auto.com/scbg/20200225/419497.shtml","http://m.12365auto.com/scbg/20200225/419497.shtml")</f>
        <v>http://m.12365auto.com/scbg/20200225/419497.shtml</v>
      </c>
      <c r="G2407" s="2"/>
      <c r="H2407" s="2" t="s">
        <v>3499</v>
      </c>
      <c r="I2407" s="2" t="s">
        <v>19</v>
      </c>
      <c r="J2407" s="2" t="s">
        <v>3500</v>
      </c>
      <c r="K2407" s="2" t="s">
        <v>3498</v>
      </c>
      <c r="L2407" s="2">
        <f t="shared" si="37"/>
        <v>150</v>
      </c>
    </row>
    <row r="2408" spans="1:12" ht="25" customHeight="1">
      <c r="A2408" s="2" t="s">
        <v>12</v>
      </c>
      <c r="B2408" s="2" t="str">
        <f>HYPERLINK("http://www.12365auto.com/zlts/20200225/448605.shtml","绅宝X35手机互联功能无法正常使用")</f>
        <v>绅宝X35手机互联功能无法正常使用</v>
      </c>
      <c r="C2408" s="2" t="s">
        <v>13</v>
      </c>
      <c r="D2408" s="2" t="s">
        <v>12</v>
      </c>
      <c r="E2408" s="2" t="s">
        <v>17</v>
      </c>
      <c r="F2408" s="2" t="str">
        <f>HYPERLINK("http://www.12365auto.com/zlts/20200225/448605.shtml","http://www.12365auto.com/zlts/20200225/448605.shtml")</f>
        <v>http://www.12365auto.com/zlts/20200225/448605.shtml</v>
      </c>
      <c r="G2408" s="2"/>
      <c r="H2408" s="2" t="s">
        <v>3501</v>
      </c>
      <c r="I2408" s="2" t="s">
        <v>19</v>
      </c>
      <c r="J2408" s="2" t="s">
        <v>12</v>
      </c>
      <c r="K2408" s="2" t="s">
        <v>3502</v>
      </c>
      <c r="L2408" s="2">
        <f t="shared" si="37"/>
        <v>150</v>
      </c>
    </row>
    <row r="2409" spans="1:12" ht="25" customHeight="1">
      <c r="A2409" s="2" t="s">
        <v>12</v>
      </c>
      <c r="B2409" s="2" t="str">
        <f>HYPERLINK("http://m.12365auto.com/news/20200225/419496.shtml","疫情期间洗车难？市面主流洗车器推荐")</f>
        <v>疫情期间洗车难？市面主流洗车器推荐</v>
      </c>
      <c r="C2409" s="2" t="s">
        <v>13</v>
      </c>
      <c r="D2409" s="2" t="s">
        <v>12</v>
      </c>
      <c r="E2409" s="2"/>
      <c r="F2409" s="2" t="str">
        <f>HYPERLINK("http://m.12365auto.com/news/20200225/419496.shtml","http://m.12365auto.com/news/20200225/419496.shtml")</f>
        <v>http://m.12365auto.com/news/20200225/419496.shtml</v>
      </c>
      <c r="G2409" s="2"/>
      <c r="H2409" s="2" t="s">
        <v>3503</v>
      </c>
      <c r="I2409" s="2" t="s">
        <v>19</v>
      </c>
      <c r="J2409" s="2" t="s">
        <v>2486</v>
      </c>
      <c r="K2409" s="2" t="s">
        <v>3504</v>
      </c>
      <c r="L2409" s="2">
        <f t="shared" si="37"/>
        <v>150</v>
      </c>
    </row>
    <row r="2410" spans="1:12" ht="25" customHeight="1">
      <c r="A2410" s="2" t="s">
        <v>12</v>
      </c>
      <c r="B2410" s="2" t="str">
        <f>HYPERLINK("http://www.12365auto.com/news/20200225/419496.shtml","疫情期间洗车难？市面主流洗车器推荐")</f>
        <v>疫情期间洗车难？市面主流洗车器推荐</v>
      </c>
      <c r="C2410" s="2" t="s">
        <v>13</v>
      </c>
      <c r="D2410" s="2" t="s">
        <v>12</v>
      </c>
      <c r="E2410" s="2" t="s">
        <v>372</v>
      </c>
      <c r="F2410" s="2" t="str">
        <f>HYPERLINK("http://www.12365auto.com/news/20200225/419496.shtml","http://www.12365auto.com/news/20200225/419496.shtml")</f>
        <v>http://www.12365auto.com/news/20200225/419496.shtml</v>
      </c>
      <c r="G2410" s="2"/>
      <c r="H2410" s="2" t="s">
        <v>3505</v>
      </c>
      <c r="I2410" s="2" t="s">
        <v>15</v>
      </c>
      <c r="J2410" s="2" t="s">
        <v>12</v>
      </c>
      <c r="K2410" s="2" t="s">
        <v>3504</v>
      </c>
      <c r="L2410" s="2">
        <f t="shared" si="37"/>
        <v>150</v>
      </c>
    </row>
    <row r="2411" spans="1:12" ht="25" customHeight="1">
      <c r="A2411" s="2" t="s">
        <v>12</v>
      </c>
      <c r="B2411" s="2" t="str">
        <f>HYPERLINK("http://m.12365auto.com/news/20200225/419495.shtml","为什么行驶两万公里后要对调轮胎位置？")</f>
        <v>为什么行驶两万公里后要对调轮胎位置？</v>
      </c>
      <c r="C2411" s="2" t="s">
        <v>13</v>
      </c>
      <c r="D2411" s="2" t="s">
        <v>12</v>
      </c>
      <c r="E2411" s="2"/>
      <c r="F2411" s="2" t="str">
        <f>HYPERLINK("http://m.12365auto.com/news/20200225/419495.shtml","http://m.12365auto.com/news/20200225/419495.shtml")</f>
        <v>http://m.12365auto.com/news/20200225/419495.shtml</v>
      </c>
      <c r="G2411" s="2"/>
      <c r="H2411" s="2" t="s">
        <v>3506</v>
      </c>
      <c r="I2411" s="2" t="s">
        <v>19</v>
      </c>
      <c r="J2411" s="2" t="s">
        <v>3507</v>
      </c>
      <c r="K2411" s="2" t="s">
        <v>3508</v>
      </c>
      <c r="L2411" s="2">
        <f t="shared" si="37"/>
        <v>150</v>
      </c>
    </row>
    <row r="2412" spans="1:12" ht="25" customHeight="1">
      <c r="A2412" s="2" t="s">
        <v>12</v>
      </c>
      <c r="B2412" s="2" t="str">
        <f>HYPERLINK("http://www.12365auto.com/news/20200225/419495.shtml","为什么行驶两万公里后要对调轮胎位置？")</f>
        <v>为什么行驶两万公里后要对调轮胎位置？</v>
      </c>
      <c r="C2412" s="2" t="s">
        <v>13</v>
      </c>
      <c r="D2412" s="2" t="s">
        <v>12</v>
      </c>
      <c r="E2412" s="2" t="s">
        <v>372</v>
      </c>
      <c r="F2412" s="2" t="str">
        <f>HYPERLINK("http://www.12365auto.com/news/20200225/419495.shtml","http://www.12365auto.com/news/20200225/419495.shtml")</f>
        <v>http://www.12365auto.com/news/20200225/419495.shtml</v>
      </c>
      <c r="G2412" s="2"/>
      <c r="H2412" s="2" t="s">
        <v>3509</v>
      </c>
      <c r="I2412" s="2" t="s">
        <v>15</v>
      </c>
      <c r="J2412" s="2" t="s">
        <v>12</v>
      </c>
      <c r="K2412" s="2" t="s">
        <v>3508</v>
      </c>
      <c r="L2412" s="2">
        <f t="shared" si="37"/>
        <v>150</v>
      </c>
    </row>
    <row r="2413" spans="1:12" ht="25" customHeight="1">
      <c r="A2413" s="2" t="s">
        <v>12</v>
      </c>
      <c r="B2413" s="2" t="str">
        <f>HYPERLINK("http://www.12365auto.com/zlts/20200225/448603.shtml","上汽名爵6电瓶多次亏电 倒车影像模糊")</f>
        <v>上汽名爵6电瓶多次亏电 倒车影像模糊</v>
      </c>
      <c r="C2413" s="2" t="s">
        <v>13</v>
      </c>
      <c r="D2413" s="2" t="s">
        <v>12</v>
      </c>
      <c r="E2413" s="2" t="s">
        <v>17</v>
      </c>
      <c r="F2413" s="2" t="str">
        <f>HYPERLINK("http://www.12365auto.com/zlts/20200225/448603.shtml","http://www.12365auto.com/zlts/20200225/448603.shtml")</f>
        <v>http://www.12365auto.com/zlts/20200225/448603.shtml</v>
      </c>
      <c r="G2413" s="2"/>
      <c r="H2413" s="2" t="s">
        <v>3510</v>
      </c>
      <c r="I2413" s="2" t="s">
        <v>15</v>
      </c>
      <c r="J2413" s="2" t="s">
        <v>12</v>
      </c>
      <c r="K2413" s="2" t="s">
        <v>3511</v>
      </c>
      <c r="L2413" s="2">
        <f t="shared" si="37"/>
        <v>150</v>
      </c>
    </row>
    <row r="2414" spans="1:12" ht="25" customHeight="1">
      <c r="A2414" s="2" t="s">
        <v>12</v>
      </c>
      <c r="B2414" s="2" t="str">
        <f>HYPERLINK("http://www.12365auto.com/xcdg/20200225/419494.shtml","全新宝马4系渲染图曝光 造型前卫动感")</f>
        <v>全新宝马4系渲染图曝光 造型前卫动感</v>
      </c>
      <c r="C2414" s="2" t="s">
        <v>13</v>
      </c>
      <c r="D2414" s="2" t="s">
        <v>12</v>
      </c>
      <c r="E2414" s="2" t="s">
        <v>245</v>
      </c>
      <c r="F2414" s="2" t="str">
        <f>HYPERLINK("http://www.12365auto.com/xcdg/20200225/419494.shtml","http://www.12365auto.com/xcdg/20200225/419494.shtml")</f>
        <v>http://www.12365auto.com/xcdg/20200225/419494.shtml</v>
      </c>
      <c r="G2414" s="2"/>
      <c r="H2414" s="2" t="s">
        <v>3512</v>
      </c>
      <c r="I2414" s="2" t="s">
        <v>19</v>
      </c>
      <c r="J2414" s="2" t="s">
        <v>12</v>
      </c>
      <c r="K2414" s="2" t="s">
        <v>3511</v>
      </c>
      <c r="L2414" s="2">
        <f t="shared" si="37"/>
        <v>150</v>
      </c>
    </row>
    <row r="2415" spans="1:12" ht="25" customHeight="1">
      <c r="A2415" s="2" t="s">
        <v>12</v>
      </c>
      <c r="B2415" s="2" t="str">
        <f>HYPERLINK("http://m.12365auto.com/xcdg/20200225/419494.shtml","全新宝马4系渲染图曝光 造型前卫动感")</f>
        <v>全新宝马4系渲染图曝光 造型前卫动感</v>
      </c>
      <c r="C2415" s="2" t="s">
        <v>13</v>
      </c>
      <c r="D2415" s="2" t="s">
        <v>12</v>
      </c>
      <c r="E2415" s="2"/>
      <c r="F2415" s="2" t="str">
        <f>HYPERLINK("http://m.12365auto.com/xcdg/20200225/419494.shtml","http://m.12365auto.com/xcdg/20200225/419494.shtml")</f>
        <v>http://m.12365auto.com/xcdg/20200225/419494.shtml</v>
      </c>
      <c r="G2415" s="2"/>
      <c r="H2415" s="2" t="s">
        <v>3513</v>
      </c>
      <c r="I2415" s="2" t="s">
        <v>19</v>
      </c>
      <c r="J2415" s="2" t="s">
        <v>12</v>
      </c>
      <c r="K2415" s="2" t="s">
        <v>3511</v>
      </c>
      <c r="L2415" s="2">
        <f t="shared" si="37"/>
        <v>150</v>
      </c>
    </row>
    <row r="2416" spans="1:12" ht="25" customHeight="1">
      <c r="A2416" s="2" t="s">
        <v>12</v>
      </c>
      <c r="B2416" s="2" t="str">
        <f>HYPERLINK("http://m.12365auto.com/xcdg/20200225/419493.shtml","新款宝马M5谍照曝光 或2020年内亮相")</f>
        <v>新款宝马M5谍照曝光 或2020年内亮相</v>
      </c>
      <c r="C2416" s="2" t="s">
        <v>13</v>
      </c>
      <c r="D2416" s="2" t="s">
        <v>12</v>
      </c>
      <c r="E2416" s="2"/>
      <c r="F2416" s="2" t="str">
        <f>HYPERLINK("http://m.12365auto.com/xcdg/20200225/419493.shtml","http://m.12365auto.com/xcdg/20200225/419493.shtml")</f>
        <v>http://m.12365auto.com/xcdg/20200225/419493.shtml</v>
      </c>
      <c r="G2416" s="2"/>
      <c r="H2416" s="2" t="s">
        <v>3514</v>
      </c>
      <c r="I2416" s="2" t="s">
        <v>19</v>
      </c>
      <c r="J2416" s="2" t="s">
        <v>12</v>
      </c>
      <c r="K2416" s="2" t="s">
        <v>3515</v>
      </c>
      <c r="L2416" s="2">
        <f t="shared" si="37"/>
        <v>150</v>
      </c>
    </row>
    <row r="2417" spans="1:12" ht="25" customHeight="1">
      <c r="A2417" s="2" t="s">
        <v>12</v>
      </c>
      <c r="B2417" s="2" t="str">
        <f>HYPERLINK("http://www.12365auto.com/xcdg/20200225/419493.shtml","新款宝马M5谍照曝光 或2020年内亮相")</f>
        <v>新款宝马M5谍照曝光 或2020年内亮相</v>
      </c>
      <c r="C2417" s="2" t="s">
        <v>13</v>
      </c>
      <c r="D2417" s="2" t="s">
        <v>12</v>
      </c>
      <c r="E2417" s="2" t="s">
        <v>224</v>
      </c>
      <c r="F2417" s="2" t="str">
        <f>HYPERLINK("http://www.12365auto.com/xcdg/20200225/419493.shtml","http://www.12365auto.com/xcdg/20200225/419493.shtml")</f>
        <v>http://www.12365auto.com/xcdg/20200225/419493.shtml</v>
      </c>
      <c r="G2417" s="2"/>
      <c r="H2417" s="2" t="s">
        <v>3516</v>
      </c>
      <c r="I2417" s="2" t="s">
        <v>15</v>
      </c>
      <c r="J2417" s="2" t="s">
        <v>12</v>
      </c>
      <c r="K2417" s="2" t="s">
        <v>3515</v>
      </c>
      <c r="L2417" s="2">
        <f t="shared" si="37"/>
        <v>150</v>
      </c>
    </row>
    <row r="2418" spans="1:12" ht="25" customHeight="1">
      <c r="A2418" s="2" t="s">
        <v>12</v>
      </c>
      <c r="B2418" s="2" t="str">
        <f>HYPERLINK("http://m.12365auto.com/xcdg/20200225/419492.shtml","捷豹F-Pace雪地谍照曝光 将增加电气化形式")</f>
        <v>捷豹F-Pace雪地谍照曝光 将增加电气化形式</v>
      </c>
      <c r="C2418" s="2" t="s">
        <v>13</v>
      </c>
      <c r="D2418" s="2" t="s">
        <v>12</v>
      </c>
      <c r="E2418" s="2"/>
      <c r="F2418" s="2" t="str">
        <f>HYPERLINK("http://m.12365auto.com/xcdg/20200225/419492.shtml","http://m.12365auto.com/xcdg/20200225/419492.shtml")</f>
        <v>http://m.12365auto.com/xcdg/20200225/419492.shtml</v>
      </c>
      <c r="G2418" s="2"/>
      <c r="H2418" s="2" t="s">
        <v>3517</v>
      </c>
      <c r="I2418" s="2" t="s">
        <v>19</v>
      </c>
      <c r="J2418" s="2" t="s">
        <v>12</v>
      </c>
      <c r="K2418" s="2" t="s">
        <v>3518</v>
      </c>
      <c r="L2418" s="2">
        <f t="shared" si="37"/>
        <v>150</v>
      </c>
    </row>
    <row r="2419" spans="1:12" ht="25" customHeight="1">
      <c r="A2419" s="2" t="s">
        <v>12</v>
      </c>
      <c r="B2419" s="2" t="str">
        <f>HYPERLINK("http://www.12365auto.com/xcdg/20200225/419492.shtml","捷豹F-Pace雪地谍照曝光 将增加电气化形式")</f>
        <v>捷豹F-Pace雪地谍照曝光 将增加电气化形式</v>
      </c>
      <c r="C2419" s="2" t="s">
        <v>13</v>
      </c>
      <c r="D2419" s="2" t="s">
        <v>12</v>
      </c>
      <c r="E2419" s="2" t="s">
        <v>224</v>
      </c>
      <c r="F2419" s="2" t="str">
        <f>HYPERLINK("http://www.12365auto.com/xcdg/20200225/419492.shtml","http://www.12365auto.com/xcdg/20200225/419492.shtml")</f>
        <v>http://www.12365auto.com/xcdg/20200225/419492.shtml</v>
      </c>
      <c r="G2419" s="2"/>
      <c r="H2419" s="2" t="s">
        <v>3519</v>
      </c>
      <c r="I2419" s="2" t="s">
        <v>15</v>
      </c>
      <c r="J2419" s="2" t="s">
        <v>12</v>
      </c>
      <c r="K2419" s="2" t="s">
        <v>3518</v>
      </c>
      <c r="L2419" s="2">
        <f t="shared" si="37"/>
        <v>150</v>
      </c>
    </row>
    <row r="2420" spans="1:12" ht="25" customHeight="1">
      <c r="A2420" s="2" t="s">
        <v>12</v>
      </c>
      <c r="B2420" s="2" t="str">
        <f>HYPERLINK("http://www.12365auto.com/news/20200225/419491.shtml","本田确认未来将会推出R型电动汽车")</f>
        <v>本田确认未来将会推出R型电动汽车</v>
      </c>
      <c r="C2420" s="2" t="s">
        <v>13</v>
      </c>
      <c r="D2420" s="2" t="s">
        <v>12</v>
      </c>
      <c r="E2420" s="2" t="s">
        <v>276</v>
      </c>
      <c r="F2420" s="2" t="str">
        <f>HYPERLINK("http://www.12365auto.com/news/20200225/419491.shtml","http://www.12365auto.com/news/20200225/419491.shtml")</f>
        <v>http://www.12365auto.com/news/20200225/419491.shtml</v>
      </c>
      <c r="G2420" s="2"/>
      <c r="H2420" s="2" t="s">
        <v>3520</v>
      </c>
      <c r="I2420" s="2" t="s">
        <v>15</v>
      </c>
      <c r="J2420" s="2" t="s">
        <v>12</v>
      </c>
      <c r="K2420" s="2" t="s">
        <v>3521</v>
      </c>
      <c r="L2420" s="2">
        <f t="shared" si="37"/>
        <v>150</v>
      </c>
    </row>
    <row r="2421" spans="1:12" ht="25" customHeight="1">
      <c r="A2421" s="2" t="s">
        <v>12</v>
      </c>
      <c r="B2421" s="2" t="str">
        <f>HYPERLINK("http://m.12365auto.com/news/20200225/419491.shtml","本田确认未来将会推出R型电动汽车")</f>
        <v>本田确认未来将会推出R型电动汽车</v>
      </c>
      <c r="C2421" s="2" t="s">
        <v>13</v>
      </c>
      <c r="D2421" s="2" t="s">
        <v>12</v>
      </c>
      <c r="E2421" s="2"/>
      <c r="F2421" s="2" t="str">
        <f>HYPERLINK("http://m.12365auto.com/news/20200225/419491.shtml","http://m.12365auto.com/news/20200225/419491.shtml")</f>
        <v>http://m.12365auto.com/news/20200225/419491.shtml</v>
      </c>
      <c r="G2421" s="2"/>
      <c r="H2421" s="2" t="s">
        <v>3522</v>
      </c>
      <c r="I2421" s="2" t="s">
        <v>19</v>
      </c>
      <c r="J2421" s="2" t="s">
        <v>12</v>
      </c>
      <c r="K2421" s="2" t="s">
        <v>3521</v>
      </c>
      <c r="L2421" s="2">
        <f t="shared" si="37"/>
        <v>150</v>
      </c>
    </row>
    <row r="2422" spans="1:12" ht="25" customHeight="1">
      <c r="A2422" s="2" t="s">
        <v>12</v>
      </c>
      <c r="B2422" s="2" t="str">
        <f>HYPERLINK("http://m.12365auto.com/xcdg/20200225/419490.shtml","新款博骏信息曝光 外观更运动/配置更丰富")</f>
        <v>新款博骏信息曝光 外观更运动/配置更丰富</v>
      </c>
      <c r="C2422" s="2" t="s">
        <v>13</v>
      </c>
      <c r="D2422" s="2" t="s">
        <v>12</v>
      </c>
      <c r="E2422" s="2"/>
      <c r="F2422" s="2" t="str">
        <f>HYPERLINK("http://m.12365auto.com/xcdg/20200225/419490.shtml","http://m.12365auto.com/xcdg/20200225/419490.shtml")</f>
        <v>http://m.12365auto.com/xcdg/20200225/419490.shtml</v>
      </c>
      <c r="G2422" s="2"/>
      <c r="H2422" s="2" t="s">
        <v>3523</v>
      </c>
      <c r="I2422" s="2" t="s">
        <v>19</v>
      </c>
      <c r="J2422" s="2" t="s">
        <v>910</v>
      </c>
      <c r="K2422" s="2" t="s">
        <v>3524</v>
      </c>
      <c r="L2422" s="2">
        <f t="shared" si="37"/>
        <v>150</v>
      </c>
    </row>
    <row r="2423" spans="1:12" ht="25" customHeight="1">
      <c r="A2423" s="2" t="s">
        <v>12</v>
      </c>
      <c r="B2423" s="2" t="str">
        <f>HYPERLINK("http://www.12365auto.com/xcdg/20200225/419490.shtml","新款博骏信息曝光 外观更运动/配置更丰富")</f>
        <v>新款博骏信息曝光 外观更运动/配置更丰富</v>
      </c>
      <c r="C2423" s="2" t="s">
        <v>13</v>
      </c>
      <c r="D2423" s="2" t="s">
        <v>12</v>
      </c>
      <c r="E2423" s="2" t="s">
        <v>216</v>
      </c>
      <c r="F2423" s="2" t="str">
        <f>HYPERLINK("http://www.12365auto.com/xcdg/20200225/419490.shtml","http://www.12365auto.com/xcdg/20200225/419490.shtml")</f>
        <v>http://www.12365auto.com/xcdg/20200225/419490.shtml</v>
      </c>
      <c r="G2423" s="2"/>
      <c r="H2423" s="2" t="s">
        <v>3525</v>
      </c>
      <c r="I2423" s="2" t="s">
        <v>15</v>
      </c>
      <c r="J2423" s="2" t="s">
        <v>12</v>
      </c>
      <c r="K2423" s="2" t="s">
        <v>3524</v>
      </c>
      <c r="L2423" s="2">
        <f t="shared" si="37"/>
        <v>150</v>
      </c>
    </row>
    <row r="2424" spans="1:12" ht="25" customHeight="1">
      <c r="A2424" s="2" t="s">
        <v>12</v>
      </c>
      <c r="B2424" s="2" t="str">
        <f>HYPERLINK("http://m.12365auto.com/xcdg/20200225/419489.shtml","买斯柯达昕锐选哪款？自动舒适版就挺好")</f>
        <v>买斯柯达昕锐选哪款？自动舒适版就挺好</v>
      </c>
      <c r="C2424" s="2" t="s">
        <v>13</v>
      </c>
      <c r="D2424" s="2" t="s">
        <v>12</v>
      </c>
      <c r="E2424" s="2"/>
      <c r="F2424" s="2" t="str">
        <f>HYPERLINK("http://m.12365auto.com/xcdg/20200225/419489.shtml","http://m.12365auto.com/xcdg/20200225/419489.shtml")</f>
        <v>http://m.12365auto.com/xcdg/20200225/419489.shtml</v>
      </c>
      <c r="G2424" s="2"/>
      <c r="H2424" s="2" t="s">
        <v>3526</v>
      </c>
      <c r="I2424" s="2" t="s">
        <v>19</v>
      </c>
      <c r="J2424" s="2" t="s">
        <v>3527</v>
      </c>
      <c r="K2424" s="2" t="s">
        <v>3528</v>
      </c>
      <c r="L2424" s="2">
        <f t="shared" si="37"/>
        <v>150</v>
      </c>
    </row>
    <row r="2425" spans="1:12" ht="25" customHeight="1">
      <c r="A2425" s="2" t="s">
        <v>12</v>
      </c>
      <c r="B2425" s="2" t="str">
        <f>HYPERLINK("http://www.12365auto.com/zlts/20200225/448602.shtml","吉利帝豪GS更换大灯后亮度不一致")</f>
        <v>吉利帝豪GS更换大灯后亮度不一致</v>
      </c>
      <c r="C2425" s="2" t="s">
        <v>13</v>
      </c>
      <c r="D2425" s="2" t="s">
        <v>12</v>
      </c>
      <c r="E2425" s="2" t="s">
        <v>17</v>
      </c>
      <c r="F2425" s="2" t="str">
        <f>HYPERLINK("http://www.12365auto.com/zlts/20200225/448602.shtml","http://www.12365auto.com/zlts/20200225/448602.shtml")</f>
        <v>http://www.12365auto.com/zlts/20200225/448602.shtml</v>
      </c>
      <c r="G2425" s="2"/>
      <c r="H2425" s="2" t="s">
        <v>3529</v>
      </c>
      <c r="I2425" s="2" t="s">
        <v>19</v>
      </c>
      <c r="J2425" s="2" t="s">
        <v>12</v>
      </c>
      <c r="K2425" s="2" t="s">
        <v>3530</v>
      </c>
      <c r="L2425" s="2">
        <f t="shared" si="37"/>
        <v>150</v>
      </c>
    </row>
    <row r="2426" spans="1:12" ht="25" customHeight="1">
      <c r="A2426" s="2" t="s">
        <v>12</v>
      </c>
      <c r="B2426" s="2" t="str">
        <f>HYPERLINK("http://m.12365auto.com/news/20200225/419488.shtml","疫情当下 私家车车主用车有哪些注意事项")</f>
        <v>疫情当下 私家车车主用车有哪些注意事项</v>
      </c>
      <c r="C2426" s="2" t="s">
        <v>13</v>
      </c>
      <c r="D2426" s="2" t="s">
        <v>12</v>
      </c>
      <c r="E2426" s="2"/>
      <c r="F2426" s="2" t="str">
        <f>HYPERLINK("http://m.12365auto.com/news/20200225/419488.shtml","http://m.12365auto.com/news/20200225/419488.shtml")</f>
        <v>http://m.12365auto.com/news/20200225/419488.shtml</v>
      </c>
      <c r="G2426" s="2"/>
      <c r="H2426" s="2" t="s">
        <v>3531</v>
      </c>
      <c r="I2426" s="2" t="s">
        <v>19</v>
      </c>
      <c r="J2426" s="2" t="s">
        <v>3532</v>
      </c>
      <c r="K2426" s="2" t="s">
        <v>3533</v>
      </c>
      <c r="L2426" s="2">
        <f t="shared" si="37"/>
        <v>150</v>
      </c>
    </row>
    <row r="2427" spans="1:12" ht="25" customHeight="1">
      <c r="A2427" s="2" t="s">
        <v>12</v>
      </c>
      <c r="B2427" s="2" t="str">
        <f>HYPERLINK("http://www.12365auto.com/news/20200225/419488.shtml","疫情当下 私家车车主用车有哪些注意事项")</f>
        <v>疫情当下 私家车车主用车有哪些注意事项</v>
      </c>
      <c r="C2427" s="2" t="s">
        <v>13</v>
      </c>
      <c r="D2427" s="2" t="s">
        <v>12</v>
      </c>
      <c r="E2427" s="2" t="s">
        <v>372</v>
      </c>
      <c r="F2427" s="2" t="str">
        <f>HYPERLINK("http://www.12365auto.com/news/20200225/419488.shtml","http://www.12365auto.com/news/20200225/419488.shtml")</f>
        <v>http://www.12365auto.com/news/20200225/419488.shtml</v>
      </c>
      <c r="G2427" s="2"/>
      <c r="H2427" s="2" t="s">
        <v>3534</v>
      </c>
      <c r="I2427" s="2" t="s">
        <v>15</v>
      </c>
      <c r="J2427" s="2" t="s">
        <v>12</v>
      </c>
      <c r="K2427" s="2" t="s">
        <v>3533</v>
      </c>
      <c r="L2427" s="2">
        <f t="shared" si="37"/>
        <v>150</v>
      </c>
    </row>
    <row r="2428" spans="1:12" ht="25" customHeight="1">
      <c r="A2428" s="2" t="s">
        <v>12</v>
      </c>
      <c r="B2428" s="2" t="str">
        <f>HYPERLINK("http://m.12365auto.com/xcdg/20200225/419487.shtml","终于要来了 奔腾T77 Pro将于3月7日上市")</f>
        <v>终于要来了 奔腾T77 Pro将于3月7日上市</v>
      </c>
      <c r="C2428" s="2" t="s">
        <v>13</v>
      </c>
      <c r="D2428" s="2" t="s">
        <v>12</v>
      </c>
      <c r="E2428" s="2"/>
      <c r="F2428" s="2" t="str">
        <f>HYPERLINK("http://m.12365auto.com/xcdg/20200225/419487.shtml","http://m.12365auto.com/xcdg/20200225/419487.shtml")</f>
        <v>http://m.12365auto.com/xcdg/20200225/419487.shtml</v>
      </c>
      <c r="G2428" s="2"/>
      <c r="H2428" s="2" t="s">
        <v>3535</v>
      </c>
      <c r="I2428" s="2" t="s">
        <v>19</v>
      </c>
      <c r="J2428" s="2" t="s">
        <v>3536</v>
      </c>
      <c r="K2428" s="2" t="s">
        <v>3537</v>
      </c>
      <c r="L2428" s="2">
        <f t="shared" si="37"/>
        <v>150</v>
      </c>
    </row>
    <row r="2429" spans="1:12" ht="25" customHeight="1">
      <c r="A2429" s="2" t="s">
        <v>12</v>
      </c>
      <c r="B2429" s="2" t="str">
        <f>HYPERLINK("http://m.12365auto.com/bbs/postcontent.aspx?tID=195120","比亚迪纯电动大客车销量全球第一")</f>
        <v>比亚迪纯电动大客车销量全球第一</v>
      </c>
      <c r="C2429" s="2" t="s">
        <v>13</v>
      </c>
      <c r="D2429" s="2" t="s">
        <v>23</v>
      </c>
      <c r="E2429" s="2"/>
      <c r="F2429" s="2" t="str">
        <f>HYPERLINK("http://m.12365auto.com/bbs/postcontent.aspx?tID=195120","http://m.12365auto.com/bbs/postcontent.aspx?tID=195120")</f>
        <v>http://m.12365auto.com/bbs/postcontent.aspx?tID=195120</v>
      </c>
      <c r="G2429" s="2"/>
      <c r="H2429" s="2" t="s">
        <v>3538</v>
      </c>
      <c r="I2429" s="2" t="s">
        <v>15</v>
      </c>
      <c r="J2429" s="2" t="s">
        <v>2966</v>
      </c>
      <c r="K2429" s="2" t="s">
        <v>3537</v>
      </c>
      <c r="L2429" s="2">
        <f t="shared" si="37"/>
        <v>150</v>
      </c>
    </row>
    <row r="2430" spans="1:12" ht="25" customHeight="1">
      <c r="A2430" s="2" t="s">
        <v>12</v>
      </c>
      <c r="B2430" s="2" t="str">
        <f>HYPERLINK("http://m.12365auto.com/bbs/postcontent.aspx?tID=195119","菲亚特500e将于6月投产")</f>
        <v>菲亚特500e将于6月投产</v>
      </c>
      <c r="C2430" s="2" t="s">
        <v>13</v>
      </c>
      <c r="D2430" s="2" t="s">
        <v>23</v>
      </c>
      <c r="E2430" s="2"/>
      <c r="F2430" s="2" t="str">
        <f>HYPERLINK("http://m.12365auto.com/bbs/postcontent.aspx?tID=195119","http://m.12365auto.com/bbs/postcontent.aspx?tID=195119")</f>
        <v>http://m.12365auto.com/bbs/postcontent.aspx?tID=195119</v>
      </c>
      <c r="G2430" s="2"/>
      <c r="H2430" s="2" t="s">
        <v>3539</v>
      </c>
      <c r="I2430" s="2" t="s">
        <v>15</v>
      </c>
      <c r="J2430" s="2" t="s">
        <v>2966</v>
      </c>
      <c r="K2430" s="2" t="s">
        <v>3537</v>
      </c>
      <c r="L2430" s="2">
        <f t="shared" si="37"/>
        <v>150</v>
      </c>
    </row>
    <row r="2431" spans="1:12" ht="25" customHeight="1">
      <c r="A2431" s="2" t="s">
        <v>12</v>
      </c>
      <c r="B2431" s="2" t="str">
        <f>HYPERLINK("http://bbs.12365auto.com/postcontent.aspx?tID=195120","比亚迪纯电动大客车销量全球第一")</f>
        <v>比亚迪纯电动大客车销量全球第一</v>
      </c>
      <c r="C2431" s="2" t="s">
        <v>13</v>
      </c>
      <c r="D2431" s="2" t="s">
        <v>12</v>
      </c>
      <c r="E2431" s="2" t="s">
        <v>28</v>
      </c>
      <c r="F2431" s="2" t="str">
        <f>HYPERLINK("http://bbs.12365auto.com/postcontent.aspx?tID=195120","http://bbs.12365auto.com/postcontent.aspx?tID=195120")</f>
        <v>http://bbs.12365auto.com/postcontent.aspx?tID=195120</v>
      </c>
      <c r="G2431" s="2"/>
      <c r="H2431" s="2" t="s">
        <v>3540</v>
      </c>
      <c r="I2431" s="2" t="s">
        <v>15</v>
      </c>
      <c r="J2431" s="2" t="s">
        <v>2966</v>
      </c>
      <c r="K2431" s="2" t="s">
        <v>3537</v>
      </c>
      <c r="L2431" s="2">
        <f t="shared" si="37"/>
        <v>150</v>
      </c>
    </row>
    <row r="2432" spans="1:12" ht="25" customHeight="1">
      <c r="A2432" s="2" t="s">
        <v>12</v>
      </c>
      <c r="B2432" s="2" t="str">
        <f>HYPERLINK("http://bbs.12365auto.com/postcontent.aspx?tID=195119","菲亚特500e将于6月投产")</f>
        <v>菲亚特500e将于6月投产</v>
      </c>
      <c r="C2432" s="2" t="s">
        <v>13</v>
      </c>
      <c r="D2432" s="2" t="s">
        <v>12</v>
      </c>
      <c r="E2432" s="2" t="s">
        <v>28</v>
      </c>
      <c r="F2432" s="2" t="str">
        <f>HYPERLINK("http://bbs.12365auto.com/postcontent.aspx?tID=195119","http://bbs.12365auto.com/postcontent.aspx?tID=195119")</f>
        <v>http://bbs.12365auto.com/postcontent.aspx?tID=195119</v>
      </c>
      <c r="G2432" s="2"/>
      <c r="H2432" s="2" t="s">
        <v>3541</v>
      </c>
      <c r="I2432" s="2" t="s">
        <v>15</v>
      </c>
      <c r="J2432" s="2" t="s">
        <v>2966</v>
      </c>
      <c r="K2432" s="2" t="s">
        <v>3537</v>
      </c>
      <c r="L2432" s="2">
        <f t="shared" si="37"/>
        <v>150</v>
      </c>
    </row>
    <row r="2433" spans="1:12" ht="25" customHeight="1">
      <c r="A2433" s="2" t="s">
        <v>12</v>
      </c>
      <c r="B2433" s="2" t="str">
        <f>HYPERLINK("http://bbs.12365auto.com/postcontent.aspx?tId=195120","比亚迪纯电动大客车销量全球第一")</f>
        <v>比亚迪纯电动大客车销量全球第一</v>
      </c>
      <c r="C2433" s="2" t="s">
        <v>13</v>
      </c>
      <c r="D2433" s="2" t="s">
        <v>12</v>
      </c>
      <c r="E2433" s="2" t="s">
        <v>27</v>
      </c>
      <c r="F2433" s="2" t="str">
        <f>HYPERLINK("http://bbs.12365auto.com/postcontent.aspx?tId=195120","http://bbs.12365auto.com/postcontent.aspx?tId=195120")</f>
        <v>http://bbs.12365auto.com/postcontent.aspx?tId=195120</v>
      </c>
      <c r="G2433" s="2"/>
      <c r="H2433" s="2" t="s">
        <v>3538</v>
      </c>
      <c r="I2433" s="2" t="s">
        <v>15</v>
      </c>
      <c r="J2433" s="2" t="s">
        <v>2966</v>
      </c>
      <c r="K2433" s="2" t="s">
        <v>3537</v>
      </c>
      <c r="L2433" s="2">
        <f t="shared" si="37"/>
        <v>150</v>
      </c>
    </row>
    <row r="2434" spans="1:12" ht="25" customHeight="1">
      <c r="A2434" s="2" t="s">
        <v>12</v>
      </c>
      <c r="B2434" s="2" t="str">
        <f>HYPERLINK("http://bbs.12365auto.com/postcontent.aspx?tId=195119","菲亚特500e将于6月投产")</f>
        <v>菲亚特500e将于6月投产</v>
      </c>
      <c r="C2434" s="2" t="s">
        <v>13</v>
      </c>
      <c r="D2434" s="2" t="s">
        <v>12</v>
      </c>
      <c r="E2434" s="2" t="s">
        <v>27</v>
      </c>
      <c r="F2434" s="2" t="str">
        <f>HYPERLINK("http://bbs.12365auto.com/postcontent.aspx?tId=195119","http://bbs.12365auto.com/postcontent.aspx?tId=195119")</f>
        <v>http://bbs.12365auto.com/postcontent.aspx?tId=195119</v>
      </c>
      <c r="G2434" s="2"/>
      <c r="H2434" s="2" t="s">
        <v>3539</v>
      </c>
      <c r="I2434" s="2" t="s">
        <v>15</v>
      </c>
      <c r="J2434" s="2" t="s">
        <v>2966</v>
      </c>
      <c r="K2434" s="2" t="s">
        <v>3537</v>
      </c>
      <c r="L2434" s="2">
        <f t="shared" si="37"/>
        <v>150</v>
      </c>
    </row>
    <row r="2435" spans="1:12" ht="25" customHeight="1">
      <c r="A2435" s="2" t="s">
        <v>12</v>
      </c>
      <c r="B2435" s="2" t="str">
        <f>HYPERLINK("http://www.12365auto.com/xcdg/20200225/419487.shtml","终于要来了 奔腾T77 Pro将于3月7日上市")</f>
        <v>终于要来了 奔腾T77 Pro将于3月7日上市</v>
      </c>
      <c r="C2435" s="2" t="s">
        <v>13</v>
      </c>
      <c r="D2435" s="2" t="s">
        <v>12</v>
      </c>
      <c r="E2435" s="2" t="s">
        <v>216</v>
      </c>
      <c r="F2435" s="2" t="str">
        <f>HYPERLINK("http://www.12365auto.com/xcdg/20200225/419487.shtml","http://www.12365auto.com/xcdg/20200225/419487.shtml")</f>
        <v>http://www.12365auto.com/xcdg/20200225/419487.shtml</v>
      </c>
      <c r="G2435" s="2"/>
      <c r="H2435" s="2" t="s">
        <v>3542</v>
      </c>
      <c r="I2435" s="2" t="s">
        <v>15</v>
      </c>
      <c r="J2435" s="2" t="s">
        <v>12</v>
      </c>
      <c r="K2435" s="2" t="s">
        <v>3537</v>
      </c>
      <c r="L2435" s="2">
        <f t="shared" ref="L2435:L2498" si="38">LEN(H2435)</f>
        <v>150</v>
      </c>
    </row>
    <row r="2436" spans="1:12" ht="25" customHeight="1">
      <c r="A2436" s="2" t="s">
        <v>12</v>
      </c>
      <c r="B2436" s="2" t="str">
        <f>HYPERLINK("http://m.12365auto.com/bbs/postcontent.aspx?tID=195117","中国人真的需要一辆续航700公里的电动车吗？")</f>
        <v>中国人真的需要一辆续航700公里的电动车吗？</v>
      </c>
      <c r="C2436" s="2" t="s">
        <v>13</v>
      </c>
      <c r="D2436" s="2" t="s">
        <v>23</v>
      </c>
      <c r="E2436" s="2"/>
      <c r="F2436" s="2" t="str">
        <f>HYPERLINK("http://m.12365auto.com/bbs/postcontent.aspx?tID=195117","http://m.12365auto.com/bbs/postcontent.aspx?tID=195117")</f>
        <v>http://m.12365auto.com/bbs/postcontent.aspx?tID=195117</v>
      </c>
      <c r="G2436" s="2"/>
      <c r="H2436" s="2" t="s">
        <v>3543</v>
      </c>
      <c r="I2436" s="2" t="s">
        <v>15</v>
      </c>
      <c r="J2436" s="2" t="s">
        <v>2966</v>
      </c>
      <c r="K2436" s="2" t="s">
        <v>3544</v>
      </c>
      <c r="L2436" s="2">
        <f t="shared" si="38"/>
        <v>150</v>
      </c>
    </row>
    <row r="2437" spans="1:12" ht="25" customHeight="1">
      <c r="A2437" s="2" t="s">
        <v>12</v>
      </c>
      <c r="B2437" s="2" t="str">
        <f>HYPERLINK("http://m.12365auto.com/bbs/postcontent.aspx?tID=195118","混合动力汽车的优缺点")</f>
        <v>混合动力汽车的优缺点</v>
      </c>
      <c r="C2437" s="2" t="s">
        <v>13</v>
      </c>
      <c r="D2437" s="2" t="s">
        <v>23</v>
      </c>
      <c r="E2437" s="2"/>
      <c r="F2437" s="2" t="str">
        <f>HYPERLINK("http://m.12365auto.com/bbs/postcontent.aspx?tID=195118","http://m.12365auto.com/bbs/postcontent.aspx?tID=195118")</f>
        <v>http://m.12365auto.com/bbs/postcontent.aspx?tID=195118</v>
      </c>
      <c r="G2437" s="2"/>
      <c r="H2437" s="2" t="s">
        <v>3545</v>
      </c>
      <c r="I2437" s="2" t="s">
        <v>15</v>
      </c>
      <c r="J2437" s="2" t="s">
        <v>2966</v>
      </c>
      <c r="K2437" s="2" t="s">
        <v>3544</v>
      </c>
      <c r="L2437" s="2">
        <f t="shared" si="38"/>
        <v>150</v>
      </c>
    </row>
    <row r="2438" spans="1:12" ht="25" customHeight="1">
      <c r="A2438" s="2" t="s">
        <v>12</v>
      </c>
      <c r="B2438" s="2" t="str">
        <f>HYPERLINK("http://bbs.12365auto.com/postcontent.aspx?tID=195118","混合动力汽车的优缺点")</f>
        <v>混合动力汽车的优缺点</v>
      </c>
      <c r="C2438" s="2" t="s">
        <v>13</v>
      </c>
      <c r="D2438" s="2" t="s">
        <v>12</v>
      </c>
      <c r="E2438" s="2" t="s">
        <v>28</v>
      </c>
      <c r="F2438" s="2" t="str">
        <f>HYPERLINK("http://bbs.12365auto.com/postcontent.aspx?tID=195118","http://bbs.12365auto.com/postcontent.aspx?tID=195118")</f>
        <v>http://bbs.12365auto.com/postcontent.aspx?tID=195118</v>
      </c>
      <c r="G2438" s="2"/>
      <c r="H2438" s="2" t="s">
        <v>3546</v>
      </c>
      <c r="I2438" s="2" t="s">
        <v>15</v>
      </c>
      <c r="J2438" s="2" t="s">
        <v>2966</v>
      </c>
      <c r="K2438" s="2" t="s">
        <v>3544</v>
      </c>
      <c r="L2438" s="2">
        <f t="shared" si="38"/>
        <v>150</v>
      </c>
    </row>
    <row r="2439" spans="1:12" ht="25" customHeight="1">
      <c r="A2439" s="2" t="s">
        <v>12</v>
      </c>
      <c r="B2439" s="2" t="str">
        <f>HYPERLINK("http://bbs.12365auto.com/postcontent.aspx?tID=195117","中国人真的需要一辆续航700公里的电动车吗？")</f>
        <v>中国人真的需要一辆续航700公里的电动车吗？</v>
      </c>
      <c r="C2439" s="2" t="s">
        <v>13</v>
      </c>
      <c r="D2439" s="2" t="s">
        <v>12</v>
      </c>
      <c r="E2439" s="2" t="s">
        <v>28</v>
      </c>
      <c r="F2439" s="2" t="str">
        <f>HYPERLINK("http://bbs.12365auto.com/postcontent.aspx?tID=195117","http://bbs.12365auto.com/postcontent.aspx?tID=195117")</f>
        <v>http://bbs.12365auto.com/postcontent.aspx?tID=195117</v>
      </c>
      <c r="G2439" s="2"/>
      <c r="H2439" s="2" t="s">
        <v>3547</v>
      </c>
      <c r="I2439" s="2" t="s">
        <v>15</v>
      </c>
      <c r="J2439" s="2" t="s">
        <v>2966</v>
      </c>
      <c r="K2439" s="2" t="s">
        <v>3544</v>
      </c>
      <c r="L2439" s="2">
        <f t="shared" si="38"/>
        <v>150</v>
      </c>
    </row>
    <row r="2440" spans="1:12" ht="25" customHeight="1">
      <c r="A2440" s="2" t="s">
        <v>12</v>
      </c>
      <c r="B2440" s="2" t="str">
        <f>HYPERLINK("http://bbs.12365auto.com/postcontent.aspx?tId=195118","混合动力汽车的优缺点")</f>
        <v>混合动力汽车的优缺点</v>
      </c>
      <c r="C2440" s="2" t="s">
        <v>13</v>
      </c>
      <c r="D2440" s="2" t="s">
        <v>12</v>
      </c>
      <c r="E2440" s="2" t="s">
        <v>27</v>
      </c>
      <c r="F2440" s="2" t="str">
        <f>HYPERLINK("http://bbs.12365auto.com/postcontent.aspx?tId=195118","http://bbs.12365auto.com/postcontent.aspx?tId=195118")</f>
        <v>http://bbs.12365auto.com/postcontent.aspx?tId=195118</v>
      </c>
      <c r="G2440" s="2"/>
      <c r="H2440" s="2" t="s">
        <v>3545</v>
      </c>
      <c r="I2440" s="2" t="s">
        <v>15</v>
      </c>
      <c r="J2440" s="2" t="s">
        <v>2966</v>
      </c>
      <c r="K2440" s="2" t="s">
        <v>3544</v>
      </c>
      <c r="L2440" s="2">
        <f t="shared" si="38"/>
        <v>150</v>
      </c>
    </row>
    <row r="2441" spans="1:12" ht="25" customHeight="1">
      <c r="A2441" s="2" t="s">
        <v>12</v>
      </c>
      <c r="B2441" s="2" t="str">
        <f>HYPERLINK("http://bbs.12365auto.com/postcontent.aspx?tId=195117","中国人真的需要一辆续航700公里的电动车吗？")</f>
        <v>中国人真的需要一辆续航700公里的电动车吗？</v>
      </c>
      <c r="C2441" s="2" t="s">
        <v>13</v>
      </c>
      <c r="D2441" s="2" t="s">
        <v>12</v>
      </c>
      <c r="E2441" s="2" t="s">
        <v>27</v>
      </c>
      <c r="F2441" s="2" t="str">
        <f>HYPERLINK("http://bbs.12365auto.com/postcontent.aspx?tId=195117","http://bbs.12365auto.com/postcontent.aspx?tId=195117")</f>
        <v>http://bbs.12365auto.com/postcontent.aspx?tId=195117</v>
      </c>
      <c r="G2441" s="2"/>
      <c r="H2441" s="2" t="s">
        <v>3543</v>
      </c>
      <c r="I2441" s="2" t="s">
        <v>15</v>
      </c>
      <c r="J2441" s="2" t="s">
        <v>2966</v>
      </c>
      <c r="K2441" s="2" t="s">
        <v>3544</v>
      </c>
      <c r="L2441" s="2">
        <f t="shared" si="38"/>
        <v>150</v>
      </c>
    </row>
    <row r="2442" spans="1:12" ht="25" customHeight="1">
      <c r="A2442" s="2" t="s">
        <v>12</v>
      </c>
      <c r="B2442" s="2" t="str">
        <f>HYPERLINK("http://m.12365auto.com/xcdg/20200225/419486.shtml","8万元的三厢车香不香？这几款一定不能错过")</f>
        <v>8万元的三厢车香不香？这几款一定不能错过</v>
      </c>
      <c r="C2442" s="2" t="s">
        <v>13</v>
      </c>
      <c r="D2442" s="2" t="s">
        <v>12</v>
      </c>
      <c r="E2442" s="2"/>
      <c r="F2442" s="2" t="str">
        <f>HYPERLINK("http://m.12365auto.com/xcdg/20200225/419486.shtml","http://m.12365auto.com/xcdg/20200225/419486.shtml")</f>
        <v>http://m.12365auto.com/xcdg/20200225/419486.shtml</v>
      </c>
      <c r="G2442" s="2"/>
      <c r="H2442" s="2" t="s">
        <v>3548</v>
      </c>
      <c r="I2442" s="2" t="s">
        <v>19</v>
      </c>
      <c r="J2442" s="2" t="s">
        <v>3549</v>
      </c>
      <c r="K2442" s="2" t="s">
        <v>3550</v>
      </c>
      <c r="L2442" s="2">
        <f t="shared" si="38"/>
        <v>150</v>
      </c>
    </row>
    <row r="2443" spans="1:12" ht="25" customHeight="1">
      <c r="A2443" s="2" t="s">
        <v>12</v>
      </c>
      <c r="B2443" s="2" t="str">
        <f>HYPERLINK("http://m.12365auto.com/bbs/postcontent.aspx?tID=195116","一个悄无声息的隐形杀手")</f>
        <v>一个悄无声息的隐形杀手</v>
      </c>
      <c r="C2443" s="2" t="s">
        <v>13</v>
      </c>
      <c r="D2443" s="2" t="s">
        <v>23</v>
      </c>
      <c r="E2443" s="2"/>
      <c r="F2443" s="2" t="str">
        <f>HYPERLINK("http://m.12365auto.com/bbs/postcontent.aspx?tID=195116","http://m.12365auto.com/bbs/postcontent.aspx?tID=195116")</f>
        <v>http://m.12365auto.com/bbs/postcontent.aspx?tID=195116</v>
      </c>
      <c r="G2443" s="2"/>
      <c r="H2443" s="2" t="s">
        <v>3551</v>
      </c>
      <c r="I2443" s="2" t="s">
        <v>15</v>
      </c>
      <c r="J2443" s="2" t="s">
        <v>2966</v>
      </c>
      <c r="K2443" s="2" t="s">
        <v>3550</v>
      </c>
      <c r="L2443" s="2">
        <f t="shared" si="38"/>
        <v>150</v>
      </c>
    </row>
    <row r="2444" spans="1:12" ht="25" customHeight="1">
      <c r="A2444" s="2" t="s">
        <v>12</v>
      </c>
      <c r="B2444" s="2" t="str">
        <f>HYPERLINK("http://bbs.12365auto.com/postcontent.aspx?tID=195116","一个悄无声息的隐形杀手")</f>
        <v>一个悄无声息的隐形杀手</v>
      </c>
      <c r="C2444" s="2" t="s">
        <v>13</v>
      </c>
      <c r="D2444" s="2" t="s">
        <v>12</v>
      </c>
      <c r="E2444" s="2" t="s">
        <v>28</v>
      </c>
      <c r="F2444" s="2" t="str">
        <f>HYPERLINK("http://bbs.12365auto.com/postcontent.aspx?tID=195116","http://bbs.12365auto.com/postcontent.aspx?tID=195116")</f>
        <v>http://bbs.12365auto.com/postcontent.aspx?tID=195116</v>
      </c>
      <c r="G2444" s="2"/>
      <c r="H2444" s="2" t="s">
        <v>3552</v>
      </c>
      <c r="I2444" s="2" t="s">
        <v>15</v>
      </c>
      <c r="J2444" s="2" t="s">
        <v>2966</v>
      </c>
      <c r="K2444" s="2" t="s">
        <v>3550</v>
      </c>
      <c r="L2444" s="2">
        <f t="shared" si="38"/>
        <v>150</v>
      </c>
    </row>
    <row r="2445" spans="1:12" ht="25" customHeight="1">
      <c r="A2445" s="2" t="s">
        <v>12</v>
      </c>
      <c r="B2445" s="2" t="str">
        <f>HYPERLINK("http://bbs.12365auto.com/postcontent.aspx?tId=195116","一个悄无声息的隐形杀手")</f>
        <v>一个悄无声息的隐形杀手</v>
      </c>
      <c r="C2445" s="2" t="s">
        <v>13</v>
      </c>
      <c r="D2445" s="2" t="s">
        <v>12</v>
      </c>
      <c r="E2445" s="2" t="s">
        <v>27</v>
      </c>
      <c r="F2445" s="2" t="str">
        <f>HYPERLINK("http://bbs.12365auto.com/postcontent.aspx?tId=195116","http://bbs.12365auto.com/postcontent.aspx?tId=195116")</f>
        <v>http://bbs.12365auto.com/postcontent.aspx?tId=195116</v>
      </c>
      <c r="G2445" s="2"/>
      <c r="H2445" s="2" t="s">
        <v>3551</v>
      </c>
      <c r="I2445" s="2" t="s">
        <v>15</v>
      </c>
      <c r="J2445" s="2" t="s">
        <v>2966</v>
      </c>
      <c r="K2445" s="2" t="s">
        <v>3550</v>
      </c>
      <c r="L2445" s="2">
        <f t="shared" si="38"/>
        <v>150</v>
      </c>
    </row>
    <row r="2446" spans="1:12" ht="25" customHeight="1">
      <c r="A2446" s="2" t="s">
        <v>12</v>
      </c>
      <c r="B2446" s="2" t="str">
        <f>HYPERLINK("http://m.12365auto.com/bbs/postcontent.aspx?tID=195115","你的车是不是这三款发动机")</f>
        <v>你的车是不是这三款发动机</v>
      </c>
      <c r="C2446" s="2" t="s">
        <v>13</v>
      </c>
      <c r="D2446" s="2" t="s">
        <v>23</v>
      </c>
      <c r="E2446" s="2"/>
      <c r="F2446" s="2" t="str">
        <f>HYPERLINK("http://m.12365auto.com/bbs/postcontent.aspx?tID=195115","http://m.12365auto.com/bbs/postcontent.aspx?tID=195115")</f>
        <v>http://m.12365auto.com/bbs/postcontent.aspx?tID=195115</v>
      </c>
      <c r="G2446" s="2"/>
      <c r="H2446" s="2" t="s">
        <v>3553</v>
      </c>
      <c r="I2446" s="2" t="s">
        <v>15</v>
      </c>
      <c r="J2446" s="2" t="s">
        <v>2966</v>
      </c>
      <c r="K2446" s="2" t="s">
        <v>3554</v>
      </c>
      <c r="L2446" s="2">
        <f t="shared" si="38"/>
        <v>150</v>
      </c>
    </row>
    <row r="2447" spans="1:12" ht="25" customHeight="1">
      <c r="A2447" s="2" t="s">
        <v>12</v>
      </c>
      <c r="B2447" s="2" t="str">
        <f>HYPERLINK("http://bbs.12365auto.com/postcontent.aspx?tID=195115","你的车是不是这三款发动机")</f>
        <v>你的车是不是这三款发动机</v>
      </c>
      <c r="C2447" s="2" t="s">
        <v>13</v>
      </c>
      <c r="D2447" s="2" t="s">
        <v>12</v>
      </c>
      <c r="E2447" s="2" t="s">
        <v>28</v>
      </c>
      <c r="F2447" s="2" t="str">
        <f>HYPERLINK("http://bbs.12365auto.com/postcontent.aspx?tID=195115","http://bbs.12365auto.com/postcontent.aspx?tID=195115")</f>
        <v>http://bbs.12365auto.com/postcontent.aspx?tID=195115</v>
      </c>
      <c r="G2447" s="2"/>
      <c r="H2447" s="2" t="s">
        <v>3555</v>
      </c>
      <c r="I2447" s="2" t="s">
        <v>15</v>
      </c>
      <c r="J2447" s="2" t="s">
        <v>2966</v>
      </c>
      <c r="K2447" s="2" t="s">
        <v>3554</v>
      </c>
      <c r="L2447" s="2">
        <f t="shared" si="38"/>
        <v>150</v>
      </c>
    </row>
    <row r="2448" spans="1:12" ht="25" customHeight="1">
      <c r="A2448" s="2" t="s">
        <v>12</v>
      </c>
      <c r="B2448" s="2" t="str">
        <f>HYPERLINK("http://bbs.12365auto.com/postcontent.aspx?tId=195115","你的车是不是这三款发动机")</f>
        <v>你的车是不是这三款发动机</v>
      </c>
      <c r="C2448" s="2" t="s">
        <v>13</v>
      </c>
      <c r="D2448" s="2" t="s">
        <v>12</v>
      </c>
      <c r="E2448" s="2" t="s">
        <v>27</v>
      </c>
      <c r="F2448" s="2" t="str">
        <f>HYPERLINK("http://bbs.12365auto.com/postcontent.aspx?tId=195115","http://bbs.12365auto.com/postcontent.aspx?tId=195115")</f>
        <v>http://bbs.12365auto.com/postcontent.aspx?tId=195115</v>
      </c>
      <c r="G2448" s="2"/>
      <c r="H2448" s="2" t="s">
        <v>3553</v>
      </c>
      <c r="I2448" s="2" t="s">
        <v>15</v>
      </c>
      <c r="J2448" s="2" t="s">
        <v>2966</v>
      </c>
      <c r="K2448" s="2" t="s">
        <v>3554</v>
      </c>
      <c r="L2448" s="2">
        <f t="shared" si="38"/>
        <v>150</v>
      </c>
    </row>
    <row r="2449" spans="1:12" ht="25" customHeight="1">
      <c r="A2449" s="2" t="s">
        <v>12</v>
      </c>
      <c r="B2449" s="2" t="str">
        <f>HYPERLINK("http://m.12365auto.com/bbs/postcontent.aspx?tID=195114","阿尔法·罗密欧发布日内瓦车展重大回归")</f>
        <v>阿尔法·罗密欧发布日内瓦车展重大回归</v>
      </c>
      <c r="C2449" s="2" t="s">
        <v>13</v>
      </c>
      <c r="D2449" s="2" t="s">
        <v>23</v>
      </c>
      <c r="E2449" s="2"/>
      <c r="F2449" s="2" t="str">
        <f>HYPERLINK("http://m.12365auto.com/bbs/postcontent.aspx?tID=195114","http://m.12365auto.com/bbs/postcontent.aspx?tID=195114")</f>
        <v>http://m.12365auto.com/bbs/postcontent.aspx?tID=195114</v>
      </c>
      <c r="G2449" s="2"/>
      <c r="H2449" s="2" t="s">
        <v>3556</v>
      </c>
      <c r="I2449" s="2" t="s">
        <v>15</v>
      </c>
      <c r="J2449" s="2" t="s">
        <v>2966</v>
      </c>
      <c r="K2449" s="2" t="s">
        <v>3557</v>
      </c>
      <c r="L2449" s="2">
        <f t="shared" si="38"/>
        <v>150</v>
      </c>
    </row>
    <row r="2450" spans="1:12" ht="25" customHeight="1">
      <c r="A2450" s="2" t="s">
        <v>12</v>
      </c>
      <c r="B2450" s="2" t="str">
        <f>HYPERLINK("http://bbs.12365auto.com/postcontent.aspx?tID=195114","阿尔法·罗密欧发布日内瓦车展重大回归")</f>
        <v>阿尔法·罗密欧发布日内瓦车展重大回归</v>
      </c>
      <c r="C2450" s="2" t="s">
        <v>13</v>
      </c>
      <c r="D2450" s="2" t="s">
        <v>12</v>
      </c>
      <c r="E2450" s="2" t="s">
        <v>28</v>
      </c>
      <c r="F2450" s="2" t="str">
        <f>HYPERLINK("http://bbs.12365auto.com/postcontent.aspx?tID=195114","http://bbs.12365auto.com/postcontent.aspx?tID=195114")</f>
        <v>http://bbs.12365auto.com/postcontent.aspx?tID=195114</v>
      </c>
      <c r="G2450" s="2"/>
      <c r="H2450" s="2" t="s">
        <v>3558</v>
      </c>
      <c r="I2450" s="2" t="s">
        <v>15</v>
      </c>
      <c r="J2450" s="2" t="s">
        <v>2966</v>
      </c>
      <c r="K2450" s="2" t="s">
        <v>3557</v>
      </c>
      <c r="L2450" s="2">
        <f t="shared" si="38"/>
        <v>150</v>
      </c>
    </row>
    <row r="2451" spans="1:12" ht="25" customHeight="1">
      <c r="A2451" s="2" t="s">
        <v>12</v>
      </c>
      <c r="B2451" s="2" t="str">
        <f>HYPERLINK("http://bbs.12365auto.com/postcontent.aspx?tId=195114","阿尔法·罗密欧发布日内瓦车展重大回归")</f>
        <v>阿尔法·罗密欧发布日内瓦车展重大回归</v>
      </c>
      <c r="C2451" s="2" t="s">
        <v>13</v>
      </c>
      <c r="D2451" s="2" t="s">
        <v>12</v>
      </c>
      <c r="E2451" s="2" t="s">
        <v>27</v>
      </c>
      <c r="F2451" s="2" t="str">
        <f>HYPERLINK("http://bbs.12365auto.com/postcontent.aspx?tId=195114","http://bbs.12365auto.com/postcontent.aspx?tId=195114")</f>
        <v>http://bbs.12365auto.com/postcontent.aspx?tId=195114</v>
      </c>
      <c r="G2451" s="2"/>
      <c r="H2451" s="2" t="s">
        <v>3556</v>
      </c>
      <c r="I2451" s="2" t="s">
        <v>15</v>
      </c>
      <c r="J2451" s="2" t="s">
        <v>2966</v>
      </c>
      <c r="K2451" s="2" t="s">
        <v>3557</v>
      </c>
      <c r="L2451" s="2">
        <f t="shared" si="38"/>
        <v>150</v>
      </c>
    </row>
    <row r="2452" spans="1:12" ht="25" customHeight="1">
      <c r="A2452" s="2" t="s">
        <v>12</v>
      </c>
      <c r="B2452" s="2" t="str">
        <f>HYPERLINK("http://m.12365auto.com/xcdg/20200225/419485.shtml","入门即豪华 这几款7座SUV只需30万")</f>
        <v>入门即豪华 这几款7座SUV只需30万</v>
      </c>
      <c r="C2452" s="2" t="s">
        <v>13</v>
      </c>
      <c r="D2452" s="2" t="s">
        <v>12</v>
      </c>
      <c r="E2452" s="2"/>
      <c r="F2452" s="2" t="str">
        <f>HYPERLINK("http://m.12365auto.com/xcdg/20200225/419485.shtml","http://m.12365auto.com/xcdg/20200225/419485.shtml")</f>
        <v>http://m.12365auto.com/xcdg/20200225/419485.shtml</v>
      </c>
      <c r="G2452" s="2"/>
      <c r="H2452" s="2" t="s">
        <v>3559</v>
      </c>
      <c r="I2452" s="2" t="s">
        <v>19</v>
      </c>
      <c r="J2452" s="2" t="s">
        <v>3560</v>
      </c>
      <c r="K2452" s="2" t="s">
        <v>3561</v>
      </c>
      <c r="L2452" s="2">
        <f t="shared" si="38"/>
        <v>150</v>
      </c>
    </row>
    <row r="2453" spans="1:12" ht="25" customHeight="1">
      <c r="A2453" s="2" t="s">
        <v>12</v>
      </c>
      <c r="B2453" s="2" t="str">
        <f>HYPERLINK("http://m.12365auto.com/bbs/postcontent.aspx?tID=195113","华人运通与博世签署合作协议")</f>
        <v>华人运通与博世签署合作协议</v>
      </c>
      <c r="C2453" s="2" t="s">
        <v>13</v>
      </c>
      <c r="D2453" s="2" t="s">
        <v>23</v>
      </c>
      <c r="E2453" s="2"/>
      <c r="F2453" s="2" t="str">
        <f>HYPERLINK("http://m.12365auto.com/bbs/postcontent.aspx?tID=195113","http://m.12365auto.com/bbs/postcontent.aspx?tID=195113")</f>
        <v>http://m.12365auto.com/bbs/postcontent.aspx?tID=195113</v>
      </c>
      <c r="G2453" s="2"/>
      <c r="H2453" s="2" t="s">
        <v>3562</v>
      </c>
      <c r="I2453" s="2" t="s">
        <v>15</v>
      </c>
      <c r="J2453" s="2" t="s">
        <v>2966</v>
      </c>
      <c r="K2453" s="2" t="s">
        <v>3561</v>
      </c>
      <c r="L2453" s="2">
        <f t="shared" si="38"/>
        <v>150</v>
      </c>
    </row>
    <row r="2454" spans="1:12" ht="25" customHeight="1">
      <c r="A2454" s="2" t="s">
        <v>12</v>
      </c>
      <c r="B2454" s="2" t="str">
        <f>HYPERLINK("http://m.12365auto.com/bbs/postcontent.aspx?tID=195112","别克GL8 四座版来了")</f>
        <v>别克GL8 四座版来了</v>
      </c>
      <c r="C2454" s="2" t="s">
        <v>13</v>
      </c>
      <c r="D2454" s="2" t="s">
        <v>23</v>
      </c>
      <c r="E2454" s="2"/>
      <c r="F2454" s="2" t="str">
        <f>HYPERLINK("http://m.12365auto.com/bbs/postcontent.aspx?tID=195112","http://m.12365auto.com/bbs/postcontent.aspx?tID=195112")</f>
        <v>http://m.12365auto.com/bbs/postcontent.aspx?tID=195112</v>
      </c>
      <c r="G2454" s="2"/>
      <c r="H2454" s="2" t="s">
        <v>3563</v>
      </c>
      <c r="I2454" s="2" t="s">
        <v>15</v>
      </c>
      <c r="J2454" s="2" t="s">
        <v>2966</v>
      </c>
      <c r="K2454" s="2" t="s">
        <v>3561</v>
      </c>
      <c r="L2454" s="2">
        <f t="shared" si="38"/>
        <v>150</v>
      </c>
    </row>
    <row r="2455" spans="1:12" ht="25" customHeight="1">
      <c r="A2455" s="2" t="s">
        <v>12</v>
      </c>
      <c r="B2455" s="2" t="str">
        <f>HYPERLINK("http://bbs.12365auto.com/postcontent.aspx?tID=195112","别克GL8 四座版来了")</f>
        <v>别克GL8 四座版来了</v>
      </c>
      <c r="C2455" s="2" t="s">
        <v>13</v>
      </c>
      <c r="D2455" s="2" t="s">
        <v>12</v>
      </c>
      <c r="E2455" s="2" t="s">
        <v>28</v>
      </c>
      <c r="F2455" s="2" t="str">
        <f>HYPERLINK("http://bbs.12365auto.com/postcontent.aspx?tID=195112","http://bbs.12365auto.com/postcontent.aspx?tID=195112")</f>
        <v>http://bbs.12365auto.com/postcontent.aspx?tID=195112</v>
      </c>
      <c r="G2455" s="2"/>
      <c r="H2455" s="2" t="s">
        <v>3564</v>
      </c>
      <c r="I2455" s="2" t="s">
        <v>15</v>
      </c>
      <c r="J2455" s="2" t="s">
        <v>2966</v>
      </c>
      <c r="K2455" s="2" t="s">
        <v>3561</v>
      </c>
      <c r="L2455" s="2">
        <f t="shared" si="38"/>
        <v>150</v>
      </c>
    </row>
    <row r="2456" spans="1:12" ht="25" customHeight="1">
      <c r="A2456" s="2" t="s">
        <v>12</v>
      </c>
      <c r="B2456" s="2" t="str">
        <f>HYPERLINK("http://bbs.12365auto.com/postcontent.aspx?tID=195113","华人运通与博世签署合作协议")</f>
        <v>华人运通与博世签署合作协议</v>
      </c>
      <c r="C2456" s="2" t="s">
        <v>13</v>
      </c>
      <c r="D2456" s="2" t="s">
        <v>12</v>
      </c>
      <c r="E2456" s="2" t="s">
        <v>28</v>
      </c>
      <c r="F2456" s="2" t="str">
        <f>HYPERLINK("http://bbs.12365auto.com/postcontent.aspx?tID=195113","http://bbs.12365auto.com/postcontent.aspx?tID=195113")</f>
        <v>http://bbs.12365auto.com/postcontent.aspx?tID=195113</v>
      </c>
      <c r="G2456" s="2"/>
      <c r="H2456" s="2" t="s">
        <v>3565</v>
      </c>
      <c r="I2456" s="2" t="s">
        <v>15</v>
      </c>
      <c r="J2456" s="2" t="s">
        <v>2966</v>
      </c>
      <c r="K2456" s="2" t="s">
        <v>3561</v>
      </c>
      <c r="L2456" s="2">
        <f t="shared" si="38"/>
        <v>150</v>
      </c>
    </row>
    <row r="2457" spans="1:12" ht="25" customHeight="1">
      <c r="A2457" s="2" t="s">
        <v>12</v>
      </c>
      <c r="B2457" s="2" t="str">
        <f>HYPERLINK("http://bbs.12365auto.com/postcontent.aspx?tId=195112","别克GL8 四座版来了")</f>
        <v>别克GL8 四座版来了</v>
      </c>
      <c r="C2457" s="2" t="s">
        <v>13</v>
      </c>
      <c r="D2457" s="2" t="s">
        <v>12</v>
      </c>
      <c r="E2457" s="2" t="s">
        <v>27</v>
      </c>
      <c r="F2457" s="2" t="str">
        <f>HYPERLINK("http://bbs.12365auto.com/postcontent.aspx?tId=195112","http://bbs.12365auto.com/postcontent.aspx?tId=195112")</f>
        <v>http://bbs.12365auto.com/postcontent.aspx?tId=195112</v>
      </c>
      <c r="G2457" s="2"/>
      <c r="H2457" s="2" t="s">
        <v>3563</v>
      </c>
      <c r="I2457" s="2" t="s">
        <v>15</v>
      </c>
      <c r="J2457" s="2" t="s">
        <v>2966</v>
      </c>
      <c r="K2457" s="2" t="s">
        <v>3561</v>
      </c>
      <c r="L2457" s="2">
        <f t="shared" si="38"/>
        <v>150</v>
      </c>
    </row>
    <row r="2458" spans="1:12" ht="25" customHeight="1">
      <c r="A2458" s="2" t="s">
        <v>12</v>
      </c>
      <c r="B2458" s="2" t="str">
        <f>HYPERLINK("http://bbs.12365auto.com/postcontent.aspx?tId=195113","华人运通与博世签署合作协议")</f>
        <v>华人运通与博世签署合作协议</v>
      </c>
      <c r="C2458" s="2" t="s">
        <v>13</v>
      </c>
      <c r="D2458" s="2" t="s">
        <v>12</v>
      </c>
      <c r="E2458" s="2" t="s">
        <v>27</v>
      </c>
      <c r="F2458" s="2" t="str">
        <f>HYPERLINK("http://bbs.12365auto.com/postcontent.aspx?tId=195113","http://bbs.12365auto.com/postcontent.aspx?tId=195113")</f>
        <v>http://bbs.12365auto.com/postcontent.aspx?tId=195113</v>
      </c>
      <c r="G2458" s="2"/>
      <c r="H2458" s="2" t="s">
        <v>3562</v>
      </c>
      <c r="I2458" s="2" t="s">
        <v>15</v>
      </c>
      <c r="J2458" s="2" t="s">
        <v>2966</v>
      </c>
      <c r="K2458" s="2" t="s">
        <v>3561</v>
      </c>
      <c r="L2458" s="2">
        <f t="shared" si="38"/>
        <v>150</v>
      </c>
    </row>
    <row r="2459" spans="1:12" ht="25" customHeight="1">
      <c r="A2459" s="2" t="s">
        <v>12</v>
      </c>
      <c r="B2459" s="2" t="str">
        <f>HYPERLINK("http://m.12365auto.com/bbs/postcontent.aspx?tID=195111","DS旗舰轿车DS 9发布")</f>
        <v>DS旗舰轿车DS 9发布</v>
      </c>
      <c r="C2459" s="2" t="s">
        <v>13</v>
      </c>
      <c r="D2459" s="2" t="s">
        <v>23</v>
      </c>
      <c r="E2459" s="2"/>
      <c r="F2459" s="2" t="str">
        <f>HYPERLINK("http://m.12365auto.com/bbs/postcontent.aspx?tID=195111","http://m.12365auto.com/bbs/postcontent.aspx?tID=195111")</f>
        <v>http://m.12365auto.com/bbs/postcontent.aspx?tID=195111</v>
      </c>
      <c r="G2459" s="2"/>
      <c r="H2459" s="2" t="s">
        <v>3566</v>
      </c>
      <c r="I2459" s="2" t="s">
        <v>15</v>
      </c>
      <c r="J2459" s="2" t="s">
        <v>2966</v>
      </c>
      <c r="K2459" s="2" t="s">
        <v>3567</v>
      </c>
      <c r="L2459" s="2">
        <f t="shared" si="38"/>
        <v>150</v>
      </c>
    </row>
    <row r="2460" spans="1:12" ht="25" customHeight="1">
      <c r="A2460" s="2" t="s">
        <v>12</v>
      </c>
      <c r="B2460" s="2" t="str">
        <f>HYPERLINK("http://bbs.12365auto.com/postcontent.aspx?tID=195111","DS旗舰轿车DS 9发布")</f>
        <v>DS旗舰轿车DS 9发布</v>
      </c>
      <c r="C2460" s="2" t="s">
        <v>13</v>
      </c>
      <c r="D2460" s="2" t="s">
        <v>12</v>
      </c>
      <c r="E2460" s="2" t="s">
        <v>28</v>
      </c>
      <c r="F2460" s="2" t="str">
        <f>HYPERLINK("http://bbs.12365auto.com/postcontent.aspx?tID=195111","http://bbs.12365auto.com/postcontent.aspx?tID=195111")</f>
        <v>http://bbs.12365auto.com/postcontent.aspx?tID=195111</v>
      </c>
      <c r="G2460" s="2"/>
      <c r="H2460" s="2" t="s">
        <v>3568</v>
      </c>
      <c r="I2460" s="2" t="s">
        <v>15</v>
      </c>
      <c r="J2460" s="2" t="s">
        <v>2966</v>
      </c>
      <c r="K2460" s="2" t="s">
        <v>3567</v>
      </c>
      <c r="L2460" s="2">
        <f t="shared" si="38"/>
        <v>150</v>
      </c>
    </row>
    <row r="2461" spans="1:12" ht="25" customHeight="1">
      <c r="A2461" s="2" t="s">
        <v>12</v>
      </c>
      <c r="B2461" s="2" t="str">
        <f>HYPERLINK("http://bbs.12365auto.com/postcontent.aspx?tId=195111","DS旗舰轿车DS 9发布")</f>
        <v>DS旗舰轿车DS 9发布</v>
      </c>
      <c r="C2461" s="2" t="s">
        <v>13</v>
      </c>
      <c r="D2461" s="2" t="s">
        <v>12</v>
      </c>
      <c r="E2461" s="2" t="s">
        <v>27</v>
      </c>
      <c r="F2461" s="2" t="str">
        <f>HYPERLINK("http://bbs.12365auto.com/postcontent.aspx?tId=195111","http://bbs.12365auto.com/postcontent.aspx?tId=195111")</f>
        <v>http://bbs.12365auto.com/postcontent.aspx?tId=195111</v>
      </c>
      <c r="G2461" s="2"/>
      <c r="H2461" s="2" t="s">
        <v>3566</v>
      </c>
      <c r="I2461" s="2" t="s">
        <v>15</v>
      </c>
      <c r="J2461" s="2" t="s">
        <v>2966</v>
      </c>
      <c r="K2461" s="2" t="s">
        <v>3567</v>
      </c>
      <c r="L2461" s="2">
        <f t="shared" si="38"/>
        <v>150</v>
      </c>
    </row>
    <row r="2462" spans="1:12" ht="25" customHeight="1">
      <c r="A2462" s="2" t="s">
        <v>12</v>
      </c>
      <c r="B2462" s="2" t="str">
        <f>HYPERLINK("http://www.12365auto.com/zlts/20200225/448600.shtml","海马8S发动机漏机油 挂挡时抖动")</f>
        <v>海马8S发动机漏机油 挂挡时抖动</v>
      </c>
      <c r="C2462" s="2" t="s">
        <v>13</v>
      </c>
      <c r="D2462" s="2" t="s">
        <v>12</v>
      </c>
      <c r="E2462" s="2" t="s">
        <v>17</v>
      </c>
      <c r="F2462" s="2" t="str">
        <f>HYPERLINK("http://www.12365auto.com/zlts/20200225/448600.shtml","http://www.12365auto.com/zlts/20200225/448600.shtml")</f>
        <v>http://www.12365auto.com/zlts/20200225/448600.shtml</v>
      </c>
      <c r="G2462" s="2"/>
      <c r="H2462" s="2" t="s">
        <v>3569</v>
      </c>
      <c r="I2462" s="2" t="s">
        <v>19</v>
      </c>
      <c r="J2462" s="2" t="s">
        <v>12</v>
      </c>
      <c r="K2462" s="2" t="s">
        <v>3570</v>
      </c>
      <c r="L2462" s="2">
        <f t="shared" si="38"/>
        <v>150</v>
      </c>
    </row>
    <row r="2463" spans="1:12" ht="25" customHeight="1">
      <c r="A2463" s="2" t="s">
        <v>12</v>
      </c>
      <c r="B2463" s="2" t="str">
        <f>HYPERLINK("http://www.12365auto.com/news/20200225/419484.shtml","费用上涨 2020年汽车年检发生重要调整")</f>
        <v>费用上涨 2020年汽车年检发生重要调整</v>
      </c>
      <c r="C2463" s="2" t="s">
        <v>13</v>
      </c>
      <c r="D2463" s="2" t="s">
        <v>12</v>
      </c>
      <c r="E2463" s="2" t="s">
        <v>276</v>
      </c>
      <c r="F2463" s="2" t="str">
        <f>HYPERLINK("http://www.12365auto.com/news/20200225/419484.shtml","http://www.12365auto.com/news/20200225/419484.shtml")</f>
        <v>http://www.12365auto.com/news/20200225/419484.shtml</v>
      </c>
      <c r="G2463" s="2"/>
      <c r="H2463" s="2" t="s">
        <v>3571</v>
      </c>
      <c r="I2463" s="2" t="s">
        <v>15</v>
      </c>
      <c r="J2463" s="2" t="s">
        <v>12</v>
      </c>
      <c r="K2463" s="2" t="s">
        <v>3572</v>
      </c>
      <c r="L2463" s="2">
        <f t="shared" si="38"/>
        <v>150</v>
      </c>
    </row>
    <row r="2464" spans="1:12" ht="25" customHeight="1">
      <c r="A2464" s="2" t="s">
        <v>12</v>
      </c>
      <c r="B2464" s="2" t="str">
        <f>HYPERLINK("http://m.12365auto.com/news/20200225/419484.shtml","费用上涨 2020年汽车年检发生重要调整")</f>
        <v>费用上涨 2020年汽车年检发生重要调整</v>
      </c>
      <c r="C2464" s="2" t="s">
        <v>13</v>
      </c>
      <c r="D2464" s="2" t="s">
        <v>12</v>
      </c>
      <c r="E2464" s="2"/>
      <c r="F2464" s="2" t="str">
        <f>HYPERLINK("http://m.12365auto.com/news/20200225/419484.shtml","http://m.12365auto.com/news/20200225/419484.shtml")</f>
        <v>http://m.12365auto.com/news/20200225/419484.shtml</v>
      </c>
      <c r="G2464" s="2"/>
      <c r="H2464" s="2" t="s">
        <v>3573</v>
      </c>
      <c r="I2464" s="2" t="s">
        <v>19</v>
      </c>
      <c r="J2464" s="2" t="s">
        <v>1170</v>
      </c>
      <c r="K2464" s="2" t="s">
        <v>3572</v>
      </c>
      <c r="L2464" s="2">
        <f t="shared" si="38"/>
        <v>150</v>
      </c>
    </row>
    <row r="2465" spans="1:12" ht="25" customHeight="1">
      <c r="A2465" s="2" t="s">
        <v>12</v>
      </c>
      <c r="B2465" s="2" t="str">
        <f>HYPERLINK("http://www.12365auto.com/xcdg/20200225/419483.shtml","更加贴近家庭使用 实拍一汽吉林森雅R8")</f>
        <v>更加贴近家庭使用 实拍一汽吉林森雅R8</v>
      </c>
      <c r="C2465" s="2" t="s">
        <v>13</v>
      </c>
      <c r="D2465" s="2" t="s">
        <v>12</v>
      </c>
      <c r="E2465" s="2" t="s">
        <v>216</v>
      </c>
      <c r="F2465" s="2" t="str">
        <f>HYPERLINK("http://www.12365auto.com/xcdg/20200225/419483.shtml","http://www.12365auto.com/xcdg/20200225/419483.shtml")</f>
        <v>http://www.12365auto.com/xcdg/20200225/419483.shtml</v>
      </c>
      <c r="G2465" s="2"/>
      <c r="H2465" s="2" t="s">
        <v>3574</v>
      </c>
      <c r="I2465" s="2" t="s">
        <v>15</v>
      </c>
      <c r="J2465" s="2" t="s">
        <v>12</v>
      </c>
      <c r="K2465" s="2" t="s">
        <v>3575</v>
      </c>
      <c r="L2465" s="2">
        <f t="shared" si="38"/>
        <v>150</v>
      </c>
    </row>
    <row r="2466" spans="1:12" ht="25" customHeight="1">
      <c r="A2466" s="2" t="s">
        <v>12</v>
      </c>
      <c r="B2466" s="2" t="str">
        <f>HYPERLINK("http://m.12365auto.com/xcdg/20200225/419483.shtml","更加贴近家庭使用 实拍一汽吉林森雅R8")</f>
        <v>更加贴近家庭使用 实拍一汽吉林森雅R8</v>
      </c>
      <c r="C2466" s="2" t="s">
        <v>13</v>
      </c>
      <c r="D2466" s="2" t="s">
        <v>12</v>
      </c>
      <c r="E2466" s="2"/>
      <c r="F2466" s="2" t="str">
        <f>HYPERLINK("http://m.12365auto.com/xcdg/20200225/419483.shtml","http://m.12365auto.com/xcdg/20200225/419483.shtml")</f>
        <v>http://m.12365auto.com/xcdg/20200225/419483.shtml</v>
      </c>
      <c r="G2466" s="2"/>
      <c r="H2466" s="2" t="s">
        <v>3576</v>
      </c>
      <c r="I2466" s="2" t="s">
        <v>19</v>
      </c>
      <c r="J2466" s="2" t="s">
        <v>3577</v>
      </c>
      <c r="K2466" s="2" t="s">
        <v>3575</v>
      </c>
      <c r="L2466" s="2">
        <f t="shared" si="38"/>
        <v>150</v>
      </c>
    </row>
    <row r="2467" spans="1:12" ht="25" customHeight="1">
      <c r="A2467" s="2" t="s">
        <v>12</v>
      </c>
      <c r="B2467" s="2" t="str">
        <f>HYPERLINK("http://www.12365auto.com/xcdg/20200225/419482.shtml","限量5台 宾尼法利纳推Battista纪念版")</f>
        <v>限量5台 宾尼法利纳推Battista纪念版</v>
      </c>
      <c r="C2467" s="2" t="s">
        <v>13</v>
      </c>
      <c r="D2467" s="2" t="s">
        <v>12</v>
      </c>
      <c r="E2467" s="2" t="s">
        <v>216</v>
      </c>
      <c r="F2467" s="2" t="str">
        <f>HYPERLINK("http://www.12365auto.com/xcdg/20200225/419482.shtml","http://www.12365auto.com/xcdg/20200225/419482.shtml")</f>
        <v>http://www.12365auto.com/xcdg/20200225/419482.shtml</v>
      </c>
      <c r="G2467" s="2"/>
      <c r="H2467" s="2" t="s">
        <v>3578</v>
      </c>
      <c r="I2467" s="2" t="s">
        <v>15</v>
      </c>
      <c r="J2467" s="2" t="s">
        <v>12</v>
      </c>
      <c r="K2467" s="2" t="s">
        <v>3579</v>
      </c>
      <c r="L2467" s="2">
        <f t="shared" si="38"/>
        <v>150</v>
      </c>
    </row>
    <row r="2468" spans="1:12" ht="25" customHeight="1">
      <c r="A2468" s="2" t="s">
        <v>12</v>
      </c>
      <c r="B2468" s="2" t="str">
        <f>HYPERLINK("http://m.12365auto.com/xcdg/20200225/419482.shtml","限量5台 宾尼法利纳推Battista纪念版")</f>
        <v>限量5台 宾尼法利纳推Battista纪念版</v>
      </c>
      <c r="C2468" s="2" t="s">
        <v>13</v>
      </c>
      <c r="D2468" s="2" t="s">
        <v>12</v>
      </c>
      <c r="E2468" s="2"/>
      <c r="F2468" s="2" t="str">
        <f>HYPERLINK("http://m.12365auto.com/xcdg/20200225/419482.shtml","http://m.12365auto.com/xcdg/20200225/419482.shtml")</f>
        <v>http://m.12365auto.com/xcdg/20200225/419482.shtml</v>
      </c>
      <c r="G2468" s="2"/>
      <c r="H2468" s="2" t="s">
        <v>3580</v>
      </c>
      <c r="I2468" s="2" t="s">
        <v>19</v>
      </c>
      <c r="J2468" s="2" t="s">
        <v>781</v>
      </c>
      <c r="K2468" s="2" t="s">
        <v>3579</v>
      </c>
      <c r="L2468" s="2">
        <f t="shared" si="38"/>
        <v>150</v>
      </c>
    </row>
    <row r="2469" spans="1:12" ht="25" customHeight="1">
      <c r="A2469" s="2" t="s">
        <v>12</v>
      </c>
      <c r="B2469" s="2" t="str">
        <f>HYPERLINK("http://www.12365auto.com/news/20200225/419481.shtml","支持复工 旗妙出行推出商务用车计划")</f>
        <v>支持复工 旗妙出行推出商务用车计划</v>
      </c>
      <c r="C2469" s="2" t="s">
        <v>13</v>
      </c>
      <c r="D2469" s="2" t="s">
        <v>12</v>
      </c>
      <c r="E2469" s="2" t="s">
        <v>276</v>
      </c>
      <c r="F2469" s="2" t="str">
        <f>HYPERLINK("http://www.12365auto.com/news/20200225/419481.shtml","http://www.12365auto.com/news/20200225/419481.shtml")</f>
        <v>http://www.12365auto.com/news/20200225/419481.shtml</v>
      </c>
      <c r="G2469" s="2"/>
      <c r="H2469" s="2" t="s">
        <v>3581</v>
      </c>
      <c r="I2469" s="2" t="s">
        <v>15</v>
      </c>
      <c r="J2469" s="2" t="s">
        <v>12</v>
      </c>
      <c r="K2469" s="2" t="s">
        <v>3582</v>
      </c>
      <c r="L2469" s="2">
        <f t="shared" si="38"/>
        <v>150</v>
      </c>
    </row>
    <row r="2470" spans="1:12" ht="25" customHeight="1">
      <c r="A2470" s="2" t="s">
        <v>12</v>
      </c>
      <c r="B2470" s="2" t="str">
        <f>HYPERLINK("http://m.12365auto.com/news/20200225/419481.shtml","支持复工 旗妙出行推出商务用车计划")</f>
        <v>支持复工 旗妙出行推出商务用车计划</v>
      </c>
      <c r="C2470" s="2" t="s">
        <v>13</v>
      </c>
      <c r="D2470" s="2" t="s">
        <v>12</v>
      </c>
      <c r="E2470" s="2"/>
      <c r="F2470" s="2" t="str">
        <f>HYPERLINK("http://m.12365auto.com/news/20200225/419481.shtml","http://m.12365auto.com/news/20200225/419481.shtml")</f>
        <v>http://m.12365auto.com/news/20200225/419481.shtml</v>
      </c>
      <c r="G2470" s="2"/>
      <c r="H2470" s="2" t="s">
        <v>3583</v>
      </c>
      <c r="I2470" s="2" t="s">
        <v>19</v>
      </c>
      <c r="J2470" s="2" t="s">
        <v>1170</v>
      </c>
      <c r="K2470" s="2" t="s">
        <v>3582</v>
      </c>
      <c r="L2470" s="2">
        <f t="shared" si="38"/>
        <v>150</v>
      </c>
    </row>
    <row r="2471" spans="1:12" ht="25" customHeight="1">
      <c r="A2471" s="2" t="s">
        <v>12</v>
      </c>
      <c r="B2471" s="2" t="str">
        <f>HYPERLINK("http://m.12365auto.com/xcdg/20200225/419480.shtml","首推300T DCT i7 BSG 吉利ICON购车手册")</f>
        <v>首推300T DCT i7 BSG 吉利ICON购车手册</v>
      </c>
      <c r="C2471" s="2" t="s">
        <v>13</v>
      </c>
      <c r="D2471" s="2" t="s">
        <v>12</v>
      </c>
      <c r="E2471" s="2"/>
      <c r="F2471" s="2" t="str">
        <f>HYPERLINK("http://m.12365auto.com/xcdg/20200225/419480.shtml","http://m.12365auto.com/xcdg/20200225/419480.shtml")</f>
        <v>http://m.12365auto.com/xcdg/20200225/419480.shtml</v>
      </c>
      <c r="G2471" s="2"/>
      <c r="H2471" s="2" t="s">
        <v>3584</v>
      </c>
      <c r="I2471" s="2" t="s">
        <v>19</v>
      </c>
      <c r="J2471" s="2" t="s">
        <v>3585</v>
      </c>
      <c r="K2471" s="2" t="s">
        <v>3586</v>
      </c>
      <c r="L2471" s="2">
        <f t="shared" si="38"/>
        <v>150</v>
      </c>
    </row>
    <row r="2472" spans="1:12" ht="25" customHeight="1">
      <c r="A2472" s="2" t="s">
        <v>12</v>
      </c>
      <c r="B2472" s="2" t="str">
        <f>HYPERLINK("http://www.12365auto.com/parts/20200225/419479.shtml","采用14颗LED 海拉为宝马X6格栅提供照明")</f>
        <v>采用14颗LED 海拉为宝马X6格栅提供照明</v>
      </c>
      <c r="C2472" s="2" t="s">
        <v>13</v>
      </c>
      <c r="D2472" s="2" t="s">
        <v>12</v>
      </c>
      <c r="E2472" s="2" t="s">
        <v>240</v>
      </c>
      <c r="F2472" s="2" t="str">
        <f>HYPERLINK("http://www.12365auto.com/parts/20200225/419479.shtml","http://www.12365auto.com/parts/20200225/419479.shtml")</f>
        <v>http://www.12365auto.com/parts/20200225/419479.shtml</v>
      </c>
      <c r="G2472" s="2"/>
      <c r="H2472" s="2" t="s">
        <v>3587</v>
      </c>
      <c r="I2472" s="2" t="s">
        <v>15</v>
      </c>
      <c r="J2472" s="2" t="s">
        <v>12</v>
      </c>
      <c r="K2472" s="2" t="s">
        <v>3588</v>
      </c>
      <c r="L2472" s="2">
        <f t="shared" si="38"/>
        <v>150</v>
      </c>
    </row>
    <row r="2473" spans="1:12" ht="25" customHeight="1">
      <c r="A2473" s="2" t="s">
        <v>12</v>
      </c>
      <c r="B2473" s="2" t="str">
        <f>HYPERLINK("http://m.12365auto.com/parts/20200225/419479.shtml","采用14颗LED 海拉为宝马X6格栅提供照明")</f>
        <v>采用14颗LED 海拉为宝马X6格栅提供照明</v>
      </c>
      <c r="C2473" s="2" t="s">
        <v>13</v>
      </c>
      <c r="D2473" s="2" t="s">
        <v>12</v>
      </c>
      <c r="E2473" s="2"/>
      <c r="F2473" s="2" t="str">
        <f>HYPERLINK("http://m.12365auto.com/parts/20200225/419479.shtml","http://m.12365auto.com/parts/20200225/419479.shtml")</f>
        <v>http://m.12365auto.com/parts/20200225/419479.shtml</v>
      </c>
      <c r="G2473" s="2"/>
      <c r="H2473" s="2" t="s">
        <v>3589</v>
      </c>
      <c r="I2473" s="2" t="s">
        <v>19</v>
      </c>
      <c r="J2473" s="2" t="s">
        <v>1653</v>
      </c>
      <c r="K2473" s="2" t="s">
        <v>3588</v>
      </c>
      <c r="L2473" s="2">
        <f t="shared" si="38"/>
        <v>150</v>
      </c>
    </row>
    <row r="2474" spans="1:12" ht="25" customHeight="1">
      <c r="A2474" s="2" t="s">
        <v>12</v>
      </c>
      <c r="B2474" s="2" t="str">
        <f>HYPERLINK("http://bbs.12365auto.com/postcontent.aspx?tID=195110","帕萨特申请参加中汽研碰撞测试 再撞一回")</f>
        <v>帕萨特申请参加中汽研碰撞测试 再撞一回</v>
      </c>
      <c r="C2474" s="2" t="s">
        <v>13</v>
      </c>
      <c r="D2474" s="2" t="s">
        <v>12</v>
      </c>
      <c r="E2474" s="2" t="s">
        <v>214</v>
      </c>
      <c r="F2474" s="2" t="str">
        <f>HYPERLINK("http://bbs.12365auto.com/postcontent.aspx?tID=195110","http://bbs.12365auto.com/postcontent.aspx?tID=195110")</f>
        <v>http://bbs.12365auto.com/postcontent.aspx?tID=195110</v>
      </c>
      <c r="G2474" s="2"/>
      <c r="H2474" s="2" t="s">
        <v>3590</v>
      </c>
      <c r="I2474" s="2" t="s">
        <v>15</v>
      </c>
      <c r="J2474" s="2" t="s">
        <v>949</v>
      </c>
      <c r="K2474" s="2" t="s">
        <v>3588</v>
      </c>
      <c r="L2474" s="2">
        <f t="shared" si="38"/>
        <v>150</v>
      </c>
    </row>
    <row r="2475" spans="1:12" ht="25" customHeight="1">
      <c r="A2475" s="2" t="s">
        <v>12</v>
      </c>
      <c r="B2475" s="2" t="str">
        <f>HYPERLINK("http://bbs.12365auto.com/postcontent.aspx?tID=195109","质量排名倒数 这八个品牌不推荐买")</f>
        <v>质量排名倒数 这八个品牌不推荐买</v>
      </c>
      <c r="C2475" s="2" t="s">
        <v>13</v>
      </c>
      <c r="D2475" s="2" t="s">
        <v>12</v>
      </c>
      <c r="E2475" s="2" t="s">
        <v>214</v>
      </c>
      <c r="F2475" s="2" t="str">
        <f>HYPERLINK("http://bbs.12365auto.com/postcontent.aspx?tID=195109","http://bbs.12365auto.com/postcontent.aspx?tID=195109")</f>
        <v>http://bbs.12365auto.com/postcontent.aspx?tID=195109</v>
      </c>
      <c r="G2475" s="2"/>
      <c r="H2475" s="2" t="s">
        <v>3591</v>
      </c>
      <c r="I2475" s="2" t="s">
        <v>15</v>
      </c>
      <c r="J2475" s="2" t="s">
        <v>949</v>
      </c>
      <c r="K2475" s="2" t="s">
        <v>3588</v>
      </c>
      <c r="L2475" s="2">
        <f t="shared" si="38"/>
        <v>150</v>
      </c>
    </row>
    <row r="2476" spans="1:12" ht="25" customHeight="1">
      <c r="A2476" s="2" t="s">
        <v>12</v>
      </c>
      <c r="B2476" s="2" t="str">
        <f>HYPERLINK("http://bbs.12365auto.com/postcontent.aspx?tID=195108","未来一年左右 特别值得期待的三款新车")</f>
        <v>未来一年左右 特别值得期待的三款新车</v>
      </c>
      <c r="C2476" s="2" t="s">
        <v>13</v>
      </c>
      <c r="D2476" s="2" t="s">
        <v>12</v>
      </c>
      <c r="E2476" s="2" t="s">
        <v>214</v>
      </c>
      <c r="F2476" s="2" t="str">
        <f>HYPERLINK("http://bbs.12365auto.com/postcontent.aspx?tID=195108","http://bbs.12365auto.com/postcontent.aspx?tID=195108")</f>
        <v>http://bbs.12365auto.com/postcontent.aspx?tID=195108</v>
      </c>
      <c r="G2476" s="2"/>
      <c r="H2476" s="2" t="s">
        <v>3592</v>
      </c>
      <c r="I2476" s="2" t="s">
        <v>15</v>
      </c>
      <c r="J2476" s="2" t="s">
        <v>949</v>
      </c>
      <c r="K2476" s="2" t="s">
        <v>3593</v>
      </c>
      <c r="L2476" s="2">
        <f t="shared" si="38"/>
        <v>150</v>
      </c>
    </row>
    <row r="2477" spans="1:12" ht="25" customHeight="1">
      <c r="A2477" s="2" t="s">
        <v>12</v>
      </c>
      <c r="B2477" s="2" t="str">
        <f>HYPERLINK("http://bbs.12365auto.com/postcontent.aspx?tID=195107","入门版就够用 新款A4L配置曝光")</f>
        <v>入门版就够用 新款A4L配置曝光</v>
      </c>
      <c r="C2477" s="2" t="s">
        <v>13</v>
      </c>
      <c r="D2477" s="2" t="s">
        <v>12</v>
      </c>
      <c r="E2477" s="2" t="s">
        <v>214</v>
      </c>
      <c r="F2477" s="2" t="str">
        <f>HYPERLINK("http://bbs.12365auto.com/postcontent.aspx?tID=195107","http://bbs.12365auto.com/postcontent.aspx?tID=195107")</f>
        <v>http://bbs.12365auto.com/postcontent.aspx?tID=195107</v>
      </c>
      <c r="G2477" s="2"/>
      <c r="H2477" s="2" t="s">
        <v>3594</v>
      </c>
      <c r="I2477" s="2" t="s">
        <v>15</v>
      </c>
      <c r="J2477" s="2" t="s">
        <v>949</v>
      </c>
      <c r="K2477" s="2" t="s">
        <v>3593</v>
      </c>
      <c r="L2477" s="2">
        <f t="shared" si="38"/>
        <v>150</v>
      </c>
    </row>
    <row r="2478" spans="1:12" ht="25" customHeight="1">
      <c r="A2478" s="2" t="s">
        <v>12</v>
      </c>
      <c r="B2478" s="2" t="str">
        <f>HYPERLINK("http://www.12365auto.com/xcdg/20200225/419478.shtml","中期改款MINI COUNTRYMAN内饰谍照曝光")</f>
        <v>中期改款MINI COUNTRYMAN内饰谍照曝光</v>
      </c>
      <c r="C2478" s="2" t="s">
        <v>13</v>
      </c>
      <c r="D2478" s="2" t="s">
        <v>12</v>
      </c>
      <c r="E2478" s="2" t="s">
        <v>224</v>
      </c>
      <c r="F2478" s="2" t="str">
        <f>HYPERLINK("http://www.12365auto.com/xcdg/20200225/419478.shtml","http://www.12365auto.com/xcdg/20200225/419478.shtml")</f>
        <v>http://www.12365auto.com/xcdg/20200225/419478.shtml</v>
      </c>
      <c r="G2478" s="2"/>
      <c r="H2478" s="2" t="s">
        <v>3595</v>
      </c>
      <c r="I2478" s="2" t="s">
        <v>15</v>
      </c>
      <c r="J2478" s="2" t="s">
        <v>12</v>
      </c>
      <c r="K2478" s="2" t="s">
        <v>3596</v>
      </c>
      <c r="L2478" s="2">
        <f t="shared" si="38"/>
        <v>150</v>
      </c>
    </row>
    <row r="2479" spans="1:12" ht="25" customHeight="1">
      <c r="A2479" s="2" t="s">
        <v>12</v>
      </c>
      <c r="B2479" s="2" t="str">
        <f>HYPERLINK("http://m.12365auto.com/xcdg/20200225/419478.shtml","中期改款MINI COUNTRYMAN内饰谍照曝光")</f>
        <v>中期改款MINI COUNTRYMAN内饰谍照曝光</v>
      </c>
      <c r="C2479" s="2" t="s">
        <v>13</v>
      </c>
      <c r="D2479" s="2" t="s">
        <v>12</v>
      </c>
      <c r="E2479" s="2"/>
      <c r="F2479" s="2" t="str">
        <f>HYPERLINK("http://m.12365auto.com/xcdg/20200225/419478.shtml","http://m.12365auto.com/xcdg/20200225/419478.shtml")</f>
        <v>http://m.12365auto.com/xcdg/20200225/419478.shtml</v>
      </c>
      <c r="G2479" s="2"/>
      <c r="H2479" s="2" t="s">
        <v>3597</v>
      </c>
      <c r="I2479" s="2" t="s">
        <v>19</v>
      </c>
      <c r="J2479" s="2" t="s">
        <v>1197</v>
      </c>
      <c r="K2479" s="2" t="s">
        <v>3596</v>
      </c>
      <c r="L2479" s="2">
        <f t="shared" si="38"/>
        <v>150</v>
      </c>
    </row>
    <row r="2480" spans="1:12" ht="25" customHeight="1">
      <c r="A2480" s="2" t="s">
        <v>12</v>
      </c>
      <c r="B2480" s="2" t="str">
        <f>HYPERLINK("http://bbs.12365auto.com/postcontent.aspx?tID=195105","沉寂已久放大招 DS旗舰轿车“DS 9”发布")</f>
        <v>沉寂已久放大招 DS旗舰轿车“DS 9”发布</v>
      </c>
      <c r="C2480" s="2" t="s">
        <v>13</v>
      </c>
      <c r="D2480" s="2" t="s">
        <v>12</v>
      </c>
      <c r="E2480" s="2" t="s">
        <v>214</v>
      </c>
      <c r="F2480" s="2" t="str">
        <f>HYPERLINK("http://bbs.12365auto.com/postcontent.aspx?tID=195105","http://bbs.12365auto.com/postcontent.aspx?tID=195105")</f>
        <v>http://bbs.12365auto.com/postcontent.aspx?tID=195105</v>
      </c>
      <c r="G2480" s="2"/>
      <c r="H2480" s="2" t="s">
        <v>3598</v>
      </c>
      <c r="I2480" s="2" t="s">
        <v>15</v>
      </c>
      <c r="J2480" s="2" t="s">
        <v>949</v>
      </c>
      <c r="K2480" s="2" t="s">
        <v>3596</v>
      </c>
      <c r="L2480" s="2">
        <f t="shared" si="38"/>
        <v>150</v>
      </c>
    </row>
    <row r="2481" spans="1:12" ht="25" customHeight="1">
      <c r="A2481" s="2" t="s">
        <v>12</v>
      </c>
      <c r="B2481" s="2" t="str">
        <f>HYPERLINK("http://www.12365auto.com/scbg/20200225/419477.shtml","全新动力总成表现不赖 启辰星高原测试")</f>
        <v>全新动力总成表现不赖 启辰星高原测试</v>
      </c>
      <c r="C2481" s="2" t="s">
        <v>13</v>
      </c>
      <c r="D2481" s="2" t="s">
        <v>12</v>
      </c>
      <c r="E2481" s="2" t="s">
        <v>1548</v>
      </c>
      <c r="F2481" s="2" t="str">
        <f>HYPERLINK("http://www.12365auto.com/scbg/20200225/419477.shtml","http://www.12365auto.com/scbg/20200225/419477.shtml")</f>
        <v>http://www.12365auto.com/scbg/20200225/419477.shtml</v>
      </c>
      <c r="G2481" s="2"/>
      <c r="H2481" s="2" t="s">
        <v>3599</v>
      </c>
      <c r="I2481" s="2" t="s">
        <v>15</v>
      </c>
      <c r="J2481" s="2" t="s">
        <v>12</v>
      </c>
      <c r="K2481" s="2" t="s">
        <v>3600</v>
      </c>
      <c r="L2481" s="2">
        <f t="shared" si="38"/>
        <v>150</v>
      </c>
    </row>
    <row r="2482" spans="1:12" ht="25" customHeight="1">
      <c r="A2482" s="2" t="s">
        <v>12</v>
      </c>
      <c r="B2482" s="2" t="str">
        <f>HYPERLINK("http://m.12365auto.com/scbg/20200225/419477.shtml","全新动力总成表现不赖 启辰星高原测试")</f>
        <v>全新动力总成表现不赖 启辰星高原测试</v>
      </c>
      <c r="C2482" s="2" t="s">
        <v>13</v>
      </c>
      <c r="D2482" s="2" t="s">
        <v>12</v>
      </c>
      <c r="E2482" s="2"/>
      <c r="F2482" s="2" t="str">
        <f>HYPERLINK("http://m.12365auto.com/scbg/20200225/419477.shtml","http://m.12365auto.com/scbg/20200225/419477.shtml")</f>
        <v>http://m.12365auto.com/scbg/20200225/419477.shtml</v>
      </c>
      <c r="G2482" s="2"/>
      <c r="H2482" s="2" t="s">
        <v>3601</v>
      </c>
      <c r="I2482" s="2" t="s">
        <v>19</v>
      </c>
      <c r="J2482" s="2" t="s">
        <v>3602</v>
      </c>
      <c r="K2482" s="2" t="s">
        <v>3600</v>
      </c>
      <c r="L2482" s="2">
        <f t="shared" si="38"/>
        <v>150</v>
      </c>
    </row>
    <row r="2483" spans="1:12" ht="25" customHeight="1">
      <c r="A2483" s="2" t="s">
        <v>12</v>
      </c>
      <c r="B2483" s="2" t="str">
        <f>HYPERLINK("http://bbs.12365auto.com/postcontent.aspx?tID=195104","你知道什么姿势最适合你吗")</f>
        <v>你知道什么姿势最适合你吗</v>
      </c>
      <c r="C2483" s="2" t="s">
        <v>13</v>
      </c>
      <c r="D2483" s="2" t="s">
        <v>12</v>
      </c>
      <c r="E2483" s="2" t="s">
        <v>214</v>
      </c>
      <c r="F2483" s="2" t="str">
        <f>HYPERLINK("http://bbs.12365auto.com/postcontent.aspx?tID=195104","http://bbs.12365auto.com/postcontent.aspx?tID=195104")</f>
        <v>http://bbs.12365auto.com/postcontent.aspx?tID=195104</v>
      </c>
      <c r="G2483" s="2"/>
      <c r="H2483" s="2" t="s">
        <v>3603</v>
      </c>
      <c r="I2483" s="2" t="s">
        <v>15</v>
      </c>
      <c r="J2483" s="2" t="s">
        <v>949</v>
      </c>
      <c r="K2483" s="2" t="s">
        <v>3600</v>
      </c>
      <c r="L2483" s="2">
        <f t="shared" si="38"/>
        <v>150</v>
      </c>
    </row>
    <row r="2484" spans="1:12" ht="25" customHeight="1">
      <c r="A2484" s="2" t="s">
        <v>12</v>
      </c>
      <c r="B2484" s="2" t="str">
        <f>HYPERLINK("http://m.12365auto.com/xcdg/20200225/419476.shtml","宅在家中选车15-20万区间纯电动SUV购买推荐")</f>
        <v>宅在家中选车15-20万区间纯电动SUV购买推荐</v>
      </c>
      <c r="C2484" s="2" t="s">
        <v>13</v>
      </c>
      <c r="D2484" s="2" t="s">
        <v>12</v>
      </c>
      <c r="E2484" s="2"/>
      <c r="F2484" s="2" t="str">
        <f>HYPERLINK("http://m.12365auto.com/xcdg/20200225/419476.shtml","http://m.12365auto.com/xcdg/20200225/419476.shtml")</f>
        <v>http://m.12365auto.com/xcdg/20200225/419476.shtml</v>
      </c>
      <c r="G2484" s="2"/>
      <c r="H2484" s="2" t="s">
        <v>3604</v>
      </c>
      <c r="I2484" s="2" t="s">
        <v>19</v>
      </c>
      <c r="J2484" s="2" t="s">
        <v>3605</v>
      </c>
      <c r="K2484" s="2" t="s">
        <v>3606</v>
      </c>
      <c r="L2484" s="2">
        <f t="shared" si="38"/>
        <v>150</v>
      </c>
    </row>
    <row r="2485" spans="1:12" ht="25" customHeight="1">
      <c r="A2485" s="2" t="s">
        <v>12</v>
      </c>
      <c r="B2485" s="2" t="str">
        <f>HYPERLINK("http://www.12365auto.com/zlts/20200225/448598.shtml","北京现代领动发动机故障灯亮一直未解决")</f>
        <v>北京现代领动发动机故障灯亮一直未解决</v>
      </c>
      <c r="C2485" s="2" t="s">
        <v>13</v>
      </c>
      <c r="D2485" s="2" t="s">
        <v>12</v>
      </c>
      <c r="E2485" s="2" t="s">
        <v>17</v>
      </c>
      <c r="F2485" s="2" t="str">
        <f>HYPERLINK("http://www.12365auto.com/zlts/20200225/448598.shtml","http://www.12365auto.com/zlts/20200225/448598.shtml")</f>
        <v>http://www.12365auto.com/zlts/20200225/448598.shtml</v>
      </c>
      <c r="G2485" s="2"/>
      <c r="H2485" s="2" t="s">
        <v>3607</v>
      </c>
      <c r="I2485" s="2" t="s">
        <v>19</v>
      </c>
      <c r="J2485" s="2" t="s">
        <v>12</v>
      </c>
      <c r="K2485" s="2" t="s">
        <v>3608</v>
      </c>
      <c r="L2485" s="2">
        <f t="shared" si="38"/>
        <v>150</v>
      </c>
    </row>
    <row r="2486" spans="1:12" ht="25" customHeight="1">
      <c r="A2486" s="2" t="s">
        <v>12</v>
      </c>
      <c r="B2486" s="2" t="str">
        <f>HYPERLINK("http://bbs.12365auto.com/postcontent.aspx?tID=195103","“抱着方向盘”是最傻的开车姿势")</f>
        <v>“抱着方向盘”是最傻的开车姿势</v>
      </c>
      <c r="C2486" s="2" t="s">
        <v>13</v>
      </c>
      <c r="D2486" s="2" t="s">
        <v>12</v>
      </c>
      <c r="E2486" s="2" t="s">
        <v>214</v>
      </c>
      <c r="F2486" s="2" t="str">
        <f>HYPERLINK("http://bbs.12365auto.com/postcontent.aspx?tID=195103","http://bbs.12365auto.com/postcontent.aspx?tID=195103")</f>
        <v>http://bbs.12365auto.com/postcontent.aspx?tID=195103</v>
      </c>
      <c r="G2486" s="2"/>
      <c r="H2486" s="2" t="s">
        <v>3609</v>
      </c>
      <c r="I2486" s="2" t="s">
        <v>15</v>
      </c>
      <c r="J2486" s="2" t="s">
        <v>949</v>
      </c>
      <c r="K2486" s="2" t="s">
        <v>3608</v>
      </c>
      <c r="L2486" s="2">
        <f t="shared" si="38"/>
        <v>150</v>
      </c>
    </row>
    <row r="2487" spans="1:12" ht="25" customHeight="1">
      <c r="A2487" s="2" t="s">
        <v>12</v>
      </c>
      <c r="B2487" s="2" t="str">
        <f>HYPERLINK("http://bbs.12365auto.com/postcontent.aspx?tID=195102","这是一条能救人命的推送 这是一条能救人命的推送")</f>
        <v>这是一条能救人命的推送 这是一条能救人命的推送</v>
      </c>
      <c r="C2487" s="2" t="s">
        <v>13</v>
      </c>
      <c r="D2487" s="2" t="s">
        <v>12</v>
      </c>
      <c r="E2487" s="2" t="s">
        <v>214</v>
      </c>
      <c r="F2487" s="2" t="str">
        <f>HYPERLINK("http://bbs.12365auto.com/postcontent.aspx?tID=195102","http://bbs.12365auto.com/postcontent.aspx?tID=195102")</f>
        <v>http://bbs.12365auto.com/postcontent.aspx?tID=195102</v>
      </c>
      <c r="G2487" s="2"/>
      <c r="H2487" s="2" t="s">
        <v>3610</v>
      </c>
      <c r="I2487" s="2" t="s">
        <v>15</v>
      </c>
      <c r="J2487" s="2" t="s">
        <v>949</v>
      </c>
      <c r="K2487" s="2" t="s">
        <v>3611</v>
      </c>
      <c r="L2487" s="2">
        <f t="shared" si="38"/>
        <v>150</v>
      </c>
    </row>
    <row r="2488" spans="1:12" ht="25" customHeight="1">
      <c r="A2488" s="2" t="s">
        <v>12</v>
      </c>
      <c r="B2488" s="2" t="str">
        <f>HYPERLINK("http://m.12365auto.com/xcdg/20200225/419475.shtml","全新雷克萨斯NX 2021年秋季推出/基于TNGA")</f>
        <v>全新雷克萨斯NX 2021年秋季推出/基于TNGA</v>
      </c>
      <c r="C2488" s="2" t="s">
        <v>13</v>
      </c>
      <c r="D2488" s="2" t="s">
        <v>12</v>
      </c>
      <c r="E2488" s="2"/>
      <c r="F2488" s="2" t="str">
        <f>HYPERLINK("http://m.12365auto.com/xcdg/20200225/419475.shtml","http://m.12365auto.com/xcdg/20200225/419475.shtml")</f>
        <v>http://m.12365auto.com/xcdg/20200225/419475.shtml</v>
      </c>
      <c r="G2488" s="2"/>
      <c r="H2488" s="2" t="s">
        <v>3612</v>
      </c>
      <c r="I2488" s="2" t="s">
        <v>19</v>
      </c>
      <c r="J2488" s="2" t="s">
        <v>988</v>
      </c>
      <c r="K2488" s="2" t="s">
        <v>3613</v>
      </c>
      <c r="L2488" s="2">
        <f t="shared" si="38"/>
        <v>150</v>
      </c>
    </row>
    <row r="2489" spans="1:12" ht="25" customHeight="1">
      <c r="A2489" s="2" t="s">
        <v>12</v>
      </c>
      <c r="B2489" s="2" t="str">
        <f>HYPERLINK("http://www.12365auto.com/xcdg/20200225/419475.shtml","全新雷克萨斯NX 2021年秋季推出/基于TNGA")</f>
        <v>全新雷克萨斯NX 2021年秋季推出/基于TNGA</v>
      </c>
      <c r="C2489" s="2" t="s">
        <v>13</v>
      </c>
      <c r="D2489" s="2" t="s">
        <v>12</v>
      </c>
      <c r="E2489" s="2" t="s">
        <v>216</v>
      </c>
      <c r="F2489" s="2" t="str">
        <f>HYPERLINK("http://www.12365auto.com/xcdg/20200225/419475.shtml","http://www.12365auto.com/xcdg/20200225/419475.shtml")</f>
        <v>http://www.12365auto.com/xcdg/20200225/419475.shtml</v>
      </c>
      <c r="G2489" s="2"/>
      <c r="H2489" s="2" t="s">
        <v>3614</v>
      </c>
      <c r="I2489" s="2" t="s">
        <v>15</v>
      </c>
      <c r="J2489" s="2" t="s">
        <v>12</v>
      </c>
      <c r="K2489" s="2" t="s">
        <v>3613</v>
      </c>
      <c r="L2489" s="2">
        <f t="shared" si="38"/>
        <v>150</v>
      </c>
    </row>
    <row r="2490" spans="1:12" ht="25" customHeight="1">
      <c r="A2490" s="2" t="s">
        <v>12</v>
      </c>
      <c r="B2490" s="2" t="str">
        <f>HYPERLINK("http://m.12365auto.com/xcdg/20200225/419474.shtml","全新高尔夫GTI于日内瓦车展首发 性能再进化")</f>
        <v>全新高尔夫GTI于日内瓦车展首发 性能再进化</v>
      </c>
      <c r="C2490" s="2" t="s">
        <v>13</v>
      </c>
      <c r="D2490" s="2" t="s">
        <v>12</v>
      </c>
      <c r="E2490" s="2"/>
      <c r="F2490" s="2" t="str">
        <f>HYPERLINK("http://m.12365auto.com/xcdg/20200225/419474.shtml","http://m.12365auto.com/xcdg/20200225/419474.shtml")</f>
        <v>http://m.12365auto.com/xcdg/20200225/419474.shtml</v>
      </c>
      <c r="G2490" s="2"/>
      <c r="H2490" s="2" t="s">
        <v>3615</v>
      </c>
      <c r="I2490" s="2" t="s">
        <v>19</v>
      </c>
      <c r="J2490" s="2" t="s">
        <v>988</v>
      </c>
      <c r="K2490" s="2" t="s">
        <v>3616</v>
      </c>
      <c r="L2490" s="2">
        <f t="shared" si="38"/>
        <v>150</v>
      </c>
    </row>
    <row r="2491" spans="1:12" ht="25" customHeight="1">
      <c r="A2491" s="2" t="s">
        <v>12</v>
      </c>
      <c r="B2491" s="2" t="str">
        <f>HYPERLINK("http://www.12365auto.com/xcdg/20200225/419474.shtml","全新高尔夫GTI于日内瓦车展首发 性能再进化")</f>
        <v>全新高尔夫GTI于日内瓦车展首发 性能再进化</v>
      </c>
      <c r="C2491" s="2" t="s">
        <v>13</v>
      </c>
      <c r="D2491" s="2" t="s">
        <v>12</v>
      </c>
      <c r="E2491" s="2" t="s">
        <v>216</v>
      </c>
      <c r="F2491" s="2" t="str">
        <f>HYPERLINK("http://www.12365auto.com/xcdg/20200225/419474.shtml","http://www.12365auto.com/xcdg/20200225/419474.shtml")</f>
        <v>http://www.12365auto.com/xcdg/20200225/419474.shtml</v>
      </c>
      <c r="G2491" s="2"/>
      <c r="H2491" s="2" t="s">
        <v>3617</v>
      </c>
      <c r="I2491" s="2" t="s">
        <v>15</v>
      </c>
      <c r="J2491" s="2" t="s">
        <v>12</v>
      </c>
      <c r="K2491" s="2" t="s">
        <v>3616</v>
      </c>
      <c r="L2491" s="2">
        <f t="shared" si="38"/>
        <v>150</v>
      </c>
    </row>
    <row r="2492" spans="1:12" ht="25" customHeight="1">
      <c r="A2492" s="2" t="s">
        <v>12</v>
      </c>
      <c r="B2492" s="2" t="str">
        <f>HYPERLINK("http://www.12365auto.com/zlts/20200225/448593.shtml","奇瑞瑞虎8前大灯存在盲区存在安全隐患")</f>
        <v>奇瑞瑞虎8前大灯存在盲区存在安全隐患</v>
      </c>
      <c r="C2492" s="2" t="s">
        <v>13</v>
      </c>
      <c r="D2492" s="2" t="s">
        <v>12</v>
      </c>
      <c r="E2492" s="2"/>
      <c r="F2492" s="2" t="str">
        <f>HYPERLINK("http://www.12365auto.com/zlts/20200225/448593.shtml","http://www.12365auto.com/zlts/20200225/448593.shtml")</f>
        <v>http://www.12365auto.com/zlts/20200225/448593.shtml</v>
      </c>
      <c r="G2492" s="2"/>
      <c r="H2492" s="3" t="s">
        <v>3618</v>
      </c>
      <c r="I2492" s="2" t="s">
        <v>15</v>
      </c>
      <c r="J2492" s="2" t="s">
        <v>12</v>
      </c>
      <c r="K2492" s="2" t="s">
        <v>3619</v>
      </c>
      <c r="L2492" s="2">
        <f t="shared" si="38"/>
        <v>112</v>
      </c>
    </row>
    <row r="2493" spans="1:12" ht="25" customHeight="1">
      <c r="A2493" s="2" t="s">
        <v>12</v>
      </c>
      <c r="B2493" s="2" t="str">
        <f>HYPERLINK("http://m.12365auto.com/xcdg/20200225/419473.shtml","西雅特全新Cupra LEON亮相 高尔夫的表兄弟")</f>
        <v>西雅特全新Cupra LEON亮相 高尔夫的表兄弟</v>
      </c>
      <c r="C2493" s="2" t="s">
        <v>13</v>
      </c>
      <c r="D2493" s="2" t="s">
        <v>12</v>
      </c>
      <c r="E2493" s="2"/>
      <c r="F2493" s="2" t="str">
        <f>HYPERLINK("http://m.12365auto.com/xcdg/20200225/419473.shtml","http://m.12365auto.com/xcdg/20200225/419473.shtml")</f>
        <v>http://m.12365auto.com/xcdg/20200225/419473.shtml</v>
      </c>
      <c r="G2493" s="2"/>
      <c r="H2493" s="2" t="s">
        <v>3620</v>
      </c>
      <c r="I2493" s="2" t="s">
        <v>19</v>
      </c>
      <c r="J2493" s="2" t="s">
        <v>988</v>
      </c>
      <c r="K2493" s="2" t="s">
        <v>3621</v>
      </c>
      <c r="L2493" s="2">
        <f t="shared" si="38"/>
        <v>150</v>
      </c>
    </row>
    <row r="2494" spans="1:12" ht="25" customHeight="1">
      <c r="A2494" s="2" t="s">
        <v>12</v>
      </c>
      <c r="B2494" s="2" t="str">
        <f>HYPERLINK("http://www.12365auto.com/xcdg/20200225/419473.shtml","西雅特全新Cupra LEON亮相 高尔夫的表兄弟")</f>
        <v>西雅特全新Cupra LEON亮相 高尔夫的表兄弟</v>
      </c>
      <c r="C2494" s="2" t="s">
        <v>13</v>
      </c>
      <c r="D2494" s="2" t="s">
        <v>12</v>
      </c>
      <c r="E2494" s="2" t="s">
        <v>216</v>
      </c>
      <c r="F2494" s="2" t="str">
        <f>HYPERLINK("http://www.12365auto.com/xcdg/20200225/419473.shtml","http://www.12365auto.com/xcdg/20200225/419473.shtml")</f>
        <v>http://www.12365auto.com/xcdg/20200225/419473.shtml</v>
      </c>
      <c r="G2494" s="2"/>
      <c r="H2494" s="2" t="s">
        <v>3622</v>
      </c>
      <c r="I2494" s="2" t="s">
        <v>15</v>
      </c>
      <c r="J2494" s="2" t="s">
        <v>12</v>
      </c>
      <c r="K2494" s="2" t="s">
        <v>3621</v>
      </c>
      <c r="L2494" s="2">
        <f t="shared" si="38"/>
        <v>150</v>
      </c>
    </row>
    <row r="2495" spans="1:12" ht="25" customHeight="1">
      <c r="A2495" s="2" t="s">
        <v>12</v>
      </c>
      <c r="B2495" s="2" t="str">
        <f>HYPERLINK("http://m.12365auto.com/news/20200225/419472.shtml","包括丰田红杉 丰田多款皮卡及SUV即将换代")</f>
        <v>包括丰田红杉 丰田多款皮卡及SUV即将换代</v>
      </c>
      <c r="C2495" s="2" t="s">
        <v>13</v>
      </c>
      <c r="D2495" s="2" t="s">
        <v>12</v>
      </c>
      <c r="E2495" s="2"/>
      <c r="F2495" s="2" t="str">
        <f>HYPERLINK("http://m.12365auto.com/news/20200225/419472.shtml","http://m.12365auto.com/news/20200225/419472.shtml")</f>
        <v>http://m.12365auto.com/news/20200225/419472.shtml</v>
      </c>
      <c r="G2495" s="2"/>
      <c r="H2495" s="2" t="s">
        <v>3623</v>
      </c>
      <c r="I2495" s="2" t="s">
        <v>19</v>
      </c>
      <c r="J2495" s="2" t="s">
        <v>992</v>
      </c>
      <c r="K2495" s="2" t="s">
        <v>3624</v>
      </c>
      <c r="L2495" s="2">
        <f t="shared" si="38"/>
        <v>150</v>
      </c>
    </row>
    <row r="2496" spans="1:12" ht="25" customHeight="1">
      <c r="A2496" s="2" t="s">
        <v>12</v>
      </c>
      <c r="B2496" s="2" t="str">
        <f>HYPERLINK("http://www.12365auto.com/news/20200225/419472.shtml","包括丰田红杉 丰田多款皮卡及SUV即将换代")</f>
        <v>包括丰田红杉 丰田多款皮卡及SUV即将换代</v>
      </c>
      <c r="C2496" s="2" t="s">
        <v>13</v>
      </c>
      <c r="D2496" s="2" t="s">
        <v>12</v>
      </c>
      <c r="E2496" s="2" t="s">
        <v>276</v>
      </c>
      <c r="F2496" s="2" t="str">
        <f>HYPERLINK("http://www.12365auto.com/news/20200225/419472.shtml","http://www.12365auto.com/news/20200225/419472.shtml")</f>
        <v>http://www.12365auto.com/news/20200225/419472.shtml</v>
      </c>
      <c r="G2496" s="2"/>
      <c r="H2496" s="2" t="s">
        <v>3625</v>
      </c>
      <c r="I2496" s="2" t="s">
        <v>15</v>
      </c>
      <c r="J2496" s="2" t="s">
        <v>12</v>
      </c>
      <c r="K2496" s="2" t="s">
        <v>3624</v>
      </c>
      <c r="L2496" s="2">
        <f t="shared" si="38"/>
        <v>150</v>
      </c>
    </row>
    <row r="2497" spans="1:12" ht="25" customHeight="1">
      <c r="A2497" s="2" t="s">
        <v>12</v>
      </c>
      <c r="B2497" s="2" t="str">
        <f>HYPERLINK("http://www.12365auto.com/news/20200225/419471.shtml","疫情致零部件断供 海外车企停产正在扩大化")</f>
        <v>疫情致零部件断供 海外车企停产正在扩大化</v>
      </c>
      <c r="C2497" s="2" t="s">
        <v>13</v>
      </c>
      <c r="D2497" s="2" t="s">
        <v>12</v>
      </c>
      <c r="E2497" s="2" t="s">
        <v>276</v>
      </c>
      <c r="F2497" s="2" t="str">
        <f>HYPERLINK("http://www.12365auto.com/news/20200225/419471.shtml","http://www.12365auto.com/news/20200225/419471.shtml")</f>
        <v>http://www.12365auto.com/news/20200225/419471.shtml</v>
      </c>
      <c r="G2497" s="2"/>
      <c r="H2497" s="2" t="s">
        <v>3626</v>
      </c>
      <c r="I2497" s="2" t="s">
        <v>15</v>
      </c>
      <c r="J2497" s="2" t="s">
        <v>12</v>
      </c>
      <c r="K2497" s="2" t="s">
        <v>3627</v>
      </c>
      <c r="L2497" s="2">
        <f t="shared" si="38"/>
        <v>150</v>
      </c>
    </row>
    <row r="2498" spans="1:12" ht="25" customHeight="1">
      <c r="A2498" s="2" t="s">
        <v>12</v>
      </c>
      <c r="B2498" s="2" t="str">
        <f>HYPERLINK("http://m.12365auto.com/news/20200225/419471.shtml","疫情致零部件断供 海外车企停产正在扩大化")</f>
        <v>疫情致零部件断供 海外车企停产正在扩大化</v>
      </c>
      <c r="C2498" s="2" t="s">
        <v>13</v>
      </c>
      <c r="D2498" s="2" t="s">
        <v>12</v>
      </c>
      <c r="E2498" s="2"/>
      <c r="F2498" s="2" t="str">
        <f>HYPERLINK("http://m.12365auto.com/news/20200225/419471.shtml","http://m.12365auto.com/news/20200225/419471.shtml")</f>
        <v>http://m.12365auto.com/news/20200225/419471.shtml</v>
      </c>
      <c r="G2498" s="2"/>
      <c r="H2498" s="2" t="s">
        <v>3628</v>
      </c>
      <c r="I2498" s="2" t="s">
        <v>19</v>
      </c>
      <c r="J2498" s="2" t="s">
        <v>3629</v>
      </c>
      <c r="K2498" s="2" t="s">
        <v>3627</v>
      </c>
      <c r="L2498" s="2">
        <f t="shared" si="38"/>
        <v>150</v>
      </c>
    </row>
    <row r="2499" spans="1:12" ht="25" customHeight="1">
      <c r="A2499" s="2" t="s">
        <v>12</v>
      </c>
      <c r="B2499" s="2" t="str">
        <f>HYPERLINK("http://www.12365auto.com/zlts/20200225/448597.shtml","上汽大众帕萨特测试A柱断裂 变速箱顿挫")</f>
        <v>上汽大众帕萨特测试A柱断裂 变速箱顿挫</v>
      </c>
      <c r="C2499" s="2" t="s">
        <v>13</v>
      </c>
      <c r="D2499" s="2" t="s">
        <v>12</v>
      </c>
      <c r="E2499" s="2" t="s">
        <v>17</v>
      </c>
      <c r="F2499" s="2" t="str">
        <f>HYPERLINK("http://www.12365auto.com/zlts/20200225/448597.shtml","http://www.12365auto.com/zlts/20200225/448597.shtml")</f>
        <v>http://www.12365auto.com/zlts/20200225/448597.shtml</v>
      </c>
      <c r="G2499" s="2"/>
      <c r="H2499" s="2" t="s">
        <v>3630</v>
      </c>
      <c r="I2499" s="2" t="s">
        <v>19</v>
      </c>
      <c r="J2499" s="2" t="s">
        <v>12</v>
      </c>
      <c r="K2499" s="2" t="s">
        <v>3631</v>
      </c>
      <c r="L2499" s="2">
        <f t="shared" ref="L2499:L2562" si="39">LEN(H2499)</f>
        <v>150</v>
      </c>
    </row>
    <row r="2500" spans="1:12" ht="25" customHeight="1">
      <c r="A2500" s="2" t="s">
        <v>12</v>
      </c>
      <c r="B2500" s="2" t="str">
        <f>HYPERLINK("http://www.12365auto.com/news/20200225/419470.shtml","2019年中国乘用车产能利用率跌至54%")</f>
        <v>2019年中国乘用车产能利用率跌至54%</v>
      </c>
      <c r="C2500" s="2" t="s">
        <v>13</v>
      </c>
      <c r="D2500" s="2" t="s">
        <v>12</v>
      </c>
      <c r="E2500" s="2" t="s">
        <v>276</v>
      </c>
      <c r="F2500" s="2" t="str">
        <f>HYPERLINK("http://www.12365auto.com/news/20200225/419470.shtml","http://www.12365auto.com/news/20200225/419470.shtml")</f>
        <v>http://www.12365auto.com/news/20200225/419470.shtml</v>
      </c>
      <c r="G2500" s="2"/>
      <c r="H2500" s="2" t="s">
        <v>3632</v>
      </c>
      <c r="I2500" s="2" t="s">
        <v>15</v>
      </c>
      <c r="J2500" s="2" t="s">
        <v>12</v>
      </c>
      <c r="K2500" s="2" t="s">
        <v>3631</v>
      </c>
      <c r="L2500" s="2">
        <f t="shared" si="39"/>
        <v>150</v>
      </c>
    </row>
    <row r="2501" spans="1:12" ht="25" customHeight="1">
      <c r="A2501" s="2" t="s">
        <v>12</v>
      </c>
      <c r="B2501" s="2" t="str">
        <f>HYPERLINK("http://m.12365auto.com/news/20200225/419470.shtml","2019年中国乘用车产能利用率跌至54%")</f>
        <v>2019年中国乘用车产能利用率跌至54%</v>
      </c>
      <c r="C2501" s="2" t="s">
        <v>13</v>
      </c>
      <c r="D2501" s="2" t="s">
        <v>12</v>
      </c>
      <c r="E2501" s="2"/>
      <c r="F2501" s="2" t="str">
        <f>HYPERLINK("http://m.12365auto.com/news/20200225/419470.shtml","http://m.12365auto.com/news/20200225/419470.shtml")</f>
        <v>http://m.12365auto.com/news/20200225/419470.shtml</v>
      </c>
      <c r="G2501" s="2"/>
      <c r="H2501" s="2" t="s">
        <v>3633</v>
      </c>
      <c r="I2501" s="2" t="s">
        <v>19</v>
      </c>
      <c r="J2501" s="2" t="s">
        <v>3634</v>
      </c>
      <c r="K2501" s="2" t="s">
        <v>3631</v>
      </c>
      <c r="L2501" s="2">
        <f t="shared" si="39"/>
        <v>150</v>
      </c>
    </row>
    <row r="2502" spans="1:12" ht="25" customHeight="1">
      <c r="A2502" s="2" t="s">
        <v>12</v>
      </c>
      <c r="B2502" s="2" t="str">
        <f>HYPERLINK("http://www.12365auto.com/news/20200225/419469.shtml","1月德系品牌销量解读：南北大众冷暖两重天")</f>
        <v>1月德系品牌销量解读：南北大众冷暖两重天</v>
      </c>
      <c r="C2502" s="2" t="s">
        <v>13</v>
      </c>
      <c r="D2502" s="2" t="s">
        <v>12</v>
      </c>
      <c r="E2502" s="2" t="s">
        <v>276</v>
      </c>
      <c r="F2502" s="2" t="str">
        <f>HYPERLINK("http://www.12365auto.com/news/20200225/419469.shtml","http://www.12365auto.com/news/20200225/419469.shtml")</f>
        <v>http://www.12365auto.com/news/20200225/419469.shtml</v>
      </c>
      <c r="G2502" s="2"/>
      <c r="H2502" s="2" t="s">
        <v>3635</v>
      </c>
      <c r="I2502" s="2" t="s">
        <v>15</v>
      </c>
      <c r="J2502" s="2" t="s">
        <v>12</v>
      </c>
      <c r="K2502" s="2" t="s">
        <v>3636</v>
      </c>
      <c r="L2502" s="2">
        <f t="shared" si="39"/>
        <v>150</v>
      </c>
    </row>
    <row r="2503" spans="1:12" ht="25" customHeight="1">
      <c r="A2503" s="2" t="s">
        <v>12</v>
      </c>
      <c r="B2503" s="2" t="str">
        <f>HYPERLINK("http://bbs.12365auto.com/postcontent.aspx?tID=195100","GTR R35改装NISMO大包围")</f>
        <v>GTR R35改装NISMO大包围</v>
      </c>
      <c r="C2503" s="2" t="s">
        <v>13</v>
      </c>
      <c r="D2503" s="2" t="s">
        <v>12</v>
      </c>
      <c r="E2503" s="2" t="s">
        <v>28</v>
      </c>
      <c r="F2503" s="2" t="str">
        <f>HYPERLINK("http://bbs.12365auto.com/postcontent.aspx?tID=195100","http://bbs.12365auto.com/postcontent.aspx?tID=195100")</f>
        <v>http://bbs.12365auto.com/postcontent.aspx?tID=195100</v>
      </c>
      <c r="G2503" s="2"/>
      <c r="H2503" s="2" t="s">
        <v>3637</v>
      </c>
      <c r="I2503" s="2" t="s">
        <v>15</v>
      </c>
      <c r="J2503" s="2" t="s">
        <v>145</v>
      </c>
      <c r="K2503" s="2" t="s">
        <v>3636</v>
      </c>
      <c r="L2503" s="2">
        <f t="shared" si="39"/>
        <v>40</v>
      </c>
    </row>
    <row r="2504" spans="1:12" ht="25" customHeight="1">
      <c r="A2504" s="2" t="s">
        <v>12</v>
      </c>
      <c r="B2504" s="2" t="str">
        <f>HYPERLINK("http://m.12365auto.com/news/20200225/419469.shtml","1月德系品牌销量解读：南北大众冷暖两重天")</f>
        <v>1月德系品牌销量解读：南北大众冷暖两重天</v>
      </c>
      <c r="C2504" s="2" t="s">
        <v>13</v>
      </c>
      <c r="D2504" s="2" t="s">
        <v>12</v>
      </c>
      <c r="E2504" s="2"/>
      <c r="F2504" s="2" t="str">
        <f>HYPERLINK("http://m.12365auto.com/news/20200225/419469.shtml","http://m.12365auto.com/news/20200225/419469.shtml")</f>
        <v>http://m.12365auto.com/news/20200225/419469.shtml</v>
      </c>
      <c r="G2504" s="2"/>
      <c r="H2504" s="2" t="s">
        <v>3638</v>
      </c>
      <c r="I2504" s="2" t="s">
        <v>19</v>
      </c>
      <c r="J2504" s="2" t="s">
        <v>3634</v>
      </c>
      <c r="K2504" s="2" t="s">
        <v>3636</v>
      </c>
      <c r="L2504" s="2">
        <f t="shared" si="39"/>
        <v>150</v>
      </c>
    </row>
    <row r="2505" spans="1:12" ht="25" customHeight="1">
      <c r="A2505" s="2" t="s">
        <v>12</v>
      </c>
      <c r="B2505" s="2" t="str">
        <f>HYPERLINK("http://m.12365auto.com/news/20200225/419468.shtml","疫情影响持续恶化 全球零部件供应问题齐发")</f>
        <v>疫情影响持续恶化 全球零部件供应问题齐发</v>
      </c>
      <c r="C2505" s="2" t="s">
        <v>13</v>
      </c>
      <c r="D2505" s="2" t="s">
        <v>12</v>
      </c>
      <c r="E2505" s="2"/>
      <c r="F2505" s="2" t="str">
        <f>HYPERLINK("http://m.12365auto.com/news/20200225/419468.shtml","http://m.12365auto.com/news/20200225/419468.shtml")</f>
        <v>http://m.12365auto.com/news/20200225/419468.shtml</v>
      </c>
      <c r="G2505" s="2"/>
      <c r="H2505" s="2" t="s">
        <v>3639</v>
      </c>
      <c r="I2505" s="2" t="s">
        <v>19</v>
      </c>
      <c r="J2505" s="2" t="s">
        <v>3640</v>
      </c>
      <c r="K2505" s="2" t="s">
        <v>3641</v>
      </c>
      <c r="L2505" s="2">
        <f t="shared" si="39"/>
        <v>150</v>
      </c>
    </row>
    <row r="2506" spans="1:12" ht="25" customHeight="1">
      <c r="A2506" s="2" t="s">
        <v>12</v>
      </c>
      <c r="B2506" s="2" t="str">
        <f>HYPERLINK("http://www.12365auto.com/news/20200225/419468.shtml","疫情影响持续恶化 全球零部件供应问题齐发")</f>
        <v>疫情影响持续恶化 全球零部件供应问题齐发</v>
      </c>
      <c r="C2506" s="2" t="s">
        <v>13</v>
      </c>
      <c r="D2506" s="2" t="s">
        <v>12</v>
      </c>
      <c r="E2506" s="2" t="s">
        <v>276</v>
      </c>
      <c r="F2506" s="2" t="str">
        <f>HYPERLINK("http://www.12365auto.com/news/20200225/419468.shtml","http://www.12365auto.com/news/20200225/419468.shtml")</f>
        <v>http://www.12365auto.com/news/20200225/419468.shtml</v>
      </c>
      <c r="G2506" s="2"/>
      <c r="H2506" s="2" t="s">
        <v>3642</v>
      </c>
      <c r="I2506" s="2" t="s">
        <v>15</v>
      </c>
      <c r="J2506" s="2" t="s">
        <v>12</v>
      </c>
      <c r="K2506" s="2" t="s">
        <v>3641</v>
      </c>
      <c r="L2506" s="2">
        <f t="shared" si="39"/>
        <v>150</v>
      </c>
    </row>
    <row r="2507" spans="1:12" ht="25" customHeight="1">
      <c r="A2507" s="2" t="s">
        <v>12</v>
      </c>
      <c r="B2507" s="2" t="str">
        <f>HYPERLINK("http://m.12365auto.com/news/20200225/419467.shtml","全球业务面临困难 本田将关闭菲律宾工厂")</f>
        <v>全球业务面临困难 本田将关闭菲律宾工厂</v>
      </c>
      <c r="C2507" s="2" t="s">
        <v>13</v>
      </c>
      <c r="D2507" s="2" t="s">
        <v>12</v>
      </c>
      <c r="E2507" s="2"/>
      <c r="F2507" s="2" t="str">
        <f>HYPERLINK("http://m.12365auto.com/news/20200225/419467.shtml","http://m.12365auto.com/news/20200225/419467.shtml")</f>
        <v>http://m.12365auto.com/news/20200225/419467.shtml</v>
      </c>
      <c r="G2507" s="2"/>
      <c r="H2507" s="2" t="s">
        <v>3643</v>
      </c>
      <c r="I2507" s="2" t="s">
        <v>19</v>
      </c>
      <c r="J2507" s="2" t="s">
        <v>1041</v>
      </c>
      <c r="K2507" s="2" t="s">
        <v>3644</v>
      </c>
      <c r="L2507" s="2">
        <f t="shared" si="39"/>
        <v>150</v>
      </c>
    </row>
    <row r="2508" spans="1:12" ht="25" customHeight="1">
      <c r="A2508" s="2" t="s">
        <v>12</v>
      </c>
      <c r="B2508" s="2" t="str">
        <f>HYPERLINK("http://www.12365auto.com/news/20200225/419467.shtml","全球业务面临困难 本田将关闭菲律宾工厂")</f>
        <v>全球业务面临困难 本田将关闭菲律宾工厂</v>
      </c>
      <c r="C2508" s="2" t="s">
        <v>13</v>
      </c>
      <c r="D2508" s="2" t="s">
        <v>12</v>
      </c>
      <c r="E2508" s="2" t="s">
        <v>276</v>
      </c>
      <c r="F2508" s="2" t="str">
        <f>HYPERLINK("http://www.12365auto.com/news/20200225/419467.shtml","http://www.12365auto.com/news/20200225/419467.shtml")</f>
        <v>http://www.12365auto.com/news/20200225/419467.shtml</v>
      </c>
      <c r="G2508" s="2"/>
      <c r="H2508" s="2" t="s">
        <v>3645</v>
      </c>
      <c r="I2508" s="2" t="s">
        <v>15</v>
      </c>
      <c r="J2508" s="2" t="s">
        <v>12</v>
      </c>
      <c r="K2508" s="2" t="s">
        <v>3644</v>
      </c>
      <c r="L2508" s="2">
        <f t="shared" si="39"/>
        <v>150</v>
      </c>
    </row>
    <row r="2509" spans="1:12" ht="25" customHeight="1">
      <c r="A2509" s="2" t="s">
        <v>12</v>
      </c>
      <c r="B2509" s="2" t="str">
        <f>HYPERLINK("http://m.12365auto.com/news/20200225/419466.shtml","美系车企2019年财报解读及2020年业务预期")</f>
        <v>美系车企2019年财报解读及2020年业务预期</v>
      </c>
      <c r="C2509" s="2" t="s">
        <v>13</v>
      </c>
      <c r="D2509" s="2" t="s">
        <v>12</v>
      </c>
      <c r="E2509" s="2"/>
      <c r="F2509" s="2" t="str">
        <f>HYPERLINK("http://m.12365auto.com/news/20200225/419466.shtml","http://m.12365auto.com/news/20200225/419466.shtml")</f>
        <v>http://m.12365auto.com/news/20200225/419466.shtml</v>
      </c>
      <c r="G2509" s="2"/>
      <c r="H2509" s="2" t="s">
        <v>3646</v>
      </c>
      <c r="I2509" s="2" t="s">
        <v>19</v>
      </c>
      <c r="J2509" s="2" t="s">
        <v>3647</v>
      </c>
      <c r="K2509" s="2" t="s">
        <v>3648</v>
      </c>
      <c r="L2509" s="2">
        <f t="shared" si="39"/>
        <v>150</v>
      </c>
    </row>
    <row r="2510" spans="1:12" ht="25" customHeight="1">
      <c r="A2510" s="2" t="s">
        <v>12</v>
      </c>
      <c r="B2510" s="2" t="str">
        <f>HYPERLINK("http://www.12365auto.com/news/20200225/419466.shtml","美系车企2019年财报解读及2020年业务预期")</f>
        <v>美系车企2019年财报解读及2020年业务预期</v>
      </c>
      <c r="C2510" s="2" t="s">
        <v>13</v>
      </c>
      <c r="D2510" s="2" t="s">
        <v>12</v>
      </c>
      <c r="E2510" s="2" t="s">
        <v>276</v>
      </c>
      <c r="F2510" s="2" t="str">
        <f>HYPERLINK("http://www.12365auto.com/news/20200225/419466.shtml","http://www.12365auto.com/news/20200225/419466.shtml")</f>
        <v>http://www.12365auto.com/news/20200225/419466.shtml</v>
      </c>
      <c r="G2510" s="2"/>
      <c r="H2510" s="2" t="s">
        <v>3649</v>
      </c>
      <c r="I2510" s="2" t="s">
        <v>15</v>
      </c>
      <c r="J2510" s="2" t="s">
        <v>12</v>
      </c>
      <c r="K2510" s="2" t="s">
        <v>3648</v>
      </c>
      <c r="L2510" s="2">
        <f t="shared" si="39"/>
        <v>150</v>
      </c>
    </row>
    <row r="2511" spans="1:12" ht="25" customHeight="1">
      <c r="A2511" s="2" t="s">
        <v>12</v>
      </c>
      <c r="B2511" s="2" t="str">
        <f>HYPERLINK("http://m.12365auto.com/news/20200225/419465.shtml","德尔福科技2019年销售额达44亿美元 同比下滑")</f>
        <v>德尔福科技2019年销售额达44亿美元 同比下滑</v>
      </c>
      <c r="C2511" s="2" t="s">
        <v>13</v>
      </c>
      <c r="D2511" s="2" t="s">
        <v>12</v>
      </c>
      <c r="E2511" s="2"/>
      <c r="F2511" s="2" t="str">
        <f>HYPERLINK("http://m.12365auto.com/news/20200225/419465.shtml","http://m.12365auto.com/news/20200225/419465.shtml")</f>
        <v>http://m.12365auto.com/news/20200225/419465.shtml</v>
      </c>
      <c r="G2511" s="2"/>
      <c r="H2511" s="2" t="s">
        <v>3650</v>
      </c>
      <c r="I2511" s="2" t="s">
        <v>19</v>
      </c>
      <c r="J2511" s="2" t="s">
        <v>3651</v>
      </c>
      <c r="K2511" s="2" t="s">
        <v>3652</v>
      </c>
      <c r="L2511" s="2">
        <f t="shared" si="39"/>
        <v>150</v>
      </c>
    </row>
    <row r="2512" spans="1:12" ht="25" customHeight="1">
      <c r="A2512" s="2" t="s">
        <v>12</v>
      </c>
      <c r="B2512" s="2" t="str">
        <f>HYPERLINK("http://www.12365auto.com/news/20200225/419465.shtml","德尔福科技2019年销售额达44亿美元 同比下滑")</f>
        <v>德尔福科技2019年销售额达44亿美元 同比下滑</v>
      </c>
      <c r="C2512" s="2" t="s">
        <v>13</v>
      </c>
      <c r="D2512" s="2" t="s">
        <v>12</v>
      </c>
      <c r="E2512" s="2" t="s">
        <v>276</v>
      </c>
      <c r="F2512" s="2" t="str">
        <f>HYPERLINK("http://www.12365auto.com/news/20200225/419465.shtml","http://www.12365auto.com/news/20200225/419465.shtml")</f>
        <v>http://www.12365auto.com/news/20200225/419465.shtml</v>
      </c>
      <c r="G2512" s="2"/>
      <c r="H2512" s="2" t="s">
        <v>3653</v>
      </c>
      <c r="I2512" s="2" t="s">
        <v>15</v>
      </c>
      <c r="J2512" s="2" t="s">
        <v>12</v>
      </c>
      <c r="K2512" s="2" t="s">
        <v>3652</v>
      </c>
      <c r="L2512" s="2">
        <f t="shared" si="39"/>
        <v>150</v>
      </c>
    </row>
    <row r="2513" spans="1:12" ht="25" customHeight="1">
      <c r="A2513" s="2" t="s">
        <v>12</v>
      </c>
      <c r="B2513" s="2" t="str">
        <f>HYPERLINK("http://m.12365auto.com/news/20200225/419464.shtml","Model 3加州销量是其他电动车销量总和的两倍")</f>
        <v>Model 3加州销量是其他电动车销量总和的两倍</v>
      </c>
      <c r="C2513" s="2" t="s">
        <v>13</v>
      </c>
      <c r="D2513" s="2" t="s">
        <v>12</v>
      </c>
      <c r="E2513" s="2"/>
      <c r="F2513" s="2" t="str">
        <f>HYPERLINK("http://m.12365auto.com/news/20200225/419464.shtml","http://m.12365auto.com/news/20200225/419464.shtml")</f>
        <v>http://m.12365auto.com/news/20200225/419464.shtml</v>
      </c>
      <c r="G2513" s="2"/>
      <c r="H2513" s="2" t="s">
        <v>3654</v>
      </c>
      <c r="I2513" s="2" t="s">
        <v>19</v>
      </c>
      <c r="J2513" s="2" t="s">
        <v>1041</v>
      </c>
      <c r="K2513" s="2" t="s">
        <v>3655</v>
      </c>
      <c r="L2513" s="2">
        <f t="shared" si="39"/>
        <v>150</v>
      </c>
    </row>
    <row r="2514" spans="1:12" ht="25" customHeight="1">
      <c r="A2514" s="2" t="s">
        <v>12</v>
      </c>
      <c r="B2514" s="2" t="str">
        <f>HYPERLINK("http://www.12365auto.com/news/20200225/419464.shtml","Model 3加州销量是其他电动车销量总和的两倍")</f>
        <v>Model 3加州销量是其他电动车销量总和的两倍</v>
      </c>
      <c r="C2514" s="2" t="s">
        <v>13</v>
      </c>
      <c r="D2514" s="2" t="s">
        <v>12</v>
      </c>
      <c r="E2514" s="2" t="s">
        <v>276</v>
      </c>
      <c r="F2514" s="2" t="str">
        <f>HYPERLINK("http://www.12365auto.com/news/20200225/419464.shtml","http://www.12365auto.com/news/20200225/419464.shtml")</f>
        <v>http://www.12365auto.com/news/20200225/419464.shtml</v>
      </c>
      <c r="G2514" s="2"/>
      <c r="H2514" s="2" t="s">
        <v>3656</v>
      </c>
      <c r="I2514" s="2" t="s">
        <v>15</v>
      </c>
      <c r="J2514" s="2" t="s">
        <v>12</v>
      </c>
      <c r="K2514" s="2" t="s">
        <v>3655</v>
      </c>
      <c r="L2514" s="2">
        <f t="shared" si="39"/>
        <v>150</v>
      </c>
    </row>
    <row r="2515" spans="1:12" ht="25" customHeight="1">
      <c r="A2515" s="2" t="s">
        <v>12</v>
      </c>
      <c r="B2515" s="2" t="str">
        <f>HYPERLINK("http://m.12365auto.com/parts/20200225/419463.shtml","Ceres合作德州仪器 推全彩全息透明显示系统")</f>
        <v>Ceres合作德州仪器 推全彩全息透明显示系统</v>
      </c>
      <c r="C2515" s="2" t="s">
        <v>13</v>
      </c>
      <c r="D2515" s="2" t="s">
        <v>12</v>
      </c>
      <c r="E2515" s="2"/>
      <c r="F2515" s="2" t="str">
        <f>HYPERLINK("http://m.12365auto.com/parts/20200225/419463.shtml","http://m.12365auto.com/parts/20200225/419463.shtml")</f>
        <v>http://m.12365auto.com/parts/20200225/419463.shtml</v>
      </c>
      <c r="G2515" s="2"/>
      <c r="H2515" s="2" t="s">
        <v>3657</v>
      </c>
      <c r="I2515" s="2" t="s">
        <v>19</v>
      </c>
      <c r="J2515" s="2" t="s">
        <v>1029</v>
      </c>
      <c r="K2515" s="2" t="s">
        <v>3658</v>
      </c>
      <c r="L2515" s="2">
        <f t="shared" si="39"/>
        <v>150</v>
      </c>
    </row>
    <row r="2516" spans="1:12" ht="25" customHeight="1">
      <c r="A2516" s="2" t="s">
        <v>12</v>
      </c>
      <c r="B2516" s="2" t="str">
        <f>HYPERLINK("http://www.12365auto.com/parts/20200225/419463.shtml","Ceres合作德州仪器 推全彩全息透明显示系统")</f>
        <v>Ceres合作德州仪器 推全彩全息透明显示系统</v>
      </c>
      <c r="C2516" s="2" t="s">
        <v>13</v>
      </c>
      <c r="D2516" s="2" t="s">
        <v>12</v>
      </c>
      <c r="E2516" s="2" t="s">
        <v>240</v>
      </c>
      <c r="F2516" s="2" t="str">
        <f>HYPERLINK("http://www.12365auto.com/parts/20200225/419463.shtml","http://www.12365auto.com/parts/20200225/419463.shtml")</f>
        <v>http://www.12365auto.com/parts/20200225/419463.shtml</v>
      </c>
      <c r="G2516" s="2"/>
      <c r="H2516" s="2" t="s">
        <v>3659</v>
      </c>
      <c r="I2516" s="2" t="s">
        <v>15</v>
      </c>
      <c r="J2516" s="2" t="s">
        <v>12</v>
      </c>
      <c r="K2516" s="2" t="s">
        <v>3658</v>
      </c>
      <c r="L2516" s="2">
        <f t="shared" si="39"/>
        <v>150</v>
      </c>
    </row>
    <row r="2517" spans="1:12" ht="25" customHeight="1">
      <c r="A2517" s="2" t="s">
        <v>12</v>
      </c>
      <c r="B2517" s="2" t="str">
        <f>HYPERLINK("http://m.12365auto.com/news/20200225/419462.shtml","特斯拉Cybertruck将配负载拖曳计算器")</f>
        <v>特斯拉Cybertruck将配负载拖曳计算器</v>
      </c>
      <c r="C2517" s="2" t="s">
        <v>13</v>
      </c>
      <c r="D2517" s="2" t="s">
        <v>12</v>
      </c>
      <c r="E2517" s="2"/>
      <c r="F2517" s="2" t="str">
        <f>HYPERLINK("http://m.12365auto.com/news/20200225/419462.shtml","http://m.12365auto.com/news/20200225/419462.shtml")</f>
        <v>http://m.12365auto.com/news/20200225/419462.shtml</v>
      </c>
      <c r="G2517" s="2"/>
      <c r="H2517" s="2" t="s">
        <v>3660</v>
      </c>
      <c r="I2517" s="2" t="s">
        <v>19</v>
      </c>
      <c r="J2517" s="2" t="s">
        <v>1029</v>
      </c>
      <c r="K2517" s="2" t="s">
        <v>3661</v>
      </c>
      <c r="L2517" s="2">
        <f t="shared" si="39"/>
        <v>150</v>
      </c>
    </row>
    <row r="2518" spans="1:12" ht="25" customHeight="1">
      <c r="A2518" s="2" t="s">
        <v>12</v>
      </c>
      <c r="B2518" s="2" t="str">
        <f>HYPERLINK("http://www.12365auto.com/news/20200225/419462.shtml","特斯拉Cybertruck将配负载拖曳计算器")</f>
        <v>特斯拉Cybertruck将配负载拖曳计算器</v>
      </c>
      <c r="C2518" s="2" t="s">
        <v>13</v>
      </c>
      <c r="D2518" s="2" t="s">
        <v>12</v>
      </c>
      <c r="E2518" s="2" t="s">
        <v>282</v>
      </c>
      <c r="F2518" s="2" t="str">
        <f>HYPERLINK("http://www.12365auto.com/news/20200225/419462.shtml","http://www.12365auto.com/news/20200225/419462.shtml")</f>
        <v>http://www.12365auto.com/news/20200225/419462.shtml</v>
      </c>
      <c r="G2518" s="2"/>
      <c r="H2518" s="2" t="s">
        <v>3662</v>
      </c>
      <c r="I2518" s="2" t="s">
        <v>19</v>
      </c>
      <c r="J2518" s="2" t="s">
        <v>12</v>
      </c>
      <c r="K2518" s="2" t="s">
        <v>3661</v>
      </c>
      <c r="L2518" s="2">
        <f t="shared" si="39"/>
        <v>150</v>
      </c>
    </row>
    <row r="2519" spans="1:12" ht="25" customHeight="1">
      <c r="A2519" s="2" t="s">
        <v>12</v>
      </c>
      <c r="B2519" s="2" t="str">
        <f>HYPERLINK("http://www.12365auto.com/xcdg/20200225/419461.shtml","ES/LS即将改款 雷克萨斯产品规划曝光")</f>
        <v>ES/LS即将改款 雷克萨斯产品规划曝光</v>
      </c>
      <c r="C2519" s="2" t="s">
        <v>13</v>
      </c>
      <c r="D2519" s="2" t="s">
        <v>12</v>
      </c>
      <c r="E2519" s="2" t="s">
        <v>216</v>
      </c>
      <c r="F2519" s="2" t="str">
        <f>HYPERLINK("http://www.12365auto.com/xcdg/20200225/419461.shtml","http://www.12365auto.com/xcdg/20200225/419461.shtml")</f>
        <v>http://www.12365auto.com/xcdg/20200225/419461.shtml</v>
      </c>
      <c r="G2519" s="2"/>
      <c r="H2519" s="2" t="s">
        <v>3663</v>
      </c>
      <c r="I2519" s="2" t="s">
        <v>15</v>
      </c>
      <c r="J2519" s="2" t="s">
        <v>12</v>
      </c>
      <c r="K2519" s="2" t="s">
        <v>3664</v>
      </c>
      <c r="L2519" s="2">
        <f t="shared" si="39"/>
        <v>150</v>
      </c>
    </row>
    <row r="2520" spans="1:12" ht="25" customHeight="1">
      <c r="A2520" s="2" t="s">
        <v>12</v>
      </c>
      <c r="B2520" s="2" t="str">
        <f>HYPERLINK("http://m.12365auto.com/xcdg/20200225/419461.shtml","ES/LS即将改款 雷克萨斯产品规划曝光")</f>
        <v>ES/LS即将改款 雷克萨斯产品规划曝光</v>
      </c>
      <c r="C2520" s="2" t="s">
        <v>13</v>
      </c>
      <c r="D2520" s="2" t="s">
        <v>12</v>
      </c>
      <c r="E2520" s="2"/>
      <c r="F2520" s="2" t="str">
        <f>HYPERLINK("http://m.12365auto.com/xcdg/20200225/419461.shtml","http://m.12365auto.com/xcdg/20200225/419461.shtml")</f>
        <v>http://m.12365auto.com/xcdg/20200225/419461.shtml</v>
      </c>
      <c r="G2520" s="2"/>
      <c r="H2520" s="2" t="s">
        <v>3665</v>
      </c>
      <c r="I2520" s="2" t="s">
        <v>19</v>
      </c>
      <c r="J2520" s="2" t="s">
        <v>992</v>
      </c>
      <c r="K2520" s="2" t="s">
        <v>3664</v>
      </c>
      <c r="L2520" s="2">
        <f t="shared" si="39"/>
        <v>150</v>
      </c>
    </row>
    <row r="2521" spans="1:12" ht="25" customHeight="1">
      <c r="A2521" s="2" t="s">
        <v>12</v>
      </c>
      <c r="B2521" s="2" t="str">
        <f>HYPERLINK("http://www.12365auto.com/zlts/20200225/448594.shtml","郑州日产途达停放三天后电瓶亏电无法启动")</f>
        <v>郑州日产途达停放三天后电瓶亏电无法启动</v>
      </c>
      <c r="C2521" s="2" t="s">
        <v>13</v>
      </c>
      <c r="D2521" s="2" t="s">
        <v>12</v>
      </c>
      <c r="E2521" s="2" t="s">
        <v>17</v>
      </c>
      <c r="F2521" s="2" t="str">
        <f>HYPERLINK("http://www.12365auto.com/zlts/20200225/448594.shtml","http://www.12365auto.com/zlts/20200225/448594.shtml")</f>
        <v>http://www.12365auto.com/zlts/20200225/448594.shtml</v>
      </c>
      <c r="G2521" s="2"/>
      <c r="H2521" s="2" t="s">
        <v>3666</v>
      </c>
      <c r="I2521" s="2" t="s">
        <v>15</v>
      </c>
      <c r="J2521" s="2" t="s">
        <v>12</v>
      </c>
      <c r="K2521" s="2" t="s">
        <v>3667</v>
      </c>
      <c r="L2521" s="2">
        <f t="shared" si="39"/>
        <v>150</v>
      </c>
    </row>
    <row r="2522" spans="1:12" ht="25" customHeight="1">
      <c r="A2522" s="2" t="s">
        <v>12</v>
      </c>
      <c r="B2522" s="2" t="str">
        <f>HYPERLINK("http://www.12365auto.com/xcdg/20200225/419460.shtml","雷诺Twingo ZE官图发布 纯电动微型车")</f>
        <v>雷诺Twingo ZE官图发布 纯电动微型车</v>
      </c>
      <c r="C2522" s="2" t="s">
        <v>13</v>
      </c>
      <c r="D2522" s="2" t="s">
        <v>12</v>
      </c>
      <c r="E2522" s="2" t="s">
        <v>216</v>
      </c>
      <c r="F2522" s="2" t="str">
        <f>HYPERLINK("http://www.12365auto.com/xcdg/20200225/419460.shtml","http://www.12365auto.com/xcdg/20200225/419460.shtml")</f>
        <v>http://www.12365auto.com/xcdg/20200225/419460.shtml</v>
      </c>
      <c r="G2522" s="2"/>
      <c r="H2522" s="2" t="s">
        <v>3668</v>
      </c>
      <c r="I2522" s="2" t="s">
        <v>15</v>
      </c>
      <c r="J2522" s="2" t="s">
        <v>12</v>
      </c>
      <c r="K2522" s="2" t="s">
        <v>3667</v>
      </c>
      <c r="L2522" s="2">
        <f t="shared" si="39"/>
        <v>150</v>
      </c>
    </row>
    <row r="2523" spans="1:12" ht="25" customHeight="1">
      <c r="A2523" s="2" t="s">
        <v>12</v>
      </c>
      <c r="B2523" s="2" t="str">
        <f>HYPERLINK("http://m.12365auto.com/xcdg/20200225/419460.shtml","雷诺Twingo ZE官图发布 纯电动微型车")</f>
        <v>雷诺Twingo ZE官图发布 纯电动微型车</v>
      </c>
      <c r="C2523" s="2" t="s">
        <v>13</v>
      </c>
      <c r="D2523" s="2" t="s">
        <v>12</v>
      </c>
      <c r="E2523" s="2"/>
      <c r="F2523" s="2" t="str">
        <f>HYPERLINK("http://m.12365auto.com/xcdg/20200225/419460.shtml","http://m.12365auto.com/xcdg/20200225/419460.shtml")</f>
        <v>http://m.12365auto.com/xcdg/20200225/419460.shtml</v>
      </c>
      <c r="G2523" s="2"/>
      <c r="H2523" s="2" t="s">
        <v>3669</v>
      </c>
      <c r="I2523" s="2" t="s">
        <v>19</v>
      </c>
      <c r="J2523" s="2" t="s">
        <v>999</v>
      </c>
      <c r="K2523" s="2" t="s">
        <v>3667</v>
      </c>
      <c r="L2523" s="2">
        <f t="shared" si="39"/>
        <v>150</v>
      </c>
    </row>
    <row r="2524" spans="1:12" ht="25" customHeight="1">
      <c r="A2524" s="2" t="s">
        <v>12</v>
      </c>
      <c r="B2524" s="2" t="str">
        <f>HYPERLINK("http://www.12365auto.com/xcdg/20200225/419459.shtml","新一代丰田86或命名为GR86 搭2.4L引擎")</f>
        <v>新一代丰田86或命名为GR86 搭2.4L引擎</v>
      </c>
      <c r="C2524" s="2" t="s">
        <v>13</v>
      </c>
      <c r="D2524" s="2" t="s">
        <v>12</v>
      </c>
      <c r="E2524" s="2" t="s">
        <v>216</v>
      </c>
      <c r="F2524" s="2" t="str">
        <f>HYPERLINK("http://www.12365auto.com/xcdg/20200225/419459.shtml","http://www.12365auto.com/xcdg/20200225/419459.shtml")</f>
        <v>http://www.12365auto.com/xcdg/20200225/419459.shtml</v>
      </c>
      <c r="G2524" s="2"/>
      <c r="H2524" s="2" t="s">
        <v>3670</v>
      </c>
      <c r="I2524" s="2" t="s">
        <v>15</v>
      </c>
      <c r="J2524" s="2" t="s">
        <v>12</v>
      </c>
      <c r="K2524" s="2" t="s">
        <v>3671</v>
      </c>
      <c r="L2524" s="2">
        <f t="shared" si="39"/>
        <v>150</v>
      </c>
    </row>
    <row r="2525" spans="1:12" ht="25" customHeight="1">
      <c r="A2525" s="2" t="s">
        <v>12</v>
      </c>
      <c r="B2525" s="2" t="str">
        <f>HYPERLINK("http://m.12365auto.com/xcdg/20200225/419459.shtml","新一代丰田86或命名为GR86 搭2.4L引擎")</f>
        <v>新一代丰田86或命名为GR86 搭2.4L引擎</v>
      </c>
      <c r="C2525" s="2" t="s">
        <v>13</v>
      </c>
      <c r="D2525" s="2" t="s">
        <v>12</v>
      </c>
      <c r="E2525" s="2"/>
      <c r="F2525" s="2" t="str">
        <f>HYPERLINK("http://m.12365auto.com/xcdg/20200225/419459.shtml","http://m.12365auto.com/xcdg/20200225/419459.shtml")</f>
        <v>http://m.12365auto.com/xcdg/20200225/419459.shtml</v>
      </c>
      <c r="G2525" s="2"/>
      <c r="H2525" s="2" t="s">
        <v>3672</v>
      </c>
      <c r="I2525" s="2" t="s">
        <v>19</v>
      </c>
      <c r="J2525" s="2" t="s">
        <v>999</v>
      </c>
      <c r="K2525" s="2" t="s">
        <v>3671</v>
      </c>
      <c r="L2525" s="2">
        <f t="shared" si="39"/>
        <v>150</v>
      </c>
    </row>
    <row r="2526" spans="1:12" ht="25" customHeight="1">
      <c r="A2526" s="2" t="s">
        <v>12</v>
      </c>
      <c r="B2526" s="2" t="str">
        <f>HYPERLINK("http://www.12365auto.com/xcdg/20200225/419458.shtml","大众新款途观R抢先看 有望日内瓦车展亮相")</f>
        <v>大众新款途观R抢先看 有望日内瓦车展亮相</v>
      </c>
      <c r="C2526" s="2" t="s">
        <v>13</v>
      </c>
      <c r="D2526" s="2" t="s">
        <v>12</v>
      </c>
      <c r="E2526" s="2" t="s">
        <v>216</v>
      </c>
      <c r="F2526" s="2" t="str">
        <f>HYPERLINK("http://www.12365auto.com/xcdg/20200225/419458.shtml","http://www.12365auto.com/xcdg/20200225/419458.shtml")</f>
        <v>http://www.12365auto.com/xcdg/20200225/419458.shtml</v>
      </c>
      <c r="G2526" s="2"/>
      <c r="H2526" s="2" t="s">
        <v>3673</v>
      </c>
      <c r="I2526" s="2" t="s">
        <v>15</v>
      </c>
      <c r="J2526" s="2" t="s">
        <v>12</v>
      </c>
      <c r="K2526" s="2" t="s">
        <v>3674</v>
      </c>
      <c r="L2526" s="2">
        <f t="shared" si="39"/>
        <v>150</v>
      </c>
    </row>
    <row r="2527" spans="1:12" ht="25" customHeight="1">
      <c r="A2527" s="2" t="s">
        <v>12</v>
      </c>
      <c r="B2527" s="2" t="str">
        <f>HYPERLINK("http://m.12365auto.com/xcdg/20200225/419458.shtml","大众新款途观R抢先看 有望日内瓦车展亮相")</f>
        <v>大众新款途观R抢先看 有望日内瓦车展亮相</v>
      </c>
      <c r="C2527" s="2" t="s">
        <v>13</v>
      </c>
      <c r="D2527" s="2" t="s">
        <v>12</v>
      </c>
      <c r="E2527" s="2"/>
      <c r="F2527" s="2" t="str">
        <f>HYPERLINK("http://m.12365auto.com/xcdg/20200225/419458.shtml","http://m.12365auto.com/xcdg/20200225/419458.shtml")</f>
        <v>http://m.12365auto.com/xcdg/20200225/419458.shtml</v>
      </c>
      <c r="G2527" s="2"/>
      <c r="H2527" s="2" t="s">
        <v>3675</v>
      </c>
      <c r="I2527" s="2" t="s">
        <v>19</v>
      </c>
      <c r="J2527" s="2" t="s">
        <v>1076</v>
      </c>
      <c r="K2527" s="2" t="s">
        <v>3674</v>
      </c>
      <c r="L2527" s="2">
        <f t="shared" si="39"/>
        <v>150</v>
      </c>
    </row>
    <row r="2528" spans="1:12" ht="25" customHeight="1">
      <c r="A2528" s="2" t="s">
        <v>12</v>
      </c>
      <c r="B2528" s="2" t="str">
        <f>HYPERLINK("http://m.12365auto.com/news/20200225/419457.shtml","上汽大众MEB工厂入选先进制造业项目 将投产")</f>
        <v>上汽大众MEB工厂入选先进制造业项目 将投产</v>
      </c>
      <c r="C2528" s="2" t="s">
        <v>13</v>
      </c>
      <c r="D2528" s="2" t="s">
        <v>12</v>
      </c>
      <c r="E2528" s="2"/>
      <c r="F2528" s="2" t="str">
        <f>HYPERLINK("http://m.12365auto.com/news/20200225/419457.shtml","http://m.12365auto.com/news/20200225/419457.shtml")</f>
        <v>http://m.12365auto.com/news/20200225/419457.shtml</v>
      </c>
      <c r="G2528" s="2"/>
      <c r="H2528" s="2" t="s">
        <v>3676</v>
      </c>
      <c r="I2528" s="2" t="s">
        <v>19</v>
      </c>
      <c r="J2528" s="2" t="s">
        <v>236</v>
      </c>
      <c r="K2528" s="2" t="s">
        <v>3677</v>
      </c>
      <c r="L2528" s="2">
        <f t="shared" si="39"/>
        <v>150</v>
      </c>
    </row>
    <row r="2529" spans="1:12" ht="25" customHeight="1">
      <c r="A2529" s="2" t="s">
        <v>12</v>
      </c>
      <c r="B2529" s="2" t="str">
        <f>HYPERLINK("http://www.12365auto.com/news/20200225/419457.shtml","上汽大众MEB工厂入选先进制造业项目 将投产")</f>
        <v>上汽大众MEB工厂入选先进制造业项目 将投产</v>
      </c>
      <c r="C2529" s="2" t="s">
        <v>13</v>
      </c>
      <c r="D2529" s="2" t="s">
        <v>12</v>
      </c>
      <c r="E2529" s="2" t="s">
        <v>282</v>
      </c>
      <c r="F2529" s="2" t="str">
        <f>HYPERLINK("http://www.12365auto.com/news/20200225/419457.shtml","http://www.12365auto.com/news/20200225/419457.shtml")</f>
        <v>http://www.12365auto.com/news/20200225/419457.shtml</v>
      </c>
      <c r="G2529" s="2"/>
      <c r="H2529" s="2" t="s">
        <v>3678</v>
      </c>
      <c r="I2529" s="2" t="s">
        <v>19</v>
      </c>
      <c r="J2529" s="2" t="s">
        <v>12</v>
      </c>
      <c r="K2529" s="2" t="s">
        <v>3677</v>
      </c>
      <c r="L2529" s="2">
        <f t="shared" si="39"/>
        <v>150</v>
      </c>
    </row>
    <row r="2530" spans="1:12" ht="25" customHeight="1">
      <c r="A2530" s="2" t="s">
        <v>12</v>
      </c>
      <c r="B2530" s="2" t="str">
        <f>HYPERLINK("http://m.12365auto.com/news/20200225/419456.shtml","做好疫情防控 上汽大众复工后首辆车下线")</f>
        <v>做好疫情防控 上汽大众复工后首辆车下线</v>
      </c>
      <c r="C2530" s="2" t="s">
        <v>13</v>
      </c>
      <c r="D2530" s="2" t="s">
        <v>12</v>
      </c>
      <c r="E2530" s="2"/>
      <c r="F2530" s="2" t="str">
        <f>HYPERLINK("http://m.12365auto.com/news/20200225/419456.shtml","http://m.12365auto.com/news/20200225/419456.shtml")</f>
        <v>http://m.12365auto.com/news/20200225/419456.shtml</v>
      </c>
      <c r="G2530" s="2"/>
      <c r="H2530" s="2" t="s">
        <v>3679</v>
      </c>
      <c r="I2530" s="2" t="s">
        <v>19</v>
      </c>
      <c r="J2530" s="2" t="s">
        <v>236</v>
      </c>
      <c r="K2530" s="2" t="s">
        <v>3680</v>
      </c>
      <c r="L2530" s="2">
        <f t="shared" si="39"/>
        <v>150</v>
      </c>
    </row>
    <row r="2531" spans="1:12" ht="25" customHeight="1">
      <c r="A2531" s="2" t="s">
        <v>12</v>
      </c>
      <c r="B2531" s="2" t="str">
        <f>HYPERLINK("http://www.12365auto.com/zlts/20200225/448592.shtml","陆风X7行驶中变速箱无法加速存在质量问题")</f>
        <v>陆风X7行驶中变速箱无法加速存在质量问题</v>
      </c>
      <c r="C2531" s="2" t="s">
        <v>13</v>
      </c>
      <c r="D2531" s="2" t="s">
        <v>12</v>
      </c>
      <c r="E2531" s="2" t="s">
        <v>17</v>
      </c>
      <c r="F2531" s="2" t="str">
        <f>HYPERLINK("http://www.12365auto.com/zlts/20200225/448592.shtml","http://www.12365auto.com/zlts/20200225/448592.shtml")</f>
        <v>http://www.12365auto.com/zlts/20200225/448592.shtml</v>
      </c>
      <c r="G2531" s="2"/>
      <c r="H2531" s="2" t="s">
        <v>3681</v>
      </c>
      <c r="I2531" s="2" t="s">
        <v>19</v>
      </c>
      <c r="J2531" s="2" t="s">
        <v>12</v>
      </c>
      <c r="K2531" s="2" t="s">
        <v>3680</v>
      </c>
      <c r="L2531" s="2">
        <f t="shared" si="39"/>
        <v>150</v>
      </c>
    </row>
    <row r="2532" spans="1:12" ht="25" customHeight="1">
      <c r="A2532" s="2" t="s">
        <v>12</v>
      </c>
      <c r="B2532" s="2" t="str">
        <f>HYPERLINK("http://www.12365auto.com/news/20200225/419456.shtml","做好疫情防控 上汽大众复工后首辆车下线")</f>
        <v>做好疫情防控 上汽大众复工后首辆车下线</v>
      </c>
      <c r="C2532" s="2" t="s">
        <v>13</v>
      </c>
      <c r="D2532" s="2" t="s">
        <v>12</v>
      </c>
      <c r="E2532" s="2" t="s">
        <v>282</v>
      </c>
      <c r="F2532" s="2" t="str">
        <f>HYPERLINK("http://www.12365auto.com/news/20200225/419456.shtml","http://www.12365auto.com/news/20200225/419456.shtml")</f>
        <v>http://www.12365auto.com/news/20200225/419456.shtml</v>
      </c>
      <c r="G2532" s="2"/>
      <c r="H2532" s="2" t="s">
        <v>3682</v>
      </c>
      <c r="I2532" s="2" t="s">
        <v>19</v>
      </c>
      <c r="J2532" s="2" t="s">
        <v>12</v>
      </c>
      <c r="K2532" s="2" t="s">
        <v>3680</v>
      </c>
      <c r="L2532" s="2">
        <f t="shared" si="39"/>
        <v>150</v>
      </c>
    </row>
    <row r="2533" spans="1:12" ht="25" customHeight="1">
      <c r="A2533" s="2" t="s">
        <v>12</v>
      </c>
      <c r="B2533" s="2" t="str">
        <f>HYPERLINK("http://m.12365auto.com/news/20200225/419455.shtml","结合用户需求 上汽通用五菱推出5大举措战疫")</f>
        <v>结合用户需求 上汽通用五菱推出5大举措战疫</v>
      </c>
      <c r="C2533" s="2" t="s">
        <v>13</v>
      </c>
      <c r="D2533" s="2" t="s">
        <v>12</v>
      </c>
      <c r="E2533" s="2"/>
      <c r="F2533" s="2" t="str">
        <f>HYPERLINK("http://m.12365auto.com/news/20200225/419455.shtml","http://m.12365auto.com/news/20200225/419455.shtml")</f>
        <v>http://m.12365auto.com/news/20200225/419455.shtml</v>
      </c>
      <c r="G2533" s="2"/>
      <c r="H2533" s="2" t="s">
        <v>3683</v>
      </c>
      <c r="I2533" s="2" t="s">
        <v>19</v>
      </c>
      <c r="J2533" s="2" t="s">
        <v>1076</v>
      </c>
      <c r="K2533" s="2" t="s">
        <v>3684</v>
      </c>
      <c r="L2533" s="2">
        <f t="shared" si="39"/>
        <v>150</v>
      </c>
    </row>
    <row r="2534" spans="1:12" ht="25" customHeight="1">
      <c r="A2534" s="2" t="s">
        <v>12</v>
      </c>
      <c r="B2534" s="2" t="str">
        <f>HYPERLINK("http://www.12365auto.com/news/20200225/419455.shtml","结合用户需求 上汽通用五菱推出5大举措战疫")</f>
        <v>结合用户需求 上汽通用五菱推出5大举措战疫</v>
      </c>
      <c r="C2534" s="2" t="s">
        <v>13</v>
      </c>
      <c r="D2534" s="2" t="s">
        <v>12</v>
      </c>
      <c r="E2534" s="2" t="s">
        <v>282</v>
      </c>
      <c r="F2534" s="2" t="str">
        <f>HYPERLINK("http://www.12365auto.com/news/20200225/419455.shtml","http://www.12365auto.com/news/20200225/419455.shtml")</f>
        <v>http://www.12365auto.com/news/20200225/419455.shtml</v>
      </c>
      <c r="G2534" s="2"/>
      <c r="H2534" s="2" t="s">
        <v>3685</v>
      </c>
      <c r="I2534" s="2" t="s">
        <v>19</v>
      </c>
      <c r="J2534" s="2" t="s">
        <v>12</v>
      </c>
      <c r="K2534" s="2" t="s">
        <v>3684</v>
      </c>
      <c r="L2534" s="2">
        <f t="shared" si="39"/>
        <v>150</v>
      </c>
    </row>
    <row r="2535" spans="1:12" ht="25" customHeight="1">
      <c r="A2535" s="2" t="s">
        <v>12</v>
      </c>
      <c r="B2535" s="2" t="str">
        <f>HYPERLINK("http://m.12365auto.com/xcdg/20200225/419454.shtml","油耗/电池容量等 别克首款插混车型细节曝光")</f>
        <v>油耗/电池容量等 别克首款插混车型细节曝光</v>
      </c>
      <c r="C2535" s="2" t="s">
        <v>13</v>
      </c>
      <c r="D2535" s="2" t="s">
        <v>12</v>
      </c>
      <c r="E2535" s="2"/>
      <c r="F2535" s="2" t="str">
        <f>HYPERLINK("http://m.12365auto.com/xcdg/20200225/419454.shtml","http://m.12365auto.com/xcdg/20200225/419454.shtml")</f>
        <v>http://m.12365auto.com/xcdg/20200225/419454.shtml</v>
      </c>
      <c r="G2535" s="2"/>
      <c r="H2535" s="2" t="s">
        <v>3686</v>
      </c>
      <c r="I2535" s="2" t="s">
        <v>19</v>
      </c>
      <c r="J2535" s="2" t="s">
        <v>2660</v>
      </c>
      <c r="K2535" s="2" t="s">
        <v>3687</v>
      </c>
      <c r="L2535" s="2">
        <f t="shared" si="39"/>
        <v>150</v>
      </c>
    </row>
    <row r="2536" spans="1:12" ht="25" customHeight="1">
      <c r="A2536" s="2" t="s">
        <v>12</v>
      </c>
      <c r="B2536" s="2" t="str">
        <f>HYPERLINK("http://www.12365auto.com/xcdg/20200225/419454.shtml","油耗/电池容量等 别克首款插混车型细节曝光")</f>
        <v>油耗/电池容量等 别克首款插混车型细节曝光</v>
      </c>
      <c r="C2536" s="2" t="s">
        <v>13</v>
      </c>
      <c r="D2536" s="2" t="s">
        <v>12</v>
      </c>
      <c r="E2536" s="2" t="s">
        <v>245</v>
      </c>
      <c r="F2536" s="2" t="str">
        <f>HYPERLINK("http://www.12365auto.com/xcdg/20200225/419454.shtml","http://www.12365auto.com/xcdg/20200225/419454.shtml")</f>
        <v>http://www.12365auto.com/xcdg/20200225/419454.shtml</v>
      </c>
      <c r="G2536" s="2"/>
      <c r="H2536" s="2" t="s">
        <v>3688</v>
      </c>
      <c r="I2536" s="2" t="s">
        <v>19</v>
      </c>
      <c r="J2536" s="2" t="s">
        <v>12</v>
      </c>
      <c r="K2536" s="2" t="s">
        <v>3687</v>
      </c>
      <c r="L2536" s="2">
        <f t="shared" si="39"/>
        <v>150</v>
      </c>
    </row>
    <row r="2537" spans="1:12" ht="25" customHeight="1">
      <c r="A2537" s="2" t="s">
        <v>12</v>
      </c>
      <c r="B2537" s="2" t="str">
        <f>HYPERLINK("http://m.12365auto.com/news/20200225/419453.shtml","发改委：智能汽车已成为汽车强国的战略选择")</f>
        <v>发改委：智能汽车已成为汽车强国的战略选择</v>
      </c>
      <c r="C2537" s="2" t="s">
        <v>13</v>
      </c>
      <c r="D2537" s="2" t="s">
        <v>12</v>
      </c>
      <c r="E2537" s="2"/>
      <c r="F2537" s="2" t="str">
        <f>HYPERLINK("http://m.12365auto.com/news/20200225/419453.shtml","http://m.12365auto.com/news/20200225/419453.shtml")</f>
        <v>http://m.12365auto.com/news/20200225/419453.shtml</v>
      </c>
      <c r="G2537" s="2"/>
      <c r="H2537" s="2" t="s">
        <v>3689</v>
      </c>
      <c r="I2537" s="2" t="s">
        <v>19</v>
      </c>
      <c r="J2537" s="2" t="s">
        <v>2660</v>
      </c>
      <c r="K2537" s="2" t="s">
        <v>3690</v>
      </c>
      <c r="L2537" s="2">
        <f t="shared" si="39"/>
        <v>150</v>
      </c>
    </row>
    <row r="2538" spans="1:12" ht="25" customHeight="1">
      <c r="A2538" s="2" t="s">
        <v>12</v>
      </c>
      <c r="B2538" s="2" t="str">
        <f>HYPERLINK("http://www.12365auto.com/news/20200225/419453.shtml","发改委：智能汽车已成为汽车强国的战略选择")</f>
        <v>发改委：智能汽车已成为汽车强国的战略选择</v>
      </c>
      <c r="C2538" s="2" t="s">
        <v>13</v>
      </c>
      <c r="D2538" s="2" t="s">
        <v>12</v>
      </c>
      <c r="E2538" s="2" t="s">
        <v>282</v>
      </c>
      <c r="F2538" s="2" t="str">
        <f>HYPERLINK("http://www.12365auto.com/news/20200225/419453.shtml","http://www.12365auto.com/news/20200225/419453.shtml")</f>
        <v>http://www.12365auto.com/news/20200225/419453.shtml</v>
      </c>
      <c r="G2538" s="2"/>
      <c r="H2538" s="2" t="s">
        <v>3691</v>
      </c>
      <c r="I2538" s="2" t="s">
        <v>19</v>
      </c>
      <c r="J2538" s="2" t="s">
        <v>12</v>
      </c>
      <c r="K2538" s="2" t="s">
        <v>3690</v>
      </c>
      <c r="L2538" s="2">
        <f t="shared" si="39"/>
        <v>150</v>
      </c>
    </row>
    <row r="2539" spans="1:12" ht="25" customHeight="1">
      <c r="A2539" s="2" t="s">
        <v>12</v>
      </c>
      <c r="B2539" s="2" t="str">
        <f>HYPERLINK("http://m.12365auto.com/xcdg/20200225/419452.shtml","布加迪Chiron Sport特别版 日内瓦车展首发")</f>
        <v>布加迪Chiron Sport特别版 日内瓦车展首发</v>
      </c>
      <c r="C2539" s="2" t="s">
        <v>13</v>
      </c>
      <c r="D2539" s="2" t="s">
        <v>12</v>
      </c>
      <c r="E2539" s="2"/>
      <c r="F2539" s="2" t="str">
        <f>HYPERLINK("http://m.12365auto.com/xcdg/20200225/419452.shtml","http://m.12365auto.com/xcdg/20200225/419452.shtml")</f>
        <v>http://m.12365auto.com/xcdg/20200225/419452.shtml</v>
      </c>
      <c r="G2539" s="2"/>
      <c r="H2539" s="2" t="s">
        <v>3692</v>
      </c>
      <c r="I2539" s="2" t="s">
        <v>19</v>
      </c>
      <c r="J2539" s="2" t="s">
        <v>1076</v>
      </c>
      <c r="K2539" s="2" t="s">
        <v>3693</v>
      </c>
      <c r="L2539" s="2">
        <f t="shared" si="39"/>
        <v>150</v>
      </c>
    </row>
    <row r="2540" spans="1:12" ht="25" customHeight="1">
      <c r="A2540" s="2" t="s">
        <v>12</v>
      </c>
      <c r="B2540" s="2" t="str">
        <f>HYPERLINK("http://www.12365auto.com/xcdg/20200225/419452.shtml","布加迪Chiron Sport特别版 日内瓦车展首发")</f>
        <v>布加迪Chiron Sport特别版 日内瓦车展首发</v>
      </c>
      <c r="C2540" s="2" t="s">
        <v>13</v>
      </c>
      <c r="D2540" s="2" t="s">
        <v>12</v>
      </c>
      <c r="E2540" s="2" t="s">
        <v>245</v>
      </c>
      <c r="F2540" s="2" t="str">
        <f>HYPERLINK("http://www.12365auto.com/xcdg/20200225/419452.shtml","http://www.12365auto.com/xcdg/20200225/419452.shtml")</f>
        <v>http://www.12365auto.com/xcdg/20200225/419452.shtml</v>
      </c>
      <c r="G2540" s="2"/>
      <c r="H2540" s="2" t="s">
        <v>3694</v>
      </c>
      <c r="I2540" s="2" t="s">
        <v>19</v>
      </c>
      <c r="J2540" s="2" t="s">
        <v>12</v>
      </c>
      <c r="K2540" s="2" t="s">
        <v>3693</v>
      </c>
      <c r="L2540" s="2">
        <f t="shared" si="39"/>
        <v>150</v>
      </c>
    </row>
    <row r="2541" spans="1:12" ht="25" customHeight="1">
      <c r="A2541" s="2" t="s">
        <v>12</v>
      </c>
      <c r="B2541" s="2" t="str">
        <f>HYPERLINK("http://m.12365auto.com/xcdg/20200225/419451.shtml","消费者说好才是真的好 雷凌CCRT成绩解读")</f>
        <v>消费者说好才是真的好 雷凌CCRT成绩解读</v>
      </c>
      <c r="C2541" s="2" t="s">
        <v>13</v>
      </c>
      <c r="D2541" s="2" t="s">
        <v>12</v>
      </c>
      <c r="E2541" s="2"/>
      <c r="F2541" s="2" t="str">
        <f>HYPERLINK("http://m.12365auto.com/xcdg/20200225/419451.shtml","http://m.12365auto.com/xcdg/20200225/419451.shtml")</f>
        <v>http://m.12365auto.com/xcdg/20200225/419451.shtml</v>
      </c>
      <c r="G2541" s="2"/>
      <c r="H2541" s="2" t="s">
        <v>3695</v>
      </c>
      <c r="I2541" s="2" t="s">
        <v>19</v>
      </c>
      <c r="J2541" s="2" t="s">
        <v>1619</v>
      </c>
      <c r="K2541" s="2" t="s">
        <v>3696</v>
      </c>
      <c r="L2541" s="2">
        <f t="shared" si="39"/>
        <v>150</v>
      </c>
    </row>
    <row r="2542" spans="1:12" ht="25" customHeight="1">
      <c r="A2542" s="2" t="s">
        <v>12</v>
      </c>
      <c r="B2542" s="2" t="str">
        <f>HYPERLINK("http://m.12365auto.com/xcdg/20200225/419450.shtml","预计4月上市 零跑T03空间领先同级别对手")</f>
        <v>预计4月上市 零跑T03空间领先同级别对手</v>
      </c>
      <c r="C2542" s="2" t="s">
        <v>13</v>
      </c>
      <c r="D2542" s="2" t="s">
        <v>12</v>
      </c>
      <c r="E2542" s="2"/>
      <c r="F2542" s="2" t="str">
        <f>HYPERLINK("http://m.12365auto.com/xcdg/20200225/419450.shtml","http://m.12365auto.com/xcdg/20200225/419450.shtml")</f>
        <v>http://m.12365auto.com/xcdg/20200225/419450.shtml</v>
      </c>
      <c r="G2542" s="2"/>
      <c r="H2542" s="2" t="s">
        <v>3697</v>
      </c>
      <c r="I2542" s="2" t="s">
        <v>19</v>
      </c>
      <c r="J2542" s="2" t="s">
        <v>768</v>
      </c>
      <c r="K2542" s="2" t="s">
        <v>3698</v>
      </c>
      <c r="L2542" s="2">
        <f t="shared" si="39"/>
        <v>150</v>
      </c>
    </row>
    <row r="2543" spans="1:12" ht="25" customHeight="1">
      <c r="A2543" s="2" t="s">
        <v>12</v>
      </c>
      <c r="B2543" s="2" t="str">
        <f>HYPERLINK("http://www.12365auto.com/xcdg/20200225/419450.shtml","预计4月上市 零跑T03空间领先同级别对手")</f>
        <v>预计4月上市 零跑T03空间领先同级别对手</v>
      </c>
      <c r="C2543" s="2" t="s">
        <v>13</v>
      </c>
      <c r="D2543" s="2" t="s">
        <v>12</v>
      </c>
      <c r="E2543" s="2" t="s">
        <v>245</v>
      </c>
      <c r="F2543" s="2" t="str">
        <f>HYPERLINK("http://www.12365auto.com/xcdg/20200225/419450.shtml","http://www.12365auto.com/xcdg/20200225/419450.shtml")</f>
        <v>http://www.12365auto.com/xcdg/20200225/419450.shtml</v>
      </c>
      <c r="G2543" s="2"/>
      <c r="H2543" s="2" t="s">
        <v>3699</v>
      </c>
      <c r="I2543" s="2" t="s">
        <v>19</v>
      </c>
      <c r="J2543" s="2" t="s">
        <v>12</v>
      </c>
      <c r="K2543" s="2" t="s">
        <v>3698</v>
      </c>
      <c r="L2543" s="2">
        <f t="shared" si="39"/>
        <v>150</v>
      </c>
    </row>
    <row r="2544" spans="1:12" ht="25" customHeight="1">
      <c r="A2544" s="2" t="s">
        <v>12</v>
      </c>
      <c r="B2544" s="2" t="str">
        <f>HYPERLINK("http://m.12365auto.com/zjdy/20200225/121612.shtml","丰田卡罗拉防冻液混合加入有影响吗？")</f>
        <v>丰田卡罗拉防冻液混合加入有影响吗？</v>
      </c>
      <c r="C2544" s="2" t="s">
        <v>13</v>
      </c>
      <c r="D2544" s="2" t="s">
        <v>12</v>
      </c>
      <c r="E2544" s="2"/>
      <c r="F2544" s="2" t="str">
        <f>HYPERLINK("http://m.12365auto.com/zjdy/20200225/121612.shtml","http://m.12365auto.com/zjdy/20200225/121612.shtml")</f>
        <v>http://m.12365auto.com/zjdy/20200225/121612.shtml</v>
      </c>
      <c r="G2544" s="2"/>
      <c r="H2544" s="2" t="s">
        <v>3700</v>
      </c>
      <c r="I2544" s="2" t="s">
        <v>19</v>
      </c>
      <c r="J2544" s="2" t="s">
        <v>12</v>
      </c>
      <c r="K2544" s="2" t="s">
        <v>3701</v>
      </c>
      <c r="L2544" s="2">
        <f t="shared" si="39"/>
        <v>132</v>
      </c>
    </row>
    <row r="2545" spans="1:12" ht="25" customHeight="1">
      <c r="A2545" s="2" t="s">
        <v>12</v>
      </c>
      <c r="B2545" s="2" t="str">
        <f>HYPERLINK("http://m.12365auto.com/xcdg/20200225/419449.shtml","打破MPV的沉闷 奥德赛锐·混动竞争力分析")</f>
        <v>打破MPV的沉闷 奥德赛锐·混动竞争力分析</v>
      </c>
      <c r="C2545" s="2" t="s">
        <v>13</v>
      </c>
      <c r="D2545" s="2" t="s">
        <v>12</v>
      </c>
      <c r="E2545" s="2"/>
      <c r="F2545" s="2" t="str">
        <f>HYPERLINK("http://m.12365auto.com/xcdg/20200225/419449.shtml","http://m.12365auto.com/xcdg/20200225/419449.shtml")</f>
        <v>http://m.12365auto.com/xcdg/20200225/419449.shtml</v>
      </c>
      <c r="G2545" s="2"/>
      <c r="H2545" s="2" t="s">
        <v>3702</v>
      </c>
      <c r="I2545" s="2" t="s">
        <v>19</v>
      </c>
      <c r="J2545" s="2" t="s">
        <v>768</v>
      </c>
      <c r="K2545" s="2" t="s">
        <v>3703</v>
      </c>
      <c r="L2545" s="2">
        <f t="shared" si="39"/>
        <v>150</v>
      </c>
    </row>
    <row r="2546" spans="1:12" ht="25" customHeight="1">
      <c r="A2546" s="2" t="s">
        <v>12</v>
      </c>
      <c r="B2546" s="2" t="str">
        <f>HYPERLINK("http://www.12365auto.com/zlts/20200225/448590.shtml","宝骏560主驾座椅塌陷一直无解决方案")</f>
        <v>宝骏560主驾座椅塌陷一直无解决方案</v>
      </c>
      <c r="C2546" s="2" t="s">
        <v>13</v>
      </c>
      <c r="D2546" s="2" t="s">
        <v>12</v>
      </c>
      <c r="E2546" s="2" t="s">
        <v>17</v>
      </c>
      <c r="F2546" s="2" t="str">
        <f>HYPERLINK("http://www.12365auto.com/zlts/20200225/448590.shtml","http://www.12365auto.com/zlts/20200225/448590.shtml")</f>
        <v>http://www.12365auto.com/zlts/20200225/448590.shtml</v>
      </c>
      <c r="G2546" s="2"/>
      <c r="H2546" s="2" t="s">
        <v>3704</v>
      </c>
      <c r="I2546" s="2" t="s">
        <v>19</v>
      </c>
      <c r="J2546" s="2" t="s">
        <v>12</v>
      </c>
      <c r="K2546" s="2" t="s">
        <v>3705</v>
      </c>
      <c r="L2546" s="2">
        <f t="shared" si="39"/>
        <v>150</v>
      </c>
    </row>
    <row r="2547" spans="1:12" ht="25" customHeight="1">
      <c r="A2547" s="2" t="s">
        <v>12</v>
      </c>
      <c r="B2547" s="2" t="str">
        <f>HYPERLINK("http://m.12365auto.com/xcdg/20200225/419448.shtml","入门版也有天窗 实拍风行T5手动舒适型")</f>
        <v>入门版也有天窗 实拍风行T5手动舒适型</v>
      </c>
      <c r="C2547" s="2" t="s">
        <v>13</v>
      </c>
      <c r="D2547" s="2" t="s">
        <v>12</v>
      </c>
      <c r="E2547" s="2"/>
      <c r="F2547" s="2" t="str">
        <f>HYPERLINK("http://m.12365auto.com/xcdg/20200225/419448.shtml","http://m.12365auto.com/xcdg/20200225/419448.shtml")</f>
        <v>http://m.12365auto.com/xcdg/20200225/419448.shtml</v>
      </c>
      <c r="G2547" s="2"/>
      <c r="H2547" s="2" t="s">
        <v>3706</v>
      </c>
      <c r="I2547" s="2" t="s">
        <v>19</v>
      </c>
      <c r="J2547" s="2" t="s">
        <v>290</v>
      </c>
      <c r="K2547" s="2" t="s">
        <v>3707</v>
      </c>
      <c r="L2547" s="2">
        <f t="shared" si="39"/>
        <v>150</v>
      </c>
    </row>
    <row r="2548" spans="1:12" ht="25" customHeight="1">
      <c r="A2548" s="2" t="s">
        <v>12</v>
      </c>
      <c r="B2548" s="2" t="str">
        <f>HYPERLINK("http://www.12365auto.com/news/20200225/419447.shtml","对标特斯拉 大众ID.R采用秘密电池技术")</f>
        <v>对标特斯拉 大众ID.R采用秘密电池技术</v>
      </c>
      <c r="C2548" s="2" t="s">
        <v>13</v>
      </c>
      <c r="D2548" s="2" t="s">
        <v>12</v>
      </c>
      <c r="E2548" s="2" t="s">
        <v>276</v>
      </c>
      <c r="F2548" s="2" t="str">
        <f>HYPERLINK("http://www.12365auto.com/news/20200225/419447.shtml","http://www.12365auto.com/news/20200225/419447.shtml")</f>
        <v>http://www.12365auto.com/news/20200225/419447.shtml</v>
      </c>
      <c r="G2548" s="2"/>
      <c r="H2548" s="2" t="s">
        <v>3708</v>
      </c>
      <c r="I2548" s="2" t="s">
        <v>15</v>
      </c>
      <c r="J2548" s="2" t="s">
        <v>12</v>
      </c>
      <c r="K2548" s="2" t="s">
        <v>3709</v>
      </c>
      <c r="L2548" s="2">
        <f t="shared" si="39"/>
        <v>150</v>
      </c>
    </row>
    <row r="2549" spans="1:12" ht="25" customHeight="1">
      <c r="A2549" s="2" t="s">
        <v>12</v>
      </c>
      <c r="B2549" s="2" t="str">
        <f>HYPERLINK("http://m.12365auto.com/news/20200225/419447.shtml","对标特斯拉 大众ID.R采用秘密电池技术")</f>
        <v>对标特斯拉 大众ID.R采用秘密电池技术</v>
      </c>
      <c r="C2549" s="2" t="s">
        <v>13</v>
      </c>
      <c r="D2549" s="2" t="s">
        <v>12</v>
      </c>
      <c r="E2549" s="2"/>
      <c r="F2549" s="2" t="str">
        <f>HYPERLINK("http://m.12365auto.com/news/20200225/419447.shtml","http://m.12365auto.com/news/20200225/419447.shtml")</f>
        <v>http://m.12365auto.com/news/20200225/419447.shtml</v>
      </c>
      <c r="G2549" s="2"/>
      <c r="H2549" s="2" t="s">
        <v>3710</v>
      </c>
      <c r="I2549" s="2" t="s">
        <v>19</v>
      </c>
      <c r="J2549" s="2" t="s">
        <v>1543</v>
      </c>
      <c r="K2549" s="2" t="s">
        <v>3709</v>
      </c>
      <c r="L2549" s="2">
        <f t="shared" si="39"/>
        <v>150</v>
      </c>
    </row>
    <row r="2550" spans="1:12" ht="25" customHeight="1">
      <c r="A2550" s="2" t="s">
        <v>12</v>
      </c>
      <c r="B2550" s="2" t="str">
        <f>HYPERLINK("http://www.12365auto.com/parts/20200225/419446.shtml","哈弗“N95级”防护系统 H6/F7率先搭载")</f>
        <v>哈弗“N95级”防护系统 H6/F7率先搭载</v>
      </c>
      <c r="C2550" s="2" t="s">
        <v>13</v>
      </c>
      <c r="D2550" s="2" t="s">
        <v>12</v>
      </c>
      <c r="E2550" s="2" t="s">
        <v>240</v>
      </c>
      <c r="F2550" s="2" t="str">
        <f>HYPERLINK("http://www.12365auto.com/parts/20200225/419446.shtml","http://www.12365auto.com/parts/20200225/419446.shtml")</f>
        <v>http://www.12365auto.com/parts/20200225/419446.shtml</v>
      </c>
      <c r="G2550" s="2"/>
      <c r="H2550" s="2" t="s">
        <v>3711</v>
      </c>
      <c r="I2550" s="2" t="s">
        <v>15</v>
      </c>
      <c r="J2550" s="2" t="s">
        <v>12</v>
      </c>
      <c r="K2550" s="2" t="s">
        <v>3712</v>
      </c>
      <c r="L2550" s="2">
        <f t="shared" si="39"/>
        <v>150</v>
      </c>
    </row>
    <row r="2551" spans="1:12" ht="25" customHeight="1">
      <c r="A2551" s="2" t="s">
        <v>12</v>
      </c>
      <c r="B2551" s="2" t="str">
        <f>HYPERLINK("http://m.12365auto.com/parts/20200225/419446.shtml","哈弗“N95级”防护系统 H6/F7率先搭载")</f>
        <v>哈弗“N95级”防护系统 H6/F7率先搭载</v>
      </c>
      <c r="C2551" s="2" t="s">
        <v>13</v>
      </c>
      <c r="D2551" s="2" t="s">
        <v>12</v>
      </c>
      <c r="E2551" s="2"/>
      <c r="F2551" s="2" t="str">
        <f>HYPERLINK("http://m.12365auto.com/parts/20200225/419446.shtml","http://m.12365auto.com/parts/20200225/419446.shtml")</f>
        <v>http://m.12365auto.com/parts/20200225/419446.shtml</v>
      </c>
      <c r="G2551" s="2"/>
      <c r="H2551" s="2" t="s">
        <v>3713</v>
      </c>
      <c r="I2551" s="2" t="s">
        <v>19</v>
      </c>
      <c r="J2551" s="2" t="s">
        <v>751</v>
      </c>
      <c r="K2551" s="2" t="s">
        <v>3712</v>
      </c>
      <c r="L2551" s="2">
        <f t="shared" si="39"/>
        <v>150</v>
      </c>
    </row>
    <row r="2552" spans="1:12" ht="25" customHeight="1">
      <c r="A2552" s="2" t="s">
        <v>12</v>
      </c>
      <c r="B2552" s="2" t="str">
        <f>HYPERLINK("http://www.12365auto.com/xcdg/20200225/419445.shtml","GLE 63 S 4MATIC 轿跑SUV将日内瓦首发")</f>
        <v>GLE 63 S 4MATIC 轿跑SUV将日内瓦首发</v>
      </c>
      <c r="C2552" s="2" t="s">
        <v>13</v>
      </c>
      <c r="D2552" s="2" t="s">
        <v>12</v>
      </c>
      <c r="E2552" s="2" t="s">
        <v>216</v>
      </c>
      <c r="F2552" s="2" t="str">
        <f>HYPERLINK("http://www.12365auto.com/xcdg/20200225/419445.shtml","http://www.12365auto.com/xcdg/20200225/419445.shtml")</f>
        <v>http://www.12365auto.com/xcdg/20200225/419445.shtml</v>
      </c>
      <c r="G2552" s="2"/>
      <c r="H2552" s="2" t="s">
        <v>3714</v>
      </c>
      <c r="I2552" s="2" t="s">
        <v>15</v>
      </c>
      <c r="J2552" s="2" t="s">
        <v>12</v>
      </c>
      <c r="K2552" s="2" t="s">
        <v>3715</v>
      </c>
      <c r="L2552" s="2">
        <f t="shared" si="39"/>
        <v>150</v>
      </c>
    </row>
    <row r="2553" spans="1:12" ht="25" customHeight="1">
      <c r="A2553" s="2" t="s">
        <v>12</v>
      </c>
      <c r="B2553" s="2" t="str">
        <f>HYPERLINK("http://m.12365auto.com/xcdg/20200225/419445.shtml","GLE 63 S 4MATIC 轿跑SUV将日内瓦首发")</f>
        <v>GLE 63 S 4MATIC 轿跑SUV将日内瓦首发</v>
      </c>
      <c r="C2553" s="2" t="s">
        <v>13</v>
      </c>
      <c r="D2553" s="2" t="s">
        <v>12</v>
      </c>
      <c r="E2553" s="2"/>
      <c r="F2553" s="2" t="str">
        <f>HYPERLINK("http://m.12365auto.com/xcdg/20200225/419445.shtml","http://m.12365auto.com/xcdg/20200225/419445.shtml")</f>
        <v>http://m.12365auto.com/xcdg/20200225/419445.shtml</v>
      </c>
      <c r="G2553" s="2"/>
      <c r="H2553" s="2" t="s">
        <v>3716</v>
      </c>
      <c r="I2553" s="2" t="s">
        <v>19</v>
      </c>
      <c r="J2553" s="2" t="s">
        <v>751</v>
      </c>
      <c r="K2553" s="2" t="s">
        <v>3715</v>
      </c>
      <c r="L2553" s="2">
        <f t="shared" si="39"/>
        <v>150</v>
      </c>
    </row>
    <row r="2554" spans="1:12" ht="25" customHeight="1">
      <c r="A2554" s="2" t="s">
        <v>12</v>
      </c>
      <c r="B2554" s="2" t="str">
        <f>HYPERLINK("http://bbs.12365auto.com/postcontent.aspx?tID=195099","2020年最值得期待新车")</f>
        <v>2020年最值得期待新车</v>
      </c>
      <c r="C2554" s="2" t="s">
        <v>13</v>
      </c>
      <c r="D2554" s="2" t="s">
        <v>12</v>
      </c>
      <c r="E2554" s="2" t="s">
        <v>214</v>
      </c>
      <c r="F2554" s="2" t="str">
        <f>HYPERLINK("http://bbs.12365auto.com/postcontent.aspx?tID=195099","http://bbs.12365auto.com/postcontent.aspx?tID=195099")</f>
        <v>http://bbs.12365auto.com/postcontent.aspx?tID=195099</v>
      </c>
      <c r="G2554" s="2"/>
      <c r="H2554" s="2" t="s">
        <v>3717</v>
      </c>
      <c r="I2554" s="2" t="s">
        <v>15</v>
      </c>
      <c r="J2554" s="2" t="s">
        <v>3718</v>
      </c>
      <c r="K2554" s="2" t="s">
        <v>3719</v>
      </c>
      <c r="L2554" s="2">
        <f t="shared" si="39"/>
        <v>150</v>
      </c>
    </row>
    <row r="2555" spans="1:12" ht="25" customHeight="1">
      <c r="A2555" s="2" t="s">
        <v>12</v>
      </c>
      <c r="B2555" s="2" t="str">
        <f>HYPERLINK("http://bbs.12365auto.com/postcontent.aspx?tID=195098","明星们最常用的通勤车型 “保姆车”大盘点")</f>
        <v>明星们最常用的通勤车型 “保姆车”大盘点</v>
      </c>
      <c r="C2555" s="2" t="s">
        <v>13</v>
      </c>
      <c r="D2555" s="2" t="s">
        <v>12</v>
      </c>
      <c r="E2555" s="2" t="s">
        <v>214</v>
      </c>
      <c r="F2555" s="2" t="str">
        <f>HYPERLINK("http://bbs.12365auto.com/postcontent.aspx?tID=195098","http://bbs.12365auto.com/postcontent.aspx?tID=195098")</f>
        <v>http://bbs.12365auto.com/postcontent.aspx?tID=195098</v>
      </c>
      <c r="G2555" s="2"/>
      <c r="H2555" s="2" t="s">
        <v>3720</v>
      </c>
      <c r="I2555" s="2" t="s">
        <v>15</v>
      </c>
      <c r="J2555" s="2" t="s">
        <v>3718</v>
      </c>
      <c r="K2555" s="2" t="s">
        <v>3719</v>
      </c>
      <c r="L2555" s="2">
        <f t="shared" si="39"/>
        <v>150</v>
      </c>
    </row>
    <row r="2556" spans="1:12" ht="25" customHeight="1">
      <c r="A2556" s="2" t="s">
        <v>12</v>
      </c>
      <c r="B2556" s="2" t="str">
        <f>HYPERLINK("http://bbs.12365auto.com/postcontent.aspx?tID=195097","传说中最值中型车：亚洲龙买哪款才是“值中值”")</f>
        <v>传说中最值中型车：亚洲龙买哪款才是“值中值”</v>
      </c>
      <c r="C2556" s="2" t="s">
        <v>13</v>
      </c>
      <c r="D2556" s="2" t="s">
        <v>12</v>
      </c>
      <c r="E2556" s="2" t="s">
        <v>28</v>
      </c>
      <c r="F2556" s="2" t="str">
        <f>HYPERLINK("http://bbs.12365auto.com/postcontent.aspx?tID=195097","http://bbs.12365auto.com/postcontent.aspx?tID=195097")</f>
        <v>http://bbs.12365auto.com/postcontent.aspx?tID=195097</v>
      </c>
      <c r="G2556" s="2"/>
      <c r="H2556" s="2" t="s">
        <v>3721</v>
      </c>
      <c r="I2556" s="2" t="s">
        <v>15</v>
      </c>
      <c r="J2556" s="2" t="s">
        <v>1960</v>
      </c>
      <c r="K2556" s="2" t="s">
        <v>3719</v>
      </c>
      <c r="L2556" s="2">
        <f t="shared" si="39"/>
        <v>150</v>
      </c>
    </row>
    <row r="2557" spans="1:12" ht="25" customHeight="1">
      <c r="A2557" s="2" t="s">
        <v>12</v>
      </c>
      <c r="B2557" s="2" t="str">
        <f>HYPERLINK("http://bbs.12365auto.com/postcontent.aspx?tId=195097","传说中最值中型车：亚洲龙买哪款才是“值中值”")</f>
        <v>传说中最值中型车：亚洲龙买哪款才是“值中值”</v>
      </c>
      <c r="C2557" s="2" t="s">
        <v>13</v>
      </c>
      <c r="D2557" s="2" t="s">
        <v>12</v>
      </c>
      <c r="E2557" s="2" t="s">
        <v>27</v>
      </c>
      <c r="F2557" s="2" t="str">
        <f>HYPERLINK("http://bbs.12365auto.com/postcontent.aspx?tId=195097","http://bbs.12365auto.com/postcontent.aspx?tId=195097")</f>
        <v>http://bbs.12365auto.com/postcontent.aspx?tId=195097</v>
      </c>
      <c r="G2557" s="2"/>
      <c r="H2557" s="2" t="s">
        <v>3722</v>
      </c>
      <c r="I2557" s="2" t="s">
        <v>15</v>
      </c>
      <c r="J2557" s="2" t="s">
        <v>1960</v>
      </c>
      <c r="K2557" s="2" t="s">
        <v>3719</v>
      </c>
      <c r="L2557" s="2">
        <f t="shared" si="39"/>
        <v>150</v>
      </c>
    </row>
    <row r="2558" spans="1:12" ht="25" customHeight="1">
      <c r="A2558" s="2" t="s">
        <v>12</v>
      </c>
      <c r="B2558" s="2" t="str">
        <f>HYPERLINK("http://bbs.12365auto.com/postcontent.aspx?tId=195099","2020年最值得期待新车")</f>
        <v>2020年最值得期待新车</v>
      </c>
      <c r="C2558" s="2" t="s">
        <v>13</v>
      </c>
      <c r="D2558" s="2" t="s">
        <v>12</v>
      </c>
      <c r="E2558" s="2" t="s">
        <v>210</v>
      </c>
      <c r="F2558" s="2" t="str">
        <f>HYPERLINK("http://bbs.12365auto.com/postcontent.aspx?tId=195099","http://bbs.12365auto.com/postcontent.aspx?tId=195099")</f>
        <v>http://bbs.12365auto.com/postcontent.aspx?tId=195099</v>
      </c>
      <c r="G2558" s="2"/>
      <c r="H2558" s="2" t="s">
        <v>3723</v>
      </c>
      <c r="I2558" s="2" t="s">
        <v>15</v>
      </c>
      <c r="J2558" s="2" t="s">
        <v>3718</v>
      </c>
      <c r="K2558" s="2" t="s">
        <v>3719</v>
      </c>
      <c r="L2558" s="2">
        <f t="shared" si="39"/>
        <v>150</v>
      </c>
    </row>
    <row r="2559" spans="1:12" ht="25" customHeight="1">
      <c r="A2559" s="2" t="s">
        <v>12</v>
      </c>
      <c r="B2559" s="2" t="str">
        <f>HYPERLINK("http://bbs.12365auto.com/postcontent.aspx?tId=195098","明星们最常用的通勤车型 “保姆车”大盘点")</f>
        <v>明星们最常用的通勤车型 “保姆车”大盘点</v>
      </c>
      <c r="C2559" s="2" t="s">
        <v>13</v>
      </c>
      <c r="D2559" s="2" t="s">
        <v>12</v>
      </c>
      <c r="E2559" s="2" t="s">
        <v>210</v>
      </c>
      <c r="F2559" s="2" t="str">
        <f>HYPERLINK("http://bbs.12365auto.com/postcontent.aspx?tId=195098","http://bbs.12365auto.com/postcontent.aspx?tId=195098")</f>
        <v>http://bbs.12365auto.com/postcontent.aspx?tId=195098</v>
      </c>
      <c r="G2559" s="2"/>
      <c r="H2559" s="2" t="s">
        <v>3724</v>
      </c>
      <c r="I2559" s="2" t="s">
        <v>15</v>
      </c>
      <c r="J2559" s="2" t="s">
        <v>3718</v>
      </c>
      <c r="K2559" s="2" t="s">
        <v>3719</v>
      </c>
      <c r="L2559" s="2">
        <f t="shared" si="39"/>
        <v>150</v>
      </c>
    </row>
    <row r="2560" spans="1:12" ht="25" customHeight="1">
      <c r="A2560" s="2" t="s">
        <v>12</v>
      </c>
      <c r="B2560" s="2" t="str">
        <f>HYPERLINK("http://m.12365auto.com/bbs/postcontent.aspx?tID=195099","2020年最值得期待新车")</f>
        <v>2020年最值得期待新车</v>
      </c>
      <c r="C2560" s="2" t="s">
        <v>13</v>
      </c>
      <c r="D2560" s="2" t="s">
        <v>23</v>
      </c>
      <c r="E2560" s="2"/>
      <c r="F2560" s="2" t="str">
        <f>HYPERLINK("http://m.12365auto.com/bbs/postcontent.aspx?tID=195099","http://m.12365auto.com/bbs/postcontent.aspx?tID=195099")</f>
        <v>http://m.12365auto.com/bbs/postcontent.aspx?tID=195099</v>
      </c>
      <c r="G2560" s="2"/>
      <c r="H2560" s="2" t="s">
        <v>3723</v>
      </c>
      <c r="I2560" s="2" t="s">
        <v>15</v>
      </c>
      <c r="J2560" s="2" t="s">
        <v>3718</v>
      </c>
      <c r="K2560" s="2" t="s">
        <v>3719</v>
      </c>
      <c r="L2560" s="2">
        <f t="shared" si="39"/>
        <v>150</v>
      </c>
    </row>
    <row r="2561" spans="1:12" ht="25" customHeight="1">
      <c r="A2561" s="2" t="s">
        <v>12</v>
      </c>
      <c r="B2561" s="2" t="str">
        <f>HYPERLINK("http://m.12365auto.com/bbs/postcontent.aspx?tID=195098","明星们最常用的通勤车型 “保姆车”大盘点")</f>
        <v>明星们最常用的通勤车型 “保姆车”大盘点</v>
      </c>
      <c r="C2561" s="2" t="s">
        <v>13</v>
      </c>
      <c r="D2561" s="2" t="s">
        <v>23</v>
      </c>
      <c r="E2561" s="2"/>
      <c r="F2561" s="2" t="str">
        <f>HYPERLINK("http://m.12365auto.com/bbs/postcontent.aspx?tID=195098","http://m.12365auto.com/bbs/postcontent.aspx?tID=195098")</f>
        <v>http://m.12365auto.com/bbs/postcontent.aspx?tID=195098</v>
      </c>
      <c r="G2561" s="2"/>
      <c r="H2561" s="2" t="s">
        <v>3724</v>
      </c>
      <c r="I2561" s="2" t="s">
        <v>15</v>
      </c>
      <c r="J2561" s="2" t="s">
        <v>3718</v>
      </c>
      <c r="K2561" s="2" t="s">
        <v>3719</v>
      </c>
      <c r="L2561" s="2">
        <f t="shared" si="39"/>
        <v>150</v>
      </c>
    </row>
    <row r="2562" spans="1:12" ht="25" customHeight="1">
      <c r="A2562" s="2" t="s">
        <v>12</v>
      </c>
      <c r="B2562" s="2" t="str">
        <f>HYPERLINK("http://m.12365auto.com/bbs/postcontent.aspx?tID=195097","传说中最值中型车：亚洲龙买哪款才是“值中值”")</f>
        <v>传说中最值中型车：亚洲龙买哪款才是“值中值”</v>
      </c>
      <c r="C2562" s="2" t="s">
        <v>13</v>
      </c>
      <c r="D2562" s="2" t="s">
        <v>23</v>
      </c>
      <c r="E2562" s="2"/>
      <c r="F2562" s="2" t="str">
        <f>HYPERLINK("http://m.12365auto.com/bbs/postcontent.aspx?tID=195097","http://m.12365auto.com/bbs/postcontent.aspx?tID=195097")</f>
        <v>http://m.12365auto.com/bbs/postcontent.aspx?tID=195097</v>
      </c>
      <c r="G2562" s="2"/>
      <c r="H2562" s="2" t="s">
        <v>3722</v>
      </c>
      <c r="I2562" s="2" t="s">
        <v>15</v>
      </c>
      <c r="J2562" s="2" t="s">
        <v>1960</v>
      </c>
      <c r="K2562" s="2" t="s">
        <v>3719</v>
      </c>
      <c r="L2562" s="2">
        <f t="shared" si="39"/>
        <v>150</v>
      </c>
    </row>
    <row r="2563" spans="1:12" ht="25" customHeight="1">
      <c r="A2563" s="2" t="s">
        <v>12</v>
      </c>
      <c r="B2563" s="2" t="str">
        <f>HYPERLINK("http://bbs.12365auto.com/postcontent.aspx?tId=195095","3款当红合资SUV 动力强悍 空间大")</f>
        <v>3款当红合资SUV 动力强悍 空间大</v>
      </c>
      <c r="C2563" s="2" t="s">
        <v>13</v>
      </c>
      <c r="D2563" s="2" t="s">
        <v>12</v>
      </c>
      <c r="E2563" s="2" t="s">
        <v>210</v>
      </c>
      <c r="F2563" s="2" t="str">
        <f>HYPERLINK("http://bbs.12365auto.com/postcontent.aspx?tId=195095","http://bbs.12365auto.com/postcontent.aspx?tId=195095")</f>
        <v>http://bbs.12365auto.com/postcontent.aspx?tId=195095</v>
      </c>
      <c r="G2563" s="2"/>
      <c r="H2563" s="2" t="s">
        <v>3725</v>
      </c>
      <c r="I2563" s="2" t="s">
        <v>15</v>
      </c>
      <c r="J2563" s="2" t="s">
        <v>3718</v>
      </c>
      <c r="K2563" s="2" t="s">
        <v>3726</v>
      </c>
      <c r="L2563" s="2">
        <f t="shared" ref="L2563:L2626" si="40">LEN(H2563)</f>
        <v>150</v>
      </c>
    </row>
    <row r="2564" spans="1:12" ht="25" customHeight="1">
      <c r="A2564" s="2" t="s">
        <v>12</v>
      </c>
      <c r="B2564" s="2" t="str">
        <f>HYPERLINK("http://www.12365auto.com/xcdg/20200225/419444.shtml","菲亚特500e谍照曝光 将日内瓦车展首发")</f>
        <v>菲亚特500e谍照曝光 将日内瓦车展首发</v>
      </c>
      <c r="C2564" s="2" t="s">
        <v>13</v>
      </c>
      <c r="D2564" s="2" t="s">
        <v>12</v>
      </c>
      <c r="E2564" s="2" t="s">
        <v>216</v>
      </c>
      <c r="F2564" s="2" t="str">
        <f>HYPERLINK("http://www.12365auto.com/xcdg/20200225/419444.shtml","http://www.12365auto.com/xcdg/20200225/419444.shtml")</f>
        <v>http://www.12365auto.com/xcdg/20200225/419444.shtml</v>
      </c>
      <c r="G2564" s="2"/>
      <c r="H2564" s="2" t="s">
        <v>3727</v>
      </c>
      <c r="I2564" s="2" t="s">
        <v>15</v>
      </c>
      <c r="J2564" s="2" t="s">
        <v>12</v>
      </c>
      <c r="K2564" s="2" t="s">
        <v>3726</v>
      </c>
      <c r="L2564" s="2">
        <f t="shared" si="40"/>
        <v>150</v>
      </c>
    </row>
    <row r="2565" spans="1:12" ht="25" customHeight="1">
      <c r="A2565" s="2" t="s">
        <v>12</v>
      </c>
      <c r="B2565" s="2" t="str">
        <f>HYPERLINK("http://bbs.12365auto.com/postcontent.aspx?tID=195096","汽车市场上最受欢迎的合资MPV")</f>
        <v>汽车市场上最受欢迎的合资MPV</v>
      </c>
      <c r="C2565" s="2" t="s">
        <v>13</v>
      </c>
      <c r="D2565" s="2" t="s">
        <v>12</v>
      </c>
      <c r="E2565" s="2" t="s">
        <v>214</v>
      </c>
      <c r="F2565" s="2" t="str">
        <f>HYPERLINK("http://bbs.12365auto.com/postcontent.aspx?tID=195096","http://bbs.12365auto.com/postcontent.aspx?tID=195096")</f>
        <v>http://bbs.12365auto.com/postcontent.aspx?tID=195096</v>
      </c>
      <c r="G2565" s="2"/>
      <c r="H2565" s="2" t="s">
        <v>3728</v>
      </c>
      <c r="I2565" s="2" t="s">
        <v>15</v>
      </c>
      <c r="J2565" s="2" t="s">
        <v>3718</v>
      </c>
      <c r="K2565" s="2" t="s">
        <v>3726</v>
      </c>
      <c r="L2565" s="2">
        <f t="shared" si="40"/>
        <v>150</v>
      </c>
    </row>
    <row r="2566" spans="1:12" ht="25" customHeight="1">
      <c r="A2566" s="2" t="s">
        <v>12</v>
      </c>
      <c r="B2566" s="2" t="str">
        <f>HYPERLINK("http://bbs.12365auto.com/postcontent.aspx?tID=195095","3款当红合资SUV 动力强悍 空间大")</f>
        <v>3款当红合资SUV 动力强悍 空间大</v>
      </c>
      <c r="C2566" s="2" t="s">
        <v>13</v>
      </c>
      <c r="D2566" s="2" t="s">
        <v>12</v>
      </c>
      <c r="E2566" s="2" t="s">
        <v>214</v>
      </c>
      <c r="F2566" s="2" t="str">
        <f>HYPERLINK("http://bbs.12365auto.com/postcontent.aspx?tID=195095","http://bbs.12365auto.com/postcontent.aspx?tID=195095")</f>
        <v>http://bbs.12365auto.com/postcontent.aspx?tID=195095</v>
      </c>
      <c r="G2566" s="2"/>
      <c r="H2566" s="2" t="s">
        <v>3729</v>
      </c>
      <c r="I2566" s="2" t="s">
        <v>15</v>
      </c>
      <c r="J2566" s="2" t="s">
        <v>3718</v>
      </c>
      <c r="K2566" s="2" t="s">
        <v>3726</v>
      </c>
      <c r="L2566" s="2">
        <f t="shared" si="40"/>
        <v>150</v>
      </c>
    </row>
    <row r="2567" spans="1:12" ht="25" customHeight="1">
      <c r="A2567" s="2" t="s">
        <v>12</v>
      </c>
      <c r="B2567" s="2" t="str">
        <f>HYPERLINK("http://m.12365auto.com/xcdg/20200225/419444.shtml","菲亚特500e谍照曝光 将日内瓦车展首发")</f>
        <v>菲亚特500e谍照曝光 将日内瓦车展首发</v>
      </c>
      <c r="C2567" s="2" t="s">
        <v>13</v>
      </c>
      <c r="D2567" s="2" t="s">
        <v>12</v>
      </c>
      <c r="E2567" s="2"/>
      <c r="F2567" s="2" t="str">
        <f>HYPERLINK("http://m.12365auto.com/xcdg/20200225/419444.shtml","http://m.12365auto.com/xcdg/20200225/419444.shtml")</f>
        <v>http://m.12365auto.com/xcdg/20200225/419444.shtml</v>
      </c>
      <c r="G2567" s="2"/>
      <c r="H2567" s="2" t="s">
        <v>3730</v>
      </c>
      <c r="I2567" s="2" t="s">
        <v>19</v>
      </c>
      <c r="J2567" s="2" t="s">
        <v>751</v>
      </c>
      <c r="K2567" s="2" t="s">
        <v>3726</v>
      </c>
      <c r="L2567" s="2">
        <f t="shared" si="40"/>
        <v>150</v>
      </c>
    </row>
    <row r="2568" spans="1:12" ht="25" customHeight="1">
      <c r="A2568" s="2" t="s">
        <v>12</v>
      </c>
      <c r="B2568" s="2" t="str">
        <f>HYPERLINK("http://bbs.12365auto.com/postcontent.aspx?tId=195096","汽车市场上最受欢迎的合资MPV")</f>
        <v>汽车市场上最受欢迎的合资MPV</v>
      </c>
      <c r="C2568" s="2" t="s">
        <v>13</v>
      </c>
      <c r="D2568" s="2" t="s">
        <v>12</v>
      </c>
      <c r="E2568" s="2" t="s">
        <v>210</v>
      </c>
      <c r="F2568" s="2" t="str">
        <f>HYPERLINK("http://bbs.12365auto.com/postcontent.aspx?tId=195096","http://bbs.12365auto.com/postcontent.aspx?tId=195096")</f>
        <v>http://bbs.12365auto.com/postcontent.aspx?tId=195096</v>
      </c>
      <c r="G2568" s="2"/>
      <c r="H2568" s="2" t="s">
        <v>3731</v>
      </c>
      <c r="I2568" s="2" t="s">
        <v>15</v>
      </c>
      <c r="J2568" s="2" t="s">
        <v>3718</v>
      </c>
      <c r="K2568" s="2" t="s">
        <v>3726</v>
      </c>
      <c r="L2568" s="2">
        <f t="shared" si="40"/>
        <v>150</v>
      </c>
    </row>
    <row r="2569" spans="1:12" ht="25" customHeight="1">
      <c r="A2569" s="2" t="s">
        <v>12</v>
      </c>
      <c r="B2569" s="2" t="str">
        <f>HYPERLINK("http://m.12365auto.com/bbs/postcontent.aspx?tID=195096","汽车市场上最受欢迎的合资MPV")</f>
        <v>汽车市场上最受欢迎的合资MPV</v>
      </c>
      <c r="C2569" s="2" t="s">
        <v>13</v>
      </c>
      <c r="D2569" s="2" t="s">
        <v>23</v>
      </c>
      <c r="E2569" s="2"/>
      <c r="F2569" s="2" t="str">
        <f>HYPERLINK("http://m.12365auto.com/bbs/postcontent.aspx?tID=195096","http://m.12365auto.com/bbs/postcontent.aspx?tID=195096")</f>
        <v>http://m.12365auto.com/bbs/postcontent.aspx?tID=195096</v>
      </c>
      <c r="G2569" s="2"/>
      <c r="H2569" s="2" t="s">
        <v>3731</v>
      </c>
      <c r="I2569" s="2" t="s">
        <v>15</v>
      </c>
      <c r="J2569" s="2" t="s">
        <v>3718</v>
      </c>
      <c r="K2569" s="2" t="s">
        <v>3726</v>
      </c>
      <c r="L2569" s="2">
        <f t="shared" si="40"/>
        <v>150</v>
      </c>
    </row>
    <row r="2570" spans="1:12" ht="25" customHeight="1">
      <c r="A2570" s="2" t="s">
        <v>12</v>
      </c>
      <c r="B2570" s="2" t="str">
        <f>HYPERLINK("http://m.12365auto.com/bbs/postcontent.aspx?tID=195095","3款当红合资SUV 动力强悍 空间大")</f>
        <v>3款当红合资SUV 动力强悍 空间大</v>
      </c>
      <c r="C2570" s="2" t="s">
        <v>13</v>
      </c>
      <c r="D2570" s="2" t="s">
        <v>23</v>
      </c>
      <c r="E2570" s="2"/>
      <c r="F2570" s="2" t="str">
        <f>HYPERLINK("http://m.12365auto.com/bbs/postcontent.aspx?tID=195095","http://m.12365auto.com/bbs/postcontent.aspx?tID=195095")</f>
        <v>http://m.12365auto.com/bbs/postcontent.aspx?tID=195095</v>
      </c>
      <c r="G2570" s="2"/>
      <c r="H2570" s="2" t="s">
        <v>3725</v>
      </c>
      <c r="I2570" s="2" t="s">
        <v>15</v>
      </c>
      <c r="J2570" s="2" t="s">
        <v>3718</v>
      </c>
      <c r="K2570" s="2" t="s">
        <v>3726</v>
      </c>
      <c r="L2570" s="2">
        <f t="shared" si="40"/>
        <v>150</v>
      </c>
    </row>
    <row r="2571" spans="1:12" ht="25" customHeight="1">
      <c r="A2571" s="2" t="s">
        <v>12</v>
      </c>
      <c r="B2571" s="2" t="str">
        <f>HYPERLINK("http://bbs.12365auto.com/postcontent.aspx?tId=195090","通用今年给你准备了15款新车")</f>
        <v>通用今年给你准备了15款新车</v>
      </c>
      <c r="C2571" s="2" t="s">
        <v>13</v>
      </c>
      <c r="D2571" s="2" t="s">
        <v>12</v>
      </c>
      <c r="E2571" s="2" t="s">
        <v>210</v>
      </c>
      <c r="F2571" s="2" t="str">
        <f>HYPERLINK("http://bbs.12365auto.com/postcontent.aspx?tId=195090","http://bbs.12365auto.com/postcontent.aspx?tId=195090")</f>
        <v>http://bbs.12365auto.com/postcontent.aspx?tId=195090</v>
      </c>
      <c r="G2571" s="2"/>
      <c r="H2571" s="2" t="s">
        <v>3077</v>
      </c>
      <c r="I2571" s="2" t="s">
        <v>15</v>
      </c>
      <c r="J2571" s="2" t="s">
        <v>3718</v>
      </c>
      <c r="K2571" s="2" t="s">
        <v>3732</v>
      </c>
      <c r="L2571" s="2">
        <f t="shared" si="40"/>
        <v>150</v>
      </c>
    </row>
    <row r="2572" spans="1:12" ht="25" customHeight="1">
      <c r="A2572" s="2" t="s">
        <v>12</v>
      </c>
      <c r="B2572" s="2" t="str">
        <f>HYPERLINK("http://bbs.12365auto.com/postcontent.aspx?tId=195093","号称最美旅行车 比同级别BBA价格还要贵")</f>
        <v>号称最美旅行车 比同级别BBA价格还要贵</v>
      </c>
      <c r="C2572" s="2" t="s">
        <v>13</v>
      </c>
      <c r="D2572" s="2" t="s">
        <v>12</v>
      </c>
      <c r="E2572" s="2" t="s">
        <v>210</v>
      </c>
      <c r="F2572" s="2" t="str">
        <f>HYPERLINK("http://bbs.12365auto.com/postcontent.aspx?tId=195093","http://bbs.12365auto.com/postcontent.aspx?tId=195093")</f>
        <v>http://bbs.12365auto.com/postcontent.aspx?tId=195093</v>
      </c>
      <c r="G2572" s="2"/>
      <c r="H2572" s="2" t="s">
        <v>3733</v>
      </c>
      <c r="I2572" s="2" t="s">
        <v>15</v>
      </c>
      <c r="J2572" s="2" t="s">
        <v>3718</v>
      </c>
      <c r="K2572" s="2" t="s">
        <v>3732</v>
      </c>
      <c r="L2572" s="2">
        <f t="shared" si="40"/>
        <v>150</v>
      </c>
    </row>
    <row r="2573" spans="1:12" ht="25" customHeight="1">
      <c r="A2573" s="2" t="s">
        <v>12</v>
      </c>
      <c r="B2573" s="2" t="str">
        <f>HYPERLINK("http://bbs.12365auto.com/postcontent.aspx?tId=195091","10万左右 提供六七座的家用车")</f>
        <v>10万左右 提供六七座的家用车</v>
      </c>
      <c r="C2573" s="2" t="s">
        <v>13</v>
      </c>
      <c r="D2573" s="2" t="s">
        <v>12</v>
      </c>
      <c r="E2573" s="2" t="s">
        <v>210</v>
      </c>
      <c r="F2573" s="2" t="str">
        <f>HYPERLINK("http://bbs.12365auto.com/postcontent.aspx?tId=195091","http://bbs.12365auto.com/postcontent.aspx?tId=195091")</f>
        <v>http://bbs.12365auto.com/postcontent.aspx?tId=195091</v>
      </c>
      <c r="G2573" s="2"/>
      <c r="H2573" s="2" t="s">
        <v>3734</v>
      </c>
      <c r="I2573" s="2" t="s">
        <v>15</v>
      </c>
      <c r="J2573" s="2" t="s">
        <v>3718</v>
      </c>
      <c r="K2573" s="2" t="s">
        <v>3732</v>
      </c>
      <c r="L2573" s="2">
        <f t="shared" si="40"/>
        <v>150</v>
      </c>
    </row>
    <row r="2574" spans="1:12" ht="25" customHeight="1">
      <c r="A2574" s="2" t="s">
        <v>12</v>
      </c>
      <c r="B2574" s="2" t="str">
        <f>HYPERLINK("http://www.12365auto.com/xcdg/20200225/419443.shtml","曝全新一代DS 4谍照 年底或明年初亮相")</f>
        <v>曝全新一代DS 4谍照 年底或明年初亮相</v>
      </c>
      <c r="C2574" s="2" t="s">
        <v>13</v>
      </c>
      <c r="D2574" s="2" t="s">
        <v>12</v>
      </c>
      <c r="E2574" s="2" t="s">
        <v>224</v>
      </c>
      <c r="F2574" s="2" t="str">
        <f>HYPERLINK("http://www.12365auto.com/xcdg/20200225/419443.shtml","http://www.12365auto.com/xcdg/20200225/419443.shtml")</f>
        <v>http://www.12365auto.com/xcdg/20200225/419443.shtml</v>
      </c>
      <c r="G2574" s="2"/>
      <c r="H2574" s="2" t="s">
        <v>3735</v>
      </c>
      <c r="I2574" s="2" t="s">
        <v>15</v>
      </c>
      <c r="J2574" s="2" t="s">
        <v>12</v>
      </c>
      <c r="K2574" s="2" t="s">
        <v>3732</v>
      </c>
      <c r="L2574" s="2">
        <f t="shared" si="40"/>
        <v>150</v>
      </c>
    </row>
    <row r="2575" spans="1:12" ht="25" customHeight="1">
      <c r="A2575" s="2" t="s">
        <v>12</v>
      </c>
      <c r="B2575" s="2" t="str">
        <f>HYPERLINK("http://bbs.12365auto.com/postcontent.aspx?tID=195094","受疫情影响，没人去4S店买车，这时候去买车能拿到最大优惠吗")</f>
        <v>受疫情影响，没人去4S店买车，这时候去买车能拿到最大优惠吗</v>
      </c>
      <c r="C2575" s="2" t="s">
        <v>13</v>
      </c>
      <c r="D2575" s="2" t="s">
        <v>12</v>
      </c>
      <c r="E2575" s="2" t="s">
        <v>28</v>
      </c>
      <c r="F2575" s="2" t="str">
        <f>HYPERLINK("http://bbs.12365auto.com/postcontent.aspx?tID=195094","http://bbs.12365auto.com/postcontent.aspx?tID=195094")</f>
        <v>http://bbs.12365auto.com/postcontent.aspx?tID=195094</v>
      </c>
      <c r="G2575" s="2"/>
      <c r="H2575" s="2" t="s">
        <v>3736</v>
      </c>
      <c r="I2575" s="2" t="s">
        <v>15</v>
      </c>
      <c r="J2575" s="2" t="s">
        <v>1960</v>
      </c>
      <c r="K2575" s="2" t="s">
        <v>3732</v>
      </c>
      <c r="L2575" s="2">
        <f t="shared" si="40"/>
        <v>150</v>
      </c>
    </row>
    <row r="2576" spans="1:12" ht="25" customHeight="1">
      <c r="A2576" s="2" t="s">
        <v>12</v>
      </c>
      <c r="B2576" s="2" t="str">
        <f>HYPERLINK("http://bbs.12365auto.com/postcontent.aspx?tID=195093","号称最美旅行车 比同级别BBA价格还要贵")</f>
        <v>号称最美旅行车 比同级别BBA价格还要贵</v>
      </c>
      <c r="C2576" s="2" t="s">
        <v>13</v>
      </c>
      <c r="D2576" s="2" t="s">
        <v>12</v>
      </c>
      <c r="E2576" s="2" t="s">
        <v>214</v>
      </c>
      <c r="F2576" s="2" t="str">
        <f>HYPERLINK("http://bbs.12365auto.com/postcontent.aspx?tID=195093","http://bbs.12365auto.com/postcontent.aspx?tID=195093")</f>
        <v>http://bbs.12365auto.com/postcontent.aspx?tID=195093</v>
      </c>
      <c r="G2576" s="2"/>
      <c r="H2576" s="2" t="s">
        <v>3737</v>
      </c>
      <c r="I2576" s="2" t="s">
        <v>15</v>
      </c>
      <c r="J2576" s="2" t="s">
        <v>3718</v>
      </c>
      <c r="K2576" s="2" t="s">
        <v>3732</v>
      </c>
      <c r="L2576" s="2">
        <f t="shared" si="40"/>
        <v>150</v>
      </c>
    </row>
    <row r="2577" spans="1:12" ht="25" customHeight="1">
      <c r="A2577" s="2" t="s">
        <v>12</v>
      </c>
      <c r="B2577" s="2" t="str">
        <f>HYPERLINK("http://bbs.12365auto.com/postcontent.aspx?tID=195092","轿车保值率新鲜出炉！日系再次屠榜")</f>
        <v>轿车保值率新鲜出炉！日系再次屠榜</v>
      </c>
      <c r="C2577" s="2" t="s">
        <v>13</v>
      </c>
      <c r="D2577" s="2" t="s">
        <v>12</v>
      </c>
      <c r="E2577" s="2" t="s">
        <v>28</v>
      </c>
      <c r="F2577" s="2" t="str">
        <f>HYPERLINK("http://bbs.12365auto.com/postcontent.aspx?tID=195092","http://bbs.12365auto.com/postcontent.aspx?tID=195092")</f>
        <v>http://bbs.12365auto.com/postcontent.aspx?tID=195092</v>
      </c>
      <c r="G2577" s="2"/>
      <c r="H2577" s="2" t="s">
        <v>3738</v>
      </c>
      <c r="I2577" s="2" t="s">
        <v>15</v>
      </c>
      <c r="J2577" s="2" t="s">
        <v>1960</v>
      </c>
      <c r="K2577" s="2" t="s">
        <v>3732</v>
      </c>
      <c r="L2577" s="2">
        <f t="shared" si="40"/>
        <v>150</v>
      </c>
    </row>
    <row r="2578" spans="1:12" ht="25" customHeight="1">
      <c r="A2578" s="2" t="s">
        <v>12</v>
      </c>
      <c r="B2578" s="2" t="str">
        <f>HYPERLINK("http://m.12365auto.com/xcdg/20200225/419443.shtml","曝全新一代DS 4谍照 年底或明年初亮相")</f>
        <v>曝全新一代DS 4谍照 年底或明年初亮相</v>
      </c>
      <c r="C2578" s="2" t="s">
        <v>13</v>
      </c>
      <c r="D2578" s="2" t="s">
        <v>12</v>
      </c>
      <c r="E2578" s="2"/>
      <c r="F2578" s="2" t="str">
        <f>HYPERLINK("http://m.12365auto.com/xcdg/20200225/419443.shtml","http://m.12365auto.com/xcdg/20200225/419443.shtml")</f>
        <v>http://m.12365auto.com/xcdg/20200225/419443.shtml</v>
      </c>
      <c r="G2578" s="2"/>
      <c r="H2578" s="2" t="s">
        <v>3739</v>
      </c>
      <c r="I2578" s="2" t="s">
        <v>19</v>
      </c>
      <c r="J2578" s="2" t="s">
        <v>751</v>
      </c>
      <c r="K2578" s="2" t="s">
        <v>3732</v>
      </c>
      <c r="L2578" s="2">
        <f t="shared" si="40"/>
        <v>150</v>
      </c>
    </row>
    <row r="2579" spans="1:12" ht="25" customHeight="1">
      <c r="A2579" s="2" t="s">
        <v>12</v>
      </c>
      <c r="B2579" s="2" t="str">
        <f>HYPERLINK("http://bbs.12365auto.com/postcontent.aspx?tID=195090","通用今年给你准备了15款新车")</f>
        <v>通用今年给你准备了15款新车</v>
      </c>
      <c r="C2579" s="2" t="s">
        <v>13</v>
      </c>
      <c r="D2579" s="2" t="s">
        <v>12</v>
      </c>
      <c r="E2579" s="2" t="s">
        <v>214</v>
      </c>
      <c r="F2579" s="2" t="str">
        <f>HYPERLINK("http://bbs.12365auto.com/postcontent.aspx?tID=195090","http://bbs.12365auto.com/postcontent.aspx?tID=195090")</f>
        <v>http://bbs.12365auto.com/postcontent.aspx?tID=195090</v>
      </c>
      <c r="G2579" s="2"/>
      <c r="H2579" s="2" t="s">
        <v>3740</v>
      </c>
      <c r="I2579" s="2" t="s">
        <v>15</v>
      </c>
      <c r="J2579" s="2" t="s">
        <v>3718</v>
      </c>
      <c r="K2579" s="2" t="s">
        <v>3732</v>
      </c>
      <c r="L2579" s="2">
        <f t="shared" si="40"/>
        <v>150</v>
      </c>
    </row>
    <row r="2580" spans="1:12" ht="25" customHeight="1">
      <c r="A2580" s="2" t="s">
        <v>12</v>
      </c>
      <c r="B2580" s="2" t="str">
        <f>HYPERLINK("http://bbs.12365auto.com/postcontent.aspx?tID=195091","10万左右 提供六七座的家用车")</f>
        <v>10万左右 提供六七座的家用车</v>
      </c>
      <c r="C2580" s="2" t="s">
        <v>13</v>
      </c>
      <c r="D2580" s="2" t="s">
        <v>12</v>
      </c>
      <c r="E2580" s="2" t="s">
        <v>214</v>
      </c>
      <c r="F2580" s="2" t="str">
        <f>HYPERLINK("http://bbs.12365auto.com/postcontent.aspx?tID=195091","http://bbs.12365auto.com/postcontent.aspx?tID=195091")</f>
        <v>http://bbs.12365auto.com/postcontent.aspx?tID=195091</v>
      </c>
      <c r="G2580" s="2"/>
      <c r="H2580" s="2" t="s">
        <v>3741</v>
      </c>
      <c r="I2580" s="2" t="s">
        <v>15</v>
      </c>
      <c r="J2580" s="2" t="s">
        <v>3718</v>
      </c>
      <c r="K2580" s="2" t="s">
        <v>3732</v>
      </c>
      <c r="L2580" s="2">
        <f t="shared" si="40"/>
        <v>150</v>
      </c>
    </row>
    <row r="2581" spans="1:12" ht="25" customHeight="1">
      <c r="A2581" s="2" t="s">
        <v>12</v>
      </c>
      <c r="B2581" s="2" t="str">
        <f>HYPERLINK("http://m.12365auto.com/bbs/postcontent.aspx?tID=195093","号称最美旅行车 比同级别BBA价格还要贵")</f>
        <v>号称最美旅行车 比同级别BBA价格还要贵</v>
      </c>
      <c r="C2581" s="2" t="s">
        <v>13</v>
      </c>
      <c r="D2581" s="2" t="s">
        <v>23</v>
      </c>
      <c r="E2581" s="2"/>
      <c r="F2581" s="2" t="str">
        <f>HYPERLINK("http://m.12365auto.com/bbs/postcontent.aspx?tID=195093","http://m.12365auto.com/bbs/postcontent.aspx?tID=195093")</f>
        <v>http://m.12365auto.com/bbs/postcontent.aspx?tID=195093</v>
      </c>
      <c r="G2581" s="2"/>
      <c r="H2581" s="2" t="s">
        <v>3733</v>
      </c>
      <c r="I2581" s="2" t="s">
        <v>15</v>
      </c>
      <c r="J2581" s="2" t="s">
        <v>3718</v>
      </c>
      <c r="K2581" s="2" t="s">
        <v>3732</v>
      </c>
      <c r="L2581" s="2">
        <f t="shared" si="40"/>
        <v>150</v>
      </c>
    </row>
    <row r="2582" spans="1:12" ht="25" customHeight="1">
      <c r="A2582" s="2" t="s">
        <v>12</v>
      </c>
      <c r="B2582" s="2" t="str">
        <f>HYPERLINK("http://m.12365auto.com/bbs/postcontent.aspx?tID=195090","通用今年给你准备了15款新车")</f>
        <v>通用今年给你准备了15款新车</v>
      </c>
      <c r="C2582" s="2" t="s">
        <v>13</v>
      </c>
      <c r="D2582" s="2" t="s">
        <v>23</v>
      </c>
      <c r="E2582" s="2"/>
      <c r="F2582" s="2" t="str">
        <f>HYPERLINK("http://m.12365auto.com/bbs/postcontent.aspx?tID=195090","http://m.12365auto.com/bbs/postcontent.aspx?tID=195090")</f>
        <v>http://m.12365auto.com/bbs/postcontent.aspx?tID=195090</v>
      </c>
      <c r="G2582" s="2"/>
      <c r="H2582" s="2" t="s">
        <v>3077</v>
      </c>
      <c r="I2582" s="2" t="s">
        <v>15</v>
      </c>
      <c r="J2582" s="2" t="s">
        <v>3718</v>
      </c>
      <c r="K2582" s="2" t="s">
        <v>3732</v>
      </c>
      <c r="L2582" s="2">
        <f t="shared" si="40"/>
        <v>150</v>
      </c>
    </row>
    <row r="2583" spans="1:12" ht="25" customHeight="1">
      <c r="A2583" s="2" t="s">
        <v>12</v>
      </c>
      <c r="B2583" s="2" t="str">
        <f>HYPERLINK("http://m.12365auto.com/bbs/postcontent.aspx?tID=195091","10万左右 提供六七座的家用车")</f>
        <v>10万左右 提供六七座的家用车</v>
      </c>
      <c r="C2583" s="2" t="s">
        <v>13</v>
      </c>
      <c r="D2583" s="2" t="s">
        <v>23</v>
      </c>
      <c r="E2583" s="2"/>
      <c r="F2583" s="2" t="str">
        <f>HYPERLINK("http://m.12365auto.com/bbs/postcontent.aspx?tID=195091","http://m.12365auto.com/bbs/postcontent.aspx?tID=195091")</f>
        <v>http://m.12365auto.com/bbs/postcontent.aspx?tID=195091</v>
      </c>
      <c r="G2583" s="2"/>
      <c r="H2583" s="2" t="s">
        <v>3734</v>
      </c>
      <c r="I2583" s="2" t="s">
        <v>15</v>
      </c>
      <c r="J2583" s="2" t="s">
        <v>3718</v>
      </c>
      <c r="K2583" s="2" t="s">
        <v>3732</v>
      </c>
      <c r="L2583" s="2">
        <f t="shared" si="40"/>
        <v>150</v>
      </c>
    </row>
    <row r="2584" spans="1:12" ht="25" customHeight="1">
      <c r="A2584" s="2" t="s">
        <v>12</v>
      </c>
      <c r="B2584" s="2" t="str">
        <f>HYPERLINK("http://bbs.12365auto.com/postcontent.aspx?tId=195094","受疫情影响，没人去4S店买车，这时候去买车能拿到最大优惠吗")</f>
        <v>受疫情影响，没人去4S店买车，这时候去买车能拿到最大优惠吗</v>
      </c>
      <c r="C2584" s="2" t="s">
        <v>13</v>
      </c>
      <c r="D2584" s="2" t="s">
        <v>12</v>
      </c>
      <c r="E2584" s="2" t="s">
        <v>27</v>
      </c>
      <c r="F2584" s="2" t="str">
        <f>HYPERLINK("http://bbs.12365auto.com/postcontent.aspx?tId=195094","http://bbs.12365auto.com/postcontent.aspx?tId=195094")</f>
        <v>http://bbs.12365auto.com/postcontent.aspx?tId=195094</v>
      </c>
      <c r="G2584" s="2"/>
      <c r="H2584" s="2" t="s">
        <v>3742</v>
      </c>
      <c r="I2584" s="2" t="s">
        <v>15</v>
      </c>
      <c r="J2584" s="2" t="s">
        <v>1960</v>
      </c>
      <c r="K2584" s="2" t="s">
        <v>3732</v>
      </c>
      <c r="L2584" s="2">
        <f t="shared" si="40"/>
        <v>150</v>
      </c>
    </row>
    <row r="2585" spans="1:12" ht="25" customHeight="1">
      <c r="A2585" s="2" t="s">
        <v>12</v>
      </c>
      <c r="B2585" s="2" t="str">
        <f>HYPERLINK("http://bbs.12365auto.com/postcontent.aspx?tId=195092","轿车保值率新鲜出炉！日系再次屠榜")</f>
        <v>轿车保值率新鲜出炉！日系再次屠榜</v>
      </c>
      <c r="C2585" s="2" t="s">
        <v>13</v>
      </c>
      <c r="D2585" s="2" t="s">
        <v>12</v>
      </c>
      <c r="E2585" s="2" t="s">
        <v>27</v>
      </c>
      <c r="F2585" s="2" t="str">
        <f>HYPERLINK("http://bbs.12365auto.com/postcontent.aspx?tId=195092","http://bbs.12365auto.com/postcontent.aspx?tId=195092")</f>
        <v>http://bbs.12365auto.com/postcontent.aspx?tId=195092</v>
      </c>
      <c r="G2585" s="2"/>
      <c r="H2585" s="2" t="s">
        <v>3743</v>
      </c>
      <c r="I2585" s="2" t="s">
        <v>15</v>
      </c>
      <c r="J2585" s="2" t="s">
        <v>1960</v>
      </c>
      <c r="K2585" s="2" t="s">
        <v>3732</v>
      </c>
      <c r="L2585" s="2">
        <f t="shared" si="40"/>
        <v>150</v>
      </c>
    </row>
    <row r="2586" spans="1:12" ht="25" customHeight="1">
      <c r="A2586" s="2" t="s">
        <v>12</v>
      </c>
      <c r="B2586" s="2" t="str">
        <f>HYPERLINK("http://m.12365auto.com/bbs/postcontent.aspx?tID=195094","受疫情影响，没人去4S店买车，这时候去买车能拿到最大优惠吗")</f>
        <v>受疫情影响，没人去4S店买车，这时候去买车能拿到最大优惠吗</v>
      </c>
      <c r="C2586" s="2" t="s">
        <v>13</v>
      </c>
      <c r="D2586" s="2" t="s">
        <v>23</v>
      </c>
      <c r="E2586" s="2"/>
      <c r="F2586" s="2" t="str">
        <f>HYPERLINK("http://m.12365auto.com/bbs/postcontent.aspx?tID=195094","http://m.12365auto.com/bbs/postcontent.aspx?tID=195094")</f>
        <v>http://m.12365auto.com/bbs/postcontent.aspx?tID=195094</v>
      </c>
      <c r="G2586" s="2"/>
      <c r="H2586" s="2" t="s">
        <v>3742</v>
      </c>
      <c r="I2586" s="2" t="s">
        <v>15</v>
      </c>
      <c r="J2586" s="2" t="s">
        <v>1960</v>
      </c>
      <c r="K2586" s="2" t="s">
        <v>3732</v>
      </c>
      <c r="L2586" s="2">
        <f t="shared" si="40"/>
        <v>150</v>
      </c>
    </row>
    <row r="2587" spans="1:12" ht="25" customHeight="1">
      <c r="A2587" s="2" t="s">
        <v>12</v>
      </c>
      <c r="B2587" s="2" t="str">
        <f>HYPERLINK("http://m.12365auto.com/bbs/postcontent.aspx?tID=195092","轿车保值率新鲜出炉！日系再次屠榜")</f>
        <v>轿车保值率新鲜出炉！日系再次屠榜</v>
      </c>
      <c r="C2587" s="2" t="s">
        <v>13</v>
      </c>
      <c r="D2587" s="2" t="s">
        <v>23</v>
      </c>
      <c r="E2587" s="2"/>
      <c r="F2587" s="2" t="str">
        <f>HYPERLINK("http://m.12365auto.com/bbs/postcontent.aspx?tID=195092","http://m.12365auto.com/bbs/postcontent.aspx?tID=195092")</f>
        <v>http://m.12365auto.com/bbs/postcontent.aspx?tID=195092</v>
      </c>
      <c r="G2587" s="2"/>
      <c r="H2587" s="2" t="s">
        <v>3743</v>
      </c>
      <c r="I2587" s="2" t="s">
        <v>15</v>
      </c>
      <c r="J2587" s="2" t="s">
        <v>1960</v>
      </c>
      <c r="K2587" s="2" t="s">
        <v>3732</v>
      </c>
      <c r="L2587" s="2">
        <f t="shared" si="40"/>
        <v>150</v>
      </c>
    </row>
    <row r="2588" spans="1:12" ht="25" customHeight="1">
      <c r="A2588" s="2" t="s">
        <v>12</v>
      </c>
      <c r="B2588" s="2" t="str">
        <f>HYPERLINK("http://bbs.12365auto.com/postcontent.aspx?tID=195089","帕萨特申请参加中汽研碰撞测试，再撞一回")</f>
        <v>帕萨特申请参加中汽研碰撞测试，再撞一回</v>
      </c>
      <c r="C2588" s="2" t="s">
        <v>13</v>
      </c>
      <c r="D2588" s="2" t="s">
        <v>12</v>
      </c>
      <c r="E2588" s="2" t="s">
        <v>28</v>
      </c>
      <c r="F2588" s="2" t="str">
        <f>HYPERLINK("http://bbs.12365auto.com/postcontent.aspx?tID=195089","http://bbs.12365auto.com/postcontent.aspx?tID=195089")</f>
        <v>http://bbs.12365auto.com/postcontent.aspx?tID=195089</v>
      </c>
      <c r="G2588" s="2"/>
      <c r="H2588" s="2" t="s">
        <v>3744</v>
      </c>
      <c r="I2588" s="2" t="s">
        <v>15</v>
      </c>
      <c r="J2588" s="2" t="s">
        <v>1960</v>
      </c>
      <c r="K2588" s="2" t="s">
        <v>3745</v>
      </c>
      <c r="L2588" s="2">
        <f t="shared" si="40"/>
        <v>150</v>
      </c>
    </row>
    <row r="2589" spans="1:12" ht="25" customHeight="1">
      <c r="A2589" s="2" t="s">
        <v>12</v>
      </c>
      <c r="B2589" s="2" t="str">
        <f>HYPERLINK("http://bbs.12365auto.com/postcontent.aspx?tId=195089","帕萨特申请参加中汽研碰撞测试，再撞一回")</f>
        <v>帕萨特申请参加中汽研碰撞测试，再撞一回</v>
      </c>
      <c r="C2589" s="2" t="s">
        <v>13</v>
      </c>
      <c r="D2589" s="2" t="s">
        <v>12</v>
      </c>
      <c r="E2589" s="2" t="s">
        <v>27</v>
      </c>
      <c r="F2589" s="2" t="str">
        <f>HYPERLINK("http://bbs.12365auto.com/postcontent.aspx?tId=195089","http://bbs.12365auto.com/postcontent.aspx?tId=195089")</f>
        <v>http://bbs.12365auto.com/postcontent.aspx?tId=195089</v>
      </c>
      <c r="G2589" s="2"/>
      <c r="H2589" s="2" t="s">
        <v>3746</v>
      </c>
      <c r="I2589" s="2" t="s">
        <v>15</v>
      </c>
      <c r="J2589" s="2" t="s">
        <v>1960</v>
      </c>
      <c r="K2589" s="2" t="s">
        <v>3745</v>
      </c>
      <c r="L2589" s="2">
        <f t="shared" si="40"/>
        <v>150</v>
      </c>
    </row>
    <row r="2590" spans="1:12" ht="25" customHeight="1">
      <c r="A2590" s="2" t="s">
        <v>12</v>
      </c>
      <c r="B2590" s="2" t="str">
        <f>HYPERLINK("http://m.12365auto.com/bbs/postcontent.aspx?tID=195089","帕萨特申请参加中汽研碰撞测试，再撞一回")</f>
        <v>帕萨特申请参加中汽研碰撞测试，再撞一回</v>
      </c>
      <c r="C2590" s="2" t="s">
        <v>13</v>
      </c>
      <c r="D2590" s="2" t="s">
        <v>23</v>
      </c>
      <c r="E2590" s="2"/>
      <c r="F2590" s="2" t="str">
        <f>HYPERLINK("http://m.12365auto.com/bbs/postcontent.aspx?tID=195089","http://m.12365auto.com/bbs/postcontent.aspx?tID=195089")</f>
        <v>http://m.12365auto.com/bbs/postcontent.aspx?tID=195089</v>
      </c>
      <c r="G2590" s="2"/>
      <c r="H2590" s="2" t="s">
        <v>3746</v>
      </c>
      <c r="I2590" s="2" t="s">
        <v>15</v>
      </c>
      <c r="J2590" s="2" t="s">
        <v>1960</v>
      </c>
      <c r="K2590" s="2" t="s">
        <v>3745</v>
      </c>
      <c r="L2590" s="2">
        <f t="shared" si="40"/>
        <v>150</v>
      </c>
    </row>
    <row r="2591" spans="1:12" ht="25" customHeight="1">
      <c r="A2591" s="2" t="s">
        <v>12</v>
      </c>
      <c r="B2591" s="2" t="str">
        <f>HYPERLINK("http://bbs.12365auto.com/postcontent.aspx?tID=195088","别克GL8 四座版来了，尺寸比埃尔法还大，这次真的是一家独大了")</f>
        <v>别克GL8 四座版来了，尺寸比埃尔法还大，这次真的是一家独大了</v>
      </c>
      <c r="C2591" s="2" t="s">
        <v>13</v>
      </c>
      <c r="D2591" s="2" t="s">
        <v>12</v>
      </c>
      <c r="E2591" s="2" t="s">
        <v>28</v>
      </c>
      <c r="F2591" s="2" t="str">
        <f>HYPERLINK("http://bbs.12365auto.com/postcontent.aspx?tID=195088","http://bbs.12365auto.com/postcontent.aspx?tID=195088")</f>
        <v>http://bbs.12365auto.com/postcontent.aspx?tID=195088</v>
      </c>
      <c r="G2591" s="2"/>
      <c r="H2591" s="2" t="s">
        <v>3747</v>
      </c>
      <c r="I2591" s="2" t="s">
        <v>15</v>
      </c>
      <c r="J2591" s="2" t="s">
        <v>1960</v>
      </c>
      <c r="K2591" s="2" t="s">
        <v>3748</v>
      </c>
      <c r="L2591" s="2">
        <f t="shared" si="40"/>
        <v>150</v>
      </c>
    </row>
    <row r="2592" spans="1:12" ht="25" customHeight="1">
      <c r="A2592" s="2" t="s">
        <v>12</v>
      </c>
      <c r="B2592" s="2" t="str">
        <f>HYPERLINK("http://bbs.12365auto.com/postcontent.aspx?tID=195087","国产的奥迪A7L，究竟要不要死等？")</f>
        <v>国产的奥迪A7L，究竟要不要死等？</v>
      </c>
      <c r="C2592" s="2" t="s">
        <v>13</v>
      </c>
      <c r="D2592" s="2" t="s">
        <v>12</v>
      </c>
      <c r="E2592" s="2" t="s">
        <v>28</v>
      </c>
      <c r="F2592" s="2" t="str">
        <f>HYPERLINK("http://bbs.12365auto.com/postcontent.aspx?tID=195087","http://bbs.12365auto.com/postcontent.aspx?tID=195087")</f>
        <v>http://bbs.12365auto.com/postcontent.aspx?tID=195087</v>
      </c>
      <c r="G2592" s="2"/>
      <c r="H2592" s="2" t="s">
        <v>3749</v>
      </c>
      <c r="I2592" s="2" t="s">
        <v>15</v>
      </c>
      <c r="J2592" s="2" t="s">
        <v>1960</v>
      </c>
      <c r="K2592" s="2" t="s">
        <v>3748</v>
      </c>
      <c r="L2592" s="2">
        <f t="shared" si="40"/>
        <v>150</v>
      </c>
    </row>
    <row r="2593" spans="1:12" ht="25" customHeight="1">
      <c r="A2593" s="2" t="s">
        <v>12</v>
      </c>
      <c r="B2593" s="2" t="str">
        <f>HYPERLINK("http://bbs.12365auto.com/postcontent.aspx?tId=195088","别克GL8 四座版来了，尺寸比埃尔法还大，这次真的是一家独大了")</f>
        <v>别克GL8 四座版来了，尺寸比埃尔法还大，这次真的是一家独大了</v>
      </c>
      <c r="C2593" s="2" t="s">
        <v>13</v>
      </c>
      <c r="D2593" s="2" t="s">
        <v>12</v>
      </c>
      <c r="E2593" s="2" t="s">
        <v>27</v>
      </c>
      <c r="F2593" s="2" t="str">
        <f>HYPERLINK("http://bbs.12365auto.com/postcontent.aspx?tId=195088","http://bbs.12365auto.com/postcontent.aspx?tId=195088")</f>
        <v>http://bbs.12365auto.com/postcontent.aspx?tId=195088</v>
      </c>
      <c r="G2593" s="2"/>
      <c r="H2593" s="2" t="s">
        <v>3750</v>
      </c>
      <c r="I2593" s="2" t="s">
        <v>15</v>
      </c>
      <c r="J2593" s="2" t="s">
        <v>1960</v>
      </c>
      <c r="K2593" s="2" t="s">
        <v>3748</v>
      </c>
      <c r="L2593" s="2">
        <f t="shared" si="40"/>
        <v>150</v>
      </c>
    </row>
    <row r="2594" spans="1:12" ht="25" customHeight="1">
      <c r="A2594" s="2" t="s">
        <v>12</v>
      </c>
      <c r="B2594" s="2" t="str">
        <f>HYPERLINK("http://bbs.12365auto.com/postcontent.aspx?tId=195087","国产的奥迪A7L，究竟要不要死等？")</f>
        <v>国产的奥迪A7L，究竟要不要死等？</v>
      </c>
      <c r="C2594" s="2" t="s">
        <v>13</v>
      </c>
      <c r="D2594" s="2" t="s">
        <v>12</v>
      </c>
      <c r="E2594" s="2" t="s">
        <v>27</v>
      </c>
      <c r="F2594" s="2" t="str">
        <f>HYPERLINK("http://bbs.12365auto.com/postcontent.aspx?tId=195087","http://bbs.12365auto.com/postcontent.aspx?tId=195087")</f>
        <v>http://bbs.12365auto.com/postcontent.aspx?tId=195087</v>
      </c>
      <c r="G2594" s="2"/>
      <c r="H2594" s="2" t="s">
        <v>3489</v>
      </c>
      <c r="I2594" s="2" t="s">
        <v>15</v>
      </c>
      <c r="J2594" s="2" t="s">
        <v>1960</v>
      </c>
      <c r="K2594" s="2" t="s">
        <v>3748</v>
      </c>
      <c r="L2594" s="2">
        <f t="shared" si="40"/>
        <v>150</v>
      </c>
    </row>
    <row r="2595" spans="1:12" ht="25" customHeight="1">
      <c r="A2595" s="2" t="s">
        <v>12</v>
      </c>
      <c r="B2595" s="2" t="str">
        <f>HYPERLINK("http://m.12365auto.com/xcdg/20200225/419442.shtml","20万买豪华品牌SUV 奥迪新款Q2L哪款最推荐")</f>
        <v>20万买豪华品牌SUV 奥迪新款Q2L哪款最推荐</v>
      </c>
      <c r="C2595" s="2" t="s">
        <v>13</v>
      </c>
      <c r="D2595" s="2" t="s">
        <v>12</v>
      </c>
      <c r="E2595" s="2"/>
      <c r="F2595" s="2" t="str">
        <f>HYPERLINK("http://m.12365auto.com/xcdg/20200225/419442.shtml","http://m.12365auto.com/xcdg/20200225/419442.shtml")</f>
        <v>http://m.12365auto.com/xcdg/20200225/419442.shtml</v>
      </c>
      <c r="G2595" s="2"/>
      <c r="H2595" s="2" t="s">
        <v>3751</v>
      </c>
      <c r="I2595" s="2" t="s">
        <v>19</v>
      </c>
      <c r="J2595" s="2" t="s">
        <v>1257</v>
      </c>
      <c r="K2595" s="2" t="s">
        <v>3748</v>
      </c>
      <c r="L2595" s="2">
        <f t="shared" si="40"/>
        <v>150</v>
      </c>
    </row>
    <row r="2596" spans="1:12" ht="25" customHeight="1">
      <c r="A2596" s="2" t="s">
        <v>12</v>
      </c>
      <c r="B2596" s="2" t="str">
        <f>HYPERLINK("http://m.12365auto.com/bbs/postcontent.aspx?tID=195088","别克GL8 四座版来了，尺寸比埃尔法还大，这次真的是一家独大了")</f>
        <v>别克GL8 四座版来了，尺寸比埃尔法还大，这次真的是一家独大了</v>
      </c>
      <c r="C2596" s="2" t="s">
        <v>13</v>
      </c>
      <c r="D2596" s="2" t="s">
        <v>23</v>
      </c>
      <c r="E2596" s="2"/>
      <c r="F2596" s="2" t="str">
        <f>HYPERLINK("http://m.12365auto.com/bbs/postcontent.aspx?tID=195088","http://m.12365auto.com/bbs/postcontent.aspx?tID=195088")</f>
        <v>http://m.12365auto.com/bbs/postcontent.aspx?tID=195088</v>
      </c>
      <c r="G2596" s="2"/>
      <c r="H2596" s="2" t="s">
        <v>3750</v>
      </c>
      <c r="I2596" s="2" t="s">
        <v>15</v>
      </c>
      <c r="J2596" s="2" t="s">
        <v>1960</v>
      </c>
      <c r="K2596" s="2" t="s">
        <v>3748</v>
      </c>
      <c r="L2596" s="2">
        <f t="shared" si="40"/>
        <v>150</v>
      </c>
    </row>
    <row r="2597" spans="1:12" ht="25" customHeight="1">
      <c r="A2597" s="2" t="s">
        <v>12</v>
      </c>
      <c r="B2597" s="2" t="str">
        <f>HYPERLINK("http://m.12365auto.com/bbs/postcontent.aspx?tID=195087","国产的奥迪A7L，究竟要不要死等？")</f>
        <v>国产的奥迪A7L，究竟要不要死等？</v>
      </c>
      <c r="C2597" s="2" t="s">
        <v>13</v>
      </c>
      <c r="D2597" s="2" t="s">
        <v>23</v>
      </c>
      <c r="E2597" s="2"/>
      <c r="F2597" s="2" t="str">
        <f>HYPERLINK("http://m.12365auto.com/bbs/postcontent.aspx?tID=195087","http://m.12365auto.com/bbs/postcontent.aspx?tID=195087")</f>
        <v>http://m.12365auto.com/bbs/postcontent.aspx?tID=195087</v>
      </c>
      <c r="G2597" s="2"/>
      <c r="H2597" s="2" t="s">
        <v>3489</v>
      </c>
      <c r="I2597" s="2" t="s">
        <v>15</v>
      </c>
      <c r="J2597" s="2" t="s">
        <v>1960</v>
      </c>
      <c r="K2597" s="2" t="s">
        <v>3748</v>
      </c>
      <c r="L2597" s="2">
        <f t="shared" si="40"/>
        <v>150</v>
      </c>
    </row>
    <row r="2598" spans="1:12" ht="25" customHeight="1">
      <c r="A2598" s="2" t="s">
        <v>12</v>
      </c>
      <c r="B2598" s="2" t="str">
        <f>HYPERLINK("http://bbs.12365auto.com/postcontent.aspx?tId=195086","情怀可以当饭吃 三款高品质旅行车推荐")</f>
        <v>情怀可以当饭吃 三款高品质旅行车推荐</v>
      </c>
      <c r="C2598" s="2" t="s">
        <v>13</v>
      </c>
      <c r="D2598" s="2" t="s">
        <v>12</v>
      </c>
      <c r="E2598" s="2" t="s">
        <v>210</v>
      </c>
      <c r="F2598" s="2" t="str">
        <f>HYPERLINK("http://bbs.12365auto.com/postcontent.aspx?tId=195086","http://bbs.12365auto.com/postcontent.aspx?tId=195086")</f>
        <v>http://bbs.12365auto.com/postcontent.aspx?tId=195086</v>
      </c>
      <c r="G2598" s="2"/>
      <c r="H2598" s="2" t="s">
        <v>3752</v>
      </c>
      <c r="I2598" s="2" t="s">
        <v>15</v>
      </c>
      <c r="J2598" s="2" t="s">
        <v>3718</v>
      </c>
      <c r="K2598" s="2" t="s">
        <v>3753</v>
      </c>
      <c r="L2598" s="2">
        <f t="shared" si="40"/>
        <v>150</v>
      </c>
    </row>
    <row r="2599" spans="1:12" ht="25" customHeight="1">
      <c r="A2599" s="2" t="s">
        <v>12</v>
      </c>
      <c r="B2599" s="2" t="str">
        <f>HYPERLINK("http://bbs.12365auto.com/postcontent.aspx?tID=195083","质量排名倒数，这八个品牌不推荐买")</f>
        <v>质量排名倒数，这八个品牌不推荐买</v>
      </c>
      <c r="C2599" s="2" t="s">
        <v>13</v>
      </c>
      <c r="D2599" s="2" t="s">
        <v>12</v>
      </c>
      <c r="E2599" s="2" t="s">
        <v>28</v>
      </c>
      <c r="F2599" s="2" t="str">
        <f>HYPERLINK("http://bbs.12365auto.com/postcontent.aspx?tID=195083","http://bbs.12365auto.com/postcontent.aspx?tID=195083")</f>
        <v>http://bbs.12365auto.com/postcontent.aspx?tID=195083</v>
      </c>
      <c r="G2599" s="2"/>
      <c r="H2599" s="2" t="s">
        <v>3754</v>
      </c>
      <c r="I2599" s="2" t="s">
        <v>15</v>
      </c>
      <c r="J2599" s="2" t="s">
        <v>1960</v>
      </c>
      <c r="K2599" s="2" t="s">
        <v>3753</v>
      </c>
      <c r="L2599" s="2">
        <f t="shared" si="40"/>
        <v>150</v>
      </c>
    </row>
    <row r="2600" spans="1:12" ht="25" customHeight="1">
      <c r="A2600" s="2" t="s">
        <v>12</v>
      </c>
      <c r="B2600" s="2" t="str">
        <f>HYPERLINK("http://bbs.12365auto.com/postcontent.aspx?tId=195084","2020年 能撼动车坛的 有这些车")</f>
        <v>2020年 能撼动车坛的 有这些车</v>
      </c>
      <c r="C2600" s="2" t="s">
        <v>13</v>
      </c>
      <c r="D2600" s="2" t="s">
        <v>12</v>
      </c>
      <c r="E2600" s="2" t="s">
        <v>210</v>
      </c>
      <c r="F2600" s="2" t="str">
        <f>HYPERLINK("http://bbs.12365auto.com/postcontent.aspx?tId=195084","http://bbs.12365auto.com/postcontent.aspx?tId=195084")</f>
        <v>http://bbs.12365auto.com/postcontent.aspx?tId=195084</v>
      </c>
      <c r="G2600" s="2"/>
      <c r="H2600" s="2" t="s">
        <v>3755</v>
      </c>
      <c r="I2600" s="2" t="s">
        <v>15</v>
      </c>
      <c r="J2600" s="2" t="s">
        <v>3718</v>
      </c>
      <c r="K2600" s="2" t="s">
        <v>3753</v>
      </c>
      <c r="L2600" s="2">
        <f t="shared" si="40"/>
        <v>150</v>
      </c>
    </row>
    <row r="2601" spans="1:12" ht="25" customHeight="1">
      <c r="A2601" s="2" t="s">
        <v>12</v>
      </c>
      <c r="B2601" s="2" t="str">
        <f>HYPERLINK("http://bbs.12365auto.com/postcontent.aspx?tID=195084","2020年 能撼动车坛的 有这些车")</f>
        <v>2020年 能撼动车坛的 有这些车</v>
      </c>
      <c r="C2601" s="2" t="s">
        <v>13</v>
      </c>
      <c r="D2601" s="2" t="s">
        <v>12</v>
      </c>
      <c r="E2601" s="2" t="s">
        <v>214</v>
      </c>
      <c r="F2601" s="2" t="str">
        <f>HYPERLINK("http://bbs.12365auto.com/postcontent.aspx?tID=195084","http://bbs.12365auto.com/postcontent.aspx?tID=195084")</f>
        <v>http://bbs.12365auto.com/postcontent.aspx?tID=195084</v>
      </c>
      <c r="G2601" s="2"/>
      <c r="H2601" s="2" t="s">
        <v>3756</v>
      </c>
      <c r="I2601" s="2" t="s">
        <v>15</v>
      </c>
      <c r="J2601" s="2" t="s">
        <v>3718</v>
      </c>
      <c r="K2601" s="2" t="s">
        <v>3753</v>
      </c>
      <c r="L2601" s="2">
        <f t="shared" si="40"/>
        <v>150</v>
      </c>
    </row>
    <row r="2602" spans="1:12" ht="25" customHeight="1">
      <c r="A2602" s="2" t="s">
        <v>12</v>
      </c>
      <c r="B2602" s="2" t="str">
        <f>HYPERLINK("http://bbs.12365auto.com/postcontent.aspx?tID=195085","未来一年左右，特别值得期待的三款新车，可以让你现在不买车")</f>
        <v>未来一年左右，特别值得期待的三款新车，可以让你现在不买车</v>
      </c>
      <c r="C2602" s="2" t="s">
        <v>13</v>
      </c>
      <c r="D2602" s="2" t="s">
        <v>12</v>
      </c>
      <c r="E2602" s="2" t="s">
        <v>28</v>
      </c>
      <c r="F2602" s="2" t="str">
        <f>HYPERLINK("http://bbs.12365auto.com/postcontent.aspx?tID=195085","http://bbs.12365auto.com/postcontent.aspx?tID=195085")</f>
        <v>http://bbs.12365auto.com/postcontent.aspx?tID=195085</v>
      </c>
      <c r="G2602" s="2"/>
      <c r="H2602" s="2" t="s">
        <v>3757</v>
      </c>
      <c r="I2602" s="2" t="s">
        <v>15</v>
      </c>
      <c r="J2602" s="2" t="s">
        <v>1960</v>
      </c>
      <c r="K2602" s="2" t="s">
        <v>3753</v>
      </c>
      <c r="L2602" s="2">
        <f t="shared" si="40"/>
        <v>150</v>
      </c>
    </row>
    <row r="2603" spans="1:12" ht="25" customHeight="1">
      <c r="A2603" s="2" t="s">
        <v>12</v>
      </c>
      <c r="B2603" s="2" t="str">
        <f>HYPERLINK("http://bbs.12365auto.com/postcontent.aspx?tID=195086","情怀可以当饭吃 三款高品质旅行车推荐")</f>
        <v>情怀可以当饭吃 三款高品质旅行车推荐</v>
      </c>
      <c r="C2603" s="2" t="s">
        <v>13</v>
      </c>
      <c r="D2603" s="2" t="s">
        <v>12</v>
      </c>
      <c r="E2603" s="2" t="s">
        <v>214</v>
      </c>
      <c r="F2603" s="2" t="str">
        <f>HYPERLINK("http://bbs.12365auto.com/postcontent.aspx?tID=195086","http://bbs.12365auto.com/postcontent.aspx?tID=195086")</f>
        <v>http://bbs.12365auto.com/postcontent.aspx?tID=195086</v>
      </c>
      <c r="G2603" s="2"/>
      <c r="H2603" s="2" t="s">
        <v>3758</v>
      </c>
      <c r="I2603" s="2" t="s">
        <v>15</v>
      </c>
      <c r="J2603" s="2" t="s">
        <v>3718</v>
      </c>
      <c r="K2603" s="2" t="s">
        <v>3753</v>
      </c>
      <c r="L2603" s="2">
        <f t="shared" si="40"/>
        <v>150</v>
      </c>
    </row>
    <row r="2604" spans="1:12" ht="25" customHeight="1">
      <c r="A2604" s="2" t="s">
        <v>12</v>
      </c>
      <c r="B2604" s="2" t="str">
        <f>HYPERLINK("http://bbs.12365auto.com/postcontent.aspx?tId=195085","未来一年左右，特别值得期待的三款新车，可以让你现在不买车")</f>
        <v>未来一年左右，特别值得期待的三款新车，可以让你现在不买车</v>
      </c>
      <c r="C2604" s="2" t="s">
        <v>13</v>
      </c>
      <c r="D2604" s="2" t="s">
        <v>12</v>
      </c>
      <c r="E2604" s="2" t="s">
        <v>27</v>
      </c>
      <c r="F2604" s="2" t="str">
        <f>HYPERLINK("http://bbs.12365auto.com/postcontent.aspx?tId=195085","http://bbs.12365auto.com/postcontent.aspx?tId=195085")</f>
        <v>http://bbs.12365auto.com/postcontent.aspx?tId=195085</v>
      </c>
      <c r="G2604" s="2"/>
      <c r="H2604" s="2" t="s">
        <v>3759</v>
      </c>
      <c r="I2604" s="2" t="s">
        <v>15</v>
      </c>
      <c r="J2604" s="2" t="s">
        <v>1960</v>
      </c>
      <c r="K2604" s="2" t="s">
        <v>3753</v>
      </c>
      <c r="L2604" s="2">
        <f t="shared" si="40"/>
        <v>150</v>
      </c>
    </row>
    <row r="2605" spans="1:12" ht="25" customHeight="1">
      <c r="A2605" s="2" t="s">
        <v>12</v>
      </c>
      <c r="B2605" s="2" t="str">
        <f>HYPERLINK("http://bbs.12365auto.com/postcontent.aspx?tId=195083","质量排名倒数，这八个品牌不推荐买")</f>
        <v>质量排名倒数，这八个品牌不推荐买</v>
      </c>
      <c r="C2605" s="2" t="s">
        <v>13</v>
      </c>
      <c r="D2605" s="2" t="s">
        <v>12</v>
      </c>
      <c r="E2605" s="2" t="s">
        <v>27</v>
      </c>
      <c r="F2605" s="2" t="str">
        <f>HYPERLINK("http://bbs.12365auto.com/postcontent.aspx?tId=195083","http://bbs.12365auto.com/postcontent.aspx?tId=195083")</f>
        <v>http://bbs.12365auto.com/postcontent.aspx?tId=195083</v>
      </c>
      <c r="G2605" s="2"/>
      <c r="H2605" s="2" t="s">
        <v>3760</v>
      </c>
      <c r="I2605" s="2" t="s">
        <v>15</v>
      </c>
      <c r="J2605" s="2" t="s">
        <v>1960</v>
      </c>
      <c r="K2605" s="2" t="s">
        <v>3753</v>
      </c>
      <c r="L2605" s="2">
        <f t="shared" si="40"/>
        <v>150</v>
      </c>
    </row>
    <row r="2606" spans="1:12" ht="25" customHeight="1">
      <c r="A2606" s="2" t="s">
        <v>12</v>
      </c>
      <c r="B2606" s="2" t="str">
        <f>HYPERLINK("http://bbs.12365auto.com/postcontent.aspx?tID=195082","除了BBA 30多万买啥豪车？")</f>
        <v>除了BBA 30多万买啥豪车？</v>
      </c>
      <c r="C2606" s="2" t="s">
        <v>13</v>
      </c>
      <c r="D2606" s="2" t="s">
        <v>12</v>
      </c>
      <c r="E2606" s="2" t="s">
        <v>214</v>
      </c>
      <c r="F2606" s="2" t="str">
        <f>HYPERLINK("http://bbs.12365auto.com/postcontent.aspx?tID=195082","http://bbs.12365auto.com/postcontent.aspx?tID=195082")</f>
        <v>http://bbs.12365auto.com/postcontent.aspx?tID=195082</v>
      </c>
      <c r="G2606" s="2"/>
      <c r="H2606" s="2" t="s">
        <v>3761</v>
      </c>
      <c r="I2606" s="2" t="s">
        <v>15</v>
      </c>
      <c r="J2606" s="2" t="s">
        <v>3718</v>
      </c>
      <c r="K2606" s="2" t="s">
        <v>3762</v>
      </c>
      <c r="L2606" s="2">
        <f t="shared" si="40"/>
        <v>150</v>
      </c>
    </row>
    <row r="2607" spans="1:12" ht="25" customHeight="1">
      <c r="A2607" s="2" t="s">
        <v>12</v>
      </c>
      <c r="B2607" s="2" t="str">
        <f>HYPERLINK("http://bbs.12365auto.com/postcontent.aspx?tId=195081","这几款SUV不加价已偷笑 早买早享受")</f>
        <v>这几款SUV不加价已偷笑 早买早享受</v>
      </c>
      <c r="C2607" s="2" t="s">
        <v>13</v>
      </c>
      <c r="D2607" s="2" t="s">
        <v>12</v>
      </c>
      <c r="E2607" s="2" t="s">
        <v>210</v>
      </c>
      <c r="F2607" s="2" t="str">
        <f>HYPERLINK("http://bbs.12365auto.com/postcontent.aspx?tId=195081","http://bbs.12365auto.com/postcontent.aspx?tId=195081")</f>
        <v>http://bbs.12365auto.com/postcontent.aspx?tId=195081</v>
      </c>
      <c r="G2607" s="2"/>
      <c r="H2607" s="2" t="s">
        <v>3763</v>
      </c>
      <c r="I2607" s="2" t="s">
        <v>15</v>
      </c>
      <c r="J2607" s="2" t="s">
        <v>3718</v>
      </c>
      <c r="K2607" s="2" t="s">
        <v>3762</v>
      </c>
      <c r="L2607" s="2">
        <f t="shared" si="40"/>
        <v>150</v>
      </c>
    </row>
    <row r="2608" spans="1:12" ht="25" customHeight="1">
      <c r="A2608" s="2" t="s">
        <v>12</v>
      </c>
      <c r="B2608" s="2" t="str">
        <f>HYPERLINK("http://bbs.12365auto.com/postcontent.aspx?tId=195082","除了BBA 30多万买啥豪车？")</f>
        <v>除了BBA 30多万买啥豪车？</v>
      </c>
      <c r="C2608" s="2" t="s">
        <v>13</v>
      </c>
      <c r="D2608" s="2" t="s">
        <v>12</v>
      </c>
      <c r="E2608" s="2" t="s">
        <v>210</v>
      </c>
      <c r="F2608" s="2" t="str">
        <f>HYPERLINK("http://bbs.12365auto.com/postcontent.aspx?tId=195082","http://bbs.12365auto.com/postcontent.aspx?tId=195082")</f>
        <v>http://bbs.12365auto.com/postcontent.aspx?tId=195082</v>
      </c>
      <c r="G2608" s="2"/>
      <c r="H2608" s="2" t="s">
        <v>3764</v>
      </c>
      <c r="I2608" s="2" t="s">
        <v>15</v>
      </c>
      <c r="J2608" s="2" t="s">
        <v>3718</v>
      </c>
      <c r="K2608" s="2" t="s">
        <v>3762</v>
      </c>
      <c r="L2608" s="2">
        <f t="shared" si="40"/>
        <v>150</v>
      </c>
    </row>
    <row r="2609" spans="1:12" ht="25" customHeight="1">
      <c r="A2609" s="2" t="s">
        <v>12</v>
      </c>
      <c r="B2609" s="2" t="str">
        <f>HYPERLINK("http://bbs.12365auto.com/postcontent.aspx?tID=195081","这几款SUV不加价已偷笑 早买早享受")</f>
        <v>这几款SUV不加价已偷笑 早买早享受</v>
      </c>
      <c r="C2609" s="2" t="s">
        <v>13</v>
      </c>
      <c r="D2609" s="2" t="s">
        <v>12</v>
      </c>
      <c r="E2609" s="2" t="s">
        <v>214</v>
      </c>
      <c r="F2609" s="2" t="str">
        <f>HYPERLINK("http://bbs.12365auto.com/postcontent.aspx?tID=195081","http://bbs.12365auto.com/postcontent.aspx?tID=195081")</f>
        <v>http://bbs.12365auto.com/postcontent.aspx?tID=195081</v>
      </c>
      <c r="G2609" s="2"/>
      <c r="H2609" s="2" t="s">
        <v>3765</v>
      </c>
      <c r="I2609" s="2" t="s">
        <v>15</v>
      </c>
      <c r="J2609" s="2" t="s">
        <v>3718</v>
      </c>
      <c r="K2609" s="2" t="s">
        <v>3762</v>
      </c>
      <c r="L2609" s="2">
        <f t="shared" si="40"/>
        <v>150</v>
      </c>
    </row>
    <row r="2610" spans="1:12" ht="25" customHeight="1">
      <c r="A2610" s="2" t="s">
        <v>12</v>
      </c>
      <c r="B2610" s="2" t="str">
        <f>HYPERLINK("http://m.12365auto.com/xcdg/20200225/419441.shtml","各种翻毛皮 碳纤饰板 新思域Type R内饰解读")</f>
        <v>各种翻毛皮 碳纤饰板 新思域Type R内饰解读</v>
      </c>
      <c r="C2610" s="2" t="s">
        <v>13</v>
      </c>
      <c r="D2610" s="2" t="s">
        <v>12</v>
      </c>
      <c r="E2610" s="2"/>
      <c r="F2610" s="2" t="str">
        <f>HYPERLINK("http://m.12365auto.com/xcdg/20200225/419441.shtml","http://m.12365auto.com/xcdg/20200225/419441.shtml")</f>
        <v>http://m.12365auto.com/xcdg/20200225/419441.shtml</v>
      </c>
      <c r="G2610" s="2"/>
      <c r="H2610" s="2" t="s">
        <v>3766</v>
      </c>
      <c r="I2610" s="2" t="s">
        <v>19</v>
      </c>
      <c r="J2610" s="2" t="s">
        <v>1247</v>
      </c>
      <c r="K2610" s="2" t="s">
        <v>3762</v>
      </c>
      <c r="L2610" s="2">
        <f t="shared" si="40"/>
        <v>150</v>
      </c>
    </row>
    <row r="2611" spans="1:12" ht="25" customHeight="1">
      <c r="A2611" s="2" t="s">
        <v>12</v>
      </c>
      <c r="B2611" s="2" t="str">
        <f>HYPERLINK("http://www.12365auto.com/zlts/20200225/448588.shtml","众泰T700 A柱饰板自然开裂希望厂家处理")</f>
        <v>众泰T700 A柱饰板自然开裂希望厂家处理</v>
      </c>
      <c r="C2611" s="2" t="s">
        <v>13</v>
      </c>
      <c r="D2611" s="2" t="s">
        <v>12</v>
      </c>
      <c r="E2611" s="2"/>
      <c r="F2611" s="2" t="str">
        <f>HYPERLINK("http://www.12365auto.com/zlts/20200225/448588.shtml","http://www.12365auto.com/zlts/20200225/448588.shtml")</f>
        <v>http://www.12365auto.com/zlts/20200225/448588.shtml</v>
      </c>
      <c r="G2611" s="2"/>
      <c r="H2611" s="3" t="s">
        <v>3767</v>
      </c>
      <c r="I2611" s="2" t="s">
        <v>15</v>
      </c>
      <c r="J2611" s="2" t="s">
        <v>12</v>
      </c>
      <c r="K2611" s="2" t="s">
        <v>3768</v>
      </c>
      <c r="L2611" s="2">
        <f t="shared" si="40"/>
        <v>109</v>
      </c>
    </row>
    <row r="2612" spans="1:12" ht="25" customHeight="1">
      <c r="A2612" s="2" t="s">
        <v>12</v>
      </c>
      <c r="B2612" s="2" t="str">
        <f>HYPERLINK("http://m.12365auto.com/xcdg/20200225/419439.shtml","手持10万元预算 终于可以买合资自动挡SUV了")</f>
        <v>手持10万元预算 终于可以买合资自动挡SUV了</v>
      </c>
      <c r="C2612" s="2" t="s">
        <v>13</v>
      </c>
      <c r="D2612" s="2" t="s">
        <v>12</v>
      </c>
      <c r="E2612" s="2"/>
      <c r="F2612" s="2" t="str">
        <f>HYPERLINK("http://m.12365auto.com/xcdg/20200225/419439.shtml","http://m.12365auto.com/xcdg/20200225/419439.shtml")</f>
        <v>http://m.12365auto.com/xcdg/20200225/419439.shtml</v>
      </c>
      <c r="G2612" s="2"/>
      <c r="H2612" s="2" t="s">
        <v>3769</v>
      </c>
      <c r="I2612" s="2" t="s">
        <v>19</v>
      </c>
      <c r="J2612" s="2" t="s">
        <v>1247</v>
      </c>
      <c r="K2612" s="2" t="s">
        <v>3770</v>
      </c>
      <c r="L2612" s="2">
        <f t="shared" si="40"/>
        <v>150</v>
      </c>
    </row>
    <row r="2613" spans="1:12" ht="25" customHeight="1">
      <c r="A2613" s="2" t="s">
        <v>12</v>
      </c>
      <c r="B2613" s="2" t="str">
        <f>HYPERLINK("http://bbs.12365auto.com/postcontent.aspx?tId=195078","自驾选择这几款七座SUV，坐满一家人")</f>
        <v>自驾选择这几款七座SUV，坐满一家人</v>
      </c>
      <c r="C2613" s="2" t="s">
        <v>13</v>
      </c>
      <c r="D2613" s="2" t="s">
        <v>12</v>
      </c>
      <c r="E2613" s="2" t="s">
        <v>210</v>
      </c>
      <c r="F2613" s="2" t="str">
        <f>HYPERLINK("http://bbs.12365auto.com/postcontent.aspx?tId=195078","http://bbs.12365auto.com/postcontent.aspx?tId=195078")</f>
        <v>http://bbs.12365auto.com/postcontent.aspx?tId=195078</v>
      </c>
      <c r="G2613" s="2"/>
      <c r="H2613" s="2" t="s">
        <v>3771</v>
      </c>
      <c r="I2613" s="2" t="s">
        <v>15</v>
      </c>
      <c r="J2613" s="2" t="s">
        <v>3718</v>
      </c>
      <c r="K2613" s="2" t="s">
        <v>3770</v>
      </c>
      <c r="L2613" s="2">
        <f t="shared" si="40"/>
        <v>150</v>
      </c>
    </row>
    <row r="2614" spans="1:12" ht="25" customHeight="1">
      <c r="A2614" s="2" t="s">
        <v>12</v>
      </c>
      <c r="B2614" s="2" t="str">
        <f>HYPERLINK("http://bbs.12365auto.com/postcontent.aspx?tId=195079","4年前花80万买的特斯拉，现在续航多少？能卖多少？听车主怎么说")</f>
        <v>4年前花80万买的特斯拉，现在续航多少？能卖多少？听车主怎么说</v>
      </c>
      <c r="C2614" s="2" t="s">
        <v>13</v>
      </c>
      <c r="D2614" s="2" t="s">
        <v>12</v>
      </c>
      <c r="E2614" s="2" t="s">
        <v>27</v>
      </c>
      <c r="F2614" s="2" t="str">
        <f>HYPERLINK("http://bbs.12365auto.com/postcontent.aspx?tId=195079","http://bbs.12365auto.com/postcontent.aspx?tId=195079")</f>
        <v>http://bbs.12365auto.com/postcontent.aspx?tId=195079</v>
      </c>
      <c r="G2614" s="2"/>
      <c r="H2614" s="2" t="s">
        <v>977</v>
      </c>
      <c r="I2614" s="2" t="s">
        <v>15</v>
      </c>
      <c r="J2614" s="2" t="s">
        <v>3772</v>
      </c>
      <c r="K2614" s="2" t="s">
        <v>3770</v>
      </c>
      <c r="L2614" s="2">
        <f t="shared" si="40"/>
        <v>150</v>
      </c>
    </row>
    <row r="2615" spans="1:12" ht="25" customHeight="1">
      <c r="A2615" s="2" t="s">
        <v>12</v>
      </c>
      <c r="B2615" s="2" t="str">
        <f>HYPERLINK("http://bbs.12365auto.com/postcontent.aspx?tID=195079","4年前花80万买的特斯拉，现在续航多少？能卖多少？听车主怎么说")</f>
        <v>4年前花80万买的特斯拉，现在续航多少？能卖多少？听车主怎么说</v>
      </c>
      <c r="C2615" s="2" t="s">
        <v>13</v>
      </c>
      <c r="D2615" s="2" t="s">
        <v>12</v>
      </c>
      <c r="E2615" s="2" t="s">
        <v>28</v>
      </c>
      <c r="F2615" s="2" t="str">
        <f>HYPERLINK("http://bbs.12365auto.com/postcontent.aspx?tID=195079","http://bbs.12365auto.com/postcontent.aspx?tID=195079")</f>
        <v>http://bbs.12365auto.com/postcontent.aspx?tID=195079</v>
      </c>
      <c r="G2615" s="2"/>
      <c r="H2615" s="2" t="s">
        <v>3773</v>
      </c>
      <c r="I2615" s="2" t="s">
        <v>15</v>
      </c>
      <c r="J2615" s="2" t="s">
        <v>3772</v>
      </c>
      <c r="K2615" s="2" t="s">
        <v>3770</v>
      </c>
      <c r="L2615" s="2">
        <f t="shared" si="40"/>
        <v>150</v>
      </c>
    </row>
    <row r="2616" spans="1:12" ht="25" customHeight="1">
      <c r="A2616" s="2" t="s">
        <v>12</v>
      </c>
      <c r="B2616" s="2" t="str">
        <f>HYPERLINK("http://bbs.12365auto.com/postcontent.aspx?tID=195078","自驾选择这几款七座SUV，坐满一家人")</f>
        <v>自驾选择这几款七座SUV，坐满一家人</v>
      </c>
      <c r="C2616" s="2" t="s">
        <v>13</v>
      </c>
      <c r="D2616" s="2" t="s">
        <v>12</v>
      </c>
      <c r="E2616" s="2" t="s">
        <v>214</v>
      </c>
      <c r="F2616" s="2" t="str">
        <f>HYPERLINK("http://bbs.12365auto.com/postcontent.aspx?tID=195078","http://bbs.12365auto.com/postcontent.aspx?tID=195078")</f>
        <v>http://bbs.12365auto.com/postcontent.aspx?tID=195078</v>
      </c>
      <c r="G2616" s="2"/>
      <c r="H2616" s="2" t="s">
        <v>3774</v>
      </c>
      <c r="I2616" s="2" t="s">
        <v>15</v>
      </c>
      <c r="J2616" s="2" t="s">
        <v>3718</v>
      </c>
      <c r="K2616" s="2" t="s">
        <v>3770</v>
      </c>
      <c r="L2616" s="2">
        <f t="shared" si="40"/>
        <v>150</v>
      </c>
    </row>
    <row r="2617" spans="1:12" ht="25" customHeight="1">
      <c r="A2617" s="2" t="s">
        <v>12</v>
      </c>
      <c r="B2617" s="2" t="str">
        <f>HYPERLINK("http://bbs.12365auto.com/postcontent.aspx?tID=195080","入门版就够用 新款A4L配置曝光 新增了不少配置")</f>
        <v>入门版就够用 新款A4L配置曝光 新增了不少配置</v>
      </c>
      <c r="C2617" s="2" t="s">
        <v>13</v>
      </c>
      <c r="D2617" s="2" t="s">
        <v>12</v>
      </c>
      <c r="E2617" s="2" t="s">
        <v>28</v>
      </c>
      <c r="F2617" s="2" t="str">
        <f>HYPERLINK("http://bbs.12365auto.com/postcontent.aspx?tID=195080","http://bbs.12365auto.com/postcontent.aspx?tID=195080")</f>
        <v>http://bbs.12365auto.com/postcontent.aspx?tID=195080</v>
      </c>
      <c r="G2617" s="2"/>
      <c r="H2617" s="2" t="s">
        <v>3775</v>
      </c>
      <c r="I2617" s="2" t="s">
        <v>15</v>
      </c>
      <c r="J2617" s="2" t="s">
        <v>3772</v>
      </c>
      <c r="K2617" s="2" t="s">
        <v>3770</v>
      </c>
      <c r="L2617" s="2">
        <f t="shared" si="40"/>
        <v>150</v>
      </c>
    </row>
    <row r="2618" spans="1:12" ht="25" customHeight="1">
      <c r="A2618" s="2" t="s">
        <v>12</v>
      </c>
      <c r="B2618" s="2" t="str">
        <f>HYPERLINK("http://m.12365auto.com/xcdg/20200225/419438.shtml","国产紧凑级轿车如何挑 这8款中选一辆准没错")</f>
        <v>国产紧凑级轿车如何挑 这8款中选一辆准没错</v>
      </c>
      <c r="C2618" s="2" t="s">
        <v>13</v>
      </c>
      <c r="D2618" s="2" t="s">
        <v>12</v>
      </c>
      <c r="E2618" s="2"/>
      <c r="F2618" s="2" t="str">
        <f>HYPERLINK("http://m.12365auto.com/xcdg/20200225/419438.shtml","http://m.12365auto.com/xcdg/20200225/419438.shtml")</f>
        <v>http://m.12365auto.com/xcdg/20200225/419438.shtml</v>
      </c>
      <c r="G2618" s="2"/>
      <c r="H2618" s="2" t="s">
        <v>3776</v>
      </c>
      <c r="I2618" s="2" t="s">
        <v>19</v>
      </c>
      <c r="J2618" s="2" t="s">
        <v>1257</v>
      </c>
      <c r="K2618" s="2" t="s">
        <v>3777</v>
      </c>
      <c r="L2618" s="2">
        <f t="shared" si="40"/>
        <v>150</v>
      </c>
    </row>
    <row r="2619" spans="1:12" ht="25" customHeight="1">
      <c r="A2619" s="2" t="s">
        <v>12</v>
      </c>
      <c r="B2619" s="2" t="str">
        <f>HYPERLINK("http://m.12365auto.com/bbs/postcontent.aspx?tID=195077&amp;i=1","家用 商务两不误 哪些6座车值得拥有")</f>
        <v>家用 商务两不误 哪些6座车值得拥有</v>
      </c>
      <c r="C2619" s="2" t="s">
        <v>13</v>
      </c>
      <c r="D2619" s="2" t="s">
        <v>23</v>
      </c>
      <c r="E2619" s="2"/>
      <c r="F2619" s="2" t="str">
        <f>HYPERLINK("http://m.12365auto.com/bbs/postcontent.aspx?tID=195077&amp;i=1","http://m.12365auto.com/bbs/postcontent.aspx?tID=195077&amp;i=1")</f>
        <v>http://m.12365auto.com/bbs/postcontent.aspx?tID=195077&amp;i=1</v>
      </c>
      <c r="G2619" s="2"/>
      <c r="H2619" s="2" t="s">
        <v>3778</v>
      </c>
      <c r="I2619" s="2" t="s">
        <v>15</v>
      </c>
      <c r="J2619" s="2" t="s">
        <v>3718</v>
      </c>
      <c r="K2619" s="2" t="s">
        <v>3779</v>
      </c>
      <c r="L2619" s="2">
        <f t="shared" si="40"/>
        <v>150</v>
      </c>
    </row>
    <row r="2620" spans="1:12" ht="25" customHeight="1">
      <c r="A2620" s="2" t="s">
        <v>12</v>
      </c>
      <c r="B2620" s="2" t="str">
        <f>HYPERLINK("http://bbs.12365auto.com/postcontent.aspx?tID=195077","家用 商务两不误 哪些6座车值得拥有")</f>
        <v>家用 商务两不误 哪些6座车值得拥有</v>
      </c>
      <c r="C2620" s="2" t="s">
        <v>13</v>
      </c>
      <c r="D2620" s="2" t="s">
        <v>12</v>
      </c>
      <c r="E2620" s="2" t="s">
        <v>214</v>
      </c>
      <c r="F2620" s="2" t="str">
        <f>HYPERLINK("http://bbs.12365auto.com/postcontent.aspx?tID=195077","http://bbs.12365auto.com/postcontent.aspx?tID=195077")</f>
        <v>http://bbs.12365auto.com/postcontent.aspx?tID=195077</v>
      </c>
      <c r="G2620" s="2"/>
      <c r="H2620" s="2" t="s">
        <v>3780</v>
      </c>
      <c r="I2620" s="2" t="s">
        <v>15</v>
      </c>
      <c r="J2620" s="2" t="s">
        <v>3718</v>
      </c>
      <c r="K2620" s="2" t="s">
        <v>3779</v>
      </c>
      <c r="L2620" s="2">
        <f t="shared" si="40"/>
        <v>150</v>
      </c>
    </row>
    <row r="2621" spans="1:12" ht="25" customHeight="1">
      <c r="A2621" s="2" t="s">
        <v>12</v>
      </c>
      <c r="B2621" s="2" t="str">
        <f>HYPERLINK("http://m.12365auto.com/xcdg/20200225/419437.shtml","丰田车越晚推出越爆款？为啥都选威兰达")</f>
        <v>丰田车越晚推出越爆款？为啥都选威兰达</v>
      </c>
      <c r="C2621" s="2" t="s">
        <v>13</v>
      </c>
      <c r="D2621" s="2" t="s">
        <v>12</v>
      </c>
      <c r="E2621" s="2"/>
      <c r="F2621" s="2" t="str">
        <f>HYPERLINK("http://m.12365auto.com/xcdg/20200225/419437.shtml","http://m.12365auto.com/xcdg/20200225/419437.shtml")</f>
        <v>http://m.12365auto.com/xcdg/20200225/419437.shtml</v>
      </c>
      <c r="G2621" s="2"/>
      <c r="H2621" s="2" t="s">
        <v>3781</v>
      </c>
      <c r="I2621" s="2" t="s">
        <v>19</v>
      </c>
      <c r="J2621" s="2" t="s">
        <v>3782</v>
      </c>
      <c r="K2621" s="2" t="s">
        <v>3783</v>
      </c>
      <c r="L2621" s="2">
        <f t="shared" si="40"/>
        <v>150</v>
      </c>
    </row>
    <row r="2622" spans="1:12" ht="25" customHeight="1">
      <c r="A2622" s="2" t="s">
        <v>12</v>
      </c>
      <c r="B2622" s="2" t="str">
        <f>HYPERLINK("http://www.12365auto.com/zlts/20200225/448586.shtml","东风本田享域发动机故障灯反复亮")</f>
        <v>东风本田享域发动机故障灯反复亮</v>
      </c>
      <c r="C2622" s="2" t="s">
        <v>13</v>
      </c>
      <c r="D2622" s="2" t="s">
        <v>12</v>
      </c>
      <c r="E2622" s="2" t="s">
        <v>17</v>
      </c>
      <c r="F2622" s="2" t="str">
        <f>HYPERLINK("http://www.12365auto.com/zlts/20200225/448586.shtml","http://www.12365auto.com/zlts/20200225/448586.shtml")</f>
        <v>http://www.12365auto.com/zlts/20200225/448586.shtml</v>
      </c>
      <c r="G2622" s="2"/>
      <c r="H2622" s="2" t="s">
        <v>3784</v>
      </c>
      <c r="I2622" s="2" t="s">
        <v>19</v>
      </c>
      <c r="J2622" s="2" t="s">
        <v>12</v>
      </c>
      <c r="K2622" s="2" t="s">
        <v>3785</v>
      </c>
      <c r="L2622" s="2">
        <f t="shared" si="40"/>
        <v>150</v>
      </c>
    </row>
    <row r="2623" spans="1:12" ht="25" customHeight="1">
      <c r="A2623" s="2" t="s">
        <v>12</v>
      </c>
      <c r="B2623" s="2" t="str">
        <f>HYPERLINK("http://m.12365auto.com/xcdg/20200225/419436.shtml","最新改装案例上线 新款思域Type R开箱解读")</f>
        <v>最新改装案例上线 新款思域Type R开箱解读</v>
      </c>
      <c r="C2623" s="2" t="s">
        <v>13</v>
      </c>
      <c r="D2623" s="2" t="s">
        <v>12</v>
      </c>
      <c r="E2623" s="2"/>
      <c r="F2623" s="2" t="str">
        <f>HYPERLINK("http://m.12365auto.com/xcdg/20200225/419436.shtml","http://m.12365auto.com/xcdg/20200225/419436.shtml")</f>
        <v>http://m.12365auto.com/xcdg/20200225/419436.shtml</v>
      </c>
      <c r="G2623" s="2"/>
      <c r="H2623" s="2" t="s">
        <v>3786</v>
      </c>
      <c r="I2623" s="2" t="s">
        <v>19</v>
      </c>
      <c r="J2623" s="2" t="s">
        <v>1247</v>
      </c>
      <c r="K2623" s="2" t="s">
        <v>3785</v>
      </c>
      <c r="L2623" s="2">
        <f t="shared" si="40"/>
        <v>150</v>
      </c>
    </row>
    <row r="2624" spans="1:12" ht="25" customHeight="1">
      <c r="A2624" s="2" t="s">
        <v>12</v>
      </c>
      <c r="B2624" s="2" t="str">
        <f>HYPERLINK("http://m.12365auto.com/xcdg/20200225/419435.shtml","奔驰全新S级街拍 一季度亮相/9月开启预订")</f>
        <v>奔驰全新S级街拍 一季度亮相/9月开启预订</v>
      </c>
      <c r="C2624" s="2" t="s">
        <v>13</v>
      </c>
      <c r="D2624" s="2" t="s">
        <v>12</v>
      </c>
      <c r="E2624" s="2"/>
      <c r="F2624" s="2" t="str">
        <f>HYPERLINK("http://m.12365auto.com/xcdg/20200225/419435.shtml","http://m.12365auto.com/xcdg/20200225/419435.shtml")</f>
        <v>http://m.12365auto.com/xcdg/20200225/419435.shtml</v>
      </c>
      <c r="G2624" s="2"/>
      <c r="H2624" s="2" t="s">
        <v>3787</v>
      </c>
      <c r="I2624" s="2" t="s">
        <v>19</v>
      </c>
      <c r="J2624" s="2" t="s">
        <v>718</v>
      </c>
      <c r="K2624" s="2" t="s">
        <v>3788</v>
      </c>
      <c r="L2624" s="2">
        <f t="shared" si="40"/>
        <v>150</v>
      </c>
    </row>
    <row r="2625" spans="1:12" ht="25" customHeight="1">
      <c r="A2625" s="2" t="s">
        <v>12</v>
      </c>
      <c r="B2625" s="2" t="str">
        <f>HYPERLINK("http://www.12365auto.com/xcdg/20200225/419435.shtml","奔驰全新S级街拍 一季度亮相/9月开启预订")</f>
        <v>奔驰全新S级街拍 一季度亮相/9月开启预订</v>
      </c>
      <c r="C2625" s="2" t="s">
        <v>13</v>
      </c>
      <c r="D2625" s="2" t="s">
        <v>12</v>
      </c>
      <c r="E2625" s="2" t="s">
        <v>224</v>
      </c>
      <c r="F2625" s="2" t="str">
        <f>HYPERLINK("http://www.12365auto.com/xcdg/20200225/419435.shtml","http://www.12365auto.com/xcdg/20200225/419435.shtml")</f>
        <v>http://www.12365auto.com/xcdg/20200225/419435.shtml</v>
      </c>
      <c r="G2625" s="2"/>
      <c r="H2625" s="2" t="s">
        <v>3789</v>
      </c>
      <c r="I2625" s="2" t="s">
        <v>15</v>
      </c>
      <c r="J2625" s="2" t="s">
        <v>12</v>
      </c>
      <c r="K2625" s="2" t="s">
        <v>3788</v>
      </c>
      <c r="L2625" s="2">
        <f t="shared" si="40"/>
        <v>150</v>
      </c>
    </row>
    <row r="2626" spans="1:12" ht="25" customHeight="1">
      <c r="A2626" s="2" t="s">
        <v>12</v>
      </c>
      <c r="B2626" s="2" t="str">
        <f>HYPERLINK("http://m.12365auto.com/xcdg/20200225/419434.shtml","沃尔沃2020年3款新车上市 搭新动力配置升级")</f>
        <v>沃尔沃2020年3款新车上市 搭新动力配置升级</v>
      </c>
      <c r="C2626" s="2" t="s">
        <v>13</v>
      </c>
      <c r="D2626" s="2" t="s">
        <v>12</v>
      </c>
      <c r="E2626" s="2"/>
      <c r="F2626" s="2" t="str">
        <f>HYPERLINK("http://m.12365auto.com/xcdg/20200225/419434.shtml","http://m.12365auto.com/xcdg/20200225/419434.shtml")</f>
        <v>http://m.12365auto.com/xcdg/20200225/419434.shtml</v>
      </c>
      <c r="G2626" s="2"/>
      <c r="H2626" s="2" t="s">
        <v>3790</v>
      </c>
      <c r="I2626" s="2" t="s">
        <v>19</v>
      </c>
      <c r="J2626" s="2" t="s">
        <v>718</v>
      </c>
      <c r="K2626" s="2" t="s">
        <v>3791</v>
      </c>
      <c r="L2626" s="2">
        <f t="shared" si="40"/>
        <v>150</v>
      </c>
    </row>
    <row r="2627" spans="1:12" ht="25" customHeight="1">
      <c r="A2627" s="2" t="s">
        <v>12</v>
      </c>
      <c r="B2627" s="2" t="str">
        <f>HYPERLINK("http://www.12365auto.com/xcdg/20200225/419434.shtml","沃尔沃2020年3款新车上市 搭新动力配置升级")</f>
        <v>沃尔沃2020年3款新车上市 搭新动力配置升级</v>
      </c>
      <c r="C2627" s="2" t="s">
        <v>13</v>
      </c>
      <c r="D2627" s="2" t="s">
        <v>12</v>
      </c>
      <c r="E2627" s="2" t="s">
        <v>245</v>
      </c>
      <c r="F2627" s="2" t="str">
        <f>HYPERLINK("http://www.12365auto.com/xcdg/20200225/419434.shtml","http://www.12365auto.com/xcdg/20200225/419434.shtml")</f>
        <v>http://www.12365auto.com/xcdg/20200225/419434.shtml</v>
      </c>
      <c r="G2627" s="2"/>
      <c r="H2627" s="2" t="s">
        <v>3792</v>
      </c>
      <c r="I2627" s="2" t="s">
        <v>19</v>
      </c>
      <c r="J2627" s="2" t="s">
        <v>12</v>
      </c>
      <c r="K2627" s="2" t="s">
        <v>3791</v>
      </c>
      <c r="L2627" s="2">
        <f t="shared" ref="L2627:L2690" si="41">LEN(H2627)</f>
        <v>150</v>
      </c>
    </row>
    <row r="2628" spans="1:12" ht="25" customHeight="1">
      <c r="A2628" s="2" t="s">
        <v>12</v>
      </c>
      <c r="B2628" s="2" t="str">
        <f>HYPERLINK("http://www.12365auto.com/xcdg/20200225/419433.shtml","汉兰达对手 起亚全新7座SUV尺寸加长 将发布")</f>
        <v>汉兰达对手 起亚全新7座SUV尺寸加长 将发布</v>
      </c>
      <c r="C2628" s="2" t="s">
        <v>13</v>
      </c>
      <c r="D2628" s="2" t="s">
        <v>12</v>
      </c>
      <c r="E2628" s="2" t="s">
        <v>216</v>
      </c>
      <c r="F2628" s="2" t="str">
        <f>HYPERLINK("http://www.12365auto.com/xcdg/20200225/419433.shtml","http://www.12365auto.com/xcdg/20200225/419433.shtml")</f>
        <v>http://www.12365auto.com/xcdg/20200225/419433.shtml</v>
      </c>
      <c r="G2628" s="2"/>
      <c r="H2628" s="2" t="s">
        <v>3793</v>
      </c>
      <c r="I2628" s="2" t="s">
        <v>15</v>
      </c>
      <c r="J2628" s="2" t="s">
        <v>12</v>
      </c>
      <c r="K2628" s="2" t="s">
        <v>3794</v>
      </c>
      <c r="L2628" s="2">
        <f t="shared" si="41"/>
        <v>150</v>
      </c>
    </row>
    <row r="2629" spans="1:12" ht="25" customHeight="1">
      <c r="A2629" s="2" t="s">
        <v>12</v>
      </c>
      <c r="B2629" s="2" t="str">
        <f>HYPERLINK("http://m.12365auto.com/xcdg/20200225/419433.shtml","汉兰达对手 起亚全新7座SUV尺寸加长 将发布")</f>
        <v>汉兰达对手 起亚全新7座SUV尺寸加长 将发布</v>
      </c>
      <c r="C2629" s="2" t="s">
        <v>13</v>
      </c>
      <c r="D2629" s="2" t="s">
        <v>12</v>
      </c>
      <c r="E2629" s="2"/>
      <c r="F2629" s="2" t="str">
        <f>HYPERLINK("http://m.12365auto.com/xcdg/20200225/419433.shtml","http://m.12365auto.com/xcdg/20200225/419433.shtml")</f>
        <v>http://m.12365auto.com/xcdg/20200225/419433.shtml</v>
      </c>
      <c r="G2629" s="2"/>
      <c r="H2629" s="2" t="s">
        <v>3795</v>
      </c>
      <c r="I2629" s="2" t="s">
        <v>19</v>
      </c>
      <c r="J2629" s="2" t="s">
        <v>718</v>
      </c>
      <c r="K2629" s="2" t="s">
        <v>3794</v>
      </c>
      <c r="L2629" s="2">
        <f t="shared" si="41"/>
        <v>150</v>
      </c>
    </row>
    <row r="2630" spans="1:12" ht="25" customHeight="1">
      <c r="A2630" s="2" t="s">
        <v>12</v>
      </c>
      <c r="B2630" s="2" t="str">
        <f>HYPERLINK("http://www.12365auto.com/xcdg/20200225/419432.shtml","最畅销的大众SUV Tiguan推新车型/首搭1.5T")</f>
        <v>最畅销的大众SUV Tiguan推新车型/首搭1.5T</v>
      </c>
      <c r="C2630" s="2" t="s">
        <v>13</v>
      </c>
      <c r="D2630" s="2" t="s">
        <v>12</v>
      </c>
      <c r="E2630" s="2" t="s">
        <v>216</v>
      </c>
      <c r="F2630" s="2" t="str">
        <f>HYPERLINK("http://www.12365auto.com/xcdg/20200225/419432.shtml","http://www.12365auto.com/xcdg/20200225/419432.shtml")</f>
        <v>http://www.12365auto.com/xcdg/20200225/419432.shtml</v>
      </c>
      <c r="G2630" s="2"/>
      <c r="H2630" s="2" t="s">
        <v>3796</v>
      </c>
      <c r="I2630" s="2" t="s">
        <v>15</v>
      </c>
      <c r="J2630" s="2" t="s">
        <v>12</v>
      </c>
      <c r="K2630" s="2" t="s">
        <v>3797</v>
      </c>
      <c r="L2630" s="2">
        <f t="shared" si="41"/>
        <v>150</v>
      </c>
    </row>
    <row r="2631" spans="1:12" ht="25" customHeight="1">
      <c r="A2631" s="2" t="s">
        <v>12</v>
      </c>
      <c r="B2631" s="2" t="str">
        <f>HYPERLINK("http://m.12365auto.com/xcdg/20200225/419432.shtml","最畅销的大众SUV Tiguan推新车型/首搭1.5T")</f>
        <v>最畅销的大众SUV Tiguan推新车型/首搭1.5T</v>
      </c>
      <c r="C2631" s="2" t="s">
        <v>13</v>
      </c>
      <c r="D2631" s="2" t="s">
        <v>12</v>
      </c>
      <c r="E2631" s="2"/>
      <c r="F2631" s="2" t="str">
        <f>HYPERLINK("http://m.12365auto.com/xcdg/20200225/419432.shtml","http://m.12365auto.com/xcdg/20200225/419432.shtml")</f>
        <v>http://m.12365auto.com/xcdg/20200225/419432.shtml</v>
      </c>
      <c r="G2631" s="2"/>
      <c r="H2631" s="2" t="s">
        <v>3798</v>
      </c>
      <c r="I2631" s="2" t="s">
        <v>19</v>
      </c>
      <c r="J2631" s="2" t="s">
        <v>718</v>
      </c>
      <c r="K2631" s="2" t="s">
        <v>3797</v>
      </c>
      <c r="L2631" s="2">
        <f t="shared" si="41"/>
        <v>150</v>
      </c>
    </row>
    <row r="2632" spans="1:12" ht="25" customHeight="1">
      <c r="A2632" s="2" t="s">
        <v>12</v>
      </c>
      <c r="B2632" s="2" t="str">
        <f>HYPERLINK("http://www.12365auto.com/xcdg/20200225/419431.shtml","道奇RAM Rebel TRX疑似采用新皮卡设计草图")</f>
        <v>道奇RAM Rebel TRX疑似采用新皮卡设计草图</v>
      </c>
      <c r="C2632" s="2" t="s">
        <v>13</v>
      </c>
      <c r="D2632" s="2" t="s">
        <v>12</v>
      </c>
      <c r="E2632" s="2" t="s">
        <v>216</v>
      </c>
      <c r="F2632" s="2" t="str">
        <f>HYPERLINK("http://www.12365auto.com/xcdg/20200225/419431.shtml","http://www.12365auto.com/xcdg/20200225/419431.shtml")</f>
        <v>http://www.12365auto.com/xcdg/20200225/419431.shtml</v>
      </c>
      <c r="G2632" s="2"/>
      <c r="H2632" s="2" t="s">
        <v>3799</v>
      </c>
      <c r="I2632" s="2" t="s">
        <v>15</v>
      </c>
      <c r="J2632" s="2" t="s">
        <v>12</v>
      </c>
      <c r="K2632" s="2" t="s">
        <v>3800</v>
      </c>
      <c r="L2632" s="2">
        <f t="shared" si="41"/>
        <v>150</v>
      </c>
    </row>
    <row r="2633" spans="1:12" ht="25" customHeight="1">
      <c r="A2633" s="2" t="s">
        <v>12</v>
      </c>
      <c r="B2633" s="2" t="str">
        <f>HYPERLINK("http://m.12365auto.com/xcdg/20200225/419431.shtml","道奇RAM Rebel TRX疑似采用新皮卡设计草图")</f>
        <v>道奇RAM Rebel TRX疑似采用新皮卡设计草图</v>
      </c>
      <c r="C2633" s="2" t="s">
        <v>13</v>
      </c>
      <c r="D2633" s="2" t="s">
        <v>12</v>
      </c>
      <c r="E2633" s="2"/>
      <c r="F2633" s="2" t="str">
        <f>HYPERLINK("http://m.12365auto.com/xcdg/20200225/419431.shtml","http://m.12365auto.com/xcdg/20200225/419431.shtml")</f>
        <v>http://m.12365auto.com/xcdg/20200225/419431.shtml</v>
      </c>
      <c r="G2633" s="2"/>
      <c r="H2633" s="2" t="s">
        <v>3801</v>
      </c>
      <c r="I2633" s="2" t="s">
        <v>19</v>
      </c>
      <c r="J2633" s="2" t="s">
        <v>249</v>
      </c>
      <c r="K2633" s="2" t="s">
        <v>3800</v>
      </c>
      <c r="L2633" s="2">
        <f t="shared" si="41"/>
        <v>150</v>
      </c>
    </row>
    <row r="2634" spans="1:12" ht="25" customHeight="1">
      <c r="A2634" s="2" t="s">
        <v>12</v>
      </c>
      <c r="B2634" s="2" t="str">
        <f>HYPERLINK("http://www.12365auto.com/xcdg/20200225/419430.shtml","内饰采用羊毛混纺材料 新沃尔沃S90看点十足")</f>
        <v>内饰采用羊毛混纺材料 新沃尔沃S90看点十足</v>
      </c>
      <c r="C2634" s="2" t="s">
        <v>13</v>
      </c>
      <c r="D2634" s="2" t="s">
        <v>12</v>
      </c>
      <c r="E2634" s="2" t="s">
        <v>216</v>
      </c>
      <c r="F2634" s="2" t="str">
        <f>HYPERLINK("http://www.12365auto.com/xcdg/20200225/419430.shtml","http://www.12365auto.com/xcdg/20200225/419430.shtml")</f>
        <v>http://www.12365auto.com/xcdg/20200225/419430.shtml</v>
      </c>
      <c r="G2634" s="2"/>
      <c r="H2634" s="2" t="s">
        <v>3802</v>
      </c>
      <c r="I2634" s="2" t="s">
        <v>15</v>
      </c>
      <c r="J2634" s="2" t="s">
        <v>12</v>
      </c>
      <c r="K2634" s="2" t="s">
        <v>3803</v>
      </c>
      <c r="L2634" s="2">
        <f t="shared" si="41"/>
        <v>150</v>
      </c>
    </row>
    <row r="2635" spans="1:12" ht="25" customHeight="1">
      <c r="A2635" s="2" t="s">
        <v>12</v>
      </c>
      <c r="B2635" s="2" t="str">
        <f>HYPERLINK("http://bbs.12365auto.com/postcontent.aspx?tID=195076","20万左右的七座车 买什么好？")</f>
        <v>20万左右的七座车 买什么好？</v>
      </c>
      <c r="C2635" s="2" t="s">
        <v>13</v>
      </c>
      <c r="D2635" s="2" t="s">
        <v>12</v>
      </c>
      <c r="E2635" s="2" t="s">
        <v>214</v>
      </c>
      <c r="F2635" s="2" t="str">
        <f>HYPERLINK("http://bbs.12365auto.com/postcontent.aspx?tID=195076","http://bbs.12365auto.com/postcontent.aspx?tID=195076")</f>
        <v>http://bbs.12365auto.com/postcontent.aspx?tID=195076</v>
      </c>
      <c r="G2635" s="2"/>
      <c r="H2635" s="2" t="s">
        <v>3804</v>
      </c>
      <c r="I2635" s="2" t="s">
        <v>15</v>
      </c>
      <c r="J2635" s="2" t="s">
        <v>3718</v>
      </c>
      <c r="K2635" s="2" t="s">
        <v>3803</v>
      </c>
      <c r="L2635" s="2">
        <f t="shared" si="41"/>
        <v>150</v>
      </c>
    </row>
    <row r="2636" spans="1:12" ht="25" customHeight="1">
      <c r="A2636" s="2" t="s">
        <v>12</v>
      </c>
      <c r="B2636" s="2" t="str">
        <f>HYPERLINK("http://m.12365auto.com/xcdg/20200225/419430.shtml","内饰采用羊毛混纺材料 新沃尔沃S90看点十足")</f>
        <v>内饰采用羊毛混纺材料 新沃尔沃S90看点十足</v>
      </c>
      <c r="C2636" s="2" t="s">
        <v>13</v>
      </c>
      <c r="D2636" s="2" t="s">
        <v>12</v>
      </c>
      <c r="E2636" s="2"/>
      <c r="F2636" s="2" t="str">
        <f>HYPERLINK("http://m.12365auto.com/xcdg/20200225/419430.shtml","http://m.12365auto.com/xcdg/20200225/419430.shtml")</f>
        <v>http://m.12365auto.com/xcdg/20200225/419430.shtml</v>
      </c>
      <c r="G2636" s="2"/>
      <c r="H2636" s="2" t="s">
        <v>3805</v>
      </c>
      <c r="I2636" s="2" t="s">
        <v>19</v>
      </c>
      <c r="J2636" s="2" t="s">
        <v>1247</v>
      </c>
      <c r="K2636" s="2" t="s">
        <v>3803</v>
      </c>
      <c r="L2636" s="2">
        <f t="shared" si="41"/>
        <v>150</v>
      </c>
    </row>
    <row r="2637" spans="1:12" ht="25" customHeight="1">
      <c r="A2637" s="2" t="s">
        <v>12</v>
      </c>
      <c r="B2637" s="2" t="str">
        <f>HYPERLINK("http://www.12365auto.com/xcdg/20200225/419429.shtml","奔驰EQA电动SUV 6个月后发布续航400公里")</f>
        <v>奔驰EQA电动SUV 6个月后发布续航400公里</v>
      </c>
      <c r="C2637" s="2" t="s">
        <v>13</v>
      </c>
      <c r="D2637" s="2" t="s">
        <v>12</v>
      </c>
      <c r="E2637" s="2" t="s">
        <v>224</v>
      </c>
      <c r="F2637" s="2" t="str">
        <f>HYPERLINK("http://www.12365auto.com/xcdg/20200225/419429.shtml","http://www.12365auto.com/xcdg/20200225/419429.shtml")</f>
        <v>http://www.12365auto.com/xcdg/20200225/419429.shtml</v>
      </c>
      <c r="G2637" s="2"/>
      <c r="H2637" s="2" t="s">
        <v>3806</v>
      </c>
      <c r="I2637" s="2" t="s">
        <v>15</v>
      </c>
      <c r="J2637" s="2" t="s">
        <v>12</v>
      </c>
      <c r="K2637" s="2" t="s">
        <v>3807</v>
      </c>
      <c r="L2637" s="2">
        <f t="shared" si="41"/>
        <v>150</v>
      </c>
    </row>
    <row r="2638" spans="1:12" ht="25" customHeight="1">
      <c r="A2638" s="2" t="s">
        <v>12</v>
      </c>
      <c r="B2638" s="2" t="str">
        <f>HYPERLINK("http://m.12365auto.com/xcdg/20200225/419429.shtml","奔驰EQA电动SUV 6个月后发布续航400公里")</f>
        <v>奔驰EQA电动SUV 6个月后发布续航400公里</v>
      </c>
      <c r="C2638" s="2" t="s">
        <v>13</v>
      </c>
      <c r="D2638" s="2" t="s">
        <v>12</v>
      </c>
      <c r="E2638" s="2"/>
      <c r="F2638" s="2" t="str">
        <f>HYPERLINK("http://m.12365auto.com/xcdg/20200225/419429.shtml","http://m.12365auto.com/xcdg/20200225/419429.shtml")</f>
        <v>http://m.12365auto.com/xcdg/20200225/419429.shtml</v>
      </c>
      <c r="G2638" s="2"/>
      <c r="H2638" s="2" t="s">
        <v>3808</v>
      </c>
      <c r="I2638" s="2" t="s">
        <v>19</v>
      </c>
      <c r="J2638" s="2" t="s">
        <v>222</v>
      </c>
      <c r="K2638" s="2" t="s">
        <v>3807</v>
      </c>
      <c r="L2638" s="2">
        <f t="shared" si="41"/>
        <v>150</v>
      </c>
    </row>
    <row r="2639" spans="1:12" ht="25" customHeight="1">
      <c r="A2639" s="2" t="s">
        <v>12</v>
      </c>
      <c r="B2639" s="2" t="str">
        <f>HYPERLINK("http://www.12365auto.com/news/20200225/419427.shtml","领克开启线上购车新举措  足不出户还能省钱")</f>
        <v>领克开启线上购车新举措  足不出户还能省钱</v>
      </c>
      <c r="C2639" s="2" t="s">
        <v>13</v>
      </c>
      <c r="D2639" s="2" t="s">
        <v>12</v>
      </c>
      <c r="E2639" s="2" t="s">
        <v>282</v>
      </c>
      <c r="F2639" s="2" t="str">
        <f>HYPERLINK("http://www.12365auto.com/news/20200225/419427.shtml","http://www.12365auto.com/news/20200225/419427.shtml")</f>
        <v>http://www.12365auto.com/news/20200225/419427.shtml</v>
      </c>
      <c r="G2639" s="2"/>
      <c r="H2639" s="2" t="s">
        <v>3809</v>
      </c>
      <c r="I2639" s="2" t="s">
        <v>19</v>
      </c>
      <c r="J2639" s="2" t="s">
        <v>12</v>
      </c>
      <c r="K2639" s="2" t="s">
        <v>3810</v>
      </c>
      <c r="L2639" s="2">
        <f t="shared" si="41"/>
        <v>150</v>
      </c>
    </row>
    <row r="2640" spans="1:12" ht="25" customHeight="1">
      <c r="A2640" s="2" t="s">
        <v>12</v>
      </c>
      <c r="B2640" s="2" t="str">
        <f>HYPERLINK("http://m.12365auto.com/news/20200225/419427.shtml","领克开启线上购车新举措  足不出户还能省钱")</f>
        <v>领克开启线上购车新举措  足不出户还能省钱</v>
      </c>
      <c r="C2640" s="2" t="s">
        <v>13</v>
      </c>
      <c r="D2640" s="2" t="s">
        <v>12</v>
      </c>
      <c r="E2640" s="2"/>
      <c r="F2640" s="2" t="str">
        <f>HYPERLINK("http://m.12365auto.com/news/20200225/419427.shtml","http://m.12365auto.com/news/20200225/419427.shtml")</f>
        <v>http://m.12365auto.com/news/20200225/419427.shtml</v>
      </c>
      <c r="G2640" s="2"/>
      <c r="H2640" s="2" t="s">
        <v>3811</v>
      </c>
      <c r="I2640" s="2" t="s">
        <v>19</v>
      </c>
      <c r="J2640" s="2" t="s">
        <v>3053</v>
      </c>
      <c r="K2640" s="2" t="s">
        <v>3810</v>
      </c>
      <c r="L2640" s="2">
        <f t="shared" si="41"/>
        <v>150</v>
      </c>
    </row>
    <row r="2641" spans="1:12" ht="25" customHeight="1">
      <c r="A2641" s="2" t="s">
        <v>12</v>
      </c>
      <c r="B2641" s="2" t="str">
        <f>HYPERLINK("http://m.12365auto.com/news/20200225/419426.shtml","深圳发布货车限行新政 防疫期间通行限制放宽")</f>
        <v>深圳发布货车限行新政 防疫期间通行限制放宽</v>
      </c>
      <c r="C2641" s="2" t="s">
        <v>13</v>
      </c>
      <c r="D2641" s="2" t="s">
        <v>12</v>
      </c>
      <c r="E2641" s="2"/>
      <c r="F2641" s="2" t="str">
        <f>HYPERLINK("http://m.12365auto.com/news/20200225/419426.shtml","http://m.12365auto.com/news/20200225/419426.shtml")</f>
        <v>http://m.12365auto.com/news/20200225/419426.shtml</v>
      </c>
      <c r="G2641" s="2"/>
      <c r="H2641" s="2" t="s">
        <v>3812</v>
      </c>
      <c r="I2641" s="2" t="s">
        <v>19</v>
      </c>
      <c r="J2641" s="2" t="s">
        <v>2612</v>
      </c>
      <c r="K2641" s="2" t="s">
        <v>3813</v>
      </c>
      <c r="L2641" s="2">
        <f t="shared" si="41"/>
        <v>150</v>
      </c>
    </row>
    <row r="2642" spans="1:12" ht="25" customHeight="1">
      <c r="A2642" s="2" t="s">
        <v>12</v>
      </c>
      <c r="B2642" s="2" t="str">
        <f>HYPERLINK("http://www.12365auto.com/news/20200225/419426.shtml","深圳发布货车限行新政 防疫期间通行限制放宽")</f>
        <v>深圳发布货车限行新政 防疫期间通行限制放宽</v>
      </c>
      <c r="C2642" s="2" t="s">
        <v>13</v>
      </c>
      <c r="D2642" s="2" t="s">
        <v>12</v>
      </c>
      <c r="E2642" s="2" t="s">
        <v>276</v>
      </c>
      <c r="F2642" s="2" t="str">
        <f>HYPERLINK("http://www.12365auto.com/news/20200225/419426.shtml","http://www.12365auto.com/news/20200225/419426.shtml")</f>
        <v>http://www.12365auto.com/news/20200225/419426.shtml</v>
      </c>
      <c r="G2642" s="2"/>
      <c r="H2642" s="2" t="s">
        <v>3814</v>
      </c>
      <c r="I2642" s="2" t="s">
        <v>15</v>
      </c>
      <c r="J2642" s="2" t="s">
        <v>12</v>
      </c>
      <c r="K2642" s="2" t="s">
        <v>3813</v>
      </c>
      <c r="L2642" s="2">
        <f t="shared" si="41"/>
        <v>150</v>
      </c>
    </row>
    <row r="2643" spans="1:12" ht="25" customHeight="1">
      <c r="A2643" s="2" t="s">
        <v>12</v>
      </c>
      <c r="B2643" s="2" t="str">
        <f>HYPERLINK("http://m.12365auto.com/xcdg/20200225/419425.shtml","迈腾的售价就能买大后超？这台美系车不简单")</f>
        <v>迈腾的售价就能买大后超？这台美系车不简单</v>
      </c>
      <c r="C2643" s="2" t="s">
        <v>13</v>
      </c>
      <c r="D2643" s="2" t="s">
        <v>12</v>
      </c>
      <c r="E2643" s="2"/>
      <c r="F2643" s="2" t="str">
        <f>HYPERLINK("http://m.12365auto.com/xcdg/20200225/419425.shtml","http://m.12365auto.com/xcdg/20200225/419425.shtml")</f>
        <v>http://m.12365auto.com/xcdg/20200225/419425.shtml</v>
      </c>
      <c r="G2643" s="2"/>
      <c r="H2643" s="2" t="s">
        <v>3815</v>
      </c>
      <c r="I2643" s="2" t="s">
        <v>19</v>
      </c>
      <c r="J2643" s="2" t="s">
        <v>1257</v>
      </c>
      <c r="K2643" s="2" t="s">
        <v>3816</v>
      </c>
      <c r="L2643" s="2">
        <f t="shared" si="41"/>
        <v>150</v>
      </c>
    </row>
    <row r="2644" spans="1:12" ht="25" customHeight="1">
      <c r="A2644" s="2" t="s">
        <v>12</v>
      </c>
      <c r="B2644" s="2" t="str">
        <f>HYPERLINK("http://m.12365auto.com/xcdg/20200225/419424.shtml","再等一周 奥迪9款新车亮相 全新A3/S3领衔")</f>
        <v>再等一周 奥迪9款新车亮相 全新A3/S3领衔</v>
      </c>
      <c r="C2644" s="2" t="s">
        <v>13</v>
      </c>
      <c r="D2644" s="2" t="s">
        <v>12</v>
      </c>
      <c r="E2644" s="2"/>
      <c r="F2644" s="2" t="str">
        <f>HYPERLINK("http://m.12365auto.com/xcdg/20200225/419424.shtml","http://m.12365auto.com/xcdg/20200225/419424.shtml")</f>
        <v>http://m.12365auto.com/xcdg/20200225/419424.shtml</v>
      </c>
      <c r="G2644" s="2"/>
      <c r="H2644" s="2" t="s">
        <v>3817</v>
      </c>
      <c r="I2644" s="2" t="s">
        <v>19</v>
      </c>
      <c r="J2644" s="2" t="s">
        <v>1266</v>
      </c>
      <c r="K2644" s="2" t="s">
        <v>3818</v>
      </c>
      <c r="L2644" s="2">
        <f t="shared" si="41"/>
        <v>150</v>
      </c>
    </row>
    <row r="2645" spans="1:12" ht="25" customHeight="1">
      <c r="A2645" s="2" t="s">
        <v>12</v>
      </c>
      <c r="B2645" s="2" t="str">
        <f>HYPERLINK("http://www.12365auto.com/xcdg/20200225/419424.shtml","再等一周 奥迪9款新车亮相 全新A3/S3领衔")</f>
        <v>再等一周 奥迪9款新车亮相 全新A3/S3领衔</v>
      </c>
      <c r="C2645" s="2" t="s">
        <v>13</v>
      </c>
      <c r="D2645" s="2" t="s">
        <v>12</v>
      </c>
      <c r="E2645" s="2" t="s">
        <v>216</v>
      </c>
      <c r="F2645" s="2" t="str">
        <f>HYPERLINK("http://www.12365auto.com/xcdg/20200225/419424.shtml","http://www.12365auto.com/xcdg/20200225/419424.shtml")</f>
        <v>http://www.12365auto.com/xcdg/20200225/419424.shtml</v>
      </c>
      <c r="G2645" s="2"/>
      <c r="H2645" s="2" t="s">
        <v>3819</v>
      </c>
      <c r="I2645" s="2" t="s">
        <v>15</v>
      </c>
      <c r="J2645" s="2" t="s">
        <v>12</v>
      </c>
      <c r="K2645" s="2" t="s">
        <v>3818</v>
      </c>
      <c r="L2645" s="2">
        <f t="shared" si="41"/>
        <v>150</v>
      </c>
    </row>
    <row r="2646" spans="1:12" ht="25" customHeight="1">
      <c r="A2646" s="2" t="s">
        <v>12</v>
      </c>
      <c r="B2646" s="2" t="str">
        <f>HYPERLINK("http://www.12365auto.com/zlts/20200225/448582.shtml","上汽名爵6行驶中变速箱异响希望厂家处理")</f>
        <v>上汽名爵6行驶中变速箱异响希望厂家处理</v>
      </c>
      <c r="C2646" s="2" t="s">
        <v>13</v>
      </c>
      <c r="D2646" s="2" t="s">
        <v>12</v>
      </c>
      <c r="E2646" s="2" t="s">
        <v>17</v>
      </c>
      <c r="F2646" s="2" t="str">
        <f>HYPERLINK("http://www.12365auto.com/zlts/20200225/448582.shtml","http://www.12365auto.com/zlts/20200225/448582.shtml")</f>
        <v>http://www.12365auto.com/zlts/20200225/448582.shtml</v>
      </c>
      <c r="G2646" s="2"/>
      <c r="H2646" s="2" t="s">
        <v>3820</v>
      </c>
      <c r="I2646" s="2" t="s">
        <v>15</v>
      </c>
      <c r="J2646" s="2" t="s">
        <v>12</v>
      </c>
      <c r="K2646" s="2" t="s">
        <v>3821</v>
      </c>
      <c r="L2646" s="2">
        <f t="shared" si="41"/>
        <v>150</v>
      </c>
    </row>
    <row r="2647" spans="1:12" ht="25" customHeight="1">
      <c r="A2647" s="2" t="s">
        <v>12</v>
      </c>
      <c r="B2647" s="2" t="str">
        <f>HYPERLINK("http://m.12365auto.com/xcdg/20200225/419423.shtml","明日安全座驾长安CS75 PLUS 实力不输豪车")</f>
        <v>明日安全座驾长安CS75 PLUS 实力不输豪车</v>
      </c>
      <c r="C2647" s="2" t="s">
        <v>13</v>
      </c>
      <c r="D2647" s="2" t="s">
        <v>12</v>
      </c>
      <c r="E2647" s="2"/>
      <c r="F2647" s="2" t="str">
        <f>HYPERLINK("http://m.12365auto.com/xcdg/20200225/419423.shtml","http://m.12365auto.com/xcdg/20200225/419423.shtml")</f>
        <v>http://m.12365auto.com/xcdg/20200225/419423.shtml</v>
      </c>
      <c r="G2647" s="2"/>
      <c r="H2647" s="2" t="s">
        <v>3822</v>
      </c>
      <c r="I2647" s="2" t="s">
        <v>19</v>
      </c>
      <c r="J2647" s="2" t="s">
        <v>3823</v>
      </c>
      <c r="K2647" s="2" t="s">
        <v>3821</v>
      </c>
      <c r="L2647" s="2">
        <f t="shared" si="41"/>
        <v>150</v>
      </c>
    </row>
    <row r="2648" spans="1:12" ht="25" customHeight="1">
      <c r="A2648" s="2" t="s">
        <v>12</v>
      </c>
      <c r="B2648" s="2" t="str">
        <f>HYPERLINK("http://www.12365auto.com/zlts/20200225/448581.shtml","众泰SR9变速器打滑无法行驶厂家未回复")</f>
        <v>众泰SR9变速器打滑无法行驶厂家未回复</v>
      </c>
      <c r="C2648" s="2" t="s">
        <v>13</v>
      </c>
      <c r="D2648" s="2" t="s">
        <v>12</v>
      </c>
      <c r="E2648" s="2" t="s">
        <v>17</v>
      </c>
      <c r="F2648" s="2" t="str">
        <f>HYPERLINK("http://www.12365auto.com/zlts/20200225/448581.shtml","http://www.12365auto.com/zlts/20200225/448581.shtml")</f>
        <v>http://www.12365auto.com/zlts/20200225/448581.shtml</v>
      </c>
      <c r="G2648" s="2"/>
      <c r="H2648" s="2" t="s">
        <v>3824</v>
      </c>
      <c r="I2648" s="2" t="s">
        <v>15</v>
      </c>
      <c r="J2648" s="2" t="s">
        <v>12</v>
      </c>
      <c r="K2648" s="2" t="s">
        <v>3825</v>
      </c>
      <c r="L2648" s="2">
        <f t="shared" si="41"/>
        <v>150</v>
      </c>
    </row>
    <row r="2649" spans="1:12" ht="25" customHeight="1">
      <c r="A2649" s="2" t="s">
        <v>12</v>
      </c>
      <c r="B2649" s="2" t="str">
        <f>HYPERLINK("http://m.12365auto.com/xcdg/20200225/419440.shtml","全新马自达RX-9渲染图曝光 造型夸张前卫")</f>
        <v>全新马自达RX-9渲染图曝光 造型夸张前卫</v>
      </c>
      <c r="C2649" s="2" t="s">
        <v>13</v>
      </c>
      <c r="D2649" s="2" t="s">
        <v>12</v>
      </c>
      <c r="E2649" s="2"/>
      <c r="F2649" s="2" t="str">
        <f>HYPERLINK("http://m.12365auto.com/xcdg/20200225/419440.shtml","http://m.12365auto.com/xcdg/20200225/419440.shtml")</f>
        <v>http://m.12365auto.com/xcdg/20200225/419440.shtml</v>
      </c>
      <c r="G2649" s="2"/>
      <c r="H2649" s="2" t="s">
        <v>3826</v>
      </c>
      <c r="I2649" s="2" t="s">
        <v>19</v>
      </c>
      <c r="J2649" s="2" t="s">
        <v>1241</v>
      </c>
      <c r="K2649" s="2" t="s">
        <v>3825</v>
      </c>
      <c r="L2649" s="2">
        <f t="shared" si="41"/>
        <v>150</v>
      </c>
    </row>
    <row r="2650" spans="1:12" ht="25" customHeight="1">
      <c r="A2650" s="2" t="s">
        <v>12</v>
      </c>
      <c r="B2650" s="2" t="str">
        <f>HYPERLINK("http://www.12365auto.com/xcdg/20200225/419440.shtml","全新马自达RX-9渲染图曝光 造型夸张前卫")</f>
        <v>全新马自达RX-9渲染图曝光 造型夸张前卫</v>
      </c>
      <c r="C2650" s="2" t="s">
        <v>13</v>
      </c>
      <c r="D2650" s="2" t="s">
        <v>12</v>
      </c>
      <c r="E2650" s="2" t="s">
        <v>245</v>
      </c>
      <c r="F2650" s="2" t="str">
        <f>HYPERLINK("http://www.12365auto.com/xcdg/20200225/419440.shtml","http://www.12365auto.com/xcdg/20200225/419440.shtml")</f>
        <v>http://www.12365auto.com/xcdg/20200225/419440.shtml</v>
      </c>
      <c r="G2650" s="2"/>
      <c r="H2650" s="2" t="s">
        <v>3827</v>
      </c>
      <c r="I2650" s="2" t="s">
        <v>19</v>
      </c>
      <c r="J2650" s="2" t="s">
        <v>12</v>
      </c>
      <c r="K2650" s="2" t="s">
        <v>3825</v>
      </c>
      <c r="L2650" s="2">
        <f t="shared" si="41"/>
        <v>150</v>
      </c>
    </row>
    <row r="2651" spans="1:12" ht="25" customHeight="1">
      <c r="A2651" s="2" t="s">
        <v>12</v>
      </c>
      <c r="B2651" s="2" t="str">
        <f>HYPERLINK("http://m.12365auto.com/xcdg/20200225/419420.shtml","全新哈弗H6铂金版 它比你更在乎你的安全")</f>
        <v>全新哈弗H6铂金版 它比你更在乎你的安全</v>
      </c>
      <c r="C2651" s="2" t="s">
        <v>13</v>
      </c>
      <c r="D2651" s="2" t="s">
        <v>12</v>
      </c>
      <c r="E2651" s="2"/>
      <c r="F2651" s="2" t="str">
        <f>HYPERLINK("http://m.12365auto.com/xcdg/20200225/419420.shtml","http://m.12365auto.com/xcdg/20200225/419420.shtml")</f>
        <v>http://m.12365auto.com/xcdg/20200225/419420.shtml</v>
      </c>
      <c r="G2651" s="2"/>
      <c r="H2651" s="2" t="s">
        <v>3828</v>
      </c>
      <c r="I2651" s="2" t="s">
        <v>19</v>
      </c>
      <c r="J2651" s="2" t="s">
        <v>3829</v>
      </c>
      <c r="K2651" s="2" t="s">
        <v>3830</v>
      </c>
      <c r="L2651" s="2">
        <f t="shared" si="41"/>
        <v>150</v>
      </c>
    </row>
    <row r="2652" spans="1:12" ht="25" customHeight="1">
      <c r="A2652" s="2" t="s">
        <v>12</v>
      </c>
      <c r="B2652" s="2" t="str">
        <f>HYPERLINK("http://m.12365auto.com/xcdg/20200225/419421.shtml","长安UNI定名“引力” 将于日内瓦车展发布")</f>
        <v>长安UNI定名“引力” 将于日内瓦车展发布</v>
      </c>
      <c r="C2652" s="2" t="s">
        <v>13</v>
      </c>
      <c r="D2652" s="2" t="s">
        <v>12</v>
      </c>
      <c r="E2652" s="2"/>
      <c r="F2652" s="2" t="str">
        <f>HYPERLINK("http://m.12365auto.com/xcdg/20200225/419421.shtml","http://m.12365auto.com/xcdg/20200225/419421.shtml")</f>
        <v>http://m.12365auto.com/xcdg/20200225/419421.shtml</v>
      </c>
      <c r="G2652" s="2"/>
      <c r="H2652" s="2" t="s">
        <v>3831</v>
      </c>
      <c r="I2652" s="2" t="s">
        <v>19</v>
      </c>
      <c r="J2652" s="2" t="s">
        <v>371</v>
      </c>
      <c r="K2652" s="2" t="s">
        <v>3830</v>
      </c>
      <c r="L2652" s="2">
        <f t="shared" si="41"/>
        <v>150</v>
      </c>
    </row>
    <row r="2653" spans="1:12" ht="25" customHeight="1">
      <c r="A2653" s="2" t="s">
        <v>12</v>
      </c>
      <c r="B2653" s="2" t="str">
        <f>HYPERLINK("http://www.12365auto.com/xcdg/20200225/419421.shtml","长安UNI定名“引力” 将于日内瓦车展发布")</f>
        <v>长安UNI定名“引力” 将于日内瓦车展发布</v>
      </c>
      <c r="C2653" s="2" t="s">
        <v>13</v>
      </c>
      <c r="D2653" s="2" t="s">
        <v>12</v>
      </c>
      <c r="E2653" s="2" t="s">
        <v>216</v>
      </c>
      <c r="F2653" s="2" t="str">
        <f>HYPERLINK("http://www.12365auto.com/xcdg/20200225/419421.shtml","http://www.12365auto.com/xcdg/20200225/419421.shtml")</f>
        <v>http://www.12365auto.com/xcdg/20200225/419421.shtml</v>
      </c>
      <c r="G2653" s="2"/>
      <c r="H2653" s="2" t="s">
        <v>3832</v>
      </c>
      <c r="I2653" s="2" t="s">
        <v>15</v>
      </c>
      <c r="J2653" s="2" t="s">
        <v>12</v>
      </c>
      <c r="K2653" s="2" t="s">
        <v>3830</v>
      </c>
      <c r="L2653" s="2">
        <f t="shared" si="41"/>
        <v>150</v>
      </c>
    </row>
    <row r="2654" spans="1:12" ht="25" customHeight="1">
      <c r="A2654" s="2" t="s">
        <v>12</v>
      </c>
      <c r="B2654" s="2" t="str">
        <f>HYPERLINK("http://m.12365auto.com/zjdy/20200225/121610.shtml","雅阁行驶中出现噗噗声是什么原因导致的？")</f>
        <v>雅阁行驶中出现噗噗声是什么原因导致的？</v>
      </c>
      <c r="C2654" s="2" t="s">
        <v>13</v>
      </c>
      <c r="D2654" s="2" t="s">
        <v>12</v>
      </c>
      <c r="E2654" s="2"/>
      <c r="F2654" s="2" t="str">
        <f>HYPERLINK("http://m.12365auto.com/zjdy/20200225/121610.shtml","http://m.12365auto.com/zjdy/20200225/121610.shtml")</f>
        <v>http://m.12365auto.com/zjdy/20200225/121610.shtml</v>
      </c>
      <c r="G2654" s="2"/>
      <c r="H2654" s="2" t="s">
        <v>3833</v>
      </c>
      <c r="I2654" s="2" t="s">
        <v>19</v>
      </c>
      <c r="J2654" s="2" t="s">
        <v>12</v>
      </c>
      <c r="K2654" s="2" t="s">
        <v>3834</v>
      </c>
      <c r="L2654" s="2">
        <f t="shared" si="41"/>
        <v>72</v>
      </c>
    </row>
    <row r="2655" spans="1:12" ht="25" customHeight="1">
      <c r="A2655" s="2" t="s">
        <v>12</v>
      </c>
      <c r="B2655" s="2" t="str">
        <f>HYPERLINK("http://m.12365auto.com/zjdy/20200225/121611.shtml","保养时机油洒在发动机上影响使用吗？")</f>
        <v>保养时机油洒在发动机上影响使用吗？</v>
      </c>
      <c r="C2655" s="2" t="s">
        <v>13</v>
      </c>
      <c r="D2655" s="2" t="s">
        <v>12</v>
      </c>
      <c r="E2655" s="2"/>
      <c r="F2655" s="2" t="str">
        <f>HYPERLINK("http://m.12365auto.com/zjdy/20200225/121611.shtml","http://m.12365auto.com/zjdy/20200225/121611.shtml")</f>
        <v>http://m.12365auto.com/zjdy/20200225/121611.shtml</v>
      </c>
      <c r="G2655" s="2"/>
      <c r="H2655" s="2" t="s">
        <v>3835</v>
      </c>
      <c r="I2655" s="2" t="s">
        <v>19</v>
      </c>
      <c r="J2655" s="2" t="s">
        <v>12</v>
      </c>
      <c r="K2655" s="2" t="s">
        <v>3836</v>
      </c>
      <c r="L2655" s="2">
        <f t="shared" si="41"/>
        <v>58</v>
      </c>
    </row>
    <row r="2656" spans="1:12" ht="25" customHeight="1">
      <c r="A2656" s="2" t="s">
        <v>12</v>
      </c>
      <c r="B2656" s="2" t="str">
        <f>HYPERLINK("http://www.12365auto.com/zlts/20200225/448580.shtml","上汽通用五菱荣光发动机异响噪音大")</f>
        <v>上汽通用五菱荣光发动机异响噪音大</v>
      </c>
      <c r="C2656" s="2" t="s">
        <v>13</v>
      </c>
      <c r="D2656" s="2" t="s">
        <v>12</v>
      </c>
      <c r="E2656" s="2" t="s">
        <v>17</v>
      </c>
      <c r="F2656" s="2" t="str">
        <f>HYPERLINK("http://www.12365auto.com/zlts/20200225/448580.shtml","http://www.12365auto.com/zlts/20200225/448580.shtml")</f>
        <v>http://www.12365auto.com/zlts/20200225/448580.shtml</v>
      </c>
      <c r="G2656" s="2"/>
      <c r="H2656" s="2" t="s">
        <v>3837</v>
      </c>
      <c r="I2656" s="2" t="s">
        <v>15</v>
      </c>
      <c r="J2656" s="2" t="s">
        <v>12</v>
      </c>
      <c r="K2656" s="2" t="s">
        <v>3838</v>
      </c>
      <c r="L2656" s="2">
        <f t="shared" si="41"/>
        <v>150</v>
      </c>
    </row>
    <row r="2657" spans="1:12" ht="25" customHeight="1">
      <c r="A2657" s="2" t="s">
        <v>12</v>
      </c>
      <c r="B2657" s="2" t="str">
        <f>HYPERLINK("http://bbs.12365auto.com/postcontent.aspx?tId=195075","2020年汽车可靠性排行榜：美系逆袭 雷克萨斯9连冠梦碎")</f>
        <v>2020年汽车可靠性排行榜：美系逆袭 雷克萨斯9连冠梦碎</v>
      </c>
      <c r="C2657" s="2" t="s">
        <v>13</v>
      </c>
      <c r="D2657" s="2" t="s">
        <v>12</v>
      </c>
      <c r="E2657" s="2" t="s">
        <v>27</v>
      </c>
      <c r="F2657" s="2" t="str">
        <f>HYPERLINK("http://bbs.12365auto.com/postcontent.aspx?tId=195075","http://bbs.12365auto.com/postcontent.aspx?tId=195075")</f>
        <v>http://bbs.12365auto.com/postcontent.aspx?tId=195075</v>
      </c>
      <c r="G2657" s="2"/>
      <c r="H2657" s="2" t="s">
        <v>3839</v>
      </c>
      <c r="I2657" s="2" t="s">
        <v>15</v>
      </c>
      <c r="J2657" s="2" t="s">
        <v>3840</v>
      </c>
      <c r="K2657" s="2" t="s">
        <v>3841</v>
      </c>
      <c r="L2657" s="2">
        <f t="shared" si="41"/>
        <v>150</v>
      </c>
    </row>
    <row r="2658" spans="1:12" ht="25" customHeight="1">
      <c r="A2658" s="2" t="s">
        <v>12</v>
      </c>
      <c r="B2658" s="2" t="str">
        <f>HYPERLINK("http://m.12365auto.com/bbs/postcontent.aspx?tID=195075","2020年汽车可靠性排行榜：美系逆袭 雷克萨斯9连冠梦碎")</f>
        <v>2020年汽车可靠性排行榜：美系逆袭 雷克萨斯9连冠梦碎</v>
      </c>
      <c r="C2658" s="2" t="s">
        <v>13</v>
      </c>
      <c r="D2658" s="2" t="s">
        <v>23</v>
      </c>
      <c r="E2658" s="2"/>
      <c r="F2658" s="2" t="str">
        <f>HYPERLINK("http://m.12365auto.com/bbs/postcontent.aspx?tID=195075","http://m.12365auto.com/bbs/postcontent.aspx?tID=195075")</f>
        <v>http://m.12365auto.com/bbs/postcontent.aspx?tID=195075</v>
      </c>
      <c r="G2658" s="2"/>
      <c r="H2658" s="2" t="s">
        <v>3839</v>
      </c>
      <c r="I2658" s="2" t="s">
        <v>15</v>
      </c>
      <c r="J2658" s="2" t="s">
        <v>3840</v>
      </c>
      <c r="K2658" s="2" t="s">
        <v>3841</v>
      </c>
      <c r="L2658" s="2">
        <f t="shared" si="41"/>
        <v>150</v>
      </c>
    </row>
    <row r="2659" spans="1:12" ht="25" customHeight="1">
      <c r="A2659" s="2" t="s">
        <v>12</v>
      </c>
      <c r="B2659" s="2" t="str">
        <f>HYPERLINK("http://bbs.12365auto.com/postcontent.aspx?tID=195075","2020年汽车可靠性排行榜：美系逆袭 雷克萨斯9连冠梦碎")</f>
        <v>2020年汽车可靠性排行榜：美系逆袭 雷克萨斯9连冠梦碎</v>
      </c>
      <c r="C2659" s="2" t="s">
        <v>13</v>
      </c>
      <c r="D2659" s="2" t="s">
        <v>12</v>
      </c>
      <c r="E2659" s="2" t="s">
        <v>28</v>
      </c>
      <c r="F2659" s="2" t="str">
        <f>HYPERLINK("http://bbs.12365auto.com/postcontent.aspx?tID=195075","http://bbs.12365auto.com/postcontent.aspx?tID=195075")</f>
        <v>http://bbs.12365auto.com/postcontent.aspx?tID=195075</v>
      </c>
      <c r="G2659" s="2"/>
      <c r="H2659" s="2" t="s">
        <v>3842</v>
      </c>
      <c r="I2659" s="2" t="s">
        <v>15</v>
      </c>
      <c r="J2659" s="2" t="s">
        <v>3840</v>
      </c>
      <c r="K2659" s="2" t="s">
        <v>3841</v>
      </c>
      <c r="L2659" s="2">
        <f t="shared" si="41"/>
        <v>150</v>
      </c>
    </row>
    <row r="2660" spans="1:12" ht="25" customHeight="1">
      <c r="A2660" s="2" t="s">
        <v>12</v>
      </c>
      <c r="B2660" s="2" t="str">
        <f>HYPERLINK("http://bbs.12365auto.com/postcontent.aspx?tId=195073","英国人眼中十佳中级车都谁？没想到 这几款在国内也抢手")</f>
        <v>英国人眼中十佳中级车都谁？没想到 这几款在国内也抢手</v>
      </c>
      <c r="C2660" s="2" t="s">
        <v>13</v>
      </c>
      <c r="D2660" s="2" t="s">
        <v>12</v>
      </c>
      <c r="E2660" s="2" t="s">
        <v>27</v>
      </c>
      <c r="F2660" s="2" t="str">
        <f>HYPERLINK("http://bbs.12365auto.com/postcontent.aspx?tId=195073","http://bbs.12365auto.com/postcontent.aspx?tId=195073")</f>
        <v>http://bbs.12365auto.com/postcontent.aspx?tId=195073</v>
      </c>
      <c r="G2660" s="2"/>
      <c r="H2660" s="2" t="s">
        <v>3843</v>
      </c>
      <c r="I2660" s="2" t="s">
        <v>15</v>
      </c>
      <c r="J2660" s="2" t="s">
        <v>3840</v>
      </c>
      <c r="K2660" s="2" t="s">
        <v>3844</v>
      </c>
      <c r="L2660" s="2">
        <f t="shared" si="41"/>
        <v>150</v>
      </c>
    </row>
    <row r="2661" spans="1:12" ht="25" customHeight="1">
      <c r="A2661" s="2" t="s">
        <v>12</v>
      </c>
      <c r="B2661" s="2" t="str">
        <f>HYPERLINK("http://bbs.12365auto.com/postcontent.aspx?tId=195074","外形呆萌 内心躁动 福特PUMA ST无伪装谍照曝光")</f>
        <v>外形呆萌 内心躁动 福特PUMA ST无伪装谍照曝光</v>
      </c>
      <c r="C2661" s="2" t="s">
        <v>13</v>
      </c>
      <c r="D2661" s="2" t="s">
        <v>12</v>
      </c>
      <c r="E2661" s="2" t="s">
        <v>27</v>
      </c>
      <c r="F2661" s="2" t="str">
        <f>HYPERLINK("http://bbs.12365auto.com/postcontent.aspx?tId=195074","http://bbs.12365auto.com/postcontent.aspx?tId=195074")</f>
        <v>http://bbs.12365auto.com/postcontent.aspx?tId=195074</v>
      </c>
      <c r="G2661" s="2"/>
      <c r="H2661" s="2" t="s">
        <v>3845</v>
      </c>
      <c r="I2661" s="2" t="s">
        <v>15</v>
      </c>
      <c r="J2661" s="2" t="s">
        <v>3840</v>
      </c>
      <c r="K2661" s="2" t="s">
        <v>3844</v>
      </c>
      <c r="L2661" s="2">
        <f t="shared" si="41"/>
        <v>150</v>
      </c>
    </row>
    <row r="2662" spans="1:12" ht="25" customHeight="1">
      <c r="A2662" s="2" t="s">
        <v>12</v>
      </c>
      <c r="B2662" s="2" t="str">
        <f>HYPERLINK("http://m.12365auto.com/bbs/postcontent.aspx?tID=195074","外形呆萌 内心躁动 福特PUMA ST无伪装谍照曝光")</f>
        <v>外形呆萌 内心躁动 福特PUMA ST无伪装谍照曝光</v>
      </c>
      <c r="C2662" s="2" t="s">
        <v>13</v>
      </c>
      <c r="D2662" s="2" t="s">
        <v>23</v>
      </c>
      <c r="E2662" s="2"/>
      <c r="F2662" s="2" t="str">
        <f>HYPERLINK("http://m.12365auto.com/bbs/postcontent.aspx?tID=195074","http://m.12365auto.com/bbs/postcontent.aspx?tID=195074")</f>
        <v>http://m.12365auto.com/bbs/postcontent.aspx?tID=195074</v>
      </c>
      <c r="G2662" s="2"/>
      <c r="H2662" s="2" t="s">
        <v>3845</v>
      </c>
      <c r="I2662" s="2" t="s">
        <v>15</v>
      </c>
      <c r="J2662" s="2" t="s">
        <v>3840</v>
      </c>
      <c r="K2662" s="2" t="s">
        <v>3844</v>
      </c>
      <c r="L2662" s="2">
        <f t="shared" si="41"/>
        <v>150</v>
      </c>
    </row>
    <row r="2663" spans="1:12" ht="25" customHeight="1">
      <c r="A2663" s="2" t="s">
        <v>12</v>
      </c>
      <c r="B2663" s="2" t="str">
        <f>HYPERLINK("http://m.12365auto.com/bbs/postcontent.aspx?tID=195073","英国人眼中十佳中级车都谁？没想到 这几款在国内也抢手")</f>
        <v>英国人眼中十佳中级车都谁？没想到 这几款在国内也抢手</v>
      </c>
      <c r="C2663" s="2" t="s">
        <v>13</v>
      </c>
      <c r="D2663" s="2" t="s">
        <v>23</v>
      </c>
      <c r="E2663" s="2"/>
      <c r="F2663" s="2" t="str">
        <f>HYPERLINK("http://m.12365auto.com/bbs/postcontent.aspx?tID=195073","http://m.12365auto.com/bbs/postcontent.aspx?tID=195073")</f>
        <v>http://m.12365auto.com/bbs/postcontent.aspx?tID=195073</v>
      </c>
      <c r="G2663" s="2"/>
      <c r="H2663" s="2" t="s">
        <v>3843</v>
      </c>
      <c r="I2663" s="2" t="s">
        <v>15</v>
      </c>
      <c r="J2663" s="2" t="s">
        <v>3840</v>
      </c>
      <c r="K2663" s="2" t="s">
        <v>3844</v>
      </c>
      <c r="L2663" s="2">
        <f t="shared" si="41"/>
        <v>150</v>
      </c>
    </row>
    <row r="2664" spans="1:12" ht="25" customHeight="1">
      <c r="A2664" s="2" t="s">
        <v>12</v>
      </c>
      <c r="B2664" s="2" t="str">
        <f>HYPERLINK("http://bbs.12365auto.com/postcontent.aspx?tID=195074","外形呆萌 内心躁动 福特PUMA ST无伪装谍照曝光")</f>
        <v>外形呆萌 内心躁动 福特PUMA ST无伪装谍照曝光</v>
      </c>
      <c r="C2664" s="2" t="s">
        <v>13</v>
      </c>
      <c r="D2664" s="2" t="s">
        <v>12</v>
      </c>
      <c r="E2664" s="2" t="s">
        <v>28</v>
      </c>
      <c r="F2664" s="2" t="str">
        <f>HYPERLINK("http://bbs.12365auto.com/postcontent.aspx?tID=195074","http://bbs.12365auto.com/postcontent.aspx?tID=195074")</f>
        <v>http://bbs.12365auto.com/postcontent.aspx?tID=195074</v>
      </c>
      <c r="G2664" s="2"/>
      <c r="H2664" s="2" t="s">
        <v>3846</v>
      </c>
      <c r="I2664" s="2" t="s">
        <v>15</v>
      </c>
      <c r="J2664" s="2" t="s">
        <v>3840</v>
      </c>
      <c r="K2664" s="2" t="s">
        <v>3844</v>
      </c>
      <c r="L2664" s="2">
        <f t="shared" si="41"/>
        <v>150</v>
      </c>
    </row>
    <row r="2665" spans="1:12" ht="25" customHeight="1">
      <c r="A2665" s="2" t="s">
        <v>12</v>
      </c>
      <c r="B2665" s="2" t="str">
        <f>HYPERLINK("http://bbs.12365auto.com/postcontent.aspx?tID=195073","英国人眼中十佳中级车都谁？没想到 这几款在国内也抢手")</f>
        <v>英国人眼中十佳中级车都谁？没想到 这几款在国内也抢手</v>
      </c>
      <c r="C2665" s="2" t="s">
        <v>13</v>
      </c>
      <c r="D2665" s="2" t="s">
        <v>12</v>
      </c>
      <c r="E2665" s="2" t="s">
        <v>28</v>
      </c>
      <c r="F2665" s="2" t="str">
        <f>HYPERLINK("http://bbs.12365auto.com/postcontent.aspx?tID=195073","http://bbs.12365auto.com/postcontent.aspx?tID=195073")</f>
        <v>http://bbs.12365auto.com/postcontent.aspx?tID=195073</v>
      </c>
      <c r="G2665" s="2"/>
      <c r="H2665" s="2" t="s">
        <v>3847</v>
      </c>
      <c r="I2665" s="2" t="s">
        <v>15</v>
      </c>
      <c r="J2665" s="2" t="s">
        <v>3840</v>
      </c>
      <c r="K2665" s="2" t="s">
        <v>3844</v>
      </c>
      <c r="L2665" s="2">
        <f t="shared" si="41"/>
        <v>150</v>
      </c>
    </row>
    <row r="2666" spans="1:12" ht="25" customHeight="1">
      <c r="A2666" s="2" t="s">
        <v>12</v>
      </c>
      <c r="B2666" s="2" t="str">
        <f>HYPERLINK("http://m.12365auto.com/zjdy/20200225/121609.shtml","发动机无法启动挡位指示灯亮什么原因？")</f>
        <v>发动机无法启动挡位指示灯亮什么原因？</v>
      </c>
      <c r="C2666" s="2" t="s">
        <v>13</v>
      </c>
      <c r="D2666" s="2" t="s">
        <v>12</v>
      </c>
      <c r="E2666" s="2"/>
      <c r="F2666" s="2" t="str">
        <f>HYPERLINK("http://m.12365auto.com/zjdy/20200225/121609.shtml","http://m.12365auto.com/zjdy/20200225/121609.shtml")</f>
        <v>http://m.12365auto.com/zjdy/20200225/121609.shtml</v>
      </c>
      <c r="G2666" s="2"/>
      <c r="H2666" s="2" t="s">
        <v>3848</v>
      </c>
      <c r="I2666" s="2" t="s">
        <v>19</v>
      </c>
      <c r="J2666" s="2" t="s">
        <v>12</v>
      </c>
      <c r="K2666" s="2" t="s">
        <v>3849</v>
      </c>
      <c r="L2666" s="2">
        <f t="shared" si="41"/>
        <v>34</v>
      </c>
    </row>
    <row r="2667" spans="1:12" ht="25" customHeight="1">
      <c r="A2667" s="2" t="s">
        <v>12</v>
      </c>
      <c r="B2667" s="2" t="str">
        <f>HYPERLINK("http://bbs.12365auto.com/postcontent.aspx?tId=195071","蔚来汽车质量如何 我们先从蔚来合肥的“保时捷”工厂说起吧")</f>
        <v>蔚来汽车质量如何 我们先从蔚来合肥的“保时捷”工厂说起吧</v>
      </c>
      <c r="C2667" s="2" t="s">
        <v>13</v>
      </c>
      <c r="D2667" s="2" t="s">
        <v>12</v>
      </c>
      <c r="E2667" s="2" t="s">
        <v>27</v>
      </c>
      <c r="F2667" s="2" t="str">
        <f>HYPERLINK("http://bbs.12365auto.com/postcontent.aspx?tId=195071","http://bbs.12365auto.com/postcontent.aspx?tId=195071")</f>
        <v>http://bbs.12365auto.com/postcontent.aspx?tId=195071</v>
      </c>
      <c r="G2667" s="2"/>
      <c r="H2667" s="2" t="s">
        <v>3850</v>
      </c>
      <c r="I2667" s="2" t="s">
        <v>15</v>
      </c>
      <c r="J2667" s="2" t="s">
        <v>3840</v>
      </c>
      <c r="K2667" s="2" t="s">
        <v>3851</v>
      </c>
      <c r="L2667" s="2">
        <f t="shared" si="41"/>
        <v>150</v>
      </c>
    </row>
    <row r="2668" spans="1:12" ht="25" customHeight="1">
      <c r="A2668" s="2" t="s">
        <v>12</v>
      </c>
      <c r="B2668" s="2" t="str">
        <f>HYPERLINK("http://bbs.12365auto.com/postcontent.aspx?tId=195072","11万预算买车你会怎么选？宝来 VS 桑塔纳,听听大家怎么说!")</f>
        <v>11万预算买车你会怎么选？宝来 VS 桑塔纳,听听大家怎么说!</v>
      </c>
      <c r="C2668" s="2" t="s">
        <v>13</v>
      </c>
      <c r="D2668" s="2" t="s">
        <v>12</v>
      </c>
      <c r="E2668" s="2" t="s">
        <v>27</v>
      </c>
      <c r="F2668" s="2" t="str">
        <f>HYPERLINK("http://bbs.12365auto.com/postcontent.aspx?tId=195072","http://bbs.12365auto.com/postcontent.aspx?tId=195072")</f>
        <v>http://bbs.12365auto.com/postcontent.aspx?tId=195072</v>
      </c>
      <c r="G2668" s="2"/>
      <c r="H2668" s="2" t="s">
        <v>3852</v>
      </c>
      <c r="I2668" s="2" t="s">
        <v>15</v>
      </c>
      <c r="J2668" s="2" t="s">
        <v>3840</v>
      </c>
      <c r="K2668" s="2" t="s">
        <v>3851</v>
      </c>
      <c r="L2668" s="2">
        <f t="shared" si="41"/>
        <v>150</v>
      </c>
    </row>
    <row r="2669" spans="1:12" ht="25" customHeight="1">
      <c r="A2669" s="2" t="s">
        <v>12</v>
      </c>
      <c r="B2669" s="2" t="str">
        <f>HYPERLINK("http://m.12365auto.com/bbs/postcontent.aspx?tID=195072","11万预算买车你会怎么选？宝来 VS 桑塔纳,听听大家怎么说!")</f>
        <v>11万预算买车你会怎么选？宝来 VS 桑塔纳,听听大家怎么说!</v>
      </c>
      <c r="C2669" s="2" t="s">
        <v>13</v>
      </c>
      <c r="D2669" s="2" t="s">
        <v>23</v>
      </c>
      <c r="E2669" s="2"/>
      <c r="F2669" s="2" t="str">
        <f>HYPERLINK("http://m.12365auto.com/bbs/postcontent.aspx?tID=195072","http://m.12365auto.com/bbs/postcontent.aspx?tID=195072")</f>
        <v>http://m.12365auto.com/bbs/postcontent.aspx?tID=195072</v>
      </c>
      <c r="G2669" s="2"/>
      <c r="H2669" s="2" t="s">
        <v>3852</v>
      </c>
      <c r="I2669" s="2" t="s">
        <v>15</v>
      </c>
      <c r="J2669" s="2" t="s">
        <v>3840</v>
      </c>
      <c r="K2669" s="2" t="s">
        <v>3851</v>
      </c>
      <c r="L2669" s="2">
        <f t="shared" si="41"/>
        <v>150</v>
      </c>
    </row>
    <row r="2670" spans="1:12" ht="25" customHeight="1">
      <c r="A2670" s="2" t="s">
        <v>12</v>
      </c>
      <c r="B2670" s="2" t="str">
        <f>HYPERLINK("http://m.12365auto.com/bbs/postcontent.aspx?tID=195071","蔚来汽车质量如何 我们先从蔚来合肥的“保时捷”工厂说起吧")</f>
        <v>蔚来汽车质量如何 我们先从蔚来合肥的“保时捷”工厂说起吧</v>
      </c>
      <c r="C2670" s="2" t="s">
        <v>13</v>
      </c>
      <c r="D2670" s="2" t="s">
        <v>23</v>
      </c>
      <c r="E2670" s="2"/>
      <c r="F2670" s="2" t="str">
        <f>HYPERLINK("http://m.12365auto.com/bbs/postcontent.aspx?tID=195071","http://m.12365auto.com/bbs/postcontent.aspx?tID=195071")</f>
        <v>http://m.12365auto.com/bbs/postcontent.aspx?tID=195071</v>
      </c>
      <c r="G2670" s="2"/>
      <c r="H2670" s="2" t="s">
        <v>3850</v>
      </c>
      <c r="I2670" s="2" t="s">
        <v>15</v>
      </c>
      <c r="J2670" s="2" t="s">
        <v>3840</v>
      </c>
      <c r="K2670" s="2" t="s">
        <v>3851</v>
      </c>
      <c r="L2670" s="2">
        <f t="shared" si="41"/>
        <v>150</v>
      </c>
    </row>
    <row r="2671" spans="1:12" ht="25" customHeight="1">
      <c r="A2671" s="2" t="s">
        <v>12</v>
      </c>
      <c r="B2671" s="2" t="str">
        <f>HYPERLINK("http://bbs.12365auto.com/postcontent.aspx?tID=195072","11万预算买车你会怎么选？宝来 VS 桑塔纳,听听大家怎么说!")</f>
        <v>11万预算买车你会怎么选？宝来 VS 桑塔纳,听听大家怎么说!</v>
      </c>
      <c r="C2671" s="2" t="s">
        <v>13</v>
      </c>
      <c r="D2671" s="2" t="s">
        <v>12</v>
      </c>
      <c r="E2671" s="2" t="s">
        <v>28</v>
      </c>
      <c r="F2671" s="2" t="str">
        <f>HYPERLINK("http://bbs.12365auto.com/postcontent.aspx?tID=195072","http://bbs.12365auto.com/postcontent.aspx?tID=195072")</f>
        <v>http://bbs.12365auto.com/postcontent.aspx?tID=195072</v>
      </c>
      <c r="G2671" s="2"/>
      <c r="H2671" s="2" t="s">
        <v>3853</v>
      </c>
      <c r="I2671" s="2" t="s">
        <v>15</v>
      </c>
      <c r="J2671" s="2" t="s">
        <v>3840</v>
      </c>
      <c r="K2671" s="2" t="s">
        <v>3851</v>
      </c>
      <c r="L2671" s="2">
        <f t="shared" si="41"/>
        <v>150</v>
      </c>
    </row>
    <row r="2672" spans="1:12" ht="25" customHeight="1">
      <c r="A2672" s="2" t="s">
        <v>12</v>
      </c>
      <c r="B2672" s="2" t="str">
        <f>HYPERLINK("http://bbs.12365auto.com/postcontent.aspx?tID=195071","蔚来汽车质量如何 我们先从蔚来合肥的“保时捷”工厂说起吧")</f>
        <v>蔚来汽车质量如何 我们先从蔚来合肥的“保时捷”工厂说起吧</v>
      </c>
      <c r="C2672" s="2" t="s">
        <v>13</v>
      </c>
      <c r="D2672" s="2" t="s">
        <v>12</v>
      </c>
      <c r="E2672" s="2" t="s">
        <v>28</v>
      </c>
      <c r="F2672" s="2" t="str">
        <f>HYPERLINK("http://bbs.12365auto.com/postcontent.aspx?tID=195071","http://bbs.12365auto.com/postcontent.aspx?tID=195071")</f>
        <v>http://bbs.12365auto.com/postcontent.aspx?tID=195071</v>
      </c>
      <c r="G2672" s="2"/>
      <c r="H2672" s="2" t="s">
        <v>3854</v>
      </c>
      <c r="I2672" s="2" t="s">
        <v>15</v>
      </c>
      <c r="J2672" s="2" t="s">
        <v>3840</v>
      </c>
      <c r="K2672" s="2" t="s">
        <v>3851</v>
      </c>
      <c r="L2672" s="2">
        <f t="shared" si="41"/>
        <v>150</v>
      </c>
    </row>
    <row r="2673" spans="1:12" ht="25" customHeight="1">
      <c r="A2673" s="2" t="s">
        <v>12</v>
      </c>
      <c r="B2673" s="2" t="str">
        <f>HYPERLINK("http://bbs.12365auto.com/postcontent.aspx?tId=195070","天助自助者 中国汽车制造商加速进军印度")</f>
        <v>天助自助者 中国汽车制造商加速进军印度</v>
      </c>
      <c r="C2673" s="2" t="s">
        <v>13</v>
      </c>
      <c r="D2673" s="2" t="s">
        <v>12</v>
      </c>
      <c r="E2673" s="2" t="s">
        <v>27</v>
      </c>
      <c r="F2673" s="2" t="str">
        <f>HYPERLINK("http://bbs.12365auto.com/postcontent.aspx?tId=195070","http://bbs.12365auto.com/postcontent.aspx?tId=195070")</f>
        <v>http://bbs.12365auto.com/postcontent.aspx?tId=195070</v>
      </c>
      <c r="G2673" s="2"/>
      <c r="H2673" s="2" t="s">
        <v>3855</v>
      </c>
      <c r="I2673" s="2" t="s">
        <v>15</v>
      </c>
      <c r="J2673" s="2" t="s">
        <v>3840</v>
      </c>
      <c r="K2673" s="2" t="s">
        <v>3856</v>
      </c>
      <c r="L2673" s="2">
        <f t="shared" si="41"/>
        <v>150</v>
      </c>
    </row>
    <row r="2674" spans="1:12" ht="25" customHeight="1">
      <c r="A2674" s="2" t="s">
        <v>12</v>
      </c>
      <c r="B2674" s="2" t="str">
        <f>HYPERLINK("http://m.12365auto.com/bbs/postcontent.aspx?tID=195070","天助自助者 中国汽车制造商加速进军印度")</f>
        <v>天助自助者 中国汽车制造商加速进军印度</v>
      </c>
      <c r="C2674" s="2" t="s">
        <v>13</v>
      </c>
      <c r="D2674" s="2" t="s">
        <v>23</v>
      </c>
      <c r="E2674" s="2"/>
      <c r="F2674" s="2" t="str">
        <f>HYPERLINK("http://m.12365auto.com/bbs/postcontent.aspx?tID=195070","http://m.12365auto.com/bbs/postcontent.aspx?tID=195070")</f>
        <v>http://m.12365auto.com/bbs/postcontent.aspx?tID=195070</v>
      </c>
      <c r="G2674" s="2"/>
      <c r="H2674" s="2" t="s">
        <v>3855</v>
      </c>
      <c r="I2674" s="2" t="s">
        <v>15</v>
      </c>
      <c r="J2674" s="2" t="s">
        <v>3840</v>
      </c>
      <c r="K2674" s="2" t="s">
        <v>3856</v>
      </c>
      <c r="L2674" s="2">
        <f t="shared" si="41"/>
        <v>150</v>
      </c>
    </row>
    <row r="2675" spans="1:12" ht="25" customHeight="1">
      <c r="A2675" s="2" t="s">
        <v>12</v>
      </c>
      <c r="B2675" s="2" t="str">
        <f>HYPERLINK("http://m.12365auto.com/bbs/postcontent.aspx?tID=195068","路特斯品牌“重生”计划重要节点 EVIJA全新工厂揭幕")</f>
        <v>路特斯品牌“重生”计划重要节点 EVIJA全新工厂揭幕</v>
      </c>
      <c r="C2675" s="2" t="s">
        <v>13</v>
      </c>
      <c r="D2675" s="2" t="s">
        <v>23</v>
      </c>
      <c r="E2675" s="2"/>
      <c r="F2675" s="2" t="str">
        <f>HYPERLINK("http://m.12365auto.com/bbs/postcontent.aspx?tID=195068","http://m.12365auto.com/bbs/postcontent.aspx?tID=195068")</f>
        <v>http://m.12365auto.com/bbs/postcontent.aspx?tID=195068</v>
      </c>
      <c r="G2675" s="2"/>
      <c r="H2675" s="2" t="s">
        <v>3857</v>
      </c>
      <c r="I2675" s="2" t="s">
        <v>15</v>
      </c>
      <c r="J2675" s="2" t="s">
        <v>3840</v>
      </c>
      <c r="K2675" s="2" t="s">
        <v>3856</v>
      </c>
      <c r="L2675" s="2">
        <f t="shared" si="41"/>
        <v>150</v>
      </c>
    </row>
    <row r="2676" spans="1:12" ht="25" customHeight="1">
      <c r="A2676" s="2" t="s">
        <v>12</v>
      </c>
      <c r="B2676" s="2" t="str">
        <f>HYPERLINK("http://m.12365auto.com/bbs/postcontent.aspx?tID=195069","自动驾驶增功能 尺寸未定 特斯拉Model Y竞争力分析")</f>
        <v>自动驾驶增功能 尺寸未定 特斯拉Model Y竞争力分析</v>
      </c>
      <c r="C2676" s="2" t="s">
        <v>13</v>
      </c>
      <c r="D2676" s="2" t="s">
        <v>23</v>
      </c>
      <c r="E2676" s="2"/>
      <c r="F2676" s="2" t="str">
        <f>HYPERLINK("http://m.12365auto.com/bbs/postcontent.aspx?tID=195069","http://m.12365auto.com/bbs/postcontent.aspx?tID=195069")</f>
        <v>http://m.12365auto.com/bbs/postcontent.aspx?tID=195069</v>
      </c>
      <c r="G2676" s="2"/>
      <c r="H2676" s="2" t="s">
        <v>3858</v>
      </c>
      <c r="I2676" s="2" t="s">
        <v>15</v>
      </c>
      <c r="J2676" s="2" t="s">
        <v>3840</v>
      </c>
      <c r="K2676" s="2" t="s">
        <v>3856</v>
      </c>
      <c r="L2676" s="2">
        <f t="shared" si="41"/>
        <v>150</v>
      </c>
    </row>
    <row r="2677" spans="1:12" ht="25" customHeight="1">
      <c r="A2677" s="2" t="s">
        <v>12</v>
      </c>
      <c r="B2677" s="2" t="str">
        <f>HYPERLINK("http://bbs.12365auto.com/postcontent.aspx?tID=195068","路特斯品牌“重生”计划重要节点 EVIJA全新工厂揭幕")</f>
        <v>路特斯品牌“重生”计划重要节点 EVIJA全新工厂揭幕</v>
      </c>
      <c r="C2677" s="2" t="s">
        <v>13</v>
      </c>
      <c r="D2677" s="2" t="s">
        <v>12</v>
      </c>
      <c r="E2677" s="2" t="s">
        <v>28</v>
      </c>
      <c r="F2677" s="2" t="str">
        <f>HYPERLINK("http://bbs.12365auto.com/postcontent.aspx?tID=195068","http://bbs.12365auto.com/postcontent.aspx?tID=195068")</f>
        <v>http://bbs.12365auto.com/postcontent.aspx?tID=195068</v>
      </c>
      <c r="G2677" s="2"/>
      <c r="H2677" s="2" t="s">
        <v>3859</v>
      </c>
      <c r="I2677" s="2" t="s">
        <v>15</v>
      </c>
      <c r="J2677" s="2" t="s">
        <v>3840</v>
      </c>
      <c r="K2677" s="2" t="s">
        <v>3856</v>
      </c>
      <c r="L2677" s="2">
        <f t="shared" si="41"/>
        <v>150</v>
      </c>
    </row>
    <row r="2678" spans="1:12" ht="25" customHeight="1">
      <c r="A2678" s="2" t="s">
        <v>12</v>
      </c>
      <c r="B2678" s="2" t="str">
        <f>HYPERLINK("http://bbs.12365auto.com/postcontent.aspx?tID=195070","天助自助者 中国汽车制造商加速进军印度")</f>
        <v>天助自助者 中国汽车制造商加速进军印度</v>
      </c>
      <c r="C2678" s="2" t="s">
        <v>13</v>
      </c>
      <c r="D2678" s="2" t="s">
        <v>12</v>
      </c>
      <c r="E2678" s="2" t="s">
        <v>28</v>
      </c>
      <c r="F2678" s="2" t="str">
        <f>HYPERLINK("http://bbs.12365auto.com/postcontent.aspx?tID=195070","http://bbs.12365auto.com/postcontent.aspx?tID=195070")</f>
        <v>http://bbs.12365auto.com/postcontent.aspx?tID=195070</v>
      </c>
      <c r="G2678" s="2"/>
      <c r="H2678" s="2" t="s">
        <v>3860</v>
      </c>
      <c r="I2678" s="2" t="s">
        <v>15</v>
      </c>
      <c r="J2678" s="2" t="s">
        <v>3840</v>
      </c>
      <c r="K2678" s="2" t="s">
        <v>3856</v>
      </c>
      <c r="L2678" s="2">
        <f t="shared" si="41"/>
        <v>150</v>
      </c>
    </row>
    <row r="2679" spans="1:12" ht="25" customHeight="1">
      <c r="A2679" s="2" t="s">
        <v>12</v>
      </c>
      <c r="B2679" s="2" t="str">
        <f>HYPERLINK("http://bbs.12365auto.com/postcontent.aspx?tID=195069","自动驾驶增功能 尺寸未定 特斯拉Model Y竞争力分析")</f>
        <v>自动驾驶增功能 尺寸未定 特斯拉Model Y竞争力分析</v>
      </c>
      <c r="C2679" s="2" t="s">
        <v>13</v>
      </c>
      <c r="D2679" s="2" t="s">
        <v>12</v>
      </c>
      <c r="E2679" s="2" t="s">
        <v>28</v>
      </c>
      <c r="F2679" s="2" t="str">
        <f>HYPERLINK("http://bbs.12365auto.com/postcontent.aspx?tID=195069","http://bbs.12365auto.com/postcontent.aspx?tID=195069")</f>
        <v>http://bbs.12365auto.com/postcontent.aspx?tID=195069</v>
      </c>
      <c r="G2679" s="2"/>
      <c r="H2679" s="2" t="s">
        <v>3861</v>
      </c>
      <c r="I2679" s="2" t="s">
        <v>15</v>
      </c>
      <c r="J2679" s="2" t="s">
        <v>3840</v>
      </c>
      <c r="K2679" s="2" t="s">
        <v>3856</v>
      </c>
      <c r="L2679" s="2">
        <f t="shared" si="41"/>
        <v>150</v>
      </c>
    </row>
    <row r="2680" spans="1:12" ht="25" customHeight="1">
      <c r="A2680" s="2" t="s">
        <v>12</v>
      </c>
      <c r="B2680" s="2" t="str">
        <f>HYPERLINK("http://bbs.12365auto.com/postcontent.aspx?tId=195069","自动驾驶增功能 尺寸未定 特斯拉Model Y竞争力分析")</f>
        <v>自动驾驶增功能 尺寸未定 特斯拉Model Y竞争力分析</v>
      </c>
      <c r="C2680" s="2" t="s">
        <v>13</v>
      </c>
      <c r="D2680" s="2" t="s">
        <v>12</v>
      </c>
      <c r="E2680" s="2" t="s">
        <v>27</v>
      </c>
      <c r="F2680" s="2" t="str">
        <f>HYPERLINK("http://bbs.12365auto.com/postcontent.aspx?tId=195069","http://bbs.12365auto.com/postcontent.aspx?tId=195069")</f>
        <v>http://bbs.12365auto.com/postcontent.aspx?tId=195069</v>
      </c>
      <c r="G2680" s="2"/>
      <c r="H2680" s="2" t="s">
        <v>3858</v>
      </c>
      <c r="I2680" s="2" t="s">
        <v>15</v>
      </c>
      <c r="J2680" s="2" t="s">
        <v>3840</v>
      </c>
      <c r="K2680" s="2" t="s">
        <v>3856</v>
      </c>
      <c r="L2680" s="2">
        <f t="shared" si="41"/>
        <v>150</v>
      </c>
    </row>
    <row r="2681" spans="1:12" ht="25" customHeight="1">
      <c r="A2681" s="2" t="s">
        <v>12</v>
      </c>
      <c r="B2681" s="2" t="str">
        <f>HYPERLINK("http://bbs.12365auto.com/postcontent.aspx?tId=195068","路特斯品牌“重生”计划重要节点 EVIJA全新工厂揭幕")</f>
        <v>路特斯品牌“重生”计划重要节点 EVIJA全新工厂揭幕</v>
      </c>
      <c r="C2681" s="2" t="s">
        <v>13</v>
      </c>
      <c r="D2681" s="2" t="s">
        <v>12</v>
      </c>
      <c r="E2681" s="2" t="s">
        <v>27</v>
      </c>
      <c r="F2681" s="2" t="str">
        <f>HYPERLINK("http://bbs.12365auto.com/postcontent.aspx?tId=195068","http://bbs.12365auto.com/postcontent.aspx?tId=195068")</f>
        <v>http://bbs.12365auto.com/postcontent.aspx?tId=195068</v>
      </c>
      <c r="G2681" s="2"/>
      <c r="H2681" s="2" t="s">
        <v>3857</v>
      </c>
      <c r="I2681" s="2" t="s">
        <v>15</v>
      </c>
      <c r="J2681" s="2" t="s">
        <v>3840</v>
      </c>
      <c r="K2681" s="2" t="s">
        <v>3856</v>
      </c>
      <c r="L2681" s="2">
        <f t="shared" si="41"/>
        <v>150</v>
      </c>
    </row>
    <row r="2682" spans="1:12" ht="25" customHeight="1">
      <c r="A2682" s="2" t="s">
        <v>12</v>
      </c>
      <c r="B2682" s="2" t="str">
        <f>HYPERLINK("http://bbs.12365auto.com/postcontent.aspx?tId=195065","适合“工薪族”的2款国产家用车 油耗经济")</f>
        <v>适合“工薪族”的2款国产家用车 油耗经济</v>
      </c>
      <c r="C2682" s="2" t="s">
        <v>13</v>
      </c>
      <c r="D2682" s="2" t="s">
        <v>12</v>
      </c>
      <c r="E2682" s="2" t="s">
        <v>210</v>
      </c>
      <c r="F2682" s="2" t="str">
        <f>HYPERLINK("http://bbs.12365auto.com/postcontent.aspx?tId=195065","http://bbs.12365auto.com/postcontent.aspx?tId=195065")</f>
        <v>http://bbs.12365auto.com/postcontent.aspx?tId=195065</v>
      </c>
      <c r="G2682" s="2"/>
      <c r="H2682" s="2" t="s">
        <v>3862</v>
      </c>
      <c r="I2682" s="2" t="s">
        <v>15</v>
      </c>
      <c r="J2682" s="2" t="s">
        <v>1276</v>
      </c>
      <c r="K2682" s="2" t="s">
        <v>3863</v>
      </c>
      <c r="L2682" s="2">
        <f t="shared" si="41"/>
        <v>150</v>
      </c>
    </row>
    <row r="2683" spans="1:12" ht="25" customHeight="1">
      <c r="A2683" s="2" t="s">
        <v>12</v>
      </c>
      <c r="B2683" s="2" t="str">
        <f>HYPERLINK("http://m.12365auto.com/bbs/postcontent.aspx?tID=195065","适合“工薪族”的2款国产家用车 油耗经济")</f>
        <v>适合“工薪族”的2款国产家用车 油耗经济</v>
      </c>
      <c r="C2683" s="2" t="s">
        <v>13</v>
      </c>
      <c r="D2683" s="2" t="s">
        <v>23</v>
      </c>
      <c r="E2683" s="2"/>
      <c r="F2683" s="2" t="str">
        <f>HYPERLINK("http://m.12365auto.com/bbs/postcontent.aspx?tID=195065","http://m.12365auto.com/bbs/postcontent.aspx?tID=195065")</f>
        <v>http://m.12365auto.com/bbs/postcontent.aspx?tID=195065</v>
      </c>
      <c r="G2683" s="2"/>
      <c r="H2683" s="2" t="s">
        <v>3862</v>
      </c>
      <c r="I2683" s="2" t="s">
        <v>15</v>
      </c>
      <c r="J2683" s="2" t="s">
        <v>1276</v>
      </c>
      <c r="K2683" s="2" t="s">
        <v>3863</v>
      </c>
      <c r="L2683" s="2">
        <f t="shared" si="41"/>
        <v>150</v>
      </c>
    </row>
    <row r="2684" spans="1:12" ht="25" customHeight="1">
      <c r="A2684" s="2" t="s">
        <v>12</v>
      </c>
      <c r="B2684" s="2" t="str">
        <f>HYPERLINK("http://bbs.12365auto.com/postcontent.aspx?tID=195065","适合“工薪族”的2款国产家用车 油耗经济")</f>
        <v>适合“工薪族”的2款国产家用车 油耗经济</v>
      </c>
      <c r="C2684" s="2" t="s">
        <v>13</v>
      </c>
      <c r="D2684" s="2" t="s">
        <v>12</v>
      </c>
      <c r="E2684" s="2" t="s">
        <v>214</v>
      </c>
      <c r="F2684" s="2" t="str">
        <f>HYPERLINK("http://bbs.12365auto.com/postcontent.aspx?tID=195065","http://bbs.12365auto.com/postcontent.aspx?tID=195065")</f>
        <v>http://bbs.12365auto.com/postcontent.aspx?tID=195065</v>
      </c>
      <c r="G2684" s="2"/>
      <c r="H2684" s="2" t="s">
        <v>3864</v>
      </c>
      <c r="I2684" s="2" t="s">
        <v>15</v>
      </c>
      <c r="J2684" s="2" t="s">
        <v>1276</v>
      </c>
      <c r="K2684" s="2" t="s">
        <v>3863</v>
      </c>
      <c r="L2684" s="2">
        <f t="shared" si="41"/>
        <v>150</v>
      </c>
    </row>
    <row r="2685" spans="1:12" ht="25" customHeight="1">
      <c r="A2685" s="2" t="s">
        <v>12</v>
      </c>
      <c r="B2685" s="2" t="str">
        <f>HYPERLINK("http://bbs.12365auto.com/postcontent.aspx?tID=195066","DS9将出插电混动版 宝能到底爱TA还是观致")</f>
        <v>DS9将出插电混动版 宝能到底爱TA还是观致</v>
      </c>
      <c r="C2685" s="2" t="s">
        <v>13</v>
      </c>
      <c r="D2685" s="2" t="s">
        <v>12</v>
      </c>
      <c r="E2685" s="2" t="s">
        <v>28</v>
      </c>
      <c r="F2685" s="2" t="str">
        <f>HYPERLINK("http://bbs.12365auto.com/postcontent.aspx?tID=195066","http://bbs.12365auto.com/postcontent.aspx?tID=195066")</f>
        <v>http://bbs.12365auto.com/postcontent.aspx?tID=195066</v>
      </c>
      <c r="G2685" s="2"/>
      <c r="H2685" s="2" t="s">
        <v>3865</v>
      </c>
      <c r="I2685" s="2" t="s">
        <v>15</v>
      </c>
      <c r="J2685" s="2" t="s">
        <v>3840</v>
      </c>
      <c r="K2685" s="2" t="s">
        <v>3863</v>
      </c>
      <c r="L2685" s="2">
        <f t="shared" si="41"/>
        <v>150</v>
      </c>
    </row>
    <row r="2686" spans="1:12" ht="25" customHeight="1">
      <c r="A2686" s="2" t="s">
        <v>12</v>
      </c>
      <c r="B2686" s="2" t="str">
        <f>HYPERLINK("http://bbs.12365auto.com/postcontent.aspx?tID=195067","被称为老年人专车 吉利引入国内首款福祉车")</f>
        <v>被称为老年人专车 吉利引入国内首款福祉车</v>
      </c>
      <c r="C2686" s="2" t="s">
        <v>13</v>
      </c>
      <c r="D2686" s="2" t="s">
        <v>12</v>
      </c>
      <c r="E2686" s="2" t="s">
        <v>28</v>
      </c>
      <c r="F2686" s="2" t="str">
        <f>HYPERLINK("http://bbs.12365auto.com/postcontent.aspx?tID=195067","http://bbs.12365auto.com/postcontent.aspx?tID=195067")</f>
        <v>http://bbs.12365auto.com/postcontent.aspx?tID=195067</v>
      </c>
      <c r="G2686" s="2"/>
      <c r="H2686" s="2" t="s">
        <v>3866</v>
      </c>
      <c r="I2686" s="2" t="s">
        <v>15</v>
      </c>
      <c r="J2686" s="2" t="s">
        <v>3840</v>
      </c>
      <c r="K2686" s="2" t="s">
        <v>3863</v>
      </c>
      <c r="L2686" s="2">
        <f t="shared" si="41"/>
        <v>150</v>
      </c>
    </row>
    <row r="2687" spans="1:12" ht="25" customHeight="1">
      <c r="A2687" s="2" t="s">
        <v>12</v>
      </c>
      <c r="B2687" s="2" t="str">
        <f>HYPERLINK("http://bbs.12365auto.com/postcontent.aspx?tId=195067","被称为老年人专车 吉利引入国内首款福祉车")</f>
        <v>被称为老年人专车 吉利引入国内首款福祉车</v>
      </c>
      <c r="C2687" s="2" t="s">
        <v>13</v>
      </c>
      <c r="D2687" s="2" t="s">
        <v>12</v>
      </c>
      <c r="E2687" s="2" t="s">
        <v>27</v>
      </c>
      <c r="F2687" s="2" t="str">
        <f>HYPERLINK("http://bbs.12365auto.com/postcontent.aspx?tId=195067","http://bbs.12365auto.com/postcontent.aspx?tId=195067")</f>
        <v>http://bbs.12365auto.com/postcontent.aspx?tId=195067</v>
      </c>
      <c r="G2687" s="2"/>
      <c r="H2687" s="2" t="s">
        <v>3867</v>
      </c>
      <c r="I2687" s="2" t="s">
        <v>15</v>
      </c>
      <c r="J2687" s="2" t="s">
        <v>3840</v>
      </c>
      <c r="K2687" s="2" t="s">
        <v>3863</v>
      </c>
      <c r="L2687" s="2">
        <f t="shared" si="41"/>
        <v>150</v>
      </c>
    </row>
    <row r="2688" spans="1:12" ht="25" customHeight="1">
      <c r="A2688" s="2" t="s">
        <v>12</v>
      </c>
      <c r="B2688" s="2" t="str">
        <f>HYPERLINK("http://bbs.12365auto.com/postcontent.aspx?tId=195066","DS9将出插电混动版 宝能到底爱TA还是观致")</f>
        <v>DS9将出插电混动版 宝能到底爱TA还是观致</v>
      </c>
      <c r="C2688" s="2" t="s">
        <v>13</v>
      </c>
      <c r="D2688" s="2" t="s">
        <v>12</v>
      </c>
      <c r="E2688" s="2" t="s">
        <v>27</v>
      </c>
      <c r="F2688" s="2" t="str">
        <f>HYPERLINK("http://bbs.12365auto.com/postcontent.aspx?tId=195066","http://bbs.12365auto.com/postcontent.aspx?tId=195066")</f>
        <v>http://bbs.12365auto.com/postcontent.aspx?tId=195066</v>
      </c>
      <c r="G2688" s="2"/>
      <c r="H2688" s="2" t="s">
        <v>3868</v>
      </c>
      <c r="I2688" s="2" t="s">
        <v>15</v>
      </c>
      <c r="J2688" s="2" t="s">
        <v>3840</v>
      </c>
      <c r="K2688" s="2" t="s">
        <v>3863</v>
      </c>
      <c r="L2688" s="2">
        <f t="shared" si="41"/>
        <v>150</v>
      </c>
    </row>
    <row r="2689" spans="1:12" ht="25" customHeight="1">
      <c r="A2689" s="2" t="s">
        <v>12</v>
      </c>
      <c r="B2689" s="2" t="str">
        <f>HYPERLINK("http://m.12365auto.com/bbs/postcontent.aspx?tID=195066","DS9将出插电混动版 宝能到底爱TA还是观致")</f>
        <v>DS9将出插电混动版 宝能到底爱TA还是观致</v>
      </c>
      <c r="C2689" s="2" t="s">
        <v>13</v>
      </c>
      <c r="D2689" s="2" t="s">
        <v>23</v>
      </c>
      <c r="E2689" s="2"/>
      <c r="F2689" s="2" t="str">
        <f>HYPERLINK("http://m.12365auto.com/bbs/postcontent.aspx?tID=195066","http://m.12365auto.com/bbs/postcontent.aspx?tID=195066")</f>
        <v>http://m.12365auto.com/bbs/postcontent.aspx?tID=195066</v>
      </c>
      <c r="G2689" s="2"/>
      <c r="H2689" s="2" t="s">
        <v>3868</v>
      </c>
      <c r="I2689" s="2" t="s">
        <v>15</v>
      </c>
      <c r="J2689" s="2" t="s">
        <v>3840</v>
      </c>
      <c r="K2689" s="2" t="s">
        <v>3863</v>
      </c>
      <c r="L2689" s="2">
        <f t="shared" si="41"/>
        <v>150</v>
      </c>
    </row>
    <row r="2690" spans="1:12" ht="25" customHeight="1">
      <c r="A2690" s="2" t="s">
        <v>12</v>
      </c>
      <c r="B2690" s="2" t="str">
        <f>HYPERLINK("http://m.12365auto.com/bbs/postcontent.aspx?tID=195067","被称为老年人专车 吉利引入国内首款福祉车")</f>
        <v>被称为老年人专车 吉利引入国内首款福祉车</v>
      </c>
      <c r="C2690" s="2" t="s">
        <v>13</v>
      </c>
      <c r="D2690" s="2" t="s">
        <v>23</v>
      </c>
      <c r="E2690" s="2"/>
      <c r="F2690" s="2" t="str">
        <f>HYPERLINK("http://m.12365auto.com/bbs/postcontent.aspx?tID=195067","http://m.12365auto.com/bbs/postcontent.aspx?tID=195067")</f>
        <v>http://m.12365auto.com/bbs/postcontent.aspx?tID=195067</v>
      </c>
      <c r="G2690" s="2"/>
      <c r="H2690" s="2" t="s">
        <v>3867</v>
      </c>
      <c r="I2690" s="2" t="s">
        <v>15</v>
      </c>
      <c r="J2690" s="2" t="s">
        <v>3840</v>
      </c>
      <c r="K2690" s="2" t="s">
        <v>3863</v>
      </c>
      <c r="L2690" s="2">
        <f t="shared" si="41"/>
        <v>150</v>
      </c>
    </row>
    <row r="2691" spans="1:12" ht="25" customHeight="1">
      <c r="A2691" s="2" t="s">
        <v>12</v>
      </c>
      <c r="B2691" s="2" t="str">
        <f>HYPERLINK("http://bbs.12365auto.com/postcontent.aspx?tID=195064","嘉悦A5同款设计语言 江淮全新6座SUV设计图发布")</f>
        <v>嘉悦A5同款设计语言 江淮全新6座SUV设计图发布</v>
      </c>
      <c r="C2691" s="2" t="s">
        <v>13</v>
      </c>
      <c r="D2691" s="2" t="s">
        <v>12</v>
      </c>
      <c r="E2691" s="2" t="s">
        <v>28</v>
      </c>
      <c r="F2691" s="2" t="str">
        <f>HYPERLINK("http://bbs.12365auto.com/postcontent.aspx?tID=195064","http://bbs.12365auto.com/postcontent.aspx?tID=195064")</f>
        <v>http://bbs.12365auto.com/postcontent.aspx?tID=195064</v>
      </c>
      <c r="G2691" s="2"/>
      <c r="H2691" s="2" t="s">
        <v>3869</v>
      </c>
      <c r="I2691" s="2" t="s">
        <v>15</v>
      </c>
      <c r="J2691" s="2" t="s">
        <v>3840</v>
      </c>
      <c r="K2691" s="2" t="s">
        <v>3870</v>
      </c>
      <c r="L2691" s="2">
        <f t="shared" ref="L2691:L2754" si="42">LEN(H2691)</f>
        <v>150</v>
      </c>
    </row>
    <row r="2692" spans="1:12" ht="25" customHeight="1">
      <c r="A2692" s="2" t="s">
        <v>12</v>
      </c>
      <c r="B2692" s="2" t="str">
        <f>HYPERLINK("http://bbs.12365auto.com/postcontent.aspx?tId=195063","时尚运动有朝气 四款适合年轻人开的合资家轿")</f>
        <v>时尚运动有朝气 四款适合年轻人开的合资家轿</v>
      </c>
      <c r="C2692" s="2" t="s">
        <v>13</v>
      </c>
      <c r="D2692" s="2" t="s">
        <v>12</v>
      </c>
      <c r="E2692" s="2" t="s">
        <v>210</v>
      </c>
      <c r="F2692" s="2" t="str">
        <f>HYPERLINK("http://bbs.12365auto.com/postcontent.aspx?tId=195063","http://bbs.12365auto.com/postcontent.aspx?tId=195063")</f>
        <v>http://bbs.12365auto.com/postcontent.aspx?tId=195063</v>
      </c>
      <c r="G2692" s="2"/>
      <c r="H2692" s="2" t="s">
        <v>3871</v>
      </c>
      <c r="I2692" s="2" t="s">
        <v>15</v>
      </c>
      <c r="J2692" s="2" t="s">
        <v>1276</v>
      </c>
      <c r="K2692" s="2" t="s">
        <v>3870</v>
      </c>
      <c r="L2692" s="2">
        <f t="shared" si="42"/>
        <v>150</v>
      </c>
    </row>
    <row r="2693" spans="1:12" ht="25" customHeight="1">
      <c r="A2693" s="2" t="s">
        <v>12</v>
      </c>
      <c r="B2693" s="2" t="str">
        <f>HYPERLINK("http://www.12365auto.com/xcdg/20200225/419422.shtml","对标特斯拉Roadster 大众推电动超跑ID.R")</f>
        <v>对标特斯拉Roadster 大众推电动超跑ID.R</v>
      </c>
      <c r="C2693" s="2" t="s">
        <v>13</v>
      </c>
      <c r="D2693" s="2" t="s">
        <v>12</v>
      </c>
      <c r="E2693" s="2" t="s">
        <v>216</v>
      </c>
      <c r="F2693" s="2" t="str">
        <f>HYPERLINK("http://www.12365auto.com/xcdg/20200225/419422.shtml","http://www.12365auto.com/xcdg/20200225/419422.shtml")</f>
        <v>http://www.12365auto.com/xcdg/20200225/419422.shtml</v>
      </c>
      <c r="G2693" s="2"/>
      <c r="H2693" s="2" t="s">
        <v>3872</v>
      </c>
      <c r="I2693" s="2" t="s">
        <v>15</v>
      </c>
      <c r="J2693" s="2" t="s">
        <v>12</v>
      </c>
      <c r="K2693" s="2" t="s">
        <v>3870</v>
      </c>
      <c r="L2693" s="2">
        <f t="shared" si="42"/>
        <v>150</v>
      </c>
    </row>
    <row r="2694" spans="1:12" ht="25" customHeight="1">
      <c r="A2694" s="2" t="s">
        <v>12</v>
      </c>
      <c r="B2694" s="2" t="str">
        <f>HYPERLINK("http://m.12365auto.com/bbs/postcontent.aspx?tID=195063&amp;i=1","时尚运动有朝气 四款适合年轻人开的合资家轿")</f>
        <v>时尚运动有朝气 四款适合年轻人开的合资家轿</v>
      </c>
      <c r="C2694" s="2" t="s">
        <v>13</v>
      </c>
      <c r="D2694" s="2" t="s">
        <v>23</v>
      </c>
      <c r="E2694" s="2"/>
      <c r="F2694" s="2" t="str">
        <f>HYPERLINK("http://m.12365auto.com/bbs/postcontent.aspx?tID=195063&amp;i=1","http://m.12365auto.com/bbs/postcontent.aspx?tID=195063&amp;i=1")</f>
        <v>http://m.12365auto.com/bbs/postcontent.aspx?tID=195063&amp;i=1</v>
      </c>
      <c r="G2694" s="2"/>
      <c r="H2694" s="2" t="s">
        <v>3871</v>
      </c>
      <c r="I2694" s="2" t="s">
        <v>15</v>
      </c>
      <c r="J2694" s="2" t="s">
        <v>1276</v>
      </c>
      <c r="K2694" s="2" t="s">
        <v>3870</v>
      </c>
      <c r="L2694" s="2">
        <f t="shared" si="42"/>
        <v>150</v>
      </c>
    </row>
    <row r="2695" spans="1:12" ht="25" customHeight="1">
      <c r="A2695" s="2" t="s">
        <v>12</v>
      </c>
      <c r="B2695" s="2" t="str">
        <f>HYPERLINK("http://m.12365auto.com/bbs/postcontent.aspx?tID=195063","时尚运动有朝气 四款适合年轻人开的合资家轿")</f>
        <v>时尚运动有朝气 四款适合年轻人开的合资家轿</v>
      </c>
      <c r="C2695" s="2" t="s">
        <v>13</v>
      </c>
      <c r="D2695" s="2" t="s">
        <v>23</v>
      </c>
      <c r="E2695" s="2"/>
      <c r="F2695" s="2" t="str">
        <f>HYPERLINK("http://m.12365auto.com/bbs/postcontent.aspx?tID=195063","http://m.12365auto.com/bbs/postcontent.aspx?tID=195063")</f>
        <v>http://m.12365auto.com/bbs/postcontent.aspx?tID=195063</v>
      </c>
      <c r="G2695" s="2"/>
      <c r="H2695" s="2" t="s">
        <v>3871</v>
      </c>
      <c r="I2695" s="2" t="s">
        <v>15</v>
      </c>
      <c r="J2695" s="2" t="s">
        <v>1276</v>
      </c>
      <c r="K2695" s="2" t="s">
        <v>3870</v>
      </c>
      <c r="L2695" s="2">
        <f t="shared" si="42"/>
        <v>150</v>
      </c>
    </row>
    <row r="2696" spans="1:12" ht="25" customHeight="1">
      <c r="A2696" s="2" t="s">
        <v>12</v>
      </c>
      <c r="B2696" s="2" t="str">
        <f>HYPERLINK("http://bbs.12365auto.com/postcontent.aspx?tID=195063","时尚运动有朝气 四款适合年轻人开的合资家轿")</f>
        <v>时尚运动有朝气 四款适合年轻人开的合资家轿</v>
      </c>
      <c r="C2696" s="2" t="s">
        <v>13</v>
      </c>
      <c r="D2696" s="2" t="s">
        <v>12</v>
      </c>
      <c r="E2696" s="2" t="s">
        <v>214</v>
      </c>
      <c r="F2696" s="2" t="str">
        <f>HYPERLINK("http://bbs.12365auto.com/postcontent.aspx?tID=195063","http://bbs.12365auto.com/postcontent.aspx?tID=195063")</f>
        <v>http://bbs.12365auto.com/postcontent.aspx?tID=195063</v>
      </c>
      <c r="G2696" s="2"/>
      <c r="H2696" s="2" t="s">
        <v>3873</v>
      </c>
      <c r="I2696" s="2" t="s">
        <v>15</v>
      </c>
      <c r="J2696" s="2" t="s">
        <v>1276</v>
      </c>
      <c r="K2696" s="2" t="s">
        <v>3870</v>
      </c>
      <c r="L2696" s="2">
        <f t="shared" si="42"/>
        <v>150</v>
      </c>
    </row>
    <row r="2697" spans="1:12" ht="25" customHeight="1">
      <c r="A2697" s="2" t="s">
        <v>12</v>
      </c>
      <c r="B2697" s="2" t="str">
        <f>HYPERLINK("http://www.12365auto.com/xcdg/20200225/419428.shtml","造型更具攻击力 Polestar概念车今晚亮相")</f>
        <v>造型更具攻击力 Polestar概念车今晚亮相</v>
      </c>
      <c r="C2697" s="2" t="s">
        <v>13</v>
      </c>
      <c r="D2697" s="2" t="s">
        <v>12</v>
      </c>
      <c r="E2697" s="2" t="s">
        <v>216</v>
      </c>
      <c r="F2697" s="2" t="str">
        <f>HYPERLINK("http://www.12365auto.com/xcdg/20200225/419428.shtml","http://www.12365auto.com/xcdg/20200225/419428.shtml")</f>
        <v>http://www.12365auto.com/xcdg/20200225/419428.shtml</v>
      </c>
      <c r="G2697" s="2"/>
      <c r="H2697" s="2" t="s">
        <v>3874</v>
      </c>
      <c r="I2697" s="2" t="s">
        <v>15</v>
      </c>
      <c r="J2697" s="2" t="s">
        <v>12</v>
      </c>
      <c r="K2697" s="2" t="s">
        <v>3875</v>
      </c>
      <c r="L2697" s="2">
        <f t="shared" si="42"/>
        <v>150</v>
      </c>
    </row>
    <row r="2698" spans="1:12" ht="25" customHeight="1">
      <c r="A2698" s="2" t="s">
        <v>12</v>
      </c>
      <c r="B2698" s="2" t="str">
        <f>HYPERLINK("http://bbs.12365auto.com/postcontent.aspx?tId=195062","盘点人气较高的四款10万级自主车型 各有杀手锏")</f>
        <v>盘点人气较高的四款10万级自主车型 各有杀手锏</v>
      </c>
      <c r="C2698" s="2" t="s">
        <v>13</v>
      </c>
      <c r="D2698" s="2" t="s">
        <v>12</v>
      </c>
      <c r="E2698" s="2" t="s">
        <v>210</v>
      </c>
      <c r="F2698" s="2" t="str">
        <f>HYPERLINK("http://bbs.12365auto.com/postcontent.aspx?tId=195062","http://bbs.12365auto.com/postcontent.aspx?tId=195062")</f>
        <v>http://bbs.12365auto.com/postcontent.aspx?tId=195062</v>
      </c>
      <c r="G2698" s="2"/>
      <c r="H2698" s="2" t="s">
        <v>3876</v>
      </c>
      <c r="I2698" s="2" t="s">
        <v>15</v>
      </c>
      <c r="J2698" s="2" t="s">
        <v>683</v>
      </c>
      <c r="K2698" s="2" t="s">
        <v>3875</v>
      </c>
      <c r="L2698" s="2">
        <f t="shared" si="42"/>
        <v>150</v>
      </c>
    </row>
    <row r="2699" spans="1:12" ht="25" customHeight="1">
      <c r="A2699" s="2" t="s">
        <v>12</v>
      </c>
      <c r="B2699" s="2" t="str">
        <f>HYPERLINK("http://bbs.12365auto.com/postcontent.aspx?tID=195062","盘点人气较高的四款10万级自主车型 各有杀手锏")</f>
        <v>盘点人气较高的四款10万级自主车型 各有杀手锏</v>
      </c>
      <c r="C2699" s="2" t="s">
        <v>13</v>
      </c>
      <c r="D2699" s="2" t="s">
        <v>12</v>
      </c>
      <c r="E2699" s="2" t="s">
        <v>214</v>
      </c>
      <c r="F2699" s="2" t="str">
        <f>HYPERLINK("http://bbs.12365auto.com/postcontent.aspx?tID=195062","http://bbs.12365auto.com/postcontent.aspx?tID=195062")</f>
        <v>http://bbs.12365auto.com/postcontent.aspx?tID=195062</v>
      </c>
      <c r="G2699" s="2"/>
      <c r="H2699" s="2" t="s">
        <v>3877</v>
      </c>
      <c r="I2699" s="2" t="s">
        <v>15</v>
      </c>
      <c r="J2699" s="2" t="s">
        <v>683</v>
      </c>
      <c r="K2699" s="2" t="s">
        <v>3875</v>
      </c>
      <c r="L2699" s="2">
        <f t="shared" si="42"/>
        <v>150</v>
      </c>
    </row>
    <row r="2700" spans="1:12" ht="25" customHeight="1">
      <c r="A2700" s="2" t="s">
        <v>12</v>
      </c>
      <c r="B2700" s="2" t="str">
        <f>HYPERLINK("http://m.12365auto.com/xcdg/20200225/419428.shtml","造型更具攻击力 Polestar概念车今晚亮相")</f>
        <v>造型更具攻击力 Polestar概念车今晚亮相</v>
      </c>
      <c r="C2700" s="2" t="s">
        <v>13</v>
      </c>
      <c r="D2700" s="2" t="s">
        <v>12</v>
      </c>
      <c r="E2700" s="2"/>
      <c r="F2700" s="2" t="str">
        <f>HYPERLINK("http://m.12365auto.com/xcdg/20200225/419428.shtml","http://m.12365auto.com/xcdg/20200225/419428.shtml")</f>
        <v>http://m.12365auto.com/xcdg/20200225/419428.shtml</v>
      </c>
      <c r="G2700" s="2"/>
      <c r="H2700" s="2" t="s">
        <v>3878</v>
      </c>
      <c r="I2700" s="2" t="s">
        <v>19</v>
      </c>
      <c r="J2700" s="2" t="s">
        <v>369</v>
      </c>
      <c r="K2700" s="2" t="s">
        <v>3875</v>
      </c>
      <c r="L2700" s="2">
        <f t="shared" si="42"/>
        <v>150</v>
      </c>
    </row>
    <row r="2701" spans="1:12" ht="25" customHeight="1">
      <c r="A2701" s="2" t="s">
        <v>12</v>
      </c>
      <c r="B2701" s="2" t="str">
        <f>HYPERLINK("http://bbs.12365auto.com/postcontent.aspx?tId=195061","顶配10万的合资车怎么选？这四款质量更有保障")</f>
        <v>顶配10万的合资车怎么选？这四款质量更有保障</v>
      </c>
      <c r="C2701" s="2" t="s">
        <v>13</v>
      </c>
      <c r="D2701" s="2" t="s">
        <v>12</v>
      </c>
      <c r="E2701" s="2" t="s">
        <v>210</v>
      </c>
      <c r="F2701" s="2" t="str">
        <f>HYPERLINK("http://bbs.12365auto.com/postcontent.aspx?tId=195061","http://bbs.12365auto.com/postcontent.aspx?tId=195061")</f>
        <v>http://bbs.12365auto.com/postcontent.aspx?tId=195061</v>
      </c>
      <c r="G2701" s="2"/>
      <c r="H2701" s="2" t="s">
        <v>3879</v>
      </c>
      <c r="I2701" s="2" t="s">
        <v>15</v>
      </c>
      <c r="J2701" s="2" t="s">
        <v>683</v>
      </c>
      <c r="K2701" s="2" t="s">
        <v>3880</v>
      </c>
      <c r="L2701" s="2">
        <f t="shared" si="42"/>
        <v>150</v>
      </c>
    </row>
    <row r="2702" spans="1:12" ht="25" customHeight="1">
      <c r="A2702" s="2" t="s">
        <v>12</v>
      </c>
      <c r="B2702" s="2" t="str">
        <f>HYPERLINK("http://bbs.12365auto.com/postcontent.aspx?tID=195061","顶配10万的合资车怎么选？这四款质量更有保障")</f>
        <v>顶配10万的合资车怎么选？这四款质量更有保障</v>
      </c>
      <c r="C2702" s="2" t="s">
        <v>13</v>
      </c>
      <c r="D2702" s="2" t="s">
        <v>12</v>
      </c>
      <c r="E2702" s="2" t="s">
        <v>214</v>
      </c>
      <c r="F2702" s="2" t="str">
        <f>HYPERLINK("http://bbs.12365auto.com/postcontent.aspx?tID=195061","http://bbs.12365auto.com/postcontent.aspx?tID=195061")</f>
        <v>http://bbs.12365auto.com/postcontent.aspx?tID=195061</v>
      </c>
      <c r="G2702" s="2"/>
      <c r="H2702" s="2" t="s">
        <v>3881</v>
      </c>
      <c r="I2702" s="2" t="s">
        <v>15</v>
      </c>
      <c r="J2702" s="2" t="s">
        <v>683</v>
      </c>
      <c r="K2702" s="2" t="s">
        <v>3880</v>
      </c>
      <c r="L2702" s="2">
        <f t="shared" si="42"/>
        <v>150</v>
      </c>
    </row>
    <row r="2703" spans="1:12" ht="25" customHeight="1">
      <c r="A2703" s="2" t="s">
        <v>12</v>
      </c>
      <c r="B2703" s="2" t="str">
        <f>HYPERLINK("http://www.12365auto.com/zlts/20200225/448578.shtml","上汽大众朗逸变速箱换挡异响	多次维修未解决")</f>
        <v>上汽大众朗逸变速箱换挡异响	多次维修未解决</v>
      </c>
      <c r="C2703" s="2" t="s">
        <v>13</v>
      </c>
      <c r="D2703" s="2" t="s">
        <v>12</v>
      </c>
      <c r="E2703" s="2" t="s">
        <v>17</v>
      </c>
      <c r="F2703" s="2" t="str">
        <f>HYPERLINK("http://www.12365auto.com/zlts/20200225/448578.shtml","http://www.12365auto.com/zlts/20200225/448578.shtml")</f>
        <v>http://www.12365auto.com/zlts/20200225/448578.shtml</v>
      </c>
      <c r="G2703" s="2"/>
      <c r="H2703" s="2" t="s">
        <v>3882</v>
      </c>
      <c r="I2703" s="2" t="s">
        <v>19</v>
      </c>
      <c r="J2703" s="2" t="s">
        <v>12</v>
      </c>
      <c r="K2703" s="2" t="s">
        <v>3883</v>
      </c>
      <c r="L2703" s="2">
        <f t="shared" si="42"/>
        <v>150</v>
      </c>
    </row>
    <row r="2704" spans="1:12" ht="25" customHeight="1">
      <c r="A2704" s="2" t="s">
        <v>12</v>
      </c>
      <c r="B2704" s="2" t="str">
        <f>HYPERLINK("http://m.12365auto.com/bbs/postcontent.aspx?tID=195060","现代瑞纳车身严重生锈")</f>
        <v>现代瑞纳车身严重生锈</v>
      </c>
      <c r="C2704" s="2" t="s">
        <v>13</v>
      </c>
      <c r="D2704" s="2" t="s">
        <v>23</v>
      </c>
      <c r="E2704" s="2"/>
      <c r="F2704" s="2" t="str">
        <f>HYPERLINK("http://m.12365auto.com/bbs/postcontent.aspx?tID=195060","http://m.12365auto.com/bbs/postcontent.aspx?tID=195060")</f>
        <v>http://m.12365auto.com/bbs/postcontent.aspx?tID=195060</v>
      </c>
      <c r="G2704" s="2"/>
      <c r="H2704" s="2" t="s">
        <v>3884</v>
      </c>
      <c r="I2704" s="2" t="s">
        <v>15</v>
      </c>
      <c r="J2704" s="2" t="s">
        <v>3885</v>
      </c>
      <c r="K2704" s="2" t="s">
        <v>3886</v>
      </c>
      <c r="L2704" s="2">
        <f t="shared" si="42"/>
        <v>74</v>
      </c>
    </row>
    <row r="2705" spans="1:12" ht="25" customHeight="1">
      <c r="A2705" s="2" t="s">
        <v>12</v>
      </c>
      <c r="B2705" s="2" t="str">
        <f>HYPERLINK("http://m.12365auto.com/bbs/postcontent.aspx?tID=195059","现代领动耐克森轮胎鼓包")</f>
        <v>现代领动耐克森轮胎鼓包</v>
      </c>
      <c r="C2705" s="2" t="s">
        <v>13</v>
      </c>
      <c r="D2705" s="2" t="s">
        <v>23</v>
      </c>
      <c r="E2705" s="2"/>
      <c r="F2705" s="2" t="str">
        <f>HYPERLINK("http://m.12365auto.com/bbs/postcontent.aspx?tID=195059","http://m.12365auto.com/bbs/postcontent.aspx?tID=195059")</f>
        <v>http://m.12365auto.com/bbs/postcontent.aspx?tID=195059</v>
      </c>
      <c r="G2705" s="2"/>
      <c r="H2705" s="2" t="s">
        <v>3887</v>
      </c>
      <c r="I2705" s="2" t="s">
        <v>15</v>
      </c>
      <c r="J2705" s="2" t="s">
        <v>3888</v>
      </c>
      <c r="K2705" s="2" t="s">
        <v>3886</v>
      </c>
      <c r="L2705" s="2">
        <f t="shared" si="42"/>
        <v>40</v>
      </c>
    </row>
    <row r="2706" spans="1:12" ht="25" customHeight="1">
      <c r="A2706" s="2" t="s">
        <v>12</v>
      </c>
      <c r="B2706" s="2" t="str">
        <f>HYPERLINK("http://bbs.12365auto.com/postcontent.aspx?tId=195060","现代瑞纳车身严重生锈")</f>
        <v>现代瑞纳车身严重生锈</v>
      </c>
      <c r="C2706" s="2" t="s">
        <v>13</v>
      </c>
      <c r="D2706" s="2" t="s">
        <v>12</v>
      </c>
      <c r="E2706" s="2" t="s">
        <v>66</v>
      </c>
      <c r="F2706" s="2" t="str">
        <f>HYPERLINK("http://bbs.12365auto.com/postcontent.aspx?tId=195060","http://bbs.12365auto.com/postcontent.aspx?tId=195060")</f>
        <v>http://bbs.12365auto.com/postcontent.aspx?tId=195060</v>
      </c>
      <c r="G2706" s="2"/>
      <c r="H2706" s="2" t="s">
        <v>3884</v>
      </c>
      <c r="I2706" s="2" t="s">
        <v>15</v>
      </c>
      <c r="J2706" s="2" t="s">
        <v>3885</v>
      </c>
      <c r="K2706" s="2" t="s">
        <v>3886</v>
      </c>
      <c r="L2706" s="2">
        <f t="shared" si="42"/>
        <v>74</v>
      </c>
    </row>
    <row r="2707" spans="1:12" ht="25" customHeight="1">
      <c r="A2707" s="2" t="s">
        <v>12</v>
      </c>
      <c r="B2707" s="2" t="str">
        <f>HYPERLINK("http://bbs.12365auto.com/postcontent.aspx?tId=195059","现代领动耐克森轮胎鼓包")</f>
        <v>现代领动耐克森轮胎鼓包</v>
      </c>
      <c r="C2707" s="2" t="s">
        <v>13</v>
      </c>
      <c r="D2707" s="2" t="s">
        <v>12</v>
      </c>
      <c r="E2707" s="2" t="s">
        <v>66</v>
      </c>
      <c r="F2707" s="2" t="str">
        <f>HYPERLINK("http://bbs.12365auto.com/postcontent.aspx?tId=195059","http://bbs.12365auto.com/postcontent.aspx?tId=195059")</f>
        <v>http://bbs.12365auto.com/postcontent.aspx?tId=195059</v>
      </c>
      <c r="G2707" s="2"/>
      <c r="H2707" s="2" t="s">
        <v>3887</v>
      </c>
      <c r="I2707" s="2" t="s">
        <v>15</v>
      </c>
      <c r="J2707" s="2" t="s">
        <v>3888</v>
      </c>
      <c r="K2707" s="2" t="s">
        <v>3886</v>
      </c>
      <c r="L2707" s="2">
        <f t="shared" si="42"/>
        <v>40</v>
      </c>
    </row>
    <row r="2708" spans="1:12" ht="25" customHeight="1">
      <c r="A2708" s="2" t="s">
        <v>12</v>
      </c>
      <c r="B2708" s="2" t="str">
        <f>HYPERLINK("http://bbs.12365auto.com/postcontent.aspx?tID=195060","现代瑞纳车身严重生锈")</f>
        <v>现代瑞纳车身严重生锈</v>
      </c>
      <c r="C2708" s="2" t="s">
        <v>13</v>
      </c>
      <c r="D2708" s="2" t="s">
        <v>12</v>
      </c>
      <c r="E2708" s="2" t="s">
        <v>67</v>
      </c>
      <c r="F2708" s="2" t="str">
        <f>HYPERLINK("http://bbs.12365auto.com/postcontent.aspx?tID=195060","http://bbs.12365auto.com/postcontent.aspx?tID=195060")</f>
        <v>http://bbs.12365auto.com/postcontent.aspx?tID=195060</v>
      </c>
      <c r="G2708" s="2"/>
      <c r="H2708" s="2" t="s">
        <v>3889</v>
      </c>
      <c r="I2708" s="2" t="s">
        <v>15</v>
      </c>
      <c r="J2708" s="2" t="s">
        <v>3885</v>
      </c>
      <c r="K2708" s="2" t="s">
        <v>3886</v>
      </c>
      <c r="L2708" s="2">
        <f t="shared" si="42"/>
        <v>84</v>
      </c>
    </row>
    <row r="2709" spans="1:12" ht="25" customHeight="1">
      <c r="A2709" s="2" t="s">
        <v>12</v>
      </c>
      <c r="B2709" s="2" t="str">
        <f>HYPERLINK("http://bbs.12365auto.com/postcontent.aspx?tID=195059","现代领动耐克森轮胎鼓包")</f>
        <v>现代领动耐克森轮胎鼓包</v>
      </c>
      <c r="C2709" s="2" t="s">
        <v>13</v>
      </c>
      <c r="D2709" s="2" t="s">
        <v>12</v>
      </c>
      <c r="E2709" s="2" t="s">
        <v>67</v>
      </c>
      <c r="F2709" s="2" t="str">
        <f>HYPERLINK("http://bbs.12365auto.com/postcontent.aspx?tID=195059","http://bbs.12365auto.com/postcontent.aspx?tID=195059")</f>
        <v>http://bbs.12365auto.com/postcontent.aspx?tID=195059</v>
      </c>
      <c r="G2709" s="2"/>
      <c r="H2709" s="2" t="s">
        <v>3890</v>
      </c>
      <c r="I2709" s="2" t="s">
        <v>15</v>
      </c>
      <c r="J2709" s="2" t="s">
        <v>3888</v>
      </c>
      <c r="K2709" s="2" t="s">
        <v>3886</v>
      </c>
      <c r="L2709" s="2">
        <f t="shared" si="42"/>
        <v>51</v>
      </c>
    </row>
    <row r="2710" spans="1:12" ht="25" customHeight="1">
      <c r="A2710" s="2" t="s">
        <v>12</v>
      </c>
      <c r="B2710" s="2" t="str">
        <f>HYPERLINK("http://m.12365auto.com/bbs/postcontent.aspx?tID=195057","本田INSPIRE中控台共振异响 座椅生锈")</f>
        <v>本田INSPIRE中控台共振异响 座椅生锈</v>
      </c>
      <c r="C2710" s="2" t="s">
        <v>13</v>
      </c>
      <c r="D2710" s="2" t="s">
        <v>23</v>
      </c>
      <c r="E2710" s="2"/>
      <c r="F2710" s="2" t="str">
        <f>HYPERLINK("http://m.12365auto.com/bbs/postcontent.aspx?tID=195057","http://m.12365auto.com/bbs/postcontent.aspx?tID=195057")</f>
        <v>http://m.12365auto.com/bbs/postcontent.aspx?tID=195057</v>
      </c>
      <c r="G2710" s="2"/>
      <c r="H2710" s="2" t="s">
        <v>3891</v>
      </c>
      <c r="I2710" s="2" t="s">
        <v>15</v>
      </c>
      <c r="J2710" s="2" t="s">
        <v>3892</v>
      </c>
      <c r="K2710" s="2" t="s">
        <v>3893</v>
      </c>
      <c r="L2710" s="2">
        <f t="shared" si="42"/>
        <v>59</v>
      </c>
    </row>
    <row r="2711" spans="1:12" ht="25" customHeight="1">
      <c r="A2711" s="2" t="s">
        <v>12</v>
      </c>
      <c r="B2711" s="2" t="str">
        <f>HYPERLINK("http://m.12365auto.com/bbs/postcontent.aspx?tID=195058","优科豪马轮胎起皮可以去车质网投诉吗？")</f>
        <v>优科豪马轮胎起皮可以去车质网投诉吗？</v>
      </c>
      <c r="C2711" s="2" t="s">
        <v>13</v>
      </c>
      <c r="D2711" s="2" t="s">
        <v>23</v>
      </c>
      <c r="E2711" s="2"/>
      <c r="F2711" s="2" t="str">
        <f>HYPERLINK("http://m.12365auto.com/bbs/postcontent.aspx?tID=195058","http://m.12365auto.com/bbs/postcontent.aspx?tID=195058")</f>
        <v>http://m.12365auto.com/bbs/postcontent.aspx?tID=195058</v>
      </c>
      <c r="G2711" s="2"/>
      <c r="H2711" s="2" t="s">
        <v>3894</v>
      </c>
      <c r="I2711" s="2" t="s">
        <v>15</v>
      </c>
      <c r="J2711" s="2" t="s">
        <v>3895</v>
      </c>
      <c r="K2711" s="2" t="s">
        <v>3893</v>
      </c>
      <c r="L2711" s="2">
        <f t="shared" si="42"/>
        <v>103</v>
      </c>
    </row>
    <row r="2712" spans="1:12" ht="25" customHeight="1">
      <c r="A2712" s="2" t="s">
        <v>12</v>
      </c>
      <c r="B2712" s="2" t="str">
        <f>HYPERLINK("http://bbs.12365auto.com/postcontent.aspx?tId=195058","优科豪马轮胎起皮可以去车质网投诉吗？")</f>
        <v>优科豪马轮胎起皮可以去车质网投诉吗？</v>
      </c>
      <c r="C2712" s="2" t="s">
        <v>13</v>
      </c>
      <c r="D2712" s="2" t="s">
        <v>12</v>
      </c>
      <c r="E2712" s="2" t="s">
        <v>66</v>
      </c>
      <c r="F2712" s="2" t="str">
        <f>HYPERLINK("http://bbs.12365auto.com/postcontent.aspx?tId=195058","http://bbs.12365auto.com/postcontent.aspx?tId=195058")</f>
        <v>http://bbs.12365auto.com/postcontent.aspx?tId=195058</v>
      </c>
      <c r="G2712" s="2"/>
      <c r="H2712" s="2" t="s">
        <v>3894</v>
      </c>
      <c r="I2712" s="2" t="s">
        <v>15</v>
      </c>
      <c r="J2712" s="2" t="s">
        <v>3895</v>
      </c>
      <c r="K2712" s="2" t="s">
        <v>3893</v>
      </c>
      <c r="L2712" s="2">
        <f t="shared" si="42"/>
        <v>103</v>
      </c>
    </row>
    <row r="2713" spans="1:12" ht="25" customHeight="1">
      <c r="A2713" s="2" t="s">
        <v>12</v>
      </c>
      <c r="B2713" s="2" t="str">
        <f>HYPERLINK("http://bbs.12365auto.com/postcontent.aspx?tId=195057","本田INSPIRE中控台共振异响 座椅生锈")</f>
        <v>本田INSPIRE中控台共振异响 座椅生锈</v>
      </c>
      <c r="C2713" s="2" t="s">
        <v>13</v>
      </c>
      <c r="D2713" s="2" t="s">
        <v>12</v>
      </c>
      <c r="E2713" s="2" t="s">
        <v>66</v>
      </c>
      <c r="F2713" s="2" t="str">
        <f>HYPERLINK("http://bbs.12365auto.com/postcontent.aspx?tId=195057","http://bbs.12365auto.com/postcontent.aspx?tId=195057")</f>
        <v>http://bbs.12365auto.com/postcontent.aspx?tId=195057</v>
      </c>
      <c r="G2713" s="2"/>
      <c r="H2713" s="2" t="s">
        <v>3891</v>
      </c>
      <c r="I2713" s="2" t="s">
        <v>15</v>
      </c>
      <c r="J2713" s="2" t="s">
        <v>3892</v>
      </c>
      <c r="K2713" s="2" t="s">
        <v>3893</v>
      </c>
      <c r="L2713" s="2">
        <f t="shared" si="42"/>
        <v>59</v>
      </c>
    </row>
    <row r="2714" spans="1:12" ht="25" customHeight="1">
      <c r="A2714" s="2" t="s">
        <v>12</v>
      </c>
      <c r="B2714" s="2" t="str">
        <f>HYPERLINK("http://bbs.12365auto.com/postcontent.aspx?tID=195057","本田INSPIRE中控台共振异响 座椅生锈")</f>
        <v>本田INSPIRE中控台共振异响 座椅生锈</v>
      </c>
      <c r="C2714" s="2" t="s">
        <v>13</v>
      </c>
      <c r="D2714" s="2" t="s">
        <v>12</v>
      </c>
      <c r="E2714" s="2" t="s">
        <v>67</v>
      </c>
      <c r="F2714" s="2" t="str">
        <f>HYPERLINK("http://bbs.12365auto.com/postcontent.aspx?tID=195057","http://bbs.12365auto.com/postcontent.aspx?tID=195057")</f>
        <v>http://bbs.12365auto.com/postcontent.aspx?tID=195057</v>
      </c>
      <c r="G2714" s="2"/>
      <c r="H2714" s="2" t="s">
        <v>3896</v>
      </c>
      <c r="I2714" s="2" t="s">
        <v>15</v>
      </c>
      <c r="J2714" s="2" t="s">
        <v>3892</v>
      </c>
      <c r="K2714" s="2" t="s">
        <v>3893</v>
      </c>
      <c r="L2714" s="2">
        <f t="shared" si="42"/>
        <v>80</v>
      </c>
    </row>
    <row r="2715" spans="1:12" ht="25" customHeight="1">
      <c r="A2715" s="2" t="s">
        <v>12</v>
      </c>
      <c r="B2715" s="2" t="str">
        <f>HYPERLINK("http://bbs.12365auto.com/postcontent.aspx?tID=195058","优科豪马轮胎起皮可以去车质网投诉吗？")</f>
        <v>优科豪马轮胎起皮可以去车质网投诉吗？</v>
      </c>
      <c r="C2715" s="2" t="s">
        <v>13</v>
      </c>
      <c r="D2715" s="2" t="s">
        <v>12</v>
      </c>
      <c r="E2715" s="2" t="s">
        <v>67</v>
      </c>
      <c r="F2715" s="2" t="str">
        <f>HYPERLINK("http://bbs.12365auto.com/postcontent.aspx?tID=195058","http://bbs.12365auto.com/postcontent.aspx?tID=195058")</f>
        <v>http://bbs.12365auto.com/postcontent.aspx?tID=195058</v>
      </c>
      <c r="G2715" s="2"/>
      <c r="H2715" s="2" t="s">
        <v>3897</v>
      </c>
      <c r="I2715" s="2" t="s">
        <v>15</v>
      </c>
      <c r="J2715" s="2" t="s">
        <v>3895</v>
      </c>
      <c r="K2715" s="2" t="s">
        <v>3893</v>
      </c>
      <c r="L2715" s="2">
        <f t="shared" si="42"/>
        <v>121</v>
      </c>
    </row>
    <row r="2716" spans="1:12" ht="25" customHeight="1">
      <c r="A2716" s="2" t="s">
        <v>12</v>
      </c>
      <c r="B2716" s="2" t="str">
        <f>HYPERLINK("http://m.12365auto.com/bbs/postcontent.aspx?tID=195055","丰田凯美瑞双侧半轴轴套漏油")</f>
        <v>丰田凯美瑞双侧半轴轴套漏油</v>
      </c>
      <c r="C2716" s="2" t="s">
        <v>13</v>
      </c>
      <c r="D2716" s="2" t="s">
        <v>23</v>
      </c>
      <c r="E2716" s="2"/>
      <c r="F2716" s="2" t="str">
        <f>HYPERLINK("http://m.12365auto.com/bbs/postcontent.aspx?tID=195055","http://m.12365auto.com/bbs/postcontent.aspx?tID=195055")</f>
        <v>http://m.12365auto.com/bbs/postcontent.aspx?tID=195055</v>
      </c>
      <c r="G2716" s="2"/>
      <c r="H2716" s="2" t="s">
        <v>3898</v>
      </c>
      <c r="I2716" s="2" t="s">
        <v>15</v>
      </c>
      <c r="J2716" s="2" t="s">
        <v>3899</v>
      </c>
      <c r="K2716" s="2" t="s">
        <v>3900</v>
      </c>
      <c r="L2716" s="2">
        <f t="shared" si="42"/>
        <v>47</v>
      </c>
    </row>
    <row r="2717" spans="1:12" ht="25" customHeight="1">
      <c r="A2717" s="2" t="s">
        <v>12</v>
      </c>
      <c r="B2717" s="2" t="str">
        <f>HYPERLINK("http://m.12365auto.com/bbs/postcontent.aspx?tID=195056","朗逸的异味问题可以解决吗？")</f>
        <v>朗逸的异味问题可以解决吗？</v>
      </c>
      <c r="C2717" s="2" t="s">
        <v>13</v>
      </c>
      <c r="D2717" s="2" t="s">
        <v>23</v>
      </c>
      <c r="E2717" s="2"/>
      <c r="F2717" s="2" t="str">
        <f>HYPERLINK("http://m.12365auto.com/bbs/postcontent.aspx?tID=195056","http://m.12365auto.com/bbs/postcontent.aspx?tID=195056")</f>
        <v>http://m.12365auto.com/bbs/postcontent.aspx?tID=195056</v>
      </c>
      <c r="G2717" s="2"/>
      <c r="H2717" s="2" t="s">
        <v>3901</v>
      </c>
      <c r="I2717" s="2" t="s">
        <v>15</v>
      </c>
      <c r="J2717" s="2" t="s">
        <v>3902</v>
      </c>
      <c r="K2717" s="2" t="s">
        <v>3900</v>
      </c>
      <c r="L2717" s="2">
        <f t="shared" si="42"/>
        <v>150</v>
      </c>
    </row>
    <row r="2718" spans="1:12" ht="25" customHeight="1">
      <c r="A2718" s="2" t="s">
        <v>12</v>
      </c>
      <c r="B2718" s="2" t="str">
        <f>HYPERLINK("http://m.12365auto.com/bbs/postcontent.aspx?tID=195054","沃尔沃S60油箱加油频繁跳枪")</f>
        <v>沃尔沃S60油箱加油频繁跳枪</v>
      </c>
      <c r="C2718" s="2" t="s">
        <v>13</v>
      </c>
      <c r="D2718" s="2" t="s">
        <v>23</v>
      </c>
      <c r="E2718" s="2"/>
      <c r="F2718" s="2" t="str">
        <f>HYPERLINK("http://m.12365auto.com/bbs/postcontent.aspx?tID=195054","http://m.12365auto.com/bbs/postcontent.aspx?tID=195054")</f>
        <v>http://m.12365auto.com/bbs/postcontent.aspx?tID=195054</v>
      </c>
      <c r="G2718" s="2"/>
      <c r="H2718" s="2" t="s">
        <v>3903</v>
      </c>
      <c r="I2718" s="2" t="s">
        <v>15</v>
      </c>
      <c r="J2718" s="2" t="s">
        <v>3904</v>
      </c>
      <c r="K2718" s="2" t="s">
        <v>3900</v>
      </c>
      <c r="L2718" s="2">
        <f t="shared" si="42"/>
        <v>77</v>
      </c>
    </row>
    <row r="2719" spans="1:12" ht="25" customHeight="1">
      <c r="A2719" s="2" t="s">
        <v>12</v>
      </c>
      <c r="B2719" s="2" t="str">
        <f>HYPERLINK("http://bbs.12365auto.com/postcontent.aspx?tId=195056","朗逸的异味问题可以解决吗？")</f>
        <v>朗逸的异味问题可以解决吗？</v>
      </c>
      <c r="C2719" s="2" t="s">
        <v>13</v>
      </c>
      <c r="D2719" s="2" t="s">
        <v>12</v>
      </c>
      <c r="E2719" s="2" t="s">
        <v>66</v>
      </c>
      <c r="F2719" s="2" t="str">
        <f>HYPERLINK("http://bbs.12365auto.com/postcontent.aspx?tId=195056","http://bbs.12365auto.com/postcontent.aspx?tId=195056")</f>
        <v>http://bbs.12365auto.com/postcontent.aspx?tId=195056</v>
      </c>
      <c r="G2719" s="2"/>
      <c r="H2719" s="2" t="s">
        <v>3901</v>
      </c>
      <c r="I2719" s="2" t="s">
        <v>15</v>
      </c>
      <c r="J2719" s="2" t="s">
        <v>3902</v>
      </c>
      <c r="K2719" s="2" t="s">
        <v>3900</v>
      </c>
      <c r="L2719" s="2">
        <f t="shared" si="42"/>
        <v>150</v>
      </c>
    </row>
    <row r="2720" spans="1:12" ht="25" customHeight="1">
      <c r="A2720" s="2" t="s">
        <v>12</v>
      </c>
      <c r="B2720" s="2" t="str">
        <f>HYPERLINK("http://bbs.12365auto.com/postcontent.aspx?tId=195055","丰田凯美瑞双侧半轴轴套漏油")</f>
        <v>丰田凯美瑞双侧半轴轴套漏油</v>
      </c>
      <c r="C2720" s="2" t="s">
        <v>13</v>
      </c>
      <c r="D2720" s="2" t="s">
        <v>12</v>
      </c>
      <c r="E2720" s="2" t="s">
        <v>66</v>
      </c>
      <c r="F2720" s="2" t="str">
        <f>HYPERLINK("http://bbs.12365auto.com/postcontent.aspx?tId=195055","http://bbs.12365auto.com/postcontent.aspx?tId=195055")</f>
        <v>http://bbs.12365auto.com/postcontent.aspx?tId=195055</v>
      </c>
      <c r="G2720" s="2"/>
      <c r="H2720" s="2" t="s">
        <v>3898</v>
      </c>
      <c r="I2720" s="2" t="s">
        <v>15</v>
      </c>
      <c r="J2720" s="2" t="s">
        <v>3899</v>
      </c>
      <c r="K2720" s="2" t="s">
        <v>3900</v>
      </c>
      <c r="L2720" s="2">
        <f t="shared" si="42"/>
        <v>47</v>
      </c>
    </row>
    <row r="2721" spans="1:12" ht="25" customHeight="1">
      <c r="A2721" s="2" t="s">
        <v>12</v>
      </c>
      <c r="B2721" s="2" t="str">
        <f>HYPERLINK("http://bbs.12365auto.com/postcontent.aspx?tId=195054","沃尔沃S60油箱加油频繁跳枪")</f>
        <v>沃尔沃S60油箱加油频繁跳枪</v>
      </c>
      <c r="C2721" s="2" t="s">
        <v>13</v>
      </c>
      <c r="D2721" s="2" t="s">
        <v>12</v>
      </c>
      <c r="E2721" s="2" t="s">
        <v>66</v>
      </c>
      <c r="F2721" s="2" t="str">
        <f>HYPERLINK("http://bbs.12365auto.com/postcontent.aspx?tId=195054","http://bbs.12365auto.com/postcontent.aspx?tId=195054")</f>
        <v>http://bbs.12365auto.com/postcontent.aspx?tId=195054</v>
      </c>
      <c r="G2721" s="2"/>
      <c r="H2721" s="2" t="s">
        <v>3903</v>
      </c>
      <c r="I2721" s="2" t="s">
        <v>15</v>
      </c>
      <c r="J2721" s="2" t="s">
        <v>3904</v>
      </c>
      <c r="K2721" s="2" t="s">
        <v>3900</v>
      </c>
      <c r="L2721" s="2">
        <f t="shared" si="42"/>
        <v>77</v>
      </c>
    </row>
    <row r="2722" spans="1:12" ht="25" customHeight="1">
      <c r="A2722" s="2" t="s">
        <v>12</v>
      </c>
      <c r="B2722" s="2" t="str">
        <f>HYPERLINK("http://bbs.12365auto.com/postcontent.aspx?tID=195054","沃尔沃S60油箱加油频繁跳枪")</f>
        <v>沃尔沃S60油箱加油频繁跳枪</v>
      </c>
      <c r="C2722" s="2" t="s">
        <v>13</v>
      </c>
      <c r="D2722" s="2" t="s">
        <v>12</v>
      </c>
      <c r="E2722" s="2" t="s">
        <v>67</v>
      </c>
      <c r="F2722" s="2" t="str">
        <f>HYPERLINK("http://bbs.12365auto.com/postcontent.aspx?tID=195054","http://bbs.12365auto.com/postcontent.aspx?tID=195054")</f>
        <v>http://bbs.12365auto.com/postcontent.aspx?tID=195054</v>
      </c>
      <c r="G2722" s="2"/>
      <c r="H2722" s="2" t="s">
        <v>3905</v>
      </c>
      <c r="I2722" s="2" t="s">
        <v>15</v>
      </c>
      <c r="J2722" s="2" t="s">
        <v>3904</v>
      </c>
      <c r="K2722" s="2" t="s">
        <v>3900</v>
      </c>
      <c r="L2722" s="2">
        <f t="shared" si="42"/>
        <v>91</v>
      </c>
    </row>
    <row r="2723" spans="1:12" ht="25" customHeight="1">
      <c r="A2723" s="2" t="s">
        <v>12</v>
      </c>
      <c r="B2723" s="2" t="str">
        <f>HYPERLINK("http://bbs.12365auto.com/postcontent.aspx?tID=195056","朗逸的异味问题可以解决吗？")</f>
        <v>朗逸的异味问题可以解决吗？</v>
      </c>
      <c r="C2723" s="2" t="s">
        <v>13</v>
      </c>
      <c r="D2723" s="2" t="s">
        <v>12</v>
      </c>
      <c r="E2723" s="2" t="s">
        <v>67</v>
      </c>
      <c r="F2723" s="2" t="str">
        <f>HYPERLINK("http://bbs.12365auto.com/postcontent.aspx?tID=195056","http://bbs.12365auto.com/postcontent.aspx?tID=195056")</f>
        <v>http://bbs.12365auto.com/postcontent.aspx?tID=195056</v>
      </c>
      <c r="G2723" s="2"/>
      <c r="H2723" s="2" t="s">
        <v>3906</v>
      </c>
      <c r="I2723" s="2" t="s">
        <v>15</v>
      </c>
      <c r="J2723" s="2" t="s">
        <v>3902</v>
      </c>
      <c r="K2723" s="2" t="s">
        <v>3900</v>
      </c>
      <c r="L2723" s="2">
        <f t="shared" si="42"/>
        <v>150</v>
      </c>
    </row>
    <row r="2724" spans="1:12" ht="25" customHeight="1">
      <c r="A2724" s="2" t="s">
        <v>12</v>
      </c>
      <c r="B2724" s="2" t="str">
        <f>HYPERLINK("http://bbs.12365auto.com/postcontent.aspx?tID=195055","丰田凯美瑞双侧半轴轴套漏油")</f>
        <v>丰田凯美瑞双侧半轴轴套漏油</v>
      </c>
      <c r="C2724" s="2" t="s">
        <v>13</v>
      </c>
      <c r="D2724" s="2" t="s">
        <v>12</v>
      </c>
      <c r="E2724" s="2" t="s">
        <v>67</v>
      </c>
      <c r="F2724" s="2" t="str">
        <f>HYPERLINK("http://bbs.12365auto.com/postcontent.aspx?tID=195055","http://bbs.12365auto.com/postcontent.aspx?tID=195055")</f>
        <v>http://bbs.12365auto.com/postcontent.aspx?tID=195055</v>
      </c>
      <c r="G2724" s="2"/>
      <c r="H2724" s="2" t="s">
        <v>3907</v>
      </c>
      <c r="I2724" s="2" t="s">
        <v>15</v>
      </c>
      <c r="J2724" s="2" t="s">
        <v>3899</v>
      </c>
      <c r="K2724" s="2" t="s">
        <v>3900</v>
      </c>
      <c r="L2724" s="2">
        <f t="shared" si="42"/>
        <v>60</v>
      </c>
    </row>
    <row r="2725" spans="1:12" ht="25" customHeight="1">
      <c r="A2725" s="2" t="s">
        <v>12</v>
      </c>
      <c r="B2725" s="2" t="str">
        <f>HYPERLINK("http://m.12365auto.com/bbs/postcontent.aspx?tID=195053&amp;i=1","升级后噪音大是不是途胜的通病？")</f>
        <v>升级后噪音大是不是途胜的通病？</v>
      </c>
      <c r="C2725" s="2" t="s">
        <v>13</v>
      </c>
      <c r="D2725" s="2" t="s">
        <v>23</v>
      </c>
      <c r="E2725" s="2"/>
      <c r="F2725" s="2" t="str">
        <f>HYPERLINK("http://m.12365auto.com/bbs/postcontent.aspx?tID=195053&amp;i=1","http://m.12365auto.com/bbs/postcontent.aspx?tID=195053&amp;i=1")</f>
        <v>http://m.12365auto.com/bbs/postcontent.aspx?tID=195053&amp;i=1</v>
      </c>
      <c r="G2725" s="2"/>
      <c r="H2725" s="2" t="s">
        <v>3908</v>
      </c>
      <c r="I2725" s="2" t="s">
        <v>15</v>
      </c>
      <c r="J2725" s="2" t="s">
        <v>3909</v>
      </c>
      <c r="K2725" s="2" t="s">
        <v>3910</v>
      </c>
      <c r="L2725" s="2">
        <f t="shared" si="42"/>
        <v>42</v>
      </c>
    </row>
    <row r="2726" spans="1:12" ht="25" customHeight="1">
      <c r="A2726" s="2" t="s">
        <v>12</v>
      </c>
      <c r="B2726" s="2" t="str">
        <f>HYPERLINK("http://m.12365auto.com/bbs/postcontent.aspx?tID=195053","升级后噪音大是不是途胜的通病？")</f>
        <v>升级后噪音大是不是途胜的通病？</v>
      </c>
      <c r="C2726" s="2" t="s">
        <v>13</v>
      </c>
      <c r="D2726" s="2" t="s">
        <v>23</v>
      </c>
      <c r="E2726" s="2"/>
      <c r="F2726" s="2" t="str">
        <f>HYPERLINK("http://m.12365auto.com/bbs/postcontent.aspx?tID=195053","http://m.12365auto.com/bbs/postcontent.aspx?tID=195053")</f>
        <v>http://m.12365auto.com/bbs/postcontent.aspx?tID=195053</v>
      </c>
      <c r="G2726" s="2"/>
      <c r="H2726" s="2" t="s">
        <v>3908</v>
      </c>
      <c r="I2726" s="2" t="s">
        <v>15</v>
      </c>
      <c r="J2726" s="2" t="s">
        <v>3909</v>
      </c>
      <c r="K2726" s="2" t="s">
        <v>3910</v>
      </c>
      <c r="L2726" s="2">
        <f t="shared" si="42"/>
        <v>42</v>
      </c>
    </row>
    <row r="2727" spans="1:12" ht="25" customHeight="1">
      <c r="A2727" s="2" t="s">
        <v>12</v>
      </c>
      <c r="B2727" s="2" t="str">
        <f>HYPERLINK("http://m.12365auto.com/bbs/postcontent.aspx?tID=195052","起亚KX3傲跑玻璃压条密封不严")</f>
        <v>起亚KX3傲跑玻璃压条密封不严</v>
      </c>
      <c r="C2727" s="2" t="s">
        <v>13</v>
      </c>
      <c r="D2727" s="2" t="s">
        <v>23</v>
      </c>
      <c r="E2727" s="2"/>
      <c r="F2727" s="2" t="str">
        <f>HYPERLINK("http://m.12365auto.com/bbs/postcontent.aspx?tID=195052","http://m.12365auto.com/bbs/postcontent.aspx?tID=195052")</f>
        <v>http://m.12365auto.com/bbs/postcontent.aspx?tID=195052</v>
      </c>
      <c r="G2727" s="2"/>
      <c r="H2727" s="2" t="s">
        <v>3911</v>
      </c>
      <c r="I2727" s="2" t="s">
        <v>15</v>
      </c>
      <c r="J2727" s="2" t="s">
        <v>3912</v>
      </c>
      <c r="K2727" s="2" t="s">
        <v>3910</v>
      </c>
      <c r="L2727" s="2">
        <f t="shared" si="42"/>
        <v>50</v>
      </c>
    </row>
    <row r="2728" spans="1:12" ht="25" customHeight="1">
      <c r="A2728" s="2" t="s">
        <v>12</v>
      </c>
      <c r="B2728" s="2" t="str">
        <f>HYPERLINK("http://m.12365auto.com/bbs/postcontent.aspx?tID=195051","菱悦车身生锈问题怎么才能解决？")</f>
        <v>菱悦车身生锈问题怎么才能解决？</v>
      </c>
      <c r="C2728" s="2" t="s">
        <v>13</v>
      </c>
      <c r="D2728" s="2" t="s">
        <v>23</v>
      </c>
      <c r="E2728" s="2"/>
      <c r="F2728" s="2" t="str">
        <f>HYPERLINK("http://m.12365auto.com/bbs/postcontent.aspx?tID=195051","http://m.12365auto.com/bbs/postcontent.aspx?tID=195051")</f>
        <v>http://m.12365auto.com/bbs/postcontent.aspx?tID=195051</v>
      </c>
      <c r="G2728" s="2"/>
      <c r="H2728" s="2" t="s">
        <v>3913</v>
      </c>
      <c r="I2728" s="2" t="s">
        <v>15</v>
      </c>
      <c r="J2728" s="2" t="s">
        <v>3914</v>
      </c>
      <c r="K2728" s="2" t="s">
        <v>3910</v>
      </c>
      <c r="L2728" s="2">
        <f t="shared" si="42"/>
        <v>86</v>
      </c>
    </row>
    <row r="2729" spans="1:12" ht="25" customHeight="1">
      <c r="A2729" s="2" t="s">
        <v>12</v>
      </c>
      <c r="B2729" s="2" t="str">
        <f>HYPERLINK("http://bbs.12365auto.com/postcontent.aspx?tId=195053","升级后噪音大是不是途胜的通病？")</f>
        <v>升级后噪音大是不是途胜的通病？</v>
      </c>
      <c r="C2729" s="2" t="s">
        <v>13</v>
      </c>
      <c r="D2729" s="2" t="s">
        <v>12</v>
      </c>
      <c r="E2729" s="2" t="s">
        <v>66</v>
      </c>
      <c r="F2729" s="2" t="str">
        <f>HYPERLINK("http://bbs.12365auto.com/postcontent.aspx?tId=195053","http://bbs.12365auto.com/postcontent.aspx?tId=195053")</f>
        <v>http://bbs.12365auto.com/postcontent.aspx?tId=195053</v>
      </c>
      <c r="G2729" s="2"/>
      <c r="H2729" s="2" t="s">
        <v>3908</v>
      </c>
      <c r="I2729" s="2" t="s">
        <v>15</v>
      </c>
      <c r="J2729" s="2" t="s">
        <v>3909</v>
      </c>
      <c r="K2729" s="2" t="s">
        <v>3910</v>
      </c>
      <c r="L2729" s="2">
        <f t="shared" si="42"/>
        <v>42</v>
      </c>
    </row>
    <row r="2730" spans="1:12" ht="25" customHeight="1">
      <c r="A2730" s="2" t="s">
        <v>12</v>
      </c>
      <c r="B2730" s="2" t="str">
        <f>HYPERLINK("http://bbs.12365auto.com/postcontent.aspx?tId=195052","起亚KX3傲跑玻璃压条密封不严")</f>
        <v>起亚KX3傲跑玻璃压条密封不严</v>
      </c>
      <c r="C2730" s="2" t="s">
        <v>13</v>
      </c>
      <c r="D2730" s="2" t="s">
        <v>12</v>
      </c>
      <c r="E2730" s="2" t="s">
        <v>66</v>
      </c>
      <c r="F2730" s="2" t="str">
        <f>HYPERLINK("http://bbs.12365auto.com/postcontent.aspx?tId=195052","http://bbs.12365auto.com/postcontent.aspx?tId=195052")</f>
        <v>http://bbs.12365auto.com/postcontent.aspx?tId=195052</v>
      </c>
      <c r="G2730" s="2"/>
      <c r="H2730" s="2" t="s">
        <v>3911</v>
      </c>
      <c r="I2730" s="2" t="s">
        <v>15</v>
      </c>
      <c r="J2730" s="2" t="s">
        <v>3912</v>
      </c>
      <c r="K2730" s="2" t="s">
        <v>3910</v>
      </c>
      <c r="L2730" s="2">
        <f t="shared" si="42"/>
        <v>50</v>
      </c>
    </row>
    <row r="2731" spans="1:12" ht="25" customHeight="1">
      <c r="A2731" s="2" t="s">
        <v>12</v>
      </c>
      <c r="B2731" s="2" t="str">
        <f>HYPERLINK("http://bbs.12365auto.com/postcontent.aspx?tId=195051","菱悦车身生锈问题怎么才能解决？")</f>
        <v>菱悦车身生锈问题怎么才能解决？</v>
      </c>
      <c r="C2731" s="2" t="s">
        <v>13</v>
      </c>
      <c r="D2731" s="2" t="s">
        <v>12</v>
      </c>
      <c r="E2731" s="2" t="s">
        <v>66</v>
      </c>
      <c r="F2731" s="2" t="str">
        <f>HYPERLINK("http://bbs.12365auto.com/postcontent.aspx?tId=195051","http://bbs.12365auto.com/postcontent.aspx?tId=195051")</f>
        <v>http://bbs.12365auto.com/postcontent.aspx?tId=195051</v>
      </c>
      <c r="G2731" s="2"/>
      <c r="H2731" s="2" t="s">
        <v>3913</v>
      </c>
      <c r="I2731" s="2" t="s">
        <v>15</v>
      </c>
      <c r="J2731" s="2" t="s">
        <v>3914</v>
      </c>
      <c r="K2731" s="2" t="s">
        <v>3910</v>
      </c>
      <c r="L2731" s="2">
        <f t="shared" si="42"/>
        <v>86</v>
      </c>
    </row>
    <row r="2732" spans="1:12" ht="25" customHeight="1">
      <c r="A2732" s="2" t="s">
        <v>12</v>
      </c>
      <c r="B2732" s="2" t="str">
        <f>HYPERLINK("http://bbs.12365auto.com/postcontent.aspx?tID=195051","菱悦车身生锈问题怎么才能解决？")</f>
        <v>菱悦车身生锈问题怎么才能解决？</v>
      </c>
      <c r="C2732" s="2" t="s">
        <v>13</v>
      </c>
      <c r="D2732" s="2" t="s">
        <v>12</v>
      </c>
      <c r="E2732" s="2" t="s">
        <v>67</v>
      </c>
      <c r="F2732" s="2" t="str">
        <f>HYPERLINK("http://bbs.12365auto.com/postcontent.aspx?tID=195051","http://bbs.12365auto.com/postcontent.aspx?tID=195051")</f>
        <v>http://bbs.12365auto.com/postcontent.aspx?tID=195051</v>
      </c>
      <c r="G2732" s="2"/>
      <c r="H2732" s="2" t="s">
        <v>3915</v>
      </c>
      <c r="I2732" s="2" t="s">
        <v>15</v>
      </c>
      <c r="J2732" s="2" t="s">
        <v>3914</v>
      </c>
      <c r="K2732" s="2" t="s">
        <v>3910</v>
      </c>
      <c r="L2732" s="2">
        <f t="shared" si="42"/>
        <v>101</v>
      </c>
    </row>
    <row r="2733" spans="1:12" ht="25" customHeight="1">
      <c r="A2733" s="2" t="s">
        <v>12</v>
      </c>
      <c r="B2733" s="2" t="str">
        <f>HYPERLINK("http://bbs.12365auto.com/postcontent.aspx?tID=195052","起亚KX3傲跑玻璃压条密封不严")</f>
        <v>起亚KX3傲跑玻璃压条密封不严</v>
      </c>
      <c r="C2733" s="2" t="s">
        <v>13</v>
      </c>
      <c r="D2733" s="2" t="s">
        <v>12</v>
      </c>
      <c r="E2733" s="2" t="s">
        <v>67</v>
      </c>
      <c r="F2733" s="2" t="str">
        <f>HYPERLINK("http://bbs.12365auto.com/postcontent.aspx?tID=195052","http://bbs.12365auto.com/postcontent.aspx?tID=195052")</f>
        <v>http://bbs.12365auto.com/postcontent.aspx?tID=195052</v>
      </c>
      <c r="G2733" s="2"/>
      <c r="H2733" s="2" t="s">
        <v>3916</v>
      </c>
      <c r="I2733" s="2" t="s">
        <v>15</v>
      </c>
      <c r="J2733" s="2" t="s">
        <v>3912</v>
      </c>
      <c r="K2733" s="2" t="s">
        <v>3910</v>
      </c>
      <c r="L2733" s="2">
        <f t="shared" si="42"/>
        <v>65</v>
      </c>
    </row>
    <row r="2734" spans="1:12" ht="25" customHeight="1">
      <c r="A2734" s="2" t="s">
        <v>12</v>
      </c>
      <c r="B2734" s="2" t="str">
        <f>HYPERLINK("http://bbs.12365auto.com/postcontent.aspx?tID=195053","升级后噪音大是不是途胜的通病？")</f>
        <v>升级后噪音大是不是途胜的通病？</v>
      </c>
      <c r="C2734" s="2" t="s">
        <v>13</v>
      </c>
      <c r="D2734" s="2" t="s">
        <v>12</v>
      </c>
      <c r="E2734" s="2" t="s">
        <v>67</v>
      </c>
      <c r="F2734" s="2" t="str">
        <f>HYPERLINK("http://bbs.12365auto.com/postcontent.aspx?tID=195053","http://bbs.12365auto.com/postcontent.aspx?tID=195053")</f>
        <v>http://bbs.12365auto.com/postcontent.aspx?tID=195053</v>
      </c>
      <c r="G2734" s="2"/>
      <c r="H2734" s="2" t="s">
        <v>3917</v>
      </c>
      <c r="I2734" s="2" t="s">
        <v>15</v>
      </c>
      <c r="J2734" s="2" t="s">
        <v>3909</v>
      </c>
      <c r="K2734" s="2" t="s">
        <v>3910</v>
      </c>
      <c r="L2734" s="2">
        <f t="shared" si="42"/>
        <v>57</v>
      </c>
    </row>
    <row r="2735" spans="1:12" ht="25" customHeight="1">
      <c r="A2735" s="2" t="s">
        <v>12</v>
      </c>
      <c r="B2735" s="2" t="str">
        <f>HYPERLINK("http://bbs.12365auto.com/postcontent.aspx?tId=195048","MAXUS G50发动机油耗高 变速箱异响")</f>
        <v>MAXUS G50发动机油耗高 变速箱异响</v>
      </c>
      <c r="C2735" s="2" t="s">
        <v>13</v>
      </c>
      <c r="D2735" s="2" t="s">
        <v>12</v>
      </c>
      <c r="E2735" s="2" t="s">
        <v>66</v>
      </c>
      <c r="F2735" s="2" t="str">
        <f>HYPERLINK("http://bbs.12365auto.com/postcontent.aspx?tId=195048","http://bbs.12365auto.com/postcontent.aspx?tId=195048")</f>
        <v>http://bbs.12365auto.com/postcontent.aspx?tId=195048</v>
      </c>
      <c r="G2735" s="2"/>
      <c r="H2735" s="2" t="s">
        <v>3918</v>
      </c>
      <c r="I2735" s="2" t="s">
        <v>15</v>
      </c>
      <c r="J2735" s="2" t="s">
        <v>3919</v>
      </c>
      <c r="K2735" s="2" t="s">
        <v>3920</v>
      </c>
      <c r="L2735" s="2">
        <f t="shared" si="42"/>
        <v>150</v>
      </c>
    </row>
    <row r="2736" spans="1:12" ht="25" customHeight="1">
      <c r="A2736" s="2" t="s">
        <v>12</v>
      </c>
      <c r="B2736" s="2" t="str">
        <f>HYPERLINK("http://bbs.12365auto.com/postcontent.aspx?tId=195050","本田雅阁自动驻车系统无故失灵")</f>
        <v>本田雅阁自动驻车系统无故失灵</v>
      </c>
      <c r="C2736" s="2" t="s">
        <v>13</v>
      </c>
      <c r="D2736" s="2" t="s">
        <v>12</v>
      </c>
      <c r="E2736" s="2" t="s">
        <v>66</v>
      </c>
      <c r="F2736" s="2" t="str">
        <f>HYPERLINK("http://bbs.12365auto.com/postcontent.aspx?tId=195050","http://bbs.12365auto.com/postcontent.aspx?tId=195050")</f>
        <v>http://bbs.12365auto.com/postcontent.aspx?tId=195050</v>
      </c>
      <c r="G2736" s="2"/>
      <c r="H2736" s="2" t="s">
        <v>3921</v>
      </c>
      <c r="I2736" s="2" t="s">
        <v>15</v>
      </c>
      <c r="J2736" s="2" t="s">
        <v>3922</v>
      </c>
      <c r="K2736" s="2" t="s">
        <v>3920</v>
      </c>
      <c r="L2736" s="2">
        <f t="shared" si="42"/>
        <v>58</v>
      </c>
    </row>
    <row r="2737" spans="1:12" ht="25" customHeight="1">
      <c r="A2737" s="2" t="s">
        <v>12</v>
      </c>
      <c r="B2737" s="2" t="str">
        <f>HYPERLINK("http://bbs.12365auto.com/postcontent.aspx?tId=195049","加速无力探岳可以去车质网投诉吗？")</f>
        <v>加速无力探岳可以去车质网投诉吗？</v>
      </c>
      <c r="C2737" s="2" t="s">
        <v>13</v>
      </c>
      <c r="D2737" s="2" t="s">
        <v>12</v>
      </c>
      <c r="E2737" s="2" t="s">
        <v>66</v>
      </c>
      <c r="F2737" s="2" t="str">
        <f>HYPERLINK("http://bbs.12365auto.com/postcontent.aspx?tId=195049","http://bbs.12365auto.com/postcontent.aspx?tId=195049")</f>
        <v>http://bbs.12365auto.com/postcontent.aspx?tId=195049</v>
      </c>
      <c r="G2737" s="2"/>
      <c r="H2737" s="2" t="s">
        <v>3923</v>
      </c>
      <c r="I2737" s="2" t="s">
        <v>15</v>
      </c>
      <c r="J2737" s="2" t="s">
        <v>3924</v>
      </c>
      <c r="K2737" s="2" t="s">
        <v>3920</v>
      </c>
      <c r="L2737" s="2">
        <f t="shared" si="42"/>
        <v>82</v>
      </c>
    </row>
    <row r="2738" spans="1:12" ht="25" customHeight="1">
      <c r="A2738" s="2" t="s">
        <v>12</v>
      </c>
      <c r="B2738" s="2" t="str">
        <f>HYPERLINK("http://bbs.12365auto.com/postcontent.aspx?tID=195048","MAXUS G50发动机油耗高 变速箱异响")</f>
        <v>MAXUS G50发动机油耗高 变速箱异响</v>
      </c>
      <c r="C2738" s="2" t="s">
        <v>13</v>
      </c>
      <c r="D2738" s="2" t="s">
        <v>12</v>
      </c>
      <c r="E2738" s="2" t="s">
        <v>67</v>
      </c>
      <c r="F2738" s="2" t="str">
        <f>HYPERLINK("http://bbs.12365auto.com/postcontent.aspx?tID=195048","http://bbs.12365auto.com/postcontent.aspx?tID=195048")</f>
        <v>http://bbs.12365auto.com/postcontent.aspx?tID=195048</v>
      </c>
      <c r="G2738" s="2"/>
      <c r="H2738" s="2" t="s">
        <v>3925</v>
      </c>
      <c r="I2738" s="2" t="s">
        <v>15</v>
      </c>
      <c r="J2738" s="2" t="s">
        <v>3919</v>
      </c>
      <c r="K2738" s="2" t="s">
        <v>3920</v>
      </c>
      <c r="L2738" s="2">
        <f t="shared" si="42"/>
        <v>150</v>
      </c>
    </row>
    <row r="2739" spans="1:12" ht="25" customHeight="1">
      <c r="A2739" s="2" t="s">
        <v>12</v>
      </c>
      <c r="B2739" s="2" t="str">
        <f>HYPERLINK("http://bbs.12365auto.com/postcontent.aspx?tID=195049","加速无力探岳可以去车质网投诉吗？")</f>
        <v>加速无力探岳可以去车质网投诉吗？</v>
      </c>
      <c r="C2739" s="2" t="s">
        <v>13</v>
      </c>
      <c r="D2739" s="2" t="s">
        <v>12</v>
      </c>
      <c r="E2739" s="2" t="s">
        <v>67</v>
      </c>
      <c r="F2739" s="2" t="str">
        <f>HYPERLINK("http://bbs.12365auto.com/postcontent.aspx?tID=195049","http://bbs.12365auto.com/postcontent.aspx?tID=195049")</f>
        <v>http://bbs.12365auto.com/postcontent.aspx?tID=195049</v>
      </c>
      <c r="G2739" s="2"/>
      <c r="H2739" s="2" t="s">
        <v>3926</v>
      </c>
      <c r="I2739" s="2" t="s">
        <v>15</v>
      </c>
      <c r="J2739" s="2" t="s">
        <v>3924</v>
      </c>
      <c r="K2739" s="2" t="s">
        <v>3920</v>
      </c>
      <c r="L2739" s="2">
        <f t="shared" si="42"/>
        <v>98</v>
      </c>
    </row>
    <row r="2740" spans="1:12" ht="25" customHeight="1">
      <c r="A2740" s="2" t="s">
        <v>12</v>
      </c>
      <c r="B2740" s="2" t="str">
        <f>HYPERLINK("http://bbs.12365auto.com/postcontent.aspx?tID=195050","本田雅阁自动驻车系统无故失灵")</f>
        <v>本田雅阁自动驻车系统无故失灵</v>
      </c>
      <c r="C2740" s="2" t="s">
        <v>13</v>
      </c>
      <c r="D2740" s="2" t="s">
        <v>12</v>
      </c>
      <c r="E2740" s="2" t="s">
        <v>67</v>
      </c>
      <c r="F2740" s="2" t="str">
        <f>HYPERLINK("http://bbs.12365auto.com/postcontent.aspx?tID=195050","http://bbs.12365auto.com/postcontent.aspx?tID=195050")</f>
        <v>http://bbs.12365auto.com/postcontent.aspx?tID=195050</v>
      </c>
      <c r="G2740" s="2"/>
      <c r="H2740" s="2" t="s">
        <v>3927</v>
      </c>
      <c r="I2740" s="2" t="s">
        <v>15</v>
      </c>
      <c r="J2740" s="2" t="s">
        <v>3922</v>
      </c>
      <c r="K2740" s="2" t="s">
        <v>3920</v>
      </c>
      <c r="L2740" s="2">
        <f t="shared" si="42"/>
        <v>72</v>
      </c>
    </row>
    <row r="2741" spans="1:12" ht="25" customHeight="1">
      <c r="A2741" s="2" t="s">
        <v>12</v>
      </c>
      <c r="B2741" s="2" t="str">
        <f>HYPERLINK("http://bbs.12365auto.com/postcontent.aspx?tId=195045","途观L共振问题可以解决吗？")</f>
        <v>途观L共振问题可以解决吗？</v>
      </c>
      <c r="C2741" s="2" t="s">
        <v>13</v>
      </c>
      <c r="D2741" s="2" t="s">
        <v>12</v>
      </c>
      <c r="E2741" s="2" t="s">
        <v>66</v>
      </c>
      <c r="F2741" s="2" t="str">
        <f>HYPERLINK("http://bbs.12365auto.com/postcontent.aspx?tId=195045","http://bbs.12365auto.com/postcontent.aspx?tId=195045")</f>
        <v>http://bbs.12365auto.com/postcontent.aspx?tId=195045</v>
      </c>
      <c r="G2741" s="2"/>
      <c r="H2741" s="2" t="s">
        <v>3928</v>
      </c>
      <c r="I2741" s="2" t="s">
        <v>15</v>
      </c>
      <c r="J2741" s="2" t="s">
        <v>3929</v>
      </c>
      <c r="K2741" s="2" t="s">
        <v>3930</v>
      </c>
      <c r="L2741" s="2">
        <f t="shared" si="42"/>
        <v>110</v>
      </c>
    </row>
    <row r="2742" spans="1:12" ht="25" customHeight="1">
      <c r="A2742" s="2" t="s">
        <v>12</v>
      </c>
      <c r="B2742" s="2" t="str">
        <f>HYPERLINK("http://bbs.12365auto.com/postcontent.aspx?tId=195047","雅阁电子手刹异响抖动可以解决吗？")</f>
        <v>雅阁电子手刹异响抖动可以解决吗？</v>
      </c>
      <c r="C2742" s="2" t="s">
        <v>13</v>
      </c>
      <c r="D2742" s="2" t="s">
        <v>12</v>
      </c>
      <c r="E2742" s="2" t="s">
        <v>66</v>
      </c>
      <c r="F2742" s="2" t="str">
        <f>HYPERLINK("http://bbs.12365auto.com/postcontent.aspx?tId=195047","http://bbs.12365auto.com/postcontent.aspx?tId=195047")</f>
        <v>http://bbs.12365auto.com/postcontent.aspx?tId=195047</v>
      </c>
      <c r="G2742" s="2"/>
      <c r="H2742" s="2" t="s">
        <v>3931</v>
      </c>
      <c r="I2742" s="2" t="s">
        <v>15</v>
      </c>
      <c r="J2742" s="2" t="s">
        <v>3932</v>
      </c>
      <c r="K2742" s="2" t="s">
        <v>3930</v>
      </c>
      <c r="L2742" s="2">
        <f t="shared" si="42"/>
        <v>57</v>
      </c>
    </row>
    <row r="2743" spans="1:12" ht="25" customHeight="1">
      <c r="A2743" s="2" t="s">
        <v>12</v>
      </c>
      <c r="B2743" s="2" t="str">
        <f>HYPERLINK("http://bbs.12365auto.com/postcontent.aspx?tId=195046","斯柯达昊锐车内异味严重")</f>
        <v>斯柯达昊锐车内异味严重</v>
      </c>
      <c r="C2743" s="2" t="s">
        <v>13</v>
      </c>
      <c r="D2743" s="2" t="s">
        <v>12</v>
      </c>
      <c r="E2743" s="2" t="s">
        <v>66</v>
      </c>
      <c r="F2743" s="2" t="str">
        <f>HYPERLINK("http://bbs.12365auto.com/postcontent.aspx?tId=195046","http://bbs.12365auto.com/postcontent.aspx?tId=195046")</f>
        <v>http://bbs.12365auto.com/postcontent.aspx?tId=195046</v>
      </c>
      <c r="G2743" s="2"/>
      <c r="H2743" s="2" t="s">
        <v>3933</v>
      </c>
      <c r="I2743" s="2" t="s">
        <v>15</v>
      </c>
      <c r="J2743" s="2" t="s">
        <v>3934</v>
      </c>
      <c r="K2743" s="2" t="s">
        <v>3930</v>
      </c>
      <c r="L2743" s="2">
        <f t="shared" si="42"/>
        <v>84</v>
      </c>
    </row>
    <row r="2744" spans="1:12" ht="25" customHeight="1">
      <c r="A2744" s="2" t="s">
        <v>12</v>
      </c>
      <c r="B2744" s="2" t="str">
        <f>HYPERLINK("http://bbs.12365auto.com/postcontent.aspx?tID=195047","雅阁电子手刹异响抖动可以解决吗？")</f>
        <v>雅阁电子手刹异响抖动可以解决吗？</v>
      </c>
      <c r="C2744" s="2" t="s">
        <v>13</v>
      </c>
      <c r="D2744" s="2" t="s">
        <v>12</v>
      </c>
      <c r="E2744" s="2" t="s">
        <v>67</v>
      </c>
      <c r="F2744" s="2" t="str">
        <f>HYPERLINK("http://bbs.12365auto.com/postcontent.aspx?tID=195047","http://bbs.12365auto.com/postcontent.aspx?tID=195047")</f>
        <v>http://bbs.12365auto.com/postcontent.aspx?tID=195047</v>
      </c>
      <c r="G2744" s="2"/>
      <c r="H2744" s="2" t="s">
        <v>3935</v>
      </c>
      <c r="I2744" s="2" t="s">
        <v>15</v>
      </c>
      <c r="J2744" s="2" t="s">
        <v>3932</v>
      </c>
      <c r="K2744" s="2" t="s">
        <v>3930</v>
      </c>
      <c r="L2744" s="2">
        <f t="shared" si="42"/>
        <v>73</v>
      </c>
    </row>
    <row r="2745" spans="1:12" ht="25" customHeight="1">
      <c r="A2745" s="2" t="s">
        <v>12</v>
      </c>
      <c r="B2745" s="2" t="str">
        <f>HYPERLINK("http://bbs.12365auto.com/postcontent.aspx?tID=195046","斯柯达昊锐车内异味严重")</f>
        <v>斯柯达昊锐车内异味严重</v>
      </c>
      <c r="C2745" s="2" t="s">
        <v>13</v>
      </c>
      <c r="D2745" s="2" t="s">
        <v>12</v>
      </c>
      <c r="E2745" s="2" t="s">
        <v>67</v>
      </c>
      <c r="F2745" s="2" t="str">
        <f>HYPERLINK("http://bbs.12365auto.com/postcontent.aspx?tID=195046","http://bbs.12365auto.com/postcontent.aspx?tID=195046")</f>
        <v>http://bbs.12365auto.com/postcontent.aspx?tID=195046</v>
      </c>
      <c r="G2745" s="2"/>
      <c r="H2745" s="2" t="s">
        <v>3936</v>
      </c>
      <c r="I2745" s="2" t="s">
        <v>15</v>
      </c>
      <c r="J2745" s="2" t="s">
        <v>3934</v>
      </c>
      <c r="K2745" s="2" t="s">
        <v>3930</v>
      </c>
      <c r="L2745" s="2">
        <f t="shared" si="42"/>
        <v>95</v>
      </c>
    </row>
    <row r="2746" spans="1:12" ht="25" customHeight="1">
      <c r="A2746" s="2" t="s">
        <v>12</v>
      </c>
      <c r="B2746" s="2" t="str">
        <f>HYPERLINK("http://bbs.12365auto.com/postcontent.aspx?tID=195045","途观L共振问题可以解决吗？")</f>
        <v>途观L共振问题可以解决吗？</v>
      </c>
      <c r="C2746" s="2" t="s">
        <v>13</v>
      </c>
      <c r="D2746" s="2" t="s">
        <v>12</v>
      </c>
      <c r="E2746" s="2" t="s">
        <v>67</v>
      </c>
      <c r="F2746" s="2" t="str">
        <f>HYPERLINK("http://bbs.12365auto.com/postcontent.aspx?tID=195045","http://bbs.12365auto.com/postcontent.aspx?tID=195045")</f>
        <v>http://bbs.12365auto.com/postcontent.aspx?tID=195045</v>
      </c>
      <c r="G2746" s="2"/>
      <c r="H2746" s="2" t="s">
        <v>3937</v>
      </c>
      <c r="I2746" s="2" t="s">
        <v>15</v>
      </c>
      <c r="J2746" s="2" t="s">
        <v>3929</v>
      </c>
      <c r="K2746" s="2" t="s">
        <v>3930</v>
      </c>
      <c r="L2746" s="2">
        <f t="shared" si="42"/>
        <v>123</v>
      </c>
    </row>
    <row r="2747" spans="1:12" ht="25" customHeight="1">
      <c r="A2747" s="2" t="s">
        <v>12</v>
      </c>
      <c r="B2747" s="2" t="str">
        <f>HYPERLINK("http://bbs.12365auto.com/postcontent.aspx?tId=195043","右侧大灯进水 方向盘异响怎么才能处理？")</f>
        <v>右侧大灯进水 方向盘异响怎么才能处理？</v>
      </c>
      <c r="C2747" s="2" t="s">
        <v>13</v>
      </c>
      <c r="D2747" s="2" t="s">
        <v>12</v>
      </c>
      <c r="E2747" s="2" t="s">
        <v>66</v>
      </c>
      <c r="F2747" s="2" t="str">
        <f>HYPERLINK("http://bbs.12365auto.com/postcontent.aspx?tId=195043","http://bbs.12365auto.com/postcontent.aspx?tId=195043")</f>
        <v>http://bbs.12365auto.com/postcontent.aspx?tId=195043</v>
      </c>
      <c r="G2747" s="2"/>
      <c r="H2747" s="2" t="s">
        <v>3938</v>
      </c>
      <c r="I2747" s="2" t="s">
        <v>15</v>
      </c>
      <c r="J2747" s="2" t="s">
        <v>3939</v>
      </c>
      <c r="K2747" s="2" t="s">
        <v>3940</v>
      </c>
      <c r="L2747" s="2">
        <f t="shared" si="42"/>
        <v>37</v>
      </c>
    </row>
    <row r="2748" spans="1:12" ht="25" customHeight="1">
      <c r="A2748" s="2" t="s">
        <v>12</v>
      </c>
      <c r="B2748" s="2" t="str">
        <f>HYPERLINK("http://bbs.12365auto.com/postcontent.aspx?tId=195044","Jeep自由侠发动机 变速箱抖动")</f>
        <v>Jeep自由侠发动机 变速箱抖动</v>
      </c>
      <c r="C2748" s="2" t="s">
        <v>13</v>
      </c>
      <c r="D2748" s="2" t="s">
        <v>12</v>
      </c>
      <c r="E2748" s="2" t="s">
        <v>66</v>
      </c>
      <c r="F2748" s="2" t="str">
        <f>HYPERLINK("http://bbs.12365auto.com/postcontent.aspx?tId=195044","http://bbs.12365auto.com/postcontent.aspx?tId=195044")</f>
        <v>http://bbs.12365auto.com/postcontent.aspx?tId=195044</v>
      </c>
      <c r="G2748" s="2"/>
      <c r="H2748" s="2" t="s">
        <v>3941</v>
      </c>
      <c r="I2748" s="2" t="s">
        <v>15</v>
      </c>
      <c r="J2748" s="2" t="s">
        <v>3942</v>
      </c>
      <c r="K2748" s="2" t="s">
        <v>3940</v>
      </c>
      <c r="L2748" s="2">
        <f t="shared" si="42"/>
        <v>150</v>
      </c>
    </row>
    <row r="2749" spans="1:12" ht="25" customHeight="1">
      <c r="A2749" s="2" t="s">
        <v>12</v>
      </c>
      <c r="B2749" s="2" t="str">
        <f>HYPERLINK("http://bbs.12365auto.com/postcontent.aspx?tID=195044","Jeep自由侠发动机 变速箱抖动")</f>
        <v>Jeep自由侠发动机 变速箱抖动</v>
      </c>
      <c r="C2749" s="2" t="s">
        <v>13</v>
      </c>
      <c r="D2749" s="2" t="s">
        <v>12</v>
      </c>
      <c r="E2749" s="2" t="s">
        <v>67</v>
      </c>
      <c r="F2749" s="2" t="str">
        <f>HYPERLINK("http://bbs.12365auto.com/postcontent.aspx?tID=195044","http://bbs.12365auto.com/postcontent.aspx?tID=195044")</f>
        <v>http://bbs.12365auto.com/postcontent.aspx?tID=195044</v>
      </c>
      <c r="G2749" s="2"/>
      <c r="H2749" s="2" t="s">
        <v>3943</v>
      </c>
      <c r="I2749" s="2" t="s">
        <v>15</v>
      </c>
      <c r="J2749" s="2" t="s">
        <v>3942</v>
      </c>
      <c r="K2749" s="2" t="s">
        <v>3940</v>
      </c>
      <c r="L2749" s="2">
        <f t="shared" si="42"/>
        <v>150</v>
      </c>
    </row>
    <row r="2750" spans="1:12" ht="25" customHeight="1">
      <c r="A2750" s="2" t="s">
        <v>12</v>
      </c>
      <c r="B2750" s="2" t="str">
        <f>HYPERLINK("http://bbs.12365auto.com/postcontent.aspx?tID=195043","右侧大灯进水 方向盘异响怎么才能处理？")</f>
        <v>右侧大灯进水 方向盘异响怎么才能处理？</v>
      </c>
      <c r="C2750" s="2" t="s">
        <v>13</v>
      </c>
      <c r="D2750" s="2" t="s">
        <v>12</v>
      </c>
      <c r="E2750" s="2" t="s">
        <v>67</v>
      </c>
      <c r="F2750" s="2" t="str">
        <f>HYPERLINK("http://bbs.12365auto.com/postcontent.aspx?tID=195043","http://bbs.12365auto.com/postcontent.aspx?tID=195043")</f>
        <v>http://bbs.12365auto.com/postcontent.aspx?tID=195043</v>
      </c>
      <c r="G2750" s="2"/>
      <c r="H2750" s="2" t="s">
        <v>3944</v>
      </c>
      <c r="I2750" s="2" t="s">
        <v>15</v>
      </c>
      <c r="J2750" s="2" t="s">
        <v>3939</v>
      </c>
      <c r="K2750" s="2" t="s">
        <v>3940</v>
      </c>
      <c r="L2750" s="2">
        <f t="shared" si="42"/>
        <v>56</v>
      </c>
    </row>
    <row r="2751" spans="1:12" ht="25" customHeight="1">
      <c r="A2751" s="2" t="s">
        <v>12</v>
      </c>
      <c r="B2751" s="2" t="str">
        <f>HYPERLINK("http://bbs.12365auto.com/postcontent.aspx?tId=195042","猎豹厂家是不是已经倒闭了？")</f>
        <v>猎豹厂家是不是已经倒闭了？</v>
      </c>
      <c r="C2751" s="2" t="s">
        <v>13</v>
      </c>
      <c r="D2751" s="2" t="s">
        <v>12</v>
      </c>
      <c r="E2751" s="2" t="s">
        <v>66</v>
      </c>
      <c r="F2751" s="2" t="str">
        <f>HYPERLINK("http://bbs.12365auto.com/postcontent.aspx?tId=195042","http://bbs.12365auto.com/postcontent.aspx?tId=195042")</f>
        <v>http://bbs.12365auto.com/postcontent.aspx?tId=195042</v>
      </c>
      <c r="G2751" s="2"/>
      <c r="H2751" s="2" t="s">
        <v>3945</v>
      </c>
      <c r="I2751" s="2" t="s">
        <v>15</v>
      </c>
      <c r="J2751" s="2" t="s">
        <v>3946</v>
      </c>
      <c r="K2751" s="2" t="s">
        <v>3947</v>
      </c>
      <c r="L2751" s="2">
        <f t="shared" si="42"/>
        <v>45</v>
      </c>
    </row>
    <row r="2752" spans="1:12" ht="25" customHeight="1">
      <c r="A2752" s="2" t="s">
        <v>12</v>
      </c>
      <c r="B2752" s="2" t="str">
        <f>HYPERLINK("http://bbs.12365auto.com/postcontent.aspx?tID=195042","猎豹厂家是不是已经倒闭了？")</f>
        <v>猎豹厂家是不是已经倒闭了？</v>
      </c>
      <c r="C2752" s="2" t="s">
        <v>13</v>
      </c>
      <c r="D2752" s="2" t="s">
        <v>12</v>
      </c>
      <c r="E2752" s="2" t="s">
        <v>67</v>
      </c>
      <c r="F2752" s="2" t="str">
        <f>HYPERLINK("http://bbs.12365auto.com/postcontent.aspx?tID=195042","http://bbs.12365auto.com/postcontent.aspx?tID=195042")</f>
        <v>http://bbs.12365auto.com/postcontent.aspx?tID=195042</v>
      </c>
      <c r="G2752" s="2"/>
      <c r="H2752" s="2" t="s">
        <v>3948</v>
      </c>
      <c r="I2752" s="2" t="s">
        <v>15</v>
      </c>
      <c r="J2752" s="2" t="s">
        <v>3946</v>
      </c>
      <c r="K2752" s="2" t="s">
        <v>3947</v>
      </c>
      <c r="L2752" s="2">
        <f t="shared" si="42"/>
        <v>58</v>
      </c>
    </row>
    <row r="2753" spans="1:12" ht="25" customHeight="1">
      <c r="A2753" s="2" t="s">
        <v>12</v>
      </c>
      <c r="B2753" s="2" t="str">
        <f>HYPERLINK("http://www.12365auto.com/xcdg/20200225/419419.shtml","大众将推全新电动SUV 计划于2023年亮相")</f>
        <v>大众将推全新电动SUV 计划于2023年亮相</v>
      </c>
      <c r="C2753" s="2" t="s">
        <v>13</v>
      </c>
      <c r="D2753" s="2" t="s">
        <v>12</v>
      </c>
      <c r="E2753" s="2" t="s">
        <v>216</v>
      </c>
      <c r="F2753" s="2" t="str">
        <f>HYPERLINK("http://www.12365auto.com/xcdg/20200225/419419.shtml","http://www.12365auto.com/xcdg/20200225/419419.shtml")</f>
        <v>http://www.12365auto.com/xcdg/20200225/419419.shtml</v>
      </c>
      <c r="G2753" s="2"/>
      <c r="H2753" s="2" t="s">
        <v>3949</v>
      </c>
      <c r="I2753" s="2" t="s">
        <v>15</v>
      </c>
      <c r="J2753" s="2" t="s">
        <v>12</v>
      </c>
      <c r="K2753" s="2" t="s">
        <v>3950</v>
      </c>
      <c r="L2753" s="2">
        <f t="shared" si="42"/>
        <v>150</v>
      </c>
    </row>
    <row r="2754" spans="1:12" ht="25" customHeight="1">
      <c r="A2754" s="2" t="s">
        <v>12</v>
      </c>
      <c r="B2754" s="2" t="str">
        <f>HYPERLINK("http://m.12365auto.com/xcdg/20200225/419419.shtml","大众将推全新电动SUV 计划于2023年亮相")</f>
        <v>大众将推全新电动SUV 计划于2023年亮相</v>
      </c>
      <c r="C2754" s="2" t="s">
        <v>13</v>
      </c>
      <c r="D2754" s="2" t="s">
        <v>12</v>
      </c>
      <c r="E2754" s="2"/>
      <c r="F2754" s="2" t="str">
        <f>HYPERLINK("http://m.12365auto.com/xcdg/20200225/419419.shtml","http://m.12365auto.com/xcdg/20200225/419419.shtml")</f>
        <v>http://m.12365auto.com/xcdg/20200225/419419.shtml</v>
      </c>
      <c r="G2754" s="2"/>
      <c r="H2754" s="2" t="s">
        <v>3951</v>
      </c>
      <c r="I2754" s="2" t="s">
        <v>19</v>
      </c>
      <c r="J2754" s="2" t="s">
        <v>1250</v>
      </c>
      <c r="K2754" s="2" t="s">
        <v>3950</v>
      </c>
      <c r="L2754" s="2">
        <f t="shared" si="42"/>
        <v>150</v>
      </c>
    </row>
    <row r="2755" spans="1:12" ht="25" customHeight="1">
      <c r="A2755" s="2" t="s">
        <v>12</v>
      </c>
      <c r="B2755" s="2" t="str">
        <f>HYPERLINK("http://bbs.12365auto.com/postcontent.aspx?tID=195041","锐程CC发动机抖动噪音大")</f>
        <v>锐程CC发动机抖动噪音大</v>
      </c>
      <c r="C2755" s="2" t="s">
        <v>13</v>
      </c>
      <c r="D2755" s="2" t="s">
        <v>12</v>
      </c>
      <c r="E2755" s="2" t="s">
        <v>67</v>
      </c>
      <c r="F2755" s="2" t="str">
        <f>HYPERLINK("http://bbs.12365auto.com/postcontent.aspx?tID=195041","http://bbs.12365auto.com/postcontent.aspx?tID=195041")</f>
        <v>http://bbs.12365auto.com/postcontent.aspx?tID=195041</v>
      </c>
      <c r="G2755" s="2"/>
      <c r="H2755" s="2" t="s">
        <v>3952</v>
      </c>
      <c r="I2755" s="2" t="s">
        <v>15</v>
      </c>
      <c r="J2755" s="2" t="s">
        <v>2165</v>
      </c>
      <c r="K2755" s="2" t="s">
        <v>3953</v>
      </c>
      <c r="L2755" s="2">
        <f t="shared" ref="L2755:L2818" si="43">LEN(H2755)</f>
        <v>72</v>
      </c>
    </row>
    <row r="2756" spans="1:12" ht="25" customHeight="1">
      <c r="A2756" s="2" t="s">
        <v>12</v>
      </c>
      <c r="B2756" s="2" t="str">
        <f>HYPERLINK("http://bbs.12365auto.com/postcontent.aspx?tId=195041","锐程CC发动机抖动噪音大")</f>
        <v>锐程CC发动机抖动噪音大</v>
      </c>
      <c r="C2756" s="2" t="s">
        <v>13</v>
      </c>
      <c r="D2756" s="2" t="s">
        <v>12</v>
      </c>
      <c r="E2756" s="2" t="s">
        <v>66</v>
      </c>
      <c r="F2756" s="2" t="str">
        <f>HYPERLINK("http://bbs.12365auto.com/postcontent.aspx?tId=195041","http://bbs.12365auto.com/postcontent.aspx?tId=195041")</f>
        <v>http://bbs.12365auto.com/postcontent.aspx?tId=195041</v>
      </c>
      <c r="G2756" s="2"/>
      <c r="H2756" s="2" t="s">
        <v>3954</v>
      </c>
      <c r="I2756" s="2" t="s">
        <v>15</v>
      </c>
      <c r="J2756" s="2" t="s">
        <v>2165</v>
      </c>
      <c r="K2756" s="2" t="s">
        <v>3953</v>
      </c>
      <c r="L2756" s="2">
        <f t="shared" si="43"/>
        <v>54</v>
      </c>
    </row>
    <row r="2757" spans="1:12" ht="25" customHeight="1">
      <c r="A2757" s="2" t="s">
        <v>12</v>
      </c>
      <c r="B2757" s="2" t="str">
        <f>HYPERLINK("http://m.12365auto.com/bbs/postcontent.aspx?tID=195041","锐程CC发动机抖动噪音大")</f>
        <v>锐程CC发动机抖动噪音大</v>
      </c>
      <c r="C2757" s="2" t="s">
        <v>13</v>
      </c>
      <c r="D2757" s="2" t="s">
        <v>23</v>
      </c>
      <c r="E2757" s="2"/>
      <c r="F2757" s="2" t="str">
        <f>HYPERLINK("http://m.12365auto.com/bbs/postcontent.aspx?tID=195041","http://m.12365auto.com/bbs/postcontent.aspx?tID=195041")</f>
        <v>http://m.12365auto.com/bbs/postcontent.aspx?tID=195041</v>
      </c>
      <c r="G2757" s="2"/>
      <c r="H2757" s="2" t="s">
        <v>3954</v>
      </c>
      <c r="I2757" s="2" t="s">
        <v>15</v>
      </c>
      <c r="J2757" s="2" t="s">
        <v>2165</v>
      </c>
      <c r="K2757" s="2" t="s">
        <v>3953</v>
      </c>
      <c r="L2757" s="2">
        <f t="shared" si="43"/>
        <v>54</v>
      </c>
    </row>
    <row r="2758" spans="1:12" ht="25" customHeight="1">
      <c r="A2758" s="2" t="s">
        <v>12</v>
      </c>
      <c r="B2758" s="2" t="str">
        <f>HYPERLINK("http://bbs.12365auto.com/postcontent.aspx?tID=195040","吉利帝豪发动机故障灯亮 油耗偏高")</f>
        <v>吉利帝豪发动机故障灯亮 油耗偏高</v>
      </c>
      <c r="C2758" s="2" t="s">
        <v>13</v>
      </c>
      <c r="D2758" s="2" t="s">
        <v>12</v>
      </c>
      <c r="E2758" s="2" t="s">
        <v>67</v>
      </c>
      <c r="F2758" s="2" t="str">
        <f>HYPERLINK("http://bbs.12365auto.com/postcontent.aspx?tID=195040","http://bbs.12365auto.com/postcontent.aspx?tID=195040")</f>
        <v>http://bbs.12365auto.com/postcontent.aspx?tID=195040</v>
      </c>
      <c r="G2758" s="2"/>
      <c r="H2758" s="2" t="s">
        <v>3955</v>
      </c>
      <c r="I2758" s="2" t="s">
        <v>15</v>
      </c>
      <c r="J2758" s="2" t="s">
        <v>2162</v>
      </c>
      <c r="K2758" s="2" t="s">
        <v>3956</v>
      </c>
      <c r="L2758" s="2">
        <f t="shared" si="43"/>
        <v>150</v>
      </c>
    </row>
    <row r="2759" spans="1:12" ht="25" customHeight="1">
      <c r="A2759" s="2" t="s">
        <v>12</v>
      </c>
      <c r="B2759" s="2" t="str">
        <f>HYPERLINK("http://bbs.12365auto.com/postcontent.aspx?tId=195040","吉利帝豪发动机故障灯亮 油耗偏高")</f>
        <v>吉利帝豪发动机故障灯亮 油耗偏高</v>
      </c>
      <c r="C2759" s="2" t="s">
        <v>13</v>
      </c>
      <c r="D2759" s="2" t="s">
        <v>12</v>
      </c>
      <c r="E2759" s="2" t="s">
        <v>66</v>
      </c>
      <c r="F2759" s="2" t="str">
        <f>HYPERLINK("http://bbs.12365auto.com/postcontent.aspx?tId=195040","http://bbs.12365auto.com/postcontent.aspx?tId=195040")</f>
        <v>http://bbs.12365auto.com/postcontent.aspx?tId=195040</v>
      </c>
      <c r="G2759" s="2"/>
      <c r="H2759" s="2" t="s">
        <v>3957</v>
      </c>
      <c r="I2759" s="2" t="s">
        <v>15</v>
      </c>
      <c r="J2759" s="2" t="s">
        <v>2162</v>
      </c>
      <c r="K2759" s="2" t="s">
        <v>3956</v>
      </c>
      <c r="L2759" s="2">
        <f t="shared" si="43"/>
        <v>148</v>
      </c>
    </row>
    <row r="2760" spans="1:12" ht="25" customHeight="1">
      <c r="A2760" s="2" t="s">
        <v>12</v>
      </c>
      <c r="B2760" s="2" t="str">
        <f>HYPERLINK("http://m.12365auto.com/bbs/postcontent.aspx?tID=195040","吉利帝豪发动机故障灯亮 油耗偏高")</f>
        <v>吉利帝豪发动机故障灯亮 油耗偏高</v>
      </c>
      <c r="C2760" s="2" t="s">
        <v>13</v>
      </c>
      <c r="D2760" s="2" t="s">
        <v>23</v>
      </c>
      <c r="E2760" s="2"/>
      <c r="F2760" s="2" t="str">
        <f>HYPERLINK("http://m.12365auto.com/bbs/postcontent.aspx?tID=195040","http://m.12365auto.com/bbs/postcontent.aspx?tID=195040")</f>
        <v>http://m.12365auto.com/bbs/postcontent.aspx?tID=195040</v>
      </c>
      <c r="G2760" s="2"/>
      <c r="H2760" s="2" t="s">
        <v>3957</v>
      </c>
      <c r="I2760" s="2" t="s">
        <v>15</v>
      </c>
      <c r="J2760" s="2" t="s">
        <v>2162</v>
      </c>
      <c r="K2760" s="2" t="s">
        <v>3956</v>
      </c>
      <c r="L2760" s="2">
        <f t="shared" si="43"/>
        <v>148</v>
      </c>
    </row>
    <row r="2761" spans="1:12" ht="25" customHeight="1">
      <c r="A2761" s="2" t="s">
        <v>12</v>
      </c>
      <c r="B2761" s="2" t="str">
        <f>HYPERLINK("http://bbs.12365auto.com/postcontent.aspx?tID=195039","吉利远景变速箱挂挡不走存在质量缺陷")</f>
        <v>吉利远景变速箱挂挡不走存在质量缺陷</v>
      </c>
      <c r="C2761" s="2" t="s">
        <v>13</v>
      </c>
      <c r="D2761" s="2" t="s">
        <v>12</v>
      </c>
      <c r="E2761" s="2" t="s">
        <v>67</v>
      </c>
      <c r="F2761" s="2" t="str">
        <f>HYPERLINK("http://bbs.12365auto.com/postcontent.aspx?tID=195039","http://bbs.12365auto.com/postcontent.aspx?tID=195039")</f>
        <v>http://bbs.12365auto.com/postcontent.aspx?tID=195039</v>
      </c>
      <c r="G2761" s="2"/>
      <c r="H2761" s="2" t="s">
        <v>3958</v>
      </c>
      <c r="I2761" s="2" t="s">
        <v>15</v>
      </c>
      <c r="J2761" s="2" t="s">
        <v>3959</v>
      </c>
      <c r="K2761" s="2" t="s">
        <v>3960</v>
      </c>
      <c r="L2761" s="2">
        <f t="shared" si="43"/>
        <v>115</v>
      </c>
    </row>
    <row r="2762" spans="1:12" ht="25" customHeight="1">
      <c r="A2762" s="2" t="s">
        <v>12</v>
      </c>
      <c r="B2762" s="2" t="str">
        <f>HYPERLINK("http://bbs.12365auto.com/postcontent.aspx?tId=195039","吉利远景变速箱挂挡不走存在质量缺陷")</f>
        <v>吉利远景变速箱挂挡不走存在质量缺陷</v>
      </c>
      <c r="C2762" s="2" t="s">
        <v>13</v>
      </c>
      <c r="D2762" s="2" t="s">
        <v>12</v>
      </c>
      <c r="E2762" s="2" t="s">
        <v>66</v>
      </c>
      <c r="F2762" s="2" t="str">
        <f>HYPERLINK("http://bbs.12365auto.com/postcontent.aspx?tId=195039","http://bbs.12365auto.com/postcontent.aspx?tId=195039")</f>
        <v>http://bbs.12365auto.com/postcontent.aspx?tId=195039</v>
      </c>
      <c r="G2762" s="2"/>
      <c r="H2762" s="2" t="s">
        <v>3961</v>
      </c>
      <c r="I2762" s="2" t="s">
        <v>15</v>
      </c>
      <c r="J2762" s="2" t="s">
        <v>3959</v>
      </c>
      <c r="K2762" s="2" t="s">
        <v>3960</v>
      </c>
      <c r="L2762" s="2">
        <f t="shared" si="43"/>
        <v>90</v>
      </c>
    </row>
    <row r="2763" spans="1:12" ht="25" customHeight="1">
      <c r="A2763" s="2" t="s">
        <v>12</v>
      </c>
      <c r="B2763" s="2" t="str">
        <f>HYPERLINK("http://m.12365auto.com/bbs/postcontent.aspx?tID=195039","吉利远景变速箱挂挡不走存在质量缺陷")</f>
        <v>吉利远景变速箱挂挡不走存在质量缺陷</v>
      </c>
      <c r="C2763" s="2" t="s">
        <v>13</v>
      </c>
      <c r="D2763" s="2" t="s">
        <v>23</v>
      </c>
      <c r="E2763" s="2"/>
      <c r="F2763" s="2" t="str">
        <f>HYPERLINK("http://m.12365auto.com/bbs/postcontent.aspx?tID=195039","http://m.12365auto.com/bbs/postcontent.aspx?tID=195039")</f>
        <v>http://m.12365auto.com/bbs/postcontent.aspx?tID=195039</v>
      </c>
      <c r="G2763" s="2"/>
      <c r="H2763" s="2" t="s">
        <v>3961</v>
      </c>
      <c r="I2763" s="2" t="s">
        <v>15</v>
      </c>
      <c r="J2763" s="2" t="s">
        <v>3959</v>
      </c>
      <c r="K2763" s="2" t="s">
        <v>3960</v>
      </c>
      <c r="L2763" s="2">
        <f t="shared" si="43"/>
        <v>90</v>
      </c>
    </row>
    <row r="2764" spans="1:12" ht="25" customHeight="1">
      <c r="A2764" s="2" t="s">
        <v>12</v>
      </c>
      <c r="B2764" s="2" t="str">
        <f>HYPERLINK("http://bbs.12365auto.com/postcontent.aspx?tID=195038","上汽名爵6与护栏发生碰撞气囊未弹出")</f>
        <v>上汽名爵6与护栏发生碰撞气囊未弹出</v>
      </c>
      <c r="C2764" s="2" t="s">
        <v>13</v>
      </c>
      <c r="D2764" s="2" t="s">
        <v>12</v>
      </c>
      <c r="E2764" s="2" t="s">
        <v>67</v>
      </c>
      <c r="F2764" s="2" t="str">
        <f>HYPERLINK("http://bbs.12365auto.com/postcontent.aspx?tID=195038","http://bbs.12365auto.com/postcontent.aspx?tID=195038")</f>
        <v>http://bbs.12365auto.com/postcontent.aspx?tID=195038</v>
      </c>
      <c r="G2764" s="2"/>
      <c r="H2764" s="2" t="s">
        <v>3962</v>
      </c>
      <c r="I2764" s="2" t="s">
        <v>15</v>
      </c>
      <c r="J2764" s="2" t="s">
        <v>3963</v>
      </c>
      <c r="K2764" s="2" t="s">
        <v>3964</v>
      </c>
      <c r="L2764" s="2">
        <f t="shared" si="43"/>
        <v>150</v>
      </c>
    </row>
    <row r="2765" spans="1:12" ht="25" customHeight="1">
      <c r="A2765" s="2" t="s">
        <v>12</v>
      </c>
      <c r="B2765" s="2" t="str">
        <f>HYPERLINK("http://bbs.12365auto.com/postcontent.aspx?tID=195037","华晨宝马2系旅行车防冻液渗漏严重")</f>
        <v>华晨宝马2系旅行车防冻液渗漏严重</v>
      </c>
      <c r="C2765" s="2" t="s">
        <v>13</v>
      </c>
      <c r="D2765" s="2" t="s">
        <v>12</v>
      </c>
      <c r="E2765" s="2" t="s">
        <v>67</v>
      </c>
      <c r="F2765" s="2" t="str">
        <f>HYPERLINK("http://bbs.12365auto.com/postcontent.aspx?tID=195037","http://bbs.12365auto.com/postcontent.aspx?tID=195037")</f>
        <v>http://bbs.12365auto.com/postcontent.aspx?tID=195037</v>
      </c>
      <c r="G2765" s="2"/>
      <c r="H2765" s="2" t="s">
        <v>3965</v>
      </c>
      <c r="I2765" s="2" t="s">
        <v>15</v>
      </c>
      <c r="J2765" s="2" t="s">
        <v>3966</v>
      </c>
      <c r="K2765" s="2" t="s">
        <v>3964</v>
      </c>
      <c r="L2765" s="2">
        <f t="shared" si="43"/>
        <v>150</v>
      </c>
    </row>
    <row r="2766" spans="1:12" ht="25" customHeight="1">
      <c r="A2766" s="2" t="s">
        <v>12</v>
      </c>
      <c r="B2766" s="2" t="str">
        <f>HYPERLINK("http://bbs.12365auto.com/postcontent.aspx?tId=195038","上汽名爵6与护栏发生碰撞气囊未弹出")</f>
        <v>上汽名爵6与护栏发生碰撞气囊未弹出</v>
      </c>
      <c r="C2766" s="2" t="s">
        <v>13</v>
      </c>
      <c r="D2766" s="2" t="s">
        <v>12</v>
      </c>
      <c r="E2766" s="2" t="s">
        <v>66</v>
      </c>
      <c r="F2766" s="2" t="str">
        <f>HYPERLINK("http://bbs.12365auto.com/postcontent.aspx?tId=195038","http://bbs.12365auto.com/postcontent.aspx?tId=195038")</f>
        <v>http://bbs.12365auto.com/postcontent.aspx?tId=195038</v>
      </c>
      <c r="G2766" s="2"/>
      <c r="H2766" s="2" t="s">
        <v>3967</v>
      </c>
      <c r="I2766" s="2" t="s">
        <v>15</v>
      </c>
      <c r="J2766" s="2" t="s">
        <v>3963</v>
      </c>
      <c r="K2766" s="2" t="s">
        <v>3964</v>
      </c>
      <c r="L2766" s="2">
        <f t="shared" si="43"/>
        <v>128</v>
      </c>
    </row>
    <row r="2767" spans="1:12" ht="25" customHeight="1">
      <c r="A2767" s="2" t="s">
        <v>12</v>
      </c>
      <c r="B2767" s="2" t="str">
        <f>HYPERLINK("http://bbs.12365auto.com/postcontent.aspx?tId=195037","华晨宝马2系旅行车防冻液渗漏严重")</f>
        <v>华晨宝马2系旅行车防冻液渗漏严重</v>
      </c>
      <c r="C2767" s="2" t="s">
        <v>13</v>
      </c>
      <c r="D2767" s="2" t="s">
        <v>12</v>
      </c>
      <c r="E2767" s="2" t="s">
        <v>66</v>
      </c>
      <c r="F2767" s="2" t="str">
        <f>HYPERLINK("http://bbs.12365auto.com/postcontent.aspx?tId=195037","http://bbs.12365auto.com/postcontent.aspx?tId=195037")</f>
        <v>http://bbs.12365auto.com/postcontent.aspx?tId=195037</v>
      </c>
      <c r="G2767" s="2"/>
      <c r="H2767" s="2" t="s">
        <v>3968</v>
      </c>
      <c r="I2767" s="2" t="s">
        <v>15</v>
      </c>
      <c r="J2767" s="2" t="s">
        <v>3966</v>
      </c>
      <c r="K2767" s="2" t="s">
        <v>3964</v>
      </c>
      <c r="L2767" s="2">
        <f t="shared" si="43"/>
        <v>150</v>
      </c>
    </row>
    <row r="2768" spans="1:12" ht="25" customHeight="1">
      <c r="A2768" s="2" t="s">
        <v>12</v>
      </c>
      <c r="B2768" s="2" t="str">
        <f>HYPERLINK("http://m.12365auto.com/bbs/postcontent.aspx?tID=195038","上汽名爵6与护栏发生碰撞气囊未弹出")</f>
        <v>上汽名爵6与护栏发生碰撞气囊未弹出</v>
      </c>
      <c r="C2768" s="2" t="s">
        <v>13</v>
      </c>
      <c r="D2768" s="2" t="s">
        <v>23</v>
      </c>
      <c r="E2768" s="2"/>
      <c r="F2768" s="2" t="str">
        <f>HYPERLINK("http://m.12365auto.com/bbs/postcontent.aspx?tID=195038","http://m.12365auto.com/bbs/postcontent.aspx?tID=195038")</f>
        <v>http://m.12365auto.com/bbs/postcontent.aspx?tID=195038</v>
      </c>
      <c r="G2768" s="2"/>
      <c r="H2768" s="2" t="s">
        <v>3967</v>
      </c>
      <c r="I2768" s="2" t="s">
        <v>15</v>
      </c>
      <c r="J2768" s="2" t="s">
        <v>3963</v>
      </c>
      <c r="K2768" s="2" t="s">
        <v>3964</v>
      </c>
      <c r="L2768" s="2">
        <f t="shared" si="43"/>
        <v>128</v>
      </c>
    </row>
    <row r="2769" spans="1:12" ht="25" customHeight="1">
      <c r="A2769" s="2" t="s">
        <v>12</v>
      </c>
      <c r="B2769" s="2" t="str">
        <f>HYPERLINK("http://m.12365auto.com/bbs/postcontent.aspx?tID=195037","华晨宝马2系旅行车防冻液渗漏严重")</f>
        <v>华晨宝马2系旅行车防冻液渗漏严重</v>
      </c>
      <c r="C2769" s="2" t="s">
        <v>13</v>
      </c>
      <c r="D2769" s="2" t="s">
        <v>23</v>
      </c>
      <c r="E2769" s="2"/>
      <c r="F2769" s="2" t="str">
        <f>HYPERLINK("http://m.12365auto.com/bbs/postcontent.aspx?tID=195037","http://m.12365auto.com/bbs/postcontent.aspx?tID=195037")</f>
        <v>http://m.12365auto.com/bbs/postcontent.aspx?tID=195037</v>
      </c>
      <c r="G2769" s="2"/>
      <c r="H2769" s="2" t="s">
        <v>3968</v>
      </c>
      <c r="I2769" s="2" t="s">
        <v>15</v>
      </c>
      <c r="J2769" s="2" t="s">
        <v>3966</v>
      </c>
      <c r="K2769" s="2" t="s">
        <v>3964</v>
      </c>
      <c r="L2769" s="2">
        <f t="shared" si="43"/>
        <v>150</v>
      </c>
    </row>
    <row r="2770" spans="1:12" ht="25" customHeight="1">
      <c r="A2770" s="2" t="s">
        <v>12</v>
      </c>
      <c r="B2770" s="2" t="str">
        <f>HYPERLINK("http://bbs.12365auto.com/postcontent.aspx?tId=195036","大众凌渡天窗密封条脱落塌陷导致异响")</f>
        <v>大众凌渡天窗密封条脱落塌陷导致异响</v>
      </c>
      <c r="C2770" s="2" t="s">
        <v>13</v>
      </c>
      <c r="D2770" s="2" t="s">
        <v>12</v>
      </c>
      <c r="E2770" s="2" t="s">
        <v>66</v>
      </c>
      <c r="F2770" s="2" t="str">
        <f>HYPERLINK("http://bbs.12365auto.com/postcontent.aspx?tId=195036","http://bbs.12365auto.com/postcontent.aspx?tId=195036")</f>
        <v>http://bbs.12365auto.com/postcontent.aspx?tId=195036</v>
      </c>
      <c r="G2770" s="2"/>
      <c r="H2770" s="2" t="s">
        <v>3969</v>
      </c>
      <c r="I2770" s="2" t="s">
        <v>15</v>
      </c>
      <c r="J2770" s="2" t="s">
        <v>3970</v>
      </c>
      <c r="K2770" s="2" t="s">
        <v>3971</v>
      </c>
      <c r="L2770" s="2">
        <f t="shared" si="43"/>
        <v>96</v>
      </c>
    </row>
    <row r="2771" spans="1:12" ht="25" customHeight="1">
      <c r="A2771" s="2" t="s">
        <v>12</v>
      </c>
      <c r="B2771" s="2" t="str">
        <f>HYPERLINK("http://m.12365auto.com/bbs/postcontent.aspx?tID=195036","大众凌渡天窗密封条脱落塌陷导致异响")</f>
        <v>大众凌渡天窗密封条脱落塌陷导致异响</v>
      </c>
      <c r="C2771" s="2" t="s">
        <v>13</v>
      </c>
      <c r="D2771" s="2" t="s">
        <v>23</v>
      </c>
      <c r="E2771" s="2"/>
      <c r="F2771" s="2" t="str">
        <f>HYPERLINK("http://m.12365auto.com/bbs/postcontent.aspx?tID=195036","http://m.12365auto.com/bbs/postcontent.aspx?tID=195036")</f>
        <v>http://m.12365auto.com/bbs/postcontent.aspx?tID=195036</v>
      </c>
      <c r="G2771" s="2"/>
      <c r="H2771" s="2" t="s">
        <v>3969</v>
      </c>
      <c r="I2771" s="2" t="s">
        <v>15</v>
      </c>
      <c r="J2771" s="2" t="s">
        <v>3970</v>
      </c>
      <c r="K2771" s="2" t="s">
        <v>3971</v>
      </c>
      <c r="L2771" s="2">
        <f t="shared" si="43"/>
        <v>96</v>
      </c>
    </row>
    <row r="2772" spans="1:12" ht="25" customHeight="1">
      <c r="A2772" s="2" t="s">
        <v>12</v>
      </c>
      <c r="B2772" s="2" t="str">
        <f>HYPERLINK("http://bbs.12365auto.com/postcontent.aspx?tID=195036","大众凌渡天窗密封条脱落塌陷导致异响")</f>
        <v>大众凌渡天窗密封条脱落塌陷导致异响</v>
      </c>
      <c r="C2772" s="2" t="s">
        <v>13</v>
      </c>
      <c r="D2772" s="2" t="s">
        <v>12</v>
      </c>
      <c r="E2772" s="2" t="s">
        <v>67</v>
      </c>
      <c r="F2772" s="2" t="str">
        <f>HYPERLINK("http://bbs.12365auto.com/postcontent.aspx?tID=195036","http://bbs.12365auto.com/postcontent.aspx?tID=195036")</f>
        <v>http://bbs.12365auto.com/postcontent.aspx?tID=195036</v>
      </c>
      <c r="G2772" s="2"/>
      <c r="H2772" s="2" t="s">
        <v>3972</v>
      </c>
      <c r="I2772" s="2" t="s">
        <v>15</v>
      </c>
      <c r="J2772" s="2" t="s">
        <v>3970</v>
      </c>
      <c r="K2772" s="2" t="s">
        <v>3971</v>
      </c>
      <c r="L2772" s="2">
        <f t="shared" si="43"/>
        <v>113</v>
      </c>
    </row>
    <row r="2773" spans="1:12" ht="25" customHeight="1">
      <c r="A2773" s="2" t="s">
        <v>12</v>
      </c>
      <c r="B2773" s="2" t="str">
        <f>HYPERLINK("http://bbs.12365auto.com/postcontent.aspx?tID=195035","日产轩逸经销商出售问题车保险杠有喷漆")</f>
        <v>日产轩逸经销商出售问题车保险杠有喷漆</v>
      </c>
      <c r="C2773" s="2" t="s">
        <v>13</v>
      </c>
      <c r="D2773" s="2" t="s">
        <v>12</v>
      </c>
      <c r="E2773" s="2" t="s">
        <v>67</v>
      </c>
      <c r="F2773" s="2" t="str">
        <f>HYPERLINK("http://bbs.12365auto.com/postcontent.aspx?tID=195035","http://bbs.12365auto.com/postcontent.aspx?tID=195035")</f>
        <v>http://bbs.12365auto.com/postcontent.aspx?tID=195035</v>
      </c>
      <c r="G2773" s="2"/>
      <c r="H2773" s="2" t="s">
        <v>3973</v>
      </c>
      <c r="I2773" s="2" t="s">
        <v>15</v>
      </c>
      <c r="J2773" s="2" t="s">
        <v>3974</v>
      </c>
      <c r="K2773" s="2" t="s">
        <v>3975</v>
      </c>
      <c r="L2773" s="2">
        <f t="shared" si="43"/>
        <v>150</v>
      </c>
    </row>
    <row r="2774" spans="1:12" ht="25" customHeight="1">
      <c r="A2774" s="2" t="s">
        <v>12</v>
      </c>
      <c r="B2774" s="2" t="str">
        <f>HYPERLINK("http://bbs.12365auto.com/postcontent.aspx?tID=195034","大众朗逸车顶海绵布脱落")</f>
        <v>大众朗逸车顶海绵布脱落</v>
      </c>
      <c r="C2774" s="2" t="s">
        <v>13</v>
      </c>
      <c r="D2774" s="2" t="s">
        <v>12</v>
      </c>
      <c r="E2774" s="2" t="s">
        <v>67</v>
      </c>
      <c r="F2774" s="2" t="str">
        <f>HYPERLINK("http://bbs.12365auto.com/postcontent.aspx?tID=195034","http://bbs.12365auto.com/postcontent.aspx?tID=195034")</f>
        <v>http://bbs.12365auto.com/postcontent.aspx?tID=195034</v>
      </c>
      <c r="G2774" s="2"/>
      <c r="H2774" s="2" t="s">
        <v>3976</v>
      </c>
      <c r="I2774" s="2" t="s">
        <v>15</v>
      </c>
      <c r="J2774" s="2" t="s">
        <v>3977</v>
      </c>
      <c r="K2774" s="2" t="s">
        <v>3975</v>
      </c>
      <c r="L2774" s="2">
        <f t="shared" si="43"/>
        <v>56</v>
      </c>
    </row>
    <row r="2775" spans="1:12" ht="25" customHeight="1">
      <c r="A2775" s="2" t="s">
        <v>12</v>
      </c>
      <c r="B2775" s="2" t="str">
        <f>HYPERLINK("http://bbs.12365auto.com/postcontent.aspx?tId=195035","日产轩逸经销商出售问题车保险杠有喷漆")</f>
        <v>日产轩逸经销商出售问题车保险杠有喷漆</v>
      </c>
      <c r="C2775" s="2" t="s">
        <v>13</v>
      </c>
      <c r="D2775" s="2" t="s">
        <v>12</v>
      </c>
      <c r="E2775" s="2" t="s">
        <v>66</v>
      </c>
      <c r="F2775" s="2" t="str">
        <f>HYPERLINK("http://bbs.12365auto.com/postcontent.aspx?tId=195035","http://bbs.12365auto.com/postcontent.aspx?tId=195035")</f>
        <v>http://bbs.12365auto.com/postcontent.aspx?tId=195035</v>
      </c>
      <c r="G2775" s="2"/>
      <c r="H2775" s="2" t="s">
        <v>3978</v>
      </c>
      <c r="I2775" s="2" t="s">
        <v>15</v>
      </c>
      <c r="J2775" s="2" t="s">
        <v>3974</v>
      </c>
      <c r="K2775" s="2" t="s">
        <v>3975</v>
      </c>
      <c r="L2775" s="2">
        <f t="shared" si="43"/>
        <v>137</v>
      </c>
    </row>
    <row r="2776" spans="1:12" ht="25" customHeight="1">
      <c r="A2776" s="2" t="s">
        <v>12</v>
      </c>
      <c r="B2776" s="2" t="str">
        <f>HYPERLINK("http://bbs.12365auto.com/postcontent.aspx?tId=195034","大众朗逸车顶海绵布脱落")</f>
        <v>大众朗逸车顶海绵布脱落</v>
      </c>
      <c r="C2776" s="2" t="s">
        <v>13</v>
      </c>
      <c r="D2776" s="2" t="s">
        <v>12</v>
      </c>
      <c r="E2776" s="2" t="s">
        <v>66</v>
      </c>
      <c r="F2776" s="2" t="str">
        <f>HYPERLINK("http://bbs.12365auto.com/postcontent.aspx?tId=195034","http://bbs.12365auto.com/postcontent.aspx?tId=195034")</f>
        <v>http://bbs.12365auto.com/postcontent.aspx?tId=195034</v>
      </c>
      <c r="G2776" s="2"/>
      <c r="H2776" s="2" t="s">
        <v>3979</v>
      </c>
      <c r="I2776" s="2" t="s">
        <v>15</v>
      </c>
      <c r="J2776" s="2" t="s">
        <v>3977</v>
      </c>
      <c r="K2776" s="2" t="s">
        <v>3975</v>
      </c>
      <c r="L2776" s="2">
        <f t="shared" si="43"/>
        <v>45</v>
      </c>
    </row>
    <row r="2777" spans="1:12" ht="25" customHeight="1">
      <c r="A2777" s="2" t="s">
        <v>12</v>
      </c>
      <c r="B2777" s="2" t="str">
        <f>HYPERLINK("http://m.12365auto.com/bbs/postcontent.aspx?tID=195035","日产轩逸经销商出售问题车保险杠有喷漆")</f>
        <v>日产轩逸经销商出售问题车保险杠有喷漆</v>
      </c>
      <c r="C2777" s="2" t="s">
        <v>13</v>
      </c>
      <c r="D2777" s="2" t="s">
        <v>23</v>
      </c>
      <c r="E2777" s="2"/>
      <c r="F2777" s="2" t="str">
        <f>HYPERLINK("http://m.12365auto.com/bbs/postcontent.aspx?tID=195035","http://m.12365auto.com/bbs/postcontent.aspx?tID=195035")</f>
        <v>http://m.12365auto.com/bbs/postcontent.aspx?tID=195035</v>
      </c>
      <c r="G2777" s="2"/>
      <c r="H2777" s="2" t="s">
        <v>3978</v>
      </c>
      <c r="I2777" s="2" t="s">
        <v>15</v>
      </c>
      <c r="J2777" s="2" t="s">
        <v>3974</v>
      </c>
      <c r="K2777" s="2" t="s">
        <v>3975</v>
      </c>
      <c r="L2777" s="2">
        <f t="shared" si="43"/>
        <v>137</v>
      </c>
    </row>
    <row r="2778" spans="1:12" ht="25" customHeight="1">
      <c r="A2778" s="2" t="s">
        <v>12</v>
      </c>
      <c r="B2778" s="2" t="str">
        <f>HYPERLINK("http://m.12365auto.com/bbs/postcontent.aspx?tID=195034","大众朗逸车顶海绵布脱落")</f>
        <v>大众朗逸车顶海绵布脱落</v>
      </c>
      <c r="C2778" s="2" t="s">
        <v>13</v>
      </c>
      <c r="D2778" s="2" t="s">
        <v>23</v>
      </c>
      <c r="E2778" s="2"/>
      <c r="F2778" s="2" t="str">
        <f>HYPERLINK("http://m.12365auto.com/bbs/postcontent.aspx?tID=195034","http://m.12365auto.com/bbs/postcontent.aspx?tID=195034")</f>
        <v>http://m.12365auto.com/bbs/postcontent.aspx?tID=195034</v>
      </c>
      <c r="G2778" s="2"/>
      <c r="H2778" s="2" t="s">
        <v>3979</v>
      </c>
      <c r="I2778" s="2" t="s">
        <v>15</v>
      </c>
      <c r="J2778" s="2" t="s">
        <v>3977</v>
      </c>
      <c r="K2778" s="2" t="s">
        <v>3975</v>
      </c>
      <c r="L2778" s="2">
        <f t="shared" si="43"/>
        <v>45</v>
      </c>
    </row>
    <row r="2779" spans="1:12" ht="25" customHeight="1">
      <c r="A2779" s="2" t="s">
        <v>12</v>
      </c>
      <c r="B2779" s="2" t="str">
        <f>HYPERLINK("http://bbs.12365auto.com/postcontent.aspx?tID=195033","长安标致雪铁龙DS6天窗无法开启和关闭")</f>
        <v>长安标致雪铁龙DS6天窗无法开启和关闭</v>
      </c>
      <c r="C2779" s="2" t="s">
        <v>13</v>
      </c>
      <c r="D2779" s="2" t="s">
        <v>12</v>
      </c>
      <c r="E2779" s="2" t="s">
        <v>67</v>
      </c>
      <c r="F2779" s="2" t="str">
        <f>HYPERLINK("http://bbs.12365auto.com/postcontent.aspx?tID=195033","http://bbs.12365auto.com/postcontent.aspx?tID=195033")</f>
        <v>http://bbs.12365auto.com/postcontent.aspx?tID=195033</v>
      </c>
      <c r="G2779" s="2"/>
      <c r="H2779" s="2" t="s">
        <v>3980</v>
      </c>
      <c r="I2779" s="2" t="s">
        <v>15</v>
      </c>
      <c r="J2779" s="2" t="s">
        <v>3981</v>
      </c>
      <c r="K2779" s="2" t="s">
        <v>3982</v>
      </c>
      <c r="L2779" s="2">
        <f t="shared" si="43"/>
        <v>150</v>
      </c>
    </row>
    <row r="2780" spans="1:12" ht="25" customHeight="1">
      <c r="A2780" s="2" t="s">
        <v>12</v>
      </c>
      <c r="B2780" s="2" t="str">
        <f>HYPERLINK("http://bbs.12365auto.com/postcontent.aspx?tId=195033","长安标致雪铁龙DS6天窗无法开启和关闭")</f>
        <v>长安标致雪铁龙DS6天窗无法开启和关闭</v>
      </c>
      <c r="C2780" s="2" t="s">
        <v>13</v>
      </c>
      <c r="D2780" s="2" t="s">
        <v>12</v>
      </c>
      <c r="E2780" s="2" t="s">
        <v>66</v>
      </c>
      <c r="F2780" s="2" t="str">
        <f>HYPERLINK("http://bbs.12365auto.com/postcontent.aspx?tId=195033","http://bbs.12365auto.com/postcontent.aspx?tId=195033")</f>
        <v>http://bbs.12365auto.com/postcontent.aspx?tId=195033</v>
      </c>
      <c r="G2780" s="2"/>
      <c r="H2780" s="2" t="s">
        <v>3983</v>
      </c>
      <c r="I2780" s="2" t="s">
        <v>15</v>
      </c>
      <c r="J2780" s="2" t="s">
        <v>3981</v>
      </c>
      <c r="K2780" s="2" t="s">
        <v>3982</v>
      </c>
      <c r="L2780" s="2">
        <f t="shared" si="43"/>
        <v>143</v>
      </c>
    </row>
    <row r="2781" spans="1:12" ht="25" customHeight="1">
      <c r="A2781" s="2" t="s">
        <v>12</v>
      </c>
      <c r="B2781" s="2" t="str">
        <f>HYPERLINK("http://m.12365auto.com/bbs/postcontent.aspx?tID=195033&amp;i=1","长安标致雪铁龙DS6天窗无法开启和关闭")</f>
        <v>长安标致雪铁龙DS6天窗无法开启和关闭</v>
      </c>
      <c r="C2781" s="2" t="s">
        <v>13</v>
      </c>
      <c r="D2781" s="2" t="s">
        <v>23</v>
      </c>
      <c r="E2781" s="2"/>
      <c r="F2781" s="2" t="str">
        <f>HYPERLINK("http://m.12365auto.com/bbs/postcontent.aspx?tID=195033&amp;i=1","http://m.12365auto.com/bbs/postcontent.aspx?tID=195033&amp;i=1")</f>
        <v>http://m.12365auto.com/bbs/postcontent.aspx?tID=195033&amp;i=1</v>
      </c>
      <c r="G2781" s="2"/>
      <c r="H2781" s="2" t="s">
        <v>3983</v>
      </c>
      <c r="I2781" s="2" t="s">
        <v>15</v>
      </c>
      <c r="J2781" s="2" t="s">
        <v>3981</v>
      </c>
      <c r="K2781" s="2" t="s">
        <v>3982</v>
      </c>
      <c r="L2781" s="2">
        <f t="shared" si="43"/>
        <v>143</v>
      </c>
    </row>
    <row r="2782" spans="1:12" ht="25" customHeight="1">
      <c r="A2782" s="2" t="s">
        <v>12</v>
      </c>
      <c r="B2782" s="2" t="str">
        <f>HYPERLINK("http://m.12365auto.com/bbs/postcontent.aspx?tID=195033","长安标致雪铁龙DS6天窗无法开启和关闭")</f>
        <v>长安标致雪铁龙DS6天窗无法开启和关闭</v>
      </c>
      <c r="C2782" s="2" t="s">
        <v>13</v>
      </c>
      <c r="D2782" s="2" t="s">
        <v>23</v>
      </c>
      <c r="E2782" s="2"/>
      <c r="F2782" s="2" t="str">
        <f>HYPERLINK("http://m.12365auto.com/bbs/postcontent.aspx?tID=195033","http://m.12365auto.com/bbs/postcontent.aspx?tID=195033")</f>
        <v>http://m.12365auto.com/bbs/postcontent.aspx?tID=195033</v>
      </c>
      <c r="G2782" s="2"/>
      <c r="H2782" s="2" t="s">
        <v>3983</v>
      </c>
      <c r="I2782" s="2" t="s">
        <v>15</v>
      </c>
      <c r="J2782" s="2" t="s">
        <v>3981</v>
      </c>
      <c r="K2782" s="2" t="s">
        <v>3982</v>
      </c>
      <c r="L2782" s="2">
        <f t="shared" si="43"/>
        <v>143</v>
      </c>
    </row>
    <row r="2783" spans="1:12" ht="25" customHeight="1">
      <c r="A2783" s="2" t="s">
        <v>12</v>
      </c>
      <c r="B2783" s="2" t="str">
        <f>HYPERLINK("http://bbs.12365auto.com/postcontent.aspx?tID=195032","如图 博瑞多个故障灯报警并且温度过高")</f>
        <v>如图 博瑞多个故障灯报警并且温度过高</v>
      </c>
      <c r="C2783" s="2" t="s">
        <v>13</v>
      </c>
      <c r="D2783" s="2" t="s">
        <v>12</v>
      </c>
      <c r="E2783" s="2" t="s">
        <v>67</v>
      </c>
      <c r="F2783" s="2" t="str">
        <f>HYPERLINK("http://bbs.12365auto.com/postcontent.aspx?tID=195032","http://bbs.12365auto.com/postcontent.aspx?tID=195032")</f>
        <v>http://bbs.12365auto.com/postcontent.aspx?tID=195032</v>
      </c>
      <c r="G2783" s="2"/>
      <c r="H2783" s="2" t="s">
        <v>3984</v>
      </c>
      <c r="I2783" s="2" t="s">
        <v>15</v>
      </c>
      <c r="J2783" s="2" t="s">
        <v>3985</v>
      </c>
      <c r="K2783" s="2" t="s">
        <v>3986</v>
      </c>
      <c r="L2783" s="2">
        <f t="shared" si="43"/>
        <v>96</v>
      </c>
    </row>
    <row r="2784" spans="1:12" ht="25" customHeight="1">
      <c r="A2784" s="2" t="s">
        <v>12</v>
      </c>
      <c r="B2784" s="2" t="str">
        <f>HYPERLINK("http://bbs.12365auto.com/postcontent.aspx?tId=195032","如图 博瑞多个故障灯报警并且温度过高")</f>
        <v>如图 博瑞多个故障灯报警并且温度过高</v>
      </c>
      <c r="C2784" s="2" t="s">
        <v>13</v>
      </c>
      <c r="D2784" s="2" t="s">
        <v>12</v>
      </c>
      <c r="E2784" s="2" t="s">
        <v>66</v>
      </c>
      <c r="F2784" s="2" t="str">
        <f>HYPERLINK("http://bbs.12365auto.com/postcontent.aspx?tId=195032","http://bbs.12365auto.com/postcontent.aspx?tId=195032")</f>
        <v>http://bbs.12365auto.com/postcontent.aspx?tId=195032</v>
      </c>
      <c r="G2784" s="2"/>
      <c r="H2784" s="2" t="s">
        <v>3987</v>
      </c>
      <c r="I2784" s="2" t="s">
        <v>15</v>
      </c>
      <c r="J2784" s="2" t="s">
        <v>3985</v>
      </c>
      <c r="K2784" s="2" t="s">
        <v>3986</v>
      </c>
      <c r="L2784" s="2">
        <f t="shared" si="43"/>
        <v>78</v>
      </c>
    </row>
    <row r="2785" spans="1:12" ht="25" customHeight="1">
      <c r="A2785" s="2" t="s">
        <v>12</v>
      </c>
      <c r="B2785" s="2" t="str">
        <f>HYPERLINK("http://m.12365auto.com/bbs/postcontent.aspx?tID=195032","如图 博瑞多个故障灯报警并且温度过高")</f>
        <v>如图 博瑞多个故障灯报警并且温度过高</v>
      </c>
      <c r="C2785" s="2" t="s">
        <v>13</v>
      </c>
      <c r="D2785" s="2" t="s">
        <v>23</v>
      </c>
      <c r="E2785" s="2"/>
      <c r="F2785" s="2" t="str">
        <f>HYPERLINK("http://m.12365auto.com/bbs/postcontent.aspx?tID=195032","http://m.12365auto.com/bbs/postcontent.aspx?tID=195032")</f>
        <v>http://m.12365auto.com/bbs/postcontent.aspx?tID=195032</v>
      </c>
      <c r="G2785" s="2"/>
      <c r="H2785" s="2" t="s">
        <v>3987</v>
      </c>
      <c r="I2785" s="2" t="s">
        <v>15</v>
      </c>
      <c r="J2785" s="2" t="s">
        <v>3985</v>
      </c>
      <c r="K2785" s="2" t="s">
        <v>3986</v>
      </c>
      <c r="L2785" s="2">
        <f t="shared" si="43"/>
        <v>78</v>
      </c>
    </row>
    <row r="2786" spans="1:12" ht="25" customHeight="1">
      <c r="A2786" s="2" t="s">
        <v>12</v>
      </c>
      <c r="B2786" s="2" t="str">
        <f>HYPERLINK("http://m.12365auto.com/xcdg/20200225/419417.shtml","哪吒U内饰官图发布 将于三月底正式上市")</f>
        <v>哪吒U内饰官图发布 将于三月底正式上市</v>
      </c>
      <c r="C2786" s="2" t="s">
        <v>13</v>
      </c>
      <c r="D2786" s="2" t="s">
        <v>12</v>
      </c>
      <c r="E2786" s="2"/>
      <c r="F2786" s="2" t="str">
        <f>HYPERLINK("http://m.12365auto.com/xcdg/20200225/419417.shtml","http://m.12365auto.com/xcdg/20200225/419417.shtml")</f>
        <v>http://m.12365auto.com/xcdg/20200225/419417.shtml</v>
      </c>
      <c r="G2786" s="2"/>
      <c r="H2786" s="2" t="s">
        <v>3988</v>
      </c>
      <c r="I2786" s="2" t="s">
        <v>19</v>
      </c>
      <c r="J2786" s="2" t="s">
        <v>1326</v>
      </c>
      <c r="K2786" s="2" t="s">
        <v>3989</v>
      </c>
      <c r="L2786" s="2">
        <f t="shared" si="43"/>
        <v>150</v>
      </c>
    </row>
    <row r="2787" spans="1:12" ht="25" customHeight="1">
      <c r="A2787" s="2" t="s">
        <v>12</v>
      </c>
      <c r="B2787" s="2" t="str">
        <f>HYPERLINK("http://www.12365auto.com/xcdg/20200225/419417.shtml","哪吒U内饰官图发布 将于三月底正式上市")</f>
        <v>哪吒U内饰官图发布 将于三月底正式上市</v>
      </c>
      <c r="C2787" s="2" t="s">
        <v>13</v>
      </c>
      <c r="D2787" s="2" t="s">
        <v>12</v>
      </c>
      <c r="E2787" s="2" t="s">
        <v>216</v>
      </c>
      <c r="F2787" s="2" t="str">
        <f>HYPERLINK("http://www.12365auto.com/xcdg/20200225/419417.shtml","http://www.12365auto.com/xcdg/20200225/419417.shtml")</f>
        <v>http://www.12365auto.com/xcdg/20200225/419417.shtml</v>
      </c>
      <c r="G2787" s="2"/>
      <c r="H2787" s="2" t="s">
        <v>3990</v>
      </c>
      <c r="I2787" s="2" t="s">
        <v>15</v>
      </c>
      <c r="J2787" s="2" t="s">
        <v>12</v>
      </c>
      <c r="K2787" s="2" t="s">
        <v>3989</v>
      </c>
      <c r="L2787" s="2">
        <f t="shared" si="43"/>
        <v>150</v>
      </c>
    </row>
    <row r="2788" spans="1:12" ht="25" customHeight="1">
      <c r="A2788" s="2" t="s">
        <v>12</v>
      </c>
      <c r="B2788" s="2" t="str">
        <f>HYPERLINK("http://m.12365auto.com/xcdg/20200225/419418.shtml","福特野马Mach-E实车曝光 或今年秋季上市")</f>
        <v>福特野马Mach-E实车曝光 或今年秋季上市</v>
      </c>
      <c r="C2788" s="2" t="s">
        <v>13</v>
      </c>
      <c r="D2788" s="2" t="s">
        <v>12</v>
      </c>
      <c r="E2788" s="2"/>
      <c r="F2788" s="2" t="str">
        <f>HYPERLINK("http://m.12365auto.com/xcdg/20200225/419418.shtml","http://m.12365auto.com/xcdg/20200225/419418.shtml")</f>
        <v>http://m.12365auto.com/xcdg/20200225/419418.shtml</v>
      </c>
      <c r="G2788" s="2"/>
      <c r="H2788" s="2" t="s">
        <v>3991</v>
      </c>
      <c r="I2788" s="2" t="s">
        <v>19</v>
      </c>
      <c r="J2788" s="2" t="s">
        <v>1305</v>
      </c>
      <c r="K2788" s="2" t="s">
        <v>3992</v>
      </c>
      <c r="L2788" s="2">
        <f t="shared" si="43"/>
        <v>150</v>
      </c>
    </row>
    <row r="2789" spans="1:12" ht="25" customHeight="1">
      <c r="A2789" s="2" t="s">
        <v>12</v>
      </c>
      <c r="B2789" s="2" t="str">
        <f>HYPERLINK("http://www.12365auto.com/xcdg/20200225/419418.shtml","福特野马Mach-E实车曝光 或今年秋季上市")</f>
        <v>福特野马Mach-E实车曝光 或今年秋季上市</v>
      </c>
      <c r="C2789" s="2" t="s">
        <v>13</v>
      </c>
      <c r="D2789" s="2" t="s">
        <v>12</v>
      </c>
      <c r="E2789" s="2" t="s">
        <v>245</v>
      </c>
      <c r="F2789" s="2" t="str">
        <f>HYPERLINK("http://www.12365auto.com/xcdg/20200225/419418.shtml","http://www.12365auto.com/xcdg/20200225/419418.shtml")</f>
        <v>http://www.12365auto.com/xcdg/20200225/419418.shtml</v>
      </c>
      <c r="G2789" s="2"/>
      <c r="H2789" s="2" t="s">
        <v>3993</v>
      </c>
      <c r="I2789" s="2" t="s">
        <v>19</v>
      </c>
      <c r="J2789" s="2" t="s">
        <v>12</v>
      </c>
      <c r="K2789" s="2" t="s">
        <v>3992</v>
      </c>
      <c r="L2789" s="2">
        <f t="shared" si="43"/>
        <v>150</v>
      </c>
    </row>
    <row r="2790" spans="1:12" ht="25" customHeight="1">
      <c r="A2790" s="2" t="s">
        <v>12</v>
      </c>
      <c r="B2790" s="2" t="str">
        <f>HYPERLINK("http://m.12365auto.com/zjdy/20200225/121600.shtml","16年8月份的二手大众捷达值得购买吗？")</f>
        <v>16年8月份的二手大众捷达值得购买吗？</v>
      </c>
      <c r="C2790" s="2" t="s">
        <v>13</v>
      </c>
      <c r="D2790" s="2" t="s">
        <v>12</v>
      </c>
      <c r="E2790" s="2"/>
      <c r="F2790" s="2" t="str">
        <f>HYPERLINK("http://m.12365auto.com/zjdy/20200225/121600.shtml","http://m.12365auto.com/zjdy/20200225/121600.shtml")</f>
        <v>http://m.12365auto.com/zjdy/20200225/121600.shtml</v>
      </c>
      <c r="G2790" s="2"/>
      <c r="H2790" s="2" t="s">
        <v>3994</v>
      </c>
      <c r="I2790" s="2" t="s">
        <v>19</v>
      </c>
      <c r="J2790" s="2" t="s">
        <v>12</v>
      </c>
      <c r="K2790" s="2" t="s">
        <v>3995</v>
      </c>
      <c r="L2790" s="2">
        <f t="shared" si="43"/>
        <v>54</v>
      </c>
    </row>
    <row r="2791" spans="1:12" ht="25" customHeight="1">
      <c r="A2791" s="2" t="s">
        <v>12</v>
      </c>
      <c r="B2791" s="2" t="str">
        <f>HYPERLINK("http://m.12365auto.com/zjdy/20200224/121599.shtml","机械钥匙无法打开车门是什么原因？")</f>
        <v>机械钥匙无法打开车门是什么原因？</v>
      </c>
      <c r="C2791" s="2" t="s">
        <v>13</v>
      </c>
      <c r="D2791" s="2" t="s">
        <v>12</v>
      </c>
      <c r="E2791" s="2"/>
      <c r="F2791" s="2" t="str">
        <f>HYPERLINK("http://m.12365auto.com/zjdy/20200224/121599.shtml","http://m.12365auto.com/zjdy/20200224/121599.shtml")</f>
        <v>http://m.12365auto.com/zjdy/20200224/121599.shtml</v>
      </c>
      <c r="G2791" s="2"/>
      <c r="H2791" s="2" t="s">
        <v>3996</v>
      </c>
      <c r="I2791" s="2" t="s">
        <v>19</v>
      </c>
      <c r="J2791" s="2" t="s">
        <v>12</v>
      </c>
      <c r="K2791" s="2" t="s">
        <v>3997</v>
      </c>
      <c r="L2791" s="2">
        <f t="shared" si="43"/>
        <v>31</v>
      </c>
    </row>
    <row r="2792" spans="1:12" ht="25" customHeight="1">
      <c r="A2792" s="2" t="s">
        <v>12</v>
      </c>
      <c r="B2792" s="2" t="str">
        <f>HYPERLINK("http://m.12365auto.com/zjdy/20200225/121601.shtml","2020款大众蔚领质量如何是否值得购买？")</f>
        <v>2020款大众蔚领质量如何是否值得购买？</v>
      </c>
      <c r="C2792" s="2" t="s">
        <v>13</v>
      </c>
      <c r="D2792" s="2" t="s">
        <v>12</v>
      </c>
      <c r="E2792" s="2"/>
      <c r="F2792" s="2" t="str">
        <f>HYPERLINK("http://m.12365auto.com/zjdy/20200225/121601.shtml","http://m.12365auto.com/zjdy/20200225/121601.shtml")</f>
        <v>http://m.12365auto.com/zjdy/20200225/121601.shtml</v>
      </c>
      <c r="G2792" s="2"/>
      <c r="H2792" s="2" t="s">
        <v>3998</v>
      </c>
      <c r="I2792" s="2" t="s">
        <v>19</v>
      </c>
      <c r="J2792" s="2" t="s">
        <v>12</v>
      </c>
      <c r="K2792" s="2" t="s">
        <v>3997</v>
      </c>
      <c r="L2792" s="2">
        <f t="shared" si="43"/>
        <v>41</v>
      </c>
    </row>
    <row r="2793" spans="1:12" ht="25" customHeight="1">
      <c r="A2793" s="2" t="s">
        <v>12</v>
      </c>
      <c r="B2793" s="2" t="str">
        <f>HYPERLINK("http://m.12365auto.com/zjdy/20200225/121604.shtml","后备箱用钥匙打开后可以自动弹开吗？")</f>
        <v>后备箱用钥匙打开后可以自动弹开吗？</v>
      </c>
      <c r="C2793" s="2" t="s">
        <v>13</v>
      </c>
      <c r="D2793" s="2" t="s">
        <v>12</v>
      </c>
      <c r="E2793" s="2"/>
      <c r="F2793" s="2" t="str">
        <f>HYPERLINK("http://m.12365auto.com/zjdy/20200225/121604.shtml","http://m.12365auto.com/zjdy/20200225/121604.shtml")</f>
        <v>http://m.12365auto.com/zjdy/20200225/121604.shtml</v>
      </c>
      <c r="G2793" s="2"/>
      <c r="H2793" s="2" t="s">
        <v>3999</v>
      </c>
      <c r="I2793" s="2" t="s">
        <v>19</v>
      </c>
      <c r="J2793" s="2" t="s">
        <v>12</v>
      </c>
      <c r="K2793" s="2" t="s">
        <v>4000</v>
      </c>
      <c r="L2793" s="2">
        <f t="shared" si="43"/>
        <v>24</v>
      </c>
    </row>
    <row r="2794" spans="1:12" ht="25" customHeight="1">
      <c r="A2794" s="2" t="s">
        <v>12</v>
      </c>
      <c r="B2794" s="2" t="str">
        <f>HYPERLINK("http://m.12365auto.com/zjdy/20200225/121602.shtml","2019款奥迪Q3发动机舱左侧异响为什么？")</f>
        <v>2019款奥迪Q3发动机舱左侧异响为什么？</v>
      </c>
      <c r="C2794" s="2" t="s">
        <v>13</v>
      </c>
      <c r="D2794" s="2" t="s">
        <v>12</v>
      </c>
      <c r="E2794" s="2"/>
      <c r="F2794" s="2" t="str">
        <f>HYPERLINK("http://m.12365auto.com/zjdy/20200225/121602.shtml","http://m.12365auto.com/zjdy/20200225/121602.shtml")</f>
        <v>http://m.12365auto.com/zjdy/20200225/121602.shtml</v>
      </c>
      <c r="G2794" s="2"/>
      <c r="H2794" s="2" t="s">
        <v>4001</v>
      </c>
      <c r="I2794" s="2" t="s">
        <v>19</v>
      </c>
      <c r="J2794" s="2" t="s">
        <v>12</v>
      </c>
      <c r="K2794" s="2" t="s">
        <v>4000</v>
      </c>
      <c r="L2794" s="2">
        <f t="shared" si="43"/>
        <v>126</v>
      </c>
    </row>
    <row r="2795" spans="1:12" ht="25" customHeight="1">
      <c r="A2795" s="2" t="s">
        <v>12</v>
      </c>
      <c r="B2795" s="2" t="str">
        <f>HYPERLINK("http://m.12365auto.com/zjdy/20200224/121598.shtml","19款起亚K3行驶中突然降速什么原因？")</f>
        <v>19款起亚K3行驶中突然降速什么原因？</v>
      </c>
      <c r="C2795" s="2" t="s">
        <v>13</v>
      </c>
      <c r="D2795" s="2" t="s">
        <v>12</v>
      </c>
      <c r="E2795" s="2"/>
      <c r="F2795" s="2" t="str">
        <f>HYPERLINK("http://m.12365auto.com/zjdy/20200224/121598.shtml","http://m.12365auto.com/zjdy/20200224/121598.shtml")</f>
        <v>http://m.12365auto.com/zjdy/20200224/121598.shtml</v>
      </c>
      <c r="G2795" s="2"/>
      <c r="H2795" s="2" t="s">
        <v>4002</v>
      </c>
      <c r="I2795" s="2" t="s">
        <v>19</v>
      </c>
      <c r="J2795" s="2" t="s">
        <v>12</v>
      </c>
      <c r="K2795" s="2" t="s">
        <v>4003</v>
      </c>
      <c r="L2795" s="2">
        <f t="shared" si="43"/>
        <v>69</v>
      </c>
    </row>
    <row r="2796" spans="1:12" ht="25" customHeight="1">
      <c r="A2796" s="2" t="s">
        <v>12</v>
      </c>
      <c r="B2796" s="2" t="str">
        <f>HYPERLINK("http://m.12365auto.com/zjdy/20200225/121608.shtml","新宝骏RM-5自动挡车型质量怎么样？")</f>
        <v>新宝骏RM-5自动挡车型质量怎么样？</v>
      </c>
      <c r="C2796" s="2" t="s">
        <v>13</v>
      </c>
      <c r="D2796" s="2" t="s">
        <v>12</v>
      </c>
      <c r="E2796" s="2"/>
      <c r="F2796" s="2" t="str">
        <f>HYPERLINK("http://m.12365auto.com/zjdy/20200225/121608.shtml","http://m.12365auto.com/zjdy/20200225/121608.shtml")</f>
        <v>http://m.12365auto.com/zjdy/20200225/121608.shtml</v>
      </c>
      <c r="G2796" s="2"/>
      <c r="H2796" s="2" t="s">
        <v>4004</v>
      </c>
      <c r="I2796" s="2" t="s">
        <v>19</v>
      </c>
      <c r="J2796" s="2" t="s">
        <v>12</v>
      </c>
      <c r="K2796" s="2" t="s">
        <v>4003</v>
      </c>
      <c r="L2796" s="2">
        <f t="shared" si="43"/>
        <v>17</v>
      </c>
    </row>
    <row r="2797" spans="1:12" ht="25" customHeight="1">
      <c r="A2797" s="2" t="s">
        <v>12</v>
      </c>
      <c r="B2797" s="2" t="str">
        <f>HYPERLINK("http://m.12365auto.com/zjdy/20200225/121607.shtml","吉利嘉际这款车质量如何值得入手吗？")</f>
        <v>吉利嘉际这款车质量如何值得入手吗？</v>
      </c>
      <c r="C2797" s="2" t="s">
        <v>13</v>
      </c>
      <c r="D2797" s="2" t="s">
        <v>12</v>
      </c>
      <c r="E2797" s="2"/>
      <c r="F2797" s="2" t="str">
        <f>HYPERLINK("http://m.12365auto.com/zjdy/20200225/121607.shtml","http://m.12365auto.com/zjdy/20200225/121607.shtml")</f>
        <v>http://m.12365auto.com/zjdy/20200225/121607.shtml</v>
      </c>
      <c r="G2797" s="2"/>
      <c r="H2797" s="2" t="s">
        <v>4005</v>
      </c>
      <c r="I2797" s="2" t="s">
        <v>19</v>
      </c>
      <c r="J2797" s="2" t="s">
        <v>12</v>
      </c>
      <c r="K2797" s="2" t="s">
        <v>4006</v>
      </c>
      <c r="L2797" s="2">
        <f t="shared" si="43"/>
        <v>18</v>
      </c>
    </row>
    <row r="2798" spans="1:12" ht="25" customHeight="1">
      <c r="A2798" s="2" t="s">
        <v>12</v>
      </c>
      <c r="B2798" s="2" t="str">
        <f>HYPERLINK("http://m.12365auto.com/zjdy/20200225/121605.shtml","2020款WEY VV7值得入手吗质量如何？")</f>
        <v>2020款WEY VV7值得入手吗质量如何？</v>
      </c>
      <c r="C2798" s="2" t="s">
        <v>13</v>
      </c>
      <c r="D2798" s="2" t="s">
        <v>12</v>
      </c>
      <c r="E2798" s="2"/>
      <c r="F2798" s="2" t="str">
        <f>HYPERLINK("http://m.12365auto.com/zjdy/20200225/121605.shtml","http://m.12365auto.com/zjdy/20200225/121605.shtml")</f>
        <v>http://m.12365auto.com/zjdy/20200225/121605.shtml</v>
      </c>
      <c r="G2798" s="2"/>
      <c r="H2798" s="2" t="s">
        <v>4007</v>
      </c>
      <c r="I2798" s="2" t="s">
        <v>19</v>
      </c>
      <c r="J2798" s="2" t="s">
        <v>12</v>
      </c>
      <c r="K2798" s="2" t="s">
        <v>4008</v>
      </c>
      <c r="L2798" s="2">
        <f t="shared" si="43"/>
        <v>17</v>
      </c>
    </row>
    <row r="2799" spans="1:12" ht="25" customHeight="1">
      <c r="A2799" s="2" t="s">
        <v>12</v>
      </c>
      <c r="B2799" s="2" t="str">
        <f>HYPERLINK("http://m.12365auto.com/zjdy/20200225/121606.shtml","2020款吉利远景X6的CVT变速箱是什么型号？")</f>
        <v>2020款吉利远景X6的CVT变速箱是什么型号？</v>
      </c>
      <c r="C2799" s="2" t="s">
        <v>13</v>
      </c>
      <c r="D2799" s="2" t="s">
        <v>12</v>
      </c>
      <c r="E2799" s="2"/>
      <c r="F2799" s="2" t="str">
        <f>HYPERLINK("http://m.12365auto.com/zjdy/20200225/121606.shtml","http://m.12365auto.com/zjdy/20200225/121606.shtml")</f>
        <v>http://m.12365auto.com/zjdy/20200225/121606.shtml</v>
      </c>
      <c r="G2799" s="2"/>
      <c r="H2799" s="2" t="s">
        <v>4009</v>
      </c>
      <c r="I2799" s="2" t="s">
        <v>19</v>
      </c>
      <c r="J2799" s="2" t="s">
        <v>12</v>
      </c>
      <c r="K2799" s="2" t="s">
        <v>4010</v>
      </c>
      <c r="L2799" s="2">
        <f t="shared" si="43"/>
        <v>42</v>
      </c>
    </row>
    <row r="2800" spans="1:12" ht="25" customHeight="1">
      <c r="A2800" s="2" t="s">
        <v>12</v>
      </c>
      <c r="B2800" s="2" t="str">
        <f>HYPERLINK("http://m.12365auto.com/zjdy/20200224/121595.shtml","19款雷凌雨天行驶发动机舱进泥水怎么办？")</f>
        <v>19款雷凌雨天行驶发动机舱进泥水怎么办？</v>
      </c>
      <c r="C2800" s="2" t="s">
        <v>13</v>
      </c>
      <c r="D2800" s="2" t="s">
        <v>12</v>
      </c>
      <c r="E2800" s="2"/>
      <c r="F2800" s="2" t="str">
        <f>HYPERLINK("http://m.12365auto.com/zjdy/20200224/121595.shtml","http://m.12365auto.com/zjdy/20200224/121595.shtml")</f>
        <v>http://m.12365auto.com/zjdy/20200224/121595.shtml</v>
      </c>
      <c r="G2800" s="2"/>
      <c r="H2800" s="2" t="s">
        <v>4011</v>
      </c>
      <c r="I2800" s="2" t="s">
        <v>19</v>
      </c>
      <c r="J2800" s="2" t="s">
        <v>12</v>
      </c>
      <c r="K2800" s="2" t="s">
        <v>4010</v>
      </c>
      <c r="L2800" s="2">
        <f t="shared" si="43"/>
        <v>26</v>
      </c>
    </row>
    <row r="2801" spans="1:12" ht="25" customHeight="1">
      <c r="A2801" s="2" t="s">
        <v>12</v>
      </c>
      <c r="B2801" s="2" t="str">
        <f>HYPERLINK("http://m.12365auto.com/zjdy/20200224/121594.shtml","大众探歌凸轮盖有渗油现象该怎么办？")</f>
        <v>大众探歌凸轮盖有渗油现象该怎么办？</v>
      </c>
      <c r="C2801" s="2" t="s">
        <v>13</v>
      </c>
      <c r="D2801" s="2" t="s">
        <v>12</v>
      </c>
      <c r="E2801" s="2"/>
      <c r="F2801" s="2" t="str">
        <f>HYPERLINK("http://m.12365auto.com/zjdy/20200224/121594.shtml","http://m.12365auto.com/zjdy/20200224/121594.shtml")</f>
        <v>http://m.12365auto.com/zjdy/20200224/121594.shtml</v>
      </c>
      <c r="G2801" s="2"/>
      <c r="H2801" s="2" t="s">
        <v>4012</v>
      </c>
      <c r="I2801" s="2" t="s">
        <v>19</v>
      </c>
      <c r="J2801" s="2" t="s">
        <v>12</v>
      </c>
      <c r="K2801" s="2" t="s">
        <v>4010</v>
      </c>
      <c r="L2801" s="2">
        <f t="shared" si="43"/>
        <v>49</v>
      </c>
    </row>
    <row r="2802" spans="1:12" ht="25" customHeight="1">
      <c r="A2802" s="2" t="s">
        <v>12</v>
      </c>
      <c r="B2802" s="2" t="str">
        <f>HYPERLINK("http://m.12365auto.com/zjdy/20200224/121596.shtml","奇瑞瑞虎5中控屏如何加装倒车影像？")</f>
        <v>奇瑞瑞虎5中控屏如何加装倒车影像？</v>
      </c>
      <c r="C2802" s="2" t="s">
        <v>13</v>
      </c>
      <c r="D2802" s="2" t="s">
        <v>12</v>
      </c>
      <c r="E2802" s="2"/>
      <c r="F2802" s="2" t="str">
        <f>HYPERLINK("http://m.12365auto.com/zjdy/20200224/121596.shtml","http://m.12365auto.com/zjdy/20200224/121596.shtml")</f>
        <v>http://m.12365auto.com/zjdy/20200224/121596.shtml</v>
      </c>
      <c r="G2802" s="2"/>
      <c r="H2802" s="2" t="s">
        <v>4013</v>
      </c>
      <c r="I2802" s="2" t="s">
        <v>19</v>
      </c>
      <c r="J2802" s="2" t="s">
        <v>12</v>
      </c>
      <c r="K2802" s="2" t="s">
        <v>4010</v>
      </c>
      <c r="L2802" s="2">
        <f t="shared" si="43"/>
        <v>25</v>
      </c>
    </row>
    <row r="2803" spans="1:12" ht="25" customHeight="1">
      <c r="A2803" s="2" t="s">
        <v>12</v>
      </c>
      <c r="B2803" s="2" t="str">
        <f>HYPERLINK("http://m.12365auto.com/zjdy/20200224/121597.shtml","螺丝有拧动痕迹且不是原厂漆怎么处理？")</f>
        <v>螺丝有拧动痕迹且不是原厂漆怎么处理？</v>
      </c>
      <c r="C2803" s="2" t="s">
        <v>13</v>
      </c>
      <c r="D2803" s="2" t="s">
        <v>12</v>
      </c>
      <c r="E2803" s="2"/>
      <c r="F2803" s="2" t="str">
        <f>HYPERLINK("http://m.12365auto.com/zjdy/20200224/121597.shtml","http://m.12365auto.com/zjdy/20200224/121597.shtml")</f>
        <v>http://m.12365auto.com/zjdy/20200224/121597.shtml</v>
      </c>
      <c r="G2803" s="2"/>
      <c r="H2803" s="2" t="s">
        <v>4014</v>
      </c>
      <c r="I2803" s="2" t="s">
        <v>19</v>
      </c>
      <c r="J2803" s="2" t="s">
        <v>12</v>
      </c>
      <c r="K2803" s="2" t="s">
        <v>4010</v>
      </c>
      <c r="L2803" s="2">
        <f t="shared" si="43"/>
        <v>36</v>
      </c>
    </row>
    <row r="2804" spans="1:12" ht="25" customHeight="1">
      <c r="A2804" s="2" t="s">
        <v>12</v>
      </c>
      <c r="B2804" s="2" t="str">
        <f>HYPERLINK("http://m.12365auto.com/zjdy/20200224/121593.shtml","19款荣威i5发动机漏油是什么原因？")</f>
        <v>19款荣威i5发动机漏油是什么原因？</v>
      </c>
      <c r="C2804" s="2" t="s">
        <v>13</v>
      </c>
      <c r="D2804" s="2" t="s">
        <v>12</v>
      </c>
      <c r="E2804" s="2"/>
      <c r="F2804" s="2" t="str">
        <f>HYPERLINK("http://m.12365auto.com/zjdy/20200224/121593.shtml","http://m.12365auto.com/zjdy/20200224/121593.shtml")</f>
        <v>http://m.12365auto.com/zjdy/20200224/121593.shtml</v>
      </c>
      <c r="G2804" s="2"/>
      <c r="H2804" s="2" t="s">
        <v>4015</v>
      </c>
      <c r="I2804" s="2" t="s">
        <v>19</v>
      </c>
      <c r="J2804" s="2" t="s">
        <v>12</v>
      </c>
      <c r="K2804" s="2" t="s">
        <v>4016</v>
      </c>
      <c r="L2804" s="2">
        <f t="shared" si="43"/>
        <v>88</v>
      </c>
    </row>
    <row r="2805" spans="1:12" ht="25" customHeight="1">
      <c r="A2805" s="2" t="s">
        <v>12</v>
      </c>
      <c r="B2805" s="2" t="str">
        <f>HYPERLINK("http://m.12365auto.com/zjdy/20200224/121592.shtml","丰田亚洲龙保养使用什么品牌机油？")</f>
        <v>丰田亚洲龙保养使用什么品牌机油？</v>
      </c>
      <c r="C2805" s="2" t="s">
        <v>13</v>
      </c>
      <c r="D2805" s="2" t="s">
        <v>12</v>
      </c>
      <c r="E2805" s="2"/>
      <c r="F2805" s="2" t="str">
        <f>HYPERLINK("http://m.12365auto.com/zjdy/20200224/121592.shtml","http://m.12365auto.com/zjdy/20200224/121592.shtml")</f>
        <v>http://m.12365auto.com/zjdy/20200224/121592.shtml</v>
      </c>
      <c r="G2805" s="2"/>
      <c r="H2805" s="2" t="s">
        <v>4017</v>
      </c>
      <c r="I2805" s="2" t="s">
        <v>19</v>
      </c>
      <c r="J2805" s="2" t="s">
        <v>12</v>
      </c>
      <c r="K2805" s="2" t="s">
        <v>4018</v>
      </c>
      <c r="L2805" s="2">
        <f t="shared" si="43"/>
        <v>43</v>
      </c>
    </row>
    <row r="2806" spans="1:12" ht="25" customHeight="1">
      <c r="A2806" s="2" t="s">
        <v>12</v>
      </c>
      <c r="B2806" s="2" t="str">
        <f>HYPERLINK("http://m.12365auto.com/zjdy/20200224/121590.shtml","东风风神AX7后轮外八应该怎么处理？")</f>
        <v>东风风神AX7后轮外八应该怎么处理？</v>
      </c>
      <c r="C2806" s="2" t="s">
        <v>13</v>
      </c>
      <c r="D2806" s="2" t="s">
        <v>12</v>
      </c>
      <c r="E2806" s="2"/>
      <c r="F2806" s="2" t="str">
        <f>HYPERLINK("http://m.12365auto.com/zjdy/20200224/121590.shtml","http://m.12365auto.com/zjdy/20200224/121590.shtml")</f>
        <v>http://m.12365auto.com/zjdy/20200224/121590.shtml</v>
      </c>
      <c r="G2806" s="2"/>
      <c r="H2806" s="2" t="s">
        <v>4019</v>
      </c>
      <c r="I2806" s="2" t="s">
        <v>19</v>
      </c>
      <c r="J2806" s="2" t="s">
        <v>12</v>
      </c>
      <c r="K2806" s="2" t="s">
        <v>4020</v>
      </c>
      <c r="L2806" s="2">
        <f t="shared" si="43"/>
        <v>23</v>
      </c>
    </row>
    <row r="2807" spans="1:12" ht="25" customHeight="1">
      <c r="A2807" s="2" t="s">
        <v>12</v>
      </c>
      <c r="B2807" s="2" t="str">
        <f>HYPERLINK("http://m.12365auto.com/zjdy/20200224/121591.shtml","车辆打不着火启动困难应该如何处理？")</f>
        <v>车辆打不着火启动困难应该如何处理？</v>
      </c>
      <c r="C2807" s="2" t="s">
        <v>13</v>
      </c>
      <c r="D2807" s="2" t="s">
        <v>12</v>
      </c>
      <c r="E2807" s="2"/>
      <c r="F2807" s="2" t="str">
        <f>HYPERLINK("http://m.12365auto.com/zjdy/20200224/121591.shtml","http://m.12365auto.com/zjdy/20200224/121591.shtml")</f>
        <v>http://m.12365auto.com/zjdy/20200224/121591.shtml</v>
      </c>
      <c r="G2807" s="2"/>
      <c r="H2807" s="2" t="s">
        <v>4021</v>
      </c>
      <c r="I2807" s="2" t="s">
        <v>19</v>
      </c>
      <c r="J2807" s="2" t="s">
        <v>12</v>
      </c>
      <c r="K2807" s="2" t="s">
        <v>4022</v>
      </c>
      <c r="L2807" s="2">
        <f t="shared" si="43"/>
        <v>23</v>
      </c>
    </row>
    <row r="2808" spans="1:12" ht="25" customHeight="1">
      <c r="A2808" s="2" t="s">
        <v>12</v>
      </c>
      <c r="B2808" s="2" t="str">
        <f>HYPERLINK("http://m.12365auto.com/zjdy/20200224/121589.shtml","丰田雷凌和卡罗拉哪款车值得购买？")</f>
        <v>丰田雷凌和卡罗拉哪款车值得购买？</v>
      </c>
      <c r="C2808" s="2" t="s">
        <v>13</v>
      </c>
      <c r="D2808" s="2" t="s">
        <v>12</v>
      </c>
      <c r="E2808" s="2"/>
      <c r="F2808" s="2" t="str">
        <f>HYPERLINK("http://m.12365auto.com/zjdy/20200224/121589.shtml","http://m.12365auto.com/zjdy/20200224/121589.shtml")</f>
        <v>http://m.12365auto.com/zjdy/20200224/121589.shtml</v>
      </c>
      <c r="G2808" s="2"/>
      <c r="H2808" s="2" t="s">
        <v>4023</v>
      </c>
      <c r="I2808" s="2" t="s">
        <v>19</v>
      </c>
      <c r="J2808" s="2" t="s">
        <v>12</v>
      </c>
      <c r="K2808" s="2" t="s">
        <v>4024</v>
      </c>
      <c r="L2808" s="2">
        <f t="shared" si="43"/>
        <v>39</v>
      </c>
    </row>
    <row r="2809" spans="1:12" ht="25" customHeight="1">
      <c r="A2809" s="2" t="s">
        <v>12</v>
      </c>
      <c r="B2809" s="2" t="str">
        <f>HYPERLINK("http://m.12365auto.com/zjdy/20200224/121588.shtml","起亚焕驰行驶中方向跑偏是什么原因？")</f>
        <v>起亚焕驰行驶中方向跑偏是什么原因？</v>
      </c>
      <c r="C2809" s="2" t="s">
        <v>13</v>
      </c>
      <c r="D2809" s="2" t="s">
        <v>12</v>
      </c>
      <c r="E2809" s="2"/>
      <c r="F2809" s="2" t="str">
        <f>HYPERLINK("http://m.12365auto.com/zjdy/20200224/121588.shtml","http://m.12365auto.com/zjdy/20200224/121588.shtml")</f>
        <v>http://m.12365auto.com/zjdy/20200224/121588.shtml</v>
      </c>
      <c r="G2809" s="2"/>
      <c r="H2809" s="2" t="s">
        <v>4025</v>
      </c>
      <c r="I2809" s="2" t="s">
        <v>19</v>
      </c>
      <c r="J2809" s="2" t="s">
        <v>12</v>
      </c>
      <c r="K2809" s="2" t="s">
        <v>4026</v>
      </c>
      <c r="L2809" s="2">
        <f t="shared" si="43"/>
        <v>150</v>
      </c>
    </row>
    <row r="2810" spans="1:12" ht="25" customHeight="1">
      <c r="A2810" s="2" t="s">
        <v>12</v>
      </c>
      <c r="B2810" s="2" t="str">
        <f>HYPERLINK("http://www.12365auto.com/xcdg/20200225/419416.shtml","韩式奢华主义 新款捷尼赛思G90新车图解")</f>
        <v>韩式奢华主义 新款捷尼赛思G90新车图解</v>
      </c>
      <c r="C2810" s="2" t="s">
        <v>13</v>
      </c>
      <c r="D2810" s="2" t="s">
        <v>12</v>
      </c>
      <c r="E2810" s="2" t="s">
        <v>216</v>
      </c>
      <c r="F2810" s="2" t="str">
        <f>HYPERLINK("http://www.12365auto.com/xcdg/20200225/419416.shtml","http://www.12365auto.com/xcdg/20200225/419416.shtml")</f>
        <v>http://www.12365auto.com/xcdg/20200225/419416.shtml</v>
      </c>
      <c r="G2810" s="2"/>
      <c r="H2810" s="2" t="s">
        <v>4027</v>
      </c>
      <c r="I2810" s="2" t="s">
        <v>15</v>
      </c>
      <c r="J2810" s="2" t="s">
        <v>12</v>
      </c>
      <c r="K2810" s="2" t="s">
        <v>4028</v>
      </c>
      <c r="L2810" s="2">
        <f t="shared" si="43"/>
        <v>150</v>
      </c>
    </row>
    <row r="2811" spans="1:12" ht="25" customHeight="1">
      <c r="A2811" s="2" t="s">
        <v>12</v>
      </c>
      <c r="B2811" s="2" t="str">
        <f>HYPERLINK("http://www.12365auto.com/xcdg/20200225/419415.shtml","2020年第8周上市新车汇总")</f>
        <v>2020年第8周上市新车汇总</v>
      </c>
      <c r="C2811" s="2" t="s">
        <v>13</v>
      </c>
      <c r="D2811" s="2" t="s">
        <v>12</v>
      </c>
      <c r="E2811" s="2" t="s">
        <v>216</v>
      </c>
      <c r="F2811" s="2" t="str">
        <f>HYPERLINK("http://www.12365auto.com/xcdg/20200225/419415.shtml","http://www.12365auto.com/xcdg/20200225/419415.shtml")</f>
        <v>http://www.12365auto.com/xcdg/20200225/419415.shtml</v>
      </c>
      <c r="G2811" s="2"/>
      <c r="H2811" s="2" t="s">
        <v>4029</v>
      </c>
      <c r="I2811" s="2" t="s">
        <v>15</v>
      </c>
      <c r="J2811" s="2" t="s">
        <v>12</v>
      </c>
      <c r="K2811" s="2" t="s">
        <v>4028</v>
      </c>
      <c r="L2811" s="2">
        <f t="shared" si="43"/>
        <v>150</v>
      </c>
    </row>
    <row r="2812" spans="1:12" ht="25" customHeight="1">
      <c r="A2812" s="2" t="s">
        <v>12</v>
      </c>
      <c r="B2812" s="2" t="str">
        <f>HYPERLINK("http://www.12365auto.com/dcbg/20200225/419414.shtml","2020年1月TOP30 SUV销量投诉量对应点评")</f>
        <v>2020年1月TOP30 SUV销量投诉量对应点评</v>
      </c>
      <c r="C2812" s="2" t="s">
        <v>13</v>
      </c>
      <c r="D2812" s="2" t="s">
        <v>12</v>
      </c>
      <c r="E2812" s="2" t="s">
        <v>4030</v>
      </c>
      <c r="F2812" s="2" t="str">
        <f>HYPERLINK("http://www.12365auto.com/dcbg/20200225/419414.shtml","http://www.12365auto.com/dcbg/20200225/419414.shtml")</f>
        <v>http://www.12365auto.com/dcbg/20200225/419414.shtml</v>
      </c>
      <c r="G2812" s="2"/>
      <c r="H2812" s="2" t="s">
        <v>4031</v>
      </c>
      <c r="I2812" s="2" t="s">
        <v>15</v>
      </c>
      <c r="J2812" s="2" t="s">
        <v>12</v>
      </c>
      <c r="K2812" s="2" t="s">
        <v>4028</v>
      </c>
      <c r="L2812" s="2">
        <f t="shared" si="43"/>
        <v>150</v>
      </c>
    </row>
    <row r="2813" spans="1:12" ht="25" customHeight="1">
      <c r="A2813" s="2" t="s">
        <v>12</v>
      </c>
      <c r="B2813" s="2" t="str">
        <f>HYPERLINK("http://m.12365auto.com/xcdg/20200225/419416.shtml","韩式奢华主义 新款捷尼赛思G90新车图解")</f>
        <v>韩式奢华主义 新款捷尼赛思G90新车图解</v>
      </c>
      <c r="C2813" s="2" t="s">
        <v>13</v>
      </c>
      <c r="D2813" s="2" t="s">
        <v>12</v>
      </c>
      <c r="E2813" s="2"/>
      <c r="F2813" s="2" t="str">
        <f>HYPERLINK("http://m.12365auto.com/xcdg/20200225/419416.shtml","http://m.12365auto.com/xcdg/20200225/419416.shtml")</f>
        <v>http://m.12365auto.com/xcdg/20200225/419416.shtml</v>
      </c>
      <c r="G2813" s="2"/>
      <c r="H2813" s="2" t="s">
        <v>4032</v>
      </c>
      <c r="I2813" s="2" t="s">
        <v>19</v>
      </c>
      <c r="J2813" s="2" t="s">
        <v>1305</v>
      </c>
      <c r="K2813" s="2" t="s">
        <v>4028</v>
      </c>
      <c r="L2813" s="2">
        <f t="shared" si="43"/>
        <v>150</v>
      </c>
    </row>
    <row r="2814" spans="1:12" ht="25" customHeight="1">
      <c r="A2814" s="2" t="s">
        <v>12</v>
      </c>
      <c r="B2814" s="2" t="str">
        <f>HYPERLINK("http://m.12365auto.com/xcdg/20200225/419415.shtml","2020年第8周上市新车汇总")</f>
        <v>2020年第8周上市新车汇总</v>
      </c>
      <c r="C2814" s="2" t="s">
        <v>13</v>
      </c>
      <c r="D2814" s="2" t="s">
        <v>12</v>
      </c>
      <c r="E2814" s="2"/>
      <c r="F2814" s="2" t="str">
        <f>HYPERLINK("http://m.12365auto.com/xcdg/20200225/419415.shtml","http://m.12365auto.com/xcdg/20200225/419415.shtml")</f>
        <v>http://m.12365auto.com/xcdg/20200225/419415.shtml</v>
      </c>
      <c r="G2814" s="2"/>
      <c r="H2814" s="2" t="s">
        <v>4033</v>
      </c>
      <c r="I2814" s="2" t="s">
        <v>19</v>
      </c>
      <c r="J2814" s="2" t="s">
        <v>1230</v>
      </c>
      <c r="K2814" s="2" t="s">
        <v>4028</v>
      </c>
      <c r="L2814" s="2">
        <f t="shared" si="43"/>
        <v>150</v>
      </c>
    </row>
    <row r="2815" spans="1:12" ht="25" customHeight="1">
      <c r="A2815" s="2" t="s">
        <v>12</v>
      </c>
      <c r="B2815" s="2" t="str">
        <f>HYPERLINK("http://m.12365auto.com/dcbg/20200225/419414.shtml","2020年1月TOP30 SUV销量投诉量对应点评")</f>
        <v>2020年1月TOP30 SUV销量投诉量对应点评</v>
      </c>
      <c r="C2815" s="2" t="s">
        <v>13</v>
      </c>
      <c r="D2815" s="2" t="s">
        <v>12</v>
      </c>
      <c r="E2815" s="2"/>
      <c r="F2815" s="2" t="str">
        <f>HYPERLINK("http://m.12365auto.com/dcbg/20200225/419414.shtml","http://m.12365auto.com/dcbg/20200225/419414.shtml")</f>
        <v>http://m.12365auto.com/dcbg/20200225/419414.shtml</v>
      </c>
      <c r="G2815" s="2"/>
      <c r="H2815" s="2" t="s">
        <v>4034</v>
      </c>
      <c r="I2815" s="2" t="s">
        <v>19</v>
      </c>
      <c r="J2815" s="2" t="s">
        <v>1322</v>
      </c>
      <c r="K2815" s="2" t="s">
        <v>4028</v>
      </c>
      <c r="L2815" s="2">
        <f t="shared" si="43"/>
        <v>150</v>
      </c>
    </row>
    <row r="2816" spans="1:12" ht="25" customHeight="1">
      <c r="A2816" s="2" t="s">
        <v>12</v>
      </c>
      <c r="B2816" s="2" t="str">
        <f>HYPERLINK("http://bbs.12365auto.com/postcontent.aspx?tId=195031","夜间行车掌握了这几点就不会手足无措了")</f>
        <v>夜间行车掌握了这几点就不会手足无措了</v>
      </c>
      <c r="C2816" s="2" t="s">
        <v>13</v>
      </c>
      <c r="D2816" s="2" t="s">
        <v>12</v>
      </c>
      <c r="E2816" s="2" t="s">
        <v>1397</v>
      </c>
      <c r="F2816" s="2" t="str">
        <f>HYPERLINK("http://bbs.12365auto.com/postcontent.aspx?tId=195031","http://bbs.12365auto.com/postcontent.aspx?tId=195031")</f>
        <v>http://bbs.12365auto.com/postcontent.aspx?tId=195031</v>
      </c>
      <c r="G2816" s="2"/>
      <c r="H2816" s="2" t="s">
        <v>4035</v>
      </c>
      <c r="I2816" s="2" t="s">
        <v>15</v>
      </c>
      <c r="J2816" s="2" t="s">
        <v>2201</v>
      </c>
      <c r="K2816" s="2" t="s">
        <v>4036</v>
      </c>
      <c r="L2816" s="2">
        <f t="shared" si="43"/>
        <v>150</v>
      </c>
    </row>
    <row r="2817" spans="1:12" ht="25" customHeight="1">
      <c r="A2817" s="2" t="s">
        <v>12</v>
      </c>
      <c r="B2817" s="2" t="str">
        <f>HYPERLINK("http://m.12365auto.com/bbs/postcontent.aspx?tID=195031","夜间行车掌握了这几点就不会手足无措了")</f>
        <v>夜间行车掌握了这几点就不会手足无措了</v>
      </c>
      <c r="C2817" s="2" t="s">
        <v>13</v>
      </c>
      <c r="D2817" s="2" t="s">
        <v>23</v>
      </c>
      <c r="E2817" s="2"/>
      <c r="F2817" s="2" t="str">
        <f>HYPERLINK("http://m.12365auto.com/bbs/postcontent.aspx?tID=195031","http://m.12365auto.com/bbs/postcontent.aspx?tID=195031")</f>
        <v>http://m.12365auto.com/bbs/postcontent.aspx?tID=195031</v>
      </c>
      <c r="G2817" s="2"/>
      <c r="H2817" s="2" t="s">
        <v>4035</v>
      </c>
      <c r="I2817" s="2" t="s">
        <v>15</v>
      </c>
      <c r="J2817" s="2" t="s">
        <v>2201</v>
      </c>
      <c r="K2817" s="2" t="s">
        <v>4036</v>
      </c>
      <c r="L2817" s="2">
        <f t="shared" si="43"/>
        <v>150</v>
      </c>
    </row>
    <row r="2818" spans="1:12" ht="25" customHeight="1">
      <c r="A2818" s="2" t="s">
        <v>12</v>
      </c>
      <c r="B2818" s="2" t="str">
        <f>HYPERLINK("http://bbs.12365auto.com/postcontent.aspx?tID=195031","夜间行车掌握了这几点就不会手足无措了")</f>
        <v>夜间行车掌握了这几点就不会手足无措了</v>
      </c>
      <c r="C2818" s="2" t="s">
        <v>13</v>
      </c>
      <c r="D2818" s="2" t="s">
        <v>12</v>
      </c>
      <c r="E2818" s="2" t="s">
        <v>1393</v>
      </c>
      <c r="F2818" s="2" t="str">
        <f>HYPERLINK("http://bbs.12365auto.com/postcontent.aspx?tID=195031","http://bbs.12365auto.com/postcontent.aspx?tID=195031")</f>
        <v>http://bbs.12365auto.com/postcontent.aspx?tID=195031</v>
      </c>
      <c r="G2818" s="2"/>
      <c r="H2818" s="2" t="s">
        <v>4037</v>
      </c>
      <c r="I2818" s="2" t="s">
        <v>15</v>
      </c>
      <c r="J2818" s="2" t="s">
        <v>2201</v>
      </c>
      <c r="K2818" s="2" t="s">
        <v>4036</v>
      </c>
      <c r="L2818" s="2">
        <f t="shared" si="43"/>
        <v>150</v>
      </c>
    </row>
    <row r="2819" spans="1:12" ht="25" customHeight="1">
      <c r="A2819" s="2" t="s">
        <v>12</v>
      </c>
      <c r="B2819" s="2" t="str">
        <f>HYPERLINK("http://www.12365auto.com/zlts/20200225/448575.shtml","ABS故障")</f>
        <v>ABS故障</v>
      </c>
      <c r="C2819" s="2" t="s">
        <v>13</v>
      </c>
      <c r="D2819" s="2" t="s">
        <v>12</v>
      </c>
      <c r="E2819" s="2"/>
      <c r="F2819" s="2" t="str">
        <f>HYPERLINK("http://www.12365auto.com/zlts/20200225/448575.shtml","http://www.12365auto.com/zlts/20200225/448575.shtml")</f>
        <v>http://www.12365auto.com/zlts/20200225/448575.shtml</v>
      </c>
      <c r="G2819" s="2"/>
      <c r="H2819" s="3" t="s">
        <v>4038</v>
      </c>
      <c r="I2819" s="2" t="s">
        <v>15</v>
      </c>
      <c r="J2819" s="2" t="s">
        <v>12</v>
      </c>
      <c r="K2819" s="2" t="s">
        <v>4039</v>
      </c>
      <c r="L2819" s="2">
        <f t="shared" ref="L2819:L2882" si="44">LEN(H2819)</f>
        <v>111</v>
      </c>
    </row>
    <row r="2820" spans="1:12" ht="25" customHeight="1">
      <c r="A2820" s="2" t="s">
        <v>12</v>
      </c>
      <c r="B2820" s="2" t="str">
        <f>HYPERLINK("http://www.12365auto.com/zlts/20200225/448574.shtml","一汽大众速腾右侧大灯进水。")</f>
        <v>一汽大众速腾右侧大灯进水。</v>
      </c>
      <c r="C2820" s="2" t="s">
        <v>13</v>
      </c>
      <c r="D2820" s="2" t="s">
        <v>12</v>
      </c>
      <c r="E2820" s="2"/>
      <c r="F2820" s="2" t="str">
        <f>HYPERLINK("http://www.12365auto.com/zlts/20200225/448574.shtml","http://www.12365auto.com/zlts/20200225/448574.shtml")</f>
        <v>http://www.12365auto.com/zlts/20200225/448574.shtml</v>
      </c>
      <c r="G2820" s="2"/>
      <c r="H2820" s="5" t="s">
        <v>4040</v>
      </c>
      <c r="I2820" s="2" t="s">
        <v>15</v>
      </c>
      <c r="J2820" s="2" t="s">
        <v>12</v>
      </c>
      <c r="K2820" s="2" t="s">
        <v>4041</v>
      </c>
      <c r="L2820" s="2">
        <f t="shared" si="44"/>
        <v>111</v>
      </c>
    </row>
    <row r="2821" spans="1:12" ht="25" customHeight="1">
      <c r="A2821" s="2" t="s">
        <v>12</v>
      </c>
      <c r="B2821" s="2" t="str">
        <f>HYPERLINK("http://www.12365auto.com/zlts/20200225/448573.shtml","行驶在非铺装路面上地盘咯噔咯噔响，整体质感仿佛快")</f>
        <v>行驶在非铺装路面上地盘咯噔咯噔响，整体质感仿佛快</v>
      </c>
      <c r="C2821" s="2" t="s">
        <v>13</v>
      </c>
      <c r="D2821" s="2" t="s">
        <v>12</v>
      </c>
      <c r="E2821" s="2"/>
      <c r="F2821" s="2" t="str">
        <f>HYPERLINK("http://www.12365auto.com/zlts/20200225/448573.shtml","http://www.12365auto.com/zlts/20200225/448573.shtml")</f>
        <v>http://www.12365auto.com/zlts/20200225/448573.shtml</v>
      </c>
      <c r="G2821" s="2"/>
      <c r="H2821" s="3" t="s">
        <v>4042</v>
      </c>
      <c r="I2821" s="2" t="s">
        <v>15</v>
      </c>
      <c r="J2821" s="2" t="s">
        <v>12</v>
      </c>
      <c r="K2821" s="2" t="s">
        <v>4043</v>
      </c>
      <c r="L2821" s="2">
        <f t="shared" si="44"/>
        <v>136</v>
      </c>
    </row>
    <row r="2822" spans="1:12" ht="25" customHeight="1">
      <c r="A2822" s="2" t="s">
        <v>12</v>
      </c>
      <c r="B2822" s="2" t="str">
        <f>HYPERLINK("http://www.12365auto.com/zlts/20200224/448566.shtml","服务态度差，电瓶有问题，机油变黑，库存车")</f>
        <v>服务态度差，电瓶有问题，机油变黑，库存车</v>
      </c>
      <c r="C2822" s="2" t="s">
        <v>13</v>
      </c>
      <c r="D2822" s="2" t="s">
        <v>12</v>
      </c>
      <c r="E2822" s="2"/>
      <c r="F2822" s="2" t="str">
        <f>HYPERLINK("http://www.12365auto.com/zlts/20200224/448566.shtml","http://www.12365auto.com/zlts/20200224/448566.shtml")</f>
        <v>http://www.12365auto.com/zlts/20200224/448566.shtml</v>
      </c>
      <c r="G2822" s="2"/>
      <c r="H2822" s="3" t="s">
        <v>4044</v>
      </c>
      <c r="I2822" s="2" t="s">
        <v>15</v>
      </c>
      <c r="J2822" s="2" t="s">
        <v>12</v>
      </c>
      <c r="K2822" s="2" t="s">
        <v>4045</v>
      </c>
      <c r="L2822" s="2">
        <f t="shared" si="44"/>
        <v>124</v>
      </c>
    </row>
    <row r="2823" spans="1:12" ht="25" customHeight="1">
      <c r="A2823" s="2" t="s">
        <v>12</v>
      </c>
      <c r="B2823" s="2" t="str">
        <f>HYPERLINK("http://www.12365auto.com/zlts/20200224/448564.shtml","各种功能失效")</f>
        <v>各种功能失效</v>
      </c>
      <c r="C2823" s="2" t="s">
        <v>13</v>
      </c>
      <c r="D2823" s="2" t="s">
        <v>12</v>
      </c>
      <c r="E2823" s="2"/>
      <c r="F2823" s="2" t="str">
        <f>HYPERLINK("http://www.12365auto.com/zlts/20200224/448564.shtml","http://www.12365auto.com/zlts/20200224/448564.shtml")</f>
        <v>http://www.12365auto.com/zlts/20200224/448564.shtml</v>
      </c>
      <c r="G2823" s="2"/>
      <c r="H2823" s="3" t="s">
        <v>4046</v>
      </c>
      <c r="I2823" s="2" t="s">
        <v>15</v>
      </c>
      <c r="J2823" s="2" t="s">
        <v>12</v>
      </c>
      <c r="K2823" s="2" t="s">
        <v>4045</v>
      </c>
      <c r="L2823" s="2">
        <f t="shared" si="44"/>
        <v>107</v>
      </c>
    </row>
    <row r="2824" spans="1:12" ht="25" customHeight="1">
      <c r="A2824" s="2" t="s">
        <v>12</v>
      </c>
      <c r="B2824" s="2" t="str">
        <f>HYPERLINK("http://www.12365auto.com/zlts/20200224/448565.shtml","方向盘皮开裂，脱皮")</f>
        <v>方向盘皮开裂，脱皮</v>
      </c>
      <c r="C2824" s="2" t="s">
        <v>13</v>
      </c>
      <c r="D2824" s="2" t="s">
        <v>12</v>
      </c>
      <c r="E2824" s="2"/>
      <c r="F2824" s="2" t="str">
        <f>HYPERLINK("http://www.12365auto.com/zlts/20200224/448565.shtml","http://www.12365auto.com/zlts/20200224/448565.shtml")</f>
        <v>http://www.12365auto.com/zlts/20200224/448565.shtml</v>
      </c>
      <c r="G2824" s="2"/>
      <c r="H2824" s="3" t="s">
        <v>4047</v>
      </c>
      <c r="I2824" s="2" t="s">
        <v>15</v>
      </c>
      <c r="J2824" s="2" t="s">
        <v>12</v>
      </c>
      <c r="K2824" s="2" t="s">
        <v>4045</v>
      </c>
      <c r="L2824" s="2">
        <f t="shared" si="44"/>
        <v>112</v>
      </c>
    </row>
    <row r="2825" spans="1:12" ht="25" customHeight="1">
      <c r="A2825" s="2" t="s">
        <v>12</v>
      </c>
      <c r="B2825" s="2" t="str">
        <f>HYPERLINK("http://www.12365auto.com/zlts/20200224/448571.shtml","上汽大众途观L变速箱异响共振 方向盘震手")</f>
        <v>上汽大众途观L变速箱异响共振 方向盘震手</v>
      </c>
      <c r="C2825" s="2" t="s">
        <v>13</v>
      </c>
      <c r="D2825" s="2" t="s">
        <v>12</v>
      </c>
      <c r="E2825" s="2" t="s">
        <v>17</v>
      </c>
      <c r="F2825" s="2" t="str">
        <f>HYPERLINK("http://www.12365auto.com/zlts/20200224/448571.shtml","http://www.12365auto.com/zlts/20200224/448571.shtml")</f>
        <v>http://www.12365auto.com/zlts/20200224/448571.shtml</v>
      </c>
      <c r="G2825" s="2"/>
      <c r="H2825" s="2" t="s">
        <v>4048</v>
      </c>
      <c r="I2825" s="2" t="s">
        <v>19</v>
      </c>
      <c r="J2825" s="2" t="s">
        <v>12</v>
      </c>
      <c r="K2825" s="2" t="s">
        <v>4049</v>
      </c>
      <c r="L2825" s="2">
        <f t="shared" si="44"/>
        <v>150</v>
      </c>
    </row>
    <row r="2826" spans="1:12" ht="25" customHeight="1">
      <c r="A2826" s="2" t="s">
        <v>12</v>
      </c>
      <c r="B2826" s="2" t="str">
        <f>HYPERLINK("http://www.12365auto.com/zlts/20200224/448568.shtml","绅宝X65高速行驶抖动 发动机故障灯亮")</f>
        <v>绅宝X65高速行驶抖动 发动机故障灯亮</v>
      </c>
      <c r="C2826" s="2" t="s">
        <v>13</v>
      </c>
      <c r="D2826" s="2" t="s">
        <v>12</v>
      </c>
      <c r="E2826" s="2" t="s">
        <v>17</v>
      </c>
      <c r="F2826" s="2" t="str">
        <f>HYPERLINK("http://www.12365auto.com/zlts/20200224/448568.shtml","http://www.12365auto.com/zlts/20200224/448568.shtml")</f>
        <v>http://www.12365auto.com/zlts/20200224/448568.shtml</v>
      </c>
      <c r="G2826" s="2"/>
      <c r="H2826" s="2" t="s">
        <v>4050</v>
      </c>
      <c r="I2826" s="2" t="s">
        <v>19</v>
      </c>
      <c r="J2826" s="2" t="s">
        <v>12</v>
      </c>
      <c r="K2826" s="2" t="s">
        <v>4051</v>
      </c>
      <c r="L2826" s="2">
        <f t="shared" si="44"/>
        <v>150</v>
      </c>
    </row>
    <row r="2827" spans="1:12" ht="25" customHeight="1">
      <c r="A2827" s="2" t="s">
        <v>12</v>
      </c>
      <c r="B2827" s="2" t="str">
        <f>HYPERLINK("http://www.12365auto.com/zlts/20200224/448563.shtml","绅宝X65高速行驶中发动机抖动加速无力")</f>
        <v>绅宝X65高速行驶中发动机抖动加速无力</v>
      </c>
      <c r="C2827" s="2" t="s">
        <v>13</v>
      </c>
      <c r="D2827" s="2" t="s">
        <v>12</v>
      </c>
      <c r="E2827" s="2" t="s">
        <v>17</v>
      </c>
      <c r="F2827" s="2" t="str">
        <f>HYPERLINK("http://www.12365auto.com/zlts/20200224/448563.shtml","http://www.12365auto.com/zlts/20200224/448563.shtml")</f>
        <v>http://www.12365auto.com/zlts/20200224/448563.shtml</v>
      </c>
      <c r="G2827" s="2"/>
      <c r="H2827" s="2" t="s">
        <v>4052</v>
      </c>
      <c r="I2827" s="2" t="s">
        <v>19</v>
      </c>
      <c r="J2827" s="2" t="s">
        <v>12</v>
      </c>
      <c r="K2827" s="2" t="s">
        <v>4053</v>
      </c>
      <c r="L2827" s="2">
        <f t="shared" si="44"/>
        <v>150</v>
      </c>
    </row>
    <row r="2828" spans="1:12" ht="25" customHeight="1">
      <c r="A2828" s="2" t="s">
        <v>12</v>
      </c>
      <c r="B2828" s="2" t="str">
        <f>HYPERLINK("http://bbs.12365auto.com/postcontent.aspx?tId=195028","新车开了2400km.出现发动机漏油")</f>
        <v>新车开了2400km.出现发动机漏油</v>
      </c>
      <c r="C2828" s="2" t="s">
        <v>13</v>
      </c>
      <c r="D2828" s="2" t="s">
        <v>12</v>
      </c>
      <c r="E2828" s="2" t="s">
        <v>66</v>
      </c>
      <c r="F2828" s="2" t="str">
        <f>HYPERLINK("http://bbs.12365auto.com/postcontent.aspx?tId=195028","http://bbs.12365auto.com/postcontent.aspx?tId=195028")</f>
        <v>http://bbs.12365auto.com/postcontent.aspx?tId=195028</v>
      </c>
      <c r="G2828" s="2"/>
      <c r="H2828" s="2" t="s">
        <v>4054</v>
      </c>
      <c r="I2828" s="2" t="s">
        <v>15</v>
      </c>
      <c r="J2828" s="2" t="s">
        <v>4055</v>
      </c>
      <c r="K2828" s="2" t="s">
        <v>4056</v>
      </c>
      <c r="L2828" s="2">
        <f t="shared" si="44"/>
        <v>35</v>
      </c>
    </row>
    <row r="2829" spans="1:12" ht="25" customHeight="1">
      <c r="A2829" s="2" t="s">
        <v>12</v>
      </c>
      <c r="B2829" s="2" t="str">
        <f>HYPERLINK("http://bbs.12365auto.com/postcontent.aspx?tID=195028","新车开了2400km.出现发动机漏油")</f>
        <v>新车开了2400km.出现发动机漏油</v>
      </c>
      <c r="C2829" s="2" t="s">
        <v>13</v>
      </c>
      <c r="D2829" s="2" t="s">
        <v>12</v>
      </c>
      <c r="E2829" s="2" t="s">
        <v>67</v>
      </c>
      <c r="F2829" s="2" t="str">
        <f>HYPERLINK("http://bbs.12365auto.com/postcontent.aspx?tID=195028","http://bbs.12365auto.com/postcontent.aspx?tID=195028")</f>
        <v>http://bbs.12365auto.com/postcontent.aspx?tID=195028</v>
      </c>
      <c r="G2829" s="2"/>
      <c r="H2829" s="2" t="s">
        <v>4057</v>
      </c>
      <c r="I2829" s="2" t="s">
        <v>15</v>
      </c>
      <c r="J2829" s="2" t="s">
        <v>4055</v>
      </c>
      <c r="K2829" s="2" t="s">
        <v>4056</v>
      </c>
      <c r="L2829" s="2">
        <f t="shared" si="44"/>
        <v>53</v>
      </c>
    </row>
    <row r="2830" spans="1:12" ht="25" customHeight="1">
      <c r="A2830" s="2" t="s">
        <v>12</v>
      </c>
      <c r="B2830" s="2" t="str">
        <f>HYPERLINK("http://www.12365auto.com/zlts/20200224/448562.shtml","电子手刹严重异响     怠速抖动")</f>
        <v>电子手刹严重异响     怠速抖动</v>
      </c>
      <c r="C2830" s="2" t="s">
        <v>13</v>
      </c>
      <c r="D2830" s="2" t="s">
        <v>12</v>
      </c>
      <c r="E2830" s="2"/>
      <c r="F2830" s="2" t="str">
        <f>HYPERLINK("http://www.12365auto.com/zlts/20200224/448562.shtml","http://www.12365auto.com/zlts/20200224/448562.shtml")</f>
        <v>http://www.12365auto.com/zlts/20200224/448562.shtml</v>
      </c>
      <c r="G2830" s="2"/>
      <c r="H2830" s="3" t="s">
        <v>4058</v>
      </c>
      <c r="I2830" s="2" t="s">
        <v>15</v>
      </c>
      <c r="J2830" s="2" t="s">
        <v>12</v>
      </c>
      <c r="K2830" s="2" t="s">
        <v>4059</v>
      </c>
      <c r="L2830" s="2">
        <f t="shared" si="44"/>
        <v>118</v>
      </c>
    </row>
    <row r="2831" spans="1:12" ht="25" customHeight="1">
      <c r="A2831" s="2" t="s">
        <v>12</v>
      </c>
      <c r="B2831" s="2" t="str">
        <f>HYPERLINK("http://www.12365auto.com/zlts/20200224/448560.shtml","寒冷条件下ESP.HHC.HDC.ESP报警防侧滑失灵")</f>
        <v>寒冷条件下ESP.HHC.HDC.ESP报警防侧滑失灵</v>
      </c>
      <c r="C2831" s="2" t="s">
        <v>13</v>
      </c>
      <c r="D2831" s="2" t="s">
        <v>12</v>
      </c>
      <c r="E2831" s="2"/>
      <c r="F2831" s="2" t="str">
        <f>HYPERLINK("http://www.12365auto.com/zlts/20200224/448560.shtml","http://www.12365auto.com/zlts/20200224/448560.shtml")</f>
        <v>http://www.12365auto.com/zlts/20200224/448560.shtml</v>
      </c>
      <c r="G2831" s="2"/>
      <c r="H2831" s="3" t="s">
        <v>4060</v>
      </c>
      <c r="I2831" s="2" t="s">
        <v>15</v>
      </c>
      <c r="J2831" s="2" t="s">
        <v>12</v>
      </c>
      <c r="K2831" s="2" t="s">
        <v>4061</v>
      </c>
      <c r="L2831" s="2">
        <f t="shared" si="44"/>
        <v>127</v>
      </c>
    </row>
    <row r="2832" spans="1:12" ht="25" customHeight="1">
      <c r="A2832" s="2" t="s">
        <v>12</v>
      </c>
      <c r="B2832" s="2" t="str">
        <f>HYPERLINK("http://www.12365auto.com/zlts/20200224/448559.shtml","一汽奔腾B30行驶60迈左右时方向卡滞")</f>
        <v>一汽奔腾B30行驶60迈左右时方向卡滞</v>
      </c>
      <c r="C2832" s="2" t="s">
        <v>13</v>
      </c>
      <c r="D2832" s="2" t="s">
        <v>12</v>
      </c>
      <c r="E2832" s="2" t="s">
        <v>17</v>
      </c>
      <c r="F2832" s="2" t="str">
        <f>HYPERLINK("http://www.12365auto.com/zlts/20200224/448559.shtml","http://www.12365auto.com/zlts/20200224/448559.shtml")</f>
        <v>http://www.12365auto.com/zlts/20200224/448559.shtml</v>
      </c>
      <c r="G2832" s="2"/>
      <c r="H2832" s="2" t="s">
        <v>4062</v>
      </c>
      <c r="I2832" s="2" t="s">
        <v>19</v>
      </c>
      <c r="J2832" s="2" t="s">
        <v>12</v>
      </c>
      <c r="K2832" s="2" t="s">
        <v>4063</v>
      </c>
      <c r="L2832" s="2">
        <f t="shared" si="44"/>
        <v>150</v>
      </c>
    </row>
    <row r="2833" spans="1:12" ht="25" customHeight="1">
      <c r="A2833" s="2" t="s">
        <v>12</v>
      </c>
      <c r="B2833" s="2" t="str">
        <f>HYPERLINK("http://www.12365auto.com/zlts/20200224/448555.shtml","打火”卡吃“一声响")</f>
        <v>打火”卡吃“一声响</v>
      </c>
      <c r="C2833" s="2" t="s">
        <v>13</v>
      </c>
      <c r="D2833" s="2" t="s">
        <v>12</v>
      </c>
      <c r="E2833" s="2"/>
      <c r="F2833" s="2" t="str">
        <f>HYPERLINK("http://www.12365auto.com/zlts/20200224/448555.shtml","http://www.12365auto.com/zlts/20200224/448555.shtml")</f>
        <v>http://www.12365auto.com/zlts/20200224/448555.shtml</v>
      </c>
      <c r="G2833" s="2"/>
      <c r="H2833" s="3" t="s">
        <v>4064</v>
      </c>
      <c r="I2833" s="2" t="s">
        <v>15</v>
      </c>
      <c r="J2833" s="2" t="s">
        <v>12</v>
      </c>
      <c r="K2833" s="2" t="s">
        <v>4065</v>
      </c>
      <c r="L2833" s="2">
        <f t="shared" si="44"/>
        <v>114</v>
      </c>
    </row>
    <row r="2834" spans="1:12" ht="25" customHeight="1">
      <c r="A2834" s="2" t="s">
        <v>12</v>
      </c>
      <c r="B2834" s="2" t="str">
        <f>HYPERLINK("http://www.12365auto.com/zlts/20200224/448554.shtml","变速箱顿挫感强")</f>
        <v>变速箱顿挫感强</v>
      </c>
      <c r="C2834" s="2" t="s">
        <v>13</v>
      </c>
      <c r="D2834" s="2" t="s">
        <v>12</v>
      </c>
      <c r="E2834" s="2"/>
      <c r="F2834" s="2" t="str">
        <f>HYPERLINK("http://www.12365auto.com/zlts/20200224/448554.shtml","http://www.12365auto.com/zlts/20200224/448554.shtml")</f>
        <v>http://www.12365auto.com/zlts/20200224/448554.shtml</v>
      </c>
      <c r="G2834" s="2"/>
      <c r="H2834" s="3" t="s">
        <v>4066</v>
      </c>
      <c r="I2834" s="2" t="s">
        <v>15</v>
      </c>
      <c r="J2834" s="2" t="s">
        <v>12</v>
      </c>
      <c r="K2834" s="2" t="s">
        <v>4067</v>
      </c>
      <c r="L2834" s="2">
        <f t="shared" si="44"/>
        <v>107</v>
      </c>
    </row>
    <row r="2835" spans="1:12" ht="25" customHeight="1">
      <c r="A2835" s="2" t="s">
        <v>12</v>
      </c>
      <c r="B2835" s="2" t="str">
        <f>HYPERLINK("http://www.12365auto.com/zlts/20200224/448558.shtml","广汽菲克Jeep自由侠发动机 变速箱 抖动报警")</f>
        <v>广汽菲克Jeep自由侠发动机 变速箱 抖动报警</v>
      </c>
      <c r="C2835" s="2" t="s">
        <v>13</v>
      </c>
      <c r="D2835" s="2" t="s">
        <v>12</v>
      </c>
      <c r="E2835" s="2" t="s">
        <v>17</v>
      </c>
      <c r="F2835" s="2" t="str">
        <f>HYPERLINK("http://www.12365auto.com/zlts/20200224/448558.shtml","http://www.12365auto.com/zlts/20200224/448558.shtml")</f>
        <v>http://www.12365auto.com/zlts/20200224/448558.shtml</v>
      </c>
      <c r="G2835" s="2"/>
      <c r="H2835" s="2" t="s">
        <v>4068</v>
      </c>
      <c r="I2835" s="2" t="s">
        <v>19</v>
      </c>
      <c r="J2835" s="2" t="s">
        <v>12</v>
      </c>
      <c r="K2835" s="2" t="s">
        <v>4069</v>
      </c>
      <c r="L2835" s="2">
        <f t="shared" si="44"/>
        <v>150</v>
      </c>
    </row>
    <row r="2836" spans="1:12" ht="25" customHeight="1">
      <c r="A2836" s="2" t="s">
        <v>12</v>
      </c>
      <c r="B2836" s="2" t="str">
        <f>HYPERLINK("http://www.12365auto.com/zlts/20200224/448556.shtml","长安标致雪铁龙DS5LS气门室盖漏油未解决")</f>
        <v>长安标致雪铁龙DS5LS气门室盖漏油未解决</v>
      </c>
      <c r="C2836" s="2" t="s">
        <v>13</v>
      </c>
      <c r="D2836" s="2" t="s">
        <v>12</v>
      </c>
      <c r="E2836" s="2" t="s">
        <v>17</v>
      </c>
      <c r="F2836" s="2" t="str">
        <f>HYPERLINK("http://www.12365auto.com/zlts/20200224/448556.shtml","http://www.12365auto.com/zlts/20200224/448556.shtml")</f>
        <v>http://www.12365auto.com/zlts/20200224/448556.shtml</v>
      </c>
      <c r="G2836" s="2"/>
      <c r="H2836" s="2" t="s">
        <v>4070</v>
      </c>
      <c r="I2836" s="2" t="s">
        <v>19</v>
      </c>
      <c r="J2836" s="2" t="s">
        <v>12</v>
      </c>
      <c r="K2836" s="2" t="s">
        <v>4071</v>
      </c>
      <c r="L2836" s="2">
        <f t="shared" si="44"/>
        <v>150</v>
      </c>
    </row>
    <row r="2837" spans="1:12" ht="25" customHeight="1">
      <c r="A2837" s="2" t="s">
        <v>12</v>
      </c>
      <c r="B2837" s="2" t="str">
        <f>HYPERLINK("http://www.12365auto.com/zlts/20200224/448547.shtml","汽油泵有蜂鸣声，原来声音不大，现在越来越大。")</f>
        <v>汽油泵有蜂鸣声，原来声音不大，现在越来越大。</v>
      </c>
      <c r="C2837" s="2" t="s">
        <v>13</v>
      </c>
      <c r="D2837" s="2" t="s">
        <v>12</v>
      </c>
      <c r="E2837" s="2"/>
      <c r="F2837" s="2" t="str">
        <f>HYPERLINK("http://www.12365auto.com/zlts/20200224/448547.shtml","http://www.12365auto.com/zlts/20200224/448547.shtml")</f>
        <v>http://www.12365auto.com/zlts/20200224/448547.shtml</v>
      </c>
      <c r="G2837" s="2"/>
      <c r="H2837" s="3" t="s">
        <v>4072</v>
      </c>
      <c r="I2837" s="2" t="s">
        <v>15</v>
      </c>
      <c r="J2837" s="2" t="s">
        <v>12</v>
      </c>
      <c r="K2837" s="2" t="s">
        <v>4073</v>
      </c>
      <c r="L2837" s="2">
        <f t="shared" si="44"/>
        <v>120</v>
      </c>
    </row>
    <row r="2838" spans="1:12" ht="25" customHeight="1">
      <c r="A2838" s="2" t="s">
        <v>12</v>
      </c>
      <c r="B2838" s="2" t="str">
        <f>HYPERLINK("http://www.12365auto.com/zlts/20200224/448548.shtml","斯柯达车异味巨大，不环保，有所健康")</f>
        <v>斯柯达车异味巨大，不环保，有所健康</v>
      </c>
      <c r="C2838" s="2" t="s">
        <v>13</v>
      </c>
      <c r="D2838" s="2" t="s">
        <v>12</v>
      </c>
      <c r="E2838" s="2"/>
      <c r="F2838" s="2" t="str">
        <f>HYPERLINK("http://www.12365auto.com/zlts/20200224/448548.shtml","http://www.12365auto.com/zlts/20200224/448548.shtml")</f>
        <v>http://www.12365auto.com/zlts/20200224/448548.shtml</v>
      </c>
      <c r="G2838" s="2"/>
      <c r="H2838" s="3" t="s">
        <v>4074</v>
      </c>
      <c r="I2838" s="2" t="s">
        <v>15</v>
      </c>
      <c r="J2838" s="2" t="s">
        <v>12</v>
      </c>
      <c r="K2838" s="2" t="s">
        <v>4075</v>
      </c>
      <c r="L2838" s="2">
        <f t="shared" si="44"/>
        <v>119</v>
      </c>
    </row>
    <row r="2839" spans="1:12" ht="25" customHeight="1">
      <c r="A2839" s="2" t="s">
        <v>12</v>
      </c>
      <c r="B2839" s="2" t="str">
        <f>HYPERLINK("http://www.12365auto.com/zlts/20200224/448553.shtml","奇瑞你对的起支持国产车主吗？")</f>
        <v>奇瑞你对的起支持国产车主吗？</v>
      </c>
      <c r="C2839" s="2" t="s">
        <v>13</v>
      </c>
      <c r="D2839" s="2" t="s">
        <v>12</v>
      </c>
      <c r="E2839" s="2"/>
      <c r="F2839" s="2" t="str">
        <f>HYPERLINK("http://www.12365auto.com/zlts/20200224/448553.shtml","http://www.12365auto.com/zlts/20200224/448553.shtml")</f>
        <v>http://www.12365auto.com/zlts/20200224/448553.shtml</v>
      </c>
      <c r="G2839" s="2"/>
      <c r="H2839" s="3" t="s">
        <v>4076</v>
      </c>
      <c r="I2839" s="2" t="s">
        <v>15</v>
      </c>
      <c r="J2839" s="2" t="s">
        <v>12</v>
      </c>
      <c r="K2839" s="2" t="s">
        <v>4077</v>
      </c>
      <c r="L2839" s="2">
        <f t="shared" si="44"/>
        <v>112</v>
      </c>
    </row>
    <row r="2840" spans="1:12" ht="25" customHeight="1">
      <c r="A2840" s="2" t="s">
        <v>12</v>
      </c>
      <c r="B2840" s="2" t="str">
        <f>HYPERLINK("http://bbs.12365auto.com/postcontent.aspx?tId=195027","荣威i5发动机漏油 这个怎么解决")</f>
        <v>荣威i5发动机漏油 这个怎么解决</v>
      </c>
      <c r="C2840" s="2" t="s">
        <v>13</v>
      </c>
      <c r="D2840" s="2" t="s">
        <v>12</v>
      </c>
      <c r="E2840" s="2" t="s">
        <v>1664</v>
      </c>
      <c r="F2840" s="2" t="str">
        <f>HYPERLINK("http://bbs.12365auto.com/postcontent.aspx?tId=195027","http://bbs.12365auto.com/postcontent.aspx?tId=195027")</f>
        <v>http://bbs.12365auto.com/postcontent.aspx?tId=195027</v>
      </c>
      <c r="G2840" s="2"/>
      <c r="H2840" s="2" t="s">
        <v>4078</v>
      </c>
      <c r="I2840" s="2" t="s">
        <v>15</v>
      </c>
      <c r="J2840" s="2" t="s">
        <v>4055</v>
      </c>
      <c r="K2840" s="2" t="s">
        <v>4079</v>
      </c>
      <c r="L2840" s="2">
        <f t="shared" si="44"/>
        <v>60</v>
      </c>
    </row>
    <row r="2841" spans="1:12" ht="25" customHeight="1">
      <c r="A2841" s="2" t="s">
        <v>12</v>
      </c>
      <c r="B2841" s="2" t="str">
        <f>HYPERLINK("http://bbs.12365auto.com/postcontent.aspx?tID=195027","荣威i5发动机漏油 这个怎么解决")</f>
        <v>荣威i5发动机漏油 这个怎么解决</v>
      </c>
      <c r="C2841" s="2" t="s">
        <v>13</v>
      </c>
      <c r="D2841" s="2" t="s">
        <v>12</v>
      </c>
      <c r="E2841" s="2" t="s">
        <v>1660</v>
      </c>
      <c r="F2841" s="2" t="str">
        <f>HYPERLINK("http://bbs.12365auto.com/postcontent.aspx?tID=195027","http://bbs.12365auto.com/postcontent.aspx?tID=195027")</f>
        <v>http://bbs.12365auto.com/postcontent.aspx?tID=195027</v>
      </c>
      <c r="G2841" s="2"/>
      <c r="H2841" s="2" t="s">
        <v>4080</v>
      </c>
      <c r="I2841" s="2" t="s">
        <v>15</v>
      </c>
      <c r="J2841" s="2" t="s">
        <v>4055</v>
      </c>
      <c r="K2841" s="2" t="s">
        <v>4079</v>
      </c>
      <c r="L2841" s="2">
        <f t="shared" si="44"/>
        <v>76</v>
      </c>
    </row>
    <row r="2842" spans="1:12" ht="25" customHeight="1">
      <c r="A2842" s="2" t="s">
        <v>12</v>
      </c>
      <c r="B2842" s="2" t="str">
        <f>HYPERLINK("http://www.12365auto.com/zlts/20200224/448550.shtml","众泰T600副驾驶座椅晃动一直无配件")</f>
        <v>众泰T600副驾驶座椅晃动一直无配件</v>
      </c>
      <c r="C2842" s="2" t="s">
        <v>13</v>
      </c>
      <c r="D2842" s="2" t="s">
        <v>12</v>
      </c>
      <c r="E2842" s="2" t="s">
        <v>17</v>
      </c>
      <c r="F2842" s="2" t="str">
        <f>HYPERLINK("http://www.12365auto.com/zlts/20200224/448550.shtml","http://www.12365auto.com/zlts/20200224/448550.shtml")</f>
        <v>http://www.12365auto.com/zlts/20200224/448550.shtml</v>
      </c>
      <c r="G2842" s="2"/>
      <c r="H2842" s="2" t="s">
        <v>4081</v>
      </c>
      <c r="I2842" s="2" t="s">
        <v>19</v>
      </c>
      <c r="J2842" s="2" t="s">
        <v>12</v>
      </c>
      <c r="K2842" s="2" t="s">
        <v>4082</v>
      </c>
      <c r="L2842" s="2">
        <f t="shared" si="44"/>
        <v>150</v>
      </c>
    </row>
    <row r="2843" spans="1:12" ht="25" customHeight="1">
      <c r="A2843" s="2" t="s">
        <v>12</v>
      </c>
      <c r="B2843" s="2" t="str">
        <f>HYPERLINK("http://www.12365auto.com/zlts/20200224/448549.shtml","一汽大众奥迪Q5方向锁死存在质量问题")</f>
        <v>一汽大众奥迪Q5方向锁死存在质量问题</v>
      </c>
      <c r="C2843" s="2" t="s">
        <v>13</v>
      </c>
      <c r="D2843" s="2" t="s">
        <v>12</v>
      </c>
      <c r="E2843" s="2" t="s">
        <v>17</v>
      </c>
      <c r="F2843" s="2" t="str">
        <f>HYPERLINK("http://www.12365auto.com/zlts/20200224/448549.shtml","http://www.12365auto.com/zlts/20200224/448549.shtml")</f>
        <v>http://www.12365auto.com/zlts/20200224/448549.shtml</v>
      </c>
      <c r="G2843" s="2"/>
      <c r="H2843" s="2" t="s">
        <v>4083</v>
      </c>
      <c r="I2843" s="2" t="s">
        <v>19</v>
      </c>
      <c r="J2843" s="2" t="s">
        <v>12</v>
      </c>
      <c r="K2843" s="2" t="s">
        <v>4084</v>
      </c>
      <c r="L2843" s="2">
        <f t="shared" si="44"/>
        <v>150</v>
      </c>
    </row>
    <row r="2844" spans="1:12" ht="25" customHeight="1">
      <c r="A2844" s="2" t="s">
        <v>12</v>
      </c>
      <c r="B2844" s="2" t="str">
        <f>HYPERLINK("http://www.12365auto.com/zlts/20200224/448534.shtml","变速箱异响顿挫")</f>
        <v>变速箱异响顿挫</v>
      </c>
      <c r="C2844" s="2" t="s">
        <v>13</v>
      </c>
      <c r="D2844" s="2" t="s">
        <v>12</v>
      </c>
      <c r="E2844" s="2"/>
      <c r="F2844" s="2" t="str">
        <f>HYPERLINK("http://www.12365auto.com/zlts/20200224/448534.shtml","http://www.12365auto.com/zlts/20200224/448534.shtml")</f>
        <v>http://www.12365auto.com/zlts/20200224/448534.shtml</v>
      </c>
      <c r="G2844" s="2"/>
      <c r="H2844" s="3" t="s">
        <v>4085</v>
      </c>
      <c r="I2844" s="2" t="s">
        <v>15</v>
      </c>
      <c r="J2844" s="2" t="s">
        <v>12</v>
      </c>
      <c r="K2844" s="2" t="s">
        <v>4086</v>
      </c>
      <c r="L2844" s="2">
        <f t="shared" si="44"/>
        <v>108</v>
      </c>
    </row>
    <row r="2845" spans="1:12" ht="25" customHeight="1">
      <c r="A2845" s="2" t="s">
        <v>12</v>
      </c>
      <c r="B2845" s="2" t="str">
        <f>HYPERLINK("http://www.12365auto.com/zlts/20200224/448544.shtml","凯翼X5底盘异响中控触摸屏卡顿天窗关不上")</f>
        <v>凯翼X5底盘异响中控触摸屏卡顿天窗关不上</v>
      </c>
      <c r="C2845" s="2" t="s">
        <v>13</v>
      </c>
      <c r="D2845" s="2" t="s">
        <v>12</v>
      </c>
      <c r="E2845" s="2" t="s">
        <v>17</v>
      </c>
      <c r="F2845" s="2" t="str">
        <f>HYPERLINK("http://www.12365auto.com/zlts/20200224/448544.shtml","http://www.12365auto.com/zlts/20200224/448544.shtml")</f>
        <v>http://www.12365auto.com/zlts/20200224/448544.shtml</v>
      </c>
      <c r="G2845" s="2"/>
      <c r="H2845" s="2" t="s">
        <v>4087</v>
      </c>
      <c r="I2845" s="2" t="s">
        <v>19</v>
      </c>
      <c r="J2845" s="2" t="s">
        <v>12</v>
      </c>
      <c r="K2845" s="2" t="s">
        <v>4088</v>
      </c>
      <c r="L2845" s="2">
        <f t="shared" si="44"/>
        <v>150</v>
      </c>
    </row>
    <row r="2846" spans="1:12" ht="25" customHeight="1">
      <c r="A2846" s="2" t="s">
        <v>12</v>
      </c>
      <c r="B2846" s="2" t="str">
        <f>HYPERLINK("http://www.12365auto.com/zlts/20200224/448543.shtml","一汽马自达阿特兹漆面凹凸不平希望厂家处理")</f>
        <v>一汽马自达阿特兹漆面凹凸不平希望厂家处理</v>
      </c>
      <c r="C2846" s="2" t="s">
        <v>13</v>
      </c>
      <c r="D2846" s="2" t="s">
        <v>12</v>
      </c>
      <c r="E2846" s="2" t="s">
        <v>17</v>
      </c>
      <c r="F2846" s="2" t="str">
        <f>HYPERLINK("http://www.12365auto.com/zlts/20200224/448543.shtml","http://www.12365auto.com/zlts/20200224/448543.shtml")</f>
        <v>http://www.12365auto.com/zlts/20200224/448543.shtml</v>
      </c>
      <c r="G2846" s="2"/>
      <c r="H2846" s="2" t="s">
        <v>4089</v>
      </c>
      <c r="I2846" s="2" t="s">
        <v>19</v>
      </c>
      <c r="J2846" s="2" t="s">
        <v>12</v>
      </c>
      <c r="K2846" s="2" t="s">
        <v>4090</v>
      </c>
      <c r="L2846" s="2">
        <f t="shared" si="44"/>
        <v>150</v>
      </c>
    </row>
    <row r="2847" spans="1:12" ht="25" customHeight="1">
      <c r="A2847" s="2" t="s">
        <v>12</v>
      </c>
      <c r="B2847" s="2" t="str">
        <f>HYPERLINK("http://www.12365auto.com/zlts/20200224/448533.shtml","灯组模块设计故障")</f>
        <v>灯组模块设计故障</v>
      </c>
      <c r="C2847" s="2" t="s">
        <v>13</v>
      </c>
      <c r="D2847" s="2" t="s">
        <v>12</v>
      </c>
      <c r="E2847" s="2"/>
      <c r="F2847" s="2" t="str">
        <f>HYPERLINK("http://www.12365auto.com/zlts/20200224/448533.shtml","http://www.12365auto.com/zlts/20200224/448533.shtml")</f>
        <v>http://www.12365auto.com/zlts/20200224/448533.shtml</v>
      </c>
      <c r="G2847" s="2"/>
      <c r="H2847" s="3" t="s">
        <v>4091</v>
      </c>
      <c r="I2847" s="2" t="s">
        <v>15</v>
      </c>
      <c r="J2847" s="2" t="s">
        <v>12</v>
      </c>
      <c r="K2847" s="2" t="s">
        <v>4092</v>
      </c>
      <c r="L2847" s="2">
        <f t="shared" si="44"/>
        <v>114</v>
      </c>
    </row>
    <row r="2848" spans="1:12" ht="25" customHeight="1">
      <c r="A2848" s="2" t="s">
        <v>12</v>
      </c>
      <c r="B2848" s="2" t="str">
        <f>HYPERLINK("http://www.12365auto.com/zlts/20200224/448541.shtml","上汽大众帕萨特转向异响希望厂家处理")</f>
        <v>上汽大众帕萨特转向异响希望厂家处理</v>
      </c>
      <c r="C2848" s="2" t="s">
        <v>13</v>
      </c>
      <c r="D2848" s="2" t="s">
        <v>12</v>
      </c>
      <c r="E2848" s="2" t="s">
        <v>17</v>
      </c>
      <c r="F2848" s="2" t="str">
        <f>HYPERLINK("http://www.12365auto.com/zlts/20200224/448541.shtml","http://www.12365auto.com/zlts/20200224/448541.shtml")</f>
        <v>http://www.12365auto.com/zlts/20200224/448541.shtml</v>
      </c>
      <c r="G2848" s="2"/>
      <c r="H2848" s="2" t="s">
        <v>4093</v>
      </c>
      <c r="I2848" s="2" t="s">
        <v>19</v>
      </c>
      <c r="J2848" s="2" t="s">
        <v>12</v>
      </c>
      <c r="K2848" s="2" t="s">
        <v>4094</v>
      </c>
      <c r="L2848" s="2">
        <f t="shared" si="44"/>
        <v>150</v>
      </c>
    </row>
    <row r="2849" spans="1:12" ht="25" customHeight="1">
      <c r="A2849" s="2" t="s">
        <v>12</v>
      </c>
      <c r="B2849" s="2" t="str">
        <f>HYPERLINK("http://www.12365auto.com/zlts/20200224/448539.shtml","吉利博瑞多个故障灯报警并且温度过高")</f>
        <v>吉利博瑞多个故障灯报警并且温度过高</v>
      </c>
      <c r="C2849" s="2" t="s">
        <v>13</v>
      </c>
      <c r="D2849" s="2" t="s">
        <v>12</v>
      </c>
      <c r="E2849" s="2" t="s">
        <v>17</v>
      </c>
      <c r="F2849" s="2" t="str">
        <f>HYPERLINK("http://www.12365auto.com/zlts/20200224/448539.shtml","http://www.12365auto.com/zlts/20200224/448539.shtml")</f>
        <v>http://www.12365auto.com/zlts/20200224/448539.shtml</v>
      </c>
      <c r="G2849" s="2"/>
      <c r="H2849" s="2" t="s">
        <v>4095</v>
      </c>
      <c r="I2849" s="2" t="s">
        <v>19</v>
      </c>
      <c r="J2849" s="2" t="s">
        <v>12</v>
      </c>
      <c r="K2849" s="2" t="s">
        <v>4096</v>
      </c>
      <c r="L2849" s="2">
        <f t="shared" si="44"/>
        <v>150</v>
      </c>
    </row>
    <row r="2850" spans="1:12" ht="25" customHeight="1">
      <c r="A2850" s="2" t="s">
        <v>12</v>
      </c>
      <c r="B2850" s="2" t="str">
        <f>HYPERLINK("http://www.12365auto.com/zlts/20200224/448536.shtml","猎豹CS10刹车偏软存在严重安全隐患")</f>
        <v>猎豹CS10刹车偏软存在严重安全隐患</v>
      </c>
      <c r="C2850" s="2" t="s">
        <v>13</v>
      </c>
      <c r="D2850" s="2" t="s">
        <v>12</v>
      </c>
      <c r="E2850" s="2" t="s">
        <v>17</v>
      </c>
      <c r="F2850" s="2" t="str">
        <f>HYPERLINK("http://www.12365auto.com/zlts/20200224/448536.shtml","http://www.12365auto.com/zlts/20200224/448536.shtml")</f>
        <v>http://www.12365auto.com/zlts/20200224/448536.shtml</v>
      </c>
      <c r="G2850" s="2"/>
      <c r="H2850" s="2" t="s">
        <v>4097</v>
      </c>
      <c r="I2850" s="2" t="s">
        <v>19</v>
      </c>
      <c r="J2850" s="2" t="s">
        <v>12</v>
      </c>
      <c r="K2850" s="2" t="s">
        <v>4098</v>
      </c>
      <c r="L2850" s="2">
        <f t="shared" si="44"/>
        <v>150</v>
      </c>
    </row>
    <row r="2851" spans="1:12" ht="25" customHeight="1">
      <c r="A2851" s="2" t="s">
        <v>12</v>
      </c>
      <c r="B2851" s="2" t="str">
        <f>HYPERLINK("http://www.12365auto.com/zlts/20200224/448530.shtml","车辆检修一周无进展，服务不积极，导致问题扩大")</f>
        <v>车辆检修一周无进展，服务不积极，导致问题扩大</v>
      </c>
      <c r="C2851" s="2" t="s">
        <v>13</v>
      </c>
      <c r="D2851" s="2" t="s">
        <v>12</v>
      </c>
      <c r="E2851" s="2"/>
      <c r="F2851" s="4" t="str">
        <f>HYPERLINK("http://www.12365auto.com/zlts/20200224/448530.shtml","http://www.12365auto.com/zlts/20200224/448530.shtml")</f>
        <v>http://www.12365auto.com/zlts/20200224/448530.shtml</v>
      </c>
      <c r="G2851" s="2"/>
      <c r="H2851" s="3" t="s">
        <v>4099</v>
      </c>
      <c r="I2851" s="2" t="s">
        <v>15</v>
      </c>
      <c r="J2851" s="2" t="s">
        <v>12</v>
      </c>
      <c r="K2851" s="2" t="s">
        <v>4100</v>
      </c>
      <c r="L2851" s="2">
        <f t="shared" si="44"/>
        <v>149</v>
      </c>
    </row>
    <row r="2852" spans="1:12" ht="25" customHeight="1">
      <c r="A2852" s="2" t="s">
        <v>12</v>
      </c>
      <c r="B2852" s="2" t="str">
        <f>HYPERLINK("http://www.12365auto.com/zlts/20200224/448532.shtml","变速箱异响，换挡咯噔咯噔响，堵车变速箱严重顿挫")</f>
        <v>变速箱异响，换挡咯噔咯噔响，堵车变速箱严重顿挫</v>
      </c>
      <c r="C2852" s="2" t="s">
        <v>13</v>
      </c>
      <c r="D2852" s="2" t="s">
        <v>12</v>
      </c>
      <c r="E2852" s="2"/>
      <c r="F2852" s="2" t="str">
        <f>HYPERLINK("http://www.12365auto.com/zlts/20200224/448532.shtml","http://www.12365auto.com/zlts/20200224/448532.shtml")</f>
        <v>http://www.12365auto.com/zlts/20200224/448532.shtml</v>
      </c>
      <c r="G2852" s="2"/>
      <c r="H2852" s="3" t="s">
        <v>4101</v>
      </c>
      <c r="I2852" s="2" t="s">
        <v>15</v>
      </c>
      <c r="J2852" s="2" t="s">
        <v>12</v>
      </c>
      <c r="K2852" s="2" t="s">
        <v>4102</v>
      </c>
      <c r="L2852" s="2">
        <f t="shared" si="44"/>
        <v>126</v>
      </c>
    </row>
    <row r="2853" spans="1:12" ht="25" customHeight="1">
      <c r="A2853" s="2" t="s">
        <v>12</v>
      </c>
      <c r="B2853" s="2" t="str">
        <f>HYPERLINK("http://www.12365auto.com/zlts/20200224/448531.shtml","众泰E200充电机故障厂家无配件提供")</f>
        <v>众泰E200充电机故障厂家无配件提供</v>
      </c>
      <c r="C2853" s="2" t="s">
        <v>13</v>
      </c>
      <c r="D2853" s="2" t="s">
        <v>12</v>
      </c>
      <c r="E2853" s="2" t="s">
        <v>17</v>
      </c>
      <c r="F2853" s="2" t="str">
        <f>HYPERLINK("http://www.12365auto.com/zlts/20200224/448531.shtml","http://www.12365auto.com/zlts/20200224/448531.shtml")</f>
        <v>http://www.12365auto.com/zlts/20200224/448531.shtml</v>
      </c>
      <c r="G2853" s="2"/>
      <c r="H2853" s="2" t="s">
        <v>4103</v>
      </c>
      <c r="I2853" s="2" t="s">
        <v>19</v>
      </c>
      <c r="J2853" s="2" t="s">
        <v>12</v>
      </c>
      <c r="K2853" s="2" t="s">
        <v>4104</v>
      </c>
      <c r="L2853" s="2">
        <f t="shared" si="44"/>
        <v>150</v>
      </c>
    </row>
    <row r="2854" spans="1:12" ht="25" customHeight="1">
      <c r="A2854" s="2" t="s">
        <v>12</v>
      </c>
      <c r="B2854" s="2" t="str">
        <f>HYPERLINK("http://www.12365auto.com/zlts/20200224/448529.shtml","广汽本田凌派通过售后保养存在乱收费行为")</f>
        <v>广汽本田凌派通过售后保养存在乱收费行为</v>
      </c>
      <c r="C2854" s="2" t="s">
        <v>13</v>
      </c>
      <c r="D2854" s="2" t="s">
        <v>12</v>
      </c>
      <c r="E2854" s="2" t="s">
        <v>17</v>
      </c>
      <c r="F2854" s="2" t="str">
        <f>HYPERLINK("http://www.12365auto.com/zlts/20200224/448529.shtml","http://www.12365auto.com/zlts/20200224/448529.shtml")</f>
        <v>http://www.12365auto.com/zlts/20200224/448529.shtml</v>
      </c>
      <c r="G2854" s="2"/>
      <c r="H2854" s="2" t="s">
        <v>4105</v>
      </c>
      <c r="I2854" s="2" t="s">
        <v>19</v>
      </c>
      <c r="J2854" s="2" t="s">
        <v>12</v>
      </c>
      <c r="K2854" s="2" t="s">
        <v>4106</v>
      </c>
      <c r="L2854" s="2">
        <f t="shared" si="44"/>
        <v>150</v>
      </c>
    </row>
    <row r="2855" spans="1:12" ht="25" customHeight="1">
      <c r="A2855" s="2" t="s">
        <v>12</v>
      </c>
      <c r="B2855" s="2" t="str">
        <f>HYPERLINK("http://m.12365auto.com/zjdy/20200224/121587.shtml","行驶时方向盘沉重是什么原因导致的？")</f>
        <v>行驶时方向盘沉重是什么原因导致的？</v>
      </c>
      <c r="C2855" s="2" t="s">
        <v>13</v>
      </c>
      <c r="D2855" s="2" t="s">
        <v>12</v>
      </c>
      <c r="E2855" s="2"/>
      <c r="F2855" s="2" t="str">
        <f>HYPERLINK("http://m.12365auto.com/zjdy/20200224/121587.shtml","http://m.12365auto.com/zjdy/20200224/121587.shtml")</f>
        <v>http://m.12365auto.com/zjdy/20200224/121587.shtml</v>
      </c>
      <c r="G2855" s="2"/>
      <c r="H2855" s="2" t="s">
        <v>4107</v>
      </c>
      <c r="I2855" s="2" t="s">
        <v>19</v>
      </c>
      <c r="J2855" s="2" t="s">
        <v>12</v>
      </c>
      <c r="K2855" s="2" t="s">
        <v>4108</v>
      </c>
      <c r="L2855" s="2">
        <f t="shared" si="44"/>
        <v>17</v>
      </c>
    </row>
    <row r="2856" spans="1:12" ht="25" customHeight="1">
      <c r="A2856" s="2" t="s">
        <v>12</v>
      </c>
      <c r="B2856" s="2" t="str">
        <f>HYPERLINK("http://www.12365auto.com/zlts/20200224/448521.shtml","江淮嘉悦A5轮胎鼓包")</f>
        <v>江淮嘉悦A5轮胎鼓包</v>
      </c>
      <c r="C2856" s="2" t="s">
        <v>13</v>
      </c>
      <c r="D2856" s="2" t="s">
        <v>12</v>
      </c>
      <c r="E2856" s="2"/>
      <c r="F2856" s="2" t="str">
        <f>HYPERLINK("http://www.12365auto.com/zlts/20200224/448521.shtml","http://www.12365auto.com/zlts/20200224/448521.shtml")</f>
        <v>http://www.12365auto.com/zlts/20200224/448521.shtml</v>
      </c>
      <c r="G2856" s="2"/>
      <c r="H2856" s="3" t="s">
        <v>4109</v>
      </c>
      <c r="I2856" s="2" t="s">
        <v>15</v>
      </c>
      <c r="J2856" s="2" t="s">
        <v>12</v>
      </c>
      <c r="K2856" s="2" t="s">
        <v>4110</v>
      </c>
      <c r="L2856" s="2">
        <f t="shared" si="44"/>
        <v>108</v>
      </c>
    </row>
    <row r="2857" spans="1:12" ht="25" customHeight="1">
      <c r="A2857" s="2" t="s">
        <v>12</v>
      </c>
      <c r="B2857" s="2" t="str">
        <f>HYPERLINK("http://m.12365auto.com/zjdy/20200224/121586.shtml","发动机故障灯亮无法启动是什么原因？")</f>
        <v>发动机故障灯亮无法启动是什么原因？</v>
      </c>
      <c r="C2857" s="2" t="s">
        <v>13</v>
      </c>
      <c r="D2857" s="2" t="s">
        <v>12</v>
      </c>
      <c r="E2857" s="2"/>
      <c r="F2857" s="2" t="str">
        <f>HYPERLINK("http://m.12365auto.com/zjdy/20200224/121586.shtml","http://m.12365auto.com/zjdy/20200224/121586.shtml")</f>
        <v>http://m.12365auto.com/zjdy/20200224/121586.shtml</v>
      </c>
      <c r="G2857" s="2"/>
      <c r="H2857" s="2" t="s">
        <v>4111</v>
      </c>
      <c r="I2857" s="2" t="s">
        <v>19</v>
      </c>
      <c r="J2857" s="2" t="s">
        <v>12</v>
      </c>
      <c r="K2857" s="2" t="s">
        <v>4112</v>
      </c>
      <c r="L2857" s="2">
        <f t="shared" si="44"/>
        <v>26</v>
      </c>
    </row>
    <row r="2858" spans="1:12" ht="25" customHeight="1">
      <c r="A2858" s="2" t="s">
        <v>12</v>
      </c>
      <c r="B2858" s="2" t="str">
        <f>HYPERLINK("http://www.12365auto.com/zlts/20200224/448526.shtml","东风日产劲客优科豪马轮胎鼓包起皮")</f>
        <v>东风日产劲客优科豪马轮胎鼓包起皮</v>
      </c>
      <c r="C2858" s="2" t="s">
        <v>13</v>
      </c>
      <c r="D2858" s="2" t="s">
        <v>12</v>
      </c>
      <c r="E2858" s="2" t="s">
        <v>17</v>
      </c>
      <c r="F2858" s="2" t="str">
        <f>HYPERLINK("http://www.12365auto.com/zlts/20200224/448526.shtml","http://www.12365auto.com/zlts/20200224/448526.shtml")</f>
        <v>http://www.12365auto.com/zlts/20200224/448526.shtml</v>
      </c>
      <c r="G2858" s="2"/>
      <c r="H2858" s="2" t="s">
        <v>4113</v>
      </c>
      <c r="I2858" s="2" t="s">
        <v>19</v>
      </c>
      <c r="J2858" s="2" t="s">
        <v>12</v>
      </c>
      <c r="K2858" s="2" t="s">
        <v>4114</v>
      </c>
      <c r="L2858" s="2">
        <f t="shared" si="44"/>
        <v>150</v>
      </c>
    </row>
    <row r="2859" spans="1:12" ht="25" customHeight="1">
      <c r="A2859" s="2" t="s">
        <v>12</v>
      </c>
      <c r="B2859" s="2" t="str">
        <f>HYPERLINK("http://bbs.12365auto.com/postcontent.aspx?tId=195026","客观来说 C-NCAP比中保研牛多了")</f>
        <v>客观来说 C-NCAP比中保研牛多了</v>
      </c>
      <c r="C2859" s="2" t="s">
        <v>13</v>
      </c>
      <c r="D2859" s="2" t="s">
        <v>12</v>
      </c>
      <c r="E2859" s="2" t="s">
        <v>27</v>
      </c>
      <c r="F2859" s="2" t="str">
        <f>HYPERLINK("http://bbs.12365auto.com/postcontent.aspx?tId=195026","http://bbs.12365auto.com/postcontent.aspx?tId=195026")</f>
        <v>http://bbs.12365auto.com/postcontent.aspx?tId=195026</v>
      </c>
      <c r="G2859" s="2"/>
      <c r="H2859" s="2" t="s">
        <v>4115</v>
      </c>
      <c r="I2859" s="2" t="s">
        <v>15</v>
      </c>
      <c r="J2859" s="2" t="s">
        <v>2311</v>
      </c>
      <c r="K2859" s="2" t="s">
        <v>4116</v>
      </c>
      <c r="L2859" s="2">
        <f t="shared" si="44"/>
        <v>150</v>
      </c>
    </row>
    <row r="2860" spans="1:12" ht="25" customHeight="1">
      <c r="A2860" s="2" t="s">
        <v>12</v>
      </c>
      <c r="B2860" s="2" t="str">
        <f>HYPERLINK("http://bbs.12365auto.com/postcontent.aspx?tID=195026","客观来说 C-NCAP比中保研牛多了")</f>
        <v>客观来说 C-NCAP比中保研牛多了</v>
      </c>
      <c r="C2860" s="2" t="s">
        <v>13</v>
      </c>
      <c r="D2860" s="2" t="s">
        <v>12</v>
      </c>
      <c r="E2860" s="2" t="s">
        <v>28</v>
      </c>
      <c r="F2860" s="2" t="str">
        <f>HYPERLINK("http://bbs.12365auto.com/postcontent.aspx?tID=195026","http://bbs.12365auto.com/postcontent.aspx?tID=195026")</f>
        <v>http://bbs.12365auto.com/postcontent.aspx?tID=195026</v>
      </c>
      <c r="G2860" s="2"/>
      <c r="H2860" s="2" t="s">
        <v>4117</v>
      </c>
      <c r="I2860" s="2" t="s">
        <v>15</v>
      </c>
      <c r="J2860" s="2" t="s">
        <v>2311</v>
      </c>
      <c r="K2860" s="2" t="s">
        <v>4116</v>
      </c>
      <c r="L2860" s="2">
        <f t="shared" si="44"/>
        <v>150</v>
      </c>
    </row>
    <row r="2861" spans="1:12" ht="25" customHeight="1">
      <c r="A2861" s="2" t="s">
        <v>12</v>
      </c>
      <c r="B2861" s="2" t="str">
        <f>HYPERLINK("http://m.12365auto.com/bbs/postcontent.aspx?tID=195026","客观来说 C-NCAP比中保研牛多了")</f>
        <v>客观来说 C-NCAP比中保研牛多了</v>
      </c>
      <c r="C2861" s="2" t="s">
        <v>13</v>
      </c>
      <c r="D2861" s="2" t="s">
        <v>23</v>
      </c>
      <c r="E2861" s="2"/>
      <c r="F2861" s="2" t="str">
        <f>HYPERLINK("http://m.12365auto.com/bbs/postcontent.aspx?tID=195026","http://m.12365auto.com/bbs/postcontent.aspx?tID=195026")</f>
        <v>http://m.12365auto.com/bbs/postcontent.aspx?tID=195026</v>
      </c>
      <c r="G2861" s="2"/>
      <c r="H2861" s="2" t="s">
        <v>4115</v>
      </c>
      <c r="I2861" s="2" t="s">
        <v>15</v>
      </c>
      <c r="J2861" s="2" t="s">
        <v>2311</v>
      </c>
      <c r="K2861" s="2" t="s">
        <v>4116</v>
      </c>
      <c r="L2861" s="2">
        <f t="shared" si="44"/>
        <v>150</v>
      </c>
    </row>
    <row r="2862" spans="1:12" ht="25" customHeight="1">
      <c r="A2862" s="2" t="s">
        <v>12</v>
      </c>
      <c r="B2862" s="2" t="str">
        <f>HYPERLINK("http://bbs.12365auto.com/postcontent.aspx?tID=195023","名爵HS停放两三天蓄电池就没电了")</f>
        <v>名爵HS停放两三天蓄电池就没电了</v>
      </c>
      <c r="C2862" s="2" t="s">
        <v>13</v>
      </c>
      <c r="D2862" s="2" t="s">
        <v>12</v>
      </c>
      <c r="E2862" s="2" t="s">
        <v>67</v>
      </c>
      <c r="F2862" s="2" t="str">
        <f>HYPERLINK("http://bbs.12365auto.com/postcontent.aspx?tID=195023","http://bbs.12365auto.com/postcontent.aspx?tID=195023")</f>
        <v>http://bbs.12365auto.com/postcontent.aspx?tID=195023</v>
      </c>
      <c r="G2862" s="2"/>
      <c r="H2862" s="2" t="s">
        <v>4118</v>
      </c>
      <c r="I2862" s="2" t="s">
        <v>15</v>
      </c>
      <c r="J2862" s="2" t="s">
        <v>4119</v>
      </c>
      <c r="K2862" s="2" t="s">
        <v>4120</v>
      </c>
      <c r="L2862" s="2">
        <f t="shared" si="44"/>
        <v>105</v>
      </c>
    </row>
    <row r="2863" spans="1:12" ht="25" customHeight="1">
      <c r="A2863" s="2" t="s">
        <v>12</v>
      </c>
      <c r="B2863" s="2" t="str">
        <f>HYPERLINK("http://bbs.12365auto.com/postcontent.aspx?tId=195023","名爵HS停放两三天蓄电池就没电了")</f>
        <v>名爵HS停放两三天蓄电池就没电了</v>
      </c>
      <c r="C2863" s="2" t="s">
        <v>13</v>
      </c>
      <c r="D2863" s="2" t="s">
        <v>12</v>
      </c>
      <c r="E2863" s="2" t="s">
        <v>66</v>
      </c>
      <c r="F2863" s="2" t="str">
        <f>HYPERLINK("http://bbs.12365auto.com/postcontent.aspx?tId=195023","http://bbs.12365auto.com/postcontent.aspx?tId=195023")</f>
        <v>http://bbs.12365auto.com/postcontent.aspx?tId=195023</v>
      </c>
      <c r="G2863" s="2"/>
      <c r="H2863" s="2" t="s">
        <v>4121</v>
      </c>
      <c r="I2863" s="2" t="s">
        <v>15</v>
      </c>
      <c r="J2863" s="2" t="s">
        <v>4119</v>
      </c>
      <c r="K2863" s="2" t="s">
        <v>4120</v>
      </c>
      <c r="L2863" s="2">
        <f t="shared" si="44"/>
        <v>89</v>
      </c>
    </row>
    <row r="2864" spans="1:12" ht="25" customHeight="1">
      <c r="A2864" s="2" t="s">
        <v>12</v>
      </c>
      <c r="B2864" s="2" t="str">
        <f>HYPERLINK("http://m.12365auto.com/bbs/postcontent.aspx?tID=195023","名爵HS停放两三天蓄电池就没电了")</f>
        <v>名爵HS停放两三天蓄电池就没电了</v>
      </c>
      <c r="C2864" s="2" t="s">
        <v>13</v>
      </c>
      <c r="D2864" s="2" t="s">
        <v>23</v>
      </c>
      <c r="E2864" s="2"/>
      <c r="F2864" s="2" t="str">
        <f>HYPERLINK("http://m.12365auto.com/bbs/postcontent.aspx?tID=195023","http://m.12365auto.com/bbs/postcontent.aspx?tID=195023")</f>
        <v>http://m.12365auto.com/bbs/postcontent.aspx?tID=195023</v>
      </c>
      <c r="G2864" s="2"/>
      <c r="H2864" s="2" t="s">
        <v>4121</v>
      </c>
      <c r="I2864" s="2" t="s">
        <v>15</v>
      </c>
      <c r="J2864" s="2" t="s">
        <v>4119</v>
      </c>
      <c r="K2864" s="2" t="s">
        <v>4120</v>
      </c>
      <c r="L2864" s="2">
        <f t="shared" si="44"/>
        <v>89</v>
      </c>
    </row>
    <row r="2865" spans="1:12" ht="25" customHeight="1">
      <c r="A2865" s="2" t="s">
        <v>12</v>
      </c>
      <c r="B2865" s="2" t="str">
        <f>HYPERLINK("http://bbs.12365auto.com/postcontent.aspx?tID=195022","凯美瑞车顶漆面有爆漆的严重问题")</f>
        <v>凯美瑞车顶漆面有爆漆的严重问题</v>
      </c>
      <c r="C2865" s="2" t="s">
        <v>13</v>
      </c>
      <c r="D2865" s="2" t="s">
        <v>12</v>
      </c>
      <c r="E2865" s="2" t="s">
        <v>67</v>
      </c>
      <c r="F2865" s="2" t="str">
        <f>HYPERLINK("http://bbs.12365auto.com/postcontent.aspx?tID=195022","http://bbs.12365auto.com/postcontent.aspx?tID=195022")</f>
        <v>http://bbs.12365auto.com/postcontent.aspx?tID=195022</v>
      </c>
      <c r="G2865" s="2"/>
      <c r="H2865" s="2" t="s">
        <v>4122</v>
      </c>
      <c r="I2865" s="2" t="s">
        <v>15</v>
      </c>
      <c r="J2865" s="2" t="s">
        <v>4123</v>
      </c>
      <c r="K2865" s="2" t="s">
        <v>4124</v>
      </c>
      <c r="L2865" s="2">
        <f t="shared" si="44"/>
        <v>52</v>
      </c>
    </row>
    <row r="2866" spans="1:12" ht="25" customHeight="1">
      <c r="A2866" s="2" t="s">
        <v>12</v>
      </c>
      <c r="B2866" s="2" t="str">
        <f>HYPERLINK("http://bbs.12365auto.com/postcontent.aspx?tId=195021","瑞虎8车灯照射盲区大有安全隐患")</f>
        <v>瑞虎8车灯照射盲区大有安全隐患</v>
      </c>
      <c r="C2866" s="2" t="s">
        <v>13</v>
      </c>
      <c r="D2866" s="2" t="s">
        <v>12</v>
      </c>
      <c r="E2866" s="2" t="s">
        <v>66</v>
      </c>
      <c r="F2866" s="2" t="str">
        <f>HYPERLINK("http://bbs.12365auto.com/postcontent.aspx?tId=195021","http://bbs.12365auto.com/postcontent.aspx?tId=195021")</f>
        <v>http://bbs.12365auto.com/postcontent.aspx?tId=195021</v>
      </c>
      <c r="G2866" s="2"/>
      <c r="H2866" s="2" t="s">
        <v>4125</v>
      </c>
      <c r="I2866" s="2" t="s">
        <v>15</v>
      </c>
      <c r="J2866" s="2" t="s">
        <v>4126</v>
      </c>
      <c r="K2866" s="2" t="s">
        <v>4124</v>
      </c>
      <c r="L2866" s="2">
        <f t="shared" si="44"/>
        <v>65</v>
      </c>
    </row>
    <row r="2867" spans="1:12" ht="25" customHeight="1">
      <c r="A2867" s="2" t="s">
        <v>12</v>
      </c>
      <c r="B2867" s="2" t="str">
        <f>HYPERLINK("http://bbs.12365auto.com/postcontent.aspx?tId=195022","凯美瑞车顶漆面有爆漆的严重问题")</f>
        <v>凯美瑞车顶漆面有爆漆的严重问题</v>
      </c>
      <c r="C2867" s="2" t="s">
        <v>13</v>
      </c>
      <c r="D2867" s="2" t="s">
        <v>12</v>
      </c>
      <c r="E2867" s="2" t="s">
        <v>66</v>
      </c>
      <c r="F2867" s="2" t="str">
        <f>HYPERLINK("http://bbs.12365auto.com/postcontent.aspx?tId=195022","http://bbs.12365auto.com/postcontent.aspx?tId=195022")</f>
        <v>http://bbs.12365auto.com/postcontent.aspx?tId=195022</v>
      </c>
      <c r="G2867" s="2"/>
      <c r="H2867" s="2" t="s">
        <v>4127</v>
      </c>
      <c r="I2867" s="2" t="s">
        <v>15</v>
      </c>
      <c r="J2867" s="2" t="s">
        <v>4123</v>
      </c>
      <c r="K2867" s="2" t="s">
        <v>4124</v>
      </c>
      <c r="L2867" s="2">
        <f t="shared" si="44"/>
        <v>37</v>
      </c>
    </row>
    <row r="2868" spans="1:12" ht="25" customHeight="1">
      <c r="A2868" s="2" t="s">
        <v>12</v>
      </c>
      <c r="B2868" s="2" t="str">
        <f>HYPERLINK("http://bbs.12365auto.com/postcontent.aspx?tID=195021","瑞虎8车灯照射盲区大有安全隐患")</f>
        <v>瑞虎8车灯照射盲区大有安全隐患</v>
      </c>
      <c r="C2868" s="2" t="s">
        <v>13</v>
      </c>
      <c r="D2868" s="2" t="s">
        <v>12</v>
      </c>
      <c r="E2868" s="2" t="s">
        <v>67</v>
      </c>
      <c r="F2868" s="2" t="str">
        <f>HYPERLINK("http://bbs.12365auto.com/postcontent.aspx?tID=195021","http://bbs.12365auto.com/postcontent.aspx?tID=195021")</f>
        <v>http://bbs.12365auto.com/postcontent.aspx?tID=195021</v>
      </c>
      <c r="G2868" s="2"/>
      <c r="H2868" s="2" t="s">
        <v>4128</v>
      </c>
      <c r="I2868" s="2" t="s">
        <v>15</v>
      </c>
      <c r="J2868" s="2" t="s">
        <v>4126</v>
      </c>
      <c r="K2868" s="2" t="s">
        <v>4124</v>
      </c>
      <c r="L2868" s="2">
        <f t="shared" si="44"/>
        <v>80</v>
      </c>
    </row>
    <row r="2869" spans="1:12" ht="25" customHeight="1">
      <c r="A2869" s="2" t="s">
        <v>12</v>
      </c>
      <c r="B2869" s="2" t="str">
        <f>HYPERLINK("http://m.12365auto.com/bbs/postcontent.aspx?tID=195022","凯美瑞车顶漆面有爆漆的严重问题")</f>
        <v>凯美瑞车顶漆面有爆漆的严重问题</v>
      </c>
      <c r="C2869" s="2" t="s">
        <v>13</v>
      </c>
      <c r="D2869" s="2" t="s">
        <v>23</v>
      </c>
      <c r="E2869" s="2"/>
      <c r="F2869" s="2" t="str">
        <f>HYPERLINK("http://m.12365auto.com/bbs/postcontent.aspx?tID=195022","http://m.12365auto.com/bbs/postcontent.aspx?tID=195022")</f>
        <v>http://m.12365auto.com/bbs/postcontent.aspx?tID=195022</v>
      </c>
      <c r="G2869" s="2"/>
      <c r="H2869" s="2" t="s">
        <v>4127</v>
      </c>
      <c r="I2869" s="2" t="s">
        <v>15</v>
      </c>
      <c r="J2869" s="2" t="s">
        <v>4123</v>
      </c>
      <c r="K2869" s="2" t="s">
        <v>4124</v>
      </c>
      <c r="L2869" s="2">
        <f t="shared" si="44"/>
        <v>37</v>
      </c>
    </row>
    <row r="2870" spans="1:12" ht="25" customHeight="1">
      <c r="A2870" s="2" t="s">
        <v>12</v>
      </c>
      <c r="B2870" s="2" t="str">
        <f>HYPERLINK("http://m.12365auto.com/bbs/postcontent.aspx?tID=195021","瑞虎8车灯照射盲区大有安全隐患")</f>
        <v>瑞虎8车灯照射盲区大有安全隐患</v>
      </c>
      <c r="C2870" s="2" t="s">
        <v>13</v>
      </c>
      <c r="D2870" s="2" t="s">
        <v>23</v>
      </c>
      <c r="E2870" s="2"/>
      <c r="F2870" s="2" t="str">
        <f>HYPERLINK("http://m.12365auto.com/bbs/postcontent.aspx?tID=195021","http://m.12365auto.com/bbs/postcontent.aspx?tID=195021")</f>
        <v>http://m.12365auto.com/bbs/postcontent.aspx?tID=195021</v>
      </c>
      <c r="G2870" s="2"/>
      <c r="H2870" s="2" t="s">
        <v>4125</v>
      </c>
      <c r="I2870" s="2" t="s">
        <v>15</v>
      </c>
      <c r="J2870" s="2" t="s">
        <v>4126</v>
      </c>
      <c r="K2870" s="2" t="s">
        <v>4124</v>
      </c>
      <c r="L2870" s="2">
        <f t="shared" si="44"/>
        <v>65</v>
      </c>
    </row>
    <row r="2871" spans="1:12" ht="25" customHeight="1">
      <c r="A2871" s="2" t="s">
        <v>12</v>
      </c>
      <c r="B2871" s="2" t="str">
        <f>HYPERLINK("http://www.12365auto.com/zlts/20200224/448522.shtml","北京现代悦动车身以及底盘多处生锈")</f>
        <v>北京现代悦动车身以及底盘多处生锈</v>
      </c>
      <c r="C2871" s="2" t="s">
        <v>13</v>
      </c>
      <c r="D2871" s="2" t="s">
        <v>12</v>
      </c>
      <c r="E2871" s="2" t="s">
        <v>17</v>
      </c>
      <c r="F2871" s="2" t="str">
        <f>HYPERLINK("http://www.12365auto.com/zlts/20200224/448522.shtml","http://www.12365auto.com/zlts/20200224/448522.shtml")</f>
        <v>http://www.12365auto.com/zlts/20200224/448522.shtml</v>
      </c>
      <c r="G2871" s="2"/>
      <c r="H2871" s="2" t="s">
        <v>4129</v>
      </c>
      <c r="I2871" s="2" t="s">
        <v>15</v>
      </c>
      <c r="J2871" s="2" t="s">
        <v>12</v>
      </c>
      <c r="K2871" s="2" t="s">
        <v>4130</v>
      </c>
      <c r="L2871" s="2">
        <f t="shared" si="44"/>
        <v>150</v>
      </c>
    </row>
    <row r="2872" spans="1:12" ht="25" customHeight="1">
      <c r="A2872" s="2" t="s">
        <v>12</v>
      </c>
      <c r="B2872" s="2" t="str">
        <f>HYPERLINK("http://bbs.12365auto.com/postcontent.aspx?tId=195020","传祺GS5刹车有异响质量不行呀")</f>
        <v>传祺GS5刹车有异响质量不行呀</v>
      </c>
      <c r="C2872" s="2" t="s">
        <v>13</v>
      </c>
      <c r="D2872" s="2" t="s">
        <v>12</v>
      </c>
      <c r="E2872" s="2" t="s">
        <v>66</v>
      </c>
      <c r="F2872" s="2" t="str">
        <f>HYPERLINK("http://bbs.12365auto.com/postcontent.aspx?tId=195020","http://bbs.12365auto.com/postcontent.aspx?tId=195020")</f>
        <v>http://bbs.12365auto.com/postcontent.aspx?tId=195020</v>
      </c>
      <c r="G2872" s="2"/>
      <c r="H2872" s="2" t="s">
        <v>4131</v>
      </c>
      <c r="I2872" s="2" t="s">
        <v>15</v>
      </c>
      <c r="J2872" s="2" t="s">
        <v>4132</v>
      </c>
      <c r="K2872" s="2" t="s">
        <v>4130</v>
      </c>
      <c r="L2872" s="2">
        <f t="shared" si="44"/>
        <v>105</v>
      </c>
    </row>
    <row r="2873" spans="1:12" ht="25" customHeight="1">
      <c r="A2873" s="2" t="s">
        <v>12</v>
      </c>
      <c r="B2873" s="2" t="str">
        <f>HYPERLINK("http://bbs.12365auto.com/postcontent.aspx?tId=195019","三菱劲炫ASX底盘有严重的异响")</f>
        <v>三菱劲炫ASX底盘有严重的异响</v>
      </c>
      <c r="C2873" s="2" t="s">
        <v>13</v>
      </c>
      <c r="D2873" s="2" t="s">
        <v>12</v>
      </c>
      <c r="E2873" s="2" t="s">
        <v>66</v>
      </c>
      <c r="F2873" s="2" t="str">
        <f>HYPERLINK("http://bbs.12365auto.com/postcontent.aspx?tId=195019","http://bbs.12365auto.com/postcontent.aspx?tId=195019")</f>
        <v>http://bbs.12365auto.com/postcontent.aspx?tId=195019</v>
      </c>
      <c r="G2873" s="2"/>
      <c r="H2873" s="2" t="s">
        <v>4133</v>
      </c>
      <c r="I2873" s="2" t="s">
        <v>15</v>
      </c>
      <c r="J2873" s="2" t="s">
        <v>4134</v>
      </c>
      <c r="K2873" s="2" t="s">
        <v>4130</v>
      </c>
      <c r="L2873" s="2">
        <f t="shared" si="44"/>
        <v>95</v>
      </c>
    </row>
    <row r="2874" spans="1:12" ht="25" customHeight="1">
      <c r="A2874" s="2" t="s">
        <v>12</v>
      </c>
      <c r="B2874" s="2" t="str">
        <f>HYPERLINK("http://bbs.12365auto.com/postcontent.aspx?tID=195019","三菱劲炫ASX底盘有严重的异响")</f>
        <v>三菱劲炫ASX底盘有严重的异响</v>
      </c>
      <c r="C2874" s="2" t="s">
        <v>13</v>
      </c>
      <c r="D2874" s="2" t="s">
        <v>12</v>
      </c>
      <c r="E2874" s="2" t="s">
        <v>67</v>
      </c>
      <c r="F2874" s="2" t="str">
        <f>HYPERLINK("http://bbs.12365auto.com/postcontent.aspx?tID=195019","http://bbs.12365auto.com/postcontent.aspx?tID=195019")</f>
        <v>http://bbs.12365auto.com/postcontent.aspx?tID=195019</v>
      </c>
      <c r="G2874" s="2"/>
      <c r="H2874" s="2" t="s">
        <v>4135</v>
      </c>
      <c r="I2874" s="2" t="s">
        <v>15</v>
      </c>
      <c r="J2874" s="2" t="s">
        <v>4134</v>
      </c>
      <c r="K2874" s="2" t="s">
        <v>4130</v>
      </c>
      <c r="L2874" s="2">
        <f t="shared" si="44"/>
        <v>110</v>
      </c>
    </row>
    <row r="2875" spans="1:12" ht="25" customHeight="1">
      <c r="A2875" s="2" t="s">
        <v>12</v>
      </c>
      <c r="B2875" s="2" t="str">
        <f>HYPERLINK("http://bbs.12365auto.com/postcontent.aspx?tID=195020","传祺GS5刹车有异响质量不行呀")</f>
        <v>传祺GS5刹车有异响质量不行呀</v>
      </c>
      <c r="C2875" s="2" t="s">
        <v>13</v>
      </c>
      <c r="D2875" s="2" t="s">
        <v>12</v>
      </c>
      <c r="E2875" s="2" t="s">
        <v>67</v>
      </c>
      <c r="F2875" s="2" t="str">
        <f>HYPERLINK("http://bbs.12365auto.com/postcontent.aspx?tID=195020","http://bbs.12365auto.com/postcontent.aspx?tID=195020")</f>
        <v>http://bbs.12365auto.com/postcontent.aspx?tID=195020</v>
      </c>
      <c r="G2875" s="2"/>
      <c r="H2875" s="2" t="s">
        <v>4136</v>
      </c>
      <c r="I2875" s="2" t="s">
        <v>15</v>
      </c>
      <c r="J2875" s="2" t="s">
        <v>4132</v>
      </c>
      <c r="K2875" s="2" t="s">
        <v>4130</v>
      </c>
      <c r="L2875" s="2">
        <f t="shared" si="44"/>
        <v>120</v>
      </c>
    </row>
    <row r="2876" spans="1:12" ht="25" customHeight="1">
      <c r="A2876" s="2" t="s">
        <v>12</v>
      </c>
      <c r="B2876" s="2" t="str">
        <f>HYPERLINK("http://m.12365auto.com/bbs/postcontent.aspx?tID=195019","三菱劲炫ASX底盘有严重的异响")</f>
        <v>三菱劲炫ASX底盘有严重的异响</v>
      </c>
      <c r="C2876" s="2" t="s">
        <v>13</v>
      </c>
      <c r="D2876" s="2" t="s">
        <v>23</v>
      </c>
      <c r="E2876" s="2"/>
      <c r="F2876" s="2" t="str">
        <f>HYPERLINK("http://m.12365auto.com/bbs/postcontent.aspx?tID=195019","http://m.12365auto.com/bbs/postcontent.aspx?tID=195019")</f>
        <v>http://m.12365auto.com/bbs/postcontent.aspx?tID=195019</v>
      </c>
      <c r="G2876" s="2"/>
      <c r="H2876" s="2" t="s">
        <v>4133</v>
      </c>
      <c r="I2876" s="2" t="s">
        <v>15</v>
      </c>
      <c r="J2876" s="2" t="s">
        <v>4134</v>
      </c>
      <c r="K2876" s="2" t="s">
        <v>4130</v>
      </c>
      <c r="L2876" s="2">
        <f t="shared" si="44"/>
        <v>95</v>
      </c>
    </row>
    <row r="2877" spans="1:12" ht="25" customHeight="1">
      <c r="A2877" s="2" t="s">
        <v>12</v>
      </c>
      <c r="B2877" s="2" t="str">
        <f>HYPERLINK("http://m.12365auto.com/bbs/postcontent.aspx?tID=195020","传祺GS5刹车有异响质量不行呀")</f>
        <v>传祺GS5刹车有异响质量不行呀</v>
      </c>
      <c r="C2877" s="2" t="s">
        <v>13</v>
      </c>
      <c r="D2877" s="2" t="s">
        <v>23</v>
      </c>
      <c r="E2877" s="2"/>
      <c r="F2877" s="2" t="str">
        <f>HYPERLINK("http://m.12365auto.com/bbs/postcontent.aspx?tID=195020","http://m.12365auto.com/bbs/postcontent.aspx?tID=195020")</f>
        <v>http://m.12365auto.com/bbs/postcontent.aspx?tID=195020</v>
      </c>
      <c r="G2877" s="2"/>
      <c r="H2877" s="2" t="s">
        <v>4131</v>
      </c>
      <c r="I2877" s="2" t="s">
        <v>15</v>
      </c>
      <c r="J2877" s="2" t="s">
        <v>4132</v>
      </c>
      <c r="K2877" s="2" t="s">
        <v>4130</v>
      </c>
      <c r="L2877" s="2">
        <f t="shared" si="44"/>
        <v>105</v>
      </c>
    </row>
    <row r="2878" spans="1:12" ht="25" customHeight="1">
      <c r="A2878" s="2" t="s">
        <v>12</v>
      </c>
      <c r="B2878" s="2" t="str">
        <f>HYPERLINK("http://bbs.12365auto.com/postcontent.aspx?tId=195018","领动行驶时转向卡滞质量缺陷")</f>
        <v>领动行驶时转向卡滞质量缺陷</v>
      </c>
      <c r="C2878" s="2" t="s">
        <v>13</v>
      </c>
      <c r="D2878" s="2" t="s">
        <v>12</v>
      </c>
      <c r="E2878" s="2" t="s">
        <v>66</v>
      </c>
      <c r="F2878" s="2" t="str">
        <f>HYPERLINK("http://bbs.12365auto.com/postcontent.aspx?tId=195018","http://bbs.12365auto.com/postcontent.aspx?tId=195018")</f>
        <v>http://bbs.12365auto.com/postcontent.aspx?tId=195018</v>
      </c>
      <c r="G2878" s="2"/>
      <c r="H2878" s="2" t="s">
        <v>4137</v>
      </c>
      <c r="I2878" s="2" t="s">
        <v>15</v>
      </c>
      <c r="J2878" s="2" t="s">
        <v>4138</v>
      </c>
      <c r="K2878" s="2" t="s">
        <v>4139</v>
      </c>
      <c r="L2878" s="2">
        <f t="shared" si="44"/>
        <v>82</v>
      </c>
    </row>
    <row r="2879" spans="1:12" ht="25" customHeight="1">
      <c r="A2879" s="2" t="s">
        <v>12</v>
      </c>
      <c r="B2879" s="2" t="str">
        <f>HYPERLINK("http://bbs.12365auto.com/postcontent.aspx?tID=195018","领动行驶时转向卡滞质量缺陷")</f>
        <v>领动行驶时转向卡滞质量缺陷</v>
      </c>
      <c r="C2879" s="2" t="s">
        <v>13</v>
      </c>
      <c r="D2879" s="2" t="s">
        <v>12</v>
      </c>
      <c r="E2879" s="2" t="s">
        <v>67</v>
      </c>
      <c r="F2879" s="2" t="str">
        <f>HYPERLINK("http://bbs.12365auto.com/postcontent.aspx?tID=195018","http://bbs.12365auto.com/postcontent.aspx?tID=195018")</f>
        <v>http://bbs.12365auto.com/postcontent.aspx?tID=195018</v>
      </c>
      <c r="G2879" s="2"/>
      <c r="H2879" s="2" t="s">
        <v>4140</v>
      </c>
      <c r="I2879" s="2" t="s">
        <v>15</v>
      </c>
      <c r="J2879" s="2" t="s">
        <v>4138</v>
      </c>
      <c r="K2879" s="2" t="s">
        <v>4139</v>
      </c>
      <c r="L2879" s="2">
        <f t="shared" si="44"/>
        <v>95</v>
      </c>
    </row>
    <row r="2880" spans="1:12" ht="25" customHeight="1">
      <c r="A2880" s="2" t="s">
        <v>12</v>
      </c>
      <c r="B2880" s="2" t="str">
        <f>HYPERLINK("http://m.12365auto.com/bbs/postcontent.aspx?tID=195018","领动行驶时转向卡滞质量缺陷")</f>
        <v>领动行驶时转向卡滞质量缺陷</v>
      </c>
      <c r="C2880" s="2" t="s">
        <v>13</v>
      </c>
      <c r="D2880" s="2" t="s">
        <v>23</v>
      </c>
      <c r="E2880" s="2"/>
      <c r="F2880" s="2" t="str">
        <f>HYPERLINK("http://m.12365auto.com/bbs/postcontent.aspx?tID=195018","http://m.12365auto.com/bbs/postcontent.aspx?tID=195018")</f>
        <v>http://m.12365auto.com/bbs/postcontent.aspx?tID=195018</v>
      </c>
      <c r="G2880" s="2"/>
      <c r="H2880" s="2" t="s">
        <v>4137</v>
      </c>
      <c r="I2880" s="2" t="s">
        <v>15</v>
      </c>
      <c r="J2880" s="2" t="s">
        <v>4138</v>
      </c>
      <c r="K2880" s="2" t="s">
        <v>4139</v>
      </c>
      <c r="L2880" s="2">
        <f t="shared" si="44"/>
        <v>82</v>
      </c>
    </row>
    <row r="2881" spans="1:12" ht="25" customHeight="1">
      <c r="A2881" s="2" t="s">
        <v>12</v>
      </c>
      <c r="B2881" s="2" t="str">
        <f>HYPERLINK("http://bbs.12365auto.com/postcontent.aspx?tId=195016","瑞风S2发动机有很大的异响")</f>
        <v>瑞风S2发动机有很大的异响</v>
      </c>
      <c r="C2881" s="2" t="s">
        <v>13</v>
      </c>
      <c r="D2881" s="2" t="s">
        <v>12</v>
      </c>
      <c r="E2881" s="2" t="s">
        <v>66</v>
      </c>
      <c r="F2881" s="2" t="str">
        <f>HYPERLINK("http://bbs.12365auto.com/postcontent.aspx?tId=195016","http://bbs.12365auto.com/postcontent.aspx?tId=195016")</f>
        <v>http://bbs.12365auto.com/postcontent.aspx?tId=195016</v>
      </c>
      <c r="G2881" s="2"/>
      <c r="H2881" s="2" t="s">
        <v>4141</v>
      </c>
      <c r="I2881" s="2" t="s">
        <v>15</v>
      </c>
      <c r="J2881" s="2" t="s">
        <v>4142</v>
      </c>
      <c r="K2881" s="2" t="s">
        <v>4143</v>
      </c>
      <c r="L2881" s="2">
        <f t="shared" si="44"/>
        <v>72</v>
      </c>
    </row>
    <row r="2882" spans="1:12" ht="25" customHeight="1">
      <c r="A2882" s="2" t="s">
        <v>12</v>
      </c>
      <c r="B2882" s="2" t="str">
        <f>HYPERLINK("http://bbs.12365auto.com/postcontent.aspx?tId=195017","名爵HS电瓶亏电发动机也启动不了了")</f>
        <v>名爵HS电瓶亏电发动机也启动不了了</v>
      </c>
      <c r="C2882" s="2" t="s">
        <v>13</v>
      </c>
      <c r="D2882" s="2" t="s">
        <v>12</v>
      </c>
      <c r="E2882" s="2" t="s">
        <v>66</v>
      </c>
      <c r="F2882" s="2" t="str">
        <f>HYPERLINK("http://bbs.12365auto.com/postcontent.aspx?tId=195017","http://bbs.12365auto.com/postcontent.aspx?tId=195017")</f>
        <v>http://bbs.12365auto.com/postcontent.aspx?tId=195017</v>
      </c>
      <c r="G2882" s="2"/>
      <c r="H2882" s="2" t="s">
        <v>4144</v>
      </c>
      <c r="I2882" s="2" t="s">
        <v>15</v>
      </c>
      <c r="J2882" s="2" t="s">
        <v>4145</v>
      </c>
      <c r="K2882" s="2" t="s">
        <v>4143</v>
      </c>
      <c r="L2882" s="2">
        <f t="shared" si="44"/>
        <v>64</v>
      </c>
    </row>
    <row r="2883" spans="1:12" ht="25" customHeight="1">
      <c r="A2883" s="2" t="s">
        <v>12</v>
      </c>
      <c r="B2883" s="2" t="str">
        <f>HYPERLINK("http://bbs.12365auto.com/postcontent.aspx?tID=195017","名爵HS电瓶亏电发动机也启动不了了")</f>
        <v>名爵HS电瓶亏电发动机也启动不了了</v>
      </c>
      <c r="C2883" s="2" t="s">
        <v>13</v>
      </c>
      <c r="D2883" s="2" t="s">
        <v>12</v>
      </c>
      <c r="E2883" s="2" t="s">
        <v>67</v>
      </c>
      <c r="F2883" s="2" t="str">
        <f>HYPERLINK("http://bbs.12365auto.com/postcontent.aspx?tID=195017","http://bbs.12365auto.com/postcontent.aspx?tID=195017")</f>
        <v>http://bbs.12365auto.com/postcontent.aspx?tID=195017</v>
      </c>
      <c r="G2883" s="2"/>
      <c r="H2883" s="2" t="s">
        <v>4146</v>
      </c>
      <c r="I2883" s="2" t="s">
        <v>15</v>
      </c>
      <c r="J2883" s="2" t="s">
        <v>4145</v>
      </c>
      <c r="K2883" s="2" t="s">
        <v>4143</v>
      </c>
      <c r="L2883" s="2">
        <f t="shared" ref="L2883:L2946" si="45">LEN(H2883)</f>
        <v>81</v>
      </c>
    </row>
    <row r="2884" spans="1:12" ht="25" customHeight="1">
      <c r="A2884" s="2" t="s">
        <v>12</v>
      </c>
      <c r="B2884" s="2" t="str">
        <f>HYPERLINK("http://bbs.12365auto.com/postcontent.aspx?tID=195016","瑞风S2发动机有很大的异响")</f>
        <v>瑞风S2发动机有很大的异响</v>
      </c>
      <c r="C2884" s="2" t="s">
        <v>13</v>
      </c>
      <c r="D2884" s="2" t="s">
        <v>12</v>
      </c>
      <c r="E2884" s="2" t="s">
        <v>67</v>
      </c>
      <c r="F2884" s="2" t="str">
        <f>HYPERLINK("http://bbs.12365auto.com/postcontent.aspx?tID=195016","http://bbs.12365auto.com/postcontent.aspx?tID=195016")</f>
        <v>http://bbs.12365auto.com/postcontent.aspx?tID=195016</v>
      </c>
      <c r="G2884" s="2"/>
      <c r="H2884" s="2" t="s">
        <v>4147</v>
      </c>
      <c r="I2884" s="2" t="s">
        <v>15</v>
      </c>
      <c r="J2884" s="2" t="s">
        <v>4142</v>
      </c>
      <c r="K2884" s="2" t="s">
        <v>4143</v>
      </c>
      <c r="L2884" s="2">
        <f t="shared" si="45"/>
        <v>85</v>
      </c>
    </row>
    <row r="2885" spans="1:12" ht="25" customHeight="1">
      <c r="A2885" s="2" t="s">
        <v>12</v>
      </c>
      <c r="B2885" s="2" t="str">
        <f>HYPERLINK("http://m.12365auto.com/bbs/postcontent.aspx?tID=195017","名爵HS电瓶亏电发动机也启动不了了")</f>
        <v>名爵HS电瓶亏电发动机也启动不了了</v>
      </c>
      <c r="C2885" s="2" t="s">
        <v>13</v>
      </c>
      <c r="D2885" s="2" t="s">
        <v>23</v>
      </c>
      <c r="E2885" s="2"/>
      <c r="F2885" s="2" t="str">
        <f>HYPERLINK("http://m.12365auto.com/bbs/postcontent.aspx?tID=195017","http://m.12365auto.com/bbs/postcontent.aspx?tID=195017")</f>
        <v>http://m.12365auto.com/bbs/postcontent.aspx?tID=195017</v>
      </c>
      <c r="G2885" s="2"/>
      <c r="H2885" s="2" t="s">
        <v>4144</v>
      </c>
      <c r="I2885" s="2" t="s">
        <v>15</v>
      </c>
      <c r="J2885" s="2" t="s">
        <v>4145</v>
      </c>
      <c r="K2885" s="2" t="s">
        <v>4143</v>
      </c>
      <c r="L2885" s="2">
        <f t="shared" si="45"/>
        <v>64</v>
      </c>
    </row>
    <row r="2886" spans="1:12" ht="25" customHeight="1">
      <c r="A2886" s="2" t="s">
        <v>12</v>
      </c>
      <c r="B2886" s="2" t="str">
        <f>HYPERLINK("http://m.12365auto.com/bbs/postcontent.aspx?tID=195016","瑞风S2发动机有很大的异响")</f>
        <v>瑞风S2发动机有很大的异响</v>
      </c>
      <c r="C2886" s="2" t="s">
        <v>13</v>
      </c>
      <c r="D2886" s="2" t="s">
        <v>23</v>
      </c>
      <c r="E2886" s="2"/>
      <c r="F2886" s="2" t="str">
        <f>HYPERLINK("http://m.12365auto.com/bbs/postcontent.aspx?tID=195016","http://m.12365auto.com/bbs/postcontent.aspx?tID=195016")</f>
        <v>http://m.12365auto.com/bbs/postcontent.aspx?tID=195016</v>
      </c>
      <c r="G2886" s="2"/>
      <c r="H2886" s="2" t="s">
        <v>4141</v>
      </c>
      <c r="I2886" s="2" t="s">
        <v>15</v>
      </c>
      <c r="J2886" s="2" t="s">
        <v>4142</v>
      </c>
      <c r="K2886" s="2" t="s">
        <v>4143</v>
      </c>
      <c r="L2886" s="2">
        <f t="shared" si="45"/>
        <v>72</v>
      </c>
    </row>
    <row r="2887" spans="1:12" ht="25" customHeight="1">
      <c r="A2887" s="2" t="s">
        <v>12</v>
      </c>
      <c r="B2887" s="2" t="str">
        <f>HYPERLINK("http://bbs.12365auto.com/postcontent.aspx?tId=195014","瑞虎3x发动机有异响质量不行呀")</f>
        <v>瑞虎3x发动机有异响质量不行呀</v>
      </c>
      <c r="C2887" s="2" t="s">
        <v>13</v>
      </c>
      <c r="D2887" s="2" t="s">
        <v>12</v>
      </c>
      <c r="E2887" s="2" t="s">
        <v>66</v>
      </c>
      <c r="F2887" s="2" t="str">
        <f>HYPERLINK("http://bbs.12365auto.com/postcontent.aspx?tId=195014","http://bbs.12365auto.com/postcontent.aspx?tId=195014")</f>
        <v>http://bbs.12365auto.com/postcontent.aspx?tId=195014</v>
      </c>
      <c r="G2887" s="2"/>
      <c r="H2887" s="2" t="s">
        <v>4148</v>
      </c>
      <c r="I2887" s="2" t="s">
        <v>15</v>
      </c>
      <c r="J2887" s="2" t="s">
        <v>4149</v>
      </c>
      <c r="K2887" s="2" t="s">
        <v>4150</v>
      </c>
      <c r="L2887" s="2">
        <f t="shared" si="45"/>
        <v>69</v>
      </c>
    </row>
    <row r="2888" spans="1:12" ht="25" customHeight="1">
      <c r="A2888" s="2" t="s">
        <v>12</v>
      </c>
      <c r="B2888" s="2" t="str">
        <f>HYPERLINK("http://bbs.12365auto.com/postcontent.aspx?tId=195015","S5行驶中发动机熄火")</f>
        <v>S5行驶中发动机熄火</v>
      </c>
      <c r="C2888" s="2" t="s">
        <v>13</v>
      </c>
      <c r="D2888" s="2" t="s">
        <v>12</v>
      </c>
      <c r="E2888" s="2" t="s">
        <v>66</v>
      </c>
      <c r="F2888" s="2" t="str">
        <f>HYPERLINK("http://bbs.12365auto.com/postcontent.aspx?tId=195015","http://bbs.12365auto.com/postcontent.aspx?tId=195015")</f>
        <v>http://bbs.12365auto.com/postcontent.aspx?tId=195015</v>
      </c>
      <c r="G2888" s="2"/>
      <c r="H2888" s="2" t="s">
        <v>4151</v>
      </c>
      <c r="I2888" s="2" t="s">
        <v>15</v>
      </c>
      <c r="J2888" s="2" t="s">
        <v>4152</v>
      </c>
      <c r="K2888" s="2" t="s">
        <v>4150</v>
      </c>
      <c r="L2888" s="2">
        <f t="shared" si="45"/>
        <v>61</v>
      </c>
    </row>
    <row r="2889" spans="1:12" ht="25" customHeight="1">
      <c r="A2889" s="2" t="s">
        <v>12</v>
      </c>
      <c r="B2889" s="2" t="str">
        <f>HYPERLINK("http://bbs.12365auto.com/postcontent.aspx?tID=195014","瑞虎3x发动机有异响质量不行呀")</f>
        <v>瑞虎3x发动机有异响质量不行呀</v>
      </c>
      <c r="C2889" s="2" t="s">
        <v>13</v>
      </c>
      <c r="D2889" s="2" t="s">
        <v>12</v>
      </c>
      <c r="E2889" s="2" t="s">
        <v>67</v>
      </c>
      <c r="F2889" s="2" t="str">
        <f>HYPERLINK("http://bbs.12365auto.com/postcontent.aspx?tID=195014","http://bbs.12365auto.com/postcontent.aspx?tID=195014")</f>
        <v>http://bbs.12365auto.com/postcontent.aspx?tID=195014</v>
      </c>
      <c r="G2889" s="2"/>
      <c r="H2889" s="2" t="s">
        <v>4153</v>
      </c>
      <c r="I2889" s="2" t="s">
        <v>15</v>
      </c>
      <c r="J2889" s="2" t="s">
        <v>4149</v>
      </c>
      <c r="K2889" s="2" t="s">
        <v>4150</v>
      </c>
      <c r="L2889" s="2">
        <f t="shared" si="45"/>
        <v>84</v>
      </c>
    </row>
    <row r="2890" spans="1:12" ht="25" customHeight="1">
      <c r="A2890" s="2" t="s">
        <v>12</v>
      </c>
      <c r="B2890" s="2" t="str">
        <f>HYPERLINK("http://bbs.12365auto.com/postcontent.aspx?tID=195015","S5行驶中发动机熄火")</f>
        <v>S5行驶中发动机熄火</v>
      </c>
      <c r="C2890" s="2" t="s">
        <v>13</v>
      </c>
      <c r="D2890" s="2" t="s">
        <v>12</v>
      </c>
      <c r="E2890" s="2" t="s">
        <v>67</v>
      </c>
      <c r="F2890" s="2" t="str">
        <f>HYPERLINK("http://bbs.12365auto.com/postcontent.aspx?tID=195015","http://bbs.12365auto.com/postcontent.aspx?tID=195015")</f>
        <v>http://bbs.12365auto.com/postcontent.aspx?tID=195015</v>
      </c>
      <c r="G2890" s="2"/>
      <c r="H2890" s="2" t="s">
        <v>4154</v>
      </c>
      <c r="I2890" s="2" t="s">
        <v>15</v>
      </c>
      <c r="J2890" s="2" t="s">
        <v>4152</v>
      </c>
      <c r="K2890" s="2" t="s">
        <v>4150</v>
      </c>
      <c r="L2890" s="2">
        <f t="shared" si="45"/>
        <v>71</v>
      </c>
    </row>
    <row r="2891" spans="1:12" ht="25" customHeight="1">
      <c r="A2891" s="2" t="s">
        <v>12</v>
      </c>
      <c r="B2891" s="2" t="str">
        <f>HYPERLINK("http://m.12365auto.com/bbs/postcontent.aspx?tID=195015","S5行驶中发动机熄火")</f>
        <v>S5行驶中发动机熄火</v>
      </c>
      <c r="C2891" s="2" t="s">
        <v>13</v>
      </c>
      <c r="D2891" s="2" t="s">
        <v>23</v>
      </c>
      <c r="E2891" s="2"/>
      <c r="F2891" s="2" t="str">
        <f>HYPERLINK("http://m.12365auto.com/bbs/postcontent.aspx?tID=195015","http://m.12365auto.com/bbs/postcontent.aspx?tID=195015")</f>
        <v>http://m.12365auto.com/bbs/postcontent.aspx?tID=195015</v>
      </c>
      <c r="G2891" s="2"/>
      <c r="H2891" s="2" t="s">
        <v>4151</v>
      </c>
      <c r="I2891" s="2" t="s">
        <v>15</v>
      </c>
      <c r="J2891" s="2" t="s">
        <v>4152</v>
      </c>
      <c r="K2891" s="2" t="s">
        <v>4150</v>
      </c>
      <c r="L2891" s="2">
        <f t="shared" si="45"/>
        <v>61</v>
      </c>
    </row>
    <row r="2892" spans="1:12" ht="25" customHeight="1">
      <c r="A2892" s="2" t="s">
        <v>12</v>
      </c>
      <c r="B2892" s="2" t="str">
        <f>HYPERLINK("http://bbs.12365auto.com/postcontent.aspx?tId=195013","途胜降挡时变速箱有异响")</f>
        <v>途胜降挡时变速箱有异响</v>
      </c>
      <c r="C2892" s="2" t="s">
        <v>13</v>
      </c>
      <c r="D2892" s="2" t="s">
        <v>12</v>
      </c>
      <c r="E2892" s="2" t="s">
        <v>66</v>
      </c>
      <c r="F2892" s="2" t="str">
        <f>HYPERLINK("http://bbs.12365auto.com/postcontent.aspx?tId=195013","http://bbs.12365auto.com/postcontent.aspx?tId=195013")</f>
        <v>http://bbs.12365auto.com/postcontent.aspx?tId=195013</v>
      </c>
      <c r="G2892" s="2"/>
      <c r="H2892" s="2" t="s">
        <v>4155</v>
      </c>
      <c r="I2892" s="2" t="s">
        <v>15</v>
      </c>
      <c r="J2892" s="2" t="s">
        <v>4156</v>
      </c>
      <c r="K2892" s="2" t="s">
        <v>4157</v>
      </c>
      <c r="L2892" s="2">
        <f t="shared" si="45"/>
        <v>77</v>
      </c>
    </row>
    <row r="2893" spans="1:12" ht="25" customHeight="1">
      <c r="A2893" s="2" t="s">
        <v>12</v>
      </c>
      <c r="B2893" s="2" t="str">
        <f>HYPERLINK("http://bbs.12365auto.com/postcontent.aspx?tID=195013","途胜降挡时变速箱有异响")</f>
        <v>途胜降挡时变速箱有异响</v>
      </c>
      <c r="C2893" s="2" t="s">
        <v>13</v>
      </c>
      <c r="D2893" s="2" t="s">
        <v>12</v>
      </c>
      <c r="E2893" s="2" t="s">
        <v>67</v>
      </c>
      <c r="F2893" s="2" t="str">
        <f>HYPERLINK("http://bbs.12365auto.com/postcontent.aspx?tID=195013","http://bbs.12365auto.com/postcontent.aspx?tID=195013")</f>
        <v>http://bbs.12365auto.com/postcontent.aspx?tID=195013</v>
      </c>
      <c r="G2893" s="2"/>
      <c r="H2893" s="2" t="s">
        <v>4158</v>
      </c>
      <c r="I2893" s="2" t="s">
        <v>15</v>
      </c>
      <c r="J2893" s="2" t="s">
        <v>4156</v>
      </c>
      <c r="K2893" s="2" t="s">
        <v>4157</v>
      </c>
      <c r="L2893" s="2">
        <f t="shared" si="45"/>
        <v>88</v>
      </c>
    </row>
    <row r="2894" spans="1:12" ht="25" customHeight="1">
      <c r="A2894" s="2" t="s">
        <v>12</v>
      </c>
      <c r="B2894" s="2" t="str">
        <f>HYPERLINK("http://m.12365auto.com/bbs/postcontent.aspx?tID=195013&amp;i=1","途胜降挡时变速箱有异响")</f>
        <v>途胜降挡时变速箱有异响</v>
      </c>
      <c r="C2894" s="2" t="s">
        <v>13</v>
      </c>
      <c r="D2894" s="2" t="s">
        <v>23</v>
      </c>
      <c r="E2894" s="2"/>
      <c r="F2894" s="2" t="str">
        <f>HYPERLINK("http://m.12365auto.com/bbs/postcontent.aspx?tID=195013&amp;i=1","http://m.12365auto.com/bbs/postcontent.aspx?tID=195013&amp;i=1")</f>
        <v>http://m.12365auto.com/bbs/postcontent.aspx?tID=195013&amp;i=1</v>
      </c>
      <c r="G2894" s="2"/>
      <c r="H2894" s="2" t="s">
        <v>4155</v>
      </c>
      <c r="I2894" s="2" t="s">
        <v>15</v>
      </c>
      <c r="J2894" s="2" t="s">
        <v>4156</v>
      </c>
      <c r="K2894" s="2" t="s">
        <v>4157</v>
      </c>
      <c r="L2894" s="2">
        <f t="shared" si="45"/>
        <v>77</v>
      </c>
    </row>
    <row r="2895" spans="1:12" ht="25" customHeight="1">
      <c r="A2895" s="2" t="s">
        <v>12</v>
      </c>
      <c r="B2895" s="2" t="str">
        <f>HYPERLINK("http://bbs.12365auto.com/postcontent.aspx?tID=195012","途胜升级后发动机油耗高质量问题多")</f>
        <v>途胜升级后发动机油耗高质量问题多</v>
      </c>
      <c r="C2895" s="2" t="s">
        <v>13</v>
      </c>
      <c r="D2895" s="2" t="s">
        <v>12</v>
      </c>
      <c r="E2895" s="2" t="s">
        <v>67</v>
      </c>
      <c r="F2895" s="2" t="str">
        <f>HYPERLINK("http://bbs.12365auto.com/postcontent.aspx?tID=195012","http://bbs.12365auto.com/postcontent.aspx?tID=195012")</f>
        <v>http://bbs.12365auto.com/postcontent.aspx?tID=195012</v>
      </c>
      <c r="G2895" s="2"/>
      <c r="H2895" s="2" t="s">
        <v>4159</v>
      </c>
      <c r="I2895" s="2" t="s">
        <v>15</v>
      </c>
      <c r="J2895" s="2" t="s">
        <v>4160</v>
      </c>
      <c r="K2895" s="2" t="s">
        <v>4161</v>
      </c>
      <c r="L2895" s="2">
        <f t="shared" si="45"/>
        <v>67</v>
      </c>
    </row>
    <row r="2896" spans="1:12" ht="25" customHeight="1">
      <c r="A2896" s="2" t="s">
        <v>12</v>
      </c>
      <c r="B2896" s="2" t="str">
        <f>HYPERLINK("http://bbs.12365auto.com/postcontent.aspx?tID=195011","一挡升二挡时领动变速箱有异响")</f>
        <v>一挡升二挡时领动变速箱有异响</v>
      </c>
      <c r="C2896" s="2" t="s">
        <v>13</v>
      </c>
      <c r="D2896" s="2" t="s">
        <v>12</v>
      </c>
      <c r="E2896" s="2" t="s">
        <v>67</v>
      </c>
      <c r="F2896" s="2" t="str">
        <f>HYPERLINK("http://bbs.12365auto.com/postcontent.aspx?tID=195011","http://bbs.12365auto.com/postcontent.aspx?tID=195011")</f>
        <v>http://bbs.12365auto.com/postcontent.aspx?tID=195011</v>
      </c>
      <c r="G2896" s="2"/>
      <c r="H2896" s="2" t="s">
        <v>4162</v>
      </c>
      <c r="I2896" s="2" t="s">
        <v>15</v>
      </c>
      <c r="J2896" s="2" t="s">
        <v>4163</v>
      </c>
      <c r="K2896" s="2" t="s">
        <v>4161</v>
      </c>
      <c r="L2896" s="2">
        <f t="shared" si="45"/>
        <v>78</v>
      </c>
    </row>
    <row r="2897" spans="1:12" ht="25" customHeight="1">
      <c r="A2897" s="2" t="s">
        <v>12</v>
      </c>
      <c r="B2897" s="2" t="str">
        <f>HYPERLINK("http://bbs.12365auto.com/postcontent.aspx?tId=195012","途胜升级后发动机油耗高质量问题多")</f>
        <v>途胜升级后发动机油耗高质量问题多</v>
      </c>
      <c r="C2897" s="2" t="s">
        <v>13</v>
      </c>
      <c r="D2897" s="2" t="s">
        <v>12</v>
      </c>
      <c r="E2897" s="2" t="s">
        <v>66</v>
      </c>
      <c r="F2897" s="2" t="str">
        <f>HYPERLINK("http://bbs.12365auto.com/postcontent.aspx?tId=195012","http://bbs.12365auto.com/postcontent.aspx?tId=195012")</f>
        <v>http://bbs.12365auto.com/postcontent.aspx?tId=195012</v>
      </c>
      <c r="G2897" s="2"/>
      <c r="H2897" s="2" t="s">
        <v>4164</v>
      </c>
      <c r="I2897" s="2" t="s">
        <v>15</v>
      </c>
      <c r="J2897" s="2" t="s">
        <v>4160</v>
      </c>
      <c r="K2897" s="2" t="s">
        <v>4161</v>
      </c>
      <c r="L2897" s="2">
        <f t="shared" si="45"/>
        <v>51</v>
      </c>
    </row>
    <row r="2898" spans="1:12" ht="25" customHeight="1">
      <c r="A2898" s="2" t="s">
        <v>12</v>
      </c>
      <c r="B2898" s="2" t="str">
        <f>HYPERLINK("http://bbs.12365auto.com/postcontent.aspx?tId=195011","一挡升二挡时领动变速箱有异响")</f>
        <v>一挡升二挡时领动变速箱有异响</v>
      </c>
      <c r="C2898" s="2" t="s">
        <v>13</v>
      </c>
      <c r="D2898" s="2" t="s">
        <v>12</v>
      </c>
      <c r="E2898" s="2" t="s">
        <v>66</v>
      </c>
      <c r="F2898" s="2" t="str">
        <f>HYPERLINK("http://bbs.12365auto.com/postcontent.aspx?tId=195011","http://bbs.12365auto.com/postcontent.aspx?tId=195011")</f>
        <v>http://bbs.12365auto.com/postcontent.aspx?tId=195011</v>
      </c>
      <c r="G2898" s="2"/>
      <c r="H2898" s="2" t="s">
        <v>2832</v>
      </c>
      <c r="I2898" s="2" t="s">
        <v>15</v>
      </c>
      <c r="J2898" s="2" t="s">
        <v>4163</v>
      </c>
      <c r="K2898" s="2" t="s">
        <v>4161</v>
      </c>
      <c r="L2898" s="2">
        <f t="shared" si="45"/>
        <v>64</v>
      </c>
    </row>
    <row r="2899" spans="1:12" ht="25" customHeight="1">
      <c r="A2899" s="2" t="s">
        <v>12</v>
      </c>
      <c r="B2899" s="2" t="str">
        <f>HYPERLINK("http://m.12365auto.com/bbs/postcontent.aspx?tID=195012&amp;i=1","途胜升级后发动机油耗高质量问题多")</f>
        <v>途胜升级后发动机油耗高质量问题多</v>
      </c>
      <c r="C2899" s="2" t="s">
        <v>13</v>
      </c>
      <c r="D2899" s="2" t="s">
        <v>23</v>
      </c>
      <c r="E2899" s="2"/>
      <c r="F2899" s="2" t="str">
        <f>HYPERLINK("http://m.12365auto.com/bbs/postcontent.aspx?tID=195012&amp;i=1","http://m.12365auto.com/bbs/postcontent.aspx?tID=195012&amp;i=1")</f>
        <v>http://m.12365auto.com/bbs/postcontent.aspx?tID=195012&amp;i=1</v>
      </c>
      <c r="G2899" s="2"/>
      <c r="H2899" s="2" t="s">
        <v>4164</v>
      </c>
      <c r="I2899" s="2" t="s">
        <v>15</v>
      </c>
      <c r="J2899" s="2" t="s">
        <v>4160</v>
      </c>
      <c r="K2899" s="2" t="s">
        <v>4161</v>
      </c>
      <c r="L2899" s="2">
        <f t="shared" si="45"/>
        <v>51</v>
      </c>
    </row>
    <row r="2900" spans="1:12" ht="25" customHeight="1">
      <c r="A2900" s="2" t="s">
        <v>12</v>
      </c>
      <c r="B2900" s="2" t="str">
        <f>HYPERLINK("http://bbs.12365auto.com/postcontent.aspx?tID=195009","柯迪亚克变速箱无法挂入倒挡")</f>
        <v>柯迪亚克变速箱无法挂入倒挡</v>
      </c>
      <c r="C2900" s="2" t="s">
        <v>13</v>
      </c>
      <c r="D2900" s="2" t="s">
        <v>12</v>
      </c>
      <c r="E2900" s="2" t="s">
        <v>67</v>
      </c>
      <c r="F2900" s="2" t="str">
        <f>HYPERLINK("http://bbs.12365auto.com/postcontent.aspx?tID=195009","http://bbs.12365auto.com/postcontent.aspx?tID=195009")</f>
        <v>http://bbs.12365auto.com/postcontent.aspx?tID=195009</v>
      </c>
      <c r="G2900" s="2"/>
      <c r="H2900" s="2" t="s">
        <v>4165</v>
      </c>
      <c r="I2900" s="2" t="s">
        <v>15</v>
      </c>
      <c r="J2900" s="2" t="s">
        <v>4166</v>
      </c>
      <c r="K2900" s="2" t="s">
        <v>4167</v>
      </c>
      <c r="L2900" s="2">
        <f t="shared" si="45"/>
        <v>61</v>
      </c>
    </row>
    <row r="2901" spans="1:12" ht="25" customHeight="1">
      <c r="A2901" s="2" t="s">
        <v>12</v>
      </c>
      <c r="B2901" s="2" t="str">
        <f>HYPERLINK("http://bbs.12365auto.com/postcontent.aspx?tID=195010","朗逸发动机运转有异响")</f>
        <v>朗逸发动机运转有异响</v>
      </c>
      <c r="C2901" s="2" t="s">
        <v>13</v>
      </c>
      <c r="D2901" s="2" t="s">
        <v>12</v>
      </c>
      <c r="E2901" s="2" t="s">
        <v>67</v>
      </c>
      <c r="F2901" s="2" t="str">
        <f>HYPERLINK("http://bbs.12365auto.com/postcontent.aspx?tID=195010","http://bbs.12365auto.com/postcontent.aspx?tID=195010")</f>
        <v>http://bbs.12365auto.com/postcontent.aspx?tID=195010</v>
      </c>
      <c r="G2901" s="2"/>
      <c r="H2901" s="2" t="s">
        <v>4168</v>
      </c>
      <c r="I2901" s="2" t="s">
        <v>15</v>
      </c>
      <c r="J2901" s="2" t="s">
        <v>4169</v>
      </c>
      <c r="K2901" s="2" t="s">
        <v>4167</v>
      </c>
      <c r="L2901" s="2">
        <f t="shared" si="45"/>
        <v>95</v>
      </c>
    </row>
    <row r="2902" spans="1:12" ht="25" customHeight="1">
      <c r="A2902" s="2" t="s">
        <v>12</v>
      </c>
      <c r="B2902" s="2" t="str">
        <f>HYPERLINK("http://bbs.12365auto.com/postcontent.aspx?tId=195009","柯迪亚克变速箱无法挂入倒挡")</f>
        <v>柯迪亚克变速箱无法挂入倒挡</v>
      </c>
      <c r="C2902" s="2" t="s">
        <v>13</v>
      </c>
      <c r="D2902" s="2" t="s">
        <v>12</v>
      </c>
      <c r="E2902" s="2" t="s">
        <v>66</v>
      </c>
      <c r="F2902" s="2" t="str">
        <f>HYPERLINK("http://bbs.12365auto.com/postcontent.aspx?tId=195009","http://bbs.12365auto.com/postcontent.aspx?tId=195009")</f>
        <v>http://bbs.12365auto.com/postcontent.aspx?tId=195009</v>
      </c>
      <c r="G2902" s="2"/>
      <c r="H2902" s="2" t="s">
        <v>2842</v>
      </c>
      <c r="I2902" s="2" t="s">
        <v>15</v>
      </c>
      <c r="J2902" s="2" t="s">
        <v>4166</v>
      </c>
      <c r="K2902" s="2" t="s">
        <v>4167</v>
      </c>
      <c r="L2902" s="2">
        <f t="shared" si="45"/>
        <v>48</v>
      </c>
    </row>
    <row r="2903" spans="1:12" ht="25" customHeight="1">
      <c r="A2903" s="2" t="s">
        <v>12</v>
      </c>
      <c r="B2903" s="2" t="str">
        <f>HYPERLINK("http://bbs.12365auto.com/postcontent.aspx?tId=195010","朗逸发动机运转有异响")</f>
        <v>朗逸发动机运转有异响</v>
      </c>
      <c r="C2903" s="2" t="s">
        <v>13</v>
      </c>
      <c r="D2903" s="2" t="s">
        <v>12</v>
      </c>
      <c r="E2903" s="2" t="s">
        <v>66</v>
      </c>
      <c r="F2903" s="2" t="str">
        <f>HYPERLINK("http://bbs.12365auto.com/postcontent.aspx?tId=195010","http://bbs.12365auto.com/postcontent.aspx?tId=195010")</f>
        <v>http://bbs.12365auto.com/postcontent.aspx?tId=195010</v>
      </c>
      <c r="G2903" s="2"/>
      <c r="H2903" s="2" t="s">
        <v>2841</v>
      </c>
      <c r="I2903" s="2" t="s">
        <v>15</v>
      </c>
      <c r="J2903" s="2" t="s">
        <v>4169</v>
      </c>
      <c r="K2903" s="2" t="s">
        <v>4167</v>
      </c>
      <c r="L2903" s="2">
        <f t="shared" si="45"/>
        <v>85</v>
      </c>
    </row>
    <row r="2904" spans="1:12" ht="25" customHeight="1">
      <c r="A2904" s="2" t="s">
        <v>12</v>
      </c>
      <c r="B2904" s="2" t="str">
        <f>HYPERLINK("http://m.12365auto.com/zjdy/20200224/121584.shtml","吉利博越变速箱故障是什么原因如何处理？")</f>
        <v>吉利博越变速箱故障是什么原因如何处理？</v>
      </c>
      <c r="C2904" s="2" t="s">
        <v>13</v>
      </c>
      <c r="D2904" s="2" t="s">
        <v>12</v>
      </c>
      <c r="E2904" s="2"/>
      <c r="F2904" s="2" t="str">
        <f>HYPERLINK("http://m.12365auto.com/zjdy/20200224/121584.shtml","http://m.12365auto.com/zjdy/20200224/121584.shtml")</f>
        <v>http://m.12365auto.com/zjdy/20200224/121584.shtml</v>
      </c>
      <c r="G2904" s="2"/>
      <c r="H2904" s="2" t="s">
        <v>4170</v>
      </c>
      <c r="I2904" s="2" t="s">
        <v>19</v>
      </c>
      <c r="J2904" s="2" t="s">
        <v>12</v>
      </c>
      <c r="K2904" s="2" t="s">
        <v>4171</v>
      </c>
      <c r="L2904" s="2">
        <f t="shared" si="45"/>
        <v>124</v>
      </c>
    </row>
    <row r="2905" spans="1:12" ht="25" customHeight="1">
      <c r="A2905" s="2" t="s">
        <v>12</v>
      </c>
      <c r="B2905" s="2" t="str">
        <f>HYPERLINK("http://m.12365auto.com/zjdy/20200224/121585.shtml","4S店如果一直不给合格证能补发吗？")</f>
        <v>4S店如果一直不给合格证能补发吗？</v>
      </c>
      <c r="C2905" s="2" t="s">
        <v>13</v>
      </c>
      <c r="D2905" s="2" t="s">
        <v>12</v>
      </c>
      <c r="E2905" s="2"/>
      <c r="F2905" s="2" t="str">
        <f>HYPERLINK("http://m.12365auto.com/zjdy/20200224/121585.shtml","http://m.12365auto.com/zjdy/20200224/121585.shtml")</f>
        <v>http://m.12365auto.com/zjdy/20200224/121585.shtml</v>
      </c>
      <c r="G2905" s="2"/>
      <c r="H2905" s="2" t="s">
        <v>4172</v>
      </c>
      <c r="I2905" s="2" t="s">
        <v>19</v>
      </c>
      <c r="J2905" s="2" t="s">
        <v>12</v>
      </c>
      <c r="K2905" s="2" t="s">
        <v>4171</v>
      </c>
      <c r="L2905" s="2">
        <f t="shared" si="45"/>
        <v>58</v>
      </c>
    </row>
    <row r="2906" spans="1:12" ht="25" customHeight="1">
      <c r="A2906" s="2" t="s">
        <v>12</v>
      </c>
      <c r="B2906" s="2" t="str">
        <f>HYPERLINK("http://www.12365auto.com/zlts/20200224/448519.shtml","奇瑞瑞虎8大灯照射盲区大影响行车安全")</f>
        <v>奇瑞瑞虎8大灯照射盲区大影响行车安全</v>
      </c>
      <c r="C2906" s="2" t="s">
        <v>13</v>
      </c>
      <c r="D2906" s="2" t="s">
        <v>12</v>
      </c>
      <c r="E2906" s="2" t="s">
        <v>17</v>
      </c>
      <c r="F2906" s="2" t="str">
        <f>HYPERLINK("http://www.12365auto.com/zlts/20200224/448519.shtml","http://www.12365auto.com/zlts/20200224/448519.shtml")</f>
        <v>http://www.12365auto.com/zlts/20200224/448519.shtml</v>
      </c>
      <c r="G2906" s="2"/>
      <c r="H2906" s="2" t="s">
        <v>4173</v>
      </c>
      <c r="I2906" s="2" t="s">
        <v>19</v>
      </c>
      <c r="J2906" s="2" t="s">
        <v>12</v>
      </c>
      <c r="K2906" s="2" t="s">
        <v>4174</v>
      </c>
      <c r="L2906" s="2">
        <f t="shared" si="45"/>
        <v>150</v>
      </c>
    </row>
    <row r="2907" spans="1:12" ht="25" customHeight="1">
      <c r="A2907" s="2" t="s">
        <v>12</v>
      </c>
      <c r="B2907" s="2" t="str">
        <f>HYPERLINK("http://www.12365auto.com/zlts/20200224/448517.shtml","上汽名爵HS变速箱顿挫 发动机故障灯亮")</f>
        <v>上汽名爵HS变速箱顿挫 发动机故障灯亮</v>
      </c>
      <c r="C2907" s="2" t="s">
        <v>13</v>
      </c>
      <c r="D2907" s="2" t="s">
        <v>12</v>
      </c>
      <c r="E2907" s="2" t="s">
        <v>17</v>
      </c>
      <c r="F2907" s="2" t="str">
        <f>HYPERLINK("http://www.12365auto.com/zlts/20200224/448517.shtml","http://www.12365auto.com/zlts/20200224/448517.shtml")</f>
        <v>http://www.12365auto.com/zlts/20200224/448517.shtml</v>
      </c>
      <c r="G2907" s="2"/>
      <c r="H2907" s="2" t="s">
        <v>4175</v>
      </c>
      <c r="I2907" s="2" t="s">
        <v>15</v>
      </c>
      <c r="J2907" s="2" t="s">
        <v>12</v>
      </c>
      <c r="K2907" s="2" t="s">
        <v>4176</v>
      </c>
      <c r="L2907" s="2">
        <f t="shared" si="45"/>
        <v>150</v>
      </c>
    </row>
    <row r="2908" spans="1:12" ht="25" customHeight="1">
      <c r="A2908" s="2" t="s">
        <v>12</v>
      </c>
      <c r="B2908" s="2" t="str">
        <f>HYPERLINK("http://www.12365auto.com/zlts/20200224/448516.shtml","广汽丰田凯美瑞半轴防尘套处漏油")</f>
        <v>广汽丰田凯美瑞半轴防尘套处漏油</v>
      </c>
      <c r="C2908" s="2" t="s">
        <v>13</v>
      </c>
      <c r="D2908" s="2" t="s">
        <v>12</v>
      </c>
      <c r="E2908" s="2" t="s">
        <v>17</v>
      </c>
      <c r="F2908" s="2" t="str">
        <f>HYPERLINK("http://www.12365auto.com/zlts/20200224/448516.shtml","http://www.12365auto.com/zlts/20200224/448516.shtml")</f>
        <v>http://www.12365auto.com/zlts/20200224/448516.shtml</v>
      </c>
      <c r="G2908" s="2"/>
      <c r="H2908" s="2" t="s">
        <v>4177</v>
      </c>
      <c r="I2908" s="2" t="s">
        <v>19</v>
      </c>
      <c r="J2908" s="2" t="s">
        <v>12</v>
      </c>
      <c r="K2908" s="2" t="s">
        <v>4178</v>
      </c>
      <c r="L2908" s="2">
        <f t="shared" si="45"/>
        <v>150</v>
      </c>
    </row>
    <row r="2909" spans="1:12" ht="25" customHeight="1">
      <c r="A2909" s="2" t="s">
        <v>12</v>
      </c>
      <c r="B2909" s="2" t="str">
        <f>HYPERLINK("http://www.12365auto.com/zlts/20200224/448515.shtml","进口奔驰S级悬挂变形出风口开裂发动机异响")</f>
        <v>进口奔驰S级悬挂变形出风口开裂发动机异响</v>
      </c>
      <c r="C2909" s="2" t="s">
        <v>13</v>
      </c>
      <c r="D2909" s="2" t="s">
        <v>12</v>
      </c>
      <c r="E2909" s="2" t="s">
        <v>17</v>
      </c>
      <c r="F2909" s="2" t="str">
        <f>HYPERLINK("http://www.12365auto.com/zlts/20200224/448515.shtml","http://www.12365auto.com/zlts/20200224/448515.shtml")</f>
        <v>http://www.12365auto.com/zlts/20200224/448515.shtml</v>
      </c>
      <c r="G2909" s="2"/>
      <c r="H2909" s="2" t="s">
        <v>4179</v>
      </c>
      <c r="I2909" s="2" t="s">
        <v>19</v>
      </c>
      <c r="J2909" s="2" t="s">
        <v>12</v>
      </c>
      <c r="K2909" s="2" t="s">
        <v>4180</v>
      </c>
      <c r="L2909" s="2">
        <f t="shared" si="45"/>
        <v>150</v>
      </c>
    </row>
    <row r="2910" spans="1:12" ht="25" customHeight="1">
      <c r="A2910" s="2" t="s">
        <v>12</v>
      </c>
      <c r="B2910" s="2" t="str">
        <f>HYPERLINK("http://www.12365auto.com/zlts/20200224/448512.shtml","东风风神AX7三天新车天窗严重漏水")</f>
        <v>东风风神AX7三天新车天窗严重漏水</v>
      </c>
      <c r="C2910" s="2" t="s">
        <v>13</v>
      </c>
      <c r="D2910" s="2" t="s">
        <v>12</v>
      </c>
      <c r="E2910" s="2" t="s">
        <v>17</v>
      </c>
      <c r="F2910" s="2" t="str">
        <f>HYPERLINK("http://www.12365auto.com/zlts/20200224/448512.shtml","http://www.12365auto.com/zlts/20200224/448512.shtml")</f>
        <v>http://www.12365auto.com/zlts/20200224/448512.shtml</v>
      </c>
      <c r="G2910" s="2"/>
      <c r="H2910" s="2" t="s">
        <v>4181</v>
      </c>
      <c r="I2910" s="2" t="s">
        <v>19</v>
      </c>
      <c r="J2910" s="2" t="s">
        <v>12</v>
      </c>
      <c r="K2910" s="2" t="s">
        <v>4182</v>
      </c>
      <c r="L2910" s="2">
        <f t="shared" si="45"/>
        <v>150</v>
      </c>
    </row>
    <row r="2911" spans="1:12" ht="25" customHeight="1">
      <c r="A2911" s="2" t="s">
        <v>12</v>
      </c>
      <c r="B2911" s="2" t="str">
        <f>HYPERLINK("http://www.12365auto.com/zlts/20200224/448511.shtml","斯柯达柯迪亚克启动后变速箱无法挂入倒挡")</f>
        <v>斯柯达柯迪亚克启动后变速箱无法挂入倒挡</v>
      </c>
      <c r="C2911" s="2" t="s">
        <v>13</v>
      </c>
      <c r="D2911" s="2" t="s">
        <v>12</v>
      </c>
      <c r="E2911" s="2" t="s">
        <v>17</v>
      </c>
      <c r="F2911" s="2" t="str">
        <f>HYPERLINK("http://www.12365auto.com/zlts/20200224/448511.shtml","http://www.12365auto.com/zlts/20200224/448511.shtml")</f>
        <v>http://www.12365auto.com/zlts/20200224/448511.shtml</v>
      </c>
      <c r="G2911" s="2"/>
      <c r="H2911" s="2" t="s">
        <v>4183</v>
      </c>
      <c r="I2911" s="2" t="s">
        <v>15</v>
      </c>
      <c r="J2911" s="2" t="s">
        <v>12</v>
      </c>
      <c r="K2911" s="2" t="s">
        <v>4184</v>
      </c>
      <c r="L2911" s="2">
        <f t="shared" si="45"/>
        <v>150</v>
      </c>
    </row>
    <row r="2912" spans="1:12" ht="25" customHeight="1">
      <c r="A2912" s="2" t="s">
        <v>12</v>
      </c>
      <c r="B2912" s="2" t="str">
        <f>HYPERLINK("http://bbs.12365auto.com/postcontent.aspx?tId=195007","广汽传祺某店人去楼空 欠一批买主的合格证")</f>
        <v>广汽传祺某店人去楼空 欠一批买主的合格证</v>
      </c>
      <c r="C2912" s="2" t="s">
        <v>13</v>
      </c>
      <c r="D2912" s="2" t="s">
        <v>12</v>
      </c>
      <c r="E2912" s="2" t="s">
        <v>27</v>
      </c>
      <c r="F2912" s="2" t="str">
        <f>HYPERLINK("http://bbs.12365auto.com/postcontent.aspx?tId=195007","http://bbs.12365auto.com/postcontent.aspx?tId=195007")</f>
        <v>http://bbs.12365auto.com/postcontent.aspx?tId=195007</v>
      </c>
      <c r="G2912" s="2"/>
      <c r="H2912" s="2" t="s">
        <v>4185</v>
      </c>
      <c r="I2912" s="2" t="s">
        <v>15</v>
      </c>
      <c r="J2912" s="2" t="s">
        <v>4186</v>
      </c>
      <c r="K2912" s="2" t="s">
        <v>4187</v>
      </c>
      <c r="L2912" s="2">
        <f t="shared" si="45"/>
        <v>45</v>
      </c>
    </row>
    <row r="2913" spans="1:12" ht="25" customHeight="1">
      <c r="A2913" s="2" t="s">
        <v>12</v>
      </c>
      <c r="B2913" s="2" t="str">
        <f>HYPERLINK("http://bbs.12365auto.com/postcontent.aspx?tID=195007","广汽传祺某店人去楼空 欠一批买主的合格证")</f>
        <v>广汽传祺某店人去楼空 欠一批买主的合格证</v>
      </c>
      <c r="C2913" s="2" t="s">
        <v>13</v>
      </c>
      <c r="D2913" s="2" t="s">
        <v>12</v>
      </c>
      <c r="E2913" s="2" t="s">
        <v>28</v>
      </c>
      <c r="F2913" s="2" t="str">
        <f>HYPERLINK("http://bbs.12365auto.com/postcontent.aspx?tID=195007","http://bbs.12365auto.com/postcontent.aspx?tID=195007")</f>
        <v>http://bbs.12365auto.com/postcontent.aspx?tID=195007</v>
      </c>
      <c r="G2913" s="2"/>
      <c r="H2913" s="2" t="s">
        <v>4188</v>
      </c>
      <c r="I2913" s="2" t="s">
        <v>15</v>
      </c>
      <c r="J2913" s="2" t="s">
        <v>4186</v>
      </c>
      <c r="K2913" s="2" t="s">
        <v>4187</v>
      </c>
      <c r="L2913" s="2">
        <f t="shared" si="45"/>
        <v>65</v>
      </c>
    </row>
    <row r="2914" spans="1:12" ht="25" customHeight="1">
      <c r="A2914" s="2" t="s">
        <v>12</v>
      </c>
      <c r="B2914" s="2" t="str">
        <f>HYPERLINK("http://www.12365auto.com/zlts/20200224/448508.shtml","东风日产轩逸变速箱漏油要求厂家处理")</f>
        <v>东风日产轩逸变速箱漏油要求厂家处理</v>
      </c>
      <c r="C2914" s="2" t="s">
        <v>13</v>
      </c>
      <c r="D2914" s="2" t="s">
        <v>12</v>
      </c>
      <c r="E2914" s="2" t="s">
        <v>17</v>
      </c>
      <c r="F2914" s="2" t="str">
        <f>HYPERLINK("http://www.12365auto.com/zlts/20200224/448508.shtml","http://www.12365auto.com/zlts/20200224/448508.shtml")</f>
        <v>http://www.12365auto.com/zlts/20200224/448508.shtml</v>
      </c>
      <c r="G2914" s="2"/>
      <c r="H2914" s="2" t="s">
        <v>4189</v>
      </c>
      <c r="I2914" s="2" t="s">
        <v>19</v>
      </c>
      <c r="J2914" s="2" t="s">
        <v>12</v>
      </c>
      <c r="K2914" s="2" t="s">
        <v>4190</v>
      </c>
      <c r="L2914" s="2">
        <f t="shared" si="45"/>
        <v>150</v>
      </c>
    </row>
    <row r="2915" spans="1:12" ht="25" customHeight="1">
      <c r="A2915" s="2" t="s">
        <v>12</v>
      </c>
      <c r="B2915" s="2" t="str">
        <f>HYPERLINK("http://m.12365auto.com/zjdy/20200224/121583.shtml","销售顾问说自己要有录音就退差价合理吗？")</f>
        <v>销售顾问说自己要有录音就退差价合理吗？</v>
      </c>
      <c r="C2915" s="2" t="s">
        <v>13</v>
      </c>
      <c r="D2915" s="2" t="s">
        <v>12</v>
      </c>
      <c r="E2915" s="2"/>
      <c r="F2915" s="2" t="str">
        <f>HYPERLINK("http://m.12365auto.com/zjdy/20200224/121583.shtml","http://m.12365auto.com/zjdy/20200224/121583.shtml")</f>
        <v>http://m.12365auto.com/zjdy/20200224/121583.shtml</v>
      </c>
      <c r="G2915" s="2"/>
      <c r="H2915" s="2" t="s">
        <v>4191</v>
      </c>
      <c r="I2915" s="2" t="s">
        <v>19</v>
      </c>
      <c r="J2915" s="2" t="s">
        <v>12</v>
      </c>
      <c r="K2915" s="2" t="s">
        <v>4192</v>
      </c>
      <c r="L2915" s="2">
        <f t="shared" si="45"/>
        <v>46</v>
      </c>
    </row>
    <row r="2916" spans="1:12" ht="25" customHeight="1">
      <c r="A2916" s="2" t="s">
        <v>12</v>
      </c>
      <c r="B2916" s="2" t="str">
        <f>HYPERLINK("http://bbs.12365auto.com/postcontent.aspx?tId=195005","D-MAX激情者四驱越野房车 提供了一个最佳的生活空间")</f>
        <v>D-MAX激情者四驱越野房车 提供了一个最佳的生活空间</v>
      </c>
      <c r="C2916" s="2" t="s">
        <v>13</v>
      </c>
      <c r="D2916" s="2" t="s">
        <v>12</v>
      </c>
      <c r="E2916" s="2" t="s">
        <v>210</v>
      </c>
      <c r="F2916" s="2" t="str">
        <f>HYPERLINK("http://bbs.12365auto.com/postcontent.aspx?tId=195005","http://bbs.12365auto.com/postcontent.aspx?tId=195005")</f>
        <v>http://bbs.12365auto.com/postcontent.aspx?tId=195005</v>
      </c>
      <c r="G2916" s="2"/>
      <c r="H2916" s="2" t="s">
        <v>4193</v>
      </c>
      <c r="I2916" s="2" t="s">
        <v>15</v>
      </c>
      <c r="J2916" s="2" t="s">
        <v>3269</v>
      </c>
      <c r="K2916" s="2" t="s">
        <v>4194</v>
      </c>
      <c r="L2916" s="2">
        <f t="shared" si="45"/>
        <v>150</v>
      </c>
    </row>
    <row r="2917" spans="1:12" ht="25" customHeight="1">
      <c r="A2917" s="2" t="s">
        <v>12</v>
      </c>
      <c r="B2917" s="2" t="str">
        <f>HYPERLINK("http://m.12365auto.com/bbs/postcontent.aspx?tID=195005","D-MAX激情者四驱越野房车 提供了一个最佳的生活空间")</f>
        <v>D-MAX激情者四驱越野房车 提供了一个最佳的生活空间</v>
      </c>
      <c r="C2917" s="2" t="s">
        <v>13</v>
      </c>
      <c r="D2917" s="2" t="s">
        <v>23</v>
      </c>
      <c r="E2917" s="2"/>
      <c r="F2917" s="2" t="str">
        <f>HYPERLINK("http://m.12365auto.com/bbs/postcontent.aspx?tID=195005","http://m.12365auto.com/bbs/postcontent.aspx?tID=195005")</f>
        <v>http://m.12365auto.com/bbs/postcontent.aspx?tID=195005</v>
      </c>
      <c r="G2917" s="2"/>
      <c r="H2917" s="2" t="s">
        <v>4193</v>
      </c>
      <c r="I2917" s="2" t="s">
        <v>15</v>
      </c>
      <c r="J2917" s="2" t="s">
        <v>3269</v>
      </c>
      <c r="K2917" s="2" t="s">
        <v>4194</v>
      </c>
      <c r="L2917" s="2">
        <f t="shared" si="45"/>
        <v>150</v>
      </c>
    </row>
    <row r="2918" spans="1:12" ht="25" customHeight="1">
      <c r="A2918" s="2" t="s">
        <v>12</v>
      </c>
      <c r="B2918" s="2" t="str">
        <f>HYPERLINK("http://bbs.12365auto.com/postcontent.aspx?tID=195005","D-MAX激情者四驱越野房车 提供了一个最佳的生活空间")</f>
        <v>D-MAX激情者四驱越野房车 提供了一个最佳的生活空间</v>
      </c>
      <c r="C2918" s="2" t="s">
        <v>13</v>
      </c>
      <c r="D2918" s="2" t="s">
        <v>12</v>
      </c>
      <c r="E2918" s="2" t="s">
        <v>214</v>
      </c>
      <c r="F2918" s="2" t="str">
        <f>HYPERLINK("http://bbs.12365auto.com/postcontent.aspx?tID=195005","http://bbs.12365auto.com/postcontent.aspx?tID=195005")</f>
        <v>http://bbs.12365auto.com/postcontent.aspx?tID=195005</v>
      </c>
      <c r="G2918" s="2"/>
      <c r="H2918" s="2" t="s">
        <v>4195</v>
      </c>
      <c r="I2918" s="2" t="s">
        <v>15</v>
      </c>
      <c r="J2918" s="2" t="s">
        <v>3269</v>
      </c>
      <c r="K2918" s="2" t="s">
        <v>4194</v>
      </c>
      <c r="L2918" s="2">
        <f t="shared" si="45"/>
        <v>150</v>
      </c>
    </row>
    <row r="2919" spans="1:12" ht="25" customHeight="1">
      <c r="A2919" s="2" t="s">
        <v>12</v>
      </c>
      <c r="B2919" s="2" t="str">
        <f>HYPERLINK("http://m.12365auto.com/xcdg/20200224/419413.shtml","吉利ICON新车上市 售价11.58―12.88万元")</f>
        <v>吉利ICON新车上市 售价11.58―12.88万元</v>
      </c>
      <c r="C2919" s="2" t="s">
        <v>13</v>
      </c>
      <c r="D2919" s="2" t="s">
        <v>12</v>
      </c>
      <c r="E2919" s="2"/>
      <c r="F2919" s="2" t="str">
        <f>HYPERLINK("http://m.12365auto.com/xcdg/20200224/419413.shtml","http://m.12365auto.com/xcdg/20200224/419413.shtml")</f>
        <v>http://m.12365auto.com/xcdg/20200224/419413.shtml</v>
      </c>
      <c r="G2919" s="2"/>
      <c r="H2919" s="2" t="s">
        <v>4196</v>
      </c>
      <c r="I2919" s="2" t="s">
        <v>19</v>
      </c>
      <c r="J2919" s="2" t="s">
        <v>12</v>
      </c>
      <c r="K2919" s="2" t="s">
        <v>4197</v>
      </c>
      <c r="L2919" s="2">
        <f t="shared" si="45"/>
        <v>150</v>
      </c>
    </row>
    <row r="2920" spans="1:12" ht="25" customHeight="1">
      <c r="A2920" s="2" t="s">
        <v>12</v>
      </c>
      <c r="B2920" s="2" t="str">
        <f>HYPERLINK("http://www.12365auto.com/xcdg/20200224/419413.shtml","吉利ICON新车上市 售价11.58—12.88万元")</f>
        <v>吉利ICON新车上市 售价11.58—12.88万元</v>
      </c>
      <c r="C2920" s="2" t="s">
        <v>13</v>
      </c>
      <c r="D2920" s="2" t="s">
        <v>12</v>
      </c>
      <c r="E2920" s="2" t="s">
        <v>216</v>
      </c>
      <c r="F2920" s="2" t="str">
        <f>HYPERLINK("http://www.12365auto.com/xcdg/20200224/419413.shtml","http://www.12365auto.com/xcdg/20200224/419413.shtml")</f>
        <v>http://www.12365auto.com/xcdg/20200224/419413.shtml</v>
      </c>
      <c r="G2920" s="2"/>
      <c r="H2920" s="2" t="s">
        <v>4198</v>
      </c>
      <c r="I2920" s="2" t="s">
        <v>15</v>
      </c>
      <c r="J2920" s="2" t="s">
        <v>12</v>
      </c>
      <c r="K2920" s="2" t="s">
        <v>4197</v>
      </c>
      <c r="L2920" s="2">
        <f t="shared" si="45"/>
        <v>150</v>
      </c>
    </row>
    <row r="2921" spans="1:12" ht="25" customHeight="1">
      <c r="A2921" s="2" t="s">
        <v>12</v>
      </c>
      <c r="B2921" s="2" t="str">
        <f>HYPERLINK("http://www.12365auto.com/zlts/20200224/448507.shtml","广汽本田冠道高速正常行驶突然失去动力")</f>
        <v>广汽本田冠道高速正常行驶突然失去动力</v>
      </c>
      <c r="C2921" s="2" t="s">
        <v>13</v>
      </c>
      <c r="D2921" s="2" t="s">
        <v>12</v>
      </c>
      <c r="E2921" s="2" t="s">
        <v>17</v>
      </c>
      <c r="F2921" s="2" t="str">
        <f>HYPERLINK("http://www.12365auto.com/zlts/20200224/448507.shtml","http://www.12365auto.com/zlts/20200224/448507.shtml")</f>
        <v>http://www.12365auto.com/zlts/20200224/448507.shtml</v>
      </c>
      <c r="G2921" s="2"/>
      <c r="H2921" s="2" t="s">
        <v>4199</v>
      </c>
      <c r="I2921" s="2" t="s">
        <v>19</v>
      </c>
      <c r="J2921" s="2" t="s">
        <v>12</v>
      </c>
      <c r="K2921" s="2" t="s">
        <v>4200</v>
      </c>
      <c r="L2921" s="2">
        <f t="shared" si="45"/>
        <v>150</v>
      </c>
    </row>
    <row r="2922" spans="1:12" ht="25" customHeight="1">
      <c r="A2922" s="2" t="s">
        <v>12</v>
      </c>
      <c r="B2922" s="2" t="str">
        <f>HYPERLINK("http://www.12365auto.com/zlts/20200224/448506.shtml","上汽大众朗逸新车发动机运转时有异响")</f>
        <v>上汽大众朗逸新车发动机运转时有异响</v>
      </c>
      <c r="C2922" s="2" t="s">
        <v>13</v>
      </c>
      <c r="D2922" s="2" t="s">
        <v>12</v>
      </c>
      <c r="E2922" s="2" t="s">
        <v>17</v>
      </c>
      <c r="F2922" s="2" t="str">
        <f>HYPERLINK("http://www.12365auto.com/zlts/20200224/448506.shtml","http://www.12365auto.com/zlts/20200224/448506.shtml")</f>
        <v>http://www.12365auto.com/zlts/20200224/448506.shtml</v>
      </c>
      <c r="G2922" s="2"/>
      <c r="H2922" s="2" t="s">
        <v>4201</v>
      </c>
      <c r="I2922" s="2" t="s">
        <v>19</v>
      </c>
      <c r="J2922" s="2" t="s">
        <v>12</v>
      </c>
      <c r="K2922" s="2" t="s">
        <v>4202</v>
      </c>
      <c r="L2922" s="2">
        <f t="shared" si="45"/>
        <v>150</v>
      </c>
    </row>
    <row r="2923" spans="1:12" ht="25" customHeight="1">
      <c r="A2923" s="2" t="s">
        <v>12</v>
      </c>
      <c r="B2923" s="2" t="str">
        <f>HYPERLINK("http://www.12365auto.com/zlts/20200224/448504.shtml","北京现代领动一挡升二挡时变速箱有异响")</f>
        <v>北京现代领动一挡升二挡时变速箱有异响</v>
      </c>
      <c r="C2923" s="2" t="s">
        <v>13</v>
      </c>
      <c r="D2923" s="2" t="s">
        <v>12</v>
      </c>
      <c r="E2923" s="2" t="s">
        <v>17</v>
      </c>
      <c r="F2923" s="2" t="str">
        <f>HYPERLINK("http://www.12365auto.com/zlts/20200224/448504.shtml","http://www.12365auto.com/zlts/20200224/448504.shtml")</f>
        <v>http://www.12365auto.com/zlts/20200224/448504.shtml</v>
      </c>
      <c r="G2923" s="2"/>
      <c r="H2923" s="2" t="s">
        <v>4203</v>
      </c>
      <c r="I2923" s="2" t="s">
        <v>19</v>
      </c>
      <c r="J2923" s="2" t="s">
        <v>12</v>
      </c>
      <c r="K2923" s="2" t="s">
        <v>4204</v>
      </c>
      <c r="L2923" s="2">
        <f t="shared" si="45"/>
        <v>150</v>
      </c>
    </row>
    <row r="2924" spans="1:12" ht="25" customHeight="1">
      <c r="A2924" s="2" t="s">
        <v>12</v>
      </c>
      <c r="B2924" s="2" t="str">
        <f>HYPERLINK("http://bbs.12365auto.com/postcontent.aspx?tId=195002","广汽菲克菲亚特菲翔无法换挡发动机高温")</f>
        <v>广汽菲克菲亚特菲翔无法换挡发动机高温</v>
      </c>
      <c r="C2924" s="2" t="s">
        <v>13</v>
      </c>
      <c r="D2924" s="2" t="s">
        <v>12</v>
      </c>
      <c r="E2924" s="2" t="s">
        <v>66</v>
      </c>
      <c r="F2924" s="2" t="str">
        <f>HYPERLINK("http://bbs.12365auto.com/postcontent.aspx?tId=195002","http://bbs.12365auto.com/postcontent.aspx?tId=195002")</f>
        <v>http://bbs.12365auto.com/postcontent.aspx?tId=195002</v>
      </c>
      <c r="G2924" s="2"/>
      <c r="H2924" s="2" t="s">
        <v>4205</v>
      </c>
      <c r="I2924" s="2" t="s">
        <v>15</v>
      </c>
      <c r="J2924" s="2" t="s">
        <v>4206</v>
      </c>
      <c r="K2924" s="2" t="s">
        <v>4207</v>
      </c>
      <c r="L2924" s="2">
        <f t="shared" si="45"/>
        <v>120</v>
      </c>
    </row>
    <row r="2925" spans="1:12" ht="25" customHeight="1">
      <c r="A2925" s="2" t="s">
        <v>12</v>
      </c>
      <c r="B2925" s="2" t="str">
        <f>HYPERLINK("http://m.12365auto.com/bbs/postcontent.aspx?tID=195002","广汽菲克菲亚特菲翔无法换挡发动机高温")</f>
        <v>广汽菲克菲亚特菲翔无法换挡发动机高温</v>
      </c>
      <c r="C2925" s="2" t="s">
        <v>13</v>
      </c>
      <c r="D2925" s="2" t="s">
        <v>23</v>
      </c>
      <c r="E2925" s="2"/>
      <c r="F2925" s="2" t="str">
        <f>HYPERLINK("http://m.12365auto.com/bbs/postcontent.aspx?tID=195002","http://m.12365auto.com/bbs/postcontent.aspx?tID=195002")</f>
        <v>http://m.12365auto.com/bbs/postcontent.aspx?tID=195002</v>
      </c>
      <c r="G2925" s="2"/>
      <c r="H2925" s="2" t="s">
        <v>4205</v>
      </c>
      <c r="I2925" s="2" t="s">
        <v>15</v>
      </c>
      <c r="J2925" s="2" t="s">
        <v>4206</v>
      </c>
      <c r="K2925" s="2" t="s">
        <v>4207</v>
      </c>
      <c r="L2925" s="2">
        <f t="shared" si="45"/>
        <v>120</v>
      </c>
    </row>
    <row r="2926" spans="1:12" ht="25" customHeight="1">
      <c r="A2926" s="2" t="s">
        <v>12</v>
      </c>
      <c r="B2926" s="2" t="str">
        <f>HYPERLINK("http://bbs.12365auto.com/postcontent.aspx?tID=195002","广汽菲克菲亚特菲翔无法换挡发动机高温")</f>
        <v>广汽菲克菲亚特菲翔无法换挡发动机高温</v>
      </c>
      <c r="C2926" s="2" t="s">
        <v>13</v>
      </c>
      <c r="D2926" s="2" t="s">
        <v>12</v>
      </c>
      <c r="E2926" s="2" t="s">
        <v>67</v>
      </c>
      <c r="F2926" s="2" t="str">
        <f>HYPERLINK("http://bbs.12365auto.com/postcontent.aspx?tID=195002","http://bbs.12365auto.com/postcontent.aspx?tID=195002")</f>
        <v>http://bbs.12365auto.com/postcontent.aspx?tID=195002</v>
      </c>
      <c r="G2926" s="2"/>
      <c r="H2926" s="2" t="s">
        <v>4208</v>
      </c>
      <c r="I2926" s="2" t="s">
        <v>15</v>
      </c>
      <c r="J2926" s="2" t="s">
        <v>4206</v>
      </c>
      <c r="K2926" s="2" t="s">
        <v>4207</v>
      </c>
      <c r="L2926" s="2">
        <f t="shared" si="45"/>
        <v>138</v>
      </c>
    </row>
    <row r="2927" spans="1:12" ht="25" customHeight="1">
      <c r="A2927" s="2" t="s">
        <v>12</v>
      </c>
      <c r="B2927" s="2" t="str">
        <f>HYPERLINK("http://bbs.12365auto.com/postcontent.aspx?tID=195001","每年的车辆保养项目有哪些")</f>
        <v>每年的车辆保养项目有哪些</v>
      </c>
      <c r="C2927" s="2" t="s">
        <v>13</v>
      </c>
      <c r="D2927" s="2" t="s">
        <v>12</v>
      </c>
      <c r="E2927" s="2" t="s">
        <v>4209</v>
      </c>
      <c r="F2927" s="2" t="str">
        <f>HYPERLINK("http://bbs.12365auto.com/postcontent.aspx?tID=195001","http://bbs.12365auto.com/postcontent.aspx?tID=195001")</f>
        <v>http://bbs.12365auto.com/postcontent.aspx?tID=195001</v>
      </c>
      <c r="G2927" s="2"/>
      <c r="H2927" s="2" t="s">
        <v>4210</v>
      </c>
      <c r="I2927" s="2" t="s">
        <v>15</v>
      </c>
      <c r="J2927" s="2" t="s">
        <v>1446</v>
      </c>
      <c r="K2927" s="2" t="s">
        <v>4211</v>
      </c>
      <c r="L2927" s="2">
        <f t="shared" si="45"/>
        <v>150</v>
      </c>
    </row>
    <row r="2928" spans="1:12" ht="25" customHeight="1">
      <c r="A2928" s="2" t="s">
        <v>12</v>
      </c>
      <c r="B2928" s="2" t="str">
        <f>HYPERLINK("http://bbs.12365auto.com/postcontent.aspx?tId=195001","每年的车辆保养项目有哪些")</f>
        <v>每年的车辆保养项目有哪些</v>
      </c>
      <c r="C2928" s="2" t="s">
        <v>13</v>
      </c>
      <c r="D2928" s="2" t="s">
        <v>12</v>
      </c>
      <c r="E2928" s="2" t="s">
        <v>4212</v>
      </c>
      <c r="F2928" s="2" t="str">
        <f>HYPERLINK("http://bbs.12365auto.com/postcontent.aspx?tId=195001","http://bbs.12365auto.com/postcontent.aspx?tId=195001")</f>
        <v>http://bbs.12365auto.com/postcontent.aspx?tId=195001</v>
      </c>
      <c r="G2928" s="2"/>
      <c r="H2928" s="2" t="s">
        <v>4213</v>
      </c>
      <c r="I2928" s="2" t="s">
        <v>15</v>
      </c>
      <c r="J2928" s="2" t="s">
        <v>1446</v>
      </c>
      <c r="K2928" s="2" t="s">
        <v>4211</v>
      </c>
      <c r="L2928" s="2">
        <f t="shared" si="45"/>
        <v>150</v>
      </c>
    </row>
    <row r="2929" spans="1:12" ht="25" customHeight="1">
      <c r="A2929" s="2" t="s">
        <v>12</v>
      </c>
      <c r="B2929" s="2" t="str">
        <f>HYPERLINK("http://www.12365auto.com/zlts/20200224/448501.shtml","一汽大众迈腾正时链条故障启动困难")</f>
        <v>一汽大众迈腾正时链条故障启动困难</v>
      </c>
      <c r="C2929" s="2" t="s">
        <v>13</v>
      </c>
      <c r="D2929" s="2" t="s">
        <v>12</v>
      </c>
      <c r="E2929" s="2" t="s">
        <v>17</v>
      </c>
      <c r="F2929" s="2" t="str">
        <f>HYPERLINK("http://www.12365auto.com/zlts/20200224/448501.shtml","http://www.12365auto.com/zlts/20200224/448501.shtml")</f>
        <v>http://www.12365auto.com/zlts/20200224/448501.shtml</v>
      </c>
      <c r="G2929" s="2"/>
      <c r="H2929" s="2" t="s">
        <v>4214</v>
      </c>
      <c r="I2929" s="2" t="s">
        <v>19</v>
      </c>
      <c r="J2929" s="2" t="s">
        <v>12</v>
      </c>
      <c r="K2929" s="2" t="s">
        <v>4211</v>
      </c>
      <c r="L2929" s="2">
        <f t="shared" si="45"/>
        <v>150</v>
      </c>
    </row>
    <row r="2930" spans="1:12" ht="25" customHeight="1">
      <c r="A2930" s="2" t="s">
        <v>12</v>
      </c>
      <c r="B2930" s="2" t="str">
        <f>HYPERLINK("http://m.12365auto.com/bbs/postcontent.aspx?tID=195001","每年的车辆保养项目有哪些")</f>
        <v>每年的车辆保养项目有哪些</v>
      </c>
      <c r="C2930" s="2" t="s">
        <v>13</v>
      </c>
      <c r="D2930" s="2" t="s">
        <v>23</v>
      </c>
      <c r="E2930" s="2"/>
      <c r="F2930" s="2" t="str">
        <f>HYPERLINK("http://m.12365auto.com/bbs/postcontent.aspx?tID=195001","http://m.12365auto.com/bbs/postcontent.aspx?tID=195001")</f>
        <v>http://m.12365auto.com/bbs/postcontent.aspx?tID=195001</v>
      </c>
      <c r="G2930" s="2"/>
      <c r="H2930" s="2" t="s">
        <v>4213</v>
      </c>
      <c r="I2930" s="2" t="s">
        <v>15</v>
      </c>
      <c r="J2930" s="2" t="s">
        <v>1446</v>
      </c>
      <c r="K2930" s="2" t="s">
        <v>4211</v>
      </c>
      <c r="L2930" s="2">
        <f t="shared" si="45"/>
        <v>150</v>
      </c>
    </row>
    <row r="2931" spans="1:12" ht="25" customHeight="1">
      <c r="A2931" s="2" t="s">
        <v>12</v>
      </c>
      <c r="B2931" s="2" t="str">
        <f>HYPERLINK("http://bbs.12365auto.com/postcontent.aspx?tId=195000","上汽大众凌渡低速行驶时变速箱顿挫异响")</f>
        <v>上汽大众凌渡低速行驶时变速箱顿挫异响</v>
      </c>
      <c r="C2931" s="2" t="s">
        <v>13</v>
      </c>
      <c r="D2931" s="2" t="s">
        <v>12</v>
      </c>
      <c r="E2931" s="2" t="s">
        <v>66</v>
      </c>
      <c r="F2931" s="2" t="str">
        <f>HYPERLINK("http://bbs.12365auto.com/postcontent.aspx?tId=195000","http://bbs.12365auto.com/postcontent.aspx?tId=195000")</f>
        <v>http://bbs.12365auto.com/postcontent.aspx?tId=195000</v>
      </c>
      <c r="G2931" s="2"/>
      <c r="H2931" s="2" t="s">
        <v>4215</v>
      </c>
      <c r="I2931" s="2" t="s">
        <v>15</v>
      </c>
      <c r="J2931" s="2" t="s">
        <v>4216</v>
      </c>
      <c r="K2931" s="2" t="s">
        <v>4211</v>
      </c>
      <c r="L2931" s="2">
        <f t="shared" si="45"/>
        <v>26</v>
      </c>
    </row>
    <row r="2932" spans="1:12" ht="25" customHeight="1">
      <c r="A2932" s="2" t="s">
        <v>12</v>
      </c>
      <c r="B2932" s="2" t="str">
        <f>HYPERLINK("http://bbs.12365auto.com/postcontent.aspx?tId=194998","北京现代胜达电瓶厂家不发配件")</f>
        <v>北京现代胜达电瓶厂家不发配件</v>
      </c>
      <c r="C2932" s="2" t="s">
        <v>13</v>
      </c>
      <c r="D2932" s="2" t="s">
        <v>12</v>
      </c>
      <c r="E2932" s="2" t="s">
        <v>66</v>
      </c>
      <c r="F2932" s="2" t="str">
        <f>HYPERLINK("http://bbs.12365auto.com/postcontent.aspx?tId=194998","http://bbs.12365auto.com/postcontent.aspx?tId=194998")</f>
        <v>http://bbs.12365auto.com/postcontent.aspx?tId=194998</v>
      </c>
      <c r="G2932" s="2"/>
      <c r="H2932" s="2" t="s">
        <v>4217</v>
      </c>
      <c r="I2932" s="2" t="s">
        <v>15</v>
      </c>
      <c r="J2932" s="2" t="s">
        <v>4218</v>
      </c>
      <c r="K2932" s="2" t="s">
        <v>4211</v>
      </c>
      <c r="L2932" s="2">
        <f t="shared" si="45"/>
        <v>52</v>
      </c>
    </row>
    <row r="2933" spans="1:12" ht="25" customHeight="1">
      <c r="A2933" s="2" t="s">
        <v>12</v>
      </c>
      <c r="B2933" s="2" t="str">
        <f>HYPERLINK("http://bbs.12365auto.com/postcontent.aspx?tID=195000","上汽大众凌渡低速行驶时变速箱顿挫异响")</f>
        <v>上汽大众凌渡低速行驶时变速箱顿挫异响</v>
      </c>
      <c r="C2933" s="2" t="s">
        <v>13</v>
      </c>
      <c r="D2933" s="2" t="s">
        <v>12</v>
      </c>
      <c r="E2933" s="2" t="s">
        <v>67</v>
      </c>
      <c r="F2933" s="2" t="str">
        <f>HYPERLINK("http://bbs.12365auto.com/postcontent.aspx?tID=195000","http://bbs.12365auto.com/postcontent.aspx?tID=195000")</f>
        <v>http://bbs.12365auto.com/postcontent.aspx?tID=195000</v>
      </c>
      <c r="G2933" s="2"/>
      <c r="H2933" s="2" t="s">
        <v>4219</v>
      </c>
      <c r="I2933" s="2" t="s">
        <v>15</v>
      </c>
      <c r="J2933" s="2" t="s">
        <v>4216</v>
      </c>
      <c r="K2933" s="2" t="s">
        <v>4211</v>
      </c>
      <c r="L2933" s="2">
        <f t="shared" si="45"/>
        <v>44</v>
      </c>
    </row>
    <row r="2934" spans="1:12" ht="25" customHeight="1">
      <c r="A2934" s="2" t="s">
        <v>12</v>
      </c>
      <c r="B2934" s="2" t="str">
        <f>HYPERLINK("http://bbs.12365auto.com/postcontent.aspx?tID=194998","北京现代胜达电瓶厂家不发配件")</f>
        <v>北京现代胜达电瓶厂家不发配件</v>
      </c>
      <c r="C2934" s="2" t="s">
        <v>13</v>
      </c>
      <c r="D2934" s="2" t="s">
        <v>12</v>
      </c>
      <c r="E2934" s="2" t="s">
        <v>67</v>
      </c>
      <c r="F2934" s="2" t="str">
        <f>HYPERLINK("http://bbs.12365auto.com/postcontent.aspx?tID=194998","http://bbs.12365auto.com/postcontent.aspx?tID=194998")</f>
        <v>http://bbs.12365auto.com/postcontent.aspx?tID=194998</v>
      </c>
      <c r="G2934" s="2"/>
      <c r="H2934" s="2" t="s">
        <v>4220</v>
      </c>
      <c r="I2934" s="2" t="s">
        <v>15</v>
      </c>
      <c r="J2934" s="2" t="s">
        <v>4218</v>
      </c>
      <c r="K2934" s="2" t="s">
        <v>4211</v>
      </c>
      <c r="L2934" s="2">
        <f t="shared" si="45"/>
        <v>66</v>
      </c>
    </row>
    <row r="2935" spans="1:12" ht="25" customHeight="1">
      <c r="A2935" s="2" t="s">
        <v>12</v>
      </c>
      <c r="B2935" s="2" t="str">
        <f>HYPERLINK("http://m.12365auto.com/bbs/postcontent.aspx?tID=195000","上汽大众凌渡低速行驶时变速箱顿挫异响")</f>
        <v>上汽大众凌渡低速行驶时变速箱顿挫异响</v>
      </c>
      <c r="C2935" s="2" t="s">
        <v>13</v>
      </c>
      <c r="D2935" s="2" t="s">
        <v>23</v>
      </c>
      <c r="E2935" s="2"/>
      <c r="F2935" s="2" t="str">
        <f>HYPERLINK("http://m.12365auto.com/bbs/postcontent.aspx?tID=195000","http://m.12365auto.com/bbs/postcontent.aspx?tID=195000")</f>
        <v>http://m.12365auto.com/bbs/postcontent.aspx?tID=195000</v>
      </c>
      <c r="G2935" s="2"/>
      <c r="H2935" s="2" t="s">
        <v>4215</v>
      </c>
      <c r="I2935" s="2" t="s">
        <v>15</v>
      </c>
      <c r="J2935" s="2" t="s">
        <v>4216</v>
      </c>
      <c r="K2935" s="2" t="s">
        <v>4211</v>
      </c>
      <c r="L2935" s="2">
        <f t="shared" si="45"/>
        <v>26</v>
      </c>
    </row>
    <row r="2936" spans="1:12" ht="25" customHeight="1">
      <c r="A2936" s="2" t="s">
        <v>12</v>
      </c>
      <c r="B2936" s="2" t="str">
        <f>HYPERLINK("http://m.12365auto.com/bbs/postcontent.aspx?tID=194998","北京现代胜达电瓶厂家不发配件")</f>
        <v>北京现代胜达电瓶厂家不发配件</v>
      </c>
      <c r="C2936" s="2" t="s">
        <v>13</v>
      </c>
      <c r="D2936" s="2" t="s">
        <v>23</v>
      </c>
      <c r="E2936" s="2"/>
      <c r="F2936" s="2" t="str">
        <f>HYPERLINK("http://m.12365auto.com/bbs/postcontent.aspx?tID=194998","http://m.12365auto.com/bbs/postcontent.aspx?tID=194998")</f>
        <v>http://m.12365auto.com/bbs/postcontent.aspx?tID=194998</v>
      </c>
      <c r="G2936" s="2"/>
      <c r="H2936" s="2" t="s">
        <v>4217</v>
      </c>
      <c r="I2936" s="2" t="s">
        <v>15</v>
      </c>
      <c r="J2936" s="2" t="s">
        <v>4218</v>
      </c>
      <c r="K2936" s="2" t="s">
        <v>4211</v>
      </c>
      <c r="L2936" s="2">
        <f t="shared" si="45"/>
        <v>52</v>
      </c>
    </row>
    <row r="2937" spans="1:12" ht="25" customHeight="1">
      <c r="A2937" s="2" t="s">
        <v>12</v>
      </c>
      <c r="B2937" s="2" t="str">
        <f>HYPERLINK("http://bbs.12365auto.com/postcontent.aspx?tId=194997","华晨中华V6发动机烧机油 进气管窜机油")</f>
        <v>华晨中华V6发动机烧机油 进气管窜机油</v>
      </c>
      <c r="C2937" s="2" t="s">
        <v>13</v>
      </c>
      <c r="D2937" s="2" t="s">
        <v>12</v>
      </c>
      <c r="E2937" s="2" t="s">
        <v>66</v>
      </c>
      <c r="F2937" s="2" t="str">
        <f>HYPERLINK("http://bbs.12365auto.com/postcontent.aspx?tId=194997","http://bbs.12365auto.com/postcontent.aspx?tId=194997")</f>
        <v>http://bbs.12365auto.com/postcontent.aspx?tId=194997</v>
      </c>
      <c r="G2937" s="2"/>
      <c r="H2937" s="2" t="s">
        <v>4221</v>
      </c>
      <c r="I2937" s="2" t="s">
        <v>15</v>
      </c>
      <c r="J2937" s="2" t="s">
        <v>4222</v>
      </c>
      <c r="K2937" s="2" t="s">
        <v>4223</v>
      </c>
      <c r="L2937" s="2">
        <f t="shared" si="45"/>
        <v>29</v>
      </c>
    </row>
    <row r="2938" spans="1:12" ht="25" customHeight="1">
      <c r="A2938" s="2" t="s">
        <v>12</v>
      </c>
      <c r="B2938" s="2" t="str">
        <f>HYPERLINK("http://m.12365auto.com/bbs/postcontent.aspx?tID=194997","华晨中华V6发动机烧机油 进气管窜机油")</f>
        <v>华晨中华V6发动机烧机油 进气管窜机油</v>
      </c>
      <c r="C2938" s="2" t="s">
        <v>13</v>
      </c>
      <c r="D2938" s="2" t="s">
        <v>23</v>
      </c>
      <c r="E2938" s="2"/>
      <c r="F2938" s="2" t="str">
        <f>HYPERLINK("http://m.12365auto.com/bbs/postcontent.aspx?tID=194997","http://m.12365auto.com/bbs/postcontent.aspx?tID=194997")</f>
        <v>http://m.12365auto.com/bbs/postcontent.aspx?tID=194997</v>
      </c>
      <c r="G2938" s="2"/>
      <c r="H2938" s="2" t="s">
        <v>4221</v>
      </c>
      <c r="I2938" s="2" t="s">
        <v>15</v>
      </c>
      <c r="J2938" s="2" t="s">
        <v>4222</v>
      </c>
      <c r="K2938" s="2" t="s">
        <v>4223</v>
      </c>
      <c r="L2938" s="2">
        <f t="shared" si="45"/>
        <v>29</v>
      </c>
    </row>
    <row r="2939" spans="1:12" ht="25" customHeight="1">
      <c r="A2939" s="2" t="s">
        <v>12</v>
      </c>
      <c r="B2939" s="2" t="str">
        <f>HYPERLINK("http://bbs.12365auto.com/postcontent.aspx?tID=194997","华晨中华V6发动机烧机油 进气管窜机油")</f>
        <v>华晨中华V6发动机烧机油 进气管窜机油</v>
      </c>
      <c r="C2939" s="2" t="s">
        <v>13</v>
      </c>
      <c r="D2939" s="2" t="s">
        <v>12</v>
      </c>
      <c r="E2939" s="2" t="s">
        <v>67</v>
      </c>
      <c r="F2939" s="2" t="str">
        <f>HYPERLINK("http://bbs.12365auto.com/postcontent.aspx?tID=194997","http://bbs.12365auto.com/postcontent.aspx?tID=194997")</f>
        <v>http://bbs.12365auto.com/postcontent.aspx?tID=194997</v>
      </c>
      <c r="G2939" s="2"/>
      <c r="H2939" s="2" t="s">
        <v>4224</v>
      </c>
      <c r="I2939" s="2" t="s">
        <v>15</v>
      </c>
      <c r="J2939" s="2" t="s">
        <v>4222</v>
      </c>
      <c r="K2939" s="2" t="s">
        <v>4223</v>
      </c>
      <c r="L2939" s="2">
        <f t="shared" si="45"/>
        <v>48</v>
      </c>
    </row>
    <row r="2940" spans="1:12" ht="25" customHeight="1">
      <c r="A2940" s="2" t="s">
        <v>12</v>
      </c>
      <c r="B2940" s="2" t="str">
        <f>HYPERLINK("http://www.12365auto.com/zlts/20200224/448499.shtml","吉利缤越置换补贴迟迟没有到帐 承诺不兑现")</f>
        <v>吉利缤越置换补贴迟迟没有到帐 承诺不兑现</v>
      </c>
      <c r="C2940" s="2" t="s">
        <v>13</v>
      </c>
      <c r="D2940" s="2" t="s">
        <v>12</v>
      </c>
      <c r="E2940" s="2" t="s">
        <v>17</v>
      </c>
      <c r="F2940" s="2" t="str">
        <f>HYPERLINK("http://www.12365auto.com/zlts/20200224/448499.shtml","http://www.12365auto.com/zlts/20200224/448499.shtml")</f>
        <v>http://www.12365auto.com/zlts/20200224/448499.shtml</v>
      </c>
      <c r="G2940" s="2"/>
      <c r="H2940" s="2" t="s">
        <v>4225</v>
      </c>
      <c r="I2940" s="2" t="s">
        <v>15</v>
      </c>
      <c r="J2940" s="2" t="s">
        <v>12</v>
      </c>
      <c r="K2940" s="2" t="s">
        <v>4226</v>
      </c>
      <c r="L2940" s="2">
        <f t="shared" si="45"/>
        <v>150</v>
      </c>
    </row>
    <row r="2941" spans="1:12" ht="25" customHeight="1">
      <c r="A2941" s="2" t="s">
        <v>12</v>
      </c>
      <c r="B2941" s="2" t="str">
        <f>HYPERLINK("http://www.12365auto.com/zlts/20200224/448494.shtml","广汽丰田凯美瑞中控仪表台出油反光")</f>
        <v>广汽丰田凯美瑞中控仪表台出油反光</v>
      </c>
      <c r="C2941" s="2" t="s">
        <v>13</v>
      </c>
      <c r="D2941" s="2" t="s">
        <v>12</v>
      </c>
      <c r="E2941" s="2" t="s">
        <v>17</v>
      </c>
      <c r="F2941" s="2" t="str">
        <f>HYPERLINK("http://www.12365auto.com/zlts/20200224/448494.shtml","http://www.12365auto.com/zlts/20200224/448494.shtml")</f>
        <v>http://www.12365auto.com/zlts/20200224/448494.shtml</v>
      </c>
      <c r="G2941" s="2"/>
      <c r="H2941" s="2" t="s">
        <v>4227</v>
      </c>
      <c r="I2941" s="2" t="s">
        <v>19</v>
      </c>
      <c r="J2941" s="2" t="s">
        <v>12</v>
      </c>
      <c r="K2941" s="2" t="s">
        <v>4228</v>
      </c>
      <c r="L2941" s="2">
        <f t="shared" si="45"/>
        <v>150</v>
      </c>
    </row>
    <row r="2942" spans="1:12" ht="25" customHeight="1">
      <c r="A2942" s="2" t="s">
        <v>12</v>
      </c>
      <c r="B2942" s="2" t="str">
        <f>HYPERLINK("http://www.12365auto.com/zlts/20200224/448493.shtml","进口大众辉腾天窗漏水导致车辆无法正常使用")</f>
        <v>进口大众辉腾天窗漏水导致车辆无法正常使用</v>
      </c>
      <c r="C2942" s="2" t="s">
        <v>13</v>
      </c>
      <c r="D2942" s="2" t="s">
        <v>12</v>
      </c>
      <c r="E2942" s="2" t="s">
        <v>17</v>
      </c>
      <c r="F2942" s="2" t="str">
        <f>HYPERLINK("http://www.12365auto.com/zlts/20200224/448493.shtml","http://www.12365auto.com/zlts/20200224/448493.shtml")</f>
        <v>http://www.12365auto.com/zlts/20200224/448493.shtml</v>
      </c>
      <c r="G2942" s="2"/>
      <c r="H2942" s="2" t="s">
        <v>4229</v>
      </c>
      <c r="I2942" s="2" t="s">
        <v>19</v>
      </c>
      <c r="J2942" s="2" t="s">
        <v>12</v>
      </c>
      <c r="K2942" s="2" t="s">
        <v>4230</v>
      </c>
      <c r="L2942" s="2">
        <f t="shared" si="45"/>
        <v>150</v>
      </c>
    </row>
    <row r="2943" spans="1:12" ht="25" customHeight="1">
      <c r="A2943" s="2" t="s">
        <v>12</v>
      </c>
      <c r="B2943" s="2" t="str">
        <f>HYPERLINK("http://bbs.12365auto.com/postcontent.aspx?tId=194996","一汽丰田锐志配件质量差导致频繁故障")</f>
        <v>一汽丰田锐志配件质量差导致频繁故障</v>
      </c>
      <c r="C2943" s="2" t="s">
        <v>13</v>
      </c>
      <c r="D2943" s="2" t="s">
        <v>12</v>
      </c>
      <c r="E2943" s="2" t="s">
        <v>66</v>
      </c>
      <c r="F2943" s="2" t="str">
        <f>HYPERLINK("http://bbs.12365auto.com/postcontent.aspx?tId=194996","http://bbs.12365auto.com/postcontent.aspx?tId=194996")</f>
        <v>http://bbs.12365auto.com/postcontent.aspx?tId=194996</v>
      </c>
      <c r="G2943" s="2"/>
      <c r="H2943" s="2" t="s">
        <v>4231</v>
      </c>
      <c r="I2943" s="2" t="s">
        <v>15</v>
      </c>
      <c r="J2943" s="2" t="s">
        <v>4232</v>
      </c>
      <c r="K2943" s="2" t="s">
        <v>4230</v>
      </c>
      <c r="L2943" s="2">
        <f t="shared" si="45"/>
        <v>150</v>
      </c>
    </row>
    <row r="2944" spans="1:12" ht="25" customHeight="1">
      <c r="A2944" s="2" t="s">
        <v>12</v>
      </c>
      <c r="B2944" s="2" t="str">
        <f>HYPERLINK("http://bbs.12365auto.com/postcontent.aspx?tID=194995","长安CS15发动机漏油怠速不稳")</f>
        <v>长安CS15发动机漏油怠速不稳</v>
      </c>
      <c r="C2944" s="2" t="s">
        <v>13</v>
      </c>
      <c r="D2944" s="2" t="s">
        <v>12</v>
      </c>
      <c r="E2944" s="2" t="s">
        <v>67</v>
      </c>
      <c r="F2944" s="2" t="str">
        <f>HYPERLINK("http://bbs.12365auto.com/postcontent.aspx?tID=194995","http://bbs.12365auto.com/postcontent.aspx?tID=194995")</f>
        <v>http://bbs.12365auto.com/postcontent.aspx?tID=194995</v>
      </c>
      <c r="G2944" s="2"/>
      <c r="H2944" s="2" t="s">
        <v>4233</v>
      </c>
      <c r="I2944" s="2" t="s">
        <v>15</v>
      </c>
      <c r="J2944" s="2" t="s">
        <v>4234</v>
      </c>
      <c r="K2944" s="2" t="s">
        <v>4230</v>
      </c>
      <c r="L2944" s="2">
        <f t="shared" si="45"/>
        <v>124</v>
      </c>
    </row>
    <row r="2945" spans="1:12" ht="25" customHeight="1">
      <c r="A2945" s="2" t="s">
        <v>12</v>
      </c>
      <c r="B2945" s="2" t="str">
        <f>HYPERLINK("http://bbs.12365auto.com/postcontent.aspx?tId=194995","长安CS15发动机漏油怠速不稳")</f>
        <v>长安CS15发动机漏油怠速不稳</v>
      </c>
      <c r="C2945" s="2" t="s">
        <v>13</v>
      </c>
      <c r="D2945" s="2" t="s">
        <v>12</v>
      </c>
      <c r="E2945" s="2" t="s">
        <v>66</v>
      </c>
      <c r="F2945" s="2" t="str">
        <f>HYPERLINK("http://bbs.12365auto.com/postcontent.aspx?tId=194995","http://bbs.12365auto.com/postcontent.aspx?tId=194995")</f>
        <v>http://bbs.12365auto.com/postcontent.aspx?tId=194995</v>
      </c>
      <c r="G2945" s="2"/>
      <c r="H2945" s="2" t="s">
        <v>4235</v>
      </c>
      <c r="I2945" s="2" t="s">
        <v>15</v>
      </c>
      <c r="J2945" s="2" t="s">
        <v>4234</v>
      </c>
      <c r="K2945" s="2" t="s">
        <v>4230</v>
      </c>
      <c r="L2945" s="2">
        <f t="shared" si="45"/>
        <v>109</v>
      </c>
    </row>
    <row r="2946" spans="1:12" ht="25" customHeight="1">
      <c r="A2946" s="2" t="s">
        <v>12</v>
      </c>
      <c r="B2946" s="2" t="str">
        <f>HYPERLINK("http://m.12365auto.com/bbs/postcontent.aspx?tID=194995","长安CS15发动机漏油怠速不稳")</f>
        <v>长安CS15发动机漏油怠速不稳</v>
      </c>
      <c r="C2946" s="2" t="s">
        <v>13</v>
      </c>
      <c r="D2946" s="2" t="s">
        <v>23</v>
      </c>
      <c r="E2946" s="2"/>
      <c r="F2946" s="2" t="str">
        <f>HYPERLINK("http://m.12365auto.com/bbs/postcontent.aspx?tID=194995","http://m.12365auto.com/bbs/postcontent.aspx?tID=194995")</f>
        <v>http://m.12365auto.com/bbs/postcontent.aspx?tID=194995</v>
      </c>
      <c r="G2946" s="2"/>
      <c r="H2946" s="2" t="s">
        <v>4235</v>
      </c>
      <c r="I2946" s="2" t="s">
        <v>15</v>
      </c>
      <c r="J2946" s="2" t="s">
        <v>4234</v>
      </c>
      <c r="K2946" s="2" t="s">
        <v>4230</v>
      </c>
      <c r="L2946" s="2">
        <f t="shared" si="45"/>
        <v>109</v>
      </c>
    </row>
    <row r="2947" spans="1:12" ht="25" customHeight="1">
      <c r="A2947" s="2" t="s">
        <v>12</v>
      </c>
      <c r="B2947" s="2" t="str">
        <f>HYPERLINK("http://m.12365auto.com/bbs/postcontent.aspx?tID=194996","一汽丰田锐志配件质量差导致频繁故障")</f>
        <v>一汽丰田锐志配件质量差导致频繁故障</v>
      </c>
      <c r="C2947" s="2" t="s">
        <v>13</v>
      </c>
      <c r="D2947" s="2" t="s">
        <v>23</v>
      </c>
      <c r="E2947" s="2"/>
      <c r="F2947" s="2" t="str">
        <f>HYPERLINK("http://m.12365auto.com/bbs/postcontent.aspx?tID=194996","http://m.12365auto.com/bbs/postcontent.aspx?tID=194996")</f>
        <v>http://m.12365auto.com/bbs/postcontent.aspx?tID=194996</v>
      </c>
      <c r="G2947" s="2"/>
      <c r="H2947" s="2" t="s">
        <v>4231</v>
      </c>
      <c r="I2947" s="2" t="s">
        <v>15</v>
      </c>
      <c r="J2947" s="2" t="s">
        <v>4232</v>
      </c>
      <c r="K2947" s="2" t="s">
        <v>4230</v>
      </c>
      <c r="L2947" s="2">
        <f t="shared" ref="L2947:L3010" si="46">LEN(H2947)</f>
        <v>150</v>
      </c>
    </row>
    <row r="2948" spans="1:12" ht="25" customHeight="1">
      <c r="A2948" s="2" t="s">
        <v>12</v>
      </c>
      <c r="B2948" s="2" t="str">
        <f>HYPERLINK("http://bbs.12365auto.com/postcontent.aspx?tID=194996","一汽丰田锐志配件质量差导致频繁故障")</f>
        <v>一汽丰田锐志配件质量差导致频繁故障</v>
      </c>
      <c r="C2948" s="2" t="s">
        <v>13</v>
      </c>
      <c r="D2948" s="2" t="s">
        <v>12</v>
      </c>
      <c r="E2948" s="2" t="s">
        <v>67</v>
      </c>
      <c r="F2948" s="2" t="str">
        <f>HYPERLINK("http://bbs.12365auto.com/postcontent.aspx?tID=194996","http://bbs.12365auto.com/postcontent.aspx?tID=194996")</f>
        <v>http://bbs.12365auto.com/postcontent.aspx?tID=194996</v>
      </c>
      <c r="G2948" s="2"/>
      <c r="H2948" s="2" t="s">
        <v>4236</v>
      </c>
      <c r="I2948" s="2" t="s">
        <v>15</v>
      </c>
      <c r="J2948" s="2" t="s">
        <v>4232</v>
      </c>
      <c r="K2948" s="2" t="s">
        <v>4230</v>
      </c>
      <c r="L2948" s="2">
        <f t="shared" si="46"/>
        <v>150</v>
      </c>
    </row>
    <row r="2949" spans="1:12" ht="25" customHeight="1">
      <c r="A2949" s="2" t="s">
        <v>12</v>
      </c>
      <c r="B2949" s="2" t="str">
        <f>HYPERLINK("http://www.12365auto.com/zlts/20200224/448492.shtml","北京现代途胜升级后发动机油耗高 动力弱")</f>
        <v>北京现代途胜升级后发动机油耗高 动力弱</v>
      </c>
      <c r="C2949" s="2" t="s">
        <v>13</v>
      </c>
      <c r="D2949" s="2" t="s">
        <v>12</v>
      </c>
      <c r="E2949" s="2" t="s">
        <v>17</v>
      </c>
      <c r="F2949" s="2" t="str">
        <f>HYPERLINK("http://www.12365auto.com/zlts/20200224/448492.shtml","http://www.12365auto.com/zlts/20200224/448492.shtml")</f>
        <v>http://www.12365auto.com/zlts/20200224/448492.shtml</v>
      </c>
      <c r="G2949" s="2"/>
      <c r="H2949" s="2" t="s">
        <v>4237</v>
      </c>
      <c r="I2949" s="2" t="s">
        <v>19</v>
      </c>
      <c r="J2949" s="2" t="s">
        <v>12</v>
      </c>
      <c r="K2949" s="2" t="s">
        <v>4238</v>
      </c>
      <c r="L2949" s="2">
        <f t="shared" si="46"/>
        <v>150</v>
      </c>
    </row>
    <row r="2950" spans="1:12" ht="25" customHeight="1">
      <c r="A2950" s="2" t="s">
        <v>12</v>
      </c>
      <c r="B2950" s="2" t="str">
        <f>HYPERLINK("http://bbs.12365auto.com/postcontent.aspx?tId=194994","北京现代悦纳半轴油封渗油很严重")</f>
        <v>北京现代悦纳半轴油封渗油很严重</v>
      </c>
      <c r="C2950" s="2" t="s">
        <v>13</v>
      </c>
      <c r="D2950" s="2" t="s">
        <v>12</v>
      </c>
      <c r="E2950" s="2" t="s">
        <v>66</v>
      </c>
      <c r="F2950" s="2" t="str">
        <f>HYPERLINK("http://bbs.12365auto.com/postcontent.aspx?tId=194994","http://bbs.12365auto.com/postcontent.aspx?tId=194994")</f>
        <v>http://bbs.12365auto.com/postcontent.aspx?tId=194994</v>
      </c>
      <c r="G2950" s="2"/>
      <c r="H2950" s="2" t="s">
        <v>4239</v>
      </c>
      <c r="I2950" s="2" t="s">
        <v>15</v>
      </c>
      <c r="J2950" s="2" t="s">
        <v>4240</v>
      </c>
      <c r="K2950" s="2" t="s">
        <v>4238</v>
      </c>
      <c r="L2950" s="2">
        <f t="shared" si="46"/>
        <v>81</v>
      </c>
    </row>
    <row r="2951" spans="1:12" ht="25" customHeight="1">
      <c r="A2951" s="2" t="s">
        <v>12</v>
      </c>
      <c r="B2951" s="2" t="str">
        <f>HYPERLINK("http://m.12365auto.com/bbs/postcontent.aspx?tID=194994","北京现代悦纳半轴油封渗油很严重")</f>
        <v>北京现代悦纳半轴油封渗油很严重</v>
      </c>
      <c r="C2951" s="2" t="s">
        <v>13</v>
      </c>
      <c r="D2951" s="2" t="s">
        <v>23</v>
      </c>
      <c r="E2951" s="2"/>
      <c r="F2951" s="2" t="str">
        <f>HYPERLINK("http://m.12365auto.com/bbs/postcontent.aspx?tID=194994","http://m.12365auto.com/bbs/postcontent.aspx?tID=194994")</f>
        <v>http://m.12365auto.com/bbs/postcontent.aspx?tID=194994</v>
      </c>
      <c r="G2951" s="2"/>
      <c r="H2951" s="2" t="s">
        <v>4239</v>
      </c>
      <c r="I2951" s="2" t="s">
        <v>15</v>
      </c>
      <c r="J2951" s="2" t="s">
        <v>4240</v>
      </c>
      <c r="K2951" s="2" t="s">
        <v>4238</v>
      </c>
      <c r="L2951" s="2">
        <f t="shared" si="46"/>
        <v>81</v>
      </c>
    </row>
    <row r="2952" spans="1:12" ht="25" customHeight="1">
      <c r="A2952" s="2" t="s">
        <v>12</v>
      </c>
      <c r="B2952" s="2" t="str">
        <f>HYPERLINK("http://bbs.12365auto.com/postcontent.aspx?tID=194994","北京现代悦纳半轴油封渗油很严重")</f>
        <v>北京现代悦纳半轴油封渗油很严重</v>
      </c>
      <c r="C2952" s="2" t="s">
        <v>13</v>
      </c>
      <c r="D2952" s="2" t="s">
        <v>12</v>
      </c>
      <c r="E2952" s="2" t="s">
        <v>67</v>
      </c>
      <c r="F2952" s="2" t="str">
        <f>HYPERLINK("http://bbs.12365auto.com/postcontent.aspx?tID=194994","http://bbs.12365auto.com/postcontent.aspx?tID=194994")</f>
        <v>http://bbs.12365auto.com/postcontent.aspx?tID=194994</v>
      </c>
      <c r="G2952" s="2"/>
      <c r="H2952" s="2" t="s">
        <v>4241</v>
      </c>
      <c r="I2952" s="2" t="s">
        <v>15</v>
      </c>
      <c r="J2952" s="2" t="s">
        <v>4240</v>
      </c>
      <c r="K2952" s="2" t="s">
        <v>4238</v>
      </c>
      <c r="L2952" s="2">
        <f t="shared" si="46"/>
        <v>96</v>
      </c>
    </row>
    <row r="2953" spans="1:12" ht="25" customHeight="1">
      <c r="A2953" s="2" t="s">
        <v>12</v>
      </c>
      <c r="B2953" s="2" t="str">
        <f>HYPERLINK("http://bbs.12365auto.com/postcontent.aspx?tID=194993","进口宝马3系GT方向盘皮质局部褶皱褶痕")</f>
        <v>进口宝马3系GT方向盘皮质局部褶皱褶痕</v>
      </c>
      <c r="C2953" s="2" t="s">
        <v>13</v>
      </c>
      <c r="D2953" s="2" t="s">
        <v>12</v>
      </c>
      <c r="E2953" s="2" t="s">
        <v>67</v>
      </c>
      <c r="F2953" s="2" t="str">
        <f>HYPERLINK("http://bbs.12365auto.com/postcontent.aspx?tID=194993","http://bbs.12365auto.com/postcontent.aspx?tID=194993")</f>
        <v>http://bbs.12365auto.com/postcontent.aspx?tID=194993</v>
      </c>
      <c r="G2953" s="2"/>
      <c r="H2953" s="2" t="s">
        <v>4242</v>
      </c>
      <c r="I2953" s="2" t="s">
        <v>15</v>
      </c>
      <c r="J2953" s="2" t="s">
        <v>4243</v>
      </c>
      <c r="K2953" s="2" t="s">
        <v>4244</v>
      </c>
      <c r="L2953" s="2">
        <f t="shared" si="46"/>
        <v>100</v>
      </c>
    </row>
    <row r="2954" spans="1:12" ht="25" customHeight="1">
      <c r="A2954" s="2" t="s">
        <v>12</v>
      </c>
      <c r="B2954" s="2" t="str">
        <f>HYPERLINK("http://bbs.12365auto.com/postcontent.aspx?tID=194991","长安凌轩悬挂故障导致车身变形")</f>
        <v>长安凌轩悬挂故障导致车身变形</v>
      </c>
      <c r="C2954" s="2" t="s">
        <v>13</v>
      </c>
      <c r="D2954" s="2" t="s">
        <v>12</v>
      </c>
      <c r="E2954" s="2" t="s">
        <v>67</v>
      </c>
      <c r="F2954" s="2" t="str">
        <f>HYPERLINK("http://bbs.12365auto.com/postcontent.aspx?tID=194991","http://bbs.12365auto.com/postcontent.aspx?tID=194991")</f>
        <v>http://bbs.12365auto.com/postcontent.aspx?tID=194991</v>
      </c>
      <c r="G2954" s="2"/>
      <c r="H2954" s="2" t="s">
        <v>4245</v>
      </c>
      <c r="I2954" s="2" t="s">
        <v>15</v>
      </c>
      <c r="J2954" s="2" t="s">
        <v>4246</v>
      </c>
      <c r="K2954" s="2" t="s">
        <v>4244</v>
      </c>
      <c r="L2954" s="2">
        <f t="shared" si="46"/>
        <v>77</v>
      </c>
    </row>
    <row r="2955" spans="1:12" ht="25" customHeight="1">
      <c r="A2955" s="2" t="s">
        <v>12</v>
      </c>
      <c r="B2955" s="2" t="str">
        <f>HYPERLINK("http://bbs.12365auto.com/postcontent.aspx?tID=194992","一汽吉林森雅R7发动机冷却水泵无货")</f>
        <v>一汽吉林森雅R7发动机冷却水泵无货</v>
      </c>
      <c r="C2955" s="2" t="s">
        <v>13</v>
      </c>
      <c r="D2955" s="2" t="s">
        <v>12</v>
      </c>
      <c r="E2955" s="2" t="s">
        <v>67</v>
      </c>
      <c r="F2955" s="2" t="str">
        <f>HYPERLINK("http://bbs.12365auto.com/postcontent.aspx?tID=194992","http://bbs.12365auto.com/postcontent.aspx?tID=194992")</f>
        <v>http://bbs.12365auto.com/postcontent.aspx?tID=194992</v>
      </c>
      <c r="G2955" s="2"/>
      <c r="H2955" s="2" t="s">
        <v>4247</v>
      </c>
      <c r="I2955" s="2" t="s">
        <v>15</v>
      </c>
      <c r="J2955" s="2" t="s">
        <v>4248</v>
      </c>
      <c r="K2955" s="2" t="s">
        <v>4244</v>
      </c>
      <c r="L2955" s="2">
        <f t="shared" si="46"/>
        <v>63</v>
      </c>
    </row>
    <row r="2956" spans="1:12" ht="25" customHeight="1">
      <c r="A2956" s="2" t="s">
        <v>12</v>
      </c>
      <c r="B2956" s="2" t="str">
        <f>HYPERLINK("http://bbs.12365auto.com/postcontent.aspx?tId=194993","进口宝马3系GT方向盘皮质局部褶皱褶痕")</f>
        <v>进口宝马3系GT方向盘皮质局部褶皱褶痕</v>
      </c>
      <c r="C2956" s="2" t="s">
        <v>13</v>
      </c>
      <c r="D2956" s="2" t="s">
        <v>12</v>
      </c>
      <c r="E2956" s="2" t="s">
        <v>66</v>
      </c>
      <c r="F2956" s="2" t="str">
        <f>HYPERLINK("http://bbs.12365auto.com/postcontent.aspx?tId=194993","http://bbs.12365auto.com/postcontent.aspx?tId=194993")</f>
        <v>http://bbs.12365auto.com/postcontent.aspx?tId=194993</v>
      </c>
      <c r="G2956" s="2"/>
      <c r="H2956" s="2" t="s">
        <v>4249</v>
      </c>
      <c r="I2956" s="2" t="s">
        <v>15</v>
      </c>
      <c r="J2956" s="2" t="s">
        <v>4243</v>
      </c>
      <c r="K2956" s="2" t="s">
        <v>4244</v>
      </c>
      <c r="L2956" s="2">
        <f t="shared" si="46"/>
        <v>81</v>
      </c>
    </row>
    <row r="2957" spans="1:12" ht="25" customHeight="1">
      <c r="A2957" s="2" t="s">
        <v>12</v>
      </c>
      <c r="B2957" s="2" t="str">
        <f>HYPERLINK("http://bbs.12365auto.com/postcontent.aspx?tId=194992","一汽吉林森雅R7发动机冷却水泵无货")</f>
        <v>一汽吉林森雅R7发动机冷却水泵无货</v>
      </c>
      <c r="C2957" s="2" t="s">
        <v>13</v>
      </c>
      <c r="D2957" s="2" t="s">
        <v>12</v>
      </c>
      <c r="E2957" s="2" t="s">
        <v>66</v>
      </c>
      <c r="F2957" s="2" t="str">
        <f>HYPERLINK("http://bbs.12365auto.com/postcontent.aspx?tId=194992","http://bbs.12365auto.com/postcontent.aspx?tId=194992")</f>
        <v>http://bbs.12365auto.com/postcontent.aspx?tId=194992</v>
      </c>
      <c r="G2957" s="2"/>
      <c r="H2957" s="2" t="s">
        <v>4250</v>
      </c>
      <c r="I2957" s="2" t="s">
        <v>15</v>
      </c>
      <c r="J2957" s="2" t="s">
        <v>4248</v>
      </c>
      <c r="K2957" s="2" t="s">
        <v>4244</v>
      </c>
      <c r="L2957" s="2">
        <f t="shared" si="46"/>
        <v>46</v>
      </c>
    </row>
    <row r="2958" spans="1:12" ht="25" customHeight="1">
      <c r="A2958" s="2" t="s">
        <v>12</v>
      </c>
      <c r="B2958" s="2" t="str">
        <f>HYPERLINK("http://bbs.12365auto.com/postcontent.aspx?tId=194991","长安凌轩悬挂故障导致车身变形")</f>
        <v>长安凌轩悬挂故障导致车身变形</v>
      </c>
      <c r="C2958" s="2" t="s">
        <v>13</v>
      </c>
      <c r="D2958" s="2" t="s">
        <v>12</v>
      </c>
      <c r="E2958" s="2" t="s">
        <v>66</v>
      </c>
      <c r="F2958" s="2" t="str">
        <f>HYPERLINK("http://bbs.12365auto.com/postcontent.aspx?tId=194991","http://bbs.12365auto.com/postcontent.aspx?tId=194991")</f>
        <v>http://bbs.12365auto.com/postcontent.aspx?tId=194991</v>
      </c>
      <c r="G2958" s="2"/>
      <c r="H2958" s="2" t="s">
        <v>4251</v>
      </c>
      <c r="I2958" s="2" t="s">
        <v>15</v>
      </c>
      <c r="J2958" s="2" t="s">
        <v>4246</v>
      </c>
      <c r="K2958" s="2" t="s">
        <v>4244</v>
      </c>
      <c r="L2958" s="2">
        <f t="shared" si="46"/>
        <v>63</v>
      </c>
    </row>
    <row r="2959" spans="1:12" ht="25" customHeight="1">
      <c r="A2959" s="2" t="s">
        <v>12</v>
      </c>
      <c r="B2959" s="2" t="str">
        <f>HYPERLINK("http://m.12365auto.com/bbs/postcontent.aspx?tID=194993","进口宝马3系GT方向盘皮质局部褶皱褶痕")</f>
        <v>进口宝马3系GT方向盘皮质局部褶皱褶痕</v>
      </c>
      <c r="C2959" s="2" t="s">
        <v>13</v>
      </c>
      <c r="D2959" s="2" t="s">
        <v>23</v>
      </c>
      <c r="E2959" s="2"/>
      <c r="F2959" s="2" t="str">
        <f>HYPERLINK("http://m.12365auto.com/bbs/postcontent.aspx?tID=194993","http://m.12365auto.com/bbs/postcontent.aspx?tID=194993")</f>
        <v>http://m.12365auto.com/bbs/postcontent.aspx?tID=194993</v>
      </c>
      <c r="G2959" s="2"/>
      <c r="H2959" s="2" t="s">
        <v>4249</v>
      </c>
      <c r="I2959" s="2" t="s">
        <v>15</v>
      </c>
      <c r="J2959" s="2" t="s">
        <v>4243</v>
      </c>
      <c r="K2959" s="2" t="s">
        <v>4244</v>
      </c>
      <c r="L2959" s="2">
        <f t="shared" si="46"/>
        <v>81</v>
      </c>
    </row>
    <row r="2960" spans="1:12" ht="25" customHeight="1">
      <c r="A2960" s="2" t="s">
        <v>12</v>
      </c>
      <c r="B2960" s="2" t="str">
        <f>HYPERLINK("http://m.12365auto.com/bbs/postcontent.aspx?tID=194992","一汽吉林森雅R7发动机冷却水泵无货")</f>
        <v>一汽吉林森雅R7发动机冷却水泵无货</v>
      </c>
      <c r="C2960" s="2" t="s">
        <v>13</v>
      </c>
      <c r="D2960" s="2" t="s">
        <v>23</v>
      </c>
      <c r="E2960" s="2"/>
      <c r="F2960" s="2" t="str">
        <f>HYPERLINK("http://m.12365auto.com/bbs/postcontent.aspx?tID=194992","http://m.12365auto.com/bbs/postcontent.aspx?tID=194992")</f>
        <v>http://m.12365auto.com/bbs/postcontent.aspx?tID=194992</v>
      </c>
      <c r="G2960" s="2"/>
      <c r="H2960" s="2" t="s">
        <v>4250</v>
      </c>
      <c r="I2960" s="2" t="s">
        <v>15</v>
      </c>
      <c r="J2960" s="2" t="s">
        <v>4248</v>
      </c>
      <c r="K2960" s="2" t="s">
        <v>4244</v>
      </c>
      <c r="L2960" s="2">
        <f t="shared" si="46"/>
        <v>46</v>
      </c>
    </row>
    <row r="2961" spans="1:12" ht="25" customHeight="1">
      <c r="A2961" s="2" t="s">
        <v>12</v>
      </c>
      <c r="B2961" s="2" t="str">
        <f>HYPERLINK("http://bbs.12365auto.com/postcontent.aspx?tID=194990","东风本田思域发动机缺缸行驶过程中失速")</f>
        <v>东风本田思域发动机缺缸行驶过程中失速</v>
      </c>
      <c r="C2961" s="2" t="s">
        <v>13</v>
      </c>
      <c r="D2961" s="2" t="s">
        <v>12</v>
      </c>
      <c r="E2961" s="2" t="s">
        <v>67</v>
      </c>
      <c r="F2961" s="2" t="str">
        <f>HYPERLINK("http://bbs.12365auto.com/postcontent.aspx?tID=194990","http://bbs.12365auto.com/postcontent.aspx?tID=194990")</f>
        <v>http://bbs.12365auto.com/postcontent.aspx?tID=194990</v>
      </c>
      <c r="G2961" s="2"/>
      <c r="H2961" s="2" t="s">
        <v>4252</v>
      </c>
      <c r="I2961" s="2" t="s">
        <v>15</v>
      </c>
      <c r="J2961" s="2" t="s">
        <v>4253</v>
      </c>
      <c r="K2961" s="2" t="s">
        <v>4254</v>
      </c>
      <c r="L2961" s="2">
        <f t="shared" si="46"/>
        <v>106</v>
      </c>
    </row>
    <row r="2962" spans="1:12" ht="25" customHeight="1">
      <c r="A2962" s="2" t="s">
        <v>12</v>
      </c>
      <c r="B2962" s="2" t="str">
        <f>HYPERLINK("http://bbs.12365auto.com/postcontent.aspx?tId=194989","奇瑞瑞虎5变速箱故障导致无法加速")</f>
        <v>奇瑞瑞虎5变速箱故障导致无法加速</v>
      </c>
      <c r="C2962" s="2" t="s">
        <v>13</v>
      </c>
      <c r="D2962" s="2" t="s">
        <v>12</v>
      </c>
      <c r="E2962" s="2" t="s">
        <v>66</v>
      </c>
      <c r="F2962" s="2" t="str">
        <f>HYPERLINK("http://bbs.12365auto.com/postcontent.aspx?tId=194989","http://bbs.12365auto.com/postcontent.aspx?tId=194989")</f>
        <v>http://bbs.12365auto.com/postcontent.aspx?tId=194989</v>
      </c>
      <c r="G2962" s="2"/>
      <c r="H2962" s="2" t="s">
        <v>4255</v>
      </c>
      <c r="I2962" s="2" t="s">
        <v>15</v>
      </c>
      <c r="J2962" s="2" t="s">
        <v>4256</v>
      </c>
      <c r="K2962" s="2" t="s">
        <v>4254</v>
      </c>
      <c r="L2962" s="2">
        <f t="shared" si="46"/>
        <v>60</v>
      </c>
    </row>
    <row r="2963" spans="1:12" ht="25" customHeight="1">
      <c r="A2963" s="2" t="s">
        <v>12</v>
      </c>
      <c r="B2963" s="2" t="str">
        <f>HYPERLINK("http://bbs.12365auto.com/postcontent.aspx?tId=194990","东风本田思域发动机缺缸行驶过程中失速")</f>
        <v>东风本田思域发动机缺缸行驶过程中失速</v>
      </c>
      <c r="C2963" s="2" t="s">
        <v>13</v>
      </c>
      <c r="D2963" s="2" t="s">
        <v>12</v>
      </c>
      <c r="E2963" s="2" t="s">
        <v>66</v>
      </c>
      <c r="F2963" s="2" t="str">
        <f>HYPERLINK("http://bbs.12365auto.com/postcontent.aspx?tId=194990","http://bbs.12365auto.com/postcontent.aspx?tId=194990")</f>
        <v>http://bbs.12365auto.com/postcontent.aspx?tId=194990</v>
      </c>
      <c r="G2963" s="2"/>
      <c r="H2963" s="2" t="s">
        <v>4257</v>
      </c>
      <c r="I2963" s="2" t="s">
        <v>15</v>
      </c>
      <c r="J2963" s="2" t="s">
        <v>4253</v>
      </c>
      <c r="K2963" s="2" t="s">
        <v>4254</v>
      </c>
      <c r="L2963" s="2">
        <f t="shared" si="46"/>
        <v>88</v>
      </c>
    </row>
    <row r="2964" spans="1:12" ht="25" customHeight="1">
      <c r="A2964" s="2" t="s">
        <v>12</v>
      </c>
      <c r="B2964" s="2" t="str">
        <f>HYPERLINK("http://bbs.12365auto.com/postcontent.aspx?tID=194989","奇瑞瑞虎5变速箱故障导致无法加速")</f>
        <v>奇瑞瑞虎5变速箱故障导致无法加速</v>
      </c>
      <c r="C2964" s="2" t="s">
        <v>13</v>
      </c>
      <c r="D2964" s="2" t="s">
        <v>12</v>
      </c>
      <c r="E2964" s="2" t="s">
        <v>67</v>
      </c>
      <c r="F2964" s="2" t="str">
        <f>HYPERLINK("http://bbs.12365auto.com/postcontent.aspx?tID=194989","http://bbs.12365auto.com/postcontent.aspx?tID=194989")</f>
        <v>http://bbs.12365auto.com/postcontent.aspx?tID=194989</v>
      </c>
      <c r="G2964" s="2"/>
      <c r="H2964" s="2" t="s">
        <v>4258</v>
      </c>
      <c r="I2964" s="2" t="s">
        <v>15</v>
      </c>
      <c r="J2964" s="2" t="s">
        <v>4256</v>
      </c>
      <c r="K2964" s="2" t="s">
        <v>4254</v>
      </c>
      <c r="L2964" s="2">
        <f t="shared" si="46"/>
        <v>76</v>
      </c>
    </row>
    <row r="2965" spans="1:12" ht="25" customHeight="1">
      <c r="A2965" s="2" t="s">
        <v>12</v>
      </c>
      <c r="B2965" s="2" t="str">
        <f>HYPERLINK("http://bbs.12365auto.com/postcontent.aspx?tID=194988","东风悦达起亚K3方向盘卡滞影响安全")</f>
        <v>东风悦达起亚K3方向盘卡滞影响安全</v>
      </c>
      <c r="C2965" s="2" t="s">
        <v>13</v>
      </c>
      <c r="D2965" s="2" t="s">
        <v>12</v>
      </c>
      <c r="E2965" s="2" t="s">
        <v>67</v>
      </c>
      <c r="F2965" s="2" t="str">
        <f>HYPERLINK("http://bbs.12365auto.com/postcontent.aspx?tID=194988","http://bbs.12365auto.com/postcontent.aspx?tID=194988")</f>
        <v>http://bbs.12365auto.com/postcontent.aspx?tID=194988</v>
      </c>
      <c r="G2965" s="2"/>
      <c r="H2965" s="2" t="s">
        <v>4259</v>
      </c>
      <c r="I2965" s="2" t="s">
        <v>15</v>
      </c>
      <c r="J2965" s="2" t="s">
        <v>4260</v>
      </c>
      <c r="K2965" s="2" t="s">
        <v>4261</v>
      </c>
      <c r="L2965" s="2">
        <f t="shared" si="46"/>
        <v>95</v>
      </c>
    </row>
    <row r="2966" spans="1:12" ht="25" customHeight="1">
      <c r="A2966" s="2" t="s">
        <v>12</v>
      </c>
      <c r="B2966" s="2" t="str">
        <f>HYPERLINK("http://bbs.12365auto.com/postcontent.aspx?tId=194988","东风悦达起亚K3方向盘卡滞影响安全")</f>
        <v>东风悦达起亚K3方向盘卡滞影响安全</v>
      </c>
      <c r="C2966" s="2" t="s">
        <v>13</v>
      </c>
      <c r="D2966" s="2" t="s">
        <v>12</v>
      </c>
      <c r="E2966" s="2" t="s">
        <v>66</v>
      </c>
      <c r="F2966" s="2" t="str">
        <f>HYPERLINK("http://bbs.12365auto.com/postcontent.aspx?tId=194988","http://bbs.12365auto.com/postcontent.aspx?tId=194988")</f>
        <v>http://bbs.12365auto.com/postcontent.aspx?tId=194988</v>
      </c>
      <c r="G2966" s="2"/>
      <c r="H2966" s="2" t="s">
        <v>4262</v>
      </c>
      <c r="I2966" s="2" t="s">
        <v>15</v>
      </c>
      <c r="J2966" s="2" t="s">
        <v>4260</v>
      </c>
      <c r="K2966" s="2" t="s">
        <v>4261</v>
      </c>
      <c r="L2966" s="2">
        <f t="shared" si="46"/>
        <v>78</v>
      </c>
    </row>
    <row r="2967" spans="1:12" ht="25" customHeight="1">
      <c r="A2967" s="2" t="s">
        <v>12</v>
      </c>
      <c r="B2967" s="2" t="str">
        <f>HYPERLINK("http://bbs.12365auto.com/postcontent.aspx?tID=194987","吉利EC8仪表液晶显示屏失灵")</f>
        <v>吉利EC8仪表液晶显示屏失灵</v>
      </c>
      <c r="C2967" s="2" t="s">
        <v>13</v>
      </c>
      <c r="D2967" s="2" t="s">
        <v>12</v>
      </c>
      <c r="E2967" s="2" t="s">
        <v>67</v>
      </c>
      <c r="F2967" s="2" t="str">
        <f>HYPERLINK("http://bbs.12365auto.com/postcontent.aspx?tID=194987","http://bbs.12365auto.com/postcontent.aspx?tID=194987")</f>
        <v>http://bbs.12365auto.com/postcontent.aspx?tID=194987</v>
      </c>
      <c r="G2967" s="2"/>
      <c r="H2967" s="2" t="s">
        <v>4263</v>
      </c>
      <c r="I2967" s="2" t="s">
        <v>15</v>
      </c>
      <c r="J2967" s="2" t="s">
        <v>4264</v>
      </c>
      <c r="K2967" s="2" t="s">
        <v>4265</v>
      </c>
      <c r="L2967" s="2">
        <f t="shared" si="46"/>
        <v>67</v>
      </c>
    </row>
    <row r="2968" spans="1:12" ht="25" customHeight="1">
      <c r="A2968" s="2" t="s">
        <v>12</v>
      </c>
      <c r="B2968" s="2" t="str">
        <f>HYPERLINK("http://bbs.12365auto.com/postcontent.aspx?tId=194987","吉利EC8仪表液晶显示屏失灵")</f>
        <v>吉利EC8仪表液晶显示屏失灵</v>
      </c>
      <c r="C2968" s="2" t="s">
        <v>13</v>
      </c>
      <c r="D2968" s="2" t="s">
        <v>12</v>
      </c>
      <c r="E2968" s="2" t="s">
        <v>66</v>
      </c>
      <c r="F2968" s="2" t="str">
        <f>HYPERLINK("http://bbs.12365auto.com/postcontent.aspx?tId=194987","http://bbs.12365auto.com/postcontent.aspx?tId=194987")</f>
        <v>http://bbs.12365auto.com/postcontent.aspx?tId=194987</v>
      </c>
      <c r="G2968" s="2"/>
      <c r="H2968" s="2" t="s">
        <v>4266</v>
      </c>
      <c r="I2968" s="2" t="s">
        <v>15</v>
      </c>
      <c r="J2968" s="2" t="s">
        <v>4264</v>
      </c>
      <c r="K2968" s="2" t="s">
        <v>4265</v>
      </c>
      <c r="L2968" s="2">
        <f t="shared" si="46"/>
        <v>53</v>
      </c>
    </row>
    <row r="2969" spans="1:12" ht="25" customHeight="1">
      <c r="A2969" s="2" t="s">
        <v>12</v>
      </c>
      <c r="B2969" s="2" t="str">
        <f>HYPERLINK("http://www.12365auto.com/zlts/20200224/448491.shtml","众泰T600变速箱报废 厂家无配件无法维修")</f>
        <v>众泰T600变速箱报废 厂家无配件无法维修</v>
      </c>
      <c r="C2969" s="2" t="s">
        <v>13</v>
      </c>
      <c r="D2969" s="2" t="s">
        <v>12</v>
      </c>
      <c r="E2969" s="2" t="s">
        <v>17</v>
      </c>
      <c r="F2969" s="2" t="str">
        <f>HYPERLINK("http://www.12365auto.com/zlts/20200224/448491.shtml","http://www.12365auto.com/zlts/20200224/448491.shtml")</f>
        <v>http://www.12365auto.com/zlts/20200224/448491.shtml</v>
      </c>
      <c r="G2969" s="2"/>
      <c r="H2969" s="2" t="s">
        <v>4267</v>
      </c>
      <c r="I2969" s="2" t="s">
        <v>19</v>
      </c>
      <c r="J2969" s="2" t="s">
        <v>12</v>
      </c>
      <c r="K2969" s="2" t="s">
        <v>4268</v>
      </c>
      <c r="L2969" s="2">
        <f t="shared" si="46"/>
        <v>150</v>
      </c>
    </row>
    <row r="2970" spans="1:12" ht="25" customHeight="1">
      <c r="A2970" s="2" t="s">
        <v>12</v>
      </c>
      <c r="B2970" s="2" t="str">
        <f>HYPERLINK("http://www.12365auto.com/zlts/20200224/448490.shtml","北京现代途胜降挡时变速箱有异常响声")</f>
        <v>北京现代途胜降挡时变速箱有异常响声</v>
      </c>
      <c r="C2970" s="2" t="s">
        <v>13</v>
      </c>
      <c r="D2970" s="2" t="s">
        <v>12</v>
      </c>
      <c r="E2970" s="2" t="s">
        <v>17</v>
      </c>
      <c r="F2970" s="2" t="str">
        <f>HYPERLINK("http://www.12365auto.com/zlts/20200224/448490.shtml","http://www.12365auto.com/zlts/20200224/448490.shtml")</f>
        <v>http://www.12365auto.com/zlts/20200224/448490.shtml</v>
      </c>
      <c r="G2970" s="2"/>
      <c r="H2970" s="2" t="s">
        <v>4269</v>
      </c>
      <c r="I2970" s="2" t="s">
        <v>15</v>
      </c>
      <c r="J2970" s="2" t="s">
        <v>12</v>
      </c>
      <c r="K2970" s="2" t="s">
        <v>4270</v>
      </c>
      <c r="L2970" s="2">
        <f t="shared" si="46"/>
        <v>150</v>
      </c>
    </row>
    <row r="2971" spans="1:12" ht="25" customHeight="1">
      <c r="A2971" s="2" t="s">
        <v>12</v>
      </c>
      <c r="B2971" s="2" t="str">
        <f>HYPERLINK("http://www.12365auto.com/zlts/20200224/448486.shtml","上汽荣威RX5 MAX经销商销售展车要求处理")</f>
        <v>上汽荣威RX5 MAX经销商销售展车要求处理</v>
      </c>
      <c r="C2971" s="2" t="s">
        <v>13</v>
      </c>
      <c r="D2971" s="2" t="s">
        <v>12</v>
      </c>
      <c r="E2971" s="2" t="s">
        <v>17</v>
      </c>
      <c r="F2971" s="2" t="str">
        <f>HYPERLINK("http://www.12365auto.com/zlts/20200224/448486.shtml","http://www.12365auto.com/zlts/20200224/448486.shtml")</f>
        <v>http://www.12365auto.com/zlts/20200224/448486.shtml</v>
      </c>
      <c r="G2971" s="2"/>
      <c r="H2971" s="2" t="s">
        <v>4271</v>
      </c>
      <c r="I2971" s="2" t="s">
        <v>19</v>
      </c>
      <c r="J2971" s="2" t="s">
        <v>12</v>
      </c>
      <c r="K2971" s="2" t="s">
        <v>4272</v>
      </c>
      <c r="L2971" s="2">
        <f t="shared" si="46"/>
        <v>150</v>
      </c>
    </row>
    <row r="2972" spans="1:12" ht="25" customHeight="1">
      <c r="A2972" s="2" t="s">
        <v>12</v>
      </c>
      <c r="B2972" s="2" t="str">
        <f>HYPERLINK("http://m.12365auto.com/zjdy/20200224/121582.shtml","蔚来ES8撞击后会导致镀铬条鼓包吗？")</f>
        <v>蔚来ES8撞击后会导致镀铬条鼓包吗？</v>
      </c>
      <c r="C2972" s="2" t="s">
        <v>13</v>
      </c>
      <c r="D2972" s="2" t="s">
        <v>12</v>
      </c>
      <c r="E2972" s="2"/>
      <c r="F2972" s="2" t="str">
        <f>HYPERLINK("http://m.12365auto.com/zjdy/20200224/121582.shtml","http://m.12365auto.com/zjdy/20200224/121582.shtml")</f>
        <v>http://m.12365auto.com/zjdy/20200224/121582.shtml</v>
      </c>
      <c r="G2972" s="2"/>
      <c r="H2972" s="2" t="s">
        <v>4273</v>
      </c>
      <c r="I2972" s="2" t="s">
        <v>19</v>
      </c>
      <c r="J2972" s="2" t="s">
        <v>12</v>
      </c>
      <c r="K2972" s="2" t="s">
        <v>4274</v>
      </c>
      <c r="L2972" s="2">
        <f t="shared" si="46"/>
        <v>72</v>
      </c>
    </row>
    <row r="2973" spans="1:12" ht="25" customHeight="1">
      <c r="A2973" s="2" t="s">
        <v>12</v>
      </c>
      <c r="B2973" s="2" t="str">
        <f>HYPERLINK("http://www.12365auto.com/zlts/20200224/448484.shtml","北京现代ix35前排座椅下方有生锈的现象")</f>
        <v>北京现代ix35前排座椅下方有生锈的现象</v>
      </c>
      <c r="C2973" s="2" t="s">
        <v>13</v>
      </c>
      <c r="D2973" s="2" t="s">
        <v>12</v>
      </c>
      <c r="E2973" s="2" t="s">
        <v>17</v>
      </c>
      <c r="F2973" s="2" t="str">
        <f>HYPERLINK("http://www.12365auto.com/zlts/20200224/448484.shtml","http://www.12365auto.com/zlts/20200224/448484.shtml")</f>
        <v>http://www.12365auto.com/zlts/20200224/448484.shtml</v>
      </c>
      <c r="G2973" s="2"/>
      <c r="H2973" s="2" t="s">
        <v>4275</v>
      </c>
      <c r="I2973" s="2" t="s">
        <v>19</v>
      </c>
      <c r="J2973" s="2" t="s">
        <v>12</v>
      </c>
      <c r="K2973" s="2" t="s">
        <v>4276</v>
      </c>
      <c r="L2973" s="2">
        <f t="shared" si="46"/>
        <v>150</v>
      </c>
    </row>
    <row r="2974" spans="1:12" ht="25" customHeight="1">
      <c r="A2974" s="2" t="s">
        <v>12</v>
      </c>
      <c r="B2974" s="2" t="str">
        <f>HYPERLINK("http://m.12365auto.com/zjdy/20200224/121581.shtml","方向盘不正是什么原因可以调整拉杆吗？")</f>
        <v>方向盘不正是什么原因可以调整拉杆吗？</v>
      </c>
      <c r="C2974" s="2" t="s">
        <v>13</v>
      </c>
      <c r="D2974" s="2" t="s">
        <v>12</v>
      </c>
      <c r="E2974" s="2"/>
      <c r="F2974" s="2" t="str">
        <f>HYPERLINK("http://m.12365auto.com/zjdy/20200224/121581.shtml","http://m.12365auto.com/zjdy/20200224/121581.shtml")</f>
        <v>http://m.12365auto.com/zjdy/20200224/121581.shtml</v>
      </c>
      <c r="G2974" s="2"/>
      <c r="H2974" s="2" t="s">
        <v>4277</v>
      </c>
      <c r="I2974" s="2" t="s">
        <v>19</v>
      </c>
      <c r="J2974" s="2" t="s">
        <v>12</v>
      </c>
      <c r="K2974" s="2" t="s">
        <v>4278</v>
      </c>
      <c r="L2974" s="2">
        <f t="shared" si="46"/>
        <v>31</v>
      </c>
    </row>
    <row r="2975" spans="1:12" ht="25" customHeight="1">
      <c r="A2975" s="2" t="s">
        <v>12</v>
      </c>
      <c r="B2975" s="2" t="str">
        <f>HYPERLINK("http://www.12365auto.com/zlts/20200224/448482.shtml","吉利EC8仪表液晶显示屏失灵无法使用")</f>
        <v>吉利EC8仪表液晶显示屏失灵无法使用</v>
      </c>
      <c r="C2975" s="2" t="s">
        <v>13</v>
      </c>
      <c r="D2975" s="2" t="s">
        <v>12</v>
      </c>
      <c r="E2975" s="2" t="s">
        <v>17</v>
      </c>
      <c r="F2975" s="2" t="str">
        <f>HYPERLINK("http://www.12365auto.com/zlts/20200224/448482.shtml","http://www.12365auto.com/zlts/20200224/448482.shtml")</f>
        <v>http://www.12365auto.com/zlts/20200224/448482.shtml</v>
      </c>
      <c r="G2975" s="2"/>
      <c r="H2975" s="2" t="s">
        <v>4279</v>
      </c>
      <c r="I2975" s="2" t="s">
        <v>19</v>
      </c>
      <c r="J2975" s="2" t="s">
        <v>12</v>
      </c>
      <c r="K2975" s="2" t="s">
        <v>4280</v>
      </c>
      <c r="L2975" s="2">
        <f t="shared" si="46"/>
        <v>150</v>
      </c>
    </row>
    <row r="2976" spans="1:12" ht="25" customHeight="1">
      <c r="A2976" s="2" t="s">
        <v>12</v>
      </c>
      <c r="B2976" s="2" t="str">
        <f>HYPERLINK("http://m.12365auto.com/zjdy/20200224/121579.shtml","上汽大通G10冷车启动行驶熄火是什么原因？")</f>
        <v>上汽大通G10冷车启动行驶熄火是什么原因？</v>
      </c>
      <c r="C2976" s="2" t="s">
        <v>13</v>
      </c>
      <c r="D2976" s="2" t="s">
        <v>12</v>
      </c>
      <c r="E2976" s="2"/>
      <c r="F2976" s="2" t="str">
        <f>HYPERLINK("http://m.12365auto.com/zjdy/20200224/121579.shtml","http://m.12365auto.com/zjdy/20200224/121579.shtml")</f>
        <v>http://m.12365auto.com/zjdy/20200224/121579.shtml</v>
      </c>
      <c r="G2976" s="2"/>
      <c r="H2976" s="2" t="s">
        <v>4281</v>
      </c>
      <c r="I2976" s="2" t="s">
        <v>19</v>
      </c>
      <c r="J2976" s="2" t="s">
        <v>12</v>
      </c>
      <c r="K2976" s="2" t="s">
        <v>4282</v>
      </c>
      <c r="L2976" s="2">
        <f t="shared" si="46"/>
        <v>37</v>
      </c>
    </row>
    <row r="2977" spans="1:12" ht="25" customHeight="1">
      <c r="A2977" s="2" t="s">
        <v>12</v>
      </c>
      <c r="B2977" s="2" t="str">
        <f>HYPERLINK("http://www.12365auto.com/zlts/20200224/448480.shtml","野马博骏刹车时有异响 车门锁故障")</f>
        <v>野马博骏刹车时有异响 车门锁故障</v>
      </c>
      <c r="C2977" s="2" t="s">
        <v>13</v>
      </c>
      <c r="D2977" s="2" t="s">
        <v>12</v>
      </c>
      <c r="E2977" s="2" t="s">
        <v>17</v>
      </c>
      <c r="F2977" s="2" t="str">
        <f>HYPERLINK("http://www.12365auto.com/zlts/20200224/448480.shtml","http://www.12365auto.com/zlts/20200224/448480.shtml")</f>
        <v>http://www.12365auto.com/zlts/20200224/448480.shtml</v>
      </c>
      <c r="G2977" s="2"/>
      <c r="H2977" s="2" t="s">
        <v>4283</v>
      </c>
      <c r="I2977" s="2" t="s">
        <v>15</v>
      </c>
      <c r="J2977" s="2" t="s">
        <v>12</v>
      </c>
      <c r="K2977" s="2" t="s">
        <v>4284</v>
      </c>
      <c r="L2977" s="2">
        <f t="shared" si="46"/>
        <v>150</v>
      </c>
    </row>
    <row r="2978" spans="1:12" ht="25" customHeight="1">
      <c r="A2978" s="2" t="s">
        <v>12</v>
      </c>
      <c r="B2978" s="2" t="str">
        <f>HYPERLINK("http://www.12365auto.com/zlts/20200224/448479.shtml","奇瑞瑞虎3x发动机异响 一直查不出原因")</f>
        <v>奇瑞瑞虎3x发动机异响 一直查不出原因</v>
      </c>
      <c r="C2978" s="2" t="s">
        <v>13</v>
      </c>
      <c r="D2978" s="2" t="s">
        <v>12</v>
      </c>
      <c r="E2978" s="2" t="s">
        <v>17</v>
      </c>
      <c r="F2978" s="2" t="str">
        <f>HYPERLINK("http://www.12365auto.com/zlts/20200224/448479.shtml","http://www.12365auto.com/zlts/20200224/448479.shtml")</f>
        <v>http://www.12365auto.com/zlts/20200224/448479.shtml</v>
      </c>
      <c r="G2978" s="2"/>
      <c r="H2978" s="2" t="s">
        <v>4285</v>
      </c>
      <c r="I2978" s="2" t="s">
        <v>19</v>
      </c>
      <c r="J2978" s="2" t="s">
        <v>12</v>
      </c>
      <c r="K2978" s="2" t="s">
        <v>4286</v>
      </c>
      <c r="L2978" s="2">
        <f t="shared" si="46"/>
        <v>150</v>
      </c>
    </row>
    <row r="2979" spans="1:12" ht="25" customHeight="1">
      <c r="A2979" s="2" t="s">
        <v>12</v>
      </c>
      <c r="B2979" s="2" t="str">
        <f>HYPERLINK("http://www.12365auto.com/zlts/20200224/448475.shtml","江淮瑞风S2发动机异响一直都没有解决")</f>
        <v>江淮瑞风S2发动机异响一直都没有解决</v>
      </c>
      <c r="C2979" s="2" t="s">
        <v>13</v>
      </c>
      <c r="D2979" s="2" t="s">
        <v>12</v>
      </c>
      <c r="E2979" s="2" t="s">
        <v>17</v>
      </c>
      <c r="F2979" s="2" t="str">
        <f>HYPERLINK("http://www.12365auto.com/zlts/20200224/448475.shtml","http://www.12365auto.com/zlts/20200224/448475.shtml")</f>
        <v>http://www.12365auto.com/zlts/20200224/448475.shtml</v>
      </c>
      <c r="G2979" s="2"/>
      <c r="H2979" s="2" t="s">
        <v>4287</v>
      </c>
      <c r="I2979" s="2" t="s">
        <v>15</v>
      </c>
      <c r="J2979" s="2" t="s">
        <v>12</v>
      </c>
      <c r="K2979" s="2" t="s">
        <v>4288</v>
      </c>
      <c r="L2979" s="2">
        <f t="shared" si="46"/>
        <v>150</v>
      </c>
    </row>
    <row r="2980" spans="1:12" ht="25" customHeight="1">
      <c r="A2980" s="2" t="s">
        <v>12</v>
      </c>
      <c r="B2980" s="2" t="str">
        <f>HYPERLINK("http://www.12365auto.com/zlts/20200224/448476.shtml","海马S5行驶中发动机熄火 变速箱故障灯亮")</f>
        <v>海马S5行驶中发动机熄火 变速箱故障灯亮</v>
      </c>
      <c r="C2980" s="2" t="s">
        <v>13</v>
      </c>
      <c r="D2980" s="2" t="s">
        <v>12</v>
      </c>
      <c r="E2980" s="2" t="s">
        <v>17</v>
      </c>
      <c r="F2980" s="2" t="str">
        <f>HYPERLINK("http://www.12365auto.com/zlts/20200224/448476.shtml","http://www.12365auto.com/zlts/20200224/448476.shtml")</f>
        <v>http://www.12365auto.com/zlts/20200224/448476.shtml</v>
      </c>
      <c r="G2980" s="2"/>
      <c r="H2980" s="2" t="s">
        <v>4289</v>
      </c>
      <c r="I2980" s="2" t="s">
        <v>19</v>
      </c>
      <c r="J2980" s="2" t="s">
        <v>12</v>
      </c>
      <c r="K2980" s="2" t="s">
        <v>4288</v>
      </c>
      <c r="L2980" s="2">
        <f t="shared" si="46"/>
        <v>150</v>
      </c>
    </row>
    <row r="2981" spans="1:12" ht="25" customHeight="1">
      <c r="A2981" s="2" t="s">
        <v>12</v>
      </c>
      <c r="B2981" s="2" t="str">
        <f>HYPERLINK("http://www.12365auto.com/news/20200224/419411.shtml","要想新车多开几年 10种最伤车的坏习惯得改")</f>
        <v>要想新车多开几年 10种最伤车的坏习惯得改</v>
      </c>
      <c r="C2981" s="2" t="s">
        <v>13</v>
      </c>
      <c r="D2981" s="2" t="s">
        <v>12</v>
      </c>
      <c r="E2981" s="2" t="s">
        <v>372</v>
      </c>
      <c r="F2981" s="2" t="str">
        <f>HYPERLINK("http://www.12365auto.com/news/20200224/419411.shtml","http://www.12365auto.com/news/20200224/419411.shtml")</f>
        <v>http://www.12365auto.com/news/20200224/419411.shtml</v>
      </c>
      <c r="G2981" s="2"/>
      <c r="H2981" s="2" t="s">
        <v>4290</v>
      </c>
      <c r="I2981" s="2" t="s">
        <v>15</v>
      </c>
      <c r="J2981" s="2" t="s">
        <v>12</v>
      </c>
      <c r="K2981" s="2" t="s">
        <v>4291</v>
      </c>
      <c r="L2981" s="2">
        <f t="shared" si="46"/>
        <v>150</v>
      </c>
    </row>
    <row r="2982" spans="1:12" ht="25" customHeight="1">
      <c r="A2982" s="2" t="s">
        <v>12</v>
      </c>
      <c r="B2982" s="2" t="str">
        <f>HYPERLINK("http://m.12365auto.com/news/20200224/419411.shtml","要想新车多开几年 10种最伤车的坏习惯得改")</f>
        <v>要想新车多开几年 10种最伤车的坏习惯得改</v>
      </c>
      <c r="C2982" s="2" t="s">
        <v>13</v>
      </c>
      <c r="D2982" s="2" t="s">
        <v>12</v>
      </c>
      <c r="E2982" s="2"/>
      <c r="F2982" s="2" t="str">
        <f>HYPERLINK("http://m.12365auto.com/news/20200224/419411.shtml","http://m.12365auto.com/news/20200224/419411.shtml")</f>
        <v>http://m.12365auto.com/news/20200224/419411.shtml</v>
      </c>
      <c r="G2982" s="2"/>
      <c r="H2982" s="2" t="s">
        <v>4292</v>
      </c>
      <c r="I2982" s="2" t="s">
        <v>19</v>
      </c>
      <c r="J2982" s="2" t="s">
        <v>12</v>
      </c>
      <c r="K2982" s="2" t="s">
        <v>4291</v>
      </c>
      <c r="L2982" s="2">
        <f t="shared" si="46"/>
        <v>150</v>
      </c>
    </row>
    <row r="2983" spans="1:12" ht="25" customHeight="1">
      <c r="A2983" s="2" t="s">
        <v>12</v>
      </c>
      <c r="B2983" s="2" t="str">
        <f>HYPERLINK("http://www.12365auto.com/news/20200224/419410.shtml","夜间跑高速的四大行车技巧 新老司机要知道")</f>
        <v>夜间跑高速的四大行车技巧 新老司机要知道</v>
      </c>
      <c r="C2983" s="2" t="s">
        <v>13</v>
      </c>
      <c r="D2983" s="2" t="s">
        <v>12</v>
      </c>
      <c r="E2983" s="2" t="s">
        <v>372</v>
      </c>
      <c r="F2983" s="2" t="str">
        <f>HYPERLINK("http://www.12365auto.com/news/20200224/419410.shtml","http://www.12365auto.com/news/20200224/419410.shtml")</f>
        <v>http://www.12365auto.com/news/20200224/419410.shtml</v>
      </c>
      <c r="G2983" s="2"/>
      <c r="H2983" s="2" t="s">
        <v>4293</v>
      </c>
      <c r="I2983" s="2" t="s">
        <v>15</v>
      </c>
      <c r="J2983" s="2" t="s">
        <v>12</v>
      </c>
      <c r="K2983" s="2" t="s">
        <v>4294</v>
      </c>
      <c r="L2983" s="2">
        <f t="shared" si="46"/>
        <v>150</v>
      </c>
    </row>
    <row r="2984" spans="1:12" ht="25" customHeight="1">
      <c r="A2984" s="2" t="s">
        <v>12</v>
      </c>
      <c r="B2984" s="2" t="str">
        <f>HYPERLINK("http://m.12365auto.com/news/20200224/419410.shtml","夜间跑高速的四大行车技巧 新老司机要知道")</f>
        <v>夜间跑高速的四大行车技巧 新老司机要知道</v>
      </c>
      <c r="C2984" s="2" t="s">
        <v>13</v>
      </c>
      <c r="D2984" s="2" t="s">
        <v>12</v>
      </c>
      <c r="E2984" s="2"/>
      <c r="F2984" s="2" t="str">
        <f>HYPERLINK("http://m.12365auto.com/news/20200224/419410.shtml","http://m.12365auto.com/news/20200224/419410.shtml")</f>
        <v>http://m.12365auto.com/news/20200224/419410.shtml</v>
      </c>
      <c r="G2984" s="2"/>
      <c r="H2984" s="2" t="s">
        <v>4295</v>
      </c>
      <c r="I2984" s="2" t="s">
        <v>19</v>
      </c>
      <c r="J2984" s="2" t="s">
        <v>12</v>
      </c>
      <c r="K2984" s="2" t="s">
        <v>4294</v>
      </c>
      <c r="L2984" s="2">
        <f t="shared" si="46"/>
        <v>150</v>
      </c>
    </row>
    <row r="2985" spans="1:12" ht="25" customHeight="1">
      <c r="A2985" s="2" t="s">
        <v>12</v>
      </c>
      <c r="B2985" s="2" t="str">
        <f>HYPERLINK("http://www.12365auto.com/news/20200224/419409.shtml","长时间停车不只是熄火 这几点务必注意")</f>
        <v>长时间停车不只是熄火 这几点务必注意</v>
      </c>
      <c r="C2985" s="2" t="s">
        <v>13</v>
      </c>
      <c r="D2985" s="2" t="s">
        <v>12</v>
      </c>
      <c r="E2985" s="2"/>
      <c r="F2985" s="2" t="str">
        <f>HYPERLINK("http://www.12365auto.com/news/20200224/419409.shtml","http://www.12365auto.com/news/20200224/419409.shtml")</f>
        <v>http://www.12365auto.com/news/20200224/419409.shtml</v>
      </c>
      <c r="G2985" s="2"/>
      <c r="H2985" s="2" t="s">
        <v>4296</v>
      </c>
      <c r="I2985" s="2" t="s">
        <v>19</v>
      </c>
      <c r="J2985" s="2" t="s">
        <v>12</v>
      </c>
      <c r="K2985" s="2" t="s">
        <v>4297</v>
      </c>
      <c r="L2985" s="2">
        <f t="shared" si="46"/>
        <v>150</v>
      </c>
    </row>
    <row r="2986" spans="1:12" ht="25" customHeight="1">
      <c r="A2986" s="2" t="s">
        <v>12</v>
      </c>
      <c r="B2986" s="2" t="str">
        <f>HYPERLINK("http://m.12365auto.com/news/20200224/419409.shtml","长时间停车不只是熄火 这几点务必注意")</f>
        <v>长时间停车不只是熄火 这几点务必注意</v>
      </c>
      <c r="C2986" s="2" t="s">
        <v>13</v>
      </c>
      <c r="D2986" s="2" t="s">
        <v>12</v>
      </c>
      <c r="E2986" s="2"/>
      <c r="F2986" s="2" t="str">
        <f>HYPERLINK("http://m.12365auto.com/news/20200224/419409.shtml","http://m.12365auto.com/news/20200224/419409.shtml")</f>
        <v>http://m.12365auto.com/news/20200224/419409.shtml</v>
      </c>
      <c r="G2986" s="2"/>
      <c r="H2986" s="2" t="s">
        <v>4298</v>
      </c>
      <c r="I2986" s="2" t="s">
        <v>19</v>
      </c>
      <c r="J2986" s="2" t="s">
        <v>12</v>
      </c>
      <c r="K2986" s="2" t="s">
        <v>4297</v>
      </c>
      <c r="L2986" s="2">
        <f t="shared" si="46"/>
        <v>150</v>
      </c>
    </row>
    <row r="2987" spans="1:12" ht="25" customHeight="1">
      <c r="A2987" s="2" t="s">
        <v>12</v>
      </c>
      <c r="B2987" s="2" t="str">
        <f>HYPERLINK("http://www.12365auto.com/zlts/20200224/448472.shtml","东风悦达起亚K3方向盘卡滞影响安全")</f>
        <v>东风悦达起亚K3方向盘卡滞影响安全</v>
      </c>
      <c r="C2987" s="2" t="s">
        <v>13</v>
      </c>
      <c r="D2987" s="2" t="s">
        <v>12</v>
      </c>
      <c r="E2987" s="2" t="s">
        <v>17</v>
      </c>
      <c r="F2987" s="2" t="str">
        <f>HYPERLINK("http://www.12365auto.com/zlts/20200224/448472.shtml","http://www.12365auto.com/zlts/20200224/448472.shtml")</f>
        <v>http://www.12365auto.com/zlts/20200224/448472.shtml</v>
      </c>
      <c r="G2987" s="2"/>
      <c r="H2987" s="2" t="s">
        <v>4299</v>
      </c>
      <c r="I2987" s="2" t="s">
        <v>19</v>
      </c>
      <c r="J2987" s="2" t="s">
        <v>12</v>
      </c>
      <c r="K2987" s="2" t="s">
        <v>4300</v>
      </c>
      <c r="L2987" s="2">
        <f t="shared" si="46"/>
        <v>150</v>
      </c>
    </row>
    <row r="2988" spans="1:12" ht="25" customHeight="1">
      <c r="A2988" s="2" t="s">
        <v>12</v>
      </c>
      <c r="B2988" s="2" t="str">
        <f>HYPERLINK("http://www.12365auto.com/news/20200224/419408.shtml","最不该使用的五大汽车配件 你的车上有吗？")</f>
        <v>最不该使用的五大汽车配件 你的车上有吗？</v>
      </c>
      <c r="C2988" s="2" t="s">
        <v>13</v>
      </c>
      <c r="D2988" s="2" t="s">
        <v>12</v>
      </c>
      <c r="E2988" s="2" t="s">
        <v>372</v>
      </c>
      <c r="F2988" s="2" t="str">
        <f>HYPERLINK("http://www.12365auto.com/news/20200224/419408.shtml","http://www.12365auto.com/news/20200224/419408.shtml")</f>
        <v>http://www.12365auto.com/news/20200224/419408.shtml</v>
      </c>
      <c r="G2988" s="2"/>
      <c r="H2988" s="2" t="s">
        <v>4301</v>
      </c>
      <c r="I2988" s="2" t="s">
        <v>15</v>
      </c>
      <c r="J2988" s="2" t="s">
        <v>12</v>
      </c>
      <c r="K2988" s="2" t="s">
        <v>4300</v>
      </c>
      <c r="L2988" s="2">
        <f t="shared" si="46"/>
        <v>150</v>
      </c>
    </row>
    <row r="2989" spans="1:12" ht="25" customHeight="1">
      <c r="A2989" s="2" t="s">
        <v>12</v>
      </c>
      <c r="B2989" s="2" t="str">
        <f>HYPERLINK("http://m.12365auto.com/news/20200224/419408.shtml","最不该使用的五大汽车配件 你的车上有吗？")</f>
        <v>最不该使用的五大汽车配件 你的车上有吗？</v>
      </c>
      <c r="C2989" s="2" t="s">
        <v>13</v>
      </c>
      <c r="D2989" s="2" t="s">
        <v>12</v>
      </c>
      <c r="E2989" s="2"/>
      <c r="F2989" s="2" t="str">
        <f>HYPERLINK("http://m.12365auto.com/news/20200224/419408.shtml","http://m.12365auto.com/news/20200224/419408.shtml")</f>
        <v>http://m.12365auto.com/news/20200224/419408.shtml</v>
      </c>
      <c r="G2989" s="2"/>
      <c r="H2989" s="2" t="s">
        <v>4302</v>
      </c>
      <c r="I2989" s="2" t="s">
        <v>19</v>
      </c>
      <c r="J2989" s="2" t="s">
        <v>12</v>
      </c>
      <c r="K2989" s="2" t="s">
        <v>4300</v>
      </c>
      <c r="L2989" s="2">
        <f t="shared" si="46"/>
        <v>150</v>
      </c>
    </row>
    <row r="2990" spans="1:12" ht="25" customHeight="1">
      <c r="A2990" s="2" t="s">
        <v>12</v>
      </c>
      <c r="B2990" s="2" t="str">
        <f>HYPERLINK("http://www.12365auto.com/news/20200224/419407.shtml","又一个国家级 广州将建自动驾驶示范区")</f>
        <v>又一个国家级 广州将建自动驾驶示范区</v>
      </c>
      <c r="C2990" s="2" t="s">
        <v>13</v>
      </c>
      <c r="D2990" s="2" t="s">
        <v>12</v>
      </c>
      <c r="E2990" s="2" t="s">
        <v>276</v>
      </c>
      <c r="F2990" s="2" t="str">
        <f>HYPERLINK("http://www.12365auto.com/news/20200224/419407.shtml","http://www.12365auto.com/news/20200224/419407.shtml")</f>
        <v>http://www.12365auto.com/news/20200224/419407.shtml</v>
      </c>
      <c r="G2990" s="2"/>
      <c r="H2990" s="2" t="s">
        <v>4303</v>
      </c>
      <c r="I2990" s="2" t="s">
        <v>15</v>
      </c>
      <c r="J2990" s="2" t="s">
        <v>12</v>
      </c>
      <c r="K2990" s="2" t="s">
        <v>4304</v>
      </c>
      <c r="L2990" s="2">
        <f t="shared" si="46"/>
        <v>150</v>
      </c>
    </row>
    <row r="2991" spans="1:12" ht="25" customHeight="1">
      <c r="A2991" s="2" t="s">
        <v>12</v>
      </c>
      <c r="B2991" s="2" t="str">
        <f>HYPERLINK("http://m.12365auto.com/news/20200224/419407.shtml","又一个国家级 广州将建自动驾驶示范区")</f>
        <v>又一个国家级 广州将建自动驾驶示范区</v>
      </c>
      <c r="C2991" s="2" t="s">
        <v>13</v>
      </c>
      <c r="D2991" s="2" t="s">
        <v>12</v>
      </c>
      <c r="E2991" s="2"/>
      <c r="F2991" s="2" t="str">
        <f>HYPERLINK("http://m.12365auto.com/news/20200224/419407.shtml","http://m.12365auto.com/news/20200224/419407.shtml")</f>
        <v>http://m.12365auto.com/news/20200224/419407.shtml</v>
      </c>
      <c r="G2991" s="2"/>
      <c r="H2991" s="2" t="s">
        <v>4305</v>
      </c>
      <c r="I2991" s="2" t="s">
        <v>19</v>
      </c>
      <c r="J2991" s="2" t="s">
        <v>1188</v>
      </c>
      <c r="K2991" s="2" t="s">
        <v>4304</v>
      </c>
      <c r="L2991" s="2">
        <f t="shared" si="46"/>
        <v>150</v>
      </c>
    </row>
    <row r="2992" spans="1:12" ht="25" customHeight="1">
      <c r="A2992" s="2" t="s">
        <v>12</v>
      </c>
      <c r="B2992" s="2" t="str">
        <f>HYPERLINK("http://m.12365auto.com/zjdy/20200224/121578.shtml","发动机一缸不工作是什么原因导致的？")</f>
        <v>发动机一缸不工作是什么原因导致的？</v>
      </c>
      <c r="C2992" s="2" t="s">
        <v>13</v>
      </c>
      <c r="D2992" s="2" t="s">
        <v>12</v>
      </c>
      <c r="E2992" s="2"/>
      <c r="F2992" s="2" t="str">
        <f>HYPERLINK("http://m.12365auto.com/zjdy/20200224/121578.shtml","http://m.12365auto.com/zjdy/20200224/121578.shtml")</f>
        <v>http://m.12365auto.com/zjdy/20200224/121578.shtml</v>
      </c>
      <c r="G2992" s="2"/>
      <c r="H2992" s="2" t="s">
        <v>4306</v>
      </c>
      <c r="I2992" s="2" t="s">
        <v>19</v>
      </c>
      <c r="J2992" s="2" t="s">
        <v>12</v>
      </c>
      <c r="K2992" s="2" t="s">
        <v>4307</v>
      </c>
      <c r="L2992" s="2">
        <f t="shared" si="46"/>
        <v>33</v>
      </c>
    </row>
    <row r="2993" spans="1:12" ht="25" customHeight="1">
      <c r="A2993" s="2" t="s">
        <v>12</v>
      </c>
      <c r="B2993" s="2" t="str">
        <f>HYPERLINK("http://www.12365auto.com/zlts/20200224/448471.shtml","上汽名爵HS电瓶亏电导致发动机无法启动")</f>
        <v>上汽名爵HS电瓶亏电导致发动机无法启动</v>
      </c>
      <c r="C2993" s="2" t="s">
        <v>13</v>
      </c>
      <c r="D2993" s="2" t="s">
        <v>12</v>
      </c>
      <c r="E2993" s="2" t="s">
        <v>17</v>
      </c>
      <c r="F2993" s="2" t="str">
        <f>HYPERLINK("http://www.12365auto.com/zlts/20200224/448471.shtml","http://www.12365auto.com/zlts/20200224/448471.shtml")</f>
        <v>http://www.12365auto.com/zlts/20200224/448471.shtml</v>
      </c>
      <c r="G2993" s="2"/>
      <c r="H2993" s="2" t="s">
        <v>4308</v>
      </c>
      <c r="I2993" s="2" t="s">
        <v>19</v>
      </c>
      <c r="J2993" s="2" t="s">
        <v>12</v>
      </c>
      <c r="K2993" s="2" t="s">
        <v>4309</v>
      </c>
      <c r="L2993" s="2">
        <f t="shared" si="46"/>
        <v>150</v>
      </c>
    </row>
    <row r="2994" spans="1:12" ht="25" customHeight="1">
      <c r="A2994" s="2" t="s">
        <v>12</v>
      </c>
      <c r="B2994" s="2" t="str">
        <f>HYPERLINK("http://www.12365auto.com/xcdg/20200224/419406.shtml","NEDC续航超500km 哪吒U将于3月下旬上市")</f>
        <v>NEDC续航超500km 哪吒U将于3月下旬上市</v>
      </c>
      <c r="C2994" s="2" t="s">
        <v>13</v>
      </c>
      <c r="D2994" s="2" t="s">
        <v>12</v>
      </c>
      <c r="E2994" s="2" t="s">
        <v>216</v>
      </c>
      <c r="F2994" s="2" t="str">
        <f>HYPERLINK("http://www.12365auto.com/xcdg/20200224/419406.shtml","http://www.12365auto.com/xcdg/20200224/419406.shtml")</f>
        <v>http://www.12365auto.com/xcdg/20200224/419406.shtml</v>
      </c>
      <c r="G2994" s="2"/>
      <c r="H2994" s="2" t="s">
        <v>4310</v>
      </c>
      <c r="I2994" s="2" t="s">
        <v>15</v>
      </c>
      <c r="J2994" s="2" t="s">
        <v>12</v>
      </c>
      <c r="K2994" s="2" t="s">
        <v>4311</v>
      </c>
      <c r="L2994" s="2">
        <f t="shared" si="46"/>
        <v>150</v>
      </c>
    </row>
    <row r="2995" spans="1:12" ht="25" customHeight="1">
      <c r="A2995" s="2" t="s">
        <v>12</v>
      </c>
      <c r="B2995" s="2" t="str">
        <f>HYPERLINK("http://m.12365auto.com/xcdg/20200224/419406.shtml","NEDC续航超500km 哪吒U将于3月下旬上市")</f>
        <v>NEDC续航超500km 哪吒U将于3月下旬上市</v>
      </c>
      <c r="C2995" s="2" t="s">
        <v>13</v>
      </c>
      <c r="D2995" s="2" t="s">
        <v>12</v>
      </c>
      <c r="E2995" s="2"/>
      <c r="F2995" s="2" t="str">
        <f>HYPERLINK("http://m.12365auto.com/xcdg/20200224/419406.shtml","http://m.12365auto.com/xcdg/20200224/419406.shtml")</f>
        <v>http://m.12365auto.com/xcdg/20200224/419406.shtml</v>
      </c>
      <c r="G2995" s="2"/>
      <c r="H2995" s="2" t="s">
        <v>4312</v>
      </c>
      <c r="I2995" s="2" t="s">
        <v>19</v>
      </c>
      <c r="J2995" s="2" t="s">
        <v>286</v>
      </c>
      <c r="K2995" s="2" t="s">
        <v>4311</v>
      </c>
      <c r="L2995" s="2">
        <f t="shared" si="46"/>
        <v>150</v>
      </c>
    </row>
    <row r="2996" spans="1:12" ht="25" customHeight="1">
      <c r="A2996" s="2" t="s">
        <v>12</v>
      </c>
      <c r="B2996" s="2" t="str">
        <f>HYPERLINK("http://www.12365auto.com/scbg/20200224/419405.shtml","让更多年轻人关注 全新瑞虎7试驾体验")</f>
        <v>让更多年轻人关注 全新瑞虎7试驾体验</v>
      </c>
      <c r="C2996" s="2" t="s">
        <v>13</v>
      </c>
      <c r="D2996" s="2" t="s">
        <v>12</v>
      </c>
      <c r="E2996" s="2" t="s">
        <v>1548</v>
      </c>
      <c r="F2996" s="2" t="str">
        <f>HYPERLINK("http://www.12365auto.com/scbg/20200224/419405.shtml","http://www.12365auto.com/scbg/20200224/419405.shtml")</f>
        <v>http://www.12365auto.com/scbg/20200224/419405.shtml</v>
      </c>
      <c r="G2996" s="2"/>
      <c r="H2996" s="2" t="s">
        <v>4313</v>
      </c>
      <c r="I2996" s="2" t="s">
        <v>15</v>
      </c>
      <c r="J2996" s="2" t="s">
        <v>12</v>
      </c>
      <c r="K2996" s="2" t="s">
        <v>4314</v>
      </c>
      <c r="L2996" s="2">
        <f t="shared" si="46"/>
        <v>150</v>
      </c>
    </row>
    <row r="2997" spans="1:12" ht="25" customHeight="1">
      <c r="A2997" s="2" t="s">
        <v>12</v>
      </c>
      <c r="B2997" s="2" t="str">
        <f>HYPERLINK("http://m.12365auto.com/scbg/20200224/419405.shtml","让更多年轻人关注 全新瑞虎7试驾体验")</f>
        <v>让更多年轻人关注 全新瑞虎7试驾体验</v>
      </c>
      <c r="C2997" s="2" t="s">
        <v>13</v>
      </c>
      <c r="D2997" s="2" t="s">
        <v>12</v>
      </c>
      <c r="E2997" s="2"/>
      <c r="F2997" s="2" t="str">
        <f>HYPERLINK("http://m.12365auto.com/scbg/20200224/419405.shtml","http://m.12365auto.com/scbg/20200224/419405.shtml")</f>
        <v>http://m.12365auto.com/scbg/20200224/419405.shtml</v>
      </c>
      <c r="G2997" s="2"/>
      <c r="H2997" s="2" t="s">
        <v>4315</v>
      </c>
      <c r="I2997" s="2" t="s">
        <v>19</v>
      </c>
      <c r="J2997" s="2" t="s">
        <v>4316</v>
      </c>
      <c r="K2997" s="2" t="s">
        <v>4314</v>
      </c>
      <c r="L2997" s="2">
        <f t="shared" si="46"/>
        <v>150</v>
      </c>
    </row>
    <row r="2998" spans="1:12" ht="25" customHeight="1">
      <c r="A2998" s="2" t="s">
        <v>12</v>
      </c>
      <c r="B2998" s="2" t="str">
        <f>HYPERLINK("http://m.12365auto.com/xcdg/20200224/419404.shtml","舒适运动相结合 20万左右换辆天籁真香")</f>
        <v>舒适运动相结合 20万左右换辆天籁真香</v>
      </c>
      <c r="C2998" s="2" t="s">
        <v>13</v>
      </c>
      <c r="D2998" s="2" t="s">
        <v>12</v>
      </c>
      <c r="E2998" s="2"/>
      <c r="F2998" s="2" t="str">
        <f>HYPERLINK("http://m.12365auto.com/xcdg/20200224/419404.shtml","http://m.12365auto.com/xcdg/20200224/419404.shtml")</f>
        <v>http://m.12365auto.com/xcdg/20200224/419404.shtml</v>
      </c>
      <c r="G2998" s="2"/>
      <c r="H2998" s="2" t="s">
        <v>4317</v>
      </c>
      <c r="I2998" s="2" t="s">
        <v>19</v>
      </c>
      <c r="J2998" s="2" t="s">
        <v>1733</v>
      </c>
      <c r="K2998" s="2" t="s">
        <v>4318</v>
      </c>
      <c r="L2998" s="2">
        <f t="shared" si="46"/>
        <v>150</v>
      </c>
    </row>
    <row r="2999" spans="1:12" ht="25" customHeight="1">
      <c r="A2999" s="2" t="s">
        <v>12</v>
      </c>
      <c r="B2999" s="2" t="str">
        <f>HYPERLINK("http://www.12365auto.com/zlts/20200224/448470.shtml","奇瑞瑞虎5变速箱故障导致无法加速")</f>
        <v>奇瑞瑞虎5变速箱故障导致无法加速</v>
      </c>
      <c r="C2999" s="2" t="s">
        <v>13</v>
      </c>
      <c r="D2999" s="2" t="s">
        <v>12</v>
      </c>
      <c r="E2999" s="2" t="s">
        <v>17</v>
      </c>
      <c r="F2999" s="2" t="str">
        <f>HYPERLINK("http://www.12365auto.com/zlts/20200224/448470.shtml","http://www.12365auto.com/zlts/20200224/448470.shtml")</f>
        <v>http://www.12365auto.com/zlts/20200224/448470.shtml</v>
      </c>
      <c r="G2999" s="2"/>
      <c r="H2999" s="2" t="s">
        <v>4319</v>
      </c>
      <c r="I2999" s="2" t="s">
        <v>19</v>
      </c>
      <c r="J2999" s="2" t="s">
        <v>12</v>
      </c>
      <c r="K2999" s="2" t="s">
        <v>4320</v>
      </c>
      <c r="L2999" s="2">
        <f t="shared" si="46"/>
        <v>150</v>
      </c>
    </row>
    <row r="3000" spans="1:12" ht="25" customHeight="1">
      <c r="A3000" s="2" t="s">
        <v>12</v>
      </c>
      <c r="B3000" s="2" t="str">
        <f>HYPERLINK("http://m.12365auto.com/xcdg/20200224/419403.shtml","谁说开SUV一定老气 国产不加长宝马X2")</f>
        <v>谁说开SUV一定老气 国产不加长宝马X2</v>
      </c>
      <c r="C3000" s="2" t="s">
        <v>13</v>
      </c>
      <c r="D3000" s="2" t="s">
        <v>12</v>
      </c>
      <c r="E3000" s="2"/>
      <c r="F3000" s="2" t="str">
        <f>HYPERLINK("http://m.12365auto.com/xcdg/20200224/419403.shtml","http://m.12365auto.com/xcdg/20200224/419403.shtml")</f>
        <v>http://m.12365auto.com/xcdg/20200224/419403.shtml</v>
      </c>
      <c r="G3000" s="2"/>
      <c r="H3000" s="2" t="s">
        <v>4321</v>
      </c>
      <c r="I3000" s="2" t="s">
        <v>19</v>
      </c>
      <c r="J3000" s="2" t="s">
        <v>1713</v>
      </c>
      <c r="K3000" s="2" t="s">
        <v>4322</v>
      </c>
      <c r="L3000" s="2">
        <f t="shared" si="46"/>
        <v>150</v>
      </c>
    </row>
    <row r="3001" spans="1:12" ht="25" customHeight="1">
      <c r="A3001" s="2" t="s">
        <v>12</v>
      </c>
      <c r="B3001" s="2" t="str">
        <f>HYPERLINK("http://m.12365auto.com/xcdg/20200224/419402.shtml","全系标配四驱系统 路虎发现神行值不值？")</f>
        <v>全系标配四驱系统 路虎发现神行值不值？</v>
      </c>
      <c r="C3001" s="2" t="s">
        <v>13</v>
      </c>
      <c r="D3001" s="2" t="s">
        <v>12</v>
      </c>
      <c r="E3001" s="2"/>
      <c r="F3001" s="2" t="str">
        <f>HYPERLINK("http://m.12365auto.com/xcdg/20200224/419402.shtml","http://m.12365auto.com/xcdg/20200224/419402.shtml")</f>
        <v>http://m.12365auto.com/xcdg/20200224/419402.shtml</v>
      </c>
      <c r="G3001" s="2"/>
      <c r="H3001" s="2" t="s">
        <v>4323</v>
      </c>
      <c r="I3001" s="2" t="s">
        <v>19</v>
      </c>
      <c r="J3001" s="2" t="s">
        <v>4324</v>
      </c>
      <c r="K3001" s="2" t="s">
        <v>4325</v>
      </c>
      <c r="L3001" s="2">
        <f t="shared" si="46"/>
        <v>150</v>
      </c>
    </row>
    <row r="3002" spans="1:12" ht="25" customHeight="1">
      <c r="A3002" s="2" t="s">
        <v>12</v>
      </c>
      <c r="B3002" s="2" t="str">
        <f>HYPERLINK("http://bbs.12365auto.com/postcontent.aspx?tId=194984","变速箱有口哨声且底盘还伴有震动异响")</f>
        <v>变速箱有口哨声且底盘还伴有震动异响</v>
      </c>
      <c r="C3002" s="2" t="s">
        <v>13</v>
      </c>
      <c r="D3002" s="2" t="s">
        <v>12</v>
      </c>
      <c r="E3002" s="2" t="s">
        <v>66</v>
      </c>
      <c r="F3002" s="2" t="str">
        <f>HYPERLINK("http://bbs.12365auto.com/postcontent.aspx?tId=194984","http://bbs.12365auto.com/postcontent.aspx?tId=194984")</f>
        <v>http://bbs.12365auto.com/postcontent.aspx?tId=194984</v>
      </c>
      <c r="G3002" s="2"/>
      <c r="H3002" s="2" t="s">
        <v>4326</v>
      </c>
      <c r="I3002" s="2" t="s">
        <v>15</v>
      </c>
      <c r="J3002" s="2" t="s">
        <v>4327</v>
      </c>
      <c r="K3002" s="2" t="s">
        <v>4328</v>
      </c>
      <c r="L3002" s="2">
        <f t="shared" si="46"/>
        <v>72</v>
      </c>
    </row>
    <row r="3003" spans="1:12" ht="25" customHeight="1">
      <c r="A3003" s="2" t="s">
        <v>12</v>
      </c>
      <c r="B3003" s="2" t="str">
        <f>HYPERLINK("http://m.12365auto.com/bbs/postcontent.aspx?tID=194984","变速箱有口哨声且底盘还伴有震动异响")</f>
        <v>变速箱有口哨声且底盘还伴有震动异响</v>
      </c>
      <c r="C3003" s="2" t="s">
        <v>13</v>
      </c>
      <c r="D3003" s="2" t="s">
        <v>23</v>
      </c>
      <c r="E3003" s="2"/>
      <c r="F3003" s="2" t="str">
        <f>HYPERLINK("http://m.12365auto.com/bbs/postcontent.aspx?tID=194984","http://m.12365auto.com/bbs/postcontent.aspx?tID=194984")</f>
        <v>http://m.12365auto.com/bbs/postcontent.aspx?tID=194984</v>
      </c>
      <c r="G3003" s="2"/>
      <c r="H3003" s="2" t="s">
        <v>4326</v>
      </c>
      <c r="I3003" s="2" t="s">
        <v>15</v>
      </c>
      <c r="J3003" s="2" t="s">
        <v>4327</v>
      </c>
      <c r="K3003" s="2" t="s">
        <v>4328</v>
      </c>
      <c r="L3003" s="2">
        <f t="shared" si="46"/>
        <v>72</v>
      </c>
    </row>
    <row r="3004" spans="1:12" ht="25" customHeight="1">
      <c r="A3004" s="2" t="s">
        <v>12</v>
      </c>
      <c r="B3004" s="2" t="str">
        <f>HYPERLINK("http://bbs.12365auto.com/postcontent.aspx?tId=194983","在新能源车领域 本田又下了一个天大的赌注")</f>
        <v>在新能源车领域 本田又下了一个天大的赌注</v>
      </c>
      <c r="C3004" s="2" t="s">
        <v>13</v>
      </c>
      <c r="D3004" s="2" t="s">
        <v>12</v>
      </c>
      <c r="E3004" s="2" t="s">
        <v>27</v>
      </c>
      <c r="F3004" s="2" t="str">
        <f>HYPERLINK("http://bbs.12365auto.com/postcontent.aspx?tId=194983","http://bbs.12365auto.com/postcontent.aspx?tId=194983")</f>
        <v>http://bbs.12365auto.com/postcontent.aspx?tId=194983</v>
      </c>
      <c r="G3004" s="2"/>
      <c r="H3004" s="2" t="s">
        <v>4329</v>
      </c>
      <c r="I3004" s="2" t="s">
        <v>15</v>
      </c>
      <c r="J3004" s="2" t="s">
        <v>4330</v>
      </c>
      <c r="K3004" s="2" t="s">
        <v>4328</v>
      </c>
      <c r="L3004" s="2">
        <f t="shared" si="46"/>
        <v>150</v>
      </c>
    </row>
    <row r="3005" spans="1:12" ht="25" customHeight="1">
      <c r="A3005" s="2" t="s">
        <v>12</v>
      </c>
      <c r="B3005" s="2" t="str">
        <f>HYPERLINK("http://bbs.12365auto.com/postcontent.aspx?tID=194984","变速箱有口哨声且底盘还伴有震动异响")</f>
        <v>变速箱有口哨声且底盘还伴有震动异响</v>
      </c>
      <c r="C3005" s="2" t="s">
        <v>13</v>
      </c>
      <c r="D3005" s="2" t="s">
        <v>12</v>
      </c>
      <c r="E3005" s="2" t="s">
        <v>67</v>
      </c>
      <c r="F3005" s="2" t="str">
        <f>HYPERLINK("http://bbs.12365auto.com/postcontent.aspx?tID=194984","http://bbs.12365auto.com/postcontent.aspx?tID=194984")</f>
        <v>http://bbs.12365auto.com/postcontent.aspx?tID=194984</v>
      </c>
      <c r="G3005" s="2"/>
      <c r="H3005" s="2" t="s">
        <v>4331</v>
      </c>
      <c r="I3005" s="2" t="s">
        <v>15</v>
      </c>
      <c r="J3005" s="2" t="s">
        <v>4327</v>
      </c>
      <c r="K3005" s="2" t="s">
        <v>4328</v>
      </c>
      <c r="L3005" s="2">
        <f t="shared" si="46"/>
        <v>89</v>
      </c>
    </row>
    <row r="3006" spans="1:12" ht="25" customHeight="1">
      <c r="A3006" s="2" t="s">
        <v>12</v>
      </c>
      <c r="B3006" s="2" t="str">
        <f>HYPERLINK("http://m.12365auto.com/bbs/postcontent.aspx?tID=194983","在新能源车领域 本田又下了一个天大的赌注")</f>
        <v>在新能源车领域 本田又下了一个天大的赌注</v>
      </c>
      <c r="C3006" s="2" t="s">
        <v>13</v>
      </c>
      <c r="D3006" s="2" t="s">
        <v>23</v>
      </c>
      <c r="E3006" s="2"/>
      <c r="F3006" s="2" t="str">
        <f>HYPERLINK("http://m.12365auto.com/bbs/postcontent.aspx?tID=194983","http://m.12365auto.com/bbs/postcontent.aspx?tID=194983")</f>
        <v>http://m.12365auto.com/bbs/postcontent.aspx?tID=194983</v>
      </c>
      <c r="G3006" s="2"/>
      <c r="H3006" s="2" t="s">
        <v>4329</v>
      </c>
      <c r="I3006" s="2" t="s">
        <v>15</v>
      </c>
      <c r="J3006" s="2" t="s">
        <v>4330</v>
      </c>
      <c r="K3006" s="2" t="s">
        <v>4328</v>
      </c>
      <c r="L3006" s="2">
        <f t="shared" si="46"/>
        <v>150</v>
      </c>
    </row>
    <row r="3007" spans="1:12" ht="25" customHeight="1">
      <c r="A3007" s="2" t="s">
        <v>12</v>
      </c>
      <c r="B3007" s="2" t="str">
        <f>HYPERLINK("http://bbs.12365auto.com/postcontent.aspx?tID=194983","在新能源车领域 本田又下了一个天大的赌注")</f>
        <v>在新能源车领域 本田又下了一个天大的赌注</v>
      </c>
      <c r="C3007" s="2" t="s">
        <v>13</v>
      </c>
      <c r="D3007" s="2" t="s">
        <v>12</v>
      </c>
      <c r="E3007" s="2" t="s">
        <v>28</v>
      </c>
      <c r="F3007" s="2" t="str">
        <f>HYPERLINK("http://bbs.12365auto.com/postcontent.aspx?tID=194983","http://bbs.12365auto.com/postcontent.aspx?tID=194983")</f>
        <v>http://bbs.12365auto.com/postcontent.aspx?tID=194983</v>
      </c>
      <c r="G3007" s="2"/>
      <c r="H3007" s="2" t="s">
        <v>4332</v>
      </c>
      <c r="I3007" s="2" t="s">
        <v>15</v>
      </c>
      <c r="J3007" s="2" t="s">
        <v>4330</v>
      </c>
      <c r="K3007" s="2" t="s">
        <v>4328</v>
      </c>
      <c r="L3007" s="2">
        <f t="shared" si="46"/>
        <v>150</v>
      </c>
    </row>
    <row r="3008" spans="1:12" ht="25" customHeight="1">
      <c r="A3008" s="2" t="s">
        <v>12</v>
      </c>
      <c r="B3008" s="2" t="str">
        <f>HYPERLINK("http://bbs.12365auto.com/postcontent.aspx?tId=194982","拆解Model 3发现 特斯拉自动驾驶技术至少领先行业6年")</f>
        <v>拆解Model 3发现 特斯拉自动驾驶技术至少领先行业6年</v>
      </c>
      <c r="C3008" s="2" t="s">
        <v>13</v>
      </c>
      <c r="D3008" s="2" t="s">
        <v>12</v>
      </c>
      <c r="E3008" s="2" t="s">
        <v>27</v>
      </c>
      <c r="F3008" s="2" t="str">
        <f>HYPERLINK("http://bbs.12365auto.com/postcontent.aspx?tId=194982","http://bbs.12365auto.com/postcontent.aspx?tId=194982")</f>
        <v>http://bbs.12365auto.com/postcontent.aspx?tId=194982</v>
      </c>
      <c r="G3008" s="2"/>
      <c r="H3008" s="2" t="s">
        <v>4333</v>
      </c>
      <c r="I3008" s="2" t="s">
        <v>15</v>
      </c>
      <c r="J3008" s="2" t="s">
        <v>4330</v>
      </c>
      <c r="K3008" s="2" t="s">
        <v>4334</v>
      </c>
      <c r="L3008" s="2">
        <f t="shared" si="46"/>
        <v>150</v>
      </c>
    </row>
    <row r="3009" spans="1:12" ht="25" customHeight="1">
      <c r="A3009" s="2" t="s">
        <v>12</v>
      </c>
      <c r="B3009" s="2" t="str">
        <f>HYPERLINK("http://m.12365auto.com/xcdg/20200224/419401.shtml","大空间/强动力/保值 飞度车主用车感受")</f>
        <v>大空间/强动力/保值 飞度车主用车感受</v>
      </c>
      <c r="C3009" s="2" t="s">
        <v>13</v>
      </c>
      <c r="D3009" s="2" t="s">
        <v>12</v>
      </c>
      <c r="E3009" s="2"/>
      <c r="F3009" s="2" t="str">
        <f>HYPERLINK("http://m.12365auto.com/xcdg/20200224/419401.shtml","http://m.12365auto.com/xcdg/20200224/419401.shtml")</f>
        <v>http://m.12365auto.com/xcdg/20200224/419401.shtml</v>
      </c>
      <c r="G3009" s="2"/>
      <c r="H3009" s="2" t="s">
        <v>4335</v>
      </c>
      <c r="I3009" s="2" t="s">
        <v>19</v>
      </c>
      <c r="J3009" s="2" t="s">
        <v>1733</v>
      </c>
      <c r="K3009" s="2" t="s">
        <v>4334</v>
      </c>
      <c r="L3009" s="2">
        <f t="shared" si="46"/>
        <v>150</v>
      </c>
    </row>
    <row r="3010" spans="1:12" ht="25" customHeight="1">
      <c r="A3010" s="2" t="s">
        <v>12</v>
      </c>
      <c r="B3010" s="2" t="str">
        <f>HYPERLINK("http://m.12365auto.com/bbs/postcontent.aspx?tID=194982","拆解Model 3发现 特斯拉自动驾驶技术至少领先行业6年")</f>
        <v>拆解Model 3发现 特斯拉自动驾驶技术至少领先行业6年</v>
      </c>
      <c r="C3010" s="2" t="s">
        <v>13</v>
      </c>
      <c r="D3010" s="2" t="s">
        <v>23</v>
      </c>
      <c r="E3010" s="2"/>
      <c r="F3010" s="2" t="str">
        <f>HYPERLINK("http://m.12365auto.com/bbs/postcontent.aspx?tID=194982","http://m.12365auto.com/bbs/postcontent.aspx?tID=194982")</f>
        <v>http://m.12365auto.com/bbs/postcontent.aspx?tID=194982</v>
      </c>
      <c r="G3010" s="2"/>
      <c r="H3010" s="2" t="s">
        <v>4333</v>
      </c>
      <c r="I3010" s="2" t="s">
        <v>15</v>
      </c>
      <c r="J3010" s="2" t="s">
        <v>4330</v>
      </c>
      <c r="K3010" s="2" t="s">
        <v>4334</v>
      </c>
      <c r="L3010" s="2">
        <f t="shared" si="46"/>
        <v>150</v>
      </c>
    </row>
    <row r="3011" spans="1:12" ht="25" customHeight="1">
      <c r="A3011" s="2" t="s">
        <v>12</v>
      </c>
      <c r="B3011" s="2" t="str">
        <f>HYPERLINK("http://bbs.12365auto.com/postcontent.aspx?tID=194982","拆解Model 3发现 特斯拉自动驾驶技术至少领先行业6年")</f>
        <v>拆解Model 3发现 特斯拉自动驾驶技术至少领先行业6年</v>
      </c>
      <c r="C3011" s="2" t="s">
        <v>13</v>
      </c>
      <c r="D3011" s="2" t="s">
        <v>12</v>
      </c>
      <c r="E3011" s="2" t="s">
        <v>28</v>
      </c>
      <c r="F3011" s="2" t="str">
        <f>HYPERLINK("http://bbs.12365auto.com/postcontent.aspx?tID=194982","http://bbs.12365auto.com/postcontent.aspx?tID=194982")</f>
        <v>http://bbs.12365auto.com/postcontent.aspx?tID=194982</v>
      </c>
      <c r="G3011" s="2"/>
      <c r="H3011" s="2" t="s">
        <v>4336</v>
      </c>
      <c r="I3011" s="2" t="s">
        <v>15</v>
      </c>
      <c r="J3011" s="2" t="s">
        <v>4330</v>
      </c>
      <c r="K3011" s="2" t="s">
        <v>4334</v>
      </c>
      <c r="L3011" s="2">
        <f t="shared" ref="L3011:L3074" si="47">LEN(H3011)</f>
        <v>150</v>
      </c>
    </row>
    <row r="3012" spans="1:12" ht="25" customHeight="1">
      <c r="A3012" s="2" t="s">
        <v>12</v>
      </c>
      <c r="B3012" s="2" t="str">
        <f>HYPERLINK("http://m.12365auto.com/xcdg/20200224/419400.shtml","不到8万即可入手 如今买悦动值不值？")</f>
        <v>不到8万即可入手 如今买悦动值不值？</v>
      </c>
      <c r="C3012" s="2" t="s">
        <v>13</v>
      </c>
      <c r="D3012" s="2" t="s">
        <v>12</v>
      </c>
      <c r="E3012" s="2"/>
      <c r="F3012" s="2" t="str">
        <f>HYPERLINK("http://m.12365auto.com/xcdg/20200224/419400.shtml","http://m.12365auto.com/xcdg/20200224/419400.shtml")</f>
        <v>http://m.12365auto.com/xcdg/20200224/419400.shtml</v>
      </c>
      <c r="G3012" s="2"/>
      <c r="H3012" s="2" t="s">
        <v>4337</v>
      </c>
      <c r="I3012" s="2" t="s">
        <v>19</v>
      </c>
      <c r="J3012" s="2" t="s">
        <v>1722</v>
      </c>
      <c r="K3012" s="2" t="s">
        <v>4338</v>
      </c>
      <c r="L3012" s="2">
        <f t="shared" si="47"/>
        <v>150</v>
      </c>
    </row>
    <row r="3013" spans="1:12" ht="25" customHeight="1">
      <c r="A3013" s="2" t="s">
        <v>12</v>
      </c>
      <c r="B3013" s="2" t="str">
        <f>HYPERLINK("http://m.12365auto.com/bbs/postcontent.aspx?tID=194981","汽车仪表盘指示灯大全")</f>
        <v>汽车仪表盘指示灯大全</v>
      </c>
      <c r="C3013" s="2" t="s">
        <v>13</v>
      </c>
      <c r="D3013" s="2" t="s">
        <v>23</v>
      </c>
      <c r="E3013" s="2"/>
      <c r="F3013" s="2" t="str">
        <f>HYPERLINK("http://m.12365auto.com/bbs/postcontent.aspx?tID=194981","http://m.12365auto.com/bbs/postcontent.aspx?tID=194981")</f>
        <v>http://m.12365auto.com/bbs/postcontent.aspx?tID=194981</v>
      </c>
      <c r="G3013" s="2"/>
      <c r="H3013" s="2" t="s">
        <v>4339</v>
      </c>
      <c r="I3013" s="2" t="s">
        <v>15</v>
      </c>
      <c r="J3013" s="2" t="s">
        <v>4330</v>
      </c>
      <c r="K3013" s="2" t="s">
        <v>4340</v>
      </c>
      <c r="L3013" s="2">
        <f t="shared" si="47"/>
        <v>56</v>
      </c>
    </row>
    <row r="3014" spans="1:12" ht="25" customHeight="1">
      <c r="A3014" s="2" t="s">
        <v>12</v>
      </c>
      <c r="B3014" s="2" t="str">
        <f>HYPERLINK("http://bbs.12365auto.com/postcontent.aspx?tId=194981","汽车仪表盘指示灯大全")</f>
        <v>汽车仪表盘指示灯大全</v>
      </c>
      <c r="C3014" s="2" t="s">
        <v>13</v>
      </c>
      <c r="D3014" s="2" t="s">
        <v>12</v>
      </c>
      <c r="E3014" s="2" t="s">
        <v>27</v>
      </c>
      <c r="F3014" s="2" t="str">
        <f>HYPERLINK("http://bbs.12365auto.com/postcontent.aspx?tId=194981","http://bbs.12365auto.com/postcontent.aspx?tId=194981")</f>
        <v>http://bbs.12365auto.com/postcontent.aspx?tId=194981</v>
      </c>
      <c r="G3014" s="2"/>
      <c r="H3014" s="2" t="s">
        <v>4339</v>
      </c>
      <c r="I3014" s="2" t="s">
        <v>15</v>
      </c>
      <c r="J3014" s="2" t="s">
        <v>4330</v>
      </c>
      <c r="K3014" s="2" t="s">
        <v>4340</v>
      </c>
      <c r="L3014" s="2">
        <f t="shared" si="47"/>
        <v>56</v>
      </c>
    </row>
    <row r="3015" spans="1:12" ht="25" customHeight="1">
      <c r="A3015" s="2" t="s">
        <v>12</v>
      </c>
      <c r="B3015" s="2" t="str">
        <f>HYPERLINK("http://bbs.12365auto.com/postcontent.aspx?tID=194981","汽车仪表盘指示灯大全")</f>
        <v>汽车仪表盘指示灯大全</v>
      </c>
      <c r="C3015" s="2" t="s">
        <v>13</v>
      </c>
      <c r="D3015" s="2" t="s">
        <v>12</v>
      </c>
      <c r="E3015" s="2" t="s">
        <v>28</v>
      </c>
      <c r="F3015" s="2" t="str">
        <f>HYPERLINK("http://bbs.12365auto.com/postcontent.aspx?tID=194981","http://bbs.12365auto.com/postcontent.aspx?tID=194981")</f>
        <v>http://bbs.12365auto.com/postcontent.aspx?tID=194981</v>
      </c>
      <c r="G3015" s="2"/>
      <c r="H3015" s="2" t="s">
        <v>4341</v>
      </c>
      <c r="I3015" s="2" t="s">
        <v>15</v>
      </c>
      <c r="J3015" s="2" t="s">
        <v>4330</v>
      </c>
      <c r="K3015" s="2" t="s">
        <v>4340</v>
      </c>
      <c r="L3015" s="2">
        <f t="shared" si="47"/>
        <v>66</v>
      </c>
    </row>
    <row r="3016" spans="1:12" ht="25" customHeight="1">
      <c r="A3016" s="2" t="s">
        <v>12</v>
      </c>
      <c r="B3016" s="2" t="str">
        <f>HYPERLINK("http://m.12365auto.com/bbs/postcontent.aspx?tID=194980","一万个人眼中有一万个挑战者")</f>
        <v>一万个人眼中有一万个挑战者</v>
      </c>
      <c r="C3016" s="2" t="s">
        <v>13</v>
      </c>
      <c r="D3016" s="2" t="s">
        <v>23</v>
      </c>
      <c r="E3016" s="2"/>
      <c r="F3016" s="2" t="str">
        <f>HYPERLINK("http://m.12365auto.com/bbs/postcontent.aspx?tID=194980","http://m.12365auto.com/bbs/postcontent.aspx?tID=194980")</f>
        <v>http://m.12365auto.com/bbs/postcontent.aspx?tID=194980</v>
      </c>
      <c r="G3016" s="2"/>
      <c r="H3016" s="2" t="s">
        <v>4342</v>
      </c>
      <c r="I3016" s="2" t="s">
        <v>15</v>
      </c>
      <c r="J3016" s="2" t="s">
        <v>4330</v>
      </c>
      <c r="K3016" s="2" t="s">
        <v>4343</v>
      </c>
      <c r="L3016" s="2">
        <f t="shared" si="47"/>
        <v>150</v>
      </c>
    </row>
    <row r="3017" spans="1:12" ht="25" customHeight="1">
      <c r="A3017" s="2" t="s">
        <v>12</v>
      </c>
      <c r="B3017" s="2" t="str">
        <f>HYPERLINK("http://bbs.12365auto.com/postcontent.aspx?tId=194980","一万个人眼中有一万个挑战者")</f>
        <v>一万个人眼中有一万个挑战者</v>
      </c>
      <c r="C3017" s="2" t="s">
        <v>13</v>
      </c>
      <c r="D3017" s="2" t="s">
        <v>12</v>
      </c>
      <c r="E3017" s="2" t="s">
        <v>27</v>
      </c>
      <c r="F3017" s="2" t="str">
        <f>HYPERLINK("http://bbs.12365auto.com/postcontent.aspx?tId=194980","http://bbs.12365auto.com/postcontent.aspx?tId=194980")</f>
        <v>http://bbs.12365auto.com/postcontent.aspx?tId=194980</v>
      </c>
      <c r="G3017" s="2"/>
      <c r="H3017" s="2" t="s">
        <v>4342</v>
      </c>
      <c r="I3017" s="2" t="s">
        <v>15</v>
      </c>
      <c r="J3017" s="2" t="s">
        <v>4330</v>
      </c>
      <c r="K3017" s="2" t="s">
        <v>4343</v>
      </c>
      <c r="L3017" s="2">
        <f t="shared" si="47"/>
        <v>150</v>
      </c>
    </row>
    <row r="3018" spans="1:12" ht="25" customHeight="1">
      <c r="A3018" s="2" t="s">
        <v>12</v>
      </c>
      <c r="B3018" s="2" t="str">
        <f>HYPERLINK("http://bbs.12365auto.com/postcontent.aspx?tID=194980","一万个人眼中有一万个挑战者")</f>
        <v>一万个人眼中有一万个挑战者</v>
      </c>
      <c r="C3018" s="2" t="s">
        <v>13</v>
      </c>
      <c r="D3018" s="2" t="s">
        <v>12</v>
      </c>
      <c r="E3018" s="2" t="s">
        <v>28</v>
      </c>
      <c r="F3018" s="2" t="str">
        <f>HYPERLINK("http://bbs.12365auto.com/postcontent.aspx?tID=194980","http://bbs.12365auto.com/postcontent.aspx?tID=194980")</f>
        <v>http://bbs.12365auto.com/postcontent.aspx?tID=194980</v>
      </c>
      <c r="G3018" s="2"/>
      <c r="H3018" s="2" t="s">
        <v>4344</v>
      </c>
      <c r="I3018" s="2" t="s">
        <v>15</v>
      </c>
      <c r="J3018" s="2" t="s">
        <v>4330</v>
      </c>
      <c r="K3018" s="2" t="s">
        <v>4343</v>
      </c>
      <c r="L3018" s="2">
        <f t="shared" si="47"/>
        <v>150</v>
      </c>
    </row>
    <row r="3019" spans="1:12" ht="25" customHeight="1">
      <c r="A3019" s="2" t="s">
        <v>12</v>
      </c>
      <c r="B3019" s="2" t="str">
        <f>HYPERLINK("http://m.12365auto.com/xcdg/20200224/419399.shtml","价格涵盖15-35万元 选这四款电动车不会错")</f>
        <v>价格涵盖15-35万元 选这四款电动车不会错</v>
      </c>
      <c r="C3019" s="2" t="s">
        <v>13</v>
      </c>
      <c r="D3019" s="2" t="s">
        <v>12</v>
      </c>
      <c r="E3019" s="2"/>
      <c r="F3019" s="2" t="str">
        <f>HYPERLINK("http://m.12365auto.com/xcdg/20200224/419399.shtml","http://m.12365auto.com/xcdg/20200224/419399.shtml")</f>
        <v>http://m.12365auto.com/xcdg/20200224/419399.shtml</v>
      </c>
      <c r="G3019" s="2"/>
      <c r="H3019" s="2" t="s">
        <v>4345</v>
      </c>
      <c r="I3019" s="2" t="s">
        <v>19</v>
      </c>
      <c r="J3019" s="2" t="s">
        <v>4346</v>
      </c>
      <c r="K3019" s="2" t="s">
        <v>4343</v>
      </c>
      <c r="L3019" s="2">
        <f t="shared" si="47"/>
        <v>150</v>
      </c>
    </row>
    <row r="3020" spans="1:12" ht="25" customHeight="1">
      <c r="A3020" s="2" t="s">
        <v>12</v>
      </c>
      <c r="B3020" s="2" t="str">
        <f>HYPERLINK("http://m.12365auto.com/bbs/postcontent.aspx?tID=194979","国六排放标准再升级 主流车企或遇应对难题")</f>
        <v>国六排放标准再升级 主流车企或遇应对难题</v>
      </c>
      <c r="C3020" s="2" t="s">
        <v>13</v>
      </c>
      <c r="D3020" s="2" t="s">
        <v>23</v>
      </c>
      <c r="E3020" s="2"/>
      <c r="F3020" s="2" t="str">
        <f>HYPERLINK("http://m.12365auto.com/bbs/postcontent.aspx?tID=194979","http://m.12365auto.com/bbs/postcontent.aspx?tID=194979")</f>
        <v>http://m.12365auto.com/bbs/postcontent.aspx?tID=194979</v>
      </c>
      <c r="G3020" s="2"/>
      <c r="H3020" s="2" t="s">
        <v>4347</v>
      </c>
      <c r="I3020" s="2" t="s">
        <v>15</v>
      </c>
      <c r="J3020" s="2" t="s">
        <v>4330</v>
      </c>
      <c r="K3020" s="2" t="s">
        <v>4348</v>
      </c>
      <c r="L3020" s="2">
        <f t="shared" si="47"/>
        <v>150</v>
      </c>
    </row>
    <row r="3021" spans="1:12" ht="25" customHeight="1">
      <c r="A3021" s="2" t="s">
        <v>12</v>
      </c>
      <c r="B3021" s="2" t="str">
        <f>HYPERLINK("http://bbs.12365auto.com/postcontent.aspx?tId=194979","国六排放标准再升级 主流车企或遇应对难题")</f>
        <v>国六排放标准再升级 主流车企或遇应对难题</v>
      </c>
      <c r="C3021" s="2" t="s">
        <v>13</v>
      </c>
      <c r="D3021" s="2" t="s">
        <v>12</v>
      </c>
      <c r="E3021" s="2" t="s">
        <v>27</v>
      </c>
      <c r="F3021" s="2" t="str">
        <f>HYPERLINK("http://bbs.12365auto.com/postcontent.aspx?tId=194979","http://bbs.12365auto.com/postcontent.aspx?tId=194979")</f>
        <v>http://bbs.12365auto.com/postcontent.aspx?tId=194979</v>
      </c>
      <c r="G3021" s="2"/>
      <c r="H3021" s="2" t="s">
        <v>4347</v>
      </c>
      <c r="I3021" s="2" t="s">
        <v>15</v>
      </c>
      <c r="J3021" s="2" t="s">
        <v>4330</v>
      </c>
      <c r="K3021" s="2" t="s">
        <v>4348</v>
      </c>
      <c r="L3021" s="2">
        <f t="shared" si="47"/>
        <v>150</v>
      </c>
    </row>
    <row r="3022" spans="1:12" ht="25" customHeight="1">
      <c r="A3022" s="2" t="s">
        <v>12</v>
      </c>
      <c r="B3022" s="2" t="str">
        <f>HYPERLINK("http://bbs.12365auto.com/postcontent.aspx?tID=194979","国六排放标准再升级 主流车企或遇应对难题")</f>
        <v>国六排放标准再升级 主流车企或遇应对难题</v>
      </c>
      <c r="C3022" s="2" t="s">
        <v>13</v>
      </c>
      <c r="D3022" s="2" t="s">
        <v>12</v>
      </c>
      <c r="E3022" s="2" t="s">
        <v>28</v>
      </c>
      <c r="F3022" s="2" t="str">
        <f>HYPERLINK("http://bbs.12365auto.com/postcontent.aspx?tID=194979","http://bbs.12365auto.com/postcontent.aspx?tID=194979")</f>
        <v>http://bbs.12365auto.com/postcontent.aspx?tID=194979</v>
      </c>
      <c r="G3022" s="2"/>
      <c r="H3022" s="2" t="s">
        <v>4349</v>
      </c>
      <c r="I3022" s="2" t="s">
        <v>15</v>
      </c>
      <c r="J3022" s="2" t="s">
        <v>4330</v>
      </c>
      <c r="K3022" s="2" t="s">
        <v>4348</v>
      </c>
      <c r="L3022" s="2">
        <f t="shared" si="47"/>
        <v>150</v>
      </c>
    </row>
    <row r="3023" spans="1:12" ht="25" customHeight="1">
      <c r="A3023" s="2" t="s">
        <v>12</v>
      </c>
      <c r="B3023" s="2" t="str">
        <f>HYPERLINK("http://m.12365auto.com/xcdg/20200224/419398.shtml","价格实惠/养车不贵 日产劲客值不值？")</f>
        <v>价格实惠/养车不贵 日产劲客值不值？</v>
      </c>
      <c r="C3023" s="2" t="s">
        <v>13</v>
      </c>
      <c r="D3023" s="2" t="s">
        <v>12</v>
      </c>
      <c r="E3023" s="2"/>
      <c r="F3023" s="2" t="str">
        <f>HYPERLINK("http://m.12365auto.com/xcdg/20200224/419398.shtml","http://m.12365auto.com/xcdg/20200224/419398.shtml")</f>
        <v>http://m.12365auto.com/xcdg/20200224/419398.shtml</v>
      </c>
      <c r="G3023" s="2"/>
      <c r="H3023" s="2" t="s">
        <v>4350</v>
      </c>
      <c r="I3023" s="2" t="s">
        <v>19</v>
      </c>
      <c r="J3023" s="2" t="s">
        <v>1722</v>
      </c>
      <c r="K3023" s="2" t="s">
        <v>4348</v>
      </c>
      <c r="L3023" s="2">
        <f t="shared" si="47"/>
        <v>150</v>
      </c>
    </row>
    <row r="3024" spans="1:12" ht="25" customHeight="1">
      <c r="A3024" s="2" t="s">
        <v>12</v>
      </c>
      <c r="B3024" s="2" t="str">
        <f>HYPERLINK("http://bbs.12365auto.com/postcontent.aspx?tId=194977","中央出手救市 汽车市场有望绝地反弹")</f>
        <v>中央出手救市 汽车市场有望绝地反弹</v>
      </c>
      <c r="C3024" s="2" t="s">
        <v>13</v>
      </c>
      <c r="D3024" s="2" t="s">
        <v>12</v>
      </c>
      <c r="E3024" s="2" t="s">
        <v>27</v>
      </c>
      <c r="F3024" s="2" t="str">
        <f>HYPERLINK("http://bbs.12365auto.com/postcontent.aspx?tId=194977","http://bbs.12365auto.com/postcontent.aspx?tId=194977")</f>
        <v>http://bbs.12365auto.com/postcontent.aspx?tId=194977</v>
      </c>
      <c r="G3024" s="2"/>
      <c r="H3024" s="2" t="s">
        <v>4351</v>
      </c>
      <c r="I3024" s="2" t="s">
        <v>15</v>
      </c>
      <c r="J3024" s="2" t="s">
        <v>4330</v>
      </c>
      <c r="K3024" s="2" t="s">
        <v>4352</v>
      </c>
      <c r="L3024" s="2">
        <f t="shared" si="47"/>
        <v>150</v>
      </c>
    </row>
    <row r="3025" spans="1:12" ht="25" customHeight="1">
      <c r="A3025" s="2" t="s">
        <v>12</v>
      </c>
      <c r="B3025" s="2" t="str">
        <f>HYPERLINK("http://bbs.12365auto.com/postcontent.aspx?tID=194977","中央出手救市 汽车市场有望绝地反弹")</f>
        <v>中央出手救市 汽车市场有望绝地反弹</v>
      </c>
      <c r="C3025" s="2" t="s">
        <v>13</v>
      </c>
      <c r="D3025" s="2" t="s">
        <v>12</v>
      </c>
      <c r="E3025" s="2" t="s">
        <v>28</v>
      </c>
      <c r="F3025" s="2" t="str">
        <f>HYPERLINK("http://bbs.12365auto.com/postcontent.aspx?tID=194977","http://bbs.12365auto.com/postcontent.aspx?tID=194977")</f>
        <v>http://bbs.12365auto.com/postcontent.aspx?tID=194977</v>
      </c>
      <c r="G3025" s="2"/>
      <c r="H3025" s="2" t="s">
        <v>4353</v>
      </c>
      <c r="I3025" s="2" t="s">
        <v>15</v>
      </c>
      <c r="J3025" s="2" t="s">
        <v>4330</v>
      </c>
      <c r="K3025" s="2" t="s">
        <v>4352</v>
      </c>
      <c r="L3025" s="2">
        <f t="shared" si="47"/>
        <v>150</v>
      </c>
    </row>
    <row r="3026" spans="1:12" ht="25" customHeight="1">
      <c r="A3026" s="2" t="s">
        <v>12</v>
      </c>
      <c r="B3026" s="2" t="str">
        <f>HYPERLINK("http://m.12365auto.com/bbs/postcontent.aspx?tID=194977","中央出手救市 汽车市场有望绝地反弹")</f>
        <v>中央出手救市 汽车市场有望绝地反弹</v>
      </c>
      <c r="C3026" s="2" t="s">
        <v>13</v>
      </c>
      <c r="D3026" s="2" t="s">
        <v>23</v>
      </c>
      <c r="E3026" s="2"/>
      <c r="F3026" s="2" t="str">
        <f>HYPERLINK("http://m.12365auto.com/bbs/postcontent.aspx?tID=194977","http://m.12365auto.com/bbs/postcontent.aspx?tID=194977")</f>
        <v>http://m.12365auto.com/bbs/postcontent.aspx?tID=194977</v>
      </c>
      <c r="G3026" s="2"/>
      <c r="H3026" s="2" t="s">
        <v>4351</v>
      </c>
      <c r="I3026" s="2" t="s">
        <v>15</v>
      </c>
      <c r="J3026" s="2" t="s">
        <v>4330</v>
      </c>
      <c r="K3026" s="2" t="s">
        <v>4352</v>
      </c>
      <c r="L3026" s="2">
        <f t="shared" si="47"/>
        <v>150</v>
      </c>
    </row>
    <row r="3027" spans="1:12" ht="25" customHeight="1">
      <c r="A3027" s="2" t="s">
        <v>12</v>
      </c>
      <c r="B3027" s="2" t="str">
        <f>HYPERLINK("http://www.12365auto.com/zlts/20200224/448467.shtml","东风本田思域发动机缺缸行驶过程中失速")</f>
        <v>东风本田思域发动机缺缸行驶过程中失速</v>
      </c>
      <c r="C3027" s="2" t="s">
        <v>13</v>
      </c>
      <c r="D3027" s="2" t="s">
        <v>12</v>
      </c>
      <c r="E3027" s="2" t="s">
        <v>17</v>
      </c>
      <c r="F3027" s="2" t="str">
        <f>HYPERLINK("http://www.12365auto.com/zlts/20200224/448467.shtml","http://www.12365auto.com/zlts/20200224/448467.shtml")</f>
        <v>http://www.12365auto.com/zlts/20200224/448467.shtml</v>
      </c>
      <c r="G3027" s="2"/>
      <c r="H3027" s="2" t="s">
        <v>4354</v>
      </c>
      <c r="I3027" s="2" t="s">
        <v>19</v>
      </c>
      <c r="J3027" s="2" t="s">
        <v>12</v>
      </c>
      <c r="K3027" s="2" t="s">
        <v>4355</v>
      </c>
      <c r="L3027" s="2">
        <f t="shared" si="47"/>
        <v>150</v>
      </c>
    </row>
    <row r="3028" spans="1:12" ht="25" customHeight="1">
      <c r="A3028" s="2" t="s">
        <v>12</v>
      </c>
      <c r="B3028" s="2" t="str">
        <f>HYPERLINK("http://m.12365auto.com/xcdg/20200224/419397.shtml","将于6月投产 菲亚特500e生产线竣工")</f>
        <v>将于6月投产 菲亚特500e生产线竣工</v>
      </c>
      <c r="C3028" s="2" t="s">
        <v>13</v>
      </c>
      <c r="D3028" s="2" t="s">
        <v>12</v>
      </c>
      <c r="E3028" s="2"/>
      <c r="F3028" s="2" t="str">
        <f>HYPERLINK("http://m.12365auto.com/xcdg/20200224/419397.shtml","http://m.12365auto.com/xcdg/20200224/419397.shtml")</f>
        <v>http://m.12365auto.com/xcdg/20200224/419397.shtml</v>
      </c>
      <c r="G3028" s="2"/>
      <c r="H3028" s="2" t="s">
        <v>4356</v>
      </c>
      <c r="I3028" s="2" t="s">
        <v>19</v>
      </c>
      <c r="J3028" s="2" t="s">
        <v>332</v>
      </c>
      <c r="K3028" s="2" t="s">
        <v>4355</v>
      </c>
      <c r="L3028" s="2">
        <f t="shared" si="47"/>
        <v>150</v>
      </c>
    </row>
    <row r="3029" spans="1:12" ht="25" customHeight="1">
      <c r="A3029" s="2" t="s">
        <v>12</v>
      </c>
      <c r="B3029" s="2" t="str">
        <f>HYPERLINK("http://www.12365auto.com/xcdg/20200224/419397.shtml","将于6月投产 菲亚特500e生产线竣工")</f>
        <v>将于6月投产 菲亚特500e生产线竣工</v>
      </c>
      <c r="C3029" s="2" t="s">
        <v>13</v>
      </c>
      <c r="D3029" s="2" t="s">
        <v>12</v>
      </c>
      <c r="E3029" s="2" t="s">
        <v>216</v>
      </c>
      <c r="F3029" s="2" t="str">
        <f>HYPERLINK("http://www.12365auto.com/xcdg/20200224/419397.shtml","http://www.12365auto.com/xcdg/20200224/419397.shtml")</f>
        <v>http://www.12365auto.com/xcdg/20200224/419397.shtml</v>
      </c>
      <c r="G3029" s="2"/>
      <c r="H3029" s="2" t="s">
        <v>4357</v>
      </c>
      <c r="I3029" s="2" t="s">
        <v>15</v>
      </c>
      <c r="J3029" s="2" t="s">
        <v>12</v>
      </c>
      <c r="K3029" s="2" t="s">
        <v>4355</v>
      </c>
      <c r="L3029" s="2">
        <f t="shared" si="47"/>
        <v>150</v>
      </c>
    </row>
    <row r="3030" spans="1:12" ht="25" customHeight="1">
      <c r="A3030" s="2" t="s">
        <v>12</v>
      </c>
      <c r="B3030" s="2" t="str">
        <f>HYPERLINK("http://bbs.12365auto.com/postcontent.aspx?tId=194976","裸车20万预算 什么SUV最值得买？")</f>
        <v>裸车20万预算 什么SUV最值得买？</v>
      </c>
      <c r="C3030" s="2" t="s">
        <v>13</v>
      </c>
      <c r="D3030" s="2" t="s">
        <v>12</v>
      </c>
      <c r="E3030" s="2" t="s">
        <v>27</v>
      </c>
      <c r="F3030" s="2" t="str">
        <f>HYPERLINK("http://bbs.12365auto.com/postcontent.aspx?tId=194976","http://bbs.12365auto.com/postcontent.aspx?tId=194976")</f>
        <v>http://bbs.12365auto.com/postcontent.aspx?tId=194976</v>
      </c>
      <c r="G3030" s="2"/>
      <c r="H3030" s="2" t="s">
        <v>4358</v>
      </c>
      <c r="I3030" s="2" t="s">
        <v>15</v>
      </c>
      <c r="J3030" s="2" t="s">
        <v>4330</v>
      </c>
      <c r="K3030" s="2" t="s">
        <v>4359</v>
      </c>
      <c r="L3030" s="2">
        <f t="shared" si="47"/>
        <v>150</v>
      </c>
    </row>
    <row r="3031" spans="1:12" ht="25" customHeight="1">
      <c r="A3031" s="2" t="s">
        <v>12</v>
      </c>
      <c r="B3031" s="2" t="str">
        <f>HYPERLINK("http://bbs.12365auto.com/postcontent.aspx?tID=194976","裸车20万预算 什么SUV最值得买？")</f>
        <v>裸车20万预算 什么SUV最值得买？</v>
      </c>
      <c r="C3031" s="2" t="s">
        <v>13</v>
      </c>
      <c r="D3031" s="2" t="s">
        <v>12</v>
      </c>
      <c r="E3031" s="2" t="s">
        <v>28</v>
      </c>
      <c r="F3031" s="2" t="str">
        <f>HYPERLINK("http://bbs.12365auto.com/postcontent.aspx?tID=194976","http://bbs.12365auto.com/postcontent.aspx?tID=194976")</f>
        <v>http://bbs.12365auto.com/postcontent.aspx?tID=194976</v>
      </c>
      <c r="G3031" s="2"/>
      <c r="H3031" s="2" t="s">
        <v>4360</v>
      </c>
      <c r="I3031" s="2" t="s">
        <v>15</v>
      </c>
      <c r="J3031" s="2" t="s">
        <v>4330</v>
      </c>
      <c r="K3031" s="2" t="s">
        <v>4359</v>
      </c>
      <c r="L3031" s="2">
        <f t="shared" si="47"/>
        <v>150</v>
      </c>
    </row>
    <row r="3032" spans="1:12" ht="25" customHeight="1">
      <c r="A3032" s="2" t="s">
        <v>12</v>
      </c>
      <c r="B3032" s="2" t="str">
        <f>HYPERLINK("http://m.12365auto.com/bbs/postcontent.aspx?tID=194976","裸车20万预算 什么SUV最值得买？")</f>
        <v>裸车20万预算 什么SUV最值得买？</v>
      </c>
      <c r="C3032" s="2" t="s">
        <v>13</v>
      </c>
      <c r="D3032" s="2" t="s">
        <v>23</v>
      </c>
      <c r="E3032" s="2"/>
      <c r="F3032" s="2" t="str">
        <f>HYPERLINK("http://m.12365auto.com/bbs/postcontent.aspx?tID=194976","http://m.12365auto.com/bbs/postcontent.aspx?tID=194976")</f>
        <v>http://m.12365auto.com/bbs/postcontent.aspx?tID=194976</v>
      </c>
      <c r="G3032" s="2"/>
      <c r="H3032" s="2" t="s">
        <v>4358</v>
      </c>
      <c r="I3032" s="2" t="s">
        <v>15</v>
      </c>
      <c r="J3032" s="2" t="s">
        <v>4330</v>
      </c>
      <c r="K3032" s="2" t="s">
        <v>4359</v>
      </c>
      <c r="L3032" s="2">
        <f t="shared" si="47"/>
        <v>150</v>
      </c>
    </row>
    <row r="3033" spans="1:12" ht="25" customHeight="1">
      <c r="A3033" s="2" t="s">
        <v>12</v>
      </c>
      <c r="B3033" s="2" t="str">
        <f>HYPERLINK("http://bbs.12365auto.com/postcontent.aspx?tId=194973","未来一年值得期待的三款新车")</f>
        <v>未来一年值得期待的三款新车</v>
      </c>
      <c r="C3033" s="2" t="s">
        <v>13</v>
      </c>
      <c r="D3033" s="2" t="s">
        <v>12</v>
      </c>
      <c r="E3033" s="2" t="s">
        <v>27</v>
      </c>
      <c r="F3033" s="2" t="str">
        <f>HYPERLINK("http://bbs.12365auto.com/postcontent.aspx?tId=194973","http://bbs.12365auto.com/postcontent.aspx?tId=194973")</f>
        <v>http://bbs.12365auto.com/postcontent.aspx?tId=194973</v>
      </c>
      <c r="G3033" s="2"/>
      <c r="H3033" s="2" t="s">
        <v>4361</v>
      </c>
      <c r="I3033" s="2" t="s">
        <v>15</v>
      </c>
      <c r="J3033" s="2" t="s">
        <v>4330</v>
      </c>
      <c r="K3033" s="2" t="s">
        <v>4362</v>
      </c>
      <c r="L3033" s="2">
        <f t="shared" si="47"/>
        <v>150</v>
      </c>
    </row>
    <row r="3034" spans="1:12" ht="25" customHeight="1">
      <c r="A3034" s="2" t="s">
        <v>12</v>
      </c>
      <c r="B3034" s="2" t="str">
        <f>HYPERLINK("http://bbs.12365auto.com/postcontent.aspx?tId=194974","三菱开始走上坡路 全系搭载V6引擎")</f>
        <v>三菱开始走上坡路 全系搭载V6引擎</v>
      </c>
      <c r="C3034" s="2" t="s">
        <v>13</v>
      </c>
      <c r="D3034" s="2" t="s">
        <v>12</v>
      </c>
      <c r="E3034" s="2" t="s">
        <v>27</v>
      </c>
      <c r="F3034" s="2" t="str">
        <f>HYPERLINK("http://bbs.12365auto.com/postcontent.aspx?tId=194974","http://bbs.12365auto.com/postcontent.aspx?tId=194974")</f>
        <v>http://bbs.12365auto.com/postcontent.aspx?tId=194974</v>
      </c>
      <c r="G3034" s="2"/>
      <c r="H3034" s="2" t="s">
        <v>4363</v>
      </c>
      <c r="I3034" s="2" t="s">
        <v>15</v>
      </c>
      <c r="J3034" s="2" t="s">
        <v>4330</v>
      </c>
      <c r="K3034" s="2" t="s">
        <v>4362</v>
      </c>
      <c r="L3034" s="2">
        <f t="shared" si="47"/>
        <v>150</v>
      </c>
    </row>
    <row r="3035" spans="1:12" ht="25" customHeight="1">
      <c r="A3035" s="2" t="s">
        <v>12</v>
      </c>
      <c r="B3035" s="2" t="str">
        <f>HYPERLINK("http://bbs.12365auto.com/postcontent.aspx?tId=194975","等了一年 全新CLA终于要在国内上市了")</f>
        <v>等了一年 全新CLA终于要在国内上市了</v>
      </c>
      <c r="C3035" s="2" t="s">
        <v>13</v>
      </c>
      <c r="D3035" s="2" t="s">
        <v>12</v>
      </c>
      <c r="E3035" s="2" t="s">
        <v>27</v>
      </c>
      <c r="F3035" s="2" t="str">
        <f>HYPERLINK("http://bbs.12365auto.com/postcontent.aspx?tId=194975","http://bbs.12365auto.com/postcontent.aspx?tId=194975")</f>
        <v>http://bbs.12365auto.com/postcontent.aspx?tId=194975</v>
      </c>
      <c r="G3035" s="2"/>
      <c r="H3035" s="2" t="s">
        <v>4364</v>
      </c>
      <c r="I3035" s="2" t="s">
        <v>15</v>
      </c>
      <c r="J3035" s="2" t="s">
        <v>4330</v>
      </c>
      <c r="K3035" s="2" t="s">
        <v>4362</v>
      </c>
      <c r="L3035" s="2">
        <f t="shared" si="47"/>
        <v>150</v>
      </c>
    </row>
    <row r="3036" spans="1:12" ht="25" customHeight="1">
      <c r="A3036" s="2" t="s">
        <v>12</v>
      </c>
      <c r="B3036" s="2" t="str">
        <f>HYPERLINK("http://bbs.12365auto.com/postcontent.aspx?tID=194975","等了一年 全新CLA终于要在国内上市了")</f>
        <v>等了一年 全新CLA终于要在国内上市了</v>
      </c>
      <c r="C3036" s="2" t="s">
        <v>13</v>
      </c>
      <c r="D3036" s="2" t="s">
        <v>12</v>
      </c>
      <c r="E3036" s="2" t="s">
        <v>28</v>
      </c>
      <c r="F3036" s="2" t="str">
        <f>HYPERLINK("http://bbs.12365auto.com/postcontent.aspx?tID=194975","http://bbs.12365auto.com/postcontent.aspx?tID=194975")</f>
        <v>http://bbs.12365auto.com/postcontent.aspx?tID=194975</v>
      </c>
      <c r="G3036" s="2"/>
      <c r="H3036" s="2" t="s">
        <v>4365</v>
      </c>
      <c r="I3036" s="2" t="s">
        <v>15</v>
      </c>
      <c r="J3036" s="2" t="s">
        <v>4330</v>
      </c>
      <c r="K3036" s="2" t="s">
        <v>4362</v>
      </c>
      <c r="L3036" s="2">
        <f t="shared" si="47"/>
        <v>150</v>
      </c>
    </row>
    <row r="3037" spans="1:12" ht="25" customHeight="1">
      <c r="A3037" s="2" t="s">
        <v>12</v>
      </c>
      <c r="B3037" s="2" t="str">
        <f>HYPERLINK("http://bbs.12365auto.com/postcontent.aspx?tID=194974","三菱开始走上坡路 全系搭载V6引擎")</f>
        <v>三菱开始走上坡路 全系搭载V6引擎</v>
      </c>
      <c r="C3037" s="2" t="s">
        <v>13</v>
      </c>
      <c r="D3037" s="2" t="s">
        <v>12</v>
      </c>
      <c r="E3037" s="2" t="s">
        <v>28</v>
      </c>
      <c r="F3037" s="2" t="str">
        <f>HYPERLINK("http://bbs.12365auto.com/postcontent.aspx?tID=194974","http://bbs.12365auto.com/postcontent.aspx?tID=194974")</f>
        <v>http://bbs.12365auto.com/postcontent.aspx?tID=194974</v>
      </c>
      <c r="G3037" s="2"/>
      <c r="H3037" s="2" t="s">
        <v>4366</v>
      </c>
      <c r="I3037" s="2" t="s">
        <v>15</v>
      </c>
      <c r="J3037" s="2" t="s">
        <v>4330</v>
      </c>
      <c r="K3037" s="2" t="s">
        <v>4362</v>
      </c>
      <c r="L3037" s="2">
        <f t="shared" si="47"/>
        <v>150</v>
      </c>
    </row>
    <row r="3038" spans="1:12" ht="25" customHeight="1">
      <c r="A3038" s="2" t="s">
        <v>12</v>
      </c>
      <c r="B3038" s="2" t="str">
        <f>HYPERLINK("http://bbs.12365auto.com/postcontent.aspx?tID=194973","未来一年值得期待的三款新车")</f>
        <v>未来一年值得期待的三款新车</v>
      </c>
      <c r="C3038" s="2" t="s">
        <v>13</v>
      </c>
      <c r="D3038" s="2" t="s">
        <v>12</v>
      </c>
      <c r="E3038" s="2" t="s">
        <v>28</v>
      </c>
      <c r="F3038" s="2" t="str">
        <f>HYPERLINK("http://bbs.12365auto.com/postcontent.aspx?tID=194973","http://bbs.12365auto.com/postcontent.aspx?tID=194973")</f>
        <v>http://bbs.12365auto.com/postcontent.aspx?tID=194973</v>
      </c>
      <c r="G3038" s="2"/>
      <c r="H3038" s="2" t="s">
        <v>4367</v>
      </c>
      <c r="I3038" s="2" t="s">
        <v>15</v>
      </c>
      <c r="J3038" s="2" t="s">
        <v>4330</v>
      </c>
      <c r="K3038" s="2" t="s">
        <v>4362</v>
      </c>
      <c r="L3038" s="2">
        <f t="shared" si="47"/>
        <v>150</v>
      </c>
    </row>
    <row r="3039" spans="1:12" ht="25" customHeight="1">
      <c r="A3039" s="2" t="s">
        <v>12</v>
      </c>
      <c r="B3039" s="2" t="str">
        <f>HYPERLINK("http://m.12365auto.com/bbs/postcontent.aspx?tID=194975","等了一年 全新CLA终于要在国内上市了")</f>
        <v>等了一年 全新CLA终于要在国内上市了</v>
      </c>
      <c r="C3039" s="2" t="s">
        <v>13</v>
      </c>
      <c r="D3039" s="2" t="s">
        <v>23</v>
      </c>
      <c r="E3039" s="2"/>
      <c r="F3039" s="2" t="str">
        <f>HYPERLINK("http://m.12365auto.com/bbs/postcontent.aspx?tID=194975","http://m.12365auto.com/bbs/postcontent.aspx?tID=194975")</f>
        <v>http://m.12365auto.com/bbs/postcontent.aspx?tID=194975</v>
      </c>
      <c r="G3039" s="2"/>
      <c r="H3039" s="2" t="s">
        <v>4364</v>
      </c>
      <c r="I3039" s="2" t="s">
        <v>15</v>
      </c>
      <c r="J3039" s="2" t="s">
        <v>4330</v>
      </c>
      <c r="K3039" s="2" t="s">
        <v>4362</v>
      </c>
      <c r="L3039" s="2">
        <f t="shared" si="47"/>
        <v>150</v>
      </c>
    </row>
    <row r="3040" spans="1:12" ht="25" customHeight="1">
      <c r="A3040" s="2" t="s">
        <v>12</v>
      </c>
      <c r="B3040" s="2" t="str">
        <f>HYPERLINK("http://m.12365auto.com/bbs/postcontent.aspx?tID=194973","未来一年值得期待的三款新车")</f>
        <v>未来一年值得期待的三款新车</v>
      </c>
      <c r="C3040" s="2" t="s">
        <v>13</v>
      </c>
      <c r="D3040" s="2" t="s">
        <v>23</v>
      </c>
      <c r="E3040" s="2"/>
      <c r="F3040" s="2" t="str">
        <f>HYPERLINK("http://m.12365auto.com/bbs/postcontent.aspx?tID=194973","http://m.12365auto.com/bbs/postcontent.aspx?tID=194973")</f>
        <v>http://m.12365auto.com/bbs/postcontent.aspx?tID=194973</v>
      </c>
      <c r="G3040" s="2"/>
      <c r="H3040" s="2" t="s">
        <v>4361</v>
      </c>
      <c r="I3040" s="2" t="s">
        <v>15</v>
      </c>
      <c r="J3040" s="2" t="s">
        <v>4330</v>
      </c>
      <c r="K3040" s="2" t="s">
        <v>4362</v>
      </c>
      <c r="L3040" s="2">
        <f t="shared" si="47"/>
        <v>150</v>
      </c>
    </row>
    <row r="3041" spans="1:12" ht="25" customHeight="1">
      <c r="A3041" s="2" t="s">
        <v>12</v>
      </c>
      <c r="B3041" s="2" t="str">
        <f>HYPERLINK("http://m.12365auto.com/bbs/postcontent.aspx?tID=194974","三菱开始走上坡路 全系搭载V6引擎")</f>
        <v>三菱开始走上坡路 全系搭载V6引擎</v>
      </c>
      <c r="C3041" s="2" t="s">
        <v>13</v>
      </c>
      <c r="D3041" s="2" t="s">
        <v>23</v>
      </c>
      <c r="E3041" s="2"/>
      <c r="F3041" s="2" t="str">
        <f>HYPERLINK("http://m.12365auto.com/bbs/postcontent.aspx?tID=194974","http://m.12365auto.com/bbs/postcontent.aspx?tID=194974")</f>
        <v>http://m.12365auto.com/bbs/postcontent.aspx?tID=194974</v>
      </c>
      <c r="G3041" s="2"/>
      <c r="H3041" s="2" t="s">
        <v>4363</v>
      </c>
      <c r="I3041" s="2" t="s">
        <v>15</v>
      </c>
      <c r="J3041" s="2" t="s">
        <v>4330</v>
      </c>
      <c r="K3041" s="2" t="s">
        <v>4362</v>
      </c>
      <c r="L3041" s="2">
        <f t="shared" si="47"/>
        <v>150</v>
      </c>
    </row>
    <row r="3042" spans="1:12" ht="25" customHeight="1">
      <c r="A3042" s="2" t="s">
        <v>12</v>
      </c>
      <c r="B3042" s="2" t="str">
        <f>HYPERLINK("http://m.12365auto.com/zjdy/20200224/121577.shtml","长安CS35离合器故障刹车盘生锈怎么办？")</f>
        <v>长安CS35离合器故障刹车盘生锈怎么办？</v>
      </c>
      <c r="C3042" s="2" t="s">
        <v>13</v>
      </c>
      <c r="D3042" s="2" t="s">
        <v>12</v>
      </c>
      <c r="E3042" s="2"/>
      <c r="F3042" s="2" t="str">
        <f>HYPERLINK("http://m.12365auto.com/zjdy/20200224/121577.shtml","http://m.12365auto.com/zjdy/20200224/121577.shtml")</f>
        <v>http://m.12365auto.com/zjdy/20200224/121577.shtml</v>
      </c>
      <c r="G3042" s="2"/>
      <c r="H3042" s="2" t="s">
        <v>4368</v>
      </c>
      <c r="I3042" s="2" t="s">
        <v>19</v>
      </c>
      <c r="J3042" s="2" t="s">
        <v>12</v>
      </c>
      <c r="K3042" s="2" t="s">
        <v>4369</v>
      </c>
      <c r="L3042" s="2">
        <f t="shared" si="47"/>
        <v>37</v>
      </c>
    </row>
    <row r="3043" spans="1:12" ht="25" customHeight="1">
      <c r="A3043" s="2" t="s">
        <v>12</v>
      </c>
      <c r="B3043" s="2" t="str">
        <f>HYPERLINK("http://m.12365auto.com/xcdg/20200224/419396.shtml","造型更动感 新款锋范两厢版专利图曝光")</f>
        <v>造型更动感 新款锋范两厢版专利图曝光</v>
      </c>
      <c r="C3043" s="2" t="s">
        <v>13</v>
      </c>
      <c r="D3043" s="2" t="s">
        <v>12</v>
      </c>
      <c r="E3043" s="2"/>
      <c r="F3043" s="2" t="str">
        <f>HYPERLINK("http://m.12365auto.com/xcdg/20200224/419396.shtml","http://m.12365auto.com/xcdg/20200224/419396.shtml")</f>
        <v>http://m.12365auto.com/xcdg/20200224/419396.shtml</v>
      </c>
      <c r="G3043" s="2"/>
      <c r="H3043" s="2" t="s">
        <v>4370</v>
      </c>
      <c r="I3043" s="2" t="s">
        <v>19</v>
      </c>
      <c r="J3043" s="2" t="s">
        <v>295</v>
      </c>
      <c r="K3043" s="2" t="s">
        <v>4371</v>
      </c>
      <c r="L3043" s="2">
        <f t="shared" si="47"/>
        <v>150</v>
      </c>
    </row>
    <row r="3044" spans="1:12" ht="25" customHeight="1">
      <c r="A3044" s="2" t="s">
        <v>12</v>
      </c>
      <c r="B3044" s="2" t="str">
        <f>HYPERLINK("http://www.12365auto.com/xcdg/20200224/419396.shtml","造型更动感 新款锋范两厢版专利图曝光")</f>
        <v>造型更动感 新款锋范两厢版专利图曝光</v>
      </c>
      <c r="C3044" s="2" t="s">
        <v>13</v>
      </c>
      <c r="D3044" s="2" t="s">
        <v>12</v>
      </c>
      <c r="E3044" s="2" t="s">
        <v>216</v>
      </c>
      <c r="F3044" s="2" t="str">
        <f>HYPERLINK("http://www.12365auto.com/xcdg/20200224/419396.shtml","http://www.12365auto.com/xcdg/20200224/419396.shtml")</f>
        <v>http://www.12365auto.com/xcdg/20200224/419396.shtml</v>
      </c>
      <c r="G3044" s="2"/>
      <c r="H3044" s="2" t="s">
        <v>4372</v>
      </c>
      <c r="I3044" s="2" t="s">
        <v>15</v>
      </c>
      <c r="J3044" s="2" t="s">
        <v>12</v>
      </c>
      <c r="K3044" s="2" t="s">
        <v>4371</v>
      </c>
      <c r="L3044" s="2">
        <f t="shared" si="47"/>
        <v>150</v>
      </c>
    </row>
    <row r="3045" spans="1:12" ht="25" customHeight="1">
      <c r="A3045" s="2" t="s">
        <v>12</v>
      </c>
      <c r="B3045" s="2" t="str">
        <f>HYPERLINK("http://m.12365auto.com/xcdg/20200224/419395.shtml","阿斯顿·马丁DBX Q部门定制版官图发布")</f>
        <v>阿斯顿·马丁DBX Q部门定制版官图发布</v>
      </c>
      <c r="C3045" s="2" t="s">
        <v>13</v>
      </c>
      <c r="D3045" s="2" t="s">
        <v>12</v>
      </c>
      <c r="E3045" s="2"/>
      <c r="F3045" s="2" t="str">
        <f>HYPERLINK("http://m.12365auto.com/xcdg/20200224/419395.shtml","http://m.12365auto.com/xcdg/20200224/419395.shtml")</f>
        <v>http://m.12365auto.com/xcdg/20200224/419395.shtml</v>
      </c>
      <c r="G3045" s="2"/>
      <c r="H3045" s="2" t="s">
        <v>4373</v>
      </c>
      <c r="I3045" s="2" t="s">
        <v>19</v>
      </c>
      <c r="J3045" s="2" t="s">
        <v>338</v>
      </c>
      <c r="K3045" s="2" t="s">
        <v>4374</v>
      </c>
      <c r="L3045" s="2">
        <f t="shared" si="47"/>
        <v>150</v>
      </c>
    </row>
    <row r="3046" spans="1:12" ht="25" customHeight="1">
      <c r="A3046" s="2" t="s">
        <v>12</v>
      </c>
      <c r="B3046" s="2" t="str">
        <f>HYPERLINK("http://www.12365auto.com/xcdg/20200224/419395.shtml","阿斯顿·马丁DBX Q部门定制版官图发布")</f>
        <v>阿斯顿·马丁DBX Q部门定制版官图发布</v>
      </c>
      <c r="C3046" s="2" t="s">
        <v>13</v>
      </c>
      <c r="D3046" s="2" t="s">
        <v>12</v>
      </c>
      <c r="E3046" s="2" t="s">
        <v>216</v>
      </c>
      <c r="F3046" s="2" t="str">
        <f>HYPERLINK("http://www.12365auto.com/xcdg/20200224/419395.shtml","http://www.12365auto.com/xcdg/20200224/419395.shtml")</f>
        <v>http://www.12365auto.com/xcdg/20200224/419395.shtml</v>
      </c>
      <c r="G3046" s="2"/>
      <c r="H3046" s="2" t="s">
        <v>4375</v>
      </c>
      <c r="I3046" s="2" t="s">
        <v>15</v>
      </c>
      <c r="J3046" s="2" t="s">
        <v>12</v>
      </c>
      <c r="K3046" s="2" t="s">
        <v>4374</v>
      </c>
      <c r="L3046" s="2">
        <f t="shared" si="47"/>
        <v>150</v>
      </c>
    </row>
    <row r="3047" spans="1:12" ht="25" customHeight="1">
      <c r="A3047" s="2" t="s">
        <v>12</v>
      </c>
      <c r="B3047" s="2" t="str">
        <f>HYPERLINK("http://m.12365auto.com/xcdg/20200224/419394.shtml","或因电池短缺 奥迪e-tron将暂时停产")</f>
        <v>或因电池短缺 奥迪e-tron将暂时停产</v>
      </c>
      <c r="C3047" s="2" t="s">
        <v>13</v>
      </c>
      <c r="D3047" s="2" t="s">
        <v>12</v>
      </c>
      <c r="E3047" s="2"/>
      <c r="F3047" s="2" t="str">
        <f>HYPERLINK("http://m.12365auto.com/xcdg/20200224/419394.shtml","http://m.12365auto.com/xcdg/20200224/419394.shtml")</f>
        <v>http://m.12365auto.com/xcdg/20200224/419394.shtml</v>
      </c>
      <c r="G3047" s="2"/>
      <c r="H3047" s="2" t="s">
        <v>4376</v>
      </c>
      <c r="I3047" s="2" t="s">
        <v>19</v>
      </c>
      <c r="J3047" s="2" t="s">
        <v>855</v>
      </c>
      <c r="K3047" s="2" t="s">
        <v>4377</v>
      </c>
      <c r="L3047" s="2">
        <f t="shared" si="47"/>
        <v>150</v>
      </c>
    </row>
    <row r="3048" spans="1:12" ht="25" customHeight="1">
      <c r="A3048" s="2" t="s">
        <v>12</v>
      </c>
      <c r="B3048" s="2" t="str">
        <f>HYPERLINK("http://www.12365auto.com/xcdg/20200224/419394.shtml","或因电池短缺 奥迪e-tron将暂时停产")</f>
        <v>或因电池短缺 奥迪e-tron将暂时停产</v>
      </c>
      <c r="C3048" s="2" t="s">
        <v>13</v>
      </c>
      <c r="D3048" s="2" t="s">
        <v>12</v>
      </c>
      <c r="E3048" s="2" t="s">
        <v>216</v>
      </c>
      <c r="F3048" s="2" t="str">
        <f>HYPERLINK("http://www.12365auto.com/xcdg/20200224/419394.shtml","http://www.12365auto.com/xcdg/20200224/419394.shtml")</f>
        <v>http://www.12365auto.com/xcdg/20200224/419394.shtml</v>
      </c>
      <c r="G3048" s="2"/>
      <c r="H3048" s="2" t="s">
        <v>4378</v>
      </c>
      <c r="I3048" s="2" t="s">
        <v>15</v>
      </c>
      <c r="J3048" s="2" t="s">
        <v>12</v>
      </c>
      <c r="K3048" s="2" t="s">
        <v>4377</v>
      </c>
      <c r="L3048" s="2">
        <f t="shared" si="47"/>
        <v>150</v>
      </c>
    </row>
    <row r="3049" spans="1:12" ht="25" customHeight="1">
      <c r="A3049" s="2" t="s">
        <v>12</v>
      </c>
      <c r="B3049" s="2" t="str">
        <f>HYPERLINK("http://m.12365auto.com/news/20200224/419393.shtml","深圳发布2019-2020年新能源车补贴细则")</f>
        <v>深圳发布2019-2020年新能源车补贴细则</v>
      </c>
      <c r="C3049" s="2" t="s">
        <v>13</v>
      </c>
      <c r="D3049" s="2" t="s">
        <v>12</v>
      </c>
      <c r="E3049" s="2"/>
      <c r="F3049" s="2" t="str">
        <f>HYPERLINK("http://m.12365auto.com/news/20200224/419393.shtml","http://m.12365auto.com/news/20200224/419393.shtml")</f>
        <v>http://m.12365auto.com/news/20200224/419393.shtml</v>
      </c>
      <c r="G3049" s="2"/>
      <c r="H3049" s="2" t="s">
        <v>4379</v>
      </c>
      <c r="I3049" s="2" t="s">
        <v>19</v>
      </c>
      <c r="J3049" s="2" t="s">
        <v>274</v>
      </c>
      <c r="K3049" s="2" t="s">
        <v>4380</v>
      </c>
      <c r="L3049" s="2">
        <f t="shared" si="47"/>
        <v>150</v>
      </c>
    </row>
    <row r="3050" spans="1:12" ht="25" customHeight="1">
      <c r="A3050" s="2" t="s">
        <v>12</v>
      </c>
      <c r="B3050" s="2" t="str">
        <f>HYPERLINK("http://www.12365auto.com/news/20200224/419393.shtml","深圳发布2019-2020年新能源车补贴细则")</f>
        <v>深圳发布2019-2020年新能源车补贴细则</v>
      </c>
      <c r="C3050" s="2" t="s">
        <v>13</v>
      </c>
      <c r="D3050" s="2" t="s">
        <v>12</v>
      </c>
      <c r="E3050" s="2" t="s">
        <v>276</v>
      </c>
      <c r="F3050" s="2" t="str">
        <f>HYPERLINK("http://www.12365auto.com/news/20200224/419393.shtml","http://www.12365auto.com/news/20200224/419393.shtml")</f>
        <v>http://www.12365auto.com/news/20200224/419393.shtml</v>
      </c>
      <c r="G3050" s="2"/>
      <c r="H3050" s="2" t="s">
        <v>4381</v>
      </c>
      <c r="I3050" s="2" t="s">
        <v>15</v>
      </c>
      <c r="J3050" s="2" t="s">
        <v>12</v>
      </c>
      <c r="K3050" s="2" t="s">
        <v>4380</v>
      </c>
      <c r="L3050" s="2">
        <f t="shared" si="47"/>
        <v>150</v>
      </c>
    </row>
    <row r="3051" spans="1:12" ht="25" customHeight="1">
      <c r="A3051" s="2" t="s">
        <v>12</v>
      </c>
      <c r="B3051" s="2" t="str">
        <f>HYPERLINK("http://m.12365auto.com/news/20200224/419392.shtml","晋升驾驶舱能力 佛吉亚完成对SAS的收购")</f>
        <v>晋升驾驶舱能力 佛吉亚完成对SAS的收购</v>
      </c>
      <c r="C3051" s="2" t="s">
        <v>13</v>
      </c>
      <c r="D3051" s="2" t="s">
        <v>12</v>
      </c>
      <c r="E3051" s="2"/>
      <c r="F3051" s="2" t="str">
        <f>HYPERLINK("http://m.12365auto.com/news/20200224/419392.shtml","http://m.12365auto.com/news/20200224/419392.shtml")</f>
        <v>http://m.12365auto.com/news/20200224/419392.shtml</v>
      </c>
      <c r="G3051" s="2"/>
      <c r="H3051" s="2" t="s">
        <v>4382</v>
      </c>
      <c r="I3051" s="2" t="s">
        <v>19</v>
      </c>
      <c r="J3051" s="2" t="s">
        <v>1653</v>
      </c>
      <c r="K3051" s="2" t="s">
        <v>4383</v>
      </c>
      <c r="L3051" s="2">
        <f t="shared" si="47"/>
        <v>150</v>
      </c>
    </row>
    <row r="3052" spans="1:12" ht="25" customHeight="1">
      <c r="A3052" s="2" t="s">
        <v>12</v>
      </c>
      <c r="B3052" s="2" t="str">
        <f>HYPERLINK("http://www.12365auto.com/news/20200224/419392.shtml","晋升驾驶舱能力 佛吉亚完成对SAS的收购")</f>
        <v>晋升驾驶舱能力 佛吉亚完成对SAS的收购</v>
      </c>
      <c r="C3052" s="2" t="s">
        <v>13</v>
      </c>
      <c r="D3052" s="2" t="s">
        <v>12</v>
      </c>
      <c r="E3052" s="2" t="s">
        <v>276</v>
      </c>
      <c r="F3052" s="2" t="str">
        <f>HYPERLINK("http://www.12365auto.com/news/20200224/419392.shtml","http://www.12365auto.com/news/20200224/419392.shtml")</f>
        <v>http://www.12365auto.com/news/20200224/419392.shtml</v>
      </c>
      <c r="G3052" s="2"/>
      <c r="H3052" s="2" t="s">
        <v>4384</v>
      </c>
      <c r="I3052" s="2" t="s">
        <v>15</v>
      </c>
      <c r="J3052" s="2" t="s">
        <v>12</v>
      </c>
      <c r="K3052" s="2" t="s">
        <v>4383</v>
      </c>
      <c r="L3052" s="2">
        <f t="shared" si="47"/>
        <v>150</v>
      </c>
    </row>
    <row r="3053" spans="1:12" ht="25" customHeight="1">
      <c r="A3053" s="2" t="s">
        <v>12</v>
      </c>
      <c r="B3053" s="2" t="str">
        <f>HYPERLINK("http://www.12365auto.com/xcdg/20200224/419391.shtml","保时捷Taycan ST渲染图 家用造型不失运动")</f>
        <v>保时捷Taycan ST渲染图 家用造型不失运动</v>
      </c>
      <c r="C3053" s="2" t="s">
        <v>13</v>
      </c>
      <c r="D3053" s="2" t="s">
        <v>12</v>
      </c>
      <c r="E3053" s="2" t="s">
        <v>216</v>
      </c>
      <c r="F3053" s="2" t="str">
        <f>HYPERLINK("http://www.12365auto.com/xcdg/20200224/419391.shtml","http://www.12365auto.com/xcdg/20200224/419391.shtml")</f>
        <v>http://www.12365auto.com/xcdg/20200224/419391.shtml</v>
      </c>
      <c r="G3053" s="2"/>
      <c r="H3053" s="2" t="s">
        <v>4385</v>
      </c>
      <c r="I3053" s="2" t="s">
        <v>15</v>
      </c>
      <c r="J3053" s="2" t="s">
        <v>12</v>
      </c>
      <c r="K3053" s="2" t="s">
        <v>4386</v>
      </c>
      <c r="L3053" s="2">
        <f t="shared" si="47"/>
        <v>150</v>
      </c>
    </row>
    <row r="3054" spans="1:12" ht="25" customHeight="1">
      <c r="A3054" s="2" t="s">
        <v>12</v>
      </c>
      <c r="B3054" s="2" t="str">
        <f>HYPERLINK("http://m.12365auto.com/xcdg/20200224/419391.shtml","保时捷Taycan ST渲染图 家用造型不失运动")</f>
        <v>保时捷Taycan ST渲染图 家用造型不失运动</v>
      </c>
      <c r="C3054" s="2" t="s">
        <v>13</v>
      </c>
      <c r="D3054" s="2" t="s">
        <v>12</v>
      </c>
      <c r="E3054" s="2"/>
      <c r="F3054" s="2" t="str">
        <f>HYPERLINK("http://m.12365auto.com/xcdg/20200224/419391.shtml","http://m.12365auto.com/xcdg/20200224/419391.shtml")</f>
        <v>http://m.12365auto.com/xcdg/20200224/419391.shtml</v>
      </c>
      <c r="G3054" s="2"/>
      <c r="H3054" s="2" t="s">
        <v>4387</v>
      </c>
      <c r="I3054" s="2" t="s">
        <v>19</v>
      </c>
      <c r="J3054" s="2" t="s">
        <v>12</v>
      </c>
      <c r="K3054" s="2" t="s">
        <v>4386</v>
      </c>
      <c r="L3054" s="2">
        <f t="shared" si="47"/>
        <v>150</v>
      </c>
    </row>
    <row r="3055" spans="1:12" ht="25" customHeight="1">
      <c r="A3055" s="2" t="s">
        <v>12</v>
      </c>
      <c r="B3055" s="2" t="str">
        <f>HYPERLINK("http://www.12365auto.com/xcdg/20200224/419390.shtml","马斯克公布特斯拉皮卡细节 标配刀片式大灯")</f>
        <v>马斯克公布特斯拉皮卡细节 标配刀片式大灯</v>
      </c>
      <c r="C3055" s="2" t="s">
        <v>13</v>
      </c>
      <c r="D3055" s="2" t="s">
        <v>12</v>
      </c>
      <c r="E3055" s="2" t="s">
        <v>216</v>
      </c>
      <c r="F3055" s="2" t="str">
        <f>HYPERLINK("http://www.12365auto.com/xcdg/20200224/419390.shtml","http://www.12365auto.com/xcdg/20200224/419390.shtml")</f>
        <v>http://www.12365auto.com/xcdg/20200224/419390.shtml</v>
      </c>
      <c r="G3055" s="2"/>
      <c r="H3055" s="2" t="s">
        <v>4388</v>
      </c>
      <c r="I3055" s="2" t="s">
        <v>15</v>
      </c>
      <c r="J3055" s="2" t="s">
        <v>12</v>
      </c>
      <c r="K3055" s="2" t="s">
        <v>4389</v>
      </c>
      <c r="L3055" s="2">
        <f t="shared" si="47"/>
        <v>150</v>
      </c>
    </row>
    <row r="3056" spans="1:12" ht="25" customHeight="1">
      <c r="A3056" s="2" t="s">
        <v>12</v>
      </c>
      <c r="B3056" s="2" t="str">
        <f>HYPERLINK("http://m.12365auto.com/xcdg/20200224/419390.shtml","马斯克公布特斯拉皮卡细节 标配刀片式大灯")</f>
        <v>马斯克公布特斯拉皮卡细节 标配刀片式大灯</v>
      </c>
      <c r="C3056" s="2" t="s">
        <v>13</v>
      </c>
      <c r="D3056" s="2" t="s">
        <v>12</v>
      </c>
      <c r="E3056" s="2"/>
      <c r="F3056" s="2" t="str">
        <f>HYPERLINK("http://m.12365auto.com/xcdg/20200224/419390.shtml","http://m.12365auto.com/xcdg/20200224/419390.shtml")</f>
        <v>http://m.12365auto.com/xcdg/20200224/419390.shtml</v>
      </c>
      <c r="G3056" s="2"/>
      <c r="H3056" s="2" t="s">
        <v>4390</v>
      </c>
      <c r="I3056" s="2" t="s">
        <v>19</v>
      </c>
      <c r="J3056" s="2" t="s">
        <v>1117</v>
      </c>
      <c r="K3056" s="2" t="s">
        <v>4389</v>
      </c>
      <c r="L3056" s="2">
        <f t="shared" si="47"/>
        <v>150</v>
      </c>
    </row>
    <row r="3057" spans="1:12" ht="25" customHeight="1">
      <c r="A3057" s="2" t="s">
        <v>12</v>
      </c>
      <c r="B3057" s="2" t="str">
        <f>HYPERLINK("http://m.12365auto.com/xcdg/20200224/419389.shtml","这款超跑极香 玛莎拉蒂MC20五月亮相")</f>
        <v>这款超跑极香 玛莎拉蒂MC20五月亮相</v>
      </c>
      <c r="C3057" s="2" t="s">
        <v>13</v>
      </c>
      <c r="D3057" s="2" t="s">
        <v>12</v>
      </c>
      <c r="E3057" s="2"/>
      <c r="F3057" s="2" t="str">
        <f>HYPERLINK("http://m.12365auto.com/xcdg/20200224/419389.shtml","http://m.12365auto.com/xcdg/20200224/419389.shtml")</f>
        <v>http://m.12365auto.com/xcdg/20200224/419389.shtml</v>
      </c>
      <c r="G3057" s="2"/>
      <c r="H3057" s="2" t="s">
        <v>4391</v>
      </c>
      <c r="I3057" s="2" t="s">
        <v>19</v>
      </c>
      <c r="J3057" s="2" t="s">
        <v>1623</v>
      </c>
      <c r="K3057" s="2" t="s">
        <v>4392</v>
      </c>
      <c r="L3057" s="2">
        <f t="shared" si="47"/>
        <v>150</v>
      </c>
    </row>
    <row r="3058" spans="1:12" ht="25" customHeight="1">
      <c r="A3058" s="2" t="s">
        <v>12</v>
      </c>
      <c r="B3058" s="2" t="str">
        <f>HYPERLINK("http://www.12365auto.com/xcdg/20200224/419389.shtml","这款超跑极香 玛莎拉蒂MC20五月亮相")</f>
        <v>这款超跑极香 玛莎拉蒂MC20五月亮相</v>
      </c>
      <c r="C3058" s="2" t="s">
        <v>13</v>
      </c>
      <c r="D3058" s="2" t="s">
        <v>12</v>
      </c>
      <c r="E3058" s="2" t="s">
        <v>224</v>
      </c>
      <c r="F3058" s="2" t="str">
        <f>HYPERLINK("http://www.12365auto.com/xcdg/20200224/419389.shtml","http://www.12365auto.com/xcdg/20200224/419389.shtml")</f>
        <v>http://www.12365auto.com/xcdg/20200224/419389.shtml</v>
      </c>
      <c r="G3058" s="2"/>
      <c r="H3058" s="2" t="s">
        <v>4393</v>
      </c>
      <c r="I3058" s="2" t="s">
        <v>15</v>
      </c>
      <c r="J3058" s="2" t="s">
        <v>12</v>
      </c>
      <c r="K3058" s="2" t="s">
        <v>4392</v>
      </c>
      <c r="L3058" s="2">
        <f t="shared" si="47"/>
        <v>150</v>
      </c>
    </row>
    <row r="3059" spans="1:12" ht="25" customHeight="1">
      <c r="A3059" s="2" t="s">
        <v>12</v>
      </c>
      <c r="B3059" s="2" t="str">
        <f>HYPERLINK("http://m.12365auto.com/xcdg/20200224/419388.shtml","比亚迪新款宋MAX纯电版曝光 这前脸你喜欢吗")</f>
        <v>比亚迪新款宋MAX纯电版曝光 这前脸你喜欢吗</v>
      </c>
      <c r="C3059" s="2" t="s">
        <v>13</v>
      </c>
      <c r="D3059" s="2" t="s">
        <v>12</v>
      </c>
      <c r="E3059" s="2"/>
      <c r="F3059" s="2" t="str">
        <f>HYPERLINK("http://m.12365auto.com/xcdg/20200224/419388.shtml","http://m.12365auto.com/xcdg/20200224/419388.shtml")</f>
        <v>http://m.12365auto.com/xcdg/20200224/419388.shtml</v>
      </c>
      <c r="G3059" s="2"/>
      <c r="H3059" s="2" t="s">
        <v>4394</v>
      </c>
      <c r="I3059" s="2" t="s">
        <v>19</v>
      </c>
      <c r="J3059" s="2" t="s">
        <v>257</v>
      </c>
      <c r="K3059" s="2" t="s">
        <v>4395</v>
      </c>
      <c r="L3059" s="2">
        <f t="shared" si="47"/>
        <v>150</v>
      </c>
    </row>
    <row r="3060" spans="1:12" ht="25" customHeight="1">
      <c r="A3060" s="2" t="s">
        <v>12</v>
      </c>
      <c r="B3060" s="2" t="str">
        <f>HYPERLINK("http://www.12365auto.com/xcdg/20200224/419388.shtml","比亚迪新款宋MAX纯电版曝光 这前脸你喜欢吗")</f>
        <v>比亚迪新款宋MAX纯电版曝光 这前脸你喜欢吗</v>
      </c>
      <c r="C3060" s="2" t="s">
        <v>13</v>
      </c>
      <c r="D3060" s="2" t="s">
        <v>12</v>
      </c>
      <c r="E3060" s="2" t="s">
        <v>216</v>
      </c>
      <c r="F3060" s="2" t="str">
        <f>HYPERLINK("http://www.12365auto.com/xcdg/20200224/419388.shtml","http://www.12365auto.com/xcdg/20200224/419388.shtml")</f>
        <v>http://www.12365auto.com/xcdg/20200224/419388.shtml</v>
      </c>
      <c r="G3060" s="2"/>
      <c r="H3060" s="2" t="s">
        <v>4396</v>
      </c>
      <c r="I3060" s="2" t="s">
        <v>15</v>
      </c>
      <c r="J3060" s="2" t="s">
        <v>12</v>
      </c>
      <c r="K3060" s="2" t="s">
        <v>4395</v>
      </c>
      <c r="L3060" s="2">
        <f t="shared" si="47"/>
        <v>150</v>
      </c>
    </row>
    <row r="3061" spans="1:12" ht="25" customHeight="1">
      <c r="A3061" s="2" t="s">
        <v>12</v>
      </c>
      <c r="B3061" s="2" t="str">
        <f>HYPERLINK("http://www.12365auto.com/zlts/20200224/448465.shtml","长安凌轩悬挂故障导致车身变形厂家不处理")</f>
        <v>长安凌轩悬挂故障导致车身变形厂家不处理</v>
      </c>
      <c r="C3061" s="2" t="s">
        <v>13</v>
      </c>
      <c r="D3061" s="2" t="s">
        <v>12</v>
      </c>
      <c r="E3061" s="2" t="s">
        <v>17</v>
      </c>
      <c r="F3061" s="2" t="str">
        <f>HYPERLINK("http://www.12365auto.com/zlts/20200224/448465.shtml","http://www.12365auto.com/zlts/20200224/448465.shtml")</f>
        <v>http://www.12365auto.com/zlts/20200224/448465.shtml</v>
      </c>
      <c r="G3061" s="2"/>
      <c r="H3061" s="2" t="s">
        <v>4397</v>
      </c>
      <c r="I3061" s="2" t="s">
        <v>19</v>
      </c>
      <c r="J3061" s="2" t="s">
        <v>12</v>
      </c>
      <c r="K3061" s="2" t="s">
        <v>4398</v>
      </c>
      <c r="L3061" s="2">
        <f t="shared" si="47"/>
        <v>150</v>
      </c>
    </row>
    <row r="3062" spans="1:12" ht="25" customHeight="1">
      <c r="A3062" s="2" t="s">
        <v>12</v>
      </c>
      <c r="B3062" s="2" t="str">
        <f>HYPERLINK("http://m.12365auto.com/xcdg/20200224/419387.shtml","最美轿车将推出性能版 大众CC R谍照曝光")</f>
        <v>最美轿车将推出性能版 大众CC R谍照曝光</v>
      </c>
      <c r="C3062" s="2" t="s">
        <v>13</v>
      </c>
      <c r="D3062" s="2" t="s">
        <v>12</v>
      </c>
      <c r="E3062" s="2"/>
      <c r="F3062" s="2" t="str">
        <f>HYPERLINK("http://m.12365auto.com/xcdg/20200224/419387.shtml","http://m.12365auto.com/xcdg/20200224/419387.shtml")</f>
        <v>http://m.12365auto.com/xcdg/20200224/419387.shtml</v>
      </c>
      <c r="G3062" s="2"/>
      <c r="H3062" s="2" t="s">
        <v>4399</v>
      </c>
      <c r="I3062" s="2" t="s">
        <v>19</v>
      </c>
      <c r="J3062" s="2" t="s">
        <v>238</v>
      </c>
      <c r="K3062" s="2" t="s">
        <v>4398</v>
      </c>
      <c r="L3062" s="2">
        <f t="shared" si="47"/>
        <v>150</v>
      </c>
    </row>
    <row r="3063" spans="1:12" ht="25" customHeight="1">
      <c r="A3063" s="2" t="s">
        <v>12</v>
      </c>
      <c r="B3063" s="2" t="str">
        <f>HYPERLINK("http://www.12365auto.com/xcdg/20200224/419387.shtml","最美轿车将推出性能版 大众CC R谍照曝光")</f>
        <v>最美轿车将推出性能版 大众CC R谍照曝光</v>
      </c>
      <c r="C3063" s="2" t="s">
        <v>13</v>
      </c>
      <c r="D3063" s="2" t="s">
        <v>12</v>
      </c>
      <c r="E3063" s="2" t="s">
        <v>224</v>
      </c>
      <c r="F3063" s="2" t="str">
        <f>HYPERLINK("http://www.12365auto.com/xcdg/20200224/419387.shtml","http://www.12365auto.com/xcdg/20200224/419387.shtml")</f>
        <v>http://www.12365auto.com/xcdg/20200224/419387.shtml</v>
      </c>
      <c r="G3063" s="2"/>
      <c r="H3063" s="2" t="s">
        <v>4400</v>
      </c>
      <c r="I3063" s="2" t="s">
        <v>15</v>
      </c>
      <c r="J3063" s="2" t="s">
        <v>12</v>
      </c>
      <c r="K3063" s="2" t="s">
        <v>4398</v>
      </c>
      <c r="L3063" s="2">
        <f t="shared" si="47"/>
        <v>150</v>
      </c>
    </row>
    <row r="3064" spans="1:12" ht="25" customHeight="1">
      <c r="A3064" s="2" t="s">
        <v>12</v>
      </c>
      <c r="B3064" s="2" t="str">
        <f>HYPERLINK("http://m.12365auto.com/xcdg/20200224/419386.shtml","科尼赛克推全新限量版超跑 日内瓦车展亮相")</f>
        <v>科尼赛克推全新限量版超跑 日内瓦车展亮相</v>
      </c>
      <c r="C3064" s="2" t="s">
        <v>13</v>
      </c>
      <c r="D3064" s="2" t="s">
        <v>12</v>
      </c>
      <c r="E3064" s="2"/>
      <c r="F3064" s="2" t="str">
        <f>HYPERLINK("http://m.12365auto.com/xcdg/20200224/419386.shtml","http://m.12365auto.com/xcdg/20200224/419386.shtml")</f>
        <v>http://m.12365auto.com/xcdg/20200224/419386.shtml</v>
      </c>
      <c r="G3064" s="2"/>
      <c r="H3064" s="2" t="s">
        <v>4401</v>
      </c>
      <c r="I3064" s="2" t="s">
        <v>19</v>
      </c>
      <c r="J3064" s="2" t="s">
        <v>1076</v>
      </c>
      <c r="K3064" s="2" t="s">
        <v>4402</v>
      </c>
      <c r="L3064" s="2">
        <f t="shared" si="47"/>
        <v>150</v>
      </c>
    </row>
    <row r="3065" spans="1:12" ht="25" customHeight="1">
      <c r="A3065" s="2" t="s">
        <v>12</v>
      </c>
      <c r="B3065" s="2" t="str">
        <f>HYPERLINK("http://www.12365auto.com/xcdg/20200224/419386.shtml","科尼赛克推全新限量版超跑 日内瓦车展亮相")</f>
        <v>科尼赛克推全新限量版超跑 日内瓦车展亮相</v>
      </c>
      <c r="C3065" s="2" t="s">
        <v>13</v>
      </c>
      <c r="D3065" s="2" t="s">
        <v>12</v>
      </c>
      <c r="E3065" s="2" t="s">
        <v>216</v>
      </c>
      <c r="F3065" s="2" t="str">
        <f>HYPERLINK("http://www.12365auto.com/xcdg/20200224/419386.shtml","http://www.12365auto.com/xcdg/20200224/419386.shtml")</f>
        <v>http://www.12365auto.com/xcdg/20200224/419386.shtml</v>
      </c>
      <c r="G3065" s="2"/>
      <c r="H3065" s="2" t="s">
        <v>4403</v>
      </c>
      <c r="I3065" s="2" t="s">
        <v>15</v>
      </c>
      <c r="J3065" s="2" t="s">
        <v>12</v>
      </c>
      <c r="K3065" s="2" t="s">
        <v>4402</v>
      </c>
      <c r="L3065" s="2">
        <f t="shared" si="47"/>
        <v>150</v>
      </c>
    </row>
    <row r="3066" spans="1:12" ht="25" customHeight="1">
      <c r="A3066" s="2" t="s">
        <v>12</v>
      </c>
      <c r="B3066" s="2" t="str">
        <f>HYPERLINK("http://m.12365auto.com/xcdg/20200224/419385.shtml","满足更高的动力诉求 大众Tiguan R谍照曝光")</f>
        <v>满足更高的动力诉求 大众Tiguan R谍照曝光</v>
      </c>
      <c r="C3066" s="2" t="s">
        <v>13</v>
      </c>
      <c r="D3066" s="2" t="s">
        <v>12</v>
      </c>
      <c r="E3066" s="2"/>
      <c r="F3066" s="2" t="str">
        <f>HYPERLINK("http://m.12365auto.com/xcdg/20200224/419385.shtml","http://m.12365auto.com/xcdg/20200224/419385.shtml")</f>
        <v>http://m.12365auto.com/xcdg/20200224/419385.shtml</v>
      </c>
      <c r="G3066" s="2"/>
      <c r="H3066" s="2" t="s">
        <v>4404</v>
      </c>
      <c r="I3066" s="2" t="s">
        <v>19</v>
      </c>
      <c r="J3066" s="2" t="s">
        <v>238</v>
      </c>
      <c r="K3066" s="2" t="s">
        <v>4405</v>
      </c>
      <c r="L3066" s="2">
        <f t="shared" si="47"/>
        <v>150</v>
      </c>
    </row>
    <row r="3067" spans="1:12" ht="25" customHeight="1">
      <c r="A3067" s="2" t="s">
        <v>12</v>
      </c>
      <c r="B3067" s="2" t="str">
        <f>HYPERLINK("http://www.12365auto.com/xcdg/20200224/419385.shtml","满足更高的动力诉求 大众Tiguan R谍照曝光")</f>
        <v>满足更高的动力诉求 大众Tiguan R谍照曝光</v>
      </c>
      <c r="C3067" s="2" t="s">
        <v>13</v>
      </c>
      <c r="D3067" s="2" t="s">
        <v>12</v>
      </c>
      <c r="E3067" s="2" t="s">
        <v>224</v>
      </c>
      <c r="F3067" s="2" t="str">
        <f>HYPERLINK("http://www.12365auto.com/xcdg/20200224/419385.shtml","http://www.12365auto.com/xcdg/20200224/419385.shtml")</f>
        <v>http://www.12365auto.com/xcdg/20200224/419385.shtml</v>
      </c>
      <c r="G3067" s="2"/>
      <c r="H3067" s="2" t="s">
        <v>4406</v>
      </c>
      <c r="I3067" s="2" t="s">
        <v>15</v>
      </c>
      <c r="J3067" s="2" t="s">
        <v>12</v>
      </c>
      <c r="K3067" s="2" t="s">
        <v>4405</v>
      </c>
      <c r="L3067" s="2">
        <f t="shared" si="47"/>
        <v>150</v>
      </c>
    </row>
    <row r="3068" spans="1:12" ht="25" customHeight="1">
      <c r="A3068" s="2" t="s">
        <v>12</v>
      </c>
      <c r="B3068" s="2" t="str">
        <f>HYPERLINK("http://m.12365auto.com/xcdg/20200224/419384.shtml","2020日内瓦车展：宝马M340d xDrive将亮相")</f>
        <v>2020日内瓦车展：宝马M340d xDrive将亮相</v>
      </c>
      <c r="C3068" s="2" t="s">
        <v>13</v>
      </c>
      <c r="D3068" s="2" t="s">
        <v>12</v>
      </c>
      <c r="E3068" s="2"/>
      <c r="F3068" s="2" t="str">
        <f>HYPERLINK("http://m.12365auto.com/xcdg/20200224/419384.shtml","http://m.12365auto.com/xcdg/20200224/419384.shtml")</f>
        <v>http://m.12365auto.com/xcdg/20200224/419384.shtml</v>
      </c>
      <c r="G3068" s="2"/>
      <c r="H3068" s="2" t="s">
        <v>4407</v>
      </c>
      <c r="I3068" s="2" t="s">
        <v>19</v>
      </c>
      <c r="J3068" s="2" t="s">
        <v>702</v>
      </c>
      <c r="K3068" s="2" t="s">
        <v>4408</v>
      </c>
      <c r="L3068" s="2">
        <f t="shared" si="47"/>
        <v>150</v>
      </c>
    </row>
    <row r="3069" spans="1:12" ht="25" customHeight="1">
      <c r="A3069" s="2" t="s">
        <v>12</v>
      </c>
      <c r="B3069" s="2" t="str">
        <f>HYPERLINK("http://www.12365auto.com/xcdg/20200224/419384.shtml","2020日内瓦车展：宝马M340d xDrive将亮相")</f>
        <v>2020日内瓦车展：宝马M340d xDrive将亮相</v>
      </c>
      <c r="C3069" s="2" t="s">
        <v>13</v>
      </c>
      <c r="D3069" s="2" t="s">
        <v>12</v>
      </c>
      <c r="E3069" s="2" t="s">
        <v>216</v>
      </c>
      <c r="F3069" s="2" t="str">
        <f>HYPERLINK("http://www.12365auto.com/xcdg/20200224/419384.shtml","http://www.12365auto.com/xcdg/20200224/419384.shtml")</f>
        <v>http://www.12365auto.com/xcdg/20200224/419384.shtml</v>
      </c>
      <c r="G3069" s="2"/>
      <c r="H3069" s="2" t="s">
        <v>4409</v>
      </c>
      <c r="I3069" s="2" t="s">
        <v>15</v>
      </c>
      <c r="J3069" s="2" t="s">
        <v>12</v>
      </c>
      <c r="K3069" s="2" t="s">
        <v>4408</v>
      </c>
      <c r="L3069" s="2">
        <f t="shared" si="47"/>
        <v>150</v>
      </c>
    </row>
    <row r="3070" spans="1:12" ht="25" customHeight="1">
      <c r="A3070" s="2" t="s">
        <v>12</v>
      </c>
      <c r="B3070" s="2" t="str">
        <f>HYPERLINK("http://m.12365auto.com/xcdg/20200224/419383.shtml","全新奔驰GLS售价约68万起 率先在英国销售")</f>
        <v>全新奔驰GLS售价约68万起 率先在英国销售</v>
      </c>
      <c r="C3070" s="2" t="s">
        <v>13</v>
      </c>
      <c r="D3070" s="2" t="s">
        <v>12</v>
      </c>
      <c r="E3070" s="2"/>
      <c r="F3070" s="2" t="str">
        <f>HYPERLINK("http://m.12365auto.com/xcdg/20200224/419383.shtml","http://m.12365auto.com/xcdg/20200224/419383.shtml")</f>
        <v>http://m.12365auto.com/xcdg/20200224/419383.shtml</v>
      </c>
      <c r="G3070" s="2"/>
      <c r="H3070" s="2" t="s">
        <v>4410</v>
      </c>
      <c r="I3070" s="2" t="s">
        <v>19</v>
      </c>
      <c r="J3070" s="2" t="s">
        <v>702</v>
      </c>
      <c r="K3070" s="2" t="s">
        <v>4411</v>
      </c>
      <c r="L3070" s="2">
        <f t="shared" si="47"/>
        <v>150</v>
      </c>
    </row>
    <row r="3071" spans="1:12" ht="25" customHeight="1">
      <c r="A3071" s="2" t="s">
        <v>12</v>
      </c>
      <c r="B3071" s="2" t="str">
        <f>HYPERLINK("http://www.12365auto.com/xcdg/20200224/419383.shtml","全新奔驰GLS售价约68万起 率先在英国销售")</f>
        <v>全新奔驰GLS售价约68万起 率先在英国销售</v>
      </c>
      <c r="C3071" s="2" t="s">
        <v>13</v>
      </c>
      <c r="D3071" s="2" t="s">
        <v>12</v>
      </c>
      <c r="E3071" s="2" t="s">
        <v>216</v>
      </c>
      <c r="F3071" s="2" t="str">
        <f>HYPERLINK("http://www.12365auto.com/xcdg/20200224/419383.shtml","http://www.12365auto.com/xcdg/20200224/419383.shtml")</f>
        <v>http://www.12365auto.com/xcdg/20200224/419383.shtml</v>
      </c>
      <c r="G3071" s="2"/>
      <c r="H3071" s="2" t="s">
        <v>4412</v>
      </c>
      <c r="I3071" s="2" t="s">
        <v>15</v>
      </c>
      <c r="J3071" s="2" t="s">
        <v>12</v>
      </c>
      <c r="K3071" s="2" t="s">
        <v>4411</v>
      </c>
      <c r="L3071" s="2">
        <f t="shared" si="47"/>
        <v>150</v>
      </c>
    </row>
    <row r="3072" spans="1:12" ht="25" customHeight="1">
      <c r="A3072" s="2" t="s">
        <v>12</v>
      </c>
      <c r="B3072" s="2" t="str">
        <f>HYPERLINK("http://m.12365auto.com/xcdg/20200224/419382.shtml","日内瓦车展：雷克萨斯LC500敞篷车首发亮相")</f>
        <v>日内瓦车展：雷克萨斯LC500敞篷车首发亮相</v>
      </c>
      <c r="C3072" s="2" t="s">
        <v>13</v>
      </c>
      <c r="D3072" s="2" t="s">
        <v>12</v>
      </c>
      <c r="E3072" s="2"/>
      <c r="F3072" s="2" t="str">
        <f>HYPERLINK("http://m.12365auto.com/xcdg/20200224/419382.shtml","http://m.12365auto.com/xcdg/20200224/419382.shtml")</f>
        <v>http://m.12365auto.com/xcdg/20200224/419382.shtml</v>
      </c>
      <c r="G3072" s="2"/>
      <c r="H3072" s="2" t="s">
        <v>4413</v>
      </c>
      <c r="I3072" s="2" t="s">
        <v>19</v>
      </c>
      <c r="J3072" s="2" t="s">
        <v>702</v>
      </c>
      <c r="K3072" s="2" t="s">
        <v>4414</v>
      </c>
      <c r="L3072" s="2">
        <f t="shared" si="47"/>
        <v>150</v>
      </c>
    </row>
    <row r="3073" spans="1:12" ht="25" customHeight="1">
      <c r="A3073" s="2" t="s">
        <v>12</v>
      </c>
      <c r="B3073" s="2" t="str">
        <f>HYPERLINK("http://www.12365auto.com/xcdg/20200224/419382.shtml","日内瓦车展：雷克萨斯LC500敞篷车首发亮相")</f>
        <v>日内瓦车展：雷克萨斯LC500敞篷车首发亮相</v>
      </c>
      <c r="C3073" s="2" t="s">
        <v>13</v>
      </c>
      <c r="D3073" s="2" t="s">
        <v>12</v>
      </c>
      <c r="E3073" s="2" t="s">
        <v>216</v>
      </c>
      <c r="F3073" s="2" t="str">
        <f>HYPERLINK("http://www.12365auto.com/xcdg/20200224/419382.shtml","http://www.12365auto.com/xcdg/20200224/419382.shtml")</f>
        <v>http://www.12365auto.com/xcdg/20200224/419382.shtml</v>
      </c>
      <c r="G3073" s="2"/>
      <c r="H3073" s="2" t="s">
        <v>4415</v>
      </c>
      <c r="I3073" s="2" t="s">
        <v>15</v>
      </c>
      <c r="J3073" s="2" t="s">
        <v>12</v>
      </c>
      <c r="K3073" s="2" t="s">
        <v>4414</v>
      </c>
      <c r="L3073" s="2">
        <f t="shared" si="47"/>
        <v>150</v>
      </c>
    </row>
    <row r="3074" spans="1:12" ht="25" customHeight="1">
      <c r="A3074" s="2" t="s">
        <v>12</v>
      </c>
      <c r="B3074" s="2" t="str">
        <f>HYPERLINK("http://www.12365auto.com/zlts/20200224/448462.shtml","一汽吉林森雅R7发动机冷却水泵无货")</f>
        <v>一汽吉林森雅R7发动机冷却水泵无货</v>
      </c>
      <c r="C3074" s="2" t="s">
        <v>13</v>
      </c>
      <c r="D3074" s="2" t="s">
        <v>12</v>
      </c>
      <c r="E3074" s="2" t="s">
        <v>17</v>
      </c>
      <c r="F3074" s="2" t="str">
        <f>HYPERLINK("http://www.12365auto.com/zlts/20200224/448462.shtml","http://www.12365auto.com/zlts/20200224/448462.shtml")</f>
        <v>http://www.12365auto.com/zlts/20200224/448462.shtml</v>
      </c>
      <c r="G3074" s="2"/>
      <c r="H3074" s="2" t="s">
        <v>4416</v>
      </c>
      <c r="I3074" s="2" t="s">
        <v>19</v>
      </c>
      <c r="J3074" s="2" t="s">
        <v>12</v>
      </c>
      <c r="K3074" s="2" t="s">
        <v>4417</v>
      </c>
      <c r="L3074" s="2">
        <f t="shared" si="47"/>
        <v>150</v>
      </c>
    </row>
    <row r="3075" spans="1:12" ht="25" customHeight="1">
      <c r="A3075" s="2" t="s">
        <v>12</v>
      </c>
      <c r="B3075" s="2" t="str">
        <f>HYPERLINK("http://m.12365auto.com/zjdy/20200224/121576.shtml","因为疫情原因无法处理故障能延长延保期吗？")</f>
        <v>因为疫情原因无法处理故障能延长延保期吗？</v>
      </c>
      <c r="C3075" s="2" t="s">
        <v>13</v>
      </c>
      <c r="D3075" s="2" t="s">
        <v>12</v>
      </c>
      <c r="E3075" s="2"/>
      <c r="F3075" s="2" t="str">
        <f>HYPERLINK("http://m.12365auto.com/zjdy/20200224/121576.shtml","http://m.12365auto.com/zjdy/20200224/121576.shtml")</f>
        <v>http://m.12365auto.com/zjdy/20200224/121576.shtml</v>
      </c>
      <c r="G3075" s="2"/>
      <c r="H3075" s="2" t="s">
        <v>4418</v>
      </c>
      <c r="I3075" s="2" t="s">
        <v>19</v>
      </c>
      <c r="J3075" s="2" t="s">
        <v>12</v>
      </c>
      <c r="K3075" s="2" t="s">
        <v>4419</v>
      </c>
      <c r="L3075" s="2">
        <f t="shared" ref="L3075:L3138" si="48">LEN(H3075)</f>
        <v>20</v>
      </c>
    </row>
    <row r="3076" spans="1:12" ht="25" customHeight="1">
      <c r="A3076" s="2" t="s">
        <v>12</v>
      </c>
      <c r="B3076" s="2" t="str">
        <f>HYPERLINK("http://m.12365auto.com/zjdy/20200224/121574.shtml","请问一下点火发动转速无信号是什么意思？")</f>
        <v>请问一下点火发动转速无信号是什么意思？</v>
      </c>
      <c r="C3076" s="2" t="s">
        <v>13</v>
      </c>
      <c r="D3076" s="2" t="s">
        <v>12</v>
      </c>
      <c r="E3076" s="2"/>
      <c r="F3076" s="2" t="str">
        <f>HYPERLINK("http://m.12365auto.com/zjdy/20200224/121574.shtml","http://m.12365auto.com/zjdy/20200224/121574.shtml")</f>
        <v>http://m.12365auto.com/zjdy/20200224/121574.shtml</v>
      </c>
      <c r="G3076" s="2"/>
      <c r="H3076" s="2" t="s">
        <v>4420</v>
      </c>
      <c r="I3076" s="2" t="s">
        <v>19</v>
      </c>
      <c r="J3076" s="2" t="s">
        <v>12</v>
      </c>
      <c r="K3076" s="2" t="s">
        <v>4419</v>
      </c>
      <c r="L3076" s="2">
        <f t="shared" si="48"/>
        <v>19</v>
      </c>
    </row>
    <row r="3077" spans="1:12" ht="25" customHeight="1">
      <c r="A3077" s="2" t="s">
        <v>12</v>
      </c>
      <c r="B3077" s="2" t="str">
        <f>HYPERLINK("http://m.12365auto.com/zjdy/20200224/121575.shtml","帝豪GS有换代的信息吗换代之后外观如何？")</f>
        <v>帝豪GS有换代的信息吗换代之后外观如何？</v>
      </c>
      <c r="C3077" s="2" t="s">
        <v>13</v>
      </c>
      <c r="D3077" s="2" t="s">
        <v>12</v>
      </c>
      <c r="E3077" s="2"/>
      <c r="F3077" s="2" t="str">
        <f>HYPERLINK("http://m.12365auto.com/zjdy/20200224/121575.shtml","http://m.12365auto.com/zjdy/20200224/121575.shtml")</f>
        <v>http://m.12365auto.com/zjdy/20200224/121575.shtml</v>
      </c>
      <c r="G3077" s="2"/>
      <c r="H3077" s="2" t="s">
        <v>4421</v>
      </c>
      <c r="I3077" s="2" t="s">
        <v>19</v>
      </c>
      <c r="J3077" s="2" t="s">
        <v>12</v>
      </c>
      <c r="K3077" s="2" t="s">
        <v>4419</v>
      </c>
      <c r="L3077" s="2">
        <f t="shared" si="48"/>
        <v>28</v>
      </c>
    </row>
    <row r="3078" spans="1:12" ht="25" customHeight="1">
      <c r="A3078" s="2" t="s">
        <v>12</v>
      </c>
      <c r="B3078" s="2" t="str">
        <f>HYPERLINK("http://www.12365auto.com/news/20200224/419381.shtml","路特斯为Evija开设新生产线 Evija即将投产")</f>
        <v>路特斯为Evija开设新生产线 Evija即将投产</v>
      </c>
      <c r="C3078" s="2" t="s">
        <v>13</v>
      </c>
      <c r="D3078" s="2" t="s">
        <v>12</v>
      </c>
      <c r="E3078" s="2" t="s">
        <v>282</v>
      </c>
      <c r="F3078" s="2" t="str">
        <f>HYPERLINK("http://www.12365auto.com/news/20200224/419381.shtml","http://www.12365auto.com/news/20200224/419381.shtml")</f>
        <v>http://www.12365auto.com/news/20200224/419381.shtml</v>
      </c>
      <c r="G3078" s="2"/>
      <c r="H3078" s="2" t="s">
        <v>4422</v>
      </c>
      <c r="I3078" s="2" t="s">
        <v>19</v>
      </c>
      <c r="J3078" s="2" t="s">
        <v>12</v>
      </c>
      <c r="K3078" s="2" t="s">
        <v>4423</v>
      </c>
      <c r="L3078" s="2">
        <f t="shared" si="48"/>
        <v>150</v>
      </c>
    </row>
    <row r="3079" spans="1:12" ht="25" customHeight="1">
      <c r="A3079" s="2" t="s">
        <v>12</v>
      </c>
      <c r="B3079" s="2" t="str">
        <f>HYPERLINK("http://m.12365auto.com/news/20200224/419381.shtml","路特斯为Evija开设新生产线 Evija即将投产")</f>
        <v>路特斯为Evija开设新生产线 Evija即将投产</v>
      </c>
      <c r="C3079" s="2" t="s">
        <v>13</v>
      </c>
      <c r="D3079" s="2" t="s">
        <v>12</v>
      </c>
      <c r="E3079" s="2"/>
      <c r="F3079" s="2" t="str">
        <f>HYPERLINK("http://m.12365auto.com/news/20200224/419381.shtml","http://m.12365auto.com/news/20200224/419381.shtml")</f>
        <v>http://m.12365auto.com/news/20200224/419381.shtml</v>
      </c>
      <c r="G3079" s="2"/>
      <c r="H3079" s="2" t="s">
        <v>4424</v>
      </c>
      <c r="I3079" s="2" t="s">
        <v>19</v>
      </c>
      <c r="J3079" s="2" t="s">
        <v>702</v>
      </c>
      <c r="K3079" s="2" t="s">
        <v>4423</v>
      </c>
      <c r="L3079" s="2">
        <f t="shared" si="48"/>
        <v>150</v>
      </c>
    </row>
    <row r="3080" spans="1:12" ht="25" customHeight="1">
      <c r="A3080" s="2" t="s">
        <v>12</v>
      </c>
      <c r="B3080" s="2" t="str">
        <f>HYPERLINK("http://www.12365auto.com/news/20200224/419380.shtml","现代起亚联合发布首款带有预测功能的变速器")</f>
        <v>现代起亚联合发布首款带有预测功能的变速器</v>
      </c>
      <c r="C3080" s="2" t="s">
        <v>13</v>
      </c>
      <c r="D3080" s="2" t="s">
        <v>12</v>
      </c>
      <c r="E3080" s="2" t="s">
        <v>282</v>
      </c>
      <c r="F3080" s="2" t="str">
        <f>HYPERLINK("http://www.12365auto.com/news/20200224/419380.shtml","http://www.12365auto.com/news/20200224/419380.shtml")</f>
        <v>http://www.12365auto.com/news/20200224/419380.shtml</v>
      </c>
      <c r="G3080" s="2"/>
      <c r="H3080" s="2" t="s">
        <v>4425</v>
      </c>
      <c r="I3080" s="2" t="s">
        <v>19</v>
      </c>
      <c r="J3080" s="2" t="s">
        <v>12</v>
      </c>
      <c r="K3080" s="2" t="s">
        <v>4426</v>
      </c>
      <c r="L3080" s="2">
        <f t="shared" si="48"/>
        <v>150</v>
      </c>
    </row>
    <row r="3081" spans="1:12" ht="25" customHeight="1">
      <c r="A3081" s="2" t="s">
        <v>12</v>
      </c>
      <c r="B3081" s="2" t="str">
        <f>HYPERLINK("http://m.12365auto.com/news/20200224/419380.shtml","现代起亚联合发布首款带有预测功能的变速器")</f>
        <v>现代起亚联合发布首款带有预测功能的变速器</v>
      </c>
      <c r="C3081" s="2" t="s">
        <v>13</v>
      </c>
      <c r="D3081" s="2" t="s">
        <v>12</v>
      </c>
      <c r="E3081" s="2"/>
      <c r="F3081" s="2" t="str">
        <f>HYPERLINK("http://m.12365auto.com/news/20200224/419380.shtml","http://m.12365auto.com/news/20200224/419380.shtml")</f>
        <v>http://m.12365auto.com/news/20200224/419380.shtml</v>
      </c>
      <c r="G3081" s="2"/>
      <c r="H3081" s="2" t="s">
        <v>4427</v>
      </c>
      <c r="I3081" s="2" t="s">
        <v>19</v>
      </c>
      <c r="J3081" s="2" t="s">
        <v>702</v>
      </c>
      <c r="K3081" s="2" t="s">
        <v>4426</v>
      </c>
      <c r="L3081" s="2">
        <f t="shared" si="48"/>
        <v>150</v>
      </c>
    </row>
    <row r="3082" spans="1:12" ht="25" customHeight="1">
      <c r="A3082" s="2" t="s">
        <v>12</v>
      </c>
      <c r="B3082" s="2" t="str">
        <f>HYPERLINK("http://www.12365auto.com/xcdg/20200224/419379.shtml","雷克萨斯LM 300h正式上市 售116.6-146.6万")</f>
        <v>雷克萨斯LM 300h正式上市 售116.6-146.6万</v>
      </c>
      <c r="C3082" s="2" t="s">
        <v>13</v>
      </c>
      <c r="D3082" s="2" t="s">
        <v>12</v>
      </c>
      <c r="E3082" s="2" t="s">
        <v>245</v>
      </c>
      <c r="F3082" s="2" t="str">
        <f>HYPERLINK("http://www.12365auto.com/xcdg/20200224/419379.shtml","http://www.12365auto.com/xcdg/20200224/419379.shtml")</f>
        <v>http://www.12365auto.com/xcdg/20200224/419379.shtml</v>
      </c>
      <c r="G3082" s="2"/>
      <c r="H3082" s="2" t="s">
        <v>4428</v>
      </c>
      <c r="I3082" s="2" t="s">
        <v>19</v>
      </c>
      <c r="J3082" s="2" t="s">
        <v>12</v>
      </c>
      <c r="K3082" s="2" t="s">
        <v>4429</v>
      </c>
      <c r="L3082" s="2">
        <f t="shared" si="48"/>
        <v>150</v>
      </c>
    </row>
    <row r="3083" spans="1:12" ht="25" customHeight="1">
      <c r="A3083" s="2" t="s">
        <v>12</v>
      </c>
      <c r="B3083" s="2" t="str">
        <f>HYPERLINK("http://m.12365auto.com/xcdg/20200224/419379.shtml","雷克萨斯LM 300h正式上市 售116.6-146.6万")</f>
        <v>雷克萨斯LM 300h正式上市 售116.6-146.6万</v>
      </c>
      <c r="C3083" s="2" t="s">
        <v>13</v>
      </c>
      <c r="D3083" s="2" t="s">
        <v>12</v>
      </c>
      <c r="E3083" s="2"/>
      <c r="F3083" s="2" t="str">
        <f>HYPERLINK("http://m.12365auto.com/xcdg/20200224/419379.shtml","http://m.12365auto.com/xcdg/20200224/419379.shtml")</f>
        <v>http://m.12365auto.com/xcdg/20200224/419379.shtml</v>
      </c>
      <c r="G3083" s="2"/>
      <c r="H3083" s="2" t="s">
        <v>4430</v>
      </c>
      <c r="I3083" s="2" t="s">
        <v>19</v>
      </c>
      <c r="J3083" s="2" t="s">
        <v>1775</v>
      </c>
      <c r="K3083" s="2" t="s">
        <v>4429</v>
      </c>
      <c r="L3083" s="2">
        <f t="shared" si="48"/>
        <v>150</v>
      </c>
    </row>
    <row r="3084" spans="1:12" ht="25" customHeight="1">
      <c r="A3084" s="2" t="s">
        <v>12</v>
      </c>
      <c r="B3084" s="2" t="str">
        <f>HYPERLINK("http://m.12365auto.com/zjdy/20200224/121573.shtml","车辆车速传感器的位置是哪里需要更换吗？")</f>
        <v>车辆车速传感器的位置是哪里需要更换吗？</v>
      </c>
      <c r="C3084" s="2" t="s">
        <v>13</v>
      </c>
      <c r="D3084" s="2" t="s">
        <v>12</v>
      </c>
      <c r="E3084" s="2"/>
      <c r="F3084" s="2" t="str">
        <f>HYPERLINK("http://m.12365auto.com/zjdy/20200224/121573.shtml","http://m.12365auto.com/zjdy/20200224/121573.shtml")</f>
        <v>http://m.12365auto.com/zjdy/20200224/121573.shtml</v>
      </c>
      <c r="G3084" s="2"/>
      <c r="H3084" s="2" t="s">
        <v>4431</v>
      </c>
      <c r="I3084" s="2" t="s">
        <v>19</v>
      </c>
      <c r="J3084" s="2" t="s">
        <v>12</v>
      </c>
      <c r="K3084" s="2" t="s">
        <v>4432</v>
      </c>
      <c r="L3084" s="2">
        <f t="shared" si="48"/>
        <v>21</v>
      </c>
    </row>
    <row r="3085" spans="1:12" ht="25" customHeight="1">
      <c r="A3085" s="2" t="s">
        <v>12</v>
      </c>
      <c r="B3085" s="2" t="str">
        <f>HYPERLINK("http://m.12365auto.com/xcdg/20200224/419378.shtml","捷豹路虎发布Project Vector概念车")</f>
        <v>捷豹路虎发布Project Vector概念车</v>
      </c>
      <c r="C3085" s="2" t="s">
        <v>13</v>
      </c>
      <c r="D3085" s="2" t="s">
        <v>12</v>
      </c>
      <c r="E3085" s="2"/>
      <c r="F3085" s="2" t="str">
        <f>HYPERLINK("http://m.12365auto.com/xcdg/20200224/419378.shtml","http://m.12365auto.com/xcdg/20200224/419378.shtml")</f>
        <v>http://m.12365auto.com/xcdg/20200224/419378.shtml</v>
      </c>
      <c r="G3085" s="2"/>
      <c r="H3085" s="2" t="s">
        <v>4433</v>
      </c>
      <c r="I3085" s="2" t="s">
        <v>19</v>
      </c>
      <c r="J3085" s="2" t="s">
        <v>702</v>
      </c>
      <c r="K3085" s="2" t="s">
        <v>4434</v>
      </c>
      <c r="L3085" s="2">
        <f t="shared" si="48"/>
        <v>150</v>
      </c>
    </row>
    <row r="3086" spans="1:12" ht="25" customHeight="1">
      <c r="A3086" s="2" t="s">
        <v>12</v>
      </c>
      <c r="B3086" s="2" t="str">
        <f>HYPERLINK("http://www.12365auto.com/xcdg/20200224/419378.shtml","捷豹路虎发布Project Vector概念车")</f>
        <v>捷豹路虎发布Project Vector概念车</v>
      </c>
      <c r="C3086" s="2" t="s">
        <v>13</v>
      </c>
      <c r="D3086" s="2" t="s">
        <v>12</v>
      </c>
      <c r="E3086" s="2" t="s">
        <v>245</v>
      </c>
      <c r="F3086" s="2" t="str">
        <f>HYPERLINK("http://www.12365auto.com/xcdg/20200224/419378.shtml","http://www.12365auto.com/xcdg/20200224/419378.shtml")</f>
        <v>http://www.12365auto.com/xcdg/20200224/419378.shtml</v>
      </c>
      <c r="G3086" s="2"/>
      <c r="H3086" s="2" t="s">
        <v>4435</v>
      </c>
      <c r="I3086" s="2" t="s">
        <v>19</v>
      </c>
      <c r="J3086" s="2" t="s">
        <v>12</v>
      </c>
      <c r="K3086" s="2" t="s">
        <v>4434</v>
      </c>
      <c r="L3086" s="2">
        <f t="shared" si="48"/>
        <v>150</v>
      </c>
    </row>
    <row r="3087" spans="1:12" ht="25" customHeight="1">
      <c r="A3087" s="2" t="s">
        <v>12</v>
      </c>
      <c r="B3087" s="2" t="str">
        <f>HYPERLINK("http://m.12365auto.com/xcdg/20200224/419377.shtml","零跑T03有望4月上市 两种续航版本可选")</f>
        <v>零跑T03有望4月上市 两种续航版本可选</v>
      </c>
      <c r="C3087" s="2" t="s">
        <v>13</v>
      </c>
      <c r="D3087" s="2" t="s">
        <v>12</v>
      </c>
      <c r="E3087" s="2"/>
      <c r="F3087" s="2" t="str">
        <f>HYPERLINK("http://m.12365auto.com/xcdg/20200224/419377.shtml","http://m.12365auto.com/xcdg/20200224/419377.shtml")</f>
        <v>http://m.12365auto.com/xcdg/20200224/419377.shtml</v>
      </c>
      <c r="G3087" s="2"/>
      <c r="H3087" s="2" t="s">
        <v>4436</v>
      </c>
      <c r="I3087" s="2" t="s">
        <v>19</v>
      </c>
      <c r="J3087" s="2" t="s">
        <v>1222</v>
      </c>
      <c r="K3087" s="2" t="s">
        <v>4437</v>
      </c>
      <c r="L3087" s="2">
        <f t="shared" si="48"/>
        <v>150</v>
      </c>
    </row>
    <row r="3088" spans="1:12" ht="25" customHeight="1">
      <c r="A3088" s="2" t="s">
        <v>12</v>
      </c>
      <c r="B3088" s="2" t="str">
        <f>HYPERLINK("http://www.12365auto.com/xcdg/20200224/419377.shtml","零跑T03有望4月上市 两种续航版本可选")</f>
        <v>零跑T03有望4月上市 两种续航版本可选</v>
      </c>
      <c r="C3088" s="2" t="s">
        <v>13</v>
      </c>
      <c r="D3088" s="2" t="s">
        <v>12</v>
      </c>
      <c r="E3088" s="2" t="s">
        <v>245</v>
      </c>
      <c r="F3088" s="2" t="str">
        <f>HYPERLINK("http://www.12365auto.com/xcdg/20200224/419377.shtml","http://www.12365auto.com/xcdg/20200224/419377.shtml")</f>
        <v>http://www.12365auto.com/xcdg/20200224/419377.shtml</v>
      </c>
      <c r="G3088" s="2"/>
      <c r="H3088" s="2" t="s">
        <v>4438</v>
      </c>
      <c r="I3088" s="2" t="s">
        <v>19</v>
      </c>
      <c r="J3088" s="2" t="s">
        <v>12</v>
      </c>
      <c r="K3088" s="2" t="s">
        <v>4437</v>
      </c>
      <c r="L3088" s="2">
        <f t="shared" si="48"/>
        <v>150</v>
      </c>
    </row>
    <row r="3089" spans="1:12" ht="25" customHeight="1">
      <c r="A3089" s="2" t="s">
        <v>12</v>
      </c>
      <c r="B3089" s="2" t="str">
        <f>HYPERLINK("http://www.12365auto.com/zlts/20200224/448461.shtml","吉利远景四个车门和后备箱盖有生锈现象")</f>
        <v>吉利远景四个车门和后备箱盖有生锈现象</v>
      </c>
      <c r="C3089" s="2" t="s">
        <v>13</v>
      </c>
      <c r="D3089" s="2" t="s">
        <v>12</v>
      </c>
      <c r="E3089" s="2" t="s">
        <v>17</v>
      </c>
      <c r="F3089" s="2" t="str">
        <f>HYPERLINK("http://www.12365auto.com/zlts/20200224/448461.shtml","http://www.12365auto.com/zlts/20200224/448461.shtml")</f>
        <v>http://www.12365auto.com/zlts/20200224/448461.shtml</v>
      </c>
      <c r="G3089" s="2"/>
      <c r="H3089" s="2" t="s">
        <v>4439</v>
      </c>
      <c r="I3089" s="2" t="s">
        <v>15</v>
      </c>
      <c r="J3089" s="2" t="s">
        <v>12</v>
      </c>
      <c r="K3089" s="2" t="s">
        <v>4440</v>
      </c>
      <c r="L3089" s="2">
        <f t="shared" si="48"/>
        <v>150</v>
      </c>
    </row>
    <row r="3090" spans="1:12" ht="25" customHeight="1">
      <c r="A3090" s="2" t="s">
        <v>12</v>
      </c>
      <c r="B3090" s="2" t="str">
        <f>HYPERLINK("http://www.12365auto.com/zlts/20200224/448458.shtml","广汽本田奥德赛刹车盘抖动要求尽快处理")</f>
        <v>广汽本田奥德赛刹车盘抖动要求尽快处理</v>
      </c>
      <c r="C3090" s="2" t="s">
        <v>13</v>
      </c>
      <c r="D3090" s="2" t="s">
        <v>12</v>
      </c>
      <c r="E3090" s="2" t="s">
        <v>17</v>
      </c>
      <c r="F3090" s="2" t="str">
        <f>HYPERLINK("http://www.12365auto.com/zlts/20200224/448458.shtml","http://www.12365auto.com/zlts/20200224/448458.shtml")</f>
        <v>http://www.12365auto.com/zlts/20200224/448458.shtml</v>
      </c>
      <c r="G3090" s="2"/>
      <c r="H3090" s="2" t="s">
        <v>4441</v>
      </c>
      <c r="I3090" s="2" t="s">
        <v>19</v>
      </c>
      <c r="J3090" s="2" t="s">
        <v>12</v>
      </c>
      <c r="K3090" s="2" t="s">
        <v>4442</v>
      </c>
      <c r="L3090" s="2">
        <f t="shared" si="48"/>
        <v>150</v>
      </c>
    </row>
    <row r="3091" spans="1:12" ht="25" customHeight="1">
      <c r="A3091" s="2" t="s">
        <v>12</v>
      </c>
      <c r="B3091" s="2" t="str">
        <f>HYPERLINK("http://www.12365auto.com/zlts/20200224/448457.shtml","江铃福特全顺冷车启动离合器异响")</f>
        <v>江铃福特全顺冷车启动离合器异响</v>
      </c>
      <c r="C3091" s="2" t="s">
        <v>13</v>
      </c>
      <c r="D3091" s="2" t="s">
        <v>12</v>
      </c>
      <c r="E3091" s="2" t="s">
        <v>17</v>
      </c>
      <c r="F3091" s="2" t="str">
        <f>HYPERLINK("http://www.12365auto.com/zlts/20200224/448457.shtml","http://www.12365auto.com/zlts/20200224/448457.shtml")</f>
        <v>http://www.12365auto.com/zlts/20200224/448457.shtml</v>
      </c>
      <c r="G3091" s="2"/>
      <c r="H3091" s="2" t="s">
        <v>4443</v>
      </c>
      <c r="I3091" s="2" t="s">
        <v>19</v>
      </c>
      <c r="J3091" s="2" t="s">
        <v>12</v>
      </c>
      <c r="K3091" s="2" t="s">
        <v>4444</v>
      </c>
      <c r="L3091" s="2">
        <f t="shared" si="48"/>
        <v>150</v>
      </c>
    </row>
    <row r="3092" spans="1:12" ht="25" customHeight="1">
      <c r="A3092" s="2" t="s">
        <v>12</v>
      </c>
      <c r="B3092" s="2" t="str">
        <f>HYPERLINK("http://m.12365auto.com/xcdg/20200224/419376.shtml","福特F-150原型车谍照 或底特律车展全球首发")</f>
        <v>福特F-150原型车谍照 或底特律车展全球首发</v>
      </c>
      <c r="C3092" s="2" t="s">
        <v>13</v>
      </c>
      <c r="D3092" s="2" t="s">
        <v>12</v>
      </c>
      <c r="E3092" s="2"/>
      <c r="F3092" s="2" t="str">
        <f>HYPERLINK("http://m.12365auto.com/xcdg/20200224/419376.shtml","http://m.12365auto.com/xcdg/20200224/419376.shtml")</f>
        <v>http://m.12365auto.com/xcdg/20200224/419376.shtml</v>
      </c>
      <c r="G3092" s="2"/>
      <c r="H3092" s="2" t="s">
        <v>4445</v>
      </c>
      <c r="I3092" s="2" t="s">
        <v>19</v>
      </c>
      <c r="J3092" s="2" t="s">
        <v>4446</v>
      </c>
      <c r="K3092" s="2" t="s">
        <v>4447</v>
      </c>
      <c r="L3092" s="2">
        <f t="shared" si="48"/>
        <v>150</v>
      </c>
    </row>
    <row r="3093" spans="1:12" ht="25" customHeight="1">
      <c r="A3093" s="2" t="s">
        <v>12</v>
      </c>
      <c r="B3093" s="2" t="str">
        <f>HYPERLINK("http://www.12365auto.com/xcdg/20200224/419376.shtml","福特F-150原型车谍照 或底特律车展全球首发")</f>
        <v>福特F-150原型车谍照 或底特律车展全球首发</v>
      </c>
      <c r="C3093" s="2" t="s">
        <v>13</v>
      </c>
      <c r="D3093" s="2" t="s">
        <v>12</v>
      </c>
      <c r="E3093" s="2" t="s">
        <v>224</v>
      </c>
      <c r="F3093" s="2" t="str">
        <f>HYPERLINK("http://www.12365auto.com/xcdg/20200224/419376.shtml","http://www.12365auto.com/xcdg/20200224/419376.shtml")</f>
        <v>http://www.12365auto.com/xcdg/20200224/419376.shtml</v>
      </c>
      <c r="G3093" s="2"/>
      <c r="H3093" s="2" t="s">
        <v>4448</v>
      </c>
      <c r="I3093" s="2" t="s">
        <v>15</v>
      </c>
      <c r="J3093" s="2" t="s">
        <v>12</v>
      </c>
      <c r="K3093" s="2" t="s">
        <v>4447</v>
      </c>
      <c r="L3093" s="2">
        <f t="shared" si="48"/>
        <v>150</v>
      </c>
    </row>
    <row r="3094" spans="1:12" ht="25" customHeight="1">
      <c r="A3094" s="2" t="s">
        <v>12</v>
      </c>
      <c r="B3094" s="2" t="str">
        <f>HYPERLINK("http://www.12365auto.com/zlts/20200224/448454.shtml","北京现代胜达电瓶厂家不发配件希望处理")</f>
        <v>北京现代胜达电瓶厂家不发配件希望处理</v>
      </c>
      <c r="C3094" s="2" t="s">
        <v>13</v>
      </c>
      <c r="D3094" s="2" t="s">
        <v>12</v>
      </c>
      <c r="E3094" s="2"/>
      <c r="F3094" s="2" t="str">
        <f>HYPERLINK("http://www.12365auto.com/zlts/20200224/448454.shtml","http://www.12365auto.com/zlts/20200224/448454.shtml")</f>
        <v>http://www.12365auto.com/zlts/20200224/448454.shtml</v>
      </c>
      <c r="G3094" s="2"/>
      <c r="H3094" s="3" t="s">
        <v>4449</v>
      </c>
      <c r="I3094" s="2" t="s">
        <v>15</v>
      </c>
      <c r="J3094" s="2" t="s">
        <v>12</v>
      </c>
      <c r="K3094" s="2" t="s">
        <v>4450</v>
      </c>
      <c r="L3094" s="2">
        <f t="shared" si="48"/>
        <v>123</v>
      </c>
    </row>
    <row r="3095" spans="1:12" ht="25" customHeight="1">
      <c r="A3095" s="2" t="s">
        <v>12</v>
      </c>
      <c r="B3095" s="2" t="str">
        <f>HYPERLINK("http://www.12365auto.com/zlts/20200224/448456.shtml","华晨中华V6发动机烧机油 进气管窜机油")</f>
        <v>华晨中华V6发动机烧机油 进气管窜机油</v>
      </c>
      <c r="C3095" s="2" t="s">
        <v>13</v>
      </c>
      <c r="D3095" s="2" t="s">
        <v>12</v>
      </c>
      <c r="E3095" s="2" t="s">
        <v>17</v>
      </c>
      <c r="F3095" s="2" t="str">
        <f>HYPERLINK("http://www.12365auto.com/zlts/20200224/448456.shtml","http://www.12365auto.com/zlts/20200224/448456.shtml")</f>
        <v>http://www.12365auto.com/zlts/20200224/448456.shtml</v>
      </c>
      <c r="G3095" s="2"/>
      <c r="H3095" s="2" t="s">
        <v>4451</v>
      </c>
      <c r="I3095" s="2" t="s">
        <v>19</v>
      </c>
      <c r="J3095" s="2" t="s">
        <v>12</v>
      </c>
      <c r="K3095" s="2" t="s">
        <v>4452</v>
      </c>
      <c r="L3095" s="2">
        <f t="shared" si="48"/>
        <v>150</v>
      </c>
    </row>
    <row r="3096" spans="1:12" ht="25" customHeight="1">
      <c r="A3096" s="2" t="s">
        <v>12</v>
      </c>
      <c r="B3096" s="2" t="str">
        <f>HYPERLINK("http://www.12365auto.com/xcdg/20200224/419375.shtml","日产370Z跑车效果图 或采用GT设计风格")</f>
        <v>日产370Z跑车效果图 或采用GT设计风格</v>
      </c>
      <c r="C3096" s="2" t="s">
        <v>13</v>
      </c>
      <c r="D3096" s="2" t="s">
        <v>12</v>
      </c>
      <c r="E3096" s="2" t="s">
        <v>245</v>
      </c>
      <c r="F3096" s="2" t="str">
        <f>HYPERLINK("http://www.12365auto.com/xcdg/20200224/419375.shtml","http://www.12365auto.com/xcdg/20200224/419375.shtml")</f>
        <v>http://www.12365auto.com/xcdg/20200224/419375.shtml</v>
      </c>
      <c r="G3096" s="2"/>
      <c r="H3096" s="2" t="s">
        <v>4453</v>
      </c>
      <c r="I3096" s="2" t="s">
        <v>19</v>
      </c>
      <c r="J3096" s="2" t="s">
        <v>12</v>
      </c>
      <c r="K3096" s="2" t="s">
        <v>4454</v>
      </c>
      <c r="L3096" s="2">
        <f t="shared" si="48"/>
        <v>150</v>
      </c>
    </row>
    <row r="3097" spans="1:12" ht="25" customHeight="1">
      <c r="A3097" s="2" t="s">
        <v>12</v>
      </c>
      <c r="B3097" s="2" t="str">
        <f>HYPERLINK("http://m.12365auto.com/xcdg/20200224/419375.shtml","日产370Z跑车效果图 或采用GT设计风格")</f>
        <v>日产370Z跑车效果图 或采用GT设计风格</v>
      </c>
      <c r="C3097" s="2" t="s">
        <v>13</v>
      </c>
      <c r="D3097" s="2" t="s">
        <v>12</v>
      </c>
      <c r="E3097" s="2"/>
      <c r="F3097" s="2" t="str">
        <f>HYPERLINK("http://m.12365auto.com/xcdg/20200224/419375.shtml","http://m.12365auto.com/xcdg/20200224/419375.shtml")</f>
        <v>http://m.12365auto.com/xcdg/20200224/419375.shtml</v>
      </c>
      <c r="G3097" s="2"/>
      <c r="H3097" s="2" t="s">
        <v>4455</v>
      </c>
      <c r="I3097" s="2" t="s">
        <v>19</v>
      </c>
      <c r="J3097" s="2" t="s">
        <v>4456</v>
      </c>
      <c r="K3097" s="2" t="s">
        <v>4454</v>
      </c>
      <c r="L3097" s="2">
        <f t="shared" si="48"/>
        <v>150</v>
      </c>
    </row>
    <row r="3098" spans="1:12" ht="25" customHeight="1">
      <c r="A3098" s="2" t="s">
        <v>12</v>
      </c>
      <c r="B3098" s="2" t="str">
        <f>HYPERLINK("http://www.12365auto.com/xcdg/20200224/419374.shtml","2020日内瓦车展：宝马4系效果图曝光")</f>
        <v>2020日内瓦车展：宝马4系效果图曝光</v>
      </c>
      <c r="C3098" s="2" t="s">
        <v>13</v>
      </c>
      <c r="D3098" s="2" t="s">
        <v>12</v>
      </c>
      <c r="E3098" s="2" t="s">
        <v>245</v>
      </c>
      <c r="F3098" s="2" t="str">
        <f>HYPERLINK("http://www.12365auto.com/xcdg/20200224/419374.shtml","http://www.12365auto.com/xcdg/20200224/419374.shtml")</f>
        <v>http://www.12365auto.com/xcdg/20200224/419374.shtml</v>
      </c>
      <c r="G3098" s="2"/>
      <c r="H3098" s="2" t="s">
        <v>4457</v>
      </c>
      <c r="I3098" s="2" t="s">
        <v>19</v>
      </c>
      <c r="J3098" s="2" t="s">
        <v>12</v>
      </c>
      <c r="K3098" s="2" t="s">
        <v>4458</v>
      </c>
      <c r="L3098" s="2">
        <f t="shared" si="48"/>
        <v>150</v>
      </c>
    </row>
    <row r="3099" spans="1:12" ht="25" customHeight="1">
      <c r="A3099" s="2" t="s">
        <v>12</v>
      </c>
      <c r="B3099" s="2" t="str">
        <f>HYPERLINK("http://m.12365auto.com/xcdg/20200224/419374.shtml","2020日内瓦车展：宝马4系效果图曝光")</f>
        <v>2020日内瓦车展：宝马4系效果图曝光</v>
      </c>
      <c r="C3099" s="2" t="s">
        <v>13</v>
      </c>
      <c r="D3099" s="2" t="s">
        <v>12</v>
      </c>
      <c r="E3099" s="2"/>
      <c r="F3099" s="2" t="str">
        <f>HYPERLINK("http://m.12365auto.com/xcdg/20200224/419374.shtml","http://m.12365auto.com/xcdg/20200224/419374.shtml")</f>
        <v>http://m.12365auto.com/xcdg/20200224/419374.shtml</v>
      </c>
      <c r="G3099" s="2"/>
      <c r="H3099" s="2" t="s">
        <v>4459</v>
      </c>
      <c r="I3099" s="2" t="s">
        <v>19</v>
      </c>
      <c r="J3099" s="2" t="s">
        <v>4456</v>
      </c>
      <c r="K3099" s="2" t="s">
        <v>4458</v>
      </c>
      <c r="L3099" s="2">
        <f t="shared" si="48"/>
        <v>150</v>
      </c>
    </row>
    <row r="3100" spans="1:12" ht="25" customHeight="1">
      <c r="A3100" s="2" t="s">
        <v>12</v>
      </c>
      <c r="B3100" s="2" t="str">
        <f>HYPERLINK("http://www.12365auto.com/xcdg/20200224/419373.shtml","现代考虑推出捷恩斯G70旅行版车型")</f>
        <v>现代考虑推出捷恩斯G70旅行版车型</v>
      </c>
      <c r="C3100" s="2" t="s">
        <v>13</v>
      </c>
      <c r="D3100" s="2" t="s">
        <v>12</v>
      </c>
      <c r="E3100" s="2" t="s">
        <v>245</v>
      </c>
      <c r="F3100" s="2" t="str">
        <f>HYPERLINK("http://www.12365auto.com/xcdg/20200224/419373.shtml","http://www.12365auto.com/xcdg/20200224/419373.shtml")</f>
        <v>http://www.12365auto.com/xcdg/20200224/419373.shtml</v>
      </c>
      <c r="G3100" s="2"/>
      <c r="H3100" s="2" t="s">
        <v>4460</v>
      </c>
      <c r="I3100" s="2" t="s">
        <v>19</v>
      </c>
      <c r="J3100" s="2" t="s">
        <v>12</v>
      </c>
      <c r="K3100" s="2" t="s">
        <v>4461</v>
      </c>
      <c r="L3100" s="2">
        <f t="shared" si="48"/>
        <v>150</v>
      </c>
    </row>
    <row r="3101" spans="1:12" ht="25" customHeight="1">
      <c r="A3101" s="2" t="s">
        <v>12</v>
      </c>
      <c r="B3101" s="2" t="str">
        <f>HYPERLINK("http://m.12365auto.com/xcdg/20200224/419373.shtml","现代考虑推出捷恩斯G70旅行版车型")</f>
        <v>现代考虑推出捷恩斯G70旅行版车型</v>
      </c>
      <c r="C3101" s="2" t="s">
        <v>13</v>
      </c>
      <c r="D3101" s="2" t="s">
        <v>12</v>
      </c>
      <c r="E3101" s="2"/>
      <c r="F3101" s="2" t="str">
        <f>HYPERLINK("http://m.12365auto.com/xcdg/20200224/419373.shtml","http://m.12365auto.com/xcdg/20200224/419373.shtml")</f>
        <v>http://m.12365auto.com/xcdg/20200224/419373.shtml</v>
      </c>
      <c r="G3101" s="2"/>
      <c r="H3101" s="2" t="s">
        <v>4462</v>
      </c>
      <c r="I3101" s="2" t="s">
        <v>19</v>
      </c>
      <c r="J3101" s="2" t="s">
        <v>4456</v>
      </c>
      <c r="K3101" s="2" t="s">
        <v>4461</v>
      </c>
      <c r="L3101" s="2">
        <f t="shared" si="48"/>
        <v>150</v>
      </c>
    </row>
    <row r="3102" spans="1:12" ht="25" customHeight="1">
      <c r="A3102" s="2" t="s">
        <v>12</v>
      </c>
      <c r="B3102" s="2" t="str">
        <f>HYPERLINK("http://www.12365auto.com/news/20200224/419373.shtml","现代考虑推出捷恩斯G70旅行版车型")</f>
        <v>现代考虑推出捷恩斯G70旅行版车型</v>
      </c>
      <c r="C3102" s="2" t="s">
        <v>13</v>
      </c>
      <c r="D3102" s="2" t="s">
        <v>12</v>
      </c>
      <c r="E3102" s="2" t="s">
        <v>276</v>
      </c>
      <c r="F3102" s="2" t="str">
        <f>HYPERLINK("http://www.12365auto.com/news/20200224/419373.shtml","http://www.12365auto.com/news/20200224/419373.shtml")</f>
        <v>http://www.12365auto.com/news/20200224/419373.shtml</v>
      </c>
      <c r="G3102" s="2"/>
      <c r="H3102" s="2" t="s">
        <v>4463</v>
      </c>
      <c r="I3102" s="2" t="s">
        <v>15</v>
      </c>
      <c r="J3102" s="2" t="s">
        <v>12</v>
      </c>
      <c r="K3102" s="2" t="s">
        <v>4461</v>
      </c>
      <c r="L3102" s="2">
        <f t="shared" si="48"/>
        <v>150</v>
      </c>
    </row>
    <row r="3103" spans="1:12" ht="25" customHeight="1">
      <c r="A3103" s="2" t="s">
        <v>12</v>
      </c>
      <c r="B3103" s="2" t="str">
        <f>HYPERLINK("http://www.12365auto.com/xcdg/20200224/419372.shtml","续航605公里 长安E-Rock将4月正式上市")</f>
        <v>续航605公里 长安E-Rock将4月正式上市</v>
      </c>
      <c r="C3103" s="2" t="s">
        <v>13</v>
      </c>
      <c r="D3103" s="2" t="s">
        <v>12</v>
      </c>
      <c r="E3103" s="2" t="s">
        <v>245</v>
      </c>
      <c r="F3103" s="2" t="str">
        <f>HYPERLINK("http://www.12365auto.com/xcdg/20200224/419372.shtml","http://www.12365auto.com/xcdg/20200224/419372.shtml")</f>
        <v>http://www.12365auto.com/xcdg/20200224/419372.shtml</v>
      </c>
      <c r="G3103" s="2"/>
      <c r="H3103" s="2" t="s">
        <v>4464</v>
      </c>
      <c r="I3103" s="2" t="s">
        <v>19</v>
      </c>
      <c r="J3103" s="2" t="s">
        <v>12</v>
      </c>
      <c r="K3103" s="2" t="s">
        <v>4465</v>
      </c>
      <c r="L3103" s="2">
        <f t="shared" si="48"/>
        <v>150</v>
      </c>
    </row>
    <row r="3104" spans="1:12" ht="25" customHeight="1">
      <c r="A3104" s="2" t="s">
        <v>12</v>
      </c>
      <c r="B3104" s="2" t="str">
        <f>HYPERLINK("http://m.12365auto.com/xcdg/20200224/419372.shtml","续航605公里 长安E-Rock将4月正式上市")</f>
        <v>续航605公里 长安E-Rock将4月正式上市</v>
      </c>
      <c r="C3104" s="2" t="s">
        <v>13</v>
      </c>
      <c r="D3104" s="2" t="s">
        <v>12</v>
      </c>
      <c r="E3104" s="2"/>
      <c r="F3104" s="2" t="str">
        <f>HYPERLINK("http://m.12365auto.com/xcdg/20200224/419372.shtml","http://m.12365auto.com/xcdg/20200224/419372.shtml")</f>
        <v>http://m.12365auto.com/xcdg/20200224/419372.shtml</v>
      </c>
      <c r="G3104" s="2"/>
      <c r="H3104" s="2" t="s">
        <v>4466</v>
      </c>
      <c r="I3104" s="2" t="s">
        <v>19</v>
      </c>
      <c r="J3104" s="2" t="s">
        <v>4467</v>
      </c>
      <c r="K3104" s="2" t="s">
        <v>4465</v>
      </c>
      <c r="L3104" s="2">
        <f t="shared" si="48"/>
        <v>150</v>
      </c>
    </row>
    <row r="3105" spans="1:12" ht="25" customHeight="1">
      <c r="A3105" s="2" t="s">
        <v>12</v>
      </c>
      <c r="B3105" s="2" t="str">
        <f>HYPERLINK("http://www.12365auto.com/zlts/20200224/448455.shtml","上汽大众途岳发动机舱共振希望尽快处理")</f>
        <v>上汽大众途岳发动机舱共振希望尽快处理</v>
      </c>
      <c r="C3105" s="2" t="s">
        <v>13</v>
      </c>
      <c r="D3105" s="2" t="s">
        <v>12</v>
      </c>
      <c r="E3105" s="2" t="s">
        <v>17</v>
      </c>
      <c r="F3105" s="2" t="str">
        <f>HYPERLINK("http://www.12365auto.com/zlts/20200224/448455.shtml","http://www.12365auto.com/zlts/20200224/448455.shtml")</f>
        <v>http://www.12365auto.com/zlts/20200224/448455.shtml</v>
      </c>
      <c r="G3105" s="2"/>
      <c r="H3105" s="2" t="s">
        <v>4468</v>
      </c>
      <c r="I3105" s="2" t="s">
        <v>19</v>
      </c>
      <c r="J3105" s="2" t="s">
        <v>12</v>
      </c>
      <c r="K3105" s="2" t="s">
        <v>4469</v>
      </c>
      <c r="L3105" s="2">
        <f t="shared" si="48"/>
        <v>150</v>
      </c>
    </row>
    <row r="3106" spans="1:12" ht="25" customHeight="1">
      <c r="A3106" s="2" t="s">
        <v>12</v>
      </c>
      <c r="B3106" s="2" t="s">
        <v>4470</v>
      </c>
      <c r="C3106" s="2" t="s">
        <v>13</v>
      </c>
      <c r="D3106" s="2" t="s">
        <v>12</v>
      </c>
      <c r="E3106" s="2" t="s">
        <v>216</v>
      </c>
      <c r="F3106" s="2" t="str">
        <f>HYPERLINK("http://www.12365auto.com/xcdg/20200224/419371.shtml","http://www.12365auto.com/xcdg/20200224/419371.shtml")</f>
        <v>http://www.12365auto.com/xcdg/20200224/419371.shtml</v>
      </c>
      <c r="G3106" s="2"/>
      <c r="H3106" s="2" t="s">
        <v>4471</v>
      </c>
      <c r="I3106" s="2" t="s">
        <v>15</v>
      </c>
      <c r="J3106" s="2" t="s">
        <v>12</v>
      </c>
      <c r="K3106" s="2" t="s">
        <v>4472</v>
      </c>
      <c r="L3106" s="2">
        <f t="shared" si="48"/>
        <v>150</v>
      </c>
    </row>
    <row r="3107" spans="1:12" ht="25" customHeight="1">
      <c r="A3107" s="2" t="s">
        <v>12</v>
      </c>
      <c r="B3107" s="2" t="s">
        <v>4470</v>
      </c>
      <c r="C3107" s="2" t="s">
        <v>13</v>
      </c>
      <c r="D3107" s="2" t="s">
        <v>12</v>
      </c>
      <c r="E3107" s="2"/>
      <c r="F3107" s="2" t="str">
        <f>HYPERLINK("http://m.12365auto.com/xcdg/20200224/419371.shtml","http://m.12365auto.com/xcdg/20200224/419371.shtml")</f>
        <v>http://m.12365auto.com/xcdg/20200224/419371.shtml</v>
      </c>
      <c r="G3107" s="2"/>
      <c r="H3107" s="2" t="s">
        <v>4473</v>
      </c>
      <c r="I3107" s="2" t="s">
        <v>19</v>
      </c>
      <c r="J3107" s="2" t="s">
        <v>1558</v>
      </c>
      <c r="K3107" s="2" t="s">
        <v>4472</v>
      </c>
      <c r="L3107" s="2">
        <f t="shared" si="48"/>
        <v>150</v>
      </c>
    </row>
    <row r="3108" spans="1:12" ht="25" customHeight="1">
      <c r="A3108" s="2" t="s">
        <v>12</v>
      </c>
      <c r="B3108" s="2" t="str">
        <f>HYPERLINK("http://www.12365auto.com/xcdg/20200224/419370.shtml","有钱没准能定制 双门凯雷德假想图发布")</f>
        <v>有钱没准能定制 双门凯雷德假想图发布</v>
      </c>
      <c r="C3108" s="2" t="s">
        <v>13</v>
      </c>
      <c r="D3108" s="2" t="s">
        <v>12</v>
      </c>
      <c r="E3108" s="2" t="s">
        <v>216</v>
      </c>
      <c r="F3108" s="2" t="str">
        <f>HYPERLINK("http://www.12365auto.com/xcdg/20200224/419370.shtml","http://www.12365auto.com/xcdg/20200224/419370.shtml")</f>
        <v>http://www.12365auto.com/xcdg/20200224/419370.shtml</v>
      </c>
      <c r="G3108" s="2"/>
      <c r="H3108" s="2" t="s">
        <v>4474</v>
      </c>
      <c r="I3108" s="2" t="s">
        <v>15</v>
      </c>
      <c r="J3108" s="2" t="s">
        <v>12</v>
      </c>
      <c r="K3108" s="2" t="s">
        <v>4475</v>
      </c>
      <c r="L3108" s="2">
        <f t="shared" si="48"/>
        <v>150</v>
      </c>
    </row>
    <row r="3109" spans="1:12" ht="25" customHeight="1">
      <c r="A3109" s="2" t="s">
        <v>12</v>
      </c>
      <c r="B3109" s="2" t="str">
        <f>HYPERLINK("http://m.12365auto.com/xcdg/20200224/419370.shtml","有钱没准能定制 双门凯雷德假想图发布")</f>
        <v>有钱没准能定制 双门凯雷德假想图发布</v>
      </c>
      <c r="C3109" s="2" t="s">
        <v>13</v>
      </c>
      <c r="D3109" s="2" t="s">
        <v>12</v>
      </c>
      <c r="E3109" s="2"/>
      <c r="F3109" s="2" t="str">
        <f>HYPERLINK("http://m.12365auto.com/xcdg/20200224/419370.shtml","http://m.12365auto.com/xcdg/20200224/419370.shtml")</f>
        <v>http://m.12365auto.com/xcdg/20200224/419370.shtml</v>
      </c>
      <c r="G3109" s="2"/>
      <c r="H3109" s="2" t="s">
        <v>4476</v>
      </c>
      <c r="I3109" s="2" t="s">
        <v>19</v>
      </c>
      <c r="J3109" s="2" t="s">
        <v>1558</v>
      </c>
      <c r="K3109" s="2" t="s">
        <v>4475</v>
      </c>
      <c r="L3109" s="2">
        <f t="shared" si="48"/>
        <v>150</v>
      </c>
    </row>
    <row r="3110" spans="1:12" ht="25" customHeight="1">
      <c r="A3110" s="2" t="s">
        <v>12</v>
      </c>
      <c r="B3110" s="2" t="str">
        <f>HYPERLINK("http://www.12365auto.com/xcdg/20200224/419369.shtml","一口气400km无人驾驶 几何C公布申报信息")</f>
        <v>一口气400km无人驾驶 几何C公布申报信息</v>
      </c>
      <c r="C3110" s="2" t="s">
        <v>13</v>
      </c>
      <c r="D3110" s="2" t="s">
        <v>12</v>
      </c>
      <c r="E3110" s="2" t="s">
        <v>216</v>
      </c>
      <c r="F3110" s="2" t="str">
        <f>HYPERLINK("http://www.12365auto.com/xcdg/20200224/419369.shtml","http://www.12365auto.com/xcdg/20200224/419369.shtml")</f>
        <v>http://www.12365auto.com/xcdg/20200224/419369.shtml</v>
      </c>
      <c r="G3110" s="2"/>
      <c r="H3110" s="2" t="s">
        <v>4477</v>
      </c>
      <c r="I3110" s="2" t="s">
        <v>15</v>
      </c>
      <c r="J3110" s="2" t="s">
        <v>12</v>
      </c>
      <c r="K3110" s="2" t="s">
        <v>4478</v>
      </c>
      <c r="L3110" s="2">
        <f t="shared" si="48"/>
        <v>150</v>
      </c>
    </row>
    <row r="3111" spans="1:12" ht="25" customHeight="1">
      <c r="A3111" s="2" t="s">
        <v>12</v>
      </c>
      <c r="B3111" s="2" t="str">
        <f>HYPERLINK("http://m.12365auto.com/xcdg/20200224/419369.shtml","一口气400km无人驾驶 几何C公布申报信息")</f>
        <v>一口气400km无人驾驶 几何C公布申报信息</v>
      </c>
      <c r="C3111" s="2" t="s">
        <v>13</v>
      </c>
      <c r="D3111" s="2" t="s">
        <v>12</v>
      </c>
      <c r="E3111" s="2"/>
      <c r="F3111" s="2" t="str">
        <f>HYPERLINK("http://m.12365auto.com/xcdg/20200224/419369.shtml","http://m.12365auto.com/xcdg/20200224/419369.shtml")</f>
        <v>http://m.12365auto.com/xcdg/20200224/419369.shtml</v>
      </c>
      <c r="G3111" s="2"/>
      <c r="H3111" s="2" t="s">
        <v>4479</v>
      </c>
      <c r="I3111" s="2" t="s">
        <v>19</v>
      </c>
      <c r="J3111" s="2" t="s">
        <v>1558</v>
      </c>
      <c r="K3111" s="2" t="s">
        <v>4478</v>
      </c>
      <c r="L3111" s="2">
        <f t="shared" si="48"/>
        <v>150</v>
      </c>
    </row>
    <row r="3112" spans="1:12" ht="25" customHeight="1">
      <c r="A3112" s="2" t="s">
        <v>12</v>
      </c>
      <c r="B3112" s="2" t="str">
        <f>HYPERLINK("http://www.12365auto.com/xcdg/20200224/419368.shtml","未发布即售罄 帕加尼Huayra Imola发布")</f>
        <v>未发布即售罄 帕加尼Huayra Imola发布</v>
      </c>
      <c r="C3112" s="2" t="s">
        <v>13</v>
      </c>
      <c r="D3112" s="2" t="s">
        <v>12</v>
      </c>
      <c r="E3112" s="2" t="s">
        <v>216</v>
      </c>
      <c r="F3112" s="2" t="str">
        <f>HYPERLINK("http://www.12365auto.com/xcdg/20200224/419368.shtml","http://www.12365auto.com/xcdg/20200224/419368.shtml")</f>
        <v>http://www.12365auto.com/xcdg/20200224/419368.shtml</v>
      </c>
      <c r="G3112" s="2"/>
      <c r="H3112" s="2" t="s">
        <v>4480</v>
      </c>
      <c r="I3112" s="2" t="s">
        <v>15</v>
      </c>
      <c r="J3112" s="2" t="s">
        <v>12</v>
      </c>
      <c r="K3112" s="2" t="s">
        <v>4481</v>
      </c>
      <c r="L3112" s="2">
        <f t="shared" si="48"/>
        <v>150</v>
      </c>
    </row>
    <row r="3113" spans="1:12" ht="25" customHeight="1">
      <c r="A3113" s="2" t="s">
        <v>12</v>
      </c>
      <c r="B3113" s="2" t="str">
        <f>HYPERLINK("http://m.12365auto.com/xcdg/20200224/419368.shtml","未发布即售罄 帕加尼Huayra Imola发布")</f>
        <v>未发布即售罄 帕加尼Huayra Imola发布</v>
      </c>
      <c r="C3113" s="2" t="s">
        <v>13</v>
      </c>
      <c r="D3113" s="2" t="s">
        <v>12</v>
      </c>
      <c r="E3113" s="2"/>
      <c r="F3113" s="2" t="str">
        <f>HYPERLINK("http://m.12365auto.com/xcdg/20200224/419368.shtml","http://m.12365auto.com/xcdg/20200224/419368.shtml")</f>
        <v>http://m.12365auto.com/xcdg/20200224/419368.shtml</v>
      </c>
      <c r="G3113" s="2"/>
      <c r="H3113" s="2" t="s">
        <v>4482</v>
      </c>
      <c r="I3113" s="2" t="s">
        <v>19</v>
      </c>
      <c r="J3113" s="2" t="s">
        <v>1558</v>
      </c>
      <c r="K3113" s="2" t="s">
        <v>4481</v>
      </c>
      <c r="L3113" s="2">
        <f t="shared" si="48"/>
        <v>150</v>
      </c>
    </row>
    <row r="3114" spans="1:12" ht="25" customHeight="1">
      <c r="A3114" s="2" t="s">
        <v>12</v>
      </c>
      <c r="B3114" s="2" t="str">
        <f>HYPERLINK("http://www.12365auto.com/xcdg/20200224/419367.shtml","基本照搬概念车 现代全新电动紧凑SUV曝光")</f>
        <v>基本照搬概念车 现代全新电动紧凑SUV曝光</v>
      </c>
      <c r="C3114" s="2" t="s">
        <v>13</v>
      </c>
      <c r="D3114" s="2" t="s">
        <v>12</v>
      </c>
      <c r="E3114" s="2" t="s">
        <v>224</v>
      </c>
      <c r="F3114" s="2" t="str">
        <f>HYPERLINK("http://www.12365auto.com/xcdg/20200224/419367.shtml","http://www.12365auto.com/xcdg/20200224/419367.shtml")</f>
        <v>http://www.12365auto.com/xcdg/20200224/419367.shtml</v>
      </c>
      <c r="G3114" s="2"/>
      <c r="H3114" s="2" t="s">
        <v>4483</v>
      </c>
      <c r="I3114" s="2" t="s">
        <v>15</v>
      </c>
      <c r="J3114" s="2" t="s">
        <v>12</v>
      </c>
      <c r="K3114" s="2" t="s">
        <v>4484</v>
      </c>
      <c r="L3114" s="2">
        <f t="shared" si="48"/>
        <v>150</v>
      </c>
    </row>
    <row r="3115" spans="1:12" ht="25" customHeight="1">
      <c r="A3115" s="2" t="s">
        <v>12</v>
      </c>
      <c r="B3115" s="2" t="str">
        <f>HYPERLINK("http://m.12365auto.com/xcdg/20200224/419367.shtml","基本照搬概念车 现代全新电动紧凑SUV曝光")</f>
        <v>基本照搬概念车 现代全新电动紧凑SUV曝光</v>
      </c>
      <c r="C3115" s="2" t="s">
        <v>13</v>
      </c>
      <c r="D3115" s="2" t="s">
        <v>12</v>
      </c>
      <c r="E3115" s="2"/>
      <c r="F3115" s="2" t="str">
        <f>HYPERLINK("http://m.12365auto.com/xcdg/20200224/419367.shtml","http://m.12365auto.com/xcdg/20200224/419367.shtml")</f>
        <v>http://m.12365auto.com/xcdg/20200224/419367.shtml</v>
      </c>
      <c r="G3115" s="2"/>
      <c r="H3115" s="2" t="s">
        <v>4485</v>
      </c>
      <c r="I3115" s="2" t="s">
        <v>19</v>
      </c>
      <c r="J3115" s="2" t="s">
        <v>1558</v>
      </c>
      <c r="K3115" s="2" t="s">
        <v>4484</v>
      </c>
      <c r="L3115" s="2">
        <f t="shared" si="48"/>
        <v>150</v>
      </c>
    </row>
    <row r="3116" spans="1:12" ht="25" customHeight="1">
      <c r="A3116" s="2" t="s">
        <v>12</v>
      </c>
      <c r="B3116" s="2" t="str">
        <f>HYPERLINK("http://www.12365auto.com/xcdg/20200224/419366.shtml","最大续航超600公里 荣威Ei6新信息曝光")</f>
        <v>最大续航超600公里 荣威Ei6新信息曝光</v>
      </c>
      <c r="C3116" s="2" t="s">
        <v>13</v>
      </c>
      <c r="D3116" s="2" t="s">
        <v>12</v>
      </c>
      <c r="E3116" s="2" t="s">
        <v>245</v>
      </c>
      <c r="F3116" s="2" t="str">
        <f>HYPERLINK("http://www.12365auto.com/xcdg/20200224/419366.shtml","http://www.12365auto.com/xcdg/20200224/419366.shtml")</f>
        <v>http://www.12365auto.com/xcdg/20200224/419366.shtml</v>
      </c>
      <c r="G3116" s="2"/>
      <c r="H3116" s="2" t="s">
        <v>4486</v>
      </c>
      <c r="I3116" s="2" t="s">
        <v>19</v>
      </c>
      <c r="J3116" s="2" t="s">
        <v>12</v>
      </c>
      <c r="K3116" s="2" t="s">
        <v>4487</v>
      </c>
      <c r="L3116" s="2">
        <f t="shared" si="48"/>
        <v>150</v>
      </c>
    </row>
    <row r="3117" spans="1:12" ht="25" customHeight="1">
      <c r="A3117" s="2" t="s">
        <v>12</v>
      </c>
      <c r="B3117" s="2" t="str">
        <f>HYPERLINK("http://m.12365auto.com/xcdg/20200224/419366.shtml","最大续航超600公里 荣威Ei6新信息曝光")</f>
        <v>最大续航超600公里 荣威Ei6新信息曝光</v>
      </c>
      <c r="C3117" s="2" t="s">
        <v>13</v>
      </c>
      <c r="D3117" s="2" t="s">
        <v>12</v>
      </c>
      <c r="E3117" s="2"/>
      <c r="F3117" s="2" t="str">
        <f>HYPERLINK("http://m.12365auto.com/xcdg/20200224/419366.shtml","http://m.12365auto.com/xcdg/20200224/419366.shtml")</f>
        <v>http://m.12365auto.com/xcdg/20200224/419366.shtml</v>
      </c>
      <c r="G3117" s="2"/>
      <c r="H3117" s="2" t="s">
        <v>4488</v>
      </c>
      <c r="I3117" s="2" t="s">
        <v>19</v>
      </c>
      <c r="J3117" s="2" t="s">
        <v>1558</v>
      </c>
      <c r="K3117" s="2" t="s">
        <v>4487</v>
      </c>
      <c r="L3117" s="2">
        <f t="shared" si="48"/>
        <v>150</v>
      </c>
    </row>
    <row r="3118" spans="1:12" ht="25" customHeight="1">
      <c r="A3118" s="2" t="s">
        <v>12</v>
      </c>
      <c r="B3118" s="2" t="str">
        <f>HYPERLINK("http://www.12365auto.com/xcdg/20200224/419365.shtml","新平台/新动力 菲亚特Strada下月将预定")</f>
        <v>新平台/新动力 菲亚特Strada下月将预定</v>
      </c>
      <c r="C3118" s="2" t="s">
        <v>13</v>
      </c>
      <c r="D3118" s="2" t="s">
        <v>12</v>
      </c>
      <c r="E3118" s="2" t="s">
        <v>245</v>
      </c>
      <c r="F3118" s="2" t="str">
        <f>HYPERLINK("http://www.12365auto.com/xcdg/20200224/419365.shtml","http://www.12365auto.com/xcdg/20200224/419365.shtml")</f>
        <v>http://www.12365auto.com/xcdg/20200224/419365.shtml</v>
      </c>
      <c r="G3118" s="2"/>
      <c r="H3118" s="2" t="s">
        <v>4489</v>
      </c>
      <c r="I3118" s="2" t="s">
        <v>19</v>
      </c>
      <c r="J3118" s="2" t="s">
        <v>12</v>
      </c>
      <c r="K3118" s="2" t="s">
        <v>4490</v>
      </c>
      <c r="L3118" s="2">
        <f t="shared" si="48"/>
        <v>150</v>
      </c>
    </row>
    <row r="3119" spans="1:12" ht="25" customHeight="1">
      <c r="A3119" s="2" t="s">
        <v>12</v>
      </c>
      <c r="B3119" s="2" t="str">
        <f>HYPERLINK("http://m.12365auto.com/xcdg/20200224/419365.shtml","新平台/新动力 菲亚特Strada下月将预定")</f>
        <v>新平台/新动力 菲亚特Strada下月将预定</v>
      </c>
      <c r="C3119" s="2" t="s">
        <v>13</v>
      </c>
      <c r="D3119" s="2" t="s">
        <v>12</v>
      </c>
      <c r="E3119" s="2"/>
      <c r="F3119" s="2" t="str">
        <f>HYPERLINK("http://m.12365auto.com/xcdg/20200224/419365.shtml","http://m.12365auto.com/xcdg/20200224/419365.shtml")</f>
        <v>http://m.12365auto.com/xcdg/20200224/419365.shtml</v>
      </c>
      <c r="G3119" s="2"/>
      <c r="H3119" s="2" t="s">
        <v>4491</v>
      </c>
      <c r="I3119" s="2" t="s">
        <v>19</v>
      </c>
      <c r="J3119" s="2" t="s">
        <v>1558</v>
      </c>
      <c r="K3119" s="2" t="s">
        <v>4490</v>
      </c>
      <c r="L3119" s="2">
        <f t="shared" si="48"/>
        <v>150</v>
      </c>
    </row>
    <row r="3120" spans="1:12" ht="25" customHeight="1">
      <c r="A3120" s="2" t="s">
        <v>12</v>
      </c>
      <c r="B3120" s="2" t="str">
        <f>HYPERLINK("http://www.12365auto.com/xcdg/20200224/419364.shtml","明明可以靠颜值 全新一代现代i20详解")</f>
        <v>明明可以靠颜值 全新一代现代i20详解</v>
      </c>
      <c r="C3120" s="2" t="s">
        <v>13</v>
      </c>
      <c r="D3120" s="2" t="s">
        <v>12</v>
      </c>
      <c r="E3120" s="2" t="s">
        <v>245</v>
      </c>
      <c r="F3120" s="2" t="str">
        <f>HYPERLINK("http://www.12365auto.com/xcdg/20200224/419364.shtml","http://www.12365auto.com/xcdg/20200224/419364.shtml")</f>
        <v>http://www.12365auto.com/xcdg/20200224/419364.shtml</v>
      </c>
      <c r="G3120" s="2"/>
      <c r="H3120" s="2" t="s">
        <v>4492</v>
      </c>
      <c r="I3120" s="2" t="s">
        <v>19</v>
      </c>
      <c r="J3120" s="2" t="s">
        <v>12</v>
      </c>
      <c r="K3120" s="2" t="s">
        <v>4493</v>
      </c>
      <c r="L3120" s="2">
        <f t="shared" si="48"/>
        <v>150</v>
      </c>
    </row>
    <row r="3121" spans="1:12" ht="25" customHeight="1">
      <c r="A3121" s="2" t="s">
        <v>12</v>
      </c>
      <c r="B3121" s="2" t="str">
        <f>HYPERLINK("http://m.12365auto.com/xcdg/20200224/419364.shtml","明明可以靠颜值 全新一代现代i20详解")</f>
        <v>明明可以靠颜值 全新一代现代i20详解</v>
      </c>
      <c r="C3121" s="2" t="s">
        <v>13</v>
      </c>
      <c r="D3121" s="2" t="s">
        <v>12</v>
      </c>
      <c r="E3121" s="2"/>
      <c r="F3121" s="2" t="str">
        <f>HYPERLINK("http://m.12365auto.com/xcdg/20200224/419364.shtml","http://m.12365auto.com/xcdg/20200224/419364.shtml")</f>
        <v>http://m.12365auto.com/xcdg/20200224/419364.shtml</v>
      </c>
      <c r="G3121" s="2"/>
      <c r="H3121" s="2" t="s">
        <v>4494</v>
      </c>
      <c r="I3121" s="2" t="s">
        <v>19</v>
      </c>
      <c r="J3121" s="2" t="s">
        <v>4495</v>
      </c>
      <c r="K3121" s="2" t="s">
        <v>4493</v>
      </c>
      <c r="L3121" s="2">
        <f t="shared" si="48"/>
        <v>150</v>
      </c>
    </row>
    <row r="3122" spans="1:12" ht="25" customHeight="1">
      <c r="A3122" s="2" t="s">
        <v>12</v>
      </c>
      <c r="B3122" s="2" t="str">
        <f>HYPERLINK("http://www.12365auto.com/xcdg/20200224/419363.shtml","有四驱也有混动 丰田全新B-SUV将3月亮相")</f>
        <v>有四驱也有混动 丰田全新B-SUV将3月亮相</v>
      </c>
      <c r="C3122" s="2" t="s">
        <v>13</v>
      </c>
      <c r="D3122" s="2" t="s">
        <v>12</v>
      </c>
      <c r="E3122" s="2" t="s">
        <v>245</v>
      </c>
      <c r="F3122" s="2" t="str">
        <f>HYPERLINK("http://www.12365auto.com/xcdg/20200224/419363.shtml","http://www.12365auto.com/xcdg/20200224/419363.shtml")</f>
        <v>http://www.12365auto.com/xcdg/20200224/419363.shtml</v>
      </c>
      <c r="G3122" s="2"/>
      <c r="H3122" s="2" t="s">
        <v>4496</v>
      </c>
      <c r="I3122" s="2" t="s">
        <v>19</v>
      </c>
      <c r="J3122" s="2" t="s">
        <v>12</v>
      </c>
      <c r="K3122" s="2" t="s">
        <v>4497</v>
      </c>
      <c r="L3122" s="2">
        <f t="shared" si="48"/>
        <v>150</v>
      </c>
    </row>
    <row r="3123" spans="1:12" ht="25" customHeight="1">
      <c r="A3123" s="2" t="s">
        <v>12</v>
      </c>
      <c r="B3123" s="2" t="str">
        <f>HYPERLINK("http://m.12365auto.com/xcdg/20200224/419363.shtml","有四驱也有混动 丰田全新B-SUV将3月亮相")</f>
        <v>有四驱也有混动 丰田全新B-SUV将3月亮相</v>
      </c>
      <c r="C3123" s="2" t="s">
        <v>13</v>
      </c>
      <c r="D3123" s="2" t="s">
        <v>12</v>
      </c>
      <c r="E3123" s="2"/>
      <c r="F3123" s="2" t="str">
        <f>HYPERLINK("http://m.12365auto.com/xcdg/20200224/419363.shtml","http://m.12365auto.com/xcdg/20200224/419363.shtml")</f>
        <v>http://m.12365auto.com/xcdg/20200224/419363.shtml</v>
      </c>
      <c r="G3123" s="2"/>
      <c r="H3123" s="2" t="s">
        <v>4498</v>
      </c>
      <c r="I3123" s="2" t="s">
        <v>19</v>
      </c>
      <c r="J3123" s="2" t="s">
        <v>1558</v>
      </c>
      <c r="K3123" s="2" t="s">
        <v>4497</v>
      </c>
      <c r="L3123" s="2">
        <f t="shared" si="48"/>
        <v>150</v>
      </c>
    </row>
    <row r="3124" spans="1:12" ht="25" customHeight="1">
      <c r="A3124" s="2" t="s">
        <v>12</v>
      </c>
      <c r="B3124" s="2" t="str">
        <f>HYPERLINK("http://www.12365auto.com/xcdg/20200224/419362.shtml","新款思域Type R价格轻微上涨 年春季美国上市")</f>
        <v>新款思域Type R价格轻微上涨 年春季美国上市</v>
      </c>
      <c r="C3124" s="2" t="s">
        <v>13</v>
      </c>
      <c r="D3124" s="2" t="s">
        <v>12</v>
      </c>
      <c r="E3124" s="2" t="s">
        <v>245</v>
      </c>
      <c r="F3124" s="2" t="str">
        <f>HYPERLINK("http://www.12365auto.com/xcdg/20200224/419362.shtml","http://www.12365auto.com/xcdg/20200224/419362.shtml")</f>
        <v>http://www.12365auto.com/xcdg/20200224/419362.shtml</v>
      </c>
      <c r="G3124" s="2"/>
      <c r="H3124" s="2" t="s">
        <v>4499</v>
      </c>
      <c r="I3124" s="2" t="s">
        <v>19</v>
      </c>
      <c r="J3124" s="2" t="s">
        <v>12</v>
      </c>
      <c r="K3124" s="2" t="s">
        <v>4500</v>
      </c>
      <c r="L3124" s="2">
        <f t="shared" si="48"/>
        <v>150</v>
      </c>
    </row>
    <row r="3125" spans="1:12" ht="25" customHeight="1">
      <c r="A3125" s="2" t="s">
        <v>12</v>
      </c>
      <c r="B3125" s="2" t="str">
        <f>HYPERLINK("http://m.12365auto.com/xcdg/20200224/419362.shtml","新款思域Type R价格轻微上涨 年春季美国上市")</f>
        <v>新款思域Type R价格轻微上涨 年春季美国上市</v>
      </c>
      <c r="C3125" s="2" t="s">
        <v>13</v>
      </c>
      <c r="D3125" s="2" t="s">
        <v>12</v>
      </c>
      <c r="E3125" s="2"/>
      <c r="F3125" s="2" t="str">
        <f>HYPERLINK("http://m.12365auto.com/xcdg/20200224/419362.shtml","http://m.12365auto.com/xcdg/20200224/419362.shtml")</f>
        <v>http://m.12365auto.com/xcdg/20200224/419362.shtml</v>
      </c>
      <c r="G3125" s="2"/>
      <c r="H3125" s="2" t="s">
        <v>4501</v>
      </c>
      <c r="I3125" s="2" t="s">
        <v>19</v>
      </c>
      <c r="J3125" s="2" t="s">
        <v>4502</v>
      </c>
      <c r="K3125" s="2" t="s">
        <v>4500</v>
      </c>
      <c r="L3125" s="2">
        <f t="shared" si="48"/>
        <v>150</v>
      </c>
    </row>
    <row r="3126" spans="1:12" ht="25" customHeight="1">
      <c r="A3126" s="2" t="s">
        <v>12</v>
      </c>
      <c r="B3126" s="2" t="str">
        <f>HYPERLINK("http://www.12365auto.com/zlts/20200224/448451.shtml","维修之后发现后面悬挂件变形不处理")</f>
        <v>维修之后发现后面悬挂件变形不处理</v>
      </c>
      <c r="C3126" s="2" t="s">
        <v>13</v>
      </c>
      <c r="D3126" s="2" t="s">
        <v>12</v>
      </c>
      <c r="E3126" s="2"/>
      <c r="F3126" s="2" t="str">
        <f>HYPERLINK("http://www.12365auto.com/zlts/20200224/448451.shtml","http://www.12365auto.com/zlts/20200224/448451.shtml")</f>
        <v>http://www.12365auto.com/zlts/20200224/448451.shtml</v>
      </c>
      <c r="G3126" s="2"/>
      <c r="H3126" s="3" t="s">
        <v>4503</v>
      </c>
      <c r="I3126" s="2" t="s">
        <v>15</v>
      </c>
      <c r="J3126" s="2" t="s">
        <v>12</v>
      </c>
      <c r="K3126" s="2" t="s">
        <v>4504</v>
      </c>
      <c r="L3126" s="2">
        <f t="shared" si="48"/>
        <v>112</v>
      </c>
    </row>
    <row r="3127" spans="1:12" ht="25" customHeight="1">
      <c r="A3127" s="2" t="s">
        <v>12</v>
      </c>
      <c r="B3127" s="2" t="str">
        <f>HYPERLINK("http://www.12365auto.com/xcdg/20200224/419361.shtml","Model Y美国EPA成绩曝光 续航超500km")</f>
        <v>Model Y美国EPA成绩曝光 续航超500km</v>
      </c>
      <c r="C3127" s="2" t="s">
        <v>13</v>
      </c>
      <c r="D3127" s="2" t="s">
        <v>12</v>
      </c>
      <c r="E3127" s="2" t="s">
        <v>245</v>
      </c>
      <c r="F3127" s="2" t="str">
        <f>HYPERLINK("http://www.12365auto.com/xcdg/20200224/419361.shtml","http://www.12365auto.com/xcdg/20200224/419361.shtml")</f>
        <v>http://www.12365auto.com/xcdg/20200224/419361.shtml</v>
      </c>
      <c r="G3127" s="2"/>
      <c r="H3127" s="2" t="s">
        <v>4505</v>
      </c>
      <c r="I3127" s="2" t="s">
        <v>19</v>
      </c>
      <c r="J3127" s="2" t="s">
        <v>12</v>
      </c>
      <c r="K3127" s="2" t="s">
        <v>4506</v>
      </c>
      <c r="L3127" s="2">
        <f t="shared" si="48"/>
        <v>150</v>
      </c>
    </row>
    <row r="3128" spans="1:12" ht="25" customHeight="1">
      <c r="A3128" s="2" t="s">
        <v>12</v>
      </c>
      <c r="B3128" s="2" t="str">
        <f>HYPERLINK("http://m.12365auto.com/xcdg/20200224/419361.shtml","Model Y美国EPA成绩曝光 续航超500km")</f>
        <v>Model Y美国EPA成绩曝光 续航超500km</v>
      </c>
      <c r="C3128" s="2" t="s">
        <v>13</v>
      </c>
      <c r="D3128" s="2" t="s">
        <v>12</v>
      </c>
      <c r="E3128" s="2"/>
      <c r="F3128" s="2" t="str">
        <f>HYPERLINK("http://m.12365auto.com/xcdg/20200224/419361.shtml","http://m.12365auto.com/xcdg/20200224/419361.shtml")</f>
        <v>http://m.12365auto.com/xcdg/20200224/419361.shtml</v>
      </c>
      <c r="G3128" s="2"/>
      <c r="H3128" s="2" t="s">
        <v>4507</v>
      </c>
      <c r="I3128" s="2" t="s">
        <v>19</v>
      </c>
      <c r="J3128" s="2" t="s">
        <v>4508</v>
      </c>
      <c r="K3128" s="2" t="s">
        <v>4506</v>
      </c>
      <c r="L3128" s="2">
        <f t="shared" si="48"/>
        <v>150</v>
      </c>
    </row>
    <row r="3129" spans="1:12" ht="25" customHeight="1">
      <c r="A3129" s="2" t="s">
        <v>12</v>
      </c>
      <c r="B3129" s="2" t="str">
        <f>HYPERLINK("http://www.12365auto.com/zlts/20200224/448450.shtml","猎豹CS10方向机异响厂家不提供配件")</f>
        <v>猎豹CS10方向机异响厂家不提供配件</v>
      </c>
      <c r="C3129" s="2" t="s">
        <v>13</v>
      </c>
      <c r="D3129" s="2" t="s">
        <v>12</v>
      </c>
      <c r="E3129" s="2" t="s">
        <v>17</v>
      </c>
      <c r="F3129" s="2" t="str">
        <f>HYPERLINK("http://www.12365auto.com/zlts/20200224/448450.shtml","http://www.12365auto.com/zlts/20200224/448450.shtml")</f>
        <v>http://www.12365auto.com/zlts/20200224/448450.shtml</v>
      </c>
      <c r="G3129" s="2"/>
      <c r="H3129" s="2" t="s">
        <v>4509</v>
      </c>
      <c r="I3129" s="2" t="s">
        <v>19</v>
      </c>
      <c r="J3129" s="2" t="s">
        <v>12</v>
      </c>
      <c r="K3129" s="2" t="s">
        <v>4510</v>
      </c>
      <c r="L3129" s="2">
        <f t="shared" si="48"/>
        <v>150</v>
      </c>
    </row>
    <row r="3130" spans="1:12" ht="25" customHeight="1">
      <c r="A3130" s="2" t="s">
        <v>12</v>
      </c>
      <c r="B3130" s="2" t="str">
        <f>HYPERLINK("http://www.12365auto.com/xcdg/20200224/419360.shtml","新款现代i30动力曝光 将于日内瓦车展首发")</f>
        <v>新款现代i30动力曝光 将于日内瓦车展首发</v>
      </c>
      <c r="C3130" s="2" t="s">
        <v>13</v>
      </c>
      <c r="D3130" s="2" t="s">
        <v>12</v>
      </c>
      <c r="E3130" s="2" t="s">
        <v>216</v>
      </c>
      <c r="F3130" s="2" t="str">
        <f>HYPERLINK("http://www.12365auto.com/xcdg/20200224/419360.shtml","http://www.12365auto.com/xcdg/20200224/419360.shtml")</f>
        <v>http://www.12365auto.com/xcdg/20200224/419360.shtml</v>
      </c>
      <c r="G3130" s="2"/>
      <c r="H3130" s="2" t="s">
        <v>4511</v>
      </c>
      <c r="I3130" s="2" t="s">
        <v>15</v>
      </c>
      <c r="J3130" s="2" t="s">
        <v>12</v>
      </c>
      <c r="K3130" s="2" t="s">
        <v>4512</v>
      </c>
      <c r="L3130" s="2">
        <f t="shared" si="48"/>
        <v>150</v>
      </c>
    </row>
    <row r="3131" spans="1:12" ht="25" customHeight="1">
      <c r="A3131" s="2" t="s">
        <v>12</v>
      </c>
      <c r="B3131" s="2" t="str">
        <f>HYPERLINK("http://m.12365auto.com/xcdg/20200224/419360.shtml","新款现代i30动力曝光 将于日内瓦车展首发")</f>
        <v>新款现代i30动力曝光 将于日内瓦车展首发</v>
      </c>
      <c r="C3131" s="2" t="s">
        <v>13</v>
      </c>
      <c r="D3131" s="2" t="s">
        <v>12</v>
      </c>
      <c r="E3131" s="2"/>
      <c r="F3131" s="2" t="str">
        <f>HYPERLINK("http://m.12365auto.com/xcdg/20200224/419360.shtml","http://m.12365auto.com/xcdg/20200224/419360.shtml")</f>
        <v>http://m.12365auto.com/xcdg/20200224/419360.shtml</v>
      </c>
      <c r="G3131" s="2"/>
      <c r="H3131" s="2" t="s">
        <v>4513</v>
      </c>
      <c r="I3131" s="2" t="s">
        <v>19</v>
      </c>
      <c r="J3131" s="2" t="s">
        <v>4514</v>
      </c>
      <c r="K3131" s="2" t="s">
        <v>4512</v>
      </c>
      <c r="L3131" s="2">
        <f t="shared" si="48"/>
        <v>150</v>
      </c>
    </row>
    <row r="3132" spans="1:12" ht="25" customHeight="1">
      <c r="A3132" s="2" t="s">
        <v>12</v>
      </c>
      <c r="B3132" s="2" t="str">
        <f>HYPERLINK("http://www.12365auto.com/xcdg/20200224/419359.shtml","西雅特Cupra e-Racer赛车官图 马力达680匹")</f>
        <v>西雅特Cupra e-Racer赛车官图 马力达680匹</v>
      </c>
      <c r="C3132" s="2" t="s">
        <v>13</v>
      </c>
      <c r="D3132" s="2" t="s">
        <v>12</v>
      </c>
      <c r="E3132" s="2" t="s">
        <v>216</v>
      </c>
      <c r="F3132" s="2" t="str">
        <f>HYPERLINK("http://www.12365auto.com/xcdg/20200224/419359.shtml","http://www.12365auto.com/xcdg/20200224/419359.shtml")</f>
        <v>http://www.12365auto.com/xcdg/20200224/419359.shtml</v>
      </c>
      <c r="G3132" s="2"/>
      <c r="H3132" s="2" t="s">
        <v>4515</v>
      </c>
      <c r="I3132" s="2" t="s">
        <v>15</v>
      </c>
      <c r="J3132" s="2" t="s">
        <v>12</v>
      </c>
      <c r="K3132" s="2" t="s">
        <v>4516</v>
      </c>
      <c r="L3132" s="2">
        <f t="shared" si="48"/>
        <v>150</v>
      </c>
    </row>
    <row r="3133" spans="1:12" ht="25" customHeight="1">
      <c r="A3133" s="2" t="s">
        <v>12</v>
      </c>
      <c r="B3133" s="2" t="str">
        <f>HYPERLINK("http://m.12365auto.com/xcdg/20200224/419359.shtml","西雅特Cupra e-Racer赛车官图 马力达680匹")</f>
        <v>西雅特Cupra e-Racer赛车官图 马力达680匹</v>
      </c>
      <c r="C3133" s="2" t="s">
        <v>13</v>
      </c>
      <c r="D3133" s="2" t="s">
        <v>12</v>
      </c>
      <c r="E3133" s="2"/>
      <c r="F3133" s="2" t="str">
        <f>HYPERLINK("http://m.12365auto.com/xcdg/20200224/419359.shtml","http://m.12365auto.com/xcdg/20200224/419359.shtml")</f>
        <v>http://m.12365auto.com/xcdg/20200224/419359.shtml</v>
      </c>
      <c r="G3133" s="2"/>
      <c r="H3133" s="2" t="s">
        <v>4517</v>
      </c>
      <c r="I3133" s="2" t="s">
        <v>19</v>
      </c>
      <c r="J3133" s="2" t="s">
        <v>992</v>
      </c>
      <c r="K3133" s="2" t="s">
        <v>4516</v>
      </c>
      <c r="L3133" s="2">
        <f t="shared" si="48"/>
        <v>150</v>
      </c>
    </row>
    <row r="3134" spans="1:12" ht="25" customHeight="1">
      <c r="A3134" s="2" t="s">
        <v>12</v>
      </c>
      <c r="B3134" s="2" t="str">
        <f>HYPERLINK("http://www.12365auto.com/xcdg/20200224/419358.shtml","宝马电动车规划 iX3年底上市/i4下月亮相")</f>
        <v>宝马电动车规划 iX3年底上市/i4下月亮相</v>
      </c>
      <c r="C3134" s="2" t="s">
        <v>13</v>
      </c>
      <c r="D3134" s="2" t="s">
        <v>12</v>
      </c>
      <c r="E3134" s="2" t="s">
        <v>216</v>
      </c>
      <c r="F3134" s="2" t="str">
        <f>HYPERLINK("http://www.12365auto.com/xcdg/20200224/419358.shtml","http://www.12365auto.com/xcdg/20200224/419358.shtml")</f>
        <v>http://www.12365auto.com/xcdg/20200224/419358.shtml</v>
      </c>
      <c r="G3134" s="2"/>
      <c r="H3134" s="2" t="s">
        <v>4518</v>
      </c>
      <c r="I3134" s="2" t="s">
        <v>15</v>
      </c>
      <c r="J3134" s="2" t="s">
        <v>12</v>
      </c>
      <c r="K3134" s="2" t="s">
        <v>4519</v>
      </c>
      <c r="L3134" s="2">
        <f t="shared" si="48"/>
        <v>150</v>
      </c>
    </row>
    <row r="3135" spans="1:12" ht="25" customHeight="1">
      <c r="A3135" s="2" t="s">
        <v>12</v>
      </c>
      <c r="B3135" s="2" t="str">
        <f>HYPERLINK("http://m.12365auto.com/xcdg/20200224/419358.shtml","宝马电动车规划 iX3年底上市/i4下月亮相")</f>
        <v>宝马电动车规划 iX3年底上市/i4下月亮相</v>
      </c>
      <c r="C3135" s="2" t="s">
        <v>13</v>
      </c>
      <c r="D3135" s="2" t="s">
        <v>12</v>
      </c>
      <c r="E3135" s="2"/>
      <c r="F3135" s="2" t="str">
        <f>HYPERLINK("http://m.12365auto.com/xcdg/20200224/419358.shtml","http://m.12365auto.com/xcdg/20200224/419358.shtml")</f>
        <v>http://m.12365auto.com/xcdg/20200224/419358.shtml</v>
      </c>
      <c r="G3135" s="2"/>
      <c r="H3135" s="2" t="s">
        <v>4520</v>
      </c>
      <c r="I3135" s="2" t="s">
        <v>19</v>
      </c>
      <c r="J3135" s="2" t="s">
        <v>1701</v>
      </c>
      <c r="K3135" s="2" t="s">
        <v>4519</v>
      </c>
      <c r="L3135" s="2">
        <f t="shared" si="48"/>
        <v>150</v>
      </c>
    </row>
    <row r="3136" spans="1:12" ht="25" customHeight="1">
      <c r="A3136" s="2" t="s">
        <v>12</v>
      </c>
      <c r="B3136" s="2" t="str">
        <f>HYPERLINK("http://www.12365auto.com/xcdg/20200224/419357.shtml","Czinger C21官图发布 功率重量比1：1")</f>
        <v>Czinger C21官图发布 功率重量比1：1</v>
      </c>
      <c r="C3136" s="2" t="s">
        <v>13</v>
      </c>
      <c r="D3136" s="2" t="s">
        <v>12</v>
      </c>
      <c r="E3136" s="2" t="s">
        <v>245</v>
      </c>
      <c r="F3136" s="2" t="str">
        <f>HYPERLINK("http://www.12365auto.com/xcdg/20200224/419357.shtml","http://www.12365auto.com/xcdg/20200224/419357.shtml")</f>
        <v>http://www.12365auto.com/xcdg/20200224/419357.shtml</v>
      </c>
      <c r="G3136" s="2"/>
      <c r="H3136" s="2" t="s">
        <v>4521</v>
      </c>
      <c r="I3136" s="2" t="s">
        <v>19</v>
      </c>
      <c r="J3136" s="2" t="s">
        <v>12</v>
      </c>
      <c r="K3136" s="2" t="s">
        <v>4522</v>
      </c>
      <c r="L3136" s="2">
        <f t="shared" si="48"/>
        <v>150</v>
      </c>
    </row>
    <row r="3137" spans="1:12" ht="25" customHeight="1">
      <c r="A3137" s="2" t="s">
        <v>12</v>
      </c>
      <c r="B3137" s="2" t="str">
        <f>HYPERLINK("http://m.12365auto.com/xcdg/20200224/419357.shtml","Czinger C21官图发布 功率重量比1：1")</f>
        <v>Czinger C21官图发布 功率重量比1：1</v>
      </c>
      <c r="C3137" s="2" t="s">
        <v>13</v>
      </c>
      <c r="D3137" s="2" t="s">
        <v>12</v>
      </c>
      <c r="E3137" s="2"/>
      <c r="F3137" s="2" t="str">
        <f>HYPERLINK("http://m.12365auto.com/xcdg/20200224/419357.shtml","http://m.12365auto.com/xcdg/20200224/419357.shtml")</f>
        <v>http://m.12365auto.com/xcdg/20200224/419357.shtml</v>
      </c>
      <c r="G3137" s="2"/>
      <c r="H3137" s="2" t="s">
        <v>4523</v>
      </c>
      <c r="I3137" s="2" t="s">
        <v>19</v>
      </c>
      <c r="J3137" s="2" t="s">
        <v>992</v>
      </c>
      <c r="K3137" s="2" t="s">
        <v>4522</v>
      </c>
      <c r="L3137" s="2">
        <f t="shared" si="48"/>
        <v>150</v>
      </c>
    </row>
    <row r="3138" spans="1:12" ht="25" customHeight="1">
      <c r="A3138" s="2" t="s">
        <v>12</v>
      </c>
      <c r="B3138" s="2" t="str">
        <f>HYPERLINK("http://www.12365auto.com/xcdg/20200224/419356.shtml","超跑新势力？Apex将在日内瓦推超级跑车AP-0")</f>
        <v>超跑新势力？Apex将在日内瓦推超级跑车AP-0</v>
      </c>
      <c r="C3138" s="2" t="s">
        <v>13</v>
      </c>
      <c r="D3138" s="2" t="s">
        <v>12</v>
      </c>
      <c r="E3138" s="2" t="s">
        <v>245</v>
      </c>
      <c r="F3138" s="2" t="str">
        <f>HYPERLINK("http://www.12365auto.com/xcdg/20200224/419356.shtml","http://www.12365auto.com/xcdg/20200224/419356.shtml")</f>
        <v>http://www.12365auto.com/xcdg/20200224/419356.shtml</v>
      </c>
      <c r="G3138" s="2"/>
      <c r="H3138" s="2" t="s">
        <v>4524</v>
      </c>
      <c r="I3138" s="2" t="s">
        <v>19</v>
      </c>
      <c r="J3138" s="2" t="s">
        <v>12</v>
      </c>
      <c r="K3138" s="2" t="s">
        <v>4525</v>
      </c>
      <c r="L3138" s="2">
        <f t="shared" si="48"/>
        <v>150</v>
      </c>
    </row>
    <row r="3139" spans="1:12" ht="25" customHeight="1">
      <c r="A3139" s="2" t="s">
        <v>12</v>
      </c>
      <c r="B3139" s="2" t="str">
        <f>HYPERLINK("http://m.12365auto.com/xcdg/20200224/419356.shtml","超跑新势力？Apex将在日内瓦推超级跑车AP-0")</f>
        <v>超跑新势力？Apex将在日内瓦推超级跑车AP-0</v>
      </c>
      <c r="C3139" s="2" t="s">
        <v>13</v>
      </c>
      <c r="D3139" s="2" t="s">
        <v>12</v>
      </c>
      <c r="E3139" s="2"/>
      <c r="F3139" s="2" t="str">
        <f>HYPERLINK("http://m.12365auto.com/xcdg/20200224/419356.shtml","http://m.12365auto.com/xcdg/20200224/419356.shtml")</f>
        <v>http://m.12365auto.com/xcdg/20200224/419356.shtml</v>
      </c>
      <c r="G3139" s="2"/>
      <c r="H3139" s="2" t="s">
        <v>4526</v>
      </c>
      <c r="I3139" s="2" t="s">
        <v>19</v>
      </c>
      <c r="J3139" s="2" t="s">
        <v>4514</v>
      </c>
      <c r="K3139" s="2" t="s">
        <v>4525</v>
      </c>
      <c r="L3139" s="2">
        <f t="shared" ref="L3139:L3202" si="49">LEN(H3139)</f>
        <v>150</v>
      </c>
    </row>
    <row r="3140" spans="1:12" ht="25" customHeight="1">
      <c r="A3140" s="2" t="s">
        <v>12</v>
      </c>
      <c r="B3140" s="2" t="str">
        <f>HYPERLINK("http://m.12365auto.com/xcdg/20200224/419355.shtml","全新宝马7系纯电动版 续航或将突破698.5km")</f>
        <v>全新宝马7系纯电动版 续航或将突破698.5km</v>
      </c>
      <c r="C3140" s="2" t="s">
        <v>13</v>
      </c>
      <c r="D3140" s="2" t="s">
        <v>12</v>
      </c>
      <c r="E3140" s="2"/>
      <c r="F3140" s="2" t="str">
        <f>HYPERLINK("http://m.12365auto.com/xcdg/20200224/419355.shtml","http://m.12365auto.com/xcdg/20200224/419355.shtml")</f>
        <v>http://m.12365auto.com/xcdg/20200224/419355.shtml</v>
      </c>
      <c r="G3140" s="2"/>
      <c r="H3140" s="2" t="s">
        <v>4527</v>
      </c>
      <c r="I3140" s="2" t="s">
        <v>19</v>
      </c>
      <c r="J3140" s="2" t="s">
        <v>988</v>
      </c>
      <c r="K3140" s="2" t="s">
        <v>4528</v>
      </c>
      <c r="L3140" s="2">
        <f t="shared" si="49"/>
        <v>150</v>
      </c>
    </row>
    <row r="3141" spans="1:12" ht="25" customHeight="1">
      <c r="A3141" s="2" t="s">
        <v>12</v>
      </c>
      <c r="B3141" s="2" t="str">
        <f>HYPERLINK("http://www.12365auto.com/xcdg/20200224/419355.shtml","全新宝马7系纯电动版 续航或将突破698.5km")</f>
        <v>全新宝马7系纯电动版 续航或将突破698.5km</v>
      </c>
      <c r="C3141" s="2" t="s">
        <v>13</v>
      </c>
      <c r="D3141" s="2" t="s">
        <v>12</v>
      </c>
      <c r="E3141" s="2" t="s">
        <v>245</v>
      </c>
      <c r="F3141" s="2" t="str">
        <f>HYPERLINK("http://www.12365auto.com/xcdg/20200224/419355.shtml","http://www.12365auto.com/xcdg/20200224/419355.shtml")</f>
        <v>http://www.12365auto.com/xcdg/20200224/419355.shtml</v>
      </c>
      <c r="G3141" s="2"/>
      <c r="H3141" s="2" t="s">
        <v>4529</v>
      </c>
      <c r="I3141" s="2" t="s">
        <v>19</v>
      </c>
      <c r="J3141" s="2" t="s">
        <v>12</v>
      </c>
      <c r="K3141" s="2" t="s">
        <v>4528</v>
      </c>
      <c r="L3141" s="2">
        <f t="shared" si="49"/>
        <v>150</v>
      </c>
    </row>
    <row r="3142" spans="1:12" ht="25" customHeight="1">
      <c r="A3142" s="2" t="s">
        <v>12</v>
      </c>
      <c r="B3142" s="2" t="str">
        <f>HYPERLINK("http://m.12365auto.com/xcdg/20200224/419354.shtml","2020款大众探歌 230TSI进取版值得购买")</f>
        <v>2020款大众探歌 230TSI进取版值得购买</v>
      </c>
      <c r="C3142" s="2" t="s">
        <v>13</v>
      </c>
      <c r="D3142" s="2" t="s">
        <v>12</v>
      </c>
      <c r="E3142" s="2"/>
      <c r="F3142" s="2" t="str">
        <f>HYPERLINK("http://m.12365auto.com/xcdg/20200224/419354.shtml","http://m.12365auto.com/xcdg/20200224/419354.shtml")</f>
        <v>http://m.12365auto.com/xcdg/20200224/419354.shtml</v>
      </c>
      <c r="G3142" s="2"/>
      <c r="H3142" s="2" t="s">
        <v>4530</v>
      </c>
      <c r="I3142" s="2" t="s">
        <v>19</v>
      </c>
      <c r="J3142" s="2" t="s">
        <v>4531</v>
      </c>
      <c r="K3142" s="2" t="s">
        <v>4532</v>
      </c>
      <c r="L3142" s="2">
        <f t="shared" si="49"/>
        <v>150</v>
      </c>
    </row>
    <row r="3143" spans="1:12" ht="25" customHeight="1">
      <c r="A3143" s="2" t="s">
        <v>12</v>
      </c>
      <c r="B3143" s="2" t="str">
        <f>HYPERLINK("http://bbs.12365auto.com/postcontent.aspx?tId=194971","日产 破产？")</f>
        <v>日产 破产？</v>
      </c>
      <c r="C3143" s="2" t="s">
        <v>13</v>
      </c>
      <c r="D3143" s="2" t="s">
        <v>12</v>
      </c>
      <c r="E3143" s="2" t="s">
        <v>210</v>
      </c>
      <c r="F3143" s="2" t="str">
        <f>HYPERLINK("http://bbs.12365auto.com/postcontent.aspx?tId=194971","http://bbs.12365auto.com/postcontent.aspx?tId=194971")</f>
        <v>http://bbs.12365auto.com/postcontent.aspx?tId=194971</v>
      </c>
      <c r="G3143" s="2"/>
      <c r="H3143" s="2" t="s">
        <v>4533</v>
      </c>
      <c r="I3143" s="2" t="s">
        <v>15</v>
      </c>
      <c r="J3143" s="2" t="s">
        <v>949</v>
      </c>
      <c r="K3143" s="2" t="s">
        <v>4534</v>
      </c>
      <c r="L3143" s="2">
        <f t="shared" si="49"/>
        <v>150</v>
      </c>
    </row>
    <row r="3144" spans="1:12" ht="25" customHeight="1">
      <c r="A3144" s="2" t="s">
        <v>12</v>
      </c>
      <c r="B3144" s="2" t="str">
        <f>HYPERLINK("http://m.12365auto.com/bbs/postcontent.aspx?tID=194971","日产 破产？")</f>
        <v>日产 破产？</v>
      </c>
      <c r="C3144" s="2" t="s">
        <v>13</v>
      </c>
      <c r="D3144" s="2" t="s">
        <v>23</v>
      </c>
      <c r="E3144" s="2"/>
      <c r="F3144" s="2" t="str">
        <f>HYPERLINK("http://m.12365auto.com/bbs/postcontent.aspx?tID=194971","http://m.12365auto.com/bbs/postcontent.aspx?tID=194971")</f>
        <v>http://m.12365auto.com/bbs/postcontent.aspx?tID=194971</v>
      </c>
      <c r="G3144" s="2"/>
      <c r="H3144" s="2" t="s">
        <v>4533</v>
      </c>
      <c r="I3144" s="2" t="s">
        <v>15</v>
      </c>
      <c r="J3144" s="2" t="s">
        <v>949</v>
      </c>
      <c r="K3144" s="2" t="s">
        <v>4534</v>
      </c>
      <c r="L3144" s="2">
        <f t="shared" si="49"/>
        <v>150</v>
      </c>
    </row>
    <row r="3145" spans="1:12" ht="25" customHeight="1">
      <c r="A3145" s="2" t="s">
        <v>12</v>
      </c>
      <c r="B3145" s="2" t="str">
        <f>HYPERLINK("http://bbs.12365auto.com/postcontent.aspx?tID=194971","日产 破产？")</f>
        <v>日产 破产？</v>
      </c>
      <c r="C3145" s="2" t="s">
        <v>13</v>
      </c>
      <c r="D3145" s="2" t="s">
        <v>12</v>
      </c>
      <c r="E3145" s="2" t="s">
        <v>214</v>
      </c>
      <c r="F3145" s="2" t="str">
        <f>HYPERLINK("http://bbs.12365auto.com/postcontent.aspx?tID=194971","http://bbs.12365auto.com/postcontent.aspx?tID=194971")</f>
        <v>http://bbs.12365auto.com/postcontent.aspx?tID=194971</v>
      </c>
      <c r="G3145" s="2"/>
      <c r="H3145" s="2" t="s">
        <v>4535</v>
      </c>
      <c r="I3145" s="2" t="s">
        <v>15</v>
      </c>
      <c r="J3145" s="2" t="s">
        <v>949</v>
      </c>
      <c r="K3145" s="2" t="s">
        <v>4534</v>
      </c>
      <c r="L3145" s="2">
        <f t="shared" si="49"/>
        <v>150</v>
      </c>
    </row>
    <row r="3146" spans="1:12" ht="25" customHeight="1">
      <c r="A3146" s="2" t="s">
        <v>12</v>
      </c>
      <c r="B3146" s="2" t="str">
        <f>HYPERLINK("http://m.12365auto.com/xcdg/20200224/419353.shtml","集众家之所长 长安欧尚X7变速器解析")</f>
        <v>集众家之所长 长安欧尚X7变速器解析</v>
      </c>
      <c r="C3146" s="2" t="s">
        <v>13</v>
      </c>
      <c r="D3146" s="2" t="s">
        <v>12</v>
      </c>
      <c r="E3146" s="2"/>
      <c r="F3146" s="2" t="str">
        <f>HYPERLINK("http://m.12365auto.com/xcdg/20200224/419353.shtml","http://m.12365auto.com/xcdg/20200224/419353.shtml")</f>
        <v>http://m.12365auto.com/xcdg/20200224/419353.shtml</v>
      </c>
      <c r="G3146" s="2"/>
      <c r="H3146" s="2" t="s">
        <v>4536</v>
      </c>
      <c r="I3146" s="2" t="s">
        <v>19</v>
      </c>
      <c r="J3146" s="2" t="s">
        <v>4537</v>
      </c>
      <c r="K3146" s="2" t="s">
        <v>4538</v>
      </c>
      <c r="L3146" s="2">
        <f t="shared" si="49"/>
        <v>150</v>
      </c>
    </row>
    <row r="3147" spans="1:12" ht="25" customHeight="1">
      <c r="A3147" s="2" t="s">
        <v>12</v>
      </c>
      <c r="B3147" s="2" t="str">
        <f>HYPERLINK("http://www.12365auto.com/scbg/20200224/419352.shtml","特斯拉Model 3迎来新对手 试驾菲斯塔纯电动")</f>
        <v>特斯拉Model 3迎来新对手 试驾菲斯塔纯电动</v>
      </c>
      <c r="C3147" s="2" t="s">
        <v>13</v>
      </c>
      <c r="D3147" s="2" t="s">
        <v>12</v>
      </c>
      <c r="E3147" s="2" t="s">
        <v>1548</v>
      </c>
      <c r="F3147" s="2" t="str">
        <f>HYPERLINK("http://www.12365auto.com/scbg/20200224/419352.shtml","http://www.12365auto.com/scbg/20200224/419352.shtml")</f>
        <v>http://www.12365auto.com/scbg/20200224/419352.shtml</v>
      </c>
      <c r="G3147" s="2"/>
      <c r="H3147" s="2" t="s">
        <v>4539</v>
      </c>
      <c r="I3147" s="2" t="s">
        <v>15</v>
      </c>
      <c r="J3147" s="2" t="s">
        <v>12</v>
      </c>
      <c r="K3147" s="2" t="s">
        <v>4540</v>
      </c>
      <c r="L3147" s="2">
        <f t="shared" si="49"/>
        <v>150</v>
      </c>
    </row>
    <row r="3148" spans="1:12" ht="25" customHeight="1">
      <c r="A3148" s="2" t="s">
        <v>12</v>
      </c>
      <c r="B3148" s="2" t="str">
        <f>HYPERLINK("http://m.12365auto.com/scbg/20200224/419352.shtml","特斯拉Model 3迎来新对手 试驾菲斯塔纯电动")</f>
        <v>特斯拉Model 3迎来新对手 试驾菲斯塔纯电动</v>
      </c>
      <c r="C3148" s="2" t="s">
        <v>13</v>
      </c>
      <c r="D3148" s="2" t="s">
        <v>12</v>
      </c>
      <c r="E3148" s="2"/>
      <c r="F3148" s="2" t="str">
        <f>HYPERLINK("http://m.12365auto.com/scbg/20200224/419352.shtml","http://m.12365auto.com/scbg/20200224/419352.shtml")</f>
        <v>http://m.12365auto.com/scbg/20200224/419352.shtml</v>
      </c>
      <c r="G3148" s="2"/>
      <c r="H3148" s="2" t="s">
        <v>4541</v>
      </c>
      <c r="I3148" s="2" t="s">
        <v>19</v>
      </c>
      <c r="J3148" s="2" t="s">
        <v>4542</v>
      </c>
      <c r="K3148" s="2" t="s">
        <v>4540</v>
      </c>
      <c r="L3148" s="2">
        <f t="shared" si="49"/>
        <v>150</v>
      </c>
    </row>
    <row r="3149" spans="1:12" ht="25" customHeight="1">
      <c r="A3149" s="2" t="s">
        <v>12</v>
      </c>
      <c r="B3149" s="2" t="str">
        <f>HYPERLINK("http://www.12365auto.com/scbg/20200224/419351.shtml","名副其实的电动弹珠 测本田X-NV报告解读")</f>
        <v>名副其实的电动弹珠 测本田X-NV报告解读</v>
      </c>
      <c r="C3149" s="2" t="s">
        <v>13</v>
      </c>
      <c r="D3149" s="2" t="s">
        <v>12</v>
      </c>
      <c r="E3149" s="2" t="s">
        <v>1548</v>
      </c>
      <c r="F3149" s="2" t="str">
        <f>HYPERLINK("http://www.12365auto.com/scbg/20200224/419351.shtml","http://www.12365auto.com/scbg/20200224/419351.shtml")</f>
        <v>http://www.12365auto.com/scbg/20200224/419351.shtml</v>
      </c>
      <c r="G3149" s="2"/>
      <c r="H3149" s="2" t="s">
        <v>4543</v>
      </c>
      <c r="I3149" s="2" t="s">
        <v>15</v>
      </c>
      <c r="J3149" s="2" t="s">
        <v>12</v>
      </c>
      <c r="K3149" s="2" t="s">
        <v>4544</v>
      </c>
      <c r="L3149" s="2">
        <f t="shared" si="49"/>
        <v>150</v>
      </c>
    </row>
    <row r="3150" spans="1:12" ht="25" customHeight="1">
      <c r="A3150" s="2" t="s">
        <v>12</v>
      </c>
      <c r="B3150" s="2" t="str">
        <f>HYPERLINK("http://m.12365auto.com/bbs/postcontent.aspx?tID=194969","“一月不洗车”与“经常洗车”两者哪种更伤车？现在知道还来得及")</f>
        <v>“一月不洗车”与“经常洗车”两者哪种更伤车？现在知道还来得及</v>
      </c>
      <c r="C3150" s="2" t="s">
        <v>13</v>
      </c>
      <c r="D3150" s="2" t="s">
        <v>23</v>
      </c>
      <c r="E3150" s="2"/>
      <c r="F3150" s="2" t="str">
        <f>HYPERLINK("http://m.12365auto.com/bbs/postcontent.aspx?tID=194969","http://m.12365auto.com/bbs/postcontent.aspx?tID=194969")</f>
        <v>http://m.12365auto.com/bbs/postcontent.aspx?tID=194969</v>
      </c>
      <c r="G3150" s="2"/>
      <c r="H3150" s="2" t="s">
        <v>4545</v>
      </c>
      <c r="I3150" s="2" t="s">
        <v>15</v>
      </c>
      <c r="J3150" s="2" t="s">
        <v>949</v>
      </c>
      <c r="K3150" s="2" t="s">
        <v>4544</v>
      </c>
      <c r="L3150" s="2">
        <f t="shared" si="49"/>
        <v>150</v>
      </c>
    </row>
    <row r="3151" spans="1:12" ht="25" customHeight="1">
      <c r="A3151" s="2" t="s">
        <v>12</v>
      </c>
      <c r="B3151" s="2" t="str">
        <f>HYPERLINK("http://m.12365auto.com/bbs/postcontent.aspx?tID=194970","喝酒后 要过多长时间才能开车？")</f>
        <v>喝酒后 要过多长时间才能开车？</v>
      </c>
      <c r="C3151" s="2" t="s">
        <v>13</v>
      </c>
      <c r="D3151" s="2" t="s">
        <v>23</v>
      </c>
      <c r="E3151" s="2"/>
      <c r="F3151" s="2" t="str">
        <f>HYPERLINK("http://m.12365auto.com/bbs/postcontent.aspx?tID=194970","http://m.12365auto.com/bbs/postcontent.aspx?tID=194970")</f>
        <v>http://m.12365auto.com/bbs/postcontent.aspx?tID=194970</v>
      </c>
      <c r="G3151" s="2"/>
      <c r="H3151" s="2" t="s">
        <v>4546</v>
      </c>
      <c r="I3151" s="2" t="s">
        <v>15</v>
      </c>
      <c r="J3151" s="2" t="s">
        <v>949</v>
      </c>
      <c r="K3151" s="2" t="s">
        <v>4544</v>
      </c>
      <c r="L3151" s="2">
        <f t="shared" si="49"/>
        <v>150</v>
      </c>
    </row>
    <row r="3152" spans="1:12" ht="25" customHeight="1">
      <c r="A3152" s="2" t="s">
        <v>12</v>
      </c>
      <c r="B3152" s="2" t="str">
        <f>HYPERLINK("http://www.12365auto.com/zlts/20200224/448449.shtml","奇瑞瑞虎8大灯盲区较大存在安全隐患")</f>
        <v>奇瑞瑞虎8大灯盲区较大存在安全隐患</v>
      </c>
      <c r="C3152" s="2" t="s">
        <v>13</v>
      </c>
      <c r="D3152" s="2" t="s">
        <v>12</v>
      </c>
      <c r="E3152" s="2" t="s">
        <v>17</v>
      </c>
      <c r="F3152" s="2" t="str">
        <f>HYPERLINK("http://www.12365auto.com/zlts/20200224/448449.shtml","http://www.12365auto.com/zlts/20200224/448449.shtml")</f>
        <v>http://www.12365auto.com/zlts/20200224/448449.shtml</v>
      </c>
      <c r="G3152" s="2"/>
      <c r="H3152" s="2" t="s">
        <v>4547</v>
      </c>
      <c r="I3152" s="2" t="s">
        <v>15</v>
      </c>
      <c r="J3152" s="2" t="s">
        <v>12</v>
      </c>
      <c r="K3152" s="2" t="s">
        <v>4544</v>
      </c>
      <c r="L3152" s="2">
        <f t="shared" si="49"/>
        <v>150</v>
      </c>
    </row>
    <row r="3153" spans="1:12" ht="25" customHeight="1">
      <c r="A3153" s="2" t="s">
        <v>12</v>
      </c>
      <c r="B3153" s="2" t="str">
        <f>HYPERLINK("http://bbs.12365auto.com/postcontent.aspx?tID=194970","喝酒后 要过多长时间才能开车？")</f>
        <v>喝酒后 要过多长时间才能开车？</v>
      </c>
      <c r="C3153" s="2" t="s">
        <v>13</v>
      </c>
      <c r="D3153" s="2" t="s">
        <v>12</v>
      </c>
      <c r="E3153" s="2" t="s">
        <v>214</v>
      </c>
      <c r="F3153" s="2" t="str">
        <f>HYPERLINK("http://bbs.12365auto.com/postcontent.aspx?tID=194970","http://bbs.12365auto.com/postcontent.aspx?tID=194970")</f>
        <v>http://bbs.12365auto.com/postcontent.aspx?tID=194970</v>
      </c>
      <c r="G3153" s="2"/>
      <c r="H3153" s="2" t="s">
        <v>4548</v>
      </c>
      <c r="I3153" s="2" t="s">
        <v>15</v>
      </c>
      <c r="J3153" s="2" t="s">
        <v>949</v>
      </c>
      <c r="K3153" s="2" t="s">
        <v>4544</v>
      </c>
      <c r="L3153" s="2">
        <f t="shared" si="49"/>
        <v>150</v>
      </c>
    </row>
    <row r="3154" spans="1:12" ht="25" customHeight="1">
      <c r="A3154" s="2" t="s">
        <v>12</v>
      </c>
      <c r="B3154" s="2" t="str">
        <f>HYPERLINK("http://bbs.12365auto.com/postcontent.aspx?tID=194969","“一月不洗车”与“经常洗车”两者哪种更伤车？现在知道还来得及")</f>
        <v>“一月不洗车”与“经常洗车”两者哪种更伤车？现在知道还来得及</v>
      </c>
      <c r="C3154" s="2" t="s">
        <v>13</v>
      </c>
      <c r="D3154" s="2" t="s">
        <v>12</v>
      </c>
      <c r="E3154" s="2" t="s">
        <v>214</v>
      </c>
      <c r="F3154" s="2" t="str">
        <f>HYPERLINK("http://bbs.12365auto.com/postcontent.aspx?tID=194969","http://bbs.12365auto.com/postcontent.aspx?tID=194969")</f>
        <v>http://bbs.12365auto.com/postcontent.aspx?tID=194969</v>
      </c>
      <c r="G3154" s="2"/>
      <c r="H3154" s="2" t="s">
        <v>4549</v>
      </c>
      <c r="I3154" s="2" t="s">
        <v>15</v>
      </c>
      <c r="J3154" s="2" t="s">
        <v>949</v>
      </c>
      <c r="K3154" s="2" t="s">
        <v>4544</v>
      </c>
      <c r="L3154" s="2">
        <f t="shared" si="49"/>
        <v>150</v>
      </c>
    </row>
    <row r="3155" spans="1:12" ht="25" customHeight="1">
      <c r="A3155" s="2" t="s">
        <v>12</v>
      </c>
      <c r="B3155" s="2" t="str">
        <f>HYPERLINK("http://bbs.12365auto.com/postcontent.aspx?tId=194969","“一月不洗车”与“经常洗车”两者哪种更伤车？现在知道还来得及")</f>
        <v>“一月不洗车”与“经常洗车”两者哪种更伤车？现在知道还来得及</v>
      </c>
      <c r="C3155" s="2" t="s">
        <v>13</v>
      </c>
      <c r="D3155" s="2" t="s">
        <v>12</v>
      </c>
      <c r="E3155" s="2" t="s">
        <v>210</v>
      </c>
      <c r="F3155" s="2" t="str">
        <f>HYPERLINK("http://bbs.12365auto.com/postcontent.aspx?tId=194969","http://bbs.12365auto.com/postcontent.aspx?tId=194969")</f>
        <v>http://bbs.12365auto.com/postcontent.aspx?tId=194969</v>
      </c>
      <c r="G3155" s="2"/>
      <c r="H3155" s="2" t="s">
        <v>4545</v>
      </c>
      <c r="I3155" s="2" t="s">
        <v>15</v>
      </c>
      <c r="J3155" s="2" t="s">
        <v>949</v>
      </c>
      <c r="K3155" s="2" t="s">
        <v>4544</v>
      </c>
      <c r="L3155" s="2">
        <f t="shared" si="49"/>
        <v>150</v>
      </c>
    </row>
    <row r="3156" spans="1:12" ht="25" customHeight="1">
      <c r="A3156" s="2" t="s">
        <v>12</v>
      </c>
      <c r="B3156" s="2" t="str">
        <f>HYPERLINK("http://bbs.12365auto.com/postcontent.aspx?tId=194970","喝酒后 要过多长时间才能开车？")</f>
        <v>喝酒后 要过多长时间才能开车？</v>
      </c>
      <c r="C3156" s="2" t="s">
        <v>13</v>
      </c>
      <c r="D3156" s="2" t="s">
        <v>12</v>
      </c>
      <c r="E3156" s="2" t="s">
        <v>210</v>
      </c>
      <c r="F3156" s="2" t="str">
        <f>HYPERLINK("http://bbs.12365auto.com/postcontent.aspx?tId=194970","http://bbs.12365auto.com/postcontent.aspx?tId=194970")</f>
        <v>http://bbs.12365auto.com/postcontent.aspx?tId=194970</v>
      </c>
      <c r="G3156" s="2"/>
      <c r="H3156" s="2" t="s">
        <v>4546</v>
      </c>
      <c r="I3156" s="2" t="s">
        <v>15</v>
      </c>
      <c r="J3156" s="2" t="s">
        <v>949</v>
      </c>
      <c r="K3156" s="2" t="s">
        <v>4544</v>
      </c>
      <c r="L3156" s="2">
        <f t="shared" si="49"/>
        <v>150</v>
      </c>
    </row>
    <row r="3157" spans="1:12" ht="25" customHeight="1">
      <c r="A3157" s="2" t="s">
        <v>12</v>
      </c>
      <c r="B3157" s="2" t="str">
        <f>HYPERLINK("http://m.12365auto.com/scbg/20200224/419351.shtml","名副其实的电动弹珠 测本田X-NV报告解读")</f>
        <v>名副其实的电动弹珠 测本田X-NV报告解读</v>
      </c>
      <c r="C3157" s="2" t="s">
        <v>13</v>
      </c>
      <c r="D3157" s="2" t="s">
        <v>12</v>
      </c>
      <c r="E3157" s="2"/>
      <c r="F3157" s="2" t="str">
        <f>HYPERLINK("http://m.12365auto.com/scbg/20200224/419351.shtml","http://m.12365auto.com/scbg/20200224/419351.shtml")</f>
        <v>http://m.12365auto.com/scbg/20200224/419351.shtml</v>
      </c>
      <c r="G3157" s="2"/>
      <c r="H3157" s="2" t="s">
        <v>4550</v>
      </c>
      <c r="I3157" s="2" t="s">
        <v>19</v>
      </c>
      <c r="J3157" s="2" t="s">
        <v>3549</v>
      </c>
      <c r="K3157" s="2" t="s">
        <v>4544</v>
      </c>
      <c r="L3157" s="2">
        <f t="shared" si="49"/>
        <v>150</v>
      </c>
    </row>
    <row r="3158" spans="1:12" ht="25" customHeight="1">
      <c r="A3158" s="2" t="s">
        <v>12</v>
      </c>
      <c r="B3158" s="2" t="str">
        <f>HYPERLINK("http://m.12365auto.com/xcdg/20200224/419350.shtml","品牌专家荐车辩论 途铠和昂科拉究竟怎么选")</f>
        <v>品牌专家荐车辩论 途铠和昂科拉究竟怎么选</v>
      </c>
      <c r="C3158" s="2" t="s">
        <v>13</v>
      </c>
      <c r="D3158" s="2" t="s">
        <v>12</v>
      </c>
      <c r="E3158" s="2"/>
      <c r="F3158" s="2" t="str">
        <f>HYPERLINK("http://m.12365auto.com/xcdg/20200224/419350.shtml","http://m.12365auto.com/xcdg/20200224/419350.shtml")</f>
        <v>http://m.12365auto.com/xcdg/20200224/419350.shtml</v>
      </c>
      <c r="G3158" s="2"/>
      <c r="H3158" s="2" t="s">
        <v>4551</v>
      </c>
      <c r="I3158" s="2" t="s">
        <v>19</v>
      </c>
      <c r="J3158" s="2" t="s">
        <v>4552</v>
      </c>
      <c r="K3158" s="2" t="s">
        <v>4553</v>
      </c>
      <c r="L3158" s="2">
        <f t="shared" si="49"/>
        <v>137</v>
      </c>
    </row>
    <row r="3159" spans="1:12" ht="25" customHeight="1">
      <c r="A3159" s="2" t="s">
        <v>12</v>
      </c>
      <c r="B3159" s="2" t="str">
        <f>HYPERLINK("http://m.12365auto.com/xcdg/20200224/419349.shtml","或超200万元的新名片 雷克萨斯LM开启销售")</f>
        <v>或超200万元的新名片 雷克萨斯LM开启销售</v>
      </c>
      <c r="C3159" s="2" t="s">
        <v>13</v>
      </c>
      <c r="D3159" s="2" t="s">
        <v>12</v>
      </c>
      <c r="E3159" s="2"/>
      <c r="F3159" s="2" t="str">
        <f>HYPERLINK("http://m.12365auto.com/xcdg/20200224/419349.shtml","http://m.12365auto.com/xcdg/20200224/419349.shtml")</f>
        <v>http://m.12365auto.com/xcdg/20200224/419349.shtml</v>
      </c>
      <c r="G3159" s="2"/>
      <c r="H3159" s="2" t="s">
        <v>4554</v>
      </c>
      <c r="I3159" s="2" t="s">
        <v>19</v>
      </c>
      <c r="J3159" s="2" t="s">
        <v>1831</v>
      </c>
      <c r="K3159" s="2" t="s">
        <v>4555</v>
      </c>
      <c r="L3159" s="2">
        <f t="shared" si="49"/>
        <v>150</v>
      </c>
    </row>
    <row r="3160" spans="1:12" ht="25" customHeight="1">
      <c r="A3160" s="2" t="s">
        <v>12</v>
      </c>
      <c r="B3160" s="2" t="str">
        <f>HYPERLINK("http://www.12365auto.com/xcdg/20200224/419349.shtml","或超200万元的新名片 雷克萨斯LM开启销售")</f>
        <v>或超200万元的新名片 雷克萨斯LM开启销售</v>
      </c>
      <c r="C3160" s="2" t="s">
        <v>13</v>
      </c>
      <c r="D3160" s="2" t="s">
        <v>12</v>
      </c>
      <c r="E3160" s="2" t="s">
        <v>245</v>
      </c>
      <c r="F3160" s="2" t="str">
        <f>HYPERLINK("http://www.12365auto.com/xcdg/20200224/419349.shtml","http://www.12365auto.com/xcdg/20200224/419349.shtml")</f>
        <v>http://www.12365auto.com/xcdg/20200224/419349.shtml</v>
      </c>
      <c r="G3160" s="2"/>
      <c r="H3160" s="2" t="s">
        <v>4556</v>
      </c>
      <c r="I3160" s="2" t="s">
        <v>19</v>
      </c>
      <c r="J3160" s="2" t="s">
        <v>12</v>
      </c>
      <c r="K3160" s="2" t="s">
        <v>4555</v>
      </c>
      <c r="L3160" s="2">
        <f t="shared" si="49"/>
        <v>150</v>
      </c>
    </row>
    <row r="3161" spans="1:12" ht="25" customHeight="1">
      <c r="A3161" s="2" t="s">
        <v>12</v>
      </c>
      <c r="B3161" s="2" t="str">
        <f>HYPERLINK("http://m.12365auto.com/bbs/postcontent.aspx?tID=194968","私家车消毒指南 你需要认真看")</f>
        <v>私家车消毒指南 你需要认真看</v>
      </c>
      <c r="C3161" s="2" t="s">
        <v>13</v>
      </c>
      <c r="D3161" s="2" t="s">
        <v>23</v>
      </c>
      <c r="E3161" s="2"/>
      <c r="F3161" s="2" t="str">
        <f>HYPERLINK("http://m.12365auto.com/bbs/postcontent.aspx?tID=194968","http://m.12365auto.com/bbs/postcontent.aspx?tID=194968")</f>
        <v>http://m.12365auto.com/bbs/postcontent.aspx?tID=194968</v>
      </c>
      <c r="G3161" s="2"/>
      <c r="H3161" s="2" t="s">
        <v>4557</v>
      </c>
      <c r="I3161" s="2" t="s">
        <v>15</v>
      </c>
      <c r="J3161" s="2" t="s">
        <v>949</v>
      </c>
      <c r="K3161" s="2" t="s">
        <v>4558</v>
      </c>
      <c r="L3161" s="2">
        <f t="shared" si="49"/>
        <v>150</v>
      </c>
    </row>
    <row r="3162" spans="1:12" ht="25" customHeight="1">
      <c r="A3162" s="2" t="s">
        <v>12</v>
      </c>
      <c r="B3162" s="2" t="str">
        <f>HYPERLINK("http://bbs.12365auto.com/postcontent.aspx?tID=194968","私家车消毒指南 你需要认真看")</f>
        <v>私家车消毒指南 你需要认真看</v>
      </c>
      <c r="C3162" s="2" t="s">
        <v>13</v>
      </c>
      <c r="D3162" s="2" t="s">
        <v>12</v>
      </c>
      <c r="E3162" s="2" t="s">
        <v>214</v>
      </c>
      <c r="F3162" s="2" t="str">
        <f>HYPERLINK("http://bbs.12365auto.com/postcontent.aspx?tID=194968","http://bbs.12365auto.com/postcontent.aspx?tID=194968")</f>
        <v>http://bbs.12365auto.com/postcontent.aspx?tID=194968</v>
      </c>
      <c r="G3162" s="2"/>
      <c r="H3162" s="2" t="s">
        <v>4559</v>
      </c>
      <c r="I3162" s="2" t="s">
        <v>15</v>
      </c>
      <c r="J3162" s="2" t="s">
        <v>949</v>
      </c>
      <c r="K3162" s="2" t="s">
        <v>4558</v>
      </c>
      <c r="L3162" s="2">
        <f t="shared" si="49"/>
        <v>150</v>
      </c>
    </row>
    <row r="3163" spans="1:12" ht="25" customHeight="1">
      <c r="A3163" s="2" t="s">
        <v>12</v>
      </c>
      <c r="B3163" s="2" t="str">
        <f>HYPERLINK("http://bbs.12365auto.com/postcontent.aspx?tID=194967","国产车为什么很少有六缸以上的发动机")</f>
        <v>国产车为什么很少有六缸以上的发动机</v>
      </c>
      <c r="C3163" s="2" t="s">
        <v>13</v>
      </c>
      <c r="D3163" s="2" t="s">
        <v>12</v>
      </c>
      <c r="E3163" s="2" t="s">
        <v>214</v>
      </c>
      <c r="F3163" s="2" t="str">
        <f>HYPERLINK("http://bbs.12365auto.com/postcontent.aspx?tID=194967","http://bbs.12365auto.com/postcontent.aspx?tID=194967")</f>
        <v>http://bbs.12365auto.com/postcontent.aspx?tID=194967</v>
      </c>
      <c r="G3163" s="2"/>
      <c r="H3163" s="2" t="s">
        <v>4560</v>
      </c>
      <c r="I3163" s="2" t="s">
        <v>15</v>
      </c>
      <c r="J3163" s="2" t="s">
        <v>4561</v>
      </c>
      <c r="K3163" s="2" t="s">
        <v>4558</v>
      </c>
      <c r="L3163" s="2">
        <f t="shared" si="49"/>
        <v>150</v>
      </c>
    </row>
    <row r="3164" spans="1:12" ht="25" customHeight="1">
      <c r="A3164" s="2" t="s">
        <v>12</v>
      </c>
      <c r="B3164" s="2" t="str">
        <f>HYPERLINK("http://bbs.12365auto.com/postcontent.aspx?tId=194967","国产车为什么很少有六缸以上的发动机")</f>
        <v>国产车为什么很少有六缸以上的发动机</v>
      </c>
      <c r="C3164" s="2" t="s">
        <v>13</v>
      </c>
      <c r="D3164" s="2" t="s">
        <v>12</v>
      </c>
      <c r="E3164" s="2" t="s">
        <v>210</v>
      </c>
      <c r="F3164" s="2" t="str">
        <f>HYPERLINK("http://bbs.12365auto.com/postcontent.aspx?tId=194967","http://bbs.12365auto.com/postcontent.aspx?tId=194967")</f>
        <v>http://bbs.12365auto.com/postcontent.aspx?tId=194967</v>
      </c>
      <c r="G3164" s="2"/>
      <c r="H3164" s="2" t="s">
        <v>4562</v>
      </c>
      <c r="I3164" s="2" t="s">
        <v>15</v>
      </c>
      <c r="J3164" s="2" t="s">
        <v>4561</v>
      </c>
      <c r="K3164" s="2" t="s">
        <v>4558</v>
      </c>
      <c r="L3164" s="2">
        <f t="shared" si="49"/>
        <v>150</v>
      </c>
    </row>
    <row r="3165" spans="1:12" ht="25" customHeight="1">
      <c r="A3165" s="2" t="s">
        <v>12</v>
      </c>
      <c r="B3165" s="2" t="str">
        <f>HYPERLINK("http://m.12365auto.com/bbs/postcontent.aspx?tID=194967","国产车为什么很少有六缸以上的发动机")</f>
        <v>国产车为什么很少有六缸以上的发动机</v>
      </c>
      <c r="C3165" s="2" t="s">
        <v>13</v>
      </c>
      <c r="D3165" s="2" t="s">
        <v>23</v>
      </c>
      <c r="E3165" s="2"/>
      <c r="F3165" s="2" t="str">
        <f>HYPERLINK("http://m.12365auto.com/bbs/postcontent.aspx?tID=194967","http://m.12365auto.com/bbs/postcontent.aspx?tID=194967")</f>
        <v>http://m.12365auto.com/bbs/postcontent.aspx?tID=194967</v>
      </c>
      <c r="G3165" s="2"/>
      <c r="H3165" s="2" t="s">
        <v>4562</v>
      </c>
      <c r="I3165" s="2" t="s">
        <v>15</v>
      </c>
      <c r="J3165" s="2" t="s">
        <v>4561</v>
      </c>
      <c r="K3165" s="2" t="s">
        <v>4558</v>
      </c>
      <c r="L3165" s="2">
        <f t="shared" si="49"/>
        <v>150</v>
      </c>
    </row>
    <row r="3166" spans="1:12" ht="25" customHeight="1">
      <c r="A3166" s="2" t="s">
        <v>12</v>
      </c>
      <c r="B3166" s="2" t="str">
        <f>HYPERLINK("http://bbs.12365auto.com/postcontent.aspx?tId=194968","私家车消毒指南 你需要认真看")</f>
        <v>私家车消毒指南 你需要认真看</v>
      </c>
      <c r="C3166" s="2" t="s">
        <v>13</v>
      </c>
      <c r="D3166" s="2" t="s">
        <v>12</v>
      </c>
      <c r="E3166" s="2" t="s">
        <v>210</v>
      </c>
      <c r="F3166" s="2" t="str">
        <f>HYPERLINK("http://bbs.12365auto.com/postcontent.aspx?tId=194968","http://bbs.12365auto.com/postcontent.aspx?tId=194968")</f>
        <v>http://bbs.12365auto.com/postcontent.aspx?tId=194968</v>
      </c>
      <c r="G3166" s="2"/>
      <c r="H3166" s="2" t="s">
        <v>4557</v>
      </c>
      <c r="I3166" s="2" t="s">
        <v>15</v>
      </c>
      <c r="J3166" s="2" t="s">
        <v>949</v>
      </c>
      <c r="K3166" s="2" t="s">
        <v>4558</v>
      </c>
      <c r="L3166" s="2">
        <f t="shared" si="49"/>
        <v>150</v>
      </c>
    </row>
    <row r="3167" spans="1:12" ht="25" customHeight="1">
      <c r="A3167" s="2" t="s">
        <v>12</v>
      </c>
      <c r="B3167" s="2" t="str">
        <f>HYPERLINK("http://m.12365auto.com/bbs/postcontent.aspx?tID=194965","“抱着方向盘”是最傻的开车姿势")</f>
        <v>“抱着方向盘”是最傻的开车姿势</v>
      </c>
      <c r="C3167" s="2" t="s">
        <v>13</v>
      </c>
      <c r="D3167" s="2" t="s">
        <v>23</v>
      </c>
      <c r="E3167" s="2"/>
      <c r="F3167" s="2" t="str">
        <f>HYPERLINK("http://m.12365auto.com/bbs/postcontent.aspx?tID=194965","http://m.12365auto.com/bbs/postcontent.aspx?tID=194965")</f>
        <v>http://m.12365auto.com/bbs/postcontent.aspx?tID=194965</v>
      </c>
      <c r="G3167" s="2"/>
      <c r="H3167" s="2" t="s">
        <v>4563</v>
      </c>
      <c r="I3167" s="2" t="s">
        <v>15</v>
      </c>
      <c r="J3167" s="2" t="s">
        <v>949</v>
      </c>
      <c r="K3167" s="2" t="s">
        <v>4564</v>
      </c>
      <c r="L3167" s="2">
        <f t="shared" si="49"/>
        <v>150</v>
      </c>
    </row>
    <row r="3168" spans="1:12" ht="25" customHeight="1">
      <c r="A3168" s="2" t="s">
        <v>12</v>
      </c>
      <c r="B3168" s="2" t="str">
        <f>HYPERLINK("http://bbs.12365auto.com/postcontent.aspx?tID=194965","“抱着方向盘”是最傻的开车姿势")</f>
        <v>“抱着方向盘”是最傻的开车姿势</v>
      </c>
      <c r="C3168" s="2" t="s">
        <v>13</v>
      </c>
      <c r="D3168" s="2" t="s">
        <v>12</v>
      </c>
      <c r="E3168" s="2" t="s">
        <v>214</v>
      </c>
      <c r="F3168" s="2" t="str">
        <f>HYPERLINK("http://bbs.12365auto.com/postcontent.aspx?tID=194965","http://bbs.12365auto.com/postcontent.aspx?tID=194965")</f>
        <v>http://bbs.12365auto.com/postcontent.aspx?tID=194965</v>
      </c>
      <c r="G3168" s="2"/>
      <c r="H3168" s="2" t="s">
        <v>4565</v>
      </c>
      <c r="I3168" s="2" t="s">
        <v>15</v>
      </c>
      <c r="J3168" s="2" t="s">
        <v>949</v>
      </c>
      <c r="K3168" s="2" t="s">
        <v>4564</v>
      </c>
      <c r="L3168" s="2">
        <f t="shared" si="49"/>
        <v>150</v>
      </c>
    </row>
    <row r="3169" spans="1:12" ht="25" customHeight="1">
      <c r="A3169" s="2" t="s">
        <v>12</v>
      </c>
      <c r="B3169" s="2" t="str">
        <f>HYPERLINK("http://bbs.12365auto.com/postcontent.aspx?tID=194966","怎样开车最省油 这些经验学会一个月省500")</f>
        <v>怎样开车最省油 这些经验学会一个月省500</v>
      </c>
      <c r="C3169" s="2" t="s">
        <v>13</v>
      </c>
      <c r="D3169" s="2" t="s">
        <v>12</v>
      </c>
      <c r="E3169" s="2" t="s">
        <v>214</v>
      </c>
      <c r="F3169" s="2" t="str">
        <f>HYPERLINK("http://bbs.12365auto.com/postcontent.aspx?tID=194966","http://bbs.12365auto.com/postcontent.aspx?tID=194966")</f>
        <v>http://bbs.12365auto.com/postcontent.aspx?tID=194966</v>
      </c>
      <c r="G3169" s="2"/>
      <c r="H3169" s="2" t="s">
        <v>4566</v>
      </c>
      <c r="I3169" s="2" t="s">
        <v>15</v>
      </c>
      <c r="J3169" s="2" t="s">
        <v>4561</v>
      </c>
      <c r="K3169" s="2" t="s">
        <v>4564</v>
      </c>
      <c r="L3169" s="2">
        <f t="shared" si="49"/>
        <v>150</v>
      </c>
    </row>
    <row r="3170" spans="1:12" ht="25" customHeight="1">
      <c r="A3170" s="2" t="s">
        <v>12</v>
      </c>
      <c r="B3170" s="2" t="str">
        <f>HYPERLINK("http://bbs.12365auto.com/postcontent.aspx?tID=194963","汽车的车门翼子板这些大件是怎么造出来的")</f>
        <v>汽车的车门翼子板这些大件是怎么造出来的</v>
      </c>
      <c r="C3170" s="2" t="s">
        <v>13</v>
      </c>
      <c r="D3170" s="2" t="s">
        <v>12</v>
      </c>
      <c r="E3170" s="2" t="s">
        <v>214</v>
      </c>
      <c r="F3170" s="2" t="str">
        <f>HYPERLINK("http://bbs.12365auto.com/postcontent.aspx?tID=194963","http://bbs.12365auto.com/postcontent.aspx?tID=194963")</f>
        <v>http://bbs.12365auto.com/postcontent.aspx?tID=194963</v>
      </c>
      <c r="G3170" s="2"/>
      <c r="H3170" s="2" t="s">
        <v>4567</v>
      </c>
      <c r="I3170" s="2" t="s">
        <v>15</v>
      </c>
      <c r="J3170" s="2" t="s">
        <v>4561</v>
      </c>
      <c r="K3170" s="2" t="s">
        <v>4564</v>
      </c>
      <c r="L3170" s="2">
        <f t="shared" si="49"/>
        <v>150</v>
      </c>
    </row>
    <row r="3171" spans="1:12" ht="25" customHeight="1">
      <c r="A3171" s="2" t="s">
        <v>12</v>
      </c>
      <c r="B3171" s="2" t="str">
        <f>HYPERLINK("http://bbs.12365auto.com/postcontent.aspx?tID=194964","为什么说买车后悔一时 不买车后悔一辈子")</f>
        <v>为什么说买车后悔一时 不买车后悔一辈子</v>
      </c>
      <c r="C3171" s="2" t="s">
        <v>13</v>
      </c>
      <c r="D3171" s="2" t="s">
        <v>12</v>
      </c>
      <c r="E3171" s="2" t="s">
        <v>214</v>
      </c>
      <c r="F3171" s="2" t="str">
        <f>HYPERLINK("http://bbs.12365auto.com/postcontent.aspx?tID=194964","http://bbs.12365auto.com/postcontent.aspx?tID=194964")</f>
        <v>http://bbs.12365auto.com/postcontent.aspx?tID=194964</v>
      </c>
      <c r="G3171" s="2"/>
      <c r="H3171" s="2" t="s">
        <v>4568</v>
      </c>
      <c r="I3171" s="2" t="s">
        <v>15</v>
      </c>
      <c r="J3171" s="2" t="s">
        <v>4561</v>
      </c>
      <c r="K3171" s="2" t="s">
        <v>4564</v>
      </c>
      <c r="L3171" s="2">
        <f t="shared" si="49"/>
        <v>150</v>
      </c>
    </row>
    <row r="3172" spans="1:12" ht="25" customHeight="1">
      <c r="A3172" s="2" t="s">
        <v>12</v>
      </c>
      <c r="B3172" s="2" t="str">
        <f>HYPERLINK("http://bbs.12365auto.com/postcontent.aspx?tId=194966","怎样开车最省油 这些经验学会一个月省500")</f>
        <v>怎样开车最省油 这些经验学会一个月省500</v>
      </c>
      <c r="C3172" s="2" t="s">
        <v>13</v>
      </c>
      <c r="D3172" s="2" t="s">
        <v>12</v>
      </c>
      <c r="E3172" s="2" t="s">
        <v>210</v>
      </c>
      <c r="F3172" s="2" t="str">
        <f>HYPERLINK("http://bbs.12365auto.com/postcontent.aspx?tId=194966","http://bbs.12365auto.com/postcontent.aspx?tId=194966")</f>
        <v>http://bbs.12365auto.com/postcontent.aspx?tId=194966</v>
      </c>
      <c r="G3172" s="2"/>
      <c r="H3172" s="2" t="s">
        <v>4569</v>
      </c>
      <c r="I3172" s="2" t="s">
        <v>15</v>
      </c>
      <c r="J3172" s="2" t="s">
        <v>4561</v>
      </c>
      <c r="K3172" s="2" t="s">
        <v>4564</v>
      </c>
      <c r="L3172" s="2">
        <f t="shared" si="49"/>
        <v>150</v>
      </c>
    </row>
    <row r="3173" spans="1:12" ht="25" customHeight="1">
      <c r="A3173" s="2" t="s">
        <v>12</v>
      </c>
      <c r="B3173" s="2" t="str">
        <f>HYPERLINK("http://bbs.12365auto.com/postcontent.aspx?tId=194964","为什么说买车后悔一时 不买车后悔一辈子")</f>
        <v>为什么说买车后悔一时 不买车后悔一辈子</v>
      </c>
      <c r="C3173" s="2" t="s">
        <v>13</v>
      </c>
      <c r="D3173" s="2" t="s">
        <v>12</v>
      </c>
      <c r="E3173" s="2" t="s">
        <v>210</v>
      </c>
      <c r="F3173" s="2" t="str">
        <f>HYPERLINK("http://bbs.12365auto.com/postcontent.aspx?tId=194964","http://bbs.12365auto.com/postcontent.aspx?tId=194964")</f>
        <v>http://bbs.12365auto.com/postcontent.aspx?tId=194964</v>
      </c>
      <c r="G3173" s="2"/>
      <c r="H3173" s="2" t="s">
        <v>4570</v>
      </c>
      <c r="I3173" s="2" t="s">
        <v>15</v>
      </c>
      <c r="J3173" s="2" t="s">
        <v>4561</v>
      </c>
      <c r="K3173" s="2" t="s">
        <v>4564</v>
      </c>
      <c r="L3173" s="2">
        <f t="shared" si="49"/>
        <v>150</v>
      </c>
    </row>
    <row r="3174" spans="1:12" ht="25" customHeight="1">
      <c r="A3174" s="2" t="s">
        <v>12</v>
      </c>
      <c r="B3174" s="2" t="str">
        <f>HYPERLINK("http://bbs.12365auto.com/postcontent.aspx?tId=194963","汽车的车门翼子板这些大件是怎么造出来的")</f>
        <v>汽车的车门翼子板这些大件是怎么造出来的</v>
      </c>
      <c r="C3174" s="2" t="s">
        <v>13</v>
      </c>
      <c r="D3174" s="2" t="s">
        <v>12</v>
      </c>
      <c r="E3174" s="2" t="s">
        <v>210</v>
      </c>
      <c r="F3174" s="2" t="str">
        <f>HYPERLINK("http://bbs.12365auto.com/postcontent.aspx?tId=194963","http://bbs.12365auto.com/postcontent.aspx?tId=194963")</f>
        <v>http://bbs.12365auto.com/postcontent.aspx?tId=194963</v>
      </c>
      <c r="G3174" s="2"/>
      <c r="H3174" s="2" t="s">
        <v>4571</v>
      </c>
      <c r="I3174" s="2" t="s">
        <v>15</v>
      </c>
      <c r="J3174" s="2" t="s">
        <v>4561</v>
      </c>
      <c r="K3174" s="2" t="s">
        <v>4564</v>
      </c>
      <c r="L3174" s="2">
        <f t="shared" si="49"/>
        <v>150</v>
      </c>
    </row>
    <row r="3175" spans="1:12" ht="25" customHeight="1">
      <c r="A3175" s="2" t="s">
        <v>12</v>
      </c>
      <c r="B3175" s="2" t="str">
        <f>HYPERLINK("http://m.12365auto.com/bbs/postcontent.aspx?tID=194966","怎样开车最省油 这些经验学会一个月省500")</f>
        <v>怎样开车最省油 这些经验学会一个月省500</v>
      </c>
      <c r="C3175" s="2" t="s">
        <v>13</v>
      </c>
      <c r="D3175" s="2" t="s">
        <v>23</v>
      </c>
      <c r="E3175" s="2"/>
      <c r="F3175" s="2" t="str">
        <f>HYPERLINK("http://m.12365auto.com/bbs/postcontent.aspx?tID=194966","http://m.12365auto.com/bbs/postcontent.aspx?tID=194966")</f>
        <v>http://m.12365auto.com/bbs/postcontent.aspx?tID=194966</v>
      </c>
      <c r="G3175" s="2"/>
      <c r="H3175" s="2" t="s">
        <v>4569</v>
      </c>
      <c r="I3175" s="2" t="s">
        <v>15</v>
      </c>
      <c r="J3175" s="2" t="s">
        <v>4561</v>
      </c>
      <c r="K3175" s="2" t="s">
        <v>4564</v>
      </c>
      <c r="L3175" s="2">
        <f t="shared" si="49"/>
        <v>150</v>
      </c>
    </row>
    <row r="3176" spans="1:12" ht="25" customHeight="1">
      <c r="A3176" s="2" t="s">
        <v>12</v>
      </c>
      <c r="B3176" s="2" t="str">
        <f>HYPERLINK("http://m.12365auto.com/bbs/postcontent.aspx?tID=194964","为什么说买车后悔一时 不买车后悔一辈子")</f>
        <v>为什么说买车后悔一时 不买车后悔一辈子</v>
      </c>
      <c r="C3176" s="2" t="s">
        <v>13</v>
      </c>
      <c r="D3176" s="2" t="s">
        <v>23</v>
      </c>
      <c r="E3176" s="2"/>
      <c r="F3176" s="2" t="str">
        <f>HYPERLINK("http://m.12365auto.com/bbs/postcontent.aspx?tID=194964","http://m.12365auto.com/bbs/postcontent.aspx?tID=194964")</f>
        <v>http://m.12365auto.com/bbs/postcontent.aspx?tID=194964</v>
      </c>
      <c r="G3176" s="2"/>
      <c r="H3176" s="2" t="s">
        <v>4570</v>
      </c>
      <c r="I3176" s="2" t="s">
        <v>15</v>
      </c>
      <c r="J3176" s="2" t="s">
        <v>4561</v>
      </c>
      <c r="K3176" s="2" t="s">
        <v>4564</v>
      </c>
      <c r="L3176" s="2">
        <f t="shared" si="49"/>
        <v>150</v>
      </c>
    </row>
    <row r="3177" spans="1:12" ht="25" customHeight="1">
      <c r="A3177" s="2" t="s">
        <v>12</v>
      </c>
      <c r="B3177" s="2" t="str">
        <f>HYPERLINK("http://m.12365auto.com/bbs/postcontent.aspx?tID=194963","汽车的车门翼子板这些大件是怎么造出来的")</f>
        <v>汽车的车门翼子板这些大件是怎么造出来的</v>
      </c>
      <c r="C3177" s="2" t="s">
        <v>13</v>
      </c>
      <c r="D3177" s="2" t="s">
        <v>23</v>
      </c>
      <c r="E3177" s="2"/>
      <c r="F3177" s="2" t="str">
        <f>HYPERLINK("http://m.12365auto.com/bbs/postcontent.aspx?tID=194963","http://m.12365auto.com/bbs/postcontent.aspx?tID=194963")</f>
        <v>http://m.12365auto.com/bbs/postcontent.aspx?tID=194963</v>
      </c>
      <c r="G3177" s="2"/>
      <c r="H3177" s="2" t="s">
        <v>4571</v>
      </c>
      <c r="I3177" s="2" t="s">
        <v>15</v>
      </c>
      <c r="J3177" s="2" t="s">
        <v>4561</v>
      </c>
      <c r="K3177" s="2" t="s">
        <v>4564</v>
      </c>
      <c r="L3177" s="2">
        <f t="shared" si="49"/>
        <v>150</v>
      </c>
    </row>
    <row r="3178" spans="1:12" ht="25" customHeight="1">
      <c r="A3178" s="2" t="s">
        <v>12</v>
      </c>
      <c r="B3178" s="2" t="str">
        <f>HYPERLINK("http://bbs.12365auto.com/postcontent.aspx?tId=194965","“抱着方向盘”是最傻的开车姿势")</f>
        <v>“抱着方向盘”是最傻的开车姿势</v>
      </c>
      <c r="C3178" s="2" t="s">
        <v>13</v>
      </c>
      <c r="D3178" s="2" t="s">
        <v>12</v>
      </c>
      <c r="E3178" s="2" t="s">
        <v>210</v>
      </c>
      <c r="F3178" s="2" t="str">
        <f>HYPERLINK("http://bbs.12365auto.com/postcontent.aspx?tId=194965","http://bbs.12365auto.com/postcontent.aspx?tId=194965")</f>
        <v>http://bbs.12365auto.com/postcontent.aspx?tId=194965</v>
      </c>
      <c r="G3178" s="2"/>
      <c r="H3178" s="2" t="s">
        <v>4563</v>
      </c>
      <c r="I3178" s="2" t="s">
        <v>15</v>
      </c>
      <c r="J3178" s="2" t="s">
        <v>949</v>
      </c>
      <c r="K3178" s="2" t="s">
        <v>4564</v>
      </c>
      <c r="L3178" s="2">
        <f t="shared" si="49"/>
        <v>150</v>
      </c>
    </row>
    <row r="3179" spans="1:12" ht="25" customHeight="1">
      <c r="A3179" s="2" t="s">
        <v>12</v>
      </c>
      <c r="B3179" s="2" t="str">
        <f>HYPERLINK("http://www.12365auto.com/xcdg/20200224/419348.shtml","奔驰EQA低伪曝光 EQ电动SUV家族壮大")</f>
        <v>奔驰EQA低伪曝光 EQ电动SUV家族壮大</v>
      </c>
      <c r="C3179" s="2" t="s">
        <v>13</v>
      </c>
      <c r="D3179" s="2" t="s">
        <v>12</v>
      </c>
      <c r="E3179" s="2" t="s">
        <v>224</v>
      </c>
      <c r="F3179" s="2" t="str">
        <f>HYPERLINK("http://www.12365auto.com/xcdg/20200224/419348.shtml","http://www.12365auto.com/xcdg/20200224/419348.shtml")</f>
        <v>http://www.12365auto.com/xcdg/20200224/419348.shtml</v>
      </c>
      <c r="G3179" s="2"/>
      <c r="H3179" s="2" t="s">
        <v>4572</v>
      </c>
      <c r="I3179" s="2" t="s">
        <v>15</v>
      </c>
      <c r="J3179" s="2" t="s">
        <v>12</v>
      </c>
      <c r="K3179" s="2" t="s">
        <v>4573</v>
      </c>
      <c r="L3179" s="2">
        <f t="shared" si="49"/>
        <v>150</v>
      </c>
    </row>
    <row r="3180" spans="1:12" ht="25" customHeight="1">
      <c r="A3180" s="2" t="s">
        <v>12</v>
      </c>
      <c r="B3180" s="2" t="str">
        <f>HYPERLINK("http://m.12365auto.com/xcdg/20200224/419348.shtml","奔驰EQA低伪曝光 EQ电动SUV家族壮大")</f>
        <v>奔驰EQA低伪曝光 EQ电动SUV家族壮大</v>
      </c>
      <c r="C3180" s="2" t="s">
        <v>13</v>
      </c>
      <c r="D3180" s="2" t="s">
        <v>12</v>
      </c>
      <c r="E3180" s="2"/>
      <c r="F3180" s="2" t="str">
        <f>HYPERLINK("http://m.12365auto.com/xcdg/20200224/419348.shtml","http://m.12365auto.com/xcdg/20200224/419348.shtml")</f>
        <v>http://m.12365auto.com/xcdg/20200224/419348.shtml</v>
      </c>
      <c r="G3180" s="2"/>
      <c r="H3180" s="2" t="s">
        <v>4574</v>
      </c>
      <c r="I3180" s="2" t="s">
        <v>19</v>
      </c>
      <c r="J3180" s="2" t="s">
        <v>1923</v>
      </c>
      <c r="K3180" s="2" t="s">
        <v>4573</v>
      </c>
      <c r="L3180" s="2">
        <f t="shared" si="49"/>
        <v>150</v>
      </c>
    </row>
    <row r="3181" spans="1:12" ht="25" customHeight="1">
      <c r="A3181" s="2" t="s">
        <v>12</v>
      </c>
      <c r="B3181" s="2" t="str">
        <f>HYPERLINK("http://m.12365auto.com/bbs/postcontent.aspx?tID=194962","汽车仪表盘指示灯大全")</f>
        <v>汽车仪表盘指示灯大全</v>
      </c>
      <c r="C3181" s="2" t="s">
        <v>13</v>
      </c>
      <c r="D3181" s="2" t="s">
        <v>23</v>
      </c>
      <c r="E3181" s="2"/>
      <c r="F3181" s="2" t="str">
        <f>HYPERLINK("http://m.12365auto.com/bbs/postcontent.aspx?tID=194962","http://m.12365auto.com/bbs/postcontent.aspx?tID=194962")</f>
        <v>http://m.12365auto.com/bbs/postcontent.aspx?tID=194962</v>
      </c>
      <c r="G3181" s="2"/>
      <c r="H3181" s="2" t="s">
        <v>4339</v>
      </c>
      <c r="I3181" s="2" t="s">
        <v>15</v>
      </c>
      <c r="J3181" s="2" t="s">
        <v>949</v>
      </c>
      <c r="K3181" s="2" t="s">
        <v>4575</v>
      </c>
      <c r="L3181" s="2">
        <f t="shared" si="49"/>
        <v>56</v>
      </c>
    </row>
    <row r="3182" spans="1:12" ht="25" customHeight="1">
      <c r="A3182" s="2" t="s">
        <v>12</v>
      </c>
      <c r="B3182" s="2" t="str">
        <f>HYPERLINK("http://bbs.12365auto.com/postcontent.aspx?tID=194961","这是一条能救人命的推送！")</f>
        <v>这是一条能救人命的推送！</v>
      </c>
      <c r="C3182" s="2" t="s">
        <v>13</v>
      </c>
      <c r="D3182" s="2" t="s">
        <v>12</v>
      </c>
      <c r="E3182" s="2" t="s">
        <v>214</v>
      </c>
      <c r="F3182" s="2" t="str">
        <f>HYPERLINK("http://bbs.12365auto.com/postcontent.aspx?tID=194961","http://bbs.12365auto.com/postcontent.aspx?tID=194961")</f>
        <v>http://bbs.12365auto.com/postcontent.aspx?tID=194961</v>
      </c>
      <c r="G3182" s="2"/>
      <c r="H3182" s="2" t="s">
        <v>4576</v>
      </c>
      <c r="I3182" s="2" t="s">
        <v>15</v>
      </c>
      <c r="J3182" s="2" t="s">
        <v>949</v>
      </c>
      <c r="K3182" s="2" t="s">
        <v>4575</v>
      </c>
      <c r="L3182" s="2">
        <f t="shared" si="49"/>
        <v>150</v>
      </c>
    </row>
    <row r="3183" spans="1:12" ht="25" customHeight="1">
      <c r="A3183" s="2" t="s">
        <v>12</v>
      </c>
      <c r="B3183" s="2" t="str">
        <f>HYPERLINK("http://bbs.12365auto.com/postcontent.aspx?tID=194962","汽车仪表盘指示灯大全")</f>
        <v>汽车仪表盘指示灯大全</v>
      </c>
      <c r="C3183" s="2" t="s">
        <v>13</v>
      </c>
      <c r="D3183" s="2" t="s">
        <v>12</v>
      </c>
      <c r="E3183" s="2" t="s">
        <v>214</v>
      </c>
      <c r="F3183" s="2" t="str">
        <f>HYPERLINK("http://bbs.12365auto.com/postcontent.aspx?tID=194962","http://bbs.12365auto.com/postcontent.aspx?tID=194962")</f>
        <v>http://bbs.12365auto.com/postcontent.aspx?tID=194962</v>
      </c>
      <c r="G3183" s="2"/>
      <c r="H3183" s="2" t="s">
        <v>4341</v>
      </c>
      <c r="I3183" s="2" t="s">
        <v>15</v>
      </c>
      <c r="J3183" s="2" t="s">
        <v>949</v>
      </c>
      <c r="K3183" s="2" t="s">
        <v>4575</v>
      </c>
      <c r="L3183" s="2">
        <f t="shared" si="49"/>
        <v>66</v>
      </c>
    </row>
    <row r="3184" spans="1:12" ht="25" customHeight="1">
      <c r="A3184" s="2" t="s">
        <v>12</v>
      </c>
      <c r="B3184" s="2" t="str">
        <f>HYPERLINK("http://bbs.12365auto.com/postcontent.aspx?tId=194961","这是一条能救人命的推送！")</f>
        <v>这是一条能救人命的推送！</v>
      </c>
      <c r="C3184" s="2" t="s">
        <v>13</v>
      </c>
      <c r="D3184" s="2" t="s">
        <v>12</v>
      </c>
      <c r="E3184" s="2" t="s">
        <v>210</v>
      </c>
      <c r="F3184" s="2" t="str">
        <f>HYPERLINK("http://bbs.12365auto.com/postcontent.aspx?tId=194961","http://bbs.12365auto.com/postcontent.aspx?tId=194961")</f>
        <v>http://bbs.12365auto.com/postcontent.aspx?tId=194961</v>
      </c>
      <c r="G3184" s="2"/>
      <c r="H3184" s="2" t="s">
        <v>4577</v>
      </c>
      <c r="I3184" s="2" t="s">
        <v>15</v>
      </c>
      <c r="J3184" s="2" t="s">
        <v>949</v>
      </c>
      <c r="K3184" s="2" t="s">
        <v>4575</v>
      </c>
      <c r="L3184" s="2">
        <f t="shared" si="49"/>
        <v>150</v>
      </c>
    </row>
    <row r="3185" spans="1:12" ht="25" customHeight="1">
      <c r="A3185" s="2" t="s">
        <v>12</v>
      </c>
      <c r="B3185" s="2" t="str">
        <f>HYPERLINK("http://bbs.12365auto.com/postcontent.aspx?tId=194962","汽车仪表盘指示灯大全")</f>
        <v>汽车仪表盘指示灯大全</v>
      </c>
      <c r="C3185" s="2" t="s">
        <v>13</v>
      </c>
      <c r="D3185" s="2" t="s">
        <v>12</v>
      </c>
      <c r="E3185" s="2" t="s">
        <v>210</v>
      </c>
      <c r="F3185" s="2" t="str">
        <f>HYPERLINK("http://bbs.12365auto.com/postcontent.aspx?tId=194962","http://bbs.12365auto.com/postcontent.aspx?tId=194962")</f>
        <v>http://bbs.12365auto.com/postcontent.aspx?tId=194962</v>
      </c>
      <c r="G3185" s="2"/>
      <c r="H3185" s="2" t="s">
        <v>4339</v>
      </c>
      <c r="I3185" s="2" t="s">
        <v>15</v>
      </c>
      <c r="J3185" s="2" t="s">
        <v>949</v>
      </c>
      <c r="K3185" s="2" t="s">
        <v>4575</v>
      </c>
      <c r="L3185" s="2">
        <f t="shared" si="49"/>
        <v>56</v>
      </c>
    </row>
    <row r="3186" spans="1:12" ht="25" customHeight="1">
      <c r="A3186" s="2" t="s">
        <v>12</v>
      </c>
      <c r="B3186" s="2" t="str">
        <f>HYPERLINK("http://bbs.12365auto.com/postcontent.aspx?tID=194960","高速行驶手自一体能否随意切换到手动挡")</f>
        <v>高速行驶手自一体能否随意切换到手动挡</v>
      </c>
      <c r="C3186" s="2" t="s">
        <v>13</v>
      </c>
      <c r="D3186" s="2" t="s">
        <v>12</v>
      </c>
      <c r="E3186" s="2" t="s">
        <v>214</v>
      </c>
      <c r="F3186" s="2" t="str">
        <f>HYPERLINK("http://bbs.12365auto.com/postcontent.aspx?tID=194960","http://bbs.12365auto.com/postcontent.aspx?tID=194960")</f>
        <v>http://bbs.12365auto.com/postcontent.aspx?tID=194960</v>
      </c>
      <c r="G3186" s="2"/>
      <c r="H3186" s="2" t="s">
        <v>4578</v>
      </c>
      <c r="I3186" s="2" t="s">
        <v>15</v>
      </c>
      <c r="J3186" s="2" t="s">
        <v>4561</v>
      </c>
      <c r="K3186" s="2" t="s">
        <v>4579</v>
      </c>
      <c r="L3186" s="2">
        <f t="shared" si="49"/>
        <v>150</v>
      </c>
    </row>
    <row r="3187" spans="1:12" ht="25" customHeight="1">
      <c r="A3187" s="2" t="s">
        <v>12</v>
      </c>
      <c r="B3187" s="2" t="str">
        <f>HYPERLINK("http://bbs.12365auto.com/postcontent.aspx?tId=194960","高速行驶手自一体能否随意切换到手动挡")</f>
        <v>高速行驶手自一体能否随意切换到手动挡</v>
      </c>
      <c r="C3187" s="2" t="s">
        <v>13</v>
      </c>
      <c r="D3187" s="2" t="s">
        <v>12</v>
      </c>
      <c r="E3187" s="2" t="s">
        <v>210</v>
      </c>
      <c r="F3187" s="2" t="str">
        <f>HYPERLINK("http://bbs.12365auto.com/postcontent.aspx?tId=194960","http://bbs.12365auto.com/postcontent.aspx?tId=194960")</f>
        <v>http://bbs.12365auto.com/postcontent.aspx?tId=194960</v>
      </c>
      <c r="G3187" s="2"/>
      <c r="H3187" s="2" t="s">
        <v>4580</v>
      </c>
      <c r="I3187" s="2" t="s">
        <v>15</v>
      </c>
      <c r="J3187" s="2" t="s">
        <v>4561</v>
      </c>
      <c r="K3187" s="2" t="s">
        <v>4579</v>
      </c>
      <c r="L3187" s="2">
        <f t="shared" si="49"/>
        <v>150</v>
      </c>
    </row>
    <row r="3188" spans="1:12" ht="25" customHeight="1">
      <c r="A3188" s="2" t="s">
        <v>12</v>
      </c>
      <c r="B3188" s="2" t="str">
        <f>HYPERLINK("http://m.12365auto.com/bbs/postcontent.aspx?tID=194960","高速行驶手自一体能否随意切换到手动挡")</f>
        <v>高速行驶手自一体能否随意切换到手动挡</v>
      </c>
      <c r="C3188" s="2" t="s">
        <v>13</v>
      </c>
      <c r="D3188" s="2" t="s">
        <v>23</v>
      </c>
      <c r="E3188" s="2"/>
      <c r="F3188" s="2" t="str">
        <f>HYPERLINK("http://m.12365auto.com/bbs/postcontent.aspx?tID=194960","http://m.12365auto.com/bbs/postcontent.aspx?tID=194960")</f>
        <v>http://m.12365auto.com/bbs/postcontent.aspx?tID=194960</v>
      </c>
      <c r="G3188" s="2"/>
      <c r="H3188" s="2" t="s">
        <v>4580</v>
      </c>
      <c r="I3188" s="2" t="s">
        <v>15</v>
      </c>
      <c r="J3188" s="2" t="s">
        <v>4561</v>
      </c>
      <c r="K3188" s="2" t="s">
        <v>4579</v>
      </c>
      <c r="L3188" s="2">
        <f t="shared" si="49"/>
        <v>150</v>
      </c>
    </row>
    <row r="3189" spans="1:12" ht="25" customHeight="1">
      <c r="A3189" s="2" t="s">
        <v>12</v>
      </c>
      <c r="B3189" s="2" t="str">
        <f>HYPERLINK("http://www.12365auto.com/zlts/20200224/448446.shtml","吉利帝豪GS新车行驶两百公里发动机故障灯亮")</f>
        <v>吉利帝豪GS新车行驶两百公里发动机故障灯亮</v>
      </c>
      <c r="C3189" s="2" t="s">
        <v>13</v>
      </c>
      <c r="D3189" s="2" t="s">
        <v>12</v>
      </c>
      <c r="E3189" s="2" t="s">
        <v>17</v>
      </c>
      <c r="F3189" s="2" t="str">
        <f>HYPERLINK("http://www.12365auto.com/zlts/20200224/448446.shtml","http://www.12365auto.com/zlts/20200224/448446.shtml")</f>
        <v>http://www.12365auto.com/zlts/20200224/448446.shtml</v>
      </c>
      <c r="G3189" s="2"/>
      <c r="H3189" s="2" t="s">
        <v>4581</v>
      </c>
      <c r="I3189" s="2" t="s">
        <v>15</v>
      </c>
      <c r="J3189" s="2" t="s">
        <v>12</v>
      </c>
      <c r="K3189" s="2" t="s">
        <v>4582</v>
      </c>
      <c r="L3189" s="2">
        <f t="shared" si="49"/>
        <v>150</v>
      </c>
    </row>
    <row r="3190" spans="1:12" ht="25" customHeight="1">
      <c r="A3190" s="2" t="s">
        <v>12</v>
      </c>
      <c r="B3190" s="2" t="str">
        <f>HYPERLINK("http://bbs.12365auto.com/postcontent.aspx?tID=194958","加了高标号汽油反而更省油吗")</f>
        <v>加了高标号汽油反而更省油吗</v>
      </c>
      <c r="C3190" s="2" t="s">
        <v>13</v>
      </c>
      <c r="D3190" s="2" t="s">
        <v>12</v>
      </c>
      <c r="E3190" s="2" t="s">
        <v>214</v>
      </c>
      <c r="F3190" s="2" t="str">
        <f>HYPERLINK("http://bbs.12365auto.com/postcontent.aspx?tID=194958","http://bbs.12365auto.com/postcontent.aspx?tID=194958")</f>
        <v>http://bbs.12365auto.com/postcontent.aspx?tID=194958</v>
      </c>
      <c r="G3190" s="2"/>
      <c r="H3190" s="2" t="s">
        <v>4583</v>
      </c>
      <c r="I3190" s="2" t="s">
        <v>15</v>
      </c>
      <c r="J3190" s="2" t="s">
        <v>4561</v>
      </c>
      <c r="K3190" s="2" t="s">
        <v>4582</v>
      </c>
      <c r="L3190" s="2">
        <f t="shared" si="49"/>
        <v>150</v>
      </c>
    </row>
    <row r="3191" spans="1:12" ht="25" customHeight="1">
      <c r="A3191" s="2" t="s">
        <v>12</v>
      </c>
      <c r="B3191" s="2" t="str">
        <f>HYPERLINK("http://bbs.12365auto.com/postcontent.aspx?tID=194959","发动机大修后有可能达到原车品质吗")</f>
        <v>发动机大修后有可能达到原车品质吗</v>
      </c>
      <c r="C3191" s="2" t="s">
        <v>13</v>
      </c>
      <c r="D3191" s="2" t="s">
        <v>12</v>
      </c>
      <c r="E3191" s="2" t="s">
        <v>214</v>
      </c>
      <c r="F3191" s="2" t="str">
        <f>HYPERLINK("http://bbs.12365auto.com/postcontent.aspx?tID=194959","http://bbs.12365auto.com/postcontent.aspx?tID=194959")</f>
        <v>http://bbs.12365auto.com/postcontent.aspx?tID=194959</v>
      </c>
      <c r="G3191" s="2"/>
      <c r="H3191" s="2" t="s">
        <v>4584</v>
      </c>
      <c r="I3191" s="2" t="s">
        <v>15</v>
      </c>
      <c r="J3191" s="2" t="s">
        <v>4561</v>
      </c>
      <c r="K3191" s="2" t="s">
        <v>4582</v>
      </c>
      <c r="L3191" s="2">
        <f t="shared" si="49"/>
        <v>150</v>
      </c>
    </row>
    <row r="3192" spans="1:12" ht="25" customHeight="1">
      <c r="A3192" s="2" t="s">
        <v>12</v>
      </c>
      <c r="B3192" s="2" t="str">
        <f>HYPERLINK("http://bbs.12365auto.com/postcontent.aspx?tId=194958","加了高标号汽油反而更省油吗")</f>
        <v>加了高标号汽油反而更省油吗</v>
      </c>
      <c r="C3192" s="2" t="s">
        <v>13</v>
      </c>
      <c r="D3192" s="2" t="s">
        <v>12</v>
      </c>
      <c r="E3192" s="2" t="s">
        <v>210</v>
      </c>
      <c r="F3192" s="2" t="str">
        <f>HYPERLINK("http://bbs.12365auto.com/postcontent.aspx?tId=194958","http://bbs.12365auto.com/postcontent.aspx?tId=194958")</f>
        <v>http://bbs.12365auto.com/postcontent.aspx?tId=194958</v>
      </c>
      <c r="G3192" s="2"/>
      <c r="H3192" s="2" t="s">
        <v>4585</v>
      </c>
      <c r="I3192" s="2" t="s">
        <v>15</v>
      </c>
      <c r="J3192" s="2" t="s">
        <v>4561</v>
      </c>
      <c r="K3192" s="2" t="s">
        <v>4582</v>
      </c>
      <c r="L3192" s="2">
        <f t="shared" si="49"/>
        <v>150</v>
      </c>
    </row>
    <row r="3193" spans="1:12" ht="25" customHeight="1">
      <c r="A3193" s="2" t="s">
        <v>12</v>
      </c>
      <c r="B3193" s="2" t="str">
        <f>HYPERLINK("http://bbs.12365auto.com/postcontent.aspx?tId=194959","发动机大修后有可能达到原车品质吗")</f>
        <v>发动机大修后有可能达到原车品质吗</v>
      </c>
      <c r="C3193" s="2" t="s">
        <v>13</v>
      </c>
      <c r="D3193" s="2" t="s">
        <v>12</v>
      </c>
      <c r="E3193" s="2" t="s">
        <v>210</v>
      </c>
      <c r="F3193" s="2" t="str">
        <f>HYPERLINK("http://bbs.12365auto.com/postcontent.aspx?tId=194959","http://bbs.12365auto.com/postcontent.aspx?tId=194959")</f>
        <v>http://bbs.12365auto.com/postcontent.aspx?tId=194959</v>
      </c>
      <c r="G3193" s="2"/>
      <c r="H3193" s="2" t="s">
        <v>4586</v>
      </c>
      <c r="I3193" s="2" t="s">
        <v>15</v>
      </c>
      <c r="J3193" s="2" t="s">
        <v>4561</v>
      </c>
      <c r="K3193" s="2" t="s">
        <v>4582</v>
      </c>
      <c r="L3193" s="2">
        <f t="shared" si="49"/>
        <v>150</v>
      </c>
    </row>
    <row r="3194" spans="1:12" ht="25" customHeight="1">
      <c r="A3194" s="2" t="s">
        <v>12</v>
      </c>
      <c r="B3194" s="2" t="str">
        <f>HYPERLINK("http://m.12365auto.com/bbs/postcontent.aspx?tID=194959","发动机大修后有可能达到原车品质吗")</f>
        <v>发动机大修后有可能达到原车品质吗</v>
      </c>
      <c r="C3194" s="2" t="s">
        <v>13</v>
      </c>
      <c r="D3194" s="2" t="s">
        <v>23</v>
      </c>
      <c r="E3194" s="2"/>
      <c r="F3194" s="2" t="str">
        <f>HYPERLINK("http://m.12365auto.com/bbs/postcontent.aspx?tID=194959","http://m.12365auto.com/bbs/postcontent.aspx?tID=194959")</f>
        <v>http://m.12365auto.com/bbs/postcontent.aspx?tID=194959</v>
      </c>
      <c r="G3194" s="2"/>
      <c r="H3194" s="2" t="s">
        <v>4586</v>
      </c>
      <c r="I3194" s="2" t="s">
        <v>15</v>
      </c>
      <c r="J3194" s="2" t="s">
        <v>4561</v>
      </c>
      <c r="K3194" s="2" t="s">
        <v>4582</v>
      </c>
      <c r="L3194" s="2">
        <f t="shared" si="49"/>
        <v>150</v>
      </c>
    </row>
    <row r="3195" spans="1:12" ht="25" customHeight="1">
      <c r="A3195" s="2" t="s">
        <v>12</v>
      </c>
      <c r="B3195" s="2" t="str">
        <f>HYPERLINK("http://m.12365auto.com/bbs/postcontent.aspx?tID=194958","加了高标号汽油反而更省油吗")</f>
        <v>加了高标号汽油反而更省油吗</v>
      </c>
      <c r="C3195" s="2" t="s">
        <v>13</v>
      </c>
      <c r="D3195" s="2" t="s">
        <v>23</v>
      </c>
      <c r="E3195" s="2"/>
      <c r="F3195" s="2" t="str">
        <f>HYPERLINK("http://m.12365auto.com/bbs/postcontent.aspx?tID=194958","http://m.12365auto.com/bbs/postcontent.aspx?tID=194958")</f>
        <v>http://m.12365auto.com/bbs/postcontent.aspx?tID=194958</v>
      </c>
      <c r="G3195" s="2"/>
      <c r="H3195" s="2" t="s">
        <v>4585</v>
      </c>
      <c r="I3195" s="2" t="s">
        <v>15</v>
      </c>
      <c r="J3195" s="2" t="s">
        <v>4561</v>
      </c>
      <c r="K3195" s="2" t="s">
        <v>4582</v>
      </c>
      <c r="L3195" s="2">
        <f t="shared" si="49"/>
        <v>150</v>
      </c>
    </row>
    <row r="3196" spans="1:12" ht="25" customHeight="1">
      <c r="A3196" s="2" t="s">
        <v>12</v>
      </c>
      <c r="B3196" s="2" t="str">
        <f>HYPERLINK("http://bbs.12365auto.com/postcontent.aspx?tID=194956","送药又送菜 自动驾驶技术在疫情中表现突出")</f>
        <v>送药又送菜 自动驾驶技术在疫情中表现突出</v>
      </c>
      <c r="C3196" s="2" t="s">
        <v>13</v>
      </c>
      <c r="D3196" s="2" t="s">
        <v>12</v>
      </c>
      <c r="E3196" s="2" t="s">
        <v>214</v>
      </c>
      <c r="F3196" s="2" t="str">
        <f>HYPERLINK("http://bbs.12365auto.com/postcontent.aspx?tID=194956","http://bbs.12365auto.com/postcontent.aspx?tID=194956")</f>
        <v>http://bbs.12365auto.com/postcontent.aspx?tID=194956</v>
      </c>
      <c r="G3196" s="2"/>
      <c r="H3196" s="2" t="s">
        <v>4587</v>
      </c>
      <c r="I3196" s="2" t="s">
        <v>15</v>
      </c>
      <c r="J3196" s="2" t="s">
        <v>4561</v>
      </c>
      <c r="K3196" s="2" t="s">
        <v>4588</v>
      </c>
      <c r="L3196" s="2">
        <f t="shared" si="49"/>
        <v>150</v>
      </c>
    </row>
    <row r="3197" spans="1:12" ht="25" customHeight="1">
      <c r="A3197" s="2" t="s">
        <v>12</v>
      </c>
      <c r="B3197" s="2" t="str">
        <f>HYPERLINK("http://bbs.12365auto.com/postcontent.aspx?tID=194957","四驱SUV有没有必要买")</f>
        <v>四驱SUV有没有必要买</v>
      </c>
      <c r="C3197" s="2" t="s">
        <v>13</v>
      </c>
      <c r="D3197" s="2" t="s">
        <v>12</v>
      </c>
      <c r="E3197" s="2" t="s">
        <v>214</v>
      </c>
      <c r="F3197" s="2" t="str">
        <f>HYPERLINK("http://bbs.12365auto.com/postcontent.aspx?tID=194957","http://bbs.12365auto.com/postcontent.aspx?tID=194957")</f>
        <v>http://bbs.12365auto.com/postcontent.aspx?tID=194957</v>
      </c>
      <c r="G3197" s="2"/>
      <c r="H3197" s="2" t="s">
        <v>4589</v>
      </c>
      <c r="I3197" s="2" t="s">
        <v>15</v>
      </c>
      <c r="J3197" s="2" t="s">
        <v>4561</v>
      </c>
      <c r="K3197" s="2" t="s">
        <v>4588</v>
      </c>
      <c r="L3197" s="2">
        <f t="shared" si="49"/>
        <v>150</v>
      </c>
    </row>
    <row r="3198" spans="1:12" ht="25" customHeight="1">
      <c r="A3198" s="2" t="s">
        <v>12</v>
      </c>
      <c r="B3198" s="2" t="str">
        <f>HYPERLINK("http://bbs.12365auto.com/postcontent.aspx?tId=194956","送药又送菜 自动驾驶技术在疫情中表现突出")</f>
        <v>送药又送菜 自动驾驶技术在疫情中表现突出</v>
      </c>
      <c r="C3198" s="2" t="s">
        <v>13</v>
      </c>
      <c r="D3198" s="2" t="s">
        <v>12</v>
      </c>
      <c r="E3198" s="2" t="s">
        <v>210</v>
      </c>
      <c r="F3198" s="2" t="str">
        <f>HYPERLINK("http://bbs.12365auto.com/postcontent.aspx?tId=194956","http://bbs.12365auto.com/postcontent.aspx?tId=194956")</f>
        <v>http://bbs.12365auto.com/postcontent.aspx?tId=194956</v>
      </c>
      <c r="G3198" s="2"/>
      <c r="H3198" s="2" t="s">
        <v>4590</v>
      </c>
      <c r="I3198" s="2" t="s">
        <v>15</v>
      </c>
      <c r="J3198" s="2" t="s">
        <v>4561</v>
      </c>
      <c r="K3198" s="2" t="s">
        <v>4588</v>
      </c>
      <c r="L3198" s="2">
        <f t="shared" si="49"/>
        <v>150</v>
      </c>
    </row>
    <row r="3199" spans="1:12" ht="25" customHeight="1">
      <c r="A3199" s="2" t="s">
        <v>12</v>
      </c>
      <c r="B3199" s="2" t="str">
        <f>HYPERLINK("http://bbs.12365auto.com/postcontent.aspx?tId=194957","四驱SUV有没有必要买")</f>
        <v>四驱SUV有没有必要买</v>
      </c>
      <c r="C3199" s="2" t="s">
        <v>13</v>
      </c>
      <c r="D3199" s="2" t="s">
        <v>12</v>
      </c>
      <c r="E3199" s="2" t="s">
        <v>210</v>
      </c>
      <c r="F3199" s="2" t="str">
        <f>HYPERLINK("http://bbs.12365auto.com/postcontent.aspx?tId=194957","http://bbs.12365auto.com/postcontent.aspx?tId=194957")</f>
        <v>http://bbs.12365auto.com/postcontent.aspx?tId=194957</v>
      </c>
      <c r="G3199" s="2"/>
      <c r="H3199" s="2" t="s">
        <v>4591</v>
      </c>
      <c r="I3199" s="2" t="s">
        <v>15</v>
      </c>
      <c r="J3199" s="2" t="s">
        <v>4561</v>
      </c>
      <c r="K3199" s="2" t="s">
        <v>4588</v>
      </c>
      <c r="L3199" s="2">
        <f t="shared" si="49"/>
        <v>150</v>
      </c>
    </row>
    <row r="3200" spans="1:12" ht="25" customHeight="1">
      <c r="A3200" s="2" t="s">
        <v>12</v>
      </c>
      <c r="B3200" s="2" t="str">
        <f>HYPERLINK("http://m.12365auto.com/bbs/postcontent.aspx?tID=194957","四驱SUV有没有必要买")</f>
        <v>四驱SUV有没有必要买</v>
      </c>
      <c r="C3200" s="2" t="s">
        <v>13</v>
      </c>
      <c r="D3200" s="2" t="s">
        <v>23</v>
      </c>
      <c r="E3200" s="2"/>
      <c r="F3200" s="2" t="str">
        <f>HYPERLINK("http://m.12365auto.com/bbs/postcontent.aspx?tID=194957","http://m.12365auto.com/bbs/postcontent.aspx?tID=194957")</f>
        <v>http://m.12365auto.com/bbs/postcontent.aspx?tID=194957</v>
      </c>
      <c r="G3200" s="2"/>
      <c r="H3200" s="2" t="s">
        <v>4591</v>
      </c>
      <c r="I3200" s="2" t="s">
        <v>15</v>
      </c>
      <c r="J3200" s="2" t="s">
        <v>4561</v>
      </c>
      <c r="K3200" s="2" t="s">
        <v>4588</v>
      </c>
      <c r="L3200" s="2">
        <f t="shared" si="49"/>
        <v>150</v>
      </c>
    </row>
    <row r="3201" spans="1:12" ht="25" customHeight="1">
      <c r="A3201" s="2" t="s">
        <v>12</v>
      </c>
      <c r="B3201" s="2" t="str">
        <f>HYPERLINK("http://m.12365auto.com/bbs/postcontent.aspx?tID=194956","送药又送菜 自动驾驶技术在疫情中表现突出")</f>
        <v>送药又送菜 自动驾驶技术在疫情中表现突出</v>
      </c>
      <c r="C3201" s="2" t="s">
        <v>13</v>
      </c>
      <c r="D3201" s="2" t="s">
        <v>23</v>
      </c>
      <c r="E3201" s="2"/>
      <c r="F3201" s="2" t="str">
        <f>HYPERLINK("http://m.12365auto.com/bbs/postcontent.aspx?tID=194956","http://m.12365auto.com/bbs/postcontent.aspx?tID=194956")</f>
        <v>http://m.12365auto.com/bbs/postcontent.aspx?tID=194956</v>
      </c>
      <c r="G3201" s="2"/>
      <c r="H3201" s="2" t="s">
        <v>4590</v>
      </c>
      <c r="I3201" s="2" t="s">
        <v>15</v>
      </c>
      <c r="J3201" s="2" t="s">
        <v>4561</v>
      </c>
      <c r="K3201" s="2" t="s">
        <v>4588</v>
      </c>
      <c r="L3201" s="2">
        <f t="shared" si="49"/>
        <v>150</v>
      </c>
    </row>
    <row r="3202" spans="1:12" ht="25" customHeight="1">
      <c r="A3202" s="2" t="s">
        <v>12</v>
      </c>
      <c r="B3202" s="2" t="str">
        <f>HYPERLINK("http://bbs.12365auto.com/postcontent.aspx?tId=194955","疫情期间驾车远距离出行 应该做好哪些准备")</f>
        <v>疫情期间驾车远距离出行 应该做好哪些准备</v>
      </c>
      <c r="C3202" s="2" t="s">
        <v>13</v>
      </c>
      <c r="D3202" s="2" t="s">
        <v>12</v>
      </c>
      <c r="E3202" s="2" t="s">
        <v>210</v>
      </c>
      <c r="F3202" s="2" t="str">
        <f>HYPERLINK("http://bbs.12365auto.com/postcontent.aspx?tId=194955","http://bbs.12365auto.com/postcontent.aspx?tId=194955")</f>
        <v>http://bbs.12365auto.com/postcontent.aspx?tId=194955</v>
      </c>
      <c r="G3202" s="2"/>
      <c r="H3202" s="2" t="s">
        <v>4592</v>
      </c>
      <c r="I3202" s="2" t="s">
        <v>15</v>
      </c>
      <c r="J3202" s="2" t="s">
        <v>4561</v>
      </c>
      <c r="K3202" s="2" t="s">
        <v>4593</v>
      </c>
      <c r="L3202" s="2">
        <f t="shared" si="49"/>
        <v>150</v>
      </c>
    </row>
    <row r="3203" spans="1:12" ht="25" customHeight="1">
      <c r="A3203" s="2" t="s">
        <v>12</v>
      </c>
      <c r="B3203" s="2" t="str">
        <f>HYPERLINK("http://m.12365auto.com/bbs/postcontent.aspx?tID=194955","疫情期间驾车远距离出行 应该做好哪些准备")</f>
        <v>疫情期间驾车远距离出行 应该做好哪些准备</v>
      </c>
      <c r="C3203" s="2" t="s">
        <v>13</v>
      </c>
      <c r="D3203" s="2" t="s">
        <v>23</v>
      </c>
      <c r="E3203" s="2"/>
      <c r="F3203" s="2" t="str">
        <f>HYPERLINK("http://m.12365auto.com/bbs/postcontent.aspx?tID=194955","http://m.12365auto.com/bbs/postcontent.aspx?tID=194955")</f>
        <v>http://m.12365auto.com/bbs/postcontent.aspx?tID=194955</v>
      </c>
      <c r="G3203" s="2"/>
      <c r="H3203" s="2" t="s">
        <v>4592</v>
      </c>
      <c r="I3203" s="2" t="s">
        <v>15</v>
      </c>
      <c r="J3203" s="2" t="s">
        <v>4561</v>
      </c>
      <c r="K3203" s="2" t="s">
        <v>4593</v>
      </c>
      <c r="L3203" s="2">
        <f t="shared" ref="L3203:L3266" si="50">LEN(H3203)</f>
        <v>150</v>
      </c>
    </row>
    <row r="3204" spans="1:12" ht="25" customHeight="1">
      <c r="A3204" s="2" t="s">
        <v>12</v>
      </c>
      <c r="B3204" s="2" t="str">
        <f>HYPERLINK("http://bbs.12365auto.com/postcontent.aspx?tID=194955","疫情期间驾车远距离出行 应该做好哪些准备")</f>
        <v>疫情期间驾车远距离出行 应该做好哪些准备</v>
      </c>
      <c r="C3204" s="2" t="s">
        <v>13</v>
      </c>
      <c r="D3204" s="2" t="s">
        <v>12</v>
      </c>
      <c r="E3204" s="2" t="s">
        <v>214</v>
      </c>
      <c r="F3204" s="2" t="str">
        <f>HYPERLINK("http://bbs.12365auto.com/postcontent.aspx?tID=194955","http://bbs.12365auto.com/postcontent.aspx?tID=194955")</f>
        <v>http://bbs.12365auto.com/postcontent.aspx?tID=194955</v>
      </c>
      <c r="G3204" s="2"/>
      <c r="H3204" s="2" t="s">
        <v>4594</v>
      </c>
      <c r="I3204" s="2" t="s">
        <v>15</v>
      </c>
      <c r="J3204" s="2" t="s">
        <v>4561</v>
      </c>
      <c r="K3204" s="2" t="s">
        <v>4593</v>
      </c>
      <c r="L3204" s="2">
        <f t="shared" si="50"/>
        <v>150</v>
      </c>
    </row>
    <row r="3205" spans="1:12" ht="25" customHeight="1">
      <c r="A3205" s="2" t="s">
        <v>12</v>
      </c>
      <c r="B3205" s="2" t="str">
        <f>HYPERLINK("http://bbs.12365auto.com/postcontent.aspx?tID=194954","收费站路口的“潜规则” 有多少车主中过招？")</f>
        <v>收费站路口的“潜规则” 有多少车主中过招？</v>
      </c>
      <c r="C3205" s="2" t="s">
        <v>13</v>
      </c>
      <c r="D3205" s="2" t="s">
        <v>12</v>
      </c>
      <c r="E3205" s="2" t="s">
        <v>214</v>
      </c>
      <c r="F3205" s="2" t="str">
        <f>HYPERLINK("http://bbs.12365auto.com/postcontent.aspx?tID=194954","http://bbs.12365auto.com/postcontent.aspx?tID=194954")</f>
        <v>http://bbs.12365auto.com/postcontent.aspx?tID=194954</v>
      </c>
      <c r="G3205" s="2"/>
      <c r="H3205" s="2" t="s">
        <v>4595</v>
      </c>
      <c r="I3205" s="2" t="s">
        <v>15</v>
      </c>
      <c r="J3205" s="2" t="s">
        <v>949</v>
      </c>
      <c r="K3205" s="2" t="s">
        <v>4596</v>
      </c>
      <c r="L3205" s="2">
        <f t="shared" si="50"/>
        <v>150</v>
      </c>
    </row>
    <row r="3206" spans="1:12" ht="25" customHeight="1">
      <c r="A3206" s="2" t="s">
        <v>12</v>
      </c>
      <c r="B3206" s="2" t="str">
        <f>HYPERLINK("http://bbs.12365auto.com/postcontent.aspx?tId=194954","收费站路口的“潜规则” 有多少车主中过招？")</f>
        <v>收费站路口的“潜规则” 有多少车主中过招？</v>
      </c>
      <c r="C3206" s="2" t="s">
        <v>13</v>
      </c>
      <c r="D3206" s="2" t="s">
        <v>12</v>
      </c>
      <c r="E3206" s="2" t="s">
        <v>210</v>
      </c>
      <c r="F3206" s="2" t="str">
        <f>HYPERLINK("http://bbs.12365auto.com/postcontent.aspx?tId=194954","http://bbs.12365auto.com/postcontent.aspx?tId=194954")</f>
        <v>http://bbs.12365auto.com/postcontent.aspx?tId=194954</v>
      </c>
      <c r="G3206" s="2"/>
      <c r="H3206" s="2" t="s">
        <v>4597</v>
      </c>
      <c r="I3206" s="2" t="s">
        <v>15</v>
      </c>
      <c r="J3206" s="2" t="s">
        <v>949</v>
      </c>
      <c r="K3206" s="2" t="s">
        <v>4596</v>
      </c>
      <c r="L3206" s="2">
        <f t="shared" si="50"/>
        <v>150</v>
      </c>
    </row>
    <row r="3207" spans="1:12" ht="25" customHeight="1">
      <c r="A3207" s="2" t="s">
        <v>12</v>
      </c>
      <c r="B3207" s="2" t="str">
        <f>HYPERLINK("http://www.12365auto.com/news/20200224/419347.shtml","别克GL8 1月销量1.42万 继续领跑MPV排行榜")</f>
        <v>别克GL8 1月销量1.42万 继续领跑MPV排行榜</v>
      </c>
      <c r="C3207" s="2" t="s">
        <v>13</v>
      </c>
      <c r="D3207" s="2" t="s">
        <v>12</v>
      </c>
      <c r="E3207" s="2" t="s">
        <v>276</v>
      </c>
      <c r="F3207" s="2" t="str">
        <f>HYPERLINK("http://www.12365auto.com/news/20200224/419347.shtml","http://www.12365auto.com/news/20200224/419347.shtml")</f>
        <v>http://www.12365auto.com/news/20200224/419347.shtml</v>
      </c>
      <c r="G3207" s="2"/>
      <c r="H3207" s="2" t="s">
        <v>4598</v>
      </c>
      <c r="I3207" s="2" t="s">
        <v>15</v>
      </c>
      <c r="J3207" s="2" t="s">
        <v>12</v>
      </c>
      <c r="K3207" s="2" t="s">
        <v>4599</v>
      </c>
      <c r="L3207" s="2">
        <f t="shared" si="50"/>
        <v>150</v>
      </c>
    </row>
    <row r="3208" spans="1:12" ht="25" customHeight="1">
      <c r="A3208" s="2" t="s">
        <v>12</v>
      </c>
      <c r="B3208" s="2" t="str">
        <f>HYPERLINK("http://m.12365auto.com/news/20200224/419347.shtml","别克GL8 1月销量1.42万 继续领跑MPV排行榜")</f>
        <v>别克GL8 1月销量1.42万 继续领跑MPV排行榜</v>
      </c>
      <c r="C3208" s="2" t="s">
        <v>13</v>
      </c>
      <c r="D3208" s="2" t="s">
        <v>12</v>
      </c>
      <c r="E3208" s="2"/>
      <c r="F3208" s="2" t="str">
        <f>HYPERLINK("http://m.12365auto.com/news/20200224/419347.shtml","http://m.12365auto.com/news/20200224/419347.shtml")</f>
        <v>http://m.12365auto.com/news/20200224/419347.shtml</v>
      </c>
      <c r="G3208" s="2"/>
      <c r="H3208" s="2" t="s">
        <v>4600</v>
      </c>
      <c r="I3208" s="2" t="s">
        <v>19</v>
      </c>
      <c r="J3208" s="2" t="s">
        <v>1117</v>
      </c>
      <c r="K3208" s="2" t="s">
        <v>4599</v>
      </c>
      <c r="L3208" s="2">
        <f t="shared" si="50"/>
        <v>150</v>
      </c>
    </row>
    <row r="3209" spans="1:12" ht="25" customHeight="1">
      <c r="A3209" s="2" t="s">
        <v>12</v>
      </c>
      <c r="B3209" s="2" t="str">
        <f>HYPERLINK("http://www.12365auto.com/zlts/20200224/448445.shtml","红旗H5在4S店保养之后前车轮轮毂开裂")</f>
        <v>红旗H5在4S店保养之后前车轮轮毂开裂</v>
      </c>
      <c r="C3209" s="2" t="s">
        <v>13</v>
      </c>
      <c r="D3209" s="2" t="s">
        <v>12</v>
      </c>
      <c r="E3209" s="2" t="s">
        <v>17</v>
      </c>
      <c r="F3209" s="2" t="str">
        <f>HYPERLINK("http://www.12365auto.com/zlts/20200224/448445.shtml","http://www.12365auto.com/zlts/20200224/448445.shtml")</f>
        <v>http://www.12365auto.com/zlts/20200224/448445.shtml</v>
      </c>
      <c r="G3209" s="2"/>
      <c r="H3209" s="2" t="s">
        <v>4601</v>
      </c>
      <c r="I3209" s="2" t="s">
        <v>15</v>
      </c>
      <c r="J3209" s="2" t="s">
        <v>12</v>
      </c>
      <c r="K3209" s="2" t="s">
        <v>4602</v>
      </c>
      <c r="L3209" s="2">
        <f t="shared" si="50"/>
        <v>150</v>
      </c>
    </row>
    <row r="3210" spans="1:12" ht="25" customHeight="1">
      <c r="A3210" s="2" t="s">
        <v>12</v>
      </c>
      <c r="B3210" s="2" t="str">
        <f>HYPERLINK("http://www.12365auto.com/zlts/20200224/448444.shtml","新宝骏RS-3新车发动机故障灯亮无法行驶")</f>
        <v>新宝骏RS-3新车发动机故障灯亮无法行驶</v>
      </c>
      <c r="C3210" s="2" t="s">
        <v>13</v>
      </c>
      <c r="D3210" s="2" t="s">
        <v>12</v>
      </c>
      <c r="E3210" s="2" t="s">
        <v>17</v>
      </c>
      <c r="F3210" s="2" t="str">
        <f>HYPERLINK("http://www.12365auto.com/zlts/20200224/448444.shtml","http://www.12365auto.com/zlts/20200224/448444.shtml")</f>
        <v>http://www.12365auto.com/zlts/20200224/448444.shtml</v>
      </c>
      <c r="G3210" s="2"/>
      <c r="H3210" s="2" t="s">
        <v>4603</v>
      </c>
      <c r="I3210" s="2" t="s">
        <v>19</v>
      </c>
      <c r="J3210" s="2" t="s">
        <v>12</v>
      </c>
      <c r="K3210" s="2" t="s">
        <v>4604</v>
      </c>
      <c r="L3210" s="2">
        <f t="shared" si="50"/>
        <v>150</v>
      </c>
    </row>
    <row r="3211" spans="1:12" ht="25" customHeight="1">
      <c r="A3211" s="2" t="s">
        <v>12</v>
      </c>
      <c r="B3211" s="2" t="str">
        <f>HYPERLINK("http://bbs.12365auto.com/postcontent.aspx?tID=194953","为啥你全责？路口让右你一定要知道")</f>
        <v>为啥你全责？路口让右你一定要知道</v>
      </c>
      <c r="C3211" s="2" t="s">
        <v>13</v>
      </c>
      <c r="D3211" s="2" t="s">
        <v>12</v>
      </c>
      <c r="E3211" s="2" t="s">
        <v>214</v>
      </c>
      <c r="F3211" s="2" t="str">
        <f>HYPERLINK("http://bbs.12365auto.com/postcontent.aspx?tID=194953","http://bbs.12365auto.com/postcontent.aspx?tID=194953")</f>
        <v>http://bbs.12365auto.com/postcontent.aspx?tID=194953</v>
      </c>
      <c r="G3211" s="2"/>
      <c r="H3211" s="2" t="s">
        <v>4605</v>
      </c>
      <c r="I3211" s="2" t="s">
        <v>15</v>
      </c>
      <c r="J3211" s="2" t="s">
        <v>949</v>
      </c>
      <c r="K3211" s="2" t="s">
        <v>4606</v>
      </c>
      <c r="L3211" s="2">
        <f t="shared" si="50"/>
        <v>24</v>
      </c>
    </row>
    <row r="3212" spans="1:12" ht="25" customHeight="1">
      <c r="A3212" s="2" t="s">
        <v>12</v>
      </c>
      <c r="B3212" s="2" t="str">
        <f>HYPERLINK("http://www.12365auto.com/zlts/20200224/448443.shtml","北京现代领动行驶时转向卡滞 影响安全")</f>
        <v>北京现代领动行驶时转向卡滞 影响安全</v>
      </c>
      <c r="C3212" s="2" t="s">
        <v>13</v>
      </c>
      <c r="D3212" s="2" t="s">
        <v>12</v>
      </c>
      <c r="E3212" s="2" t="s">
        <v>17</v>
      </c>
      <c r="F3212" s="2" t="str">
        <f>HYPERLINK("http://www.12365auto.com/zlts/20200224/448443.shtml","http://www.12365auto.com/zlts/20200224/448443.shtml")</f>
        <v>http://www.12365auto.com/zlts/20200224/448443.shtml</v>
      </c>
      <c r="G3212" s="2"/>
      <c r="H3212" s="2" t="s">
        <v>4607</v>
      </c>
      <c r="I3212" s="2" t="s">
        <v>19</v>
      </c>
      <c r="J3212" s="2" t="s">
        <v>12</v>
      </c>
      <c r="K3212" s="2" t="s">
        <v>4606</v>
      </c>
      <c r="L3212" s="2">
        <f t="shared" si="50"/>
        <v>150</v>
      </c>
    </row>
    <row r="3213" spans="1:12" ht="25" customHeight="1">
      <c r="A3213" s="2" t="s">
        <v>12</v>
      </c>
      <c r="B3213" s="2" t="str">
        <f>HYPERLINK("http://bbs.12365auto.com/postcontent.aspx?tId=194953","为啥你全责？路口让右你一定要知道！")</f>
        <v>为啥你全责？路口让右你一定要知道！</v>
      </c>
      <c r="C3213" s="2" t="s">
        <v>13</v>
      </c>
      <c r="D3213" s="2" t="s">
        <v>12</v>
      </c>
      <c r="E3213" s="2" t="s">
        <v>210</v>
      </c>
      <c r="F3213" s="2" t="str">
        <f>HYPERLINK("http://bbs.12365auto.com/postcontent.aspx?tId=194953","http://bbs.12365auto.com/postcontent.aspx?tId=194953")</f>
        <v>http://bbs.12365auto.com/postcontent.aspx?tId=194953</v>
      </c>
      <c r="G3213" s="2"/>
      <c r="H3213" s="2" t="s">
        <v>4608</v>
      </c>
      <c r="I3213" s="2" t="s">
        <v>15</v>
      </c>
      <c r="J3213" s="2" t="s">
        <v>949</v>
      </c>
      <c r="K3213" s="2" t="s">
        <v>4606</v>
      </c>
      <c r="L3213" s="2">
        <f t="shared" si="50"/>
        <v>8</v>
      </c>
    </row>
    <row r="3214" spans="1:12" ht="25" customHeight="1">
      <c r="A3214" s="2" t="s">
        <v>12</v>
      </c>
      <c r="B3214" s="2" t="str">
        <f>HYPERLINK("http://bbs.12365auto.com/postcontent.aspx?tID=194952","开车撞死闯红灯的人 机动车只负10%的责任？")</f>
        <v>开车撞死闯红灯的人 机动车只负10%的责任？</v>
      </c>
      <c r="C3214" s="2" t="s">
        <v>13</v>
      </c>
      <c r="D3214" s="2" t="s">
        <v>12</v>
      </c>
      <c r="E3214" s="2" t="s">
        <v>214</v>
      </c>
      <c r="F3214" s="2" t="str">
        <f>HYPERLINK("http://bbs.12365auto.com/postcontent.aspx?tID=194952","http://bbs.12365auto.com/postcontent.aspx?tID=194952")</f>
        <v>http://bbs.12365auto.com/postcontent.aspx?tID=194952</v>
      </c>
      <c r="G3214" s="2"/>
      <c r="H3214" s="2" t="s">
        <v>4609</v>
      </c>
      <c r="I3214" s="2" t="s">
        <v>15</v>
      </c>
      <c r="J3214" s="2" t="s">
        <v>949</v>
      </c>
      <c r="K3214" s="2" t="s">
        <v>4610</v>
      </c>
      <c r="L3214" s="2">
        <f t="shared" si="50"/>
        <v>150</v>
      </c>
    </row>
    <row r="3215" spans="1:12" ht="25" customHeight="1">
      <c r="A3215" s="2" t="s">
        <v>12</v>
      </c>
      <c r="B3215" s="2" t="str">
        <f>HYPERLINK("http://www.12365auto.com/zlts/20200224/448442.shtml","广汽三菱劲炫ASX底盘异响 刹车踏板异响")</f>
        <v>广汽三菱劲炫ASX底盘异响 刹车踏板异响</v>
      </c>
      <c r="C3215" s="2" t="s">
        <v>13</v>
      </c>
      <c r="D3215" s="2" t="s">
        <v>12</v>
      </c>
      <c r="E3215" s="2" t="s">
        <v>17</v>
      </c>
      <c r="F3215" s="2" t="str">
        <f>HYPERLINK("http://www.12365auto.com/zlts/20200224/448442.shtml","http://www.12365auto.com/zlts/20200224/448442.shtml")</f>
        <v>http://www.12365auto.com/zlts/20200224/448442.shtml</v>
      </c>
      <c r="G3215" s="2"/>
      <c r="H3215" s="2" t="s">
        <v>4611</v>
      </c>
      <c r="I3215" s="2" t="s">
        <v>19</v>
      </c>
      <c r="J3215" s="2" t="s">
        <v>12</v>
      </c>
      <c r="K3215" s="2" t="s">
        <v>4610</v>
      </c>
      <c r="L3215" s="2">
        <f t="shared" si="50"/>
        <v>150</v>
      </c>
    </row>
    <row r="3216" spans="1:12" ht="25" customHeight="1">
      <c r="A3216" s="2" t="s">
        <v>12</v>
      </c>
      <c r="B3216" s="2" t="str">
        <f>HYPERLINK("http://bbs.12365auto.com/postcontent.aspx?tId=194952","开车撞死闯红灯的人 机动车只负10%的责任？")</f>
        <v>开车撞死闯红灯的人 机动车只负10%的责任？</v>
      </c>
      <c r="C3216" s="2" t="s">
        <v>13</v>
      </c>
      <c r="D3216" s="2" t="s">
        <v>12</v>
      </c>
      <c r="E3216" s="2" t="s">
        <v>210</v>
      </c>
      <c r="F3216" s="2" t="str">
        <f>HYPERLINK("http://bbs.12365auto.com/postcontent.aspx?tId=194952","http://bbs.12365auto.com/postcontent.aspx?tId=194952")</f>
        <v>http://bbs.12365auto.com/postcontent.aspx?tId=194952</v>
      </c>
      <c r="G3216" s="2"/>
      <c r="H3216" s="2" t="s">
        <v>4612</v>
      </c>
      <c r="I3216" s="2" t="s">
        <v>15</v>
      </c>
      <c r="J3216" s="2" t="s">
        <v>949</v>
      </c>
      <c r="K3216" s="2" t="s">
        <v>4610</v>
      </c>
      <c r="L3216" s="2">
        <f t="shared" si="50"/>
        <v>150</v>
      </c>
    </row>
    <row r="3217" spans="1:12" ht="25" customHeight="1">
      <c r="A3217" s="2" t="s">
        <v>12</v>
      </c>
      <c r="B3217" s="2" t="str">
        <f>HYPERLINK("http://www.12365auto.com/zlts/20200224/448439.shtml","奇瑞瑞虎8车灯照射盲区大 影响行车安全")</f>
        <v>奇瑞瑞虎8车灯照射盲区大 影响行车安全</v>
      </c>
      <c r="C3217" s="2" t="s">
        <v>13</v>
      </c>
      <c r="D3217" s="2" t="s">
        <v>12</v>
      </c>
      <c r="E3217" s="2" t="s">
        <v>17</v>
      </c>
      <c r="F3217" s="2" t="str">
        <f>HYPERLINK("http://www.12365auto.com/zlts/20200224/448439.shtml","http://www.12365auto.com/zlts/20200224/448439.shtml")</f>
        <v>http://www.12365auto.com/zlts/20200224/448439.shtml</v>
      </c>
      <c r="G3217" s="2"/>
      <c r="H3217" s="2" t="s">
        <v>4613</v>
      </c>
      <c r="I3217" s="2" t="s">
        <v>19</v>
      </c>
      <c r="J3217" s="2" t="s">
        <v>12</v>
      </c>
      <c r="K3217" s="2" t="s">
        <v>4614</v>
      </c>
      <c r="L3217" s="2">
        <f t="shared" si="50"/>
        <v>150</v>
      </c>
    </row>
    <row r="3218" spans="1:12" ht="25" customHeight="1">
      <c r="A3218" s="2" t="s">
        <v>12</v>
      </c>
      <c r="B3218" s="2" t="str">
        <f>HYPERLINK("http://www.12365auto.com/zlts/20200224/448440.shtml","广汽传祺GS5刹车有异响 多次维修未解决")</f>
        <v>广汽传祺GS5刹车有异响 多次维修未解决</v>
      </c>
      <c r="C3218" s="2" t="s">
        <v>13</v>
      </c>
      <c r="D3218" s="2" t="s">
        <v>12</v>
      </c>
      <c r="E3218" s="2" t="s">
        <v>17</v>
      </c>
      <c r="F3218" s="2" t="str">
        <f>HYPERLINK("http://www.12365auto.com/zlts/20200224/448440.shtml","http://www.12365auto.com/zlts/20200224/448440.shtml")</f>
        <v>http://www.12365auto.com/zlts/20200224/448440.shtml</v>
      </c>
      <c r="G3218" s="2"/>
      <c r="H3218" s="2" t="s">
        <v>4615</v>
      </c>
      <c r="I3218" s="2" t="s">
        <v>19</v>
      </c>
      <c r="J3218" s="2" t="s">
        <v>12</v>
      </c>
      <c r="K3218" s="2" t="s">
        <v>4614</v>
      </c>
      <c r="L3218" s="2">
        <f t="shared" si="50"/>
        <v>150</v>
      </c>
    </row>
    <row r="3219" spans="1:12" ht="25" customHeight="1">
      <c r="A3219" s="2" t="s">
        <v>12</v>
      </c>
      <c r="B3219" s="2" t="str">
        <f>HYPERLINK("http://m.12365auto.com/zjdy/20200224/121572.shtml","适时四驱系统不想使用了可以拆除吗？")</f>
        <v>适时四驱系统不想使用了可以拆除吗？</v>
      </c>
      <c r="C3219" s="2" t="s">
        <v>13</v>
      </c>
      <c r="D3219" s="2" t="s">
        <v>12</v>
      </c>
      <c r="E3219" s="2"/>
      <c r="F3219" s="2" t="str">
        <f>HYPERLINK("http://m.12365auto.com/zjdy/20200224/121572.shtml","http://m.12365auto.com/zjdy/20200224/121572.shtml")</f>
        <v>http://m.12365auto.com/zjdy/20200224/121572.shtml</v>
      </c>
      <c r="G3219" s="2"/>
      <c r="H3219" s="2" t="s">
        <v>4616</v>
      </c>
      <c r="I3219" s="2" t="s">
        <v>19</v>
      </c>
      <c r="J3219" s="2" t="s">
        <v>12</v>
      </c>
      <c r="K3219" s="2" t="s">
        <v>4617</v>
      </c>
      <c r="L3219" s="2">
        <f t="shared" si="50"/>
        <v>53</v>
      </c>
    </row>
    <row r="3220" spans="1:12" ht="25" customHeight="1">
      <c r="A3220" s="2" t="s">
        <v>12</v>
      </c>
      <c r="B3220" s="2" t="str">
        <f>HYPERLINK("http://www.12365auto.com/zlts/20200224/448436.shtml","比亚迪宋导航无法使用 焊接处漏水")</f>
        <v>比亚迪宋导航无法使用 焊接处漏水</v>
      </c>
      <c r="C3220" s="2" t="s">
        <v>13</v>
      </c>
      <c r="D3220" s="2" t="s">
        <v>12</v>
      </c>
      <c r="E3220" s="2"/>
      <c r="F3220" s="2" t="str">
        <f>HYPERLINK("http://www.12365auto.com/zlts/20200224/448436.shtml","http://www.12365auto.com/zlts/20200224/448436.shtml")</f>
        <v>http://www.12365auto.com/zlts/20200224/448436.shtml</v>
      </c>
      <c r="G3220" s="2"/>
      <c r="H3220" s="3" t="s">
        <v>4618</v>
      </c>
      <c r="I3220" s="2" t="s">
        <v>15</v>
      </c>
      <c r="J3220" s="2" t="s">
        <v>12</v>
      </c>
      <c r="K3220" s="2" t="s">
        <v>4619</v>
      </c>
      <c r="L3220" s="2">
        <f t="shared" si="50"/>
        <v>115</v>
      </c>
    </row>
    <row r="3221" spans="1:12" ht="25" customHeight="1">
      <c r="A3221" s="2" t="s">
        <v>12</v>
      </c>
      <c r="B3221" s="2" t="str">
        <f>HYPERLINK("http://bbs.12365auto.com/postcontent.aspx?tID=194951","2020款全新宝马X3亮相")</f>
        <v>2020款全新宝马X3亮相</v>
      </c>
      <c r="C3221" s="2" t="s">
        <v>13</v>
      </c>
      <c r="D3221" s="2" t="s">
        <v>12</v>
      </c>
      <c r="E3221" s="2" t="s">
        <v>28</v>
      </c>
      <c r="F3221" s="2" t="str">
        <f>HYPERLINK("http://bbs.12365auto.com/postcontent.aspx?tID=194951","http://bbs.12365auto.com/postcontent.aspx?tID=194951")</f>
        <v>http://bbs.12365auto.com/postcontent.aspx?tID=194951</v>
      </c>
      <c r="G3221" s="2"/>
      <c r="H3221" s="2" t="s">
        <v>4620</v>
      </c>
      <c r="I3221" s="2" t="s">
        <v>15</v>
      </c>
      <c r="J3221" s="2" t="s">
        <v>616</v>
      </c>
      <c r="K3221" s="2" t="s">
        <v>4621</v>
      </c>
      <c r="L3221" s="2">
        <f t="shared" si="50"/>
        <v>150</v>
      </c>
    </row>
    <row r="3222" spans="1:12" ht="25" customHeight="1">
      <c r="A3222" s="2" t="s">
        <v>12</v>
      </c>
      <c r="B3222" s="2" t="str">
        <f>HYPERLINK("http://bbs.12365auto.com/postcontent.aspx?tId=194951","2020款全新宝马X3亮相")</f>
        <v>2020款全新宝马X3亮相</v>
      </c>
      <c r="C3222" s="2" t="s">
        <v>13</v>
      </c>
      <c r="D3222" s="2" t="s">
        <v>12</v>
      </c>
      <c r="E3222" s="2" t="s">
        <v>27</v>
      </c>
      <c r="F3222" s="2" t="str">
        <f>HYPERLINK("http://bbs.12365auto.com/postcontent.aspx?tId=194951","http://bbs.12365auto.com/postcontent.aspx?tId=194951")</f>
        <v>http://bbs.12365auto.com/postcontent.aspx?tId=194951</v>
      </c>
      <c r="G3222" s="2"/>
      <c r="H3222" s="2" t="s">
        <v>4622</v>
      </c>
      <c r="I3222" s="2" t="s">
        <v>15</v>
      </c>
      <c r="J3222" s="2" t="s">
        <v>616</v>
      </c>
      <c r="K3222" s="2" t="s">
        <v>4621</v>
      </c>
      <c r="L3222" s="2">
        <f t="shared" si="50"/>
        <v>150</v>
      </c>
    </row>
    <row r="3223" spans="1:12" ht="25" customHeight="1">
      <c r="A3223" s="2" t="s">
        <v>12</v>
      </c>
      <c r="B3223" s="2" t="str">
        <f>HYPERLINK("http://m.12365auto.com/bbs/postcontent.aspx?tID=194951","2020款全新宝马X3亮相")</f>
        <v>2020款全新宝马X3亮相</v>
      </c>
      <c r="C3223" s="2" t="s">
        <v>13</v>
      </c>
      <c r="D3223" s="2" t="s">
        <v>23</v>
      </c>
      <c r="E3223" s="2"/>
      <c r="F3223" s="2" t="str">
        <f>HYPERLINK("http://m.12365auto.com/bbs/postcontent.aspx?tID=194951","http://m.12365auto.com/bbs/postcontent.aspx?tID=194951")</f>
        <v>http://m.12365auto.com/bbs/postcontent.aspx?tID=194951</v>
      </c>
      <c r="G3223" s="2"/>
      <c r="H3223" s="2" t="s">
        <v>4622</v>
      </c>
      <c r="I3223" s="2" t="s">
        <v>15</v>
      </c>
      <c r="J3223" s="2" t="s">
        <v>616</v>
      </c>
      <c r="K3223" s="2" t="s">
        <v>4621</v>
      </c>
      <c r="L3223" s="2">
        <f t="shared" si="50"/>
        <v>150</v>
      </c>
    </row>
    <row r="3224" spans="1:12" ht="25" customHeight="1">
      <c r="A3224" s="2" t="s">
        <v>12</v>
      </c>
      <c r="B3224" s="2" t="str">
        <f>HYPERLINK("http://bbs.12365auto.com/postcontent.aspx?tID=194950","装人拉货没得说 超大空间才卖15万")</f>
        <v>装人拉货没得说 超大空间才卖15万</v>
      </c>
      <c r="C3224" s="2" t="s">
        <v>13</v>
      </c>
      <c r="D3224" s="2" t="s">
        <v>12</v>
      </c>
      <c r="E3224" s="2" t="s">
        <v>28</v>
      </c>
      <c r="F3224" s="2" t="str">
        <f>HYPERLINK("http://bbs.12365auto.com/postcontent.aspx?tID=194950","http://bbs.12365auto.com/postcontent.aspx?tID=194950")</f>
        <v>http://bbs.12365auto.com/postcontent.aspx?tID=194950</v>
      </c>
      <c r="G3224" s="2"/>
      <c r="H3224" s="2" t="s">
        <v>4623</v>
      </c>
      <c r="I3224" s="2" t="s">
        <v>15</v>
      </c>
      <c r="J3224" s="2" t="s">
        <v>616</v>
      </c>
      <c r="K3224" s="2" t="s">
        <v>4624</v>
      </c>
      <c r="L3224" s="2">
        <f t="shared" si="50"/>
        <v>150</v>
      </c>
    </row>
    <row r="3225" spans="1:12" ht="25" customHeight="1">
      <c r="A3225" s="2" t="s">
        <v>12</v>
      </c>
      <c r="B3225" s="2" t="str">
        <f>HYPERLINK("http://bbs.12365auto.com/postcontent.aspx?tId=194950","装人拉货没得说 超大空间才卖15万")</f>
        <v>装人拉货没得说 超大空间才卖15万</v>
      </c>
      <c r="C3225" s="2" t="s">
        <v>13</v>
      </c>
      <c r="D3225" s="2" t="s">
        <v>12</v>
      </c>
      <c r="E3225" s="2" t="s">
        <v>27</v>
      </c>
      <c r="F3225" s="2" t="str">
        <f>HYPERLINK("http://bbs.12365auto.com/postcontent.aspx?tId=194950","http://bbs.12365auto.com/postcontent.aspx?tId=194950")</f>
        <v>http://bbs.12365auto.com/postcontent.aspx?tId=194950</v>
      </c>
      <c r="G3225" s="2"/>
      <c r="H3225" s="2" t="s">
        <v>4625</v>
      </c>
      <c r="I3225" s="2" t="s">
        <v>15</v>
      </c>
      <c r="J3225" s="2" t="s">
        <v>616</v>
      </c>
      <c r="K3225" s="2" t="s">
        <v>4624</v>
      </c>
      <c r="L3225" s="2">
        <f t="shared" si="50"/>
        <v>150</v>
      </c>
    </row>
    <row r="3226" spans="1:12" ht="25" customHeight="1">
      <c r="A3226" s="2" t="s">
        <v>12</v>
      </c>
      <c r="B3226" s="2" t="str">
        <f>HYPERLINK("http://m.12365auto.com/bbs/postcontent.aspx?tID=194950","装人拉货没得说 超大空间才卖15万")</f>
        <v>装人拉货没得说 超大空间才卖15万</v>
      </c>
      <c r="C3226" s="2" t="s">
        <v>13</v>
      </c>
      <c r="D3226" s="2" t="s">
        <v>23</v>
      </c>
      <c r="E3226" s="2"/>
      <c r="F3226" s="2" t="str">
        <f>HYPERLINK("http://m.12365auto.com/bbs/postcontent.aspx?tID=194950","http://m.12365auto.com/bbs/postcontent.aspx?tID=194950")</f>
        <v>http://m.12365auto.com/bbs/postcontent.aspx?tID=194950</v>
      </c>
      <c r="G3226" s="2"/>
      <c r="H3226" s="2" t="s">
        <v>4625</v>
      </c>
      <c r="I3226" s="2" t="s">
        <v>15</v>
      </c>
      <c r="J3226" s="2" t="s">
        <v>616</v>
      </c>
      <c r="K3226" s="2" t="s">
        <v>4624</v>
      </c>
      <c r="L3226" s="2">
        <f t="shared" si="50"/>
        <v>150</v>
      </c>
    </row>
    <row r="3227" spans="1:12" ht="25" customHeight="1">
      <c r="A3227" s="2" t="s">
        <v>12</v>
      </c>
      <c r="B3227" s="2" t="str">
        <f>HYPERLINK("http://bbs.12365auto.com/postcontent.aspx?tID=194949","销量巅峰 国人为何无数次为之买单")</f>
        <v>销量巅峰 国人为何无数次为之买单</v>
      </c>
      <c r="C3227" s="2" t="s">
        <v>13</v>
      </c>
      <c r="D3227" s="2" t="s">
        <v>12</v>
      </c>
      <c r="E3227" s="2" t="s">
        <v>28</v>
      </c>
      <c r="F3227" s="2" t="str">
        <f>HYPERLINK("http://bbs.12365auto.com/postcontent.aspx?tID=194949","http://bbs.12365auto.com/postcontent.aspx?tID=194949")</f>
        <v>http://bbs.12365auto.com/postcontent.aspx?tID=194949</v>
      </c>
      <c r="G3227" s="2"/>
      <c r="H3227" s="2" t="s">
        <v>4626</v>
      </c>
      <c r="I3227" s="2" t="s">
        <v>15</v>
      </c>
      <c r="J3227" s="2" t="s">
        <v>616</v>
      </c>
      <c r="K3227" s="2" t="s">
        <v>4627</v>
      </c>
      <c r="L3227" s="2">
        <f t="shared" si="50"/>
        <v>150</v>
      </c>
    </row>
    <row r="3228" spans="1:12" ht="25" customHeight="1">
      <c r="A3228" s="2" t="s">
        <v>12</v>
      </c>
      <c r="B3228" s="2" t="str">
        <f>HYPERLINK("http://bbs.12365auto.com/postcontent.aspx?tId=194949","销量巅峰 国人为何无数次为之买单")</f>
        <v>销量巅峰 国人为何无数次为之买单</v>
      </c>
      <c r="C3228" s="2" t="s">
        <v>13</v>
      </c>
      <c r="D3228" s="2" t="s">
        <v>12</v>
      </c>
      <c r="E3228" s="2" t="s">
        <v>27</v>
      </c>
      <c r="F3228" s="2" t="str">
        <f>HYPERLINK("http://bbs.12365auto.com/postcontent.aspx?tId=194949","http://bbs.12365auto.com/postcontent.aspx?tId=194949")</f>
        <v>http://bbs.12365auto.com/postcontent.aspx?tId=194949</v>
      </c>
      <c r="G3228" s="2"/>
      <c r="H3228" s="2" t="s">
        <v>4628</v>
      </c>
      <c r="I3228" s="2" t="s">
        <v>15</v>
      </c>
      <c r="J3228" s="2" t="s">
        <v>616</v>
      </c>
      <c r="K3228" s="2" t="s">
        <v>4627</v>
      </c>
      <c r="L3228" s="2">
        <f t="shared" si="50"/>
        <v>150</v>
      </c>
    </row>
    <row r="3229" spans="1:12" ht="25" customHeight="1">
      <c r="A3229" s="2" t="s">
        <v>12</v>
      </c>
      <c r="B3229" s="2" t="str">
        <f>HYPERLINK("http://m.12365auto.com/bbs/postcontent.aspx?tID=194949","销量巅峰 国人为何无数次为之买单")</f>
        <v>销量巅峰 国人为何无数次为之买单</v>
      </c>
      <c r="C3229" s="2" t="s">
        <v>13</v>
      </c>
      <c r="D3229" s="2" t="s">
        <v>23</v>
      </c>
      <c r="E3229" s="2"/>
      <c r="F3229" s="2" t="str">
        <f>HYPERLINK("http://m.12365auto.com/bbs/postcontent.aspx?tID=194949","http://m.12365auto.com/bbs/postcontent.aspx?tID=194949")</f>
        <v>http://m.12365auto.com/bbs/postcontent.aspx?tID=194949</v>
      </c>
      <c r="G3229" s="2"/>
      <c r="H3229" s="2" t="s">
        <v>4628</v>
      </c>
      <c r="I3229" s="2" t="s">
        <v>15</v>
      </c>
      <c r="J3229" s="2" t="s">
        <v>616</v>
      </c>
      <c r="K3229" s="2" t="s">
        <v>4627</v>
      </c>
      <c r="L3229" s="2">
        <f t="shared" si="50"/>
        <v>150</v>
      </c>
    </row>
    <row r="3230" spans="1:12" ht="25" customHeight="1">
      <c r="A3230" s="2" t="s">
        <v>12</v>
      </c>
      <c r="B3230" s="2" t="str">
        <f>HYPERLINK("http://bbs.12365auto.com/postcontent.aspx?tID=194948","等了一年 全新CLA终于要在国内上市了")</f>
        <v>等了一年 全新CLA终于要在国内上市了</v>
      </c>
      <c r="C3230" s="2" t="s">
        <v>13</v>
      </c>
      <c r="D3230" s="2" t="s">
        <v>12</v>
      </c>
      <c r="E3230" s="2" t="s">
        <v>4209</v>
      </c>
      <c r="F3230" s="2" t="str">
        <f>HYPERLINK("http://bbs.12365auto.com/postcontent.aspx?tID=194948","http://bbs.12365auto.com/postcontent.aspx?tID=194948")</f>
        <v>http://bbs.12365auto.com/postcontent.aspx?tID=194948</v>
      </c>
      <c r="G3230" s="2"/>
      <c r="H3230" s="2" t="s">
        <v>4365</v>
      </c>
      <c r="I3230" s="2" t="s">
        <v>15</v>
      </c>
      <c r="J3230" s="2" t="s">
        <v>616</v>
      </c>
      <c r="K3230" s="2" t="s">
        <v>4629</v>
      </c>
      <c r="L3230" s="2">
        <f t="shared" si="50"/>
        <v>150</v>
      </c>
    </row>
    <row r="3231" spans="1:12" ht="25" customHeight="1">
      <c r="A3231" s="2" t="s">
        <v>12</v>
      </c>
      <c r="B3231" s="2" t="str">
        <f>HYPERLINK("http://bbs.12365auto.com/postcontent.aspx?tId=194948","等了一年 全新CLA终于要在国内上市了")</f>
        <v>等了一年 全新CLA终于要在国内上市了</v>
      </c>
      <c r="C3231" s="2" t="s">
        <v>13</v>
      </c>
      <c r="D3231" s="2" t="s">
        <v>12</v>
      </c>
      <c r="E3231" s="2" t="s">
        <v>4212</v>
      </c>
      <c r="F3231" s="2" t="str">
        <f>HYPERLINK("http://bbs.12365auto.com/postcontent.aspx?tId=194948","http://bbs.12365auto.com/postcontent.aspx?tId=194948")</f>
        <v>http://bbs.12365auto.com/postcontent.aspx?tId=194948</v>
      </c>
      <c r="G3231" s="2"/>
      <c r="H3231" s="2" t="s">
        <v>4364</v>
      </c>
      <c r="I3231" s="2" t="s">
        <v>15</v>
      </c>
      <c r="J3231" s="2" t="s">
        <v>616</v>
      </c>
      <c r="K3231" s="2" t="s">
        <v>4629</v>
      </c>
      <c r="L3231" s="2">
        <f t="shared" si="50"/>
        <v>150</v>
      </c>
    </row>
    <row r="3232" spans="1:12" ht="25" customHeight="1">
      <c r="A3232" s="2" t="s">
        <v>12</v>
      </c>
      <c r="B3232" s="2" t="str">
        <f>HYPERLINK("http://m.12365auto.com/bbs/postcontent.aspx?tID=194948","等了一年 全新CLA终于要在国内上市了")</f>
        <v>等了一年 全新CLA终于要在国内上市了</v>
      </c>
      <c r="C3232" s="2" t="s">
        <v>13</v>
      </c>
      <c r="D3232" s="2" t="s">
        <v>23</v>
      </c>
      <c r="E3232" s="2"/>
      <c r="F3232" s="2" t="str">
        <f>HYPERLINK("http://m.12365auto.com/bbs/postcontent.aspx?tID=194948","http://m.12365auto.com/bbs/postcontent.aspx?tID=194948")</f>
        <v>http://m.12365auto.com/bbs/postcontent.aspx?tID=194948</v>
      </c>
      <c r="G3232" s="2"/>
      <c r="H3232" s="2" t="s">
        <v>4364</v>
      </c>
      <c r="I3232" s="2" t="s">
        <v>15</v>
      </c>
      <c r="J3232" s="2" t="s">
        <v>616</v>
      </c>
      <c r="K3232" s="2" t="s">
        <v>4629</v>
      </c>
      <c r="L3232" s="2">
        <f t="shared" si="50"/>
        <v>150</v>
      </c>
    </row>
    <row r="3233" spans="1:12" ht="25" customHeight="1">
      <c r="A3233" s="2" t="s">
        <v>12</v>
      </c>
      <c r="B3233" s="2" t="str">
        <f>HYPERLINK("http://bbs.12365auto.com/postcontent.aspx?tID=194947","事实证明 博越PRO其实卖的并不好")</f>
        <v>事实证明 博越PRO其实卖的并不好</v>
      </c>
      <c r="C3233" s="2" t="s">
        <v>13</v>
      </c>
      <c r="D3233" s="2" t="s">
        <v>12</v>
      </c>
      <c r="E3233" s="2" t="s">
        <v>28</v>
      </c>
      <c r="F3233" s="2" t="str">
        <f>HYPERLINK("http://bbs.12365auto.com/postcontent.aspx?tID=194947","http://bbs.12365auto.com/postcontent.aspx?tID=194947")</f>
        <v>http://bbs.12365auto.com/postcontent.aspx?tID=194947</v>
      </c>
      <c r="G3233" s="2"/>
      <c r="H3233" s="2" t="s">
        <v>4630</v>
      </c>
      <c r="I3233" s="2" t="s">
        <v>15</v>
      </c>
      <c r="J3233" s="2" t="s">
        <v>616</v>
      </c>
      <c r="K3233" s="2" t="s">
        <v>4631</v>
      </c>
      <c r="L3233" s="2">
        <f t="shared" si="50"/>
        <v>150</v>
      </c>
    </row>
    <row r="3234" spans="1:12" ht="25" customHeight="1">
      <c r="A3234" s="2" t="s">
        <v>12</v>
      </c>
      <c r="B3234" s="2" t="str">
        <f>HYPERLINK("http://bbs.12365auto.com/postcontent.aspx?tId=194947","事实证明 博越PRO其实卖的并不好")</f>
        <v>事实证明 博越PRO其实卖的并不好</v>
      </c>
      <c r="C3234" s="2" t="s">
        <v>13</v>
      </c>
      <c r="D3234" s="2" t="s">
        <v>12</v>
      </c>
      <c r="E3234" s="2" t="s">
        <v>27</v>
      </c>
      <c r="F3234" s="2" t="str">
        <f>HYPERLINK("http://bbs.12365auto.com/postcontent.aspx?tId=194947","http://bbs.12365auto.com/postcontent.aspx?tId=194947")</f>
        <v>http://bbs.12365auto.com/postcontent.aspx?tId=194947</v>
      </c>
      <c r="G3234" s="2"/>
      <c r="H3234" s="2" t="s">
        <v>1978</v>
      </c>
      <c r="I3234" s="2" t="s">
        <v>15</v>
      </c>
      <c r="J3234" s="2" t="s">
        <v>616</v>
      </c>
      <c r="K3234" s="2" t="s">
        <v>4631</v>
      </c>
      <c r="L3234" s="2">
        <f t="shared" si="50"/>
        <v>150</v>
      </c>
    </row>
    <row r="3235" spans="1:12" ht="25" customHeight="1">
      <c r="A3235" s="2" t="s">
        <v>12</v>
      </c>
      <c r="B3235" s="2" t="str">
        <f>HYPERLINK("http://m.12365auto.com/bbs/postcontent.aspx?tID=194947","事实证明 博越PRO其实卖的并不好")</f>
        <v>事实证明 博越PRO其实卖的并不好</v>
      </c>
      <c r="C3235" s="2" t="s">
        <v>13</v>
      </c>
      <c r="D3235" s="2" t="s">
        <v>23</v>
      </c>
      <c r="E3235" s="2"/>
      <c r="F3235" s="2" t="str">
        <f>HYPERLINK("http://m.12365auto.com/bbs/postcontent.aspx?tID=194947","http://m.12365auto.com/bbs/postcontent.aspx?tID=194947")</f>
        <v>http://m.12365auto.com/bbs/postcontent.aspx?tID=194947</v>
      </c>
      <c r="G3235" s="2"/>
      <c r="H3235" s="2" t="s">
        <v>1978</v>
      </c>
      <c r="I3235" s="2" t="s">
        <v>15</v>
      </c>
      <c r="J3235" s="2" t="s">
        <v>616</v>
      </c>
      <c r="K3235" s="2" t="s">
        <v>4631</v>
      </c>
      <c r="L3235" s="2">
        <f t="shared" si="50"/>
        <v>150</v>
      </c>
    </row>
    <row r="3236" spans="1:12" ht="25" customHeight="1">
      <c r="A3236" s="2" t="s">
        <v>12</v>
      </c>
      <c r="B3236" s="2" t="str">
        <f>HYPERLINK("http://bbs.12365auto.com/postcontent.aspx?tID=194945","配置调整 2020款凯迪拉克CT6如何选")</f>
        <v>配置调整 2020款凯迪拉克CT6如何选</v>
      </c>
      <c r="C3236" s="2" t="s">
        <v>13</v>
      </c>
      <c r="D3236" s="2" t="s">
        <v>12</v>
      </c>
      <c r="E3236" s="2" t="s">
        <v>28</v>
      </c>
      <c r="F3236" s="2" t="str">
        <f>HYPERLINK("http://bbs.12365auto.com/postcontent.aspx?tID=194945","http://bbs.12365auto.com/postcontent.aspx?tID=194945")</f>
        <v>http://bbs.12365auto.com/postcontent.aspx?tID=194945</v>
      </c>
      <c r="G3236" s="2"/>
      <c r="H3236" s="2" t="s">
        <v>3477</v>
      </c>
      <c r="I3236" s="2" t="s">
        <v>15</v>
      </c>
      <c r="J3236" s="2" t="s">
        <v>616</v>
      </c>
      <c r="K3236" s="2" t="s">
        <v>4632</v>
      </c>
      <c r="L3236" s="2">
        <f t="shared" si="50"/>
        <v>150</v>
      </c>
    </row>
    <row r="3237" spans="1:12" ht="25" customHeight="1">
      <c r="A3237" s="2" t="s">
        <v>12</v>
      </c>
      <c r="B3237" s="2" t="str">
        <f>HYPERLINK("http://bbs.12365auto.com/postcontent.aspx?tID=194946","销量最好的宝马 为何最没有特色")</f>
        <v>销量最好的宝马 为何最没有特色</v>
      </c>
      <c r="C3237" s="2" t="s">
        <v>13</v>
      </c>
      <c r="D3237" s="2" t="s">
        <v>12</v>
      </c>
      <c r="E3237" s="2" t="s">
        <v>28</v>
      </c>
      <c r="F3237" s="2" t="str">
        <f>HYPERLINK("http://bbs.12365auto.com/postcontent.aspx?tID=194946","http://bbs.12365auto.com/postcontent.aspx?tID=194946")</f>
        <v>http://bbs.12365auto.com/postcontent.aspx?tID=194946</v>
      </c>
      <c r="G3237" s="2"/>
      <c r="H3237" s="2" t="s">
        <v>4633</v>
      </c>
      <c r="I3237" s="2" t="s">
        <v>15</v>
      </c>
      <c r="J3237" s="2" t="s">
        <v>616</v>
      </c>
      <c r="K3237" s="2" t="s">
        <v>4632</v>
      </c>
      <c r="L3237" s="2">
        <f t="shared" si="50"/>
        <v>150</v>
      </c>
    </row>
    <row r="3238" spans="1:12" ht="25" customHeight="1">
      <c r="A3238" s="2" t="s">
        <v>12</v>
      </c>
      <c r="B3238" s="2" t="str">
        <f>HYPERLINK("http://m.12365auto.com/bbs/postcontent.aspx?tID=194946","销量最好的宝马 为何最没有特色")</f>
        <v>销量最好的宝马 为何最没有特色</v>
      </c>
      <c r="C3238" s="2" t="s">
        <v>13</v>
      </c>
      <c r="D3238" s="2" t="s">
        <v>23</v>
      </c>
      <c r="E3238" s="2"/>
      <c r="F3238" s="2" t="str">
        <f>HYPERLINK("http://m.12365auto.com/bbs/postcontent.aspx?tID=194946","http://m.12365auto.com/bbs/postcontent.aspx?tID=194946")</f>
        <v>http://m.12365auto.com/bbs/postcontent.aspx?tID=194946</v>
      </c>
      <c r="G3238" s="2"/>
      <c r="H3238" s="2" t="s">
        <v>4634</v>
      </c>
      <c r="I3238" s="2" t="s">
        <v>15</v>
      </c>
      <c r="J3238" s="2" t="s">
        <v>616</v>
      </c>
      <c r="K3238" s="2" t="s">
        <v>4632</v>
      </c>
      <c r="L3238" s="2">
        <f t="shared" si="50"/>
        <v>150</v>
      </c>
    </row>
    <row r="3239" spans="1:12" ht="25" customHeight="1">
      <c r="A3239" s="2" t="s">
        <v>12</v>
      </c>
      <c r="B3239" s="2" t="str">
        <f>HYPERLINK("http://m.12365auto.com/bbs/postcontent.aspx?tID=194945","配置调整 2020款凯迪拉克CT6如何选")</f>
        <v>配置调整 2020款凯迪拉克CT6如何选</v>
      </c>
      <c r="C3239" s="2" t="s">
        <v>13</v>
      </c>
      <c r="D3239" s="2" t="s">
        <v>23</v>
      </c>
      <c r="E3239" s="2"/>
      <c r="F3239" s="2" t="str">
        <f>HYPERLINK("http://m.12365auto.com/bbs/postcontent.aspx?tID=194945","http://m.12365auto.com/bbs/postcontent.aspx?tID=194945")</f>
        <v>http://m.12365auto.com/bbs/postcontent.aspx?tID=194945</v>
      </c>
      <c r="G3239" s="2"/>
      <c r="H3239" s="2" t="s">
        <v>3475</v>
      </c>
      <c r="I3239" s="2" t="s">
        <v>15</v>
      </c>
      <c r="J3239" s="2" t="s">
        <v>616</v>
      </c>
      <c r="K3239" s="2" t="s">
        <v>4632</v>
      </c>
      <c r="L3239" s="2">
        <f t="shared" si="50"/>
        <v>150</v>
      </c>
    </row>
    <row r="3240" spans="1:12" ht="25" customHeight="1">
      <c r="A3240" s="2" t="s">
        <v>12</v>
      </c>
      <c r="B3240" s="2" t="str">
        <f>HYPERLINK("http://bbs.12365auto.com/postcontent.aspx?tId=194945","配置调整 2020款凯迪拉克CT6如何选")</f>
        <v>配置调整 2020款凯迪拉克CT6如何选</v>
      </c>
      <c r="C3240" s="2" t="s">
        <v>13</v>
      </c>
      <c r="D3240" s="2" t="s">
        <v>12</v>
      </c>
      <c r="E3240" s="2" t="s">
        <v>27</v>
      </c>
      <c r="F3240" s="2" t="str">
        <f>HYPERLINK("http://bbs.12365auto.com/postcontent.aspx?tId=194945","http://bbs.12365auto.com/postcontent.aspx?tId=194945")</f>
        <v>http://bbs.12365auto.com/postcontent.aspx?tId=194945</v>
      </c>
      <c r="G3240" s="2"/>
      <c r="H3240" s="2" t="s">
        <v>3475</v>
      </c>
      <c r="I3240" s="2" t="s">
        <v>15</v>
      </c>
      <c r="J3240" s="2" t="s">
        <v>616</v>
      </c>
      <c r="K3240" s="2" t="s">
        <v>4632</v>
      </c>
      <c r="L3240" s="2">
        <f t="shared" si="50"/>
        <v>150</v>
      </c>
    </row>
    <row r="3241" spans="1:12" ht="25" customHeight="1">
      <c r="A3241" s="2" t="s">
        <v>12</v>
      </c>
      <c r="B3241" s="2" t="str">
        <f>HYPERLINK("http://bbs.12365auto.com/postcontent.aspx?tId=194946","销量最好的宝马 为何最没有特色")</f>
        <v>销量最好的宝马 为何最没有特色</v>
      </c>
      <c r="C3241" s="2" t="s">
        <v>13</v>
      </c>
      <c r="D3241" s="2" t="s">
        <v>12</v>
      </c>
      <c r="E3241" s="2" t="s">
        <v>27</v>
      </c>
      <c r="F3241" s="2" t="str">
        <f>HYPERLINK("http://bbs.12365auto.com/postcontent.aspx?tId=194946","http://bbs.12365auto.com/postcontent.aspx?tId=194946")</f>
        <v>http://bbs.12365auto.com/postcontent.aspx?tId=194946</v>
      </c>
      <c r="G3241" s="2"/>
      <c r="H3241" s="2" t="s">
        <v>4634</v>
      </c>
      <c r="I3241" s="2" t="s">
        <v>15</v>
      </c>
      <c r="J3241" s="2" t="s">
        <v>616</v>
      </c>
      <c r="K3241" s="2" t="s">
        <v>4632</v>
      </c>
      <c r="L3241" s="2">
        <f t="shared" si="50"/>
        <v>150</v>
      </c>
    </row>
    <row r="3242" spans="1:12" ht="25" customHeight="1">
      <c r="A3242" s="2" t="s">
        <v>12</v>
      </c>
      <c r="B3242" s="2" t="str">
        <f>HYPERLINK("http://www.12365auto.com/zlts/20200224/448437.shtml","广汽丰田凯美瑞车顶漆面有爆漆的现象")</f>
        <v>广汽丰田凯美瑞车顶漆面有爆漆的现象</v>
      </c>
      <c r="C3242" s="2" t="s">
        <v>13</v>
      </c>
      <c r="D3242" s="2" t="s">
        <v>12</v>
      </c>
      <c r="E3242" s="2" t="s">
        <v>17</v>
      </c>
      <c r="F3242" s="2" t="str">
        <f>HYPERLINK("http://www.12365auto.com/zlts/20200224/448437.shtml","http://www.12365auto.com/zlts/20200224/448437.shtml")</f>
        <v>http://www.12365auto.com/zlts/20200224/448437.shtml</v>
      </c>
      <c r="G3242" s="2"/>
      <c r="H3242" s="2" t="s">
        <v>4635</v>
      </c>
      <c r="I3242" s="2" t="s">
        <v>19</v>
      </c>
      <c r="J3242" s="2" t="s">
        <v>12</v>
      </c>
      <c r="K3242" s="2" t="s">
        <v>4636</v>
      </c>
      <c r="L3242" s="2">
        <f t="shared" si="50"/>
        <v>150</v>
      </c>
    </row>
    <row r="3243" spans="1:12" ht="25" customHeight="1">
      <c r="A3243" s="2" t="s">
        <v>12</v>
      </c>
      <c r="B3243" s="2" t="str">
        <f>HYPERLINK("http://bbs.12365auto.com/postcontent.aspx?tID=194944","中保研果然没冤枉帕萨特 IIHS碰撞测试出炉")</f>
        <v>中保研果然没冤枉帕萨特 IIHS碰撞测试出炉</v>
      </c>
      <c r="C3243" s="2" t="s">
        <v>13</v>
      </c>
      <c r="D3243" s="2" t="s">
        <v>12</v>
      </c>
      <c r="E3243" s="2" t="s">
        <v>28</v>
      </c>
      <c r="F3243" s="2" t="str">
        <f>HYPERLINK("http://bbs.12365auto.com/postcontent.aspx?tID=194944","http://bbs.12365auto.com/postcontent.aspx?tID=194944")</f>
        <v>http://bbs.12365auto.com/postcontent.aspx?tID=194944</v>
      </c>
      <c r="G3243" s="2"/>
      <c r="H3243" s="2" t="s">
        <v>4637</v>
      </c>
      <c r="I3243" s="2" t="s">
        <v>15</v>
      </c>
      <c r="J3243" s="2" t="s">
        <v>616</v>
      </c>
      <c r="K3243" s="2" t="s">
        <v>4638</v>
      </c>
      <c r="L3243" s="2">
        <f t="shared" si="50"/>
        <v>150</v>
      </c>
    </row>
    <row r="3244" spans="1:12" ht="25" customHeight="1">
      <c r="A3244" s="2" t="s">
        <v>12</v>
      </c>
      <c r="B3244" s="2" t="str">
        <f>HYPERLINK("http://bbs.12365auto.com/postcontent.aspx?tId=194944","中保研果然没冤枉帕萨特 IIHS碰撞测试出炉")</f>
        <v>中保研果然没冤枉帕萨特 IIHS碰撞测试出炉</v>
      </c>
      <c r="C3244" s="2" t="s">
        <v>13</v>
      </c>
      <c r="D3244" s="2" t="s">
        <v>12</v>
      </c>
      <c r="E3244" s="2" t="s">
        <v>27</v>
      </c>
      <c r="F3244" s="2" t="str">
        <f>HYPERLINK("http://bbs.12365auto.com/postcontent.aspx?tId=194944","http://bbs.12365auto.com/postcontent.aspx?tId=194944")</f>
        <v>http://bbs.12365auto.com/postcontent.aspx?tId=194944</v>
      </c>
      <c r="G3244" s="2"/>
      <c r="H3244" s="2" t="s">
        <v>1132</v>
      </c>
      <c r="I3244" s="2" t="s">
        <v>15</v>
      </c>
      <c r="J3244" s="2" t="s">
        <v>616</v>
      </c>
      <c r="K3244" s="2" t="s">
        <v>4638</v>
      </c>
      <c r="L3244" s="2">
        <f t="shared" si="50"/>
        <v>150</v>
      </c>
    </row>
    <row r="3245" spans="1:12" ht="25" customHeight="1">
      <c r="A3245" s="2" t="s">
        <v>12</v>
      </c>
      <c r="B3245" s="2" t="str">
        <f>HYPERLINK("http://m.12365auto.com/bbs/postcontent.aspx?tID=194944","中保研果然没冤枉帕萨特 IIHS碰撞测试出炉")</f>
        <v>中保研果然没冤枉帕萨特 IIHS碰撞测试出炉</v>
      </c>
      <c r="C3245" s="2" t="s">
        <v>13</v>
      </c>
      <c r="D3245" s="2" t="s">
        <v>23</v>
      </c>
      <c r="E3245" s="2"/>
      <c r="F3245" s="2" t="str">
        <f>HYPERLINK("http://m.12365auto.com/bbs/postcontent.aspx?tID=194944","http://m.12365auto.com/bbs/postcontent.aspx?tID=194944")</f>
        <v>http://m.12365auto.com/bbs/postcontent.aspx?tID=194944</v>
      </c>
      <c r="G3245" s="2"/>
      <c r="H3245" s="2" t="s">
        <v>1132</v>
      </c>
      <c r="I3245" s="2" t="s">
        <v>15</v>
      </c>
      <c r="J3245" s="2" t="s">
        <v>616</v>
      </c>
      <c r="K3245" s="2" t="s">
        <v>4638</v>
      </c>
      <c r="L3245" s="2">
        <f t="shared" si="50"/>
        <v>150</v>
      </c>
    </row>
    <row r="3246" spans="1:12" ht="25" customHeight="1">
      <c r="A3246" s="2" t="s">
        <v>12</v>
      </c>
      <c r="B3246" s="2" t="str">
        <f>HYPERLINK("http://bbs.12365auto.com/postcontent.aspx?tID=194943","逍客除了销量高 还有什么")</f>
        <v>逍客除了销量高 还有什么</v>
      </c>
      <c r="C3246" s="2" t="s">
        <v>13</v>
      </c>
      <c r="D3246" s="2" t="s">
        <v>12</v>
      </c>
      <c r="E3246" s="2" t="s">
        <v>28</v>
      </c>
      <c r="F3246" s="2" t="str">
        <f>HYPERLINK("http://bbs.12365auto.com/postcontent.aspx?tID=194943","http://bbs.12365auto.com/postcontent.aspx?tID=194943")</f>
        <v>http://bbs.12365auto.com/postcontent.aspx?tID=194943</v>
      </c>
      <c r="G3246" s="2"/>
      <c r="H3246" s="2" t="s">
        <v>4639</v>
      </c>
      <c r="I3246" s="2" t="s">
        <v>15</v>
      </c>
      <c r="J3246" s="2" t="s">
        <v>616</v>
      </c>
      <c r="K3246" s="2" t="s">
        <v>4640</v>
      </c>
      <c r="L3246" s="2">
        <f t="shared" si="50"/>
        <v>150</v>
      </c>
    </row>
    <row r="3247" spans="1:12" ht="25" customHeight="1">
      <c r="A3247" s="2" t="s">
        <v>12</v>
      </c>
      <c r="B3247" s="2" t="str">
        <f>HYPERLINK("http://bbs.12365auto.com/postcontent.aspx?tId=194943","逍客除了销量高 还有什么")</f>
        <v>逍客除了销量高 还有什么</v>
      </c>
      <c r="C3247" s="2" t="s">
        <v>13</v>
      </c>
      <c r="D3247" s="2" t="s">
        <v>12</v>
      </c>
      <c r="E3247" s="2" t="s">
        <v>27</v>
      </c>
      <c r="F3247" s="2" t="str">
        <f>HYPERLINK("http://bbs.12365auto.com/postcontent.aspx?tId=194943","http://bbs.12365auto.com/postcontent.aspx?tId=194943")</f>
        <v>http://bbs.12365auto.com/postcontent.aspx?tId=194943</v>
      </c>
      <c r="G3247" s="2"/>
      <c r="H3247" s="2" t="s">
        <v>4641</v>
      </c>
      <c r="I3247" s="2" t="s">
        <v>15</v>
      </c>
      <c r="J3247" s="2" t="s">
        <v>616</v>
      </c>
      <c r="K3247" s="2" t="s">
        <v>4640</v>
      </c>
      <c r="L3247" s="2">
        <f t="shared" si="50"/>
        <v>150</v>
      </c>
    </row>
    <row r="3248" spans="1:12" ht="25" customHeight="1">
      <c r="A3248" s="2" t="s">
        <v>12</v>
      </c>
      <c r="B3248" s="2" t="str">
        <f>HYPERLINK("http://www.12365auto.com/zlts/20200224/448435.shtml","上汽名爵HS车辆停放两三天蓄电池亏电")</f>
        <v>上汽名爵HS车辆停放两三天蓄电池亏电</v>
      </c>
      <c r="C3248" s="2" t="s">
        <v>13</v>
      </c>
      <c r="D3248" s="2" t="s">
        <v>12</v>
      </c>
      <c r="E3248" s="2" t="s">
        <v>17</v>
      </c>
      <c r="F3248" s="2" t="str">
        <f>HYPERLINK("http://www.12365auto.com/zlts/20200224/448435.shtml","http://www.12365auto.com/zlts/20200224/448435.shtml")</f>
        <v>http://www.12365auto.com/zlts/20200224/448435.shtml</v>
      </c>
      <c r="G3248" s="2"/>
      <c r="H3248" s="2" t="s">
        <v>4642</v>
      </c>
      <c r="I3248" s="2" t="s">
        <v>19</v>
      </c>
      <c r="J3248" s="2" t="s">
        <v>12</v>
      </c>
      <c r="K3248" s="2" t="s">
        <v>4640</v>
      </c>
      <c r="L3248" s="2">
        <f t="shared" si="50"/>
        <v>150</v>
      </c>
    </row>
    <row r="3249" spans="1:12" ht="25" customHeight="1">
      <c r="A3249" s="2" t="s">
        <v>12</v>
      </c>
      <c r="B3249" s="2" t="str">
        <f>HYPERLINK("http://m.12365auto.com/bbs/postcontent.aspx?tID=194943","逍客除了销量高 还有什么")</f>
        <v>逍客除了销量高 还有什么</v>
      </c>
      <c r="C3249" s="2" t="s">
        <v>13</v>
      </c>
      <c r="D3249" s="2" t="s">
        <v>23</v>
      </c>
      <c r="E3249" s="2"/>
      <c r="F3249" s="2" t="str">
        <f>HYPERLINK("http://m.12365auto.com/bbs/postcontent.aspx?tID=194943","http://m.12365auto.com/bbs/postcontent.aspx?tID=194943")</f>
        <v>http://m.12365auto.com/bbs/postcontent.aspx?tID=194943</v>
      </c>
      <c r="G3249" s="2"/>
      <c r="H3249" s="2" t="s">
        <v>4641</v>
      </c>
      <c r="I3249" s="2" t="s">
        <v>15</v>
      </c>
      <c r="J3249" s="2" t="s">
        <v>616</v>
      </c>
      <c r="K3249" s="2" t="s">
        <v>4640</v>
      </c>
      <c r="L3249" s="2">
        <f t="shared" si="50"/>
        <v>150</v>
      </c>
    </row>
    <row r="3250" spans="1:12" ht="25" customHeight="1">
      <c r="A3250" s="2" t="s">
        <v>12</v>
      </c>
      <c r="B3250" s="2" t="str">
        <f>HYPERLINK("http://bbs.12365auto.com/postcontent.aspx?tID=194942","雷克萨斯LM正式上市 指导价116.6至146.6万元")</f>
        <v>雷克萨斯LM正式上市 指导价116.6至146.6万元</v>
      </c>
      <c r="C3250" s="2" t="s">
        <v>13</v>
      </c>
      <c r="D3250" s="2" t="s">
        <v>12</v>
      </c>
      <c r="E3250" s="2" t="s">
        <v>28</v>
      </c>
      <c r="F3250" s="2" t="str">
        <f>HYPERLINK("http://bbs.12365auto.com/postcontent.aspx?tID=194942","http://bbs.12365auto.com/postcontent.aspx?tID=194942")</f>
        <v>http://bbs.12365auto.com/postcontent.aspx?tID=194942</v>
      </c>
      <c r="G3250" s="2"/>
      <c r="H3250" s="2" t="s">
        <v>4643</v>
      </c>
      <c r="I3250" s="2" t="s">
        <v>15</v>
      </c>
      <c r="J3250" s="2" t="s">
        <v>616</v>
      </c>
      <c r="K3250" s="2" t="s">
        <v>4644</v>
      </c>
      <c r="L3250" s="2">
        <f t="shared" si="50"/>
        <v>150</v>
      </c>
    </row>
    <row r="3251" spans="1:12" ht="25" customHeight="1">
      <c r="A3251" s="2" t="s">
        <v>12</v>
      </c>
      <c r="B3251" s="2" t="str">
        <f>HYPERLINK("http://bbs.12365auto.com/postcontent.aspx?tId=194942","雷克萨斯LM正式上市 指导价116.6至146.6万元")</f>
        <v>雷克萨斯LM正式上市 指导价116.6至146.6万元</v>
      </c>
      <c r="C3251" s="2" t="s">
        <v>13</v>
      </c>
      <c r="D3251" s="2" t="s">
        <v>12</v>
      </c>
      <c r="E3251" s="2" t="s">
        <v>27</v>
      </c>
      <c r="F3251" s="2" t="str">
        <f>HYPERLINK("http://bbs.12365auto.com/postcontent.aspx?tId=194942","http://bbs.12365auto.com/postcontent.aspx?tId=194942")</f>
        <v>http://bbs.12365auto.com/postcontent.aspx?tId=194942</v>
      </c>
      <c r="G3251" s="2"/>
      <c r="H3251" s="2" t="s">
        <v>4645</v>
      </c>
      <c r="I3251" s="2" t="s">
        <v>15</v>
      </c>
      <c r="J3251" s="2" t="s">
        <v>616</v>
      </c>
      <c r="K3251" s="2" t="s">
        <v>4644</v>
      </c>
      <c r="L3251" s="2">
        <f t="shared" si="50"/>
        <v>150</v>
      </c>
    </row>
    <row r="3252" spans="1:12" ht="25" customHeight="1">
      <c r="A3252" s="2" t="s">
        <v>12</v>
      </c>
      <c r="B3252" s="2" t="str">
        <f>HYPERLINK("http://m.12365auto.com/bbs/postcontent.aspx?tID=194942","雷克萨斯LM正式上市 指导价116.6至146.6万元")</f>
        <v>雷克萨斯LM正式上市 指导价116.6至146.6万元</v>
      </c>
      <c r="C3252" s="2" t="s">
        <v>13</v>
      </c>
      <c r="D3252" s="2" t="s">
        <v>23</v>
      </c>
      <c r="E3252" s="2"/>
      <c r="F3252" s="2" t="str">
        <f>HYPERLINK("http://m.12365auto.com/bbs/postcontent.aspx?tID=194942","http://m.12365auto.com/bbs/postcontent.aspx?tID=194942")</f>
        <v>http://m.12365auto.com/bbs/postcontent.aspx?tID=194942</v>
      </c>
      <c r="G3252" s="2"/>
      <c r="H3252" s="2" t="s">
        <v>4645</v>
      </c>
      <c r="I3252" s="2" t="s">
        <v>15</v>
      </c>
      <c r="J3252" s="2" t="s">
        <v>616</v>
      </c>
      <c r="K3252" s="2" t="s">
        <v>4644</v>
      </c>
      <c r="L3252" s="2">
        <f t="shared" si="50"/>
        <v>150</v>
      </c>
    </row>
    <row r="3253" spans="1:12" ht="25" customHeight="1">
      <c r="A3253" s="2" t="s">
        <v>12</v>
      </c>
      <c r="B3253" s="2" t="str">
        <f>HYPERLINK("http://m.12365auto.com/zjdy/20200224/121571.shtml","雅阁和凯美瑞的混动车型选择哪一款？")</f>
        <v>雅阁和凯美瑞的混动车型选择哪一款？</v>
      </c>
      <c r="C3253" s="2" t="s">
        <v>13</v>
      </c>
      <c r="D3253" s="2" t="s">
        <v>12</v>
      </c>
      <c r="E3253" s="2"/>
      <c r="F3253" s="2" t="str">
        <f>HYPERLINK("http://m.12365auto.com/zjdy/20200224/121571.shtml","http://m.12365auto.com/zjdy/20200224/121571.shtml")</f>
        <v>http://m.12365auto.com/zjdy/20200224/121571.shtml</v>
      </c>
      <c r="G3253" s="2"/>
      <c r="H3253" s="2" t="s">
        <v>4646</v>
      </c>
      <c r="I3253" s="2" t="s">
        <v>19</v>
      </c>
      <c r="J3253" s="2" t="s">
        <v>12</v>
      </c>
      <c r="K3253" s="2" t="s">
        <v>4647</v>
      </c>
      <c r="L3253" s="2">
        <f t="shared" si="50"/>
        <v>20</v>
      </c>
    </row>
    <row r="3254" spans="1:12" ht="25" customHeight="1">
      <c r="A3254" s="2" t="s">
        <v>12</v>
      </c>
      <c r="B3254" s="2" t="str">
        <f>HYPERLINK("http://www.12365auto.com/zlts/20200224/448434.shtml","上汽大众帕萨特车门及中控异响 车机卡顿")</f>
        <v>上汽大众帕萨特车门及中控异响 车机卡顿</v>
      </c>
      <c r="C3254" s="2" t="s">
        <v>13</v>
      </c>
      <c r="D3254" s="2" t="s">
        <v>12</v>
      </c>
      <c r="E3254" s="2" t="s">
        <v>17</v>
      </c>
      <c r="F3254" s="2" t="str">
        <f>HYPERLINK("http://www.12365auto.com/zlts/20200224/448434.shtml","http://www.12365auto.com/zlts/20200224/448434.shtml")</f>
        <v>http://www.12365auto.com/zlts/20200224/448434.shtml</v>
      </c>
      <c r="G3254" s="2"/>
      <c r="H3254" s="2" t="s">
        <v>4648</v>
      </c>
      <c r="I3254" s="2" t="s">
        <v>15</v>
      </c>
      <c r="J3254" s="2" t="s">
        <v>12</v>
      </c>
      <c r="K3254" s="2" t="s">
        <v>4649</v>
      </c>
      <c r="L3254" s="2">
        <f t="shared" si="50"/>
        <v>150</v>
      </c>
    </row>
    <row r="3255" spans="1:12" ht="25" customHeight="1">
      <c r="A3255" s="2" t="s">
        <v>12</v>
      </c>
      <c r="B3255" s="2" t="str">
        <f>HYPERLINK("http://m.12365auto.com/xcdg/20200224/419346.shtml","性价比高 雪佛兰畅巡产品竞争力分析")</f>
        <v>性价比高 雪佛兰畅巡产品竞争力分析</v>
      </c>
      <c r="C3255" s="2" t="s">
        <v>13</v>
      </c>
      <c r="D3255" s="2" t="s">
        <v>12</v>
      </c>
      <c r="E3255" s="2"/>
      <c r="F3255" s="2" t="str">
        <f>HYPERLINK("http://m.12365auto.com/xcdg/20200224/419346.shtml","http://m.12365auto.com/xcdg/20200224/419346.shtml")</f>
        <v>http://m.12365auto.com/xcdg/20200224/419346.shtml</v>
      </c>
      <c r="G3255" s="2"/>
      <c r="H3255" s="2" t="s">
        <v>4650</v>
      </c>
      <c r="I3255" s="2" t="s">
        <v>19</v>
      </c>
      <c r="J3255" s="2" t="s">
        <v>2660</v>
      </c>
      <c r="K3255" s="2" t="s">
        <v>4651</v>
      </c>
      <c r="L3255" s="2">
        <f t="shared" si="50"/>
        <v>150</v>
      </c>
    </row>
    <row r="3256" spans="1:12" ht="25" customHeight="1">
      <c r="A3256" s="2" t="s">
        <v>12</v>
      </c>
      <c r="B3256" s="2" t="str">
        <f>HYPERLINK("http://www.12365auto.com/news/20200224/419345.shtml","一汽-大众1月份销量再夺冠 探岳暴涨257.7%")</f>
        <v>一汽-大众1月份销量再夺冠 探岳暴涨257.7%</v>
      </c>
      <c r="C3256" s="2" t="s">
        <v>13</v>
      </c>
      <c r="D3256" s="2" t="s">
        <v>12</v>
      </c>
      <c r="E3256" s="2" t="s">
        <v>276</v>
      </c>
      <c r="F3256" s="2" t="str">
        <f>HYPERLINK("http://www.12365auto.com/news/20200224/419345.shtml","http://www.12365auto.com/news/20200224/419345.shtml")</f>
        <v>http://www.12365auto.com/news/20200224/419345.shtml</v>
      </c>
      <c r="G3256" s="2"/>
      <c r="H3256" s="2" t="s">
        <v>4652</v>
      </c>
      <c r="I3256" s="2" t="s">
        <v>15</v>
      </c>
      <c r="J3256" s="2" t="s">
        <v>12</v>
      </c>
      <c r="K3256" s="2" t="s">
        <v>4653</v>
      </c>
      <c r="L3256" s="2">
        <f t="shared" si="50"/>
        <v>150</v>
      </c>
    </row>
    <row r="3257" spans="1:12" ht="25" customHeight="1">
      <c r="A3257" s="2" t="s">
        <v>12</v>
      </c>
      <c r="B3257" s="2" t="str">
        <f>HYPERLINK("http://m.12365auto.com/news/20200224/419345.shtml","一汽-大众1月份销量再夺冠 探岳暴涨257.7%")</f>
        <v>一汽-大众1月份销量再夺冠 探岳暴涨257.7%</v>
      </c>
      <c r="C3257" s="2" t="s">
        <v>13</v>
      </c>
      <c r="D3257" s="2" t="s">
        <v>12</v>
      </c>
      <c r="E3257" s="2"/>
      <c r="F3257" s="2" t="str">
        <f>HYPERLINK("http://m.12365auto.com/news/20200224/419345.shtml","http://m.12365auto.com/news/20200224/419345.shtml")</f>
        <v>http://m.12365auto.com/news/20200224/419345.shtml</v>
      </c>
      <c r="G3257" s="2"/>
      <c r="H3257" s="2" t="s">
        <v>4654</v>
      </c>
      <c r="I3257" s="2" t="s">
        <v>19</v>
      </c>
      <c r="J3257" s="2" t="s">
        <v>3053</v>
      </c>
      <c r="K3257" s="2" t="s">
        <v>4653</v>
      </c>
      <c r="L3257" s="2">
        <f t="shared" si="50"/>
        <v>150</v>
      </c>
    </row>
    <row r="3258" spans="1:12" ht="25" customHeight="1">
      <c r="A3258" s="2" t="s">
        <v>12</v>
      </c>
      <c r="B3258" s="2" t="str">
        <f>HYPERLINK("http://www.12365auto.com/xcdg/20200224/419344.shtml","上汽大通T60柴油国六版上市 9.98万元起")</f>
        <v>上汽大通T60柴油国六版上市 9.98万元起</v>
      </c>
      <c r="C3258" s="2" t="s">
        <v>13</v>
      </c>
      <c r="D3258" s="2" t="s">
        <v>12</v>
      </c>
      <c r="E3258" s="2" t="s">
        <v>216</v>
      </c>
      <c r="F3258" s="2" t="str">
        <f>HYPERLINK("http://www.12365auto.com/xcdg/20200224/419344.shtml","http://www.12365auto.com/xcdg/20200224/419344.shtml")</f>
        <v>http://www.12365auto.com/xcdg/20200224/419344.shtml</v>
      </c>
      <c r="G3258" s="2"/>
      <c r="H3258" s="2" t="s">
        <v>4655</v>
      </c>
      <c r="I3258" s="2" t="s">
        <v>15</v>
      </c>
      <c r="J3258" s="2" t="s">
        <v>12</v>
      </c>
      <c r="K3258" s="2" t="s">
        <v>4656</v>
      </c>
      <c r="L3258" s="2">
        <f t="shared" si="50"/>
        <v>150</v>
      </c>
    </row>
    <row r="3259" spans="1:12" ht="25" customHeight="1">
      <c r="A3259" s="2" t="s">
        <v>12</v>
      </c>
      <c r="B3259" s="2" t="str">
        <f>HYPERLINK("http://m.12365auto.com/xcdg/20200224/419344.shtml","上汽大通T60柴油国六版上市 9.98万元起")</f>
        <v>上汽大通T60柴油国六版上市 9.98万元起</v>
      </c>
      <c r="C3259" s="2" t="s">
        <v>13</v>
      </c>
      <c r="D3259" s="2" t="s">
        <v>12</v>
      </c>
      <c r="E3259" s="2"/>
      <c r="F3259" s="2" t="str">
        <f>HYPERLINK("http://m.12365auto.com/xcdg/20200224/419344.shtml","http://m.12365auto.com/xcdg/20200224/419344.shtml")</f>
        <v>http://m.12365auto.com/xcdg/20200224/419344.shtml</v>
      </c>
      <c r="G3259" s="2"/>
      <c r="H3259" s="2" t="s">
        <v>4657</v>
      </c>
      <c r="I3259" s="2" t="s">
        <v>19</v>
      </c>
      <c r="J3259" s="2" t="s">
        <v>1933</v>
      </c>
      <c r="K3259" s="2" t="s">
        <v>4656</v>
      </c>
      <c r="L3259" s="2">
        <f t="shared" si="50"/>
        <v>150</v>
      </c>
    </row>
    <row r="3260" spans="1:12" ht="25" customHeight="1">
      <c r="A3260" s="2" t="s">
        <v>12</v>
      </c>
      <c r="B3260" s="2" t="str">
        <f>HYPERLINK("http://www.12365auto.com/xcdg/20200224/419343.shtml","奥迪改款A4L配置曝光 入门版即将上市")</f>
        <v>奥迪改款A4L配置曝光 入门版即将上市</v>
      </c>
      <c r="C3260" s="2" t="s">
        <v>13</v>
      </c>
      <c r="D3260" s="2" t="s">
        <v>12</v>
      </c>
      <c r="E3260" s="2" t="s">
        <v>216</v>
      </c>
      <c r="F3260" s="2" t="str">
        <f>HYPERLINK("http://www.12365auto.com/xcdg/20200224/419343.shtml","http://www.12365auto.com/xcdg/20200224/419343.shtml")</f>
        <v>http://www.12365auto.com/xcdg/20200224/419343.shtml</v>
      </c>
      <c r="G3260" s="2"/>
      <c r="H3260" s="2" t="s">
        <v>4658</v>
      </c>
      <c r="I3260" s="2" t="s">
        <v>15</v>
      </c>
      <c r="J3260" s="2" t="s">
        <v>12</v>
      </c>
      <c r="K3260" s="2" t="s">
        <v>4659</v>
      </c>
      <c r="L3260" s="2">
        <f t="shared" si="50"/>
        <v>150</v>
      </c>
    </row>
    <row r="3261" spans="1:12" ht="25" customHeight="1">
      <c r="A3261" s="2" t="s">
        <v>12</v>
      </c>
      <c r="B3261" s="2" t="str">
        <f>HYPERLINK("http://m.12365auto.com/xcdg/20200224/419343.shtml","奥迪改款A4L配置曝光 入门版即将上市")</f>
        <v>奥迪改款A4L配置曝光 入门版即将上市</v>
      </c>
      <c r="C3261" s="2" t="s">
        <v>13</v>
      </c>
      <c r="D3261" s="2" t="s">
        <v>12</v>
      </c>
      <c r="E3261" s="2"/>
      <c r="F3261" s="2" t="str">
        <f>HYPERLINK("http://m.12365auto.com/xcdg/20200224/419343.shtml","http://m.12365auto.com/xcdg/20200224/419343.shtml")</f>
        <v>http://m.12365auto.com/xcdg/20200224/419343.shtml</v>
      </c>
      <c r="G3261" s="2"/>
      <c r="H3261" s="2" t="s">
        <v>4660</v>
      </c>
      <c r="I3261" s="2" t="s">
        <v>19</v>
      </c>
      <c r="J3261" s="2" t="s">
        <v>1266</v>
      </c>
      <c r="K3261" s="2" t="s">
        <v>4659</v>
      </c>
      <c r="L3261" s="2">
        <f t="shared" si="50"/>
        <v>150</v>
      </c>
    </row>
    <row r="3262" spans="1:12" ht="25" customHeight="1">
      <c r="A3262" s="2" t="s">
        <v>12</v>
      </c>
      <c r="B3262" s="2" t="str">
        <f>HYPERLINK("http://www.12365auto.com/xcdg/20200224/419342.shtml","奥迪Q8高性能版国内实拍 搭兰博基尼4.0T")</f>
        <v>奥迪Q8高性能版国内实拍 搭兰博基尼4.0T</v>
      </c>
      <c r="C3262" s="2" t="s">
        <v>13</v>
      </c>
      <c r="D3262" s="2" t="s">
        <v>12</v>
      </c>
      <c r="E3262" s="2" t="s">
        <v>216</v>
      </c>
      <c r="F3262" s="2" t="str">
        <f>HYPERLINK("http://www.12365auto.com/xcdg/20200224/419342.shtml","http://www.12365auto.com/xcdg/20200224/419342.shtml")</f>
        <v>http://www.12365auto.com/xcdg/20200224/419342.shtml</v>
      </c>
      <c r="G3262" s="2"/>
      <c r="H3262" s="2" t="s">
        <v>4661</v>
      </c>
      <c r="I3262" s="2" t="s">
        <v>15</v>
      </c>
      <c r="J3262" s="2" t="s">
        <v>12</v>
      </c>
      <c r="K3262" s="2" t="s">
        <v>4662</v>
      </c>
      <c r="L3262" s="2">
        <f t="shared" si="50"/>
        <v>150</v>
      </c>
    </row>
    <row r="3263" spans="1:12" ht="25" customHeight="1">
      <c r="A3263" s="2" t="s">
        <v>12</v>
      </c>
      <c r="B3263" s="2" t="str">
        <f>HYPERLINK("http://m.12365auto.com/xcdg/20200224/419342.shtml","奥迪Q8高性能版国内实拍 搭兰博基尼4.0T")</f>
        <v>奥迪Q8高性能版国内实拍 搭兰博基尼4.0T</v>
      </c>
      <c r="C3263" s="2" t="s">
        <v>13</v>
      </c>
      <c r="D3263" s="2" t="s">
        <v>12</v>
      </c>
      <c r="E3263" s="2"/>
      <c r="F3263" s="2" t="str">
        <f>HYPERLINK("http://m.12365auto.com/xcdg/20200224/419342.shtml","http://m.12365auto.com/xcdg/20200224/419342.shtml")</f>
        <v>http://m.12365auto.com/xcdg/20200224/419342.shtml</v>
      </c>
      <c r="G3263" s="2"/>
      <c r="H3263" s="2" t="s">
        <v>4663</v>
      </c>
      <c r="I3263" s="2" t="s">
        <v>19</v>
      </c>
      <c r="J3263" s="2" t="s">
        <v>1266</v>
      </c>
      <c r="K3263" s="2" t="s">
        <v>4662</v>
      </c>
      <c r="L3263" s="2">
        <f t="shared" si="50"/>
        <v>150</v>
      </c>
    </row>
    <row r="3264" spans="1:12" ht="25" customHeight="1">
      <c r="A3264" s="2" t="s">
        <v>12</v>
      </c>
      <c r="B3264" s="2" t="str">
        <f>HYPERLINK("http://www.12365auto.com/xcdg/20200224/419341.shtml","沃尔沃轿车90家族升级 增添新动力/配置升级")</f>
        <v>沃尔沃轿车90家族升级 增添新动力/配置升级</v>
      </c>
      <c r="C3264" s="2" t="s">
        <v>13</v>
      </c>
      <c r="D3264" s="2" t="s">
        <v>12</v>
      </c>
      <c r="E3264" s="2" t="s">
        <v>216</v>
      </c>
      <c r="F3264" s="2" t="str">
        <f>HYPERLINK("http://www.12365auto.com/xcdg/20200224/419341.shtml","http://www.12365auto.com/xcdg/20200224/419341.shtml")</f>
        <v>http://www.12365auto.com/xcdg/20200224/419341.shtml</v>
      </c>
      <c r="G3264" s="2"/>
      <c r="H3264" s="2" t="s">
        <v>4664</v>
      </c>
      <c r="I3264" s="2" t="s">
        <v>15</v>
      </c>
      <c r="J3264" s="2" t="s">
        <v>12</v>
      </c>
      <c r="K3264" s="2" t="s">
        <v>4665</v>
      </c>
      <c r="L3264" s="2">
        <f t="shared" si="50"/>
        <v>150</v>
      </c>
    </row>
    <row r="3265" spans="1:12" ht="25" customHeight="1">
      <c r="A3265" s="2" t="s">
        <v>12</v>
      </c>
      <c r="B3265" s="2" t="str">
        <f>HYPERLINK("http://m.12365auto.com/xcdg/20200224/419341.shtml","沃尔沃轿车90家族升级 增添新动力/配置升级")</f>
        <v>沃尔沃轿车90家族升级 增添新动力/配置升级</v>
      </c>
      <c r="C3265" s="2" t="s">
        <v>13</v>
      </c>
      <c r="D3265" s="2" t="s">
        <v>12</v>
      </c>
      <c r="E3265" s="2"/>
      <c r="F3265" s="2" t="str">
        <f>HYPERLINK("http://m.12365auto.com/xcdg/20200224/419341.shtml","http://m.12365auto.com/xcdg/20200224/419341.shtml")</f>
        <v>http://m.12365auto.com/xcdg/20200224/419341.shtml</v>
      </c>
      <c r="G3265" s="2"/>
      <c r="H3265" s="2" t="s">
        <v>4666</v>
      </c>
      <c r="I3265" s="2" t="s">
        <v>19</v>
      </c>
      <c r="J3265" s="2" t="s">
        <v>220</v>
      </c>
      <c r="K3265" s="2" t="s">
        <v>4665</v>
      </c>
      <c r="L3265" s="2">
        <f t="shared" si="50"/>
        <v>150</v>
      </c>
    </row>
    <row r="3266" spans="1:12" ht="25" customHeight="1">
      <c r="A3266" s="2" t="s">
        <v>12</v>
      </c>
      <c r="B3266" s="2" t="str">
        <f>HYPERLINK("http://www.12365auto.com/xcdg/20200224/419340.shtml","奥迪e-tron S曝光 Matrix LED大灯配3电机")</f>
        <v>奥迪e-tron S曝光 Matrix LED大灯配3电机</v>
      </c>
      <c r="C3266" s="2" t="s">
        <v>13</v>
      </c>
      <c r="D3266" s="2" t="s">
        <v>12</v>
      </c>
      <c r="E3266" s="2" t="s">
        <v>216</v>
      </c>
      <c r="F3266" s="2" t="str">
        <f>HYPERLINK("http://www.12365auto.com/xcdg/20200224/419340.shtml","http://www.12365auto.com/xcdg/20200224/419340.shtml")</f>
        <v>http://www.12365auto.com/xcdg/20200224/419340.shtml</v>
      </c>
      <c r="G3266" s="2"/>
      <c r="H3266" s="2" t="s">
        <v>4667</v>
      </c>
      <c r="I3266" s="2" t="s">
        <v>15</v>
      </c>
      <c r="J3266" s="2" t="s">
        <v>12</v>
      </c>
      <c r="K3266" s="2" t="s">
        <v>4668</v>
      </c>
      <c r="L3266" s="2">
        <f t="shared" si="50"/>
        <v>150</v>
      </c>
    </row>
    <row r="3267" spans="1:12" ht="25" customHeight="1">
      <c r="A3267" s="2" t="s">
        <v>12</v>
      </c>
      <c r="B3267" s="2" t="str">
        <f>HYPERLINK("http://m.12365auto.com/xcdg/20200224/419340.shtml","奥迪e-tron S曝光 Matrix LED大灯配3电机")</f>
        <v>奥迪e-tron S曝光 Matrix LED大灯配3电机</v>
      </c>
      <c r="C3267" s="2" t="s">
        <v>13</v>
      </c>
      <c r="D3267" s="2" t="s">
        <v>12</v>
      </c>
      <c r="E3267" s="2"/>
      <c r="F3267" s="2" t="str">
        <f>HYPERLINK("http://m.12365auto.com/xcdg/20200224/419340.shtml","http://m.12365auto.com/xcdg/20200224/419340.shtml")</f>
        <v>http://m.12365auto.com/xcdg/20200224/419340.shtml</v>
      </c>
      <c r="G3267" s="2"/>
      <c r="H3267" s="2" t="s">
        <v>4669</v>
      </c>
      <c r="I3267" s="2" t="s">
        <v>19</v>
      </c>
      <c r="J3267" s="2" t="s">
        <v>220</v>
      </c>
      <c r="K3267" s="2" t="s">
        <v>4668</v>
      </c>
      <c r="L3267" s="2">
        <f t="shared" ref="L3267:L3330" si="51">LEN(H3267)</f>
        <v>150</v>
      </c>
    </row>
    <row r="3268" spans="1:12" ht="25" customHeight="1">
      <c r="A3268" s="2" t="s">
        <v>12</v>
      </c>
      <c r="B3268" s="2" t="str">
        <f>HYPERLINK("http://www.12365auto.com/xcdg/20200224/419339.shtml","新款MINI COUNTRYMAN曝光 下月亮相")</f>
        <v>新款MINI COUNTRYMAN曝光 下月亮相</v>
      </c>
      <c r="C3268" s="2" t="s">
        <v>13</v>
      </c>
      <c r="D3268" s="2" t="s">
        <v>12</v>
      </c>
      <c r="E3268" s="2" t="s">
        <v>224</v>
      </c>
      <c r="F3268" s="2" t="str">
        <f>HYPERLINK("http://www.12365auto.com/xcdg/20200224/419339.shtml","http://www.12365auto.com/xcdg/20200224/419339.shtml")</f>
        <v>http://www.12365auto.com/xcdg/20200224/419339.shtml</v>
      </c>
      <c r="G3268" s="2"/>
      <c r="H3268" s="2" t="s">
        <v>4670</v>
      </c>
      <c r="I3268" s="2" t="s">
        <v>15</v>
      </c>
      <c r="J3268" s="2" t="s">
        <v>12</v>
      </c>
      <c r="K3268" s="2" t="s">
        <v>4671</v>
      </c>
      <c r="L3268" s="2">
        <f t="shared" si="51"/>
        <v>150</v>
      </c>
    </row>
    <row r="3269" spans="1:12" ht="25" customHeight="1">
      <c r="A3269" s="2" t="s">
        <v>12</v>
      </c>
      <c r="B3269" s="2" t="str">
        <f>HYPERLINK("http://m.12365auto.com/xcdg/20200224/419339.shtml","新款MINI COUNTRYMAN曝光 下月亮相")</f>
        <v>新款MINI COUNTRYMAN曝光 下月亮相</v>
      </c>
      <c r="C3269" s="2" t="s">
        <v>13</v>
      </c>
      <c r="D3269" s="2" t="s">
        <v>12</v>
      </c>
      <c r="E3269" s="2"/>
      <c r="F3269" s="2" t="str">
        <f>HYPERLINK("http://m.12365auto.com/xcdg/20200224/419339.shtml","http://m.12365auto.com/xcdg/20200224/419339.shtml")</f>
        <v>http://m.12365auto.com/xcdg/20200224/419339.shtml</v>
      </c>
      <c r="G3269" s="2"/>
      <c r="H3269" s="2" t="s">
        <v>4672</v>
      </c>
      <c r="I3269" s="2" t="s">
        <v>19</v>
      </c>
      <c r="J3269" s="2" t="s">
        <v>220</v>
      </c>
      <c r="K3269" s="2" t="s">
        <v>4671</v>
      </c>
      <c r="L3269" s="2">
        <f t="shared" si="51"/>
        <v>150</v>
      </c>
    </row>
    <row r="3270" spans="1:12" ht="25" customHeight="1">
      <c r="A3270" s="2" t="s">
        <v>12</v>
      </c>
      <c r="B3270" s="2" t="str">
        <f>HYPERLINK("http://m.12365auto.com/xcdg/20200224/419338.shtml","奔驰全新S级谍照曝光 预计春季亮相")</f>
        <v>奔驰全新S级谍照曝光 预计春季亮相</v>
      </c>
      <c r="C3270" s="2" t="s">
        <v>13</v>
      </c>
      <c r="D3270" s="2" t="s">
        <v>12</v>
      </c>
      <c r="E3270" s="2"/>
      <c r="F3270" s="2" t="str">
        <f>HYPERLINK("http://m.12365auto.com/xcdg/20200224/419338.shtml","http://m.12365auto.com/xcdg/20200224/419338.shtml")</f>
        <v>http://m.12365auto.com/xcdg/20200224/419338.shtml</v>
      </c>
      <c r="G3270" s="2"/>
      <c r="H3270" s="2" t="s">
        <v>4673</v>
      </c>
      <c r="I3270" s="2" t="s">
        <v>19</v>
      </c>
      <c r="J3270" s="2" t="s">
        <v>220</v>
      </c>
      <c r="K3270" s="2" t="s">
        <v>4674</v>
      </c>
      <c r="L3270" s="2">
        <f t="shared" si="51"/>
        <v>150</v>
      </c>
    </row>
    <row r="3271" spans="1:12" ht="25" customHeight="1">
      <c r="A3271" s="2" t="s">
        <v>12</v>
      </c>
      <c r="B3271" s="2" t="str">
        <f>HYPERLINK("http://www.12365auto.com/xcdg/20200224/419338.shtml","奔驰全新S级谍照曝光 预计春季亮相")</f>
        <v>奔驰全新S级谍照曝光 预计春季亮相</v>
      </c>
      <c r="C3271" s="2" t="s">
        <v>13</v>
      </c>
      <c r="D3271" s="2" t="s">
        <v>12</v>
      </c>
      <c r="E3271" s="2" t="s">
        <v>224</v>
      </c>
      <c r="F3271" s="2" t="str">
        <f>HYPERLINK("http://www.12365auto.com/xcdg/20200224/419338.shtml","http://www.12365auto.com/xcdg/20200224/419338.shtml")</f>
        <v>http://www.12365auto.com/xcdg/20200224/419338.shtml</v>
      </c>
      <c r="G3271" s="2"/>
      <c r="H3271" s="2" t="s">
        <v>4675</v>
      </c>
      <c r="I3271" s="2" t="s">
        <v>15</v>
      </c>
      <c r="J3271" s="2" t="s">
        <v>12</v>
      </c>
      <c r="K3271" s="2" t="s">
        <v>4674</v>
      </c>
      <c r="L3271" s="2">
        <f t="shared" si="51"/>
        <v>150</v>
      </c>
    </row>
    <row r="3272" spans="1:12" ht="25" customHeight="1">
      <c r="A3272" s="2" t="s">
        <v>12</v>
      </c>
      <c r="B3272" s="2" t="str">
        <f>HYPERLINK("http://m.12365auto.com/xcdg/20200224/419337.shtml","斯柯达新明锐下半年上市 10万元起售")</f>
        <v>斯柯达新明锐下半年上市 10万元起售</v>
      </c>
      <c r="C3272" s="2" t="s">
        <v>13</v>
      </c>
      <c r="D3272" s="2" t="s">
        <v>12</v>
      </c>
      <c r="E3272" s="2"/>
      <c r="F3272" s="2" t="str">
        <f>HYPERLINK("http://m.12365auto.com/xcdg/20200224/419337.shtml","http://m.12365auto.com/xcdg/20200224/419337.shtml")</f>
        <v>http://m.12365auto.com/xcdg/20200224/419337.shtml</v>
      </c>
      <c r="G3272" s="2"/>
      <c r="H3272" s="2" t="s">
        <v>4676</v>
      </c>
      <c r="I3272" s="2" t="s">
        <v>19</v>
      </c>
      <c r="J3272" s="2" t="s">
        <v>732</v>
      </c>
      <c r="K3272" s="2" t="s">
        <v>4677</v>
      </c>
      <c r="L3272" s="2">
        <f t="shared" si="51"/>
        <v>150</v>
      </c>
    </row>
    <row r="3273" spans="1:12" ht="25" customHeight="1">
      <c r="A3273" s="2" t="s">
        <v>12</v>
      </c>
      <c r="B3273" s="2" t="str">
        <f>HYPERLINK("http://www.12365auto.com/xcdg/20200224/419337.shtml","斯柯达新明锐下半年上市 10万元起售")</f>
        <v>斯柯达新明锐下半年上市 10万元起售</v>
      </c>
      <c r="C3273" s="2" t="s">
        <v>13</v>
      </c>
      <c r="D3273" s="2" t="s">
        <v>12</v>
      </c>
      <c r="E3273" s="2" t="s">
        <v>216</v>
      </c>
      <c r="F3273" s="2" t="str">
        <f>HYPERLINK("http://www.12365auto.com/xcdg/20200224/419337.shtml","http://www.12365auto.com/xcdg/20200224/419337.shtml")</f>
        <v>http://www.12365auto.com/xcdg/20200224/419337.shtml</v>
      </c>
      <c r="G3273" s="2"/>
      <c r="H3273" s="2" t="s">
        <v>4678</v>
      </c>
      <c r="I3273" s="2" t="s">
        <v>15</v>
      </c>
      <c r="J3273" s="2" t="s">
        <v>12</v>
      </c>
      <c r="K3273" s="2" t="s">
        <v>4677</v>
      </c>
      <c r="L3273" s="2">
        <f t="shared" si="51"/>
        <v>150</v>
      </c>
    </row>
    <row r="3274" spans="1:12" ht="25" customHeight="1">
      <c r="A3274" s="2" t="s">
        <v>12</v>
      </c>
      <c r="B3274" s="2" t="str">
        <f>HYPERLINK("http://m.12365auto.com/xcdg/20200224/419336.shtml","最划算德系中型SUV 捷达VS7三天后上市")</f>
        <v>最划算德系中型SUV 捷达VS7三天后上市</v>
      </c>
      <c r="C3274" s="2" t="s">
        <v>13</v>
      </c>
      <c r="D3274" s="2" t="s">
        <v>12</v>
      </c>
      <c r="E3274" s="2"/>
      <c r="F3274" s="2" t="str">
        <f>HYPERLINK("http://m.12365auto.com/xcdg/20200224/419336.shtml","http://m.12365auto.com/xcdg/20200224/419336.shtml")</f>
        <v>http://m.12365auto.com/xcdg/20200224/419336.shtml</v>
      </c>
      <c r="G3274" s="2"/>
      <c r="H3274" s="2" t="s">
        <v>4679</v>
      </c>
      <c r="I3274" s="2" t="s">
        <v>19</v>
      </c>
      <c r="J3274" s="2" t="s">
        <v>732</v>
      </c>
      <c r="K3274" s="2" t="s">
        <v>4680</v>
      </c>
      <c r="L3274" s="2">
        <f t="shared" si="51"/>
        <v>150</v>
      </c>
    </row>
    <row r="3275" spans="1:12" ht="25" customHeight="1">
      <c r="A3275" s="2" t="s">
        <v>12</v>
      </c>
      <c r="B3275" s="2" t="str">
        <f>HYPERLINK("http://www.12365auto.com/xcdg/20200224/419336.shtml","最划算德系中型SUV 捷达VS7三天后上市")</f>
        <v>最划算德系中型SUV 捷达VS7三天后上市</v>
      </c>
      <c r="C3275" s="2" t="s">
        <v>13</v>
      </c>
      <c r="D3275" s="2" t="s">
        <v>12</v>
      </c>
      <c r="E3275" s="2" t="s">
        <v>216</v>
      </c>
      <c r="F3275" s="2" t="str">
        <f>HYPERLINK("http://www.12365auto.com/xcdg/20200224/419336.shtml","http://www.12365auto.com/xcdg/20200224/419336.shtml")</f>
        <v>http://www.12365auto.com/xcdg/20200224/419336.shtml</v>
      </c>
      <c r="G3275" s="2"/>
      <c r="H3275" s="2" t="s">
        <v>4681</v>
      </c>
      <c r="I3275" s="2" t="s">
        <v>15</v>
      </c>
      <c r="J3275" s="2" t="s">
        <v>12</v>
      </c>
      <c r="K3275" s="2" t="s">
        <v>4680</v>
      </c>
      <c r="L3275" s="2">
        <f t="shared" si="51"/>
        <v>150</v>
      </c>
    </row>
    <row r="3276" spans="1:12" ht="25" customHeight="1">
      <c r="A3276" s="2" t="s">
        <v>12</v>
      </c>
      <c r="B3276" s="2" t="str">
        <f>HYPERLINK("http://m.12365auto.com/bbs/postcontent.aspx?tID=194941","这些车千万别买 总结中保研测试碰撞")</f>
        <v>这些车千万别买 总结中保研测试碰撞</v>
      </c>
      <c r="C3276" s="2" t="s">
        <v>13</v>
      </c>
      <c r="D3276" s="2" t="s">
        <v>23</v>
      </c>
      <c r="E3276" s="2"/>
      <c r="F3276" s="2" t="str">
        <f>HYPERLINK("http://m.12365auto.com/bbs/postcontent.aspx?tID=194941","http://m.12365auto.com/bbs/postcontent.aspx?tID=194941")</f>
        <v>http://m.12365auto.com/bbs/postcontent.aspx?tID=194941</v>
      </c>
      <c r="G3276" s="2"/>
      <c r="H3276" s="2" t="s">
        <v>4682</v>
      </c>
      <c r="I3276" s="2" t="s">
        <v>15</v>
      </c>
      <c r="J3276" s="2" t="s">
        <v>2699</v>
      </c>
      <c r="K3276" s="2" t="s">
        <v>4680</v>
      </c>
      <c r="L3276" s="2">
        <f t="shared" si="51"/>
        <v>150</v>
      </c>
    </row>
    <row r="3277" spans="1:12" ht="25" customHeight="1">
      <c r="A3277" s="2" t="s">
        <v>12</v>
      </c>
      <c r="B3277" s="2" t="str">
        <f>HYPERLINK("http://bbs.12365auto.com/postcontent.aspx?tID=194941","这些车千万别买 总结中保研测试碰撞")</f>
        <v>这些车千万别买 总结中保研测试碰撞</v>
      </c>
      <c r="C3277" s="2" t="s">
        <v>13</v>
      </c>
      <c r="D3277" s="2" t="s">
        <v>12</v>
      </c>
      <c r="E3277" s="2" t="s">
        <v>28</v>
      </c>
      <c r="F3277" s="2" t="str">
        <f>HYPERLINK("http://bbs.12365auto.com/postcontent.aspx?tID=194941","http://bbs.12365auto.com/postcontent.aspx?tID=194941")</f>
        <v>http://bbs.12365auto.com/postcontent.aspx?tID=194941</v>
      </c>
      <c r="G3277" s="2"/>
      <c r="H3277" s="2" t="s">
        <v>4683</v>
      </c>
      <c r="I3277" s="2" t="s">
        <v>15</v>
      </c>
      <c r="J3277" s="2" t="s">
        <v>2699</v>
      </c>
      <c r="K3277" s="2" t="s">
        <v>4680</v>
      </c>
      <c r="L3277" s="2">
        <f t="shared" si="51"/>
        <v>150</v>
      </c>
    </row>
    <row r="3278" spans="1:12" ht="25" customHeight="1">
      <c r="A3278" s="2" t="s">
        <v>12</v>
      </c>
      <c r="B3278" s="2" t="str">
        <f>HYPERLINK("http://bbs.12365auto.com/postcontent.aspx?tId=194941","这些车千万别买 总结中保研测试碰撞")</f>
        <v>这些车千万别买 总结中保研测试碰撞</v>
      </c>
      <c r="C3278" s="2" t="s">
        <v>13</v>
      </c>
      <c r="D3278" s="2" t="s">
        <v>12</v>
      </c>
      <c r="E3278" s="2" t="s">
        <v>27</v>
      </c>
      <c r="F3278" s="2" t="str">
        <f>HYPERLINK("http://bbs.12365auto.com/postcontent.aspx?tId=194941","http://bbs.12365auto.com/postcontent.aspx?tId=194941")</f>
        <v>http://bbs.12365auto.com/postcontent.aspx?tId=194941</v>
      </c>
      <c r="G3278" s="2"/>
      <c r="H3278" s="2" t="s">
        <v>4682</v>
      </c>
      <c r="I3278" s="2" t="s">
        <v>15</v>
      </c>
      <c r="J3278" s="2" t="s">
        <v>2699</v>
      </c>
      <c r="K3278" s="2" t="s">
        <v>4680</v>
      </c>
      <c r="L3278" s="2">
        <f t="shared" si="51"/>
        <v>150</v>
      </c>
    </row>
    <row r="3279" spans="1:12" ht="25" customHeight="1">
      <c r="A3279" s="2" t="s">
        <v>12</v>
      </c>
      <c r="B3279" s="2" t="str">
        <f>HYPERLINK("http://m.12365auto.com/xcdg/20200224/419335.shtml","配8英寸屏 斯柯达昕锐/昕动买这3款很值")</f>
        <v>配8英寸屏 斯柯达昕锐/昕动买这3款很值</v>
      </c>
      <c r="C3279" s="2" t="s">
        <v>13</v>
      </c>
      <c r="D3279" s="2" t="s">
        <v>12</v>
      </c>
      <c r="E3279" s="2"/>
      <c r="F3279" s="2" t="str">
        <f>HYPERLINK("http://m.12365auto.com/xcdg/20200224/419335.shtml","http://m.12365auto.com/xcdg/20200224/419335.shtml")</f>
        <v>http://m.12365auto.com/xcdg/20200224/419335.shtml</v>
      </c>
      <c r="G3279" s="2"/>
      <c r="H3279" s="2" t="s">
        <v>4684</v>
      </c>
      <c r="I3279" s="2" t="s">
        <v>19</v>
      </c>
      <c r="J3279" s="2" t="s">
        <v>1257</v>
      </c>
      <c r="K3279" s="2" t="s">
        <v>4685</v>
      </c>
      <c r="L3279" s="2">
        <f t="shared" si="51"/>
        <v>150</v>
      </c>
    </row>
    <row r="3280" spans="1:12" ht="25" customHeight="1">
      <c r="A3280" s="2" t="s">
        <v>12</v>
      </c>
      <c r="B3280" s="2" t="str">
        <f>HYPERLINK("http://m.12365auto.com/bbs/postcontent.aspx?tID=194940","奥迪Q5L越减配销量越高，是我们不懂车吗？")</f>
        <v>奥迪Q5L越减配销量越高，是我们不懂车吗？</v>
      </c>
      <c r="C3280" s="2" t="s">
        <v>13</v>
      </c>
      <c r="D3280" s="2" t="s">
        <v>23</v>
      </c>
      <c r="E3280" s="2"/>
      <c r="F3280" s="2" t="str">
        <f>HYPERLINK("http://m.12365auto.com/bbs/postcontent.aspx?tID=194940","http://m.12365auto.com/bbs/postcontent.aspx?tID=194940")</f>
        <v>http://m.12365auto.com/bbs/postcontent.aspx?tID=194940</v>
      </c>
      <c r="G3280" s="2"/>
      <c r="H3280" s="2" t="s">
        <v>1398</v>
      </c>
      <c r="I3280" s="2" t="s">
        <v>15</v>
      </c>
      <c r="J3280" s="2" t="s">
        <v>2699</v>
      </c>
      <c r="K3280" s="2" t="s">
        <v>4685</v>
      </c>
      <c r="L3280" s="2">
        <f t="shared" si="51"/>
        <v>150</v>
      </c>
    </row>
    <row r="3281" spans="1:12" ht="25" customHeight="1">
      <c r="A3281" s="2" t="s">
        <v>12</v>
      </c>
      <c r="B3281" s="2" t="str">
        <f>HYPERLINK("http://m.12365auto.com/bbs/postcontent.aspx?tID=194939","奥迪Q7跌破50万，途锐该咋办？")</f>
        <v>奥迪Q7跌破50万，途锐该咋办？</v>
      </c>
      <c r="C3281" s="2" t="s">
        <v>13</v>
      </c>
      <c r="D3281" s="2" t="s">
        <v>23</v>
      </c>
      <c r="E3281" s="2"/>
      <c r="F3281" s="2" t="str">
        <f>HYPERLINK("http://m.12365auto.com/bbs/postcontent.aspx?tID=194939","http://m.12365auto.com/bbs/postcontent.aspx?tID=194939")</f>
        <v>http://m.12365auto.com/bbs/postcontent.aspx?tID=194939</v>
      </c>
      <c r="G3281" s="2"/>
      <c r="H3281" s="2" t="s">
        <v>4686</v>
      </c>
      <c r="I3281" s="2" t="s">
        <v>15</v>
      </c>
      <c r="J3281" s="2" t="s">
        <v>2699</v>
      </c>
      <c r="K3281" s="2" t="s">
        <v>4685</v>
      </c>
      <c r="L3281" s="2">
        <f t="shared" si="51"/>
        <v>150</v>
      </c>
    </row>
    <row r="3282" spans="1:12" ht="25" customHeight="1">
      <c r="A3282" s="2" t="s">
        <v>12</v>
      </c>
      <c r="B3282" s="2" t="str">
        <f>HYPERLINK("http://bbs.12365auto.com/postcontent.aspx?tID=194939","奥迪Q7跌破50万，途锐该咋办？")</f>
        <v>奥迪Q7跌破50万，途锐该咋办？</v>
      </c>
      <c r="C3282" s="2" t="s">
        <v>13</v>
      </c>
      <c r="D3282" s="2" t="s">
        <v>12</v>
      </c>
      <c r="E3282" s="2" t="s">
        <v>28</v>
      </c>
      <c r="F3282" s="2" t="str">
        <f>HYPERLINK("http://bbs.12365auto.com/postcontent.aspx?tID=194939","http://bbs.12365auto.com/postcontent.aspx?tID=194939")</f>
        <v>http://bbs.12365auto.com/postcontent.aspx?tID=194939</v>
      </c>
      <c r="G3282" s="2"/>
      <c r="H3282" s="2" t="s">
        <v>4687</v>
      </c>
      <c r="I3282" s="2" t="s">
        <v>15</v>
      </c>
      <c r="J3282" s="2" t="s">
        <v>2699</v>
      </c>
      <c r="K3282" s="2" t="s">
        <v>4685</v>
      </c>
      <c r="L3282" s="2">
        <f t="shared" si="51"/>
        <v>150</v>
      </c>
    </row>
    <row r="3283" spans="1:12" ht="25" customHeight="1">
      <c r="A3283" s="2" t="s">
        <v>12</v>
      </c>
      <c r="B3283" s="2" t="str">
        <f>HYPERLINK("http://bbs.12365auto.com/postcontent.aspx?tID=194940","奥迪Q5L越减配销量越高，是我们不懂车吗？")</f>
        <v>奥迪Q5L越减配销量越高，是我们不懂车吗？</v>
      </c>
      <c r="C3283" s="2" t="s">
        <v>13</v>
      </c>
      <c r="D3283" s="2" t="s">
        <v>12</v>
      </c>
      <c r="E3283" s="2" t="s">
        <v>28</v>
      </c>
      <c r="F3283" s="2" t="str">
        <f>HYPERLINK("http://bbs.12365auto.com/postcontent.aspx?tID=194940","http://bbs.12365auto.com/postcontent.aspx?tID=194940")</f>
        <v>http://bbs.12365auto.com/postcontent.aspx?tID=194940</v>
      </c>
      <c r="G3283" s="2"/>
      <c r="H3283" s="2" t="s">
        <v>4688</v>
      </c>
      <c r="I3283" s="2" t="s">
        <v>15</v>
      </c>
      <c r="J3283" s="2" t="s">
        <v>2699</v>
      </c>
      <c r="K3283" s="2" t="s">
        <v>4685</v>
      </c>
      <c r="L3283" s="2">
        <f t="shared" si="51"/>
        <v>150</v>
      </c>
    </row>
    <row r="3284" spans="1:12" ht="25" customHeight="1">
      <c r="A3284" s="2" t="s">
        <v>12</v>
      </c>
      <c r="B3284" s="2" t="str">
        <f>HYPERLINK("http://bbs.12365auto.com/postcontent.aspx?tId=194940","奥迪Q5L越减配销量越高，是我们不懂车吗？")</f>
        <v>奥迪Q5L越减配销量越高，是我们不懂车吗？</v>
      </c>
      <c r="C3284" s="2" t="s">
        <v>13</v>
      </c>
      <c r="D3284" s="2" t="s">
        <v>12</v>
      </c>
      <c r="E3284" s="2" t="s">
        <v>27</v>
      </c>
      <c r="F3284" s="2" t="str">
        <f>HYPERLINK("http://bbs.12365auto.com/postcontent.aspx?tId=194940","http://bbs.12365auto.com/postcontent.aspx?tId=194940")</f>
        <v>http://bbs.12365auto.com/postcontent.aspx?tId=194940</v>
      </c>
      <c r="G3284" s="2"/>
      <c r="H3284" s="2" t="s">
        <v>1398</v>
      </c>
      <c r="I3284" s="2" t="s">
        <v>15</v>
      </c>
      <c r="J3284" s="2" t="s">
        <v>2699</v>
      </c>
      <c r="K3284" s="2" t="s">
        <v>4685</v>
      </c>
      <c r="L3284" s="2">
        <f t="shared" si="51"/>
        <v>150</v>
      </c>
    </row>
    <row r="3285" spans="1:12" ht="25" customHeight="1">
      <c r="A3285" s="2" t="s">
        <v>12</v>
      </c>
      <c r="B3285" s="2" t="str">
        <f>HYPERLINK("http://bbs.12365auto.com/postcontent.aspx?tId=194939","奥迪Q7跌破50万，途锐该咋办？")</f>
        <v>奥迪Q7跌破50万，途锐该咋办？</v>
      </c>
      <c r="C3285" s="2" t="s">
        <v>13</v>
      </c>
      <c r="D3285" s="2" t="s">
        <v>12</v>
      </c>
      <c r="E3285" s="2" t="s">
        <v>27</v>
      </c>
      <c r="F3285" s="2" t="str">
        <f>HYPERLINK("http://bbs.12365auto.com/postcontent.aspx?tId=194939","http://bbs.12365auto.com/postcontent.aspx?tId=194939")</f>
        <v>http://bbs.12365auto.com/postcontent.aspx?tId=194939</v>
      </c>
      <c r="G3285" s="2"/>
      <c r="H3285" s="2" t="s">
        <v>4686</v>
      </c>
      <c r="I3285" s="2" t="s">
        <v>15</v>
      </c>
      <c r="J3285" s="2" t="s">
        <v>2699</v>
      </c>
      <c r="K3285" s="2" t="s">
        <v>4685</v>
      </c>
      <c r="L3285" s="2">
        <f t="shared" si="51"/>
        <v>150</v>
      </c>
    </row>
    <row r="3286" spans="1:12" ht="25" customHeight="1">
      <c r="A3286" s="2" t="s">
        <v>12</v>
      </c>
      <c r="B3286" s="2" t="str">
        <f>HYPERLINK("http://m.12365auto.com/xcdg/20200224/419334.shtml","30万买奔驰7座SUV 是不是最具性价比的选择")</f>
        <v>30万买奔驰7座SUV 是不是最具性价比的选择</v>
      </c>
      <c r="C3286" s="2" t="s">
        <v>13</v>
      </c>
      <c r="D3286" s="2" t="s">
        <v>12</v>
      </c>
      <c r="E3286" s="2"/>
      <c r="F3286" s="2" t="str">
        <f>HYPERLINK("http://m.12365auto.com/xcdg/20200224/419334.shtml","http://m.12365auto.com/xcdg/20200224/419334.shtml")</f>
        <v>http://m.12365auto.com/xcdg/20200224/419334.shtml</v>
      </c>
      <c r="G3286" s="2"/>
      <c r="H3286" s="2" t="s">
        <v>4689</v>
      </c>
      <c r="I3286" s="2" t="s">
        <v>19</v>
      </c>
      <c r="J3286" s="2" t="s">
        <v>1257</v>
      </c>
      <c r="K3286" s="2" t="s">
        <v>4690</v>
      </c>
      <c r="L3286" s="2">
        <f t="shared" si="51"/>
        <v>150</v>
      </c>
    </row>
    <row r="3287" spans="1:12" ht="25" customHeight="1">
      <c r="A3287" s="2" t="s">
        <v>12</v>
      </c>
      <c r="B3287" s="2" t="str">
        <f>HYPERLINK("http://m.12365auto.com/bbs/postcontent.aspx?tID=194938","轿车保值率新鲜出炉！日系再次屠榜")</f>
        <v>轿车保值率新鲜出炉！日系再次屠榜</v>
      </c>
      <c r="C3287" s="2" t="s">
        <v>13</v>
      </c>
      <c r="D3287" s="2" t="s">
        <v>23</v>
      </c>
      <c r="E3287" s="2"/>
      <c r="F3287" s="2" t="str">
        <f>HYPERLINK("http://m.12365auto.com/bbs/postcontent.aspx?tID=194938","http://m.12365auto.com/bbs/postcontent.aspx?tID=194938")</f>
        <v>http://m.12365auto.com/bbs/postcontent.aspx?tID=194938</v>
      </c>
      <c r="G3287" s="2"/>
      <c r="H3287" s="2" t="s">
        <v>4691</v>
      </c>
      <c r="I3287" s="2" t="s">
        <v>15</v>
      </c>
      <c r="J3287" s="2" t="s">
        <v>2699</v>
      </c>
      <c r="K3287" s="2" t="s">
        <v>4692</v>
      </c>
      <c r="L3287" s="2">
        <f t="shared" si="51"/>
        <v>150</v>
      </c>
    </row>
    <row r="3288" spans="1:12" ht="25" customHeight="1">
      <c r="A3288" s="2" t="s">
        <v>12</v>
      </c>
      <c r="B3288" s="2" t="str">
        <f>HYPERLINK("http://bbs.12365auto.com/postcontent.aspx?tID=194938","轿车保值率新鲜出炉！日系再次屠榜")</f>
        <v>轿车保值率新鲜出炉！日系再次屠榜</v>
      </c>
      <c r="C3288" s="2" t="s">
        <v>13</v>
      </c>
      <c r="D3288" s="2" t="s">
        <v>12</v>
      </c>
      <c r="E3288" s="2" t="s">
        <v>28</v>
      </c>
      <c r="F3288" s="2" t="str">
        <f>HYPERLINK("http://bbs.12365auto.com/postcontent.aspx?tID=194938","http://bbs.12365auto.com/postcontent.aspx?tID=194938")</f>
        <v>http://bbs.12365auto.com/postcontent.aspx?tID=194938</v>
      </c>
      <c r="G3288" s="2"/>
      <c r="H3288" s="2" t="s">
        <v>4693</v>
      </c>
      <c r="I3288" s="2" t="s">
        <v>15</v>
      </c>
      <c r="J3288" s="2" t="s">
        <v>2699</v>
      </c>
      <c r="K3288" s="2" t="s">
        <v>4692</v>
      </c>
      <c r="L3288" s="2">
        <f t="shared" si="51"/>
        <v>150</v>
      </c>
    </row>
    <row r="3289" spans="1:12" ht="25" customHeight="1">
      <c r="A3289" s="2" t="s">
        <v>12</v>
      </c>
      <c r="B3289" s="2" t="str">
        <f>HYPERLINK("http://bbs.12365auto.com/postcontent.aspx?tId=194938","轿车保值率新鲜出炉！日系再次屠榜")</f>
        <v>轿车保值率新鲜出炉！日系再次屠榜</v>
      </c>
      <c r="C3289" s="2" t="s">
        <v>13</v>
      </c>
      <c r="D3289" s="2" t="s">
        <v>12</v>
      </c>
      <c r="E3289" s="2" t="s">
        <v>27</v>
      </c>
      <c r="F3289" s="2" t="str">
        <f>HYPERLINK("http://bbs.12365auto.com/postcontent.aspx?tId=194938","http://bbs.12365auto.com/postcontent.aspx?tId=194938")</f>
        <v>http://bbs.12365auto.com/postcontent.aspx?tId=194938</v>
      </c>
      <c r="G3289" s="2"/>
      <c r="H3289" s="2" t="s">
        <v>4691</v>
      </c>
      <c r="I3289" s="2" t="s">
        <v>15</v>
      </c>
      <c r="J3289" s="2" t="s">
        <v>2699</v>
      </c>
      <c r="K3289" s="2" t="s">
        <v>4692</v>
      </c>
      <c r="L3289" s="2">
        <f t="shared" si="51"/>
        <v>150</v>
      </c>
    </row>
    <row r="3290" spans="1:12" ht="25" customHeight="1">
      <c r="A3290" s="2" t="s">
        <v>12</v>
      </c>
      <c r="B3290" s="2" t="str">
        <f>HYPERLINK("http://bbs.12365auto.com/postcontent.aspx?tId=194937","普拉多倒下了，三菱开始走上坡路，全系搭载V6引擎，价格不超26万")</f>
        <v>普拉多倒下了，三菱开始走上坡路，全系搭载V6引擎，价格不超26万</v>
      </c>
      <c r="C3290" s="2" t="s">
        <v>13</v>
      </c>
      <c r="D3290" s="2" t="s">
        <v>12</v>
      </c>
      <c r="E3290" s="2" t="s">
        <v>27</v>
      </c>
      <c r="F3290" s="2" t="str">
        <f>HYPERLINK("http://bbs.12365auto.com/postcontent.aspx?tId=194937","http://bbs.12365auto.com/postcontent.aspx?tId=194937")</f>
        <v>http://bbs.12365auto.com/postcontent.aspx?tId=194937</v>
      </c>
      <c r="G3290" s="2"/>
      <c r="H3290" s="2" t="s">
        <v>4694</v>
      </c>
      <c r="I3290" s="2" t="s">
        <v>15</v>
      </c>
      <c r="J3290" s="2" t="s">
        <v>2699</v>
      </c>
      <c r="K3290" s="2" t="s">
        <v>4695</v>
      </c>
      <c r="L3290" s="2">
        <f t="shared" si="51"/>
        <v>150</v>
      </c>
    </row>
    <row r="3291" spans="1:12" ht="25" customHeight="1">
      <c r="A3291" s="2" t="s">
        <v>12</v>
      </c>
      <c r="B3291" s="2" t="str">
        <f>HYPERLINK("http://m.12365auto.com/bbs/postcontent.aspx?tID=194937","普拉多倒下了，三菱开始走上坡路，全系搭载V6引擎，价格不超26万")</f>
        <v>普拉多倒下了，三菱开始走上坡路，全系搭载V6引擎，价格不超26万</v>
      </c>
      <c r="C3291" s="2" t="s">
        <v>13</v>
      </c>
      <c r="D3291" s="2" t="s">
        <v>23</v>
      </c>
      <c r="E3291" s="2"/>
      <c r="F3291" s="2" t="str">
        <f>HYPERLINK("http://m.12365auto.com/bbs/postcontent.aspx?tID=194937","http://m.12365auto.com/bbs/postcontent.aspx?tID=194937")</f>
        <v>http://m.12365auto.com/bbs/postcontent.aspx?tID=194937</v>
      </c>
      <c r="G3291" s="2"/>
      <c r="H3291" s="2" t="s">
        <v>4694</v>
      </c>
      <c r="I3291" s="2" t="s">
        <v>15</v>
      </c>
      <c r="J3291" s="2" t="s">
        <v>2699</v>
      </c>
      <c r="K3291" s="2" t="s">
        <v>4695</v>
      </c>
      <c r="L3291" s="2">
        <f t="shared" si="51"/>
        <v>150</v>
      </c>
    </row>
    <row r="3292" spans="1:12" ht="25" customHeight="1">
      <c r="A3292" s="2" t="s">
        <v>12</v>
      </c>
      <c r="B3292" s="2" t="str">
        <f>HYPERLINK("http://bbs.12365auto.com/postcontent.aspx?tID=194937","普拉多倒下了，三菱开始走上坡路，全系搭载V6引擎，价格不超26万")</f>
        <v>普拉多倒下了，三菱开始走上坡路，全系搭载V6引擎，价格不超26万</v>
      </c>
      <c r="C3292" s="2" t="s">
        <v>13</v>
      </c>
      <c r="D3292" s="2" t="s">
        <v>12</v>
      </c>
      <c r="E3292" s="2" t="s">
        <v>28</v>
      </c>
      <c r="F3292" s="2" t="str">
        <f>HYPERLINK("http://bbs.12365auto.com/postcontent.aspx?tID=194937","http://bbs.12365auto.com/postcontent.aspx?tID=194937")</f>
        <v>http://bbs.12365auto.com/postcontent.aspx?tID=194937</v>
      </c>
      <c r="G3292" s="2"/>
      <c r="H3292" s="2" t="s">
        <v>4696</v>
      </c>
      <c r="I3292" s="2" t="s">
        <v>15</v>
      </c>
      <c r="J3292" s="2" t="s">
        <v>2699</v>
      </c>
      <c r="K3292" s="2" t="s">
        <v>4695</v>
      </c>
      <c r="L3292" s="2">
        <f t="shared" si="51"/>
        <v>150</v>
      </c>
    </row>
    <row r="3293" spans="1:12" ht="25" customHeight="1">
      <c r="A3293" s="2" t="s">
        <v>12</v>
      </c>
      <c r="B3293" s="2" t="str">
        <f>HYPERLINK("http://m.12365auto.com/bbs/postcontent.aspx?tID=194936","今年上市的4款新车，将成为自主品牌的骄傲")</f>
        <v>今年上市的4款新车，将成为自主品牌的骄傲</v>
      </c>
      <c r="C3293" s="2" t="s">
        <v>13</v>
      </c>
      <c r="D3293" s="2" t="s">
        <v>23</v>
      </c>
      <c r="E3293" s="2"/>
      <c r="F3293" s="2" t="str">
        <f>HYPERLINK("http://m.12365auto.com/bbs/postcontent.aspx?tID=194936","http://m.12365auto.com/bbs/postcontent.aspx?tID=194936")</f>
        <v>http://m.12365auto.com/bbs/postcontent.aspx?tID=194936</v>
      </c>
      <c r="G3293" s="2"/>
      <c r="H3293" s="2" t="s">
        <v>4697</v>
      </c>
      <c r="I3293" s="2" t="s">
        <v>15</v>
      </c>
      <c r="J3293" s="2" t="s">
        <v>2699</v>
      </c>
      <c r="K3293" s="2" t="s">
        <v>4698</v>
      </c>
      <c r="L3293" s="2">
        <f t="shared" si="51"/>
        <v>150</v>
      </c>
    </row>
    <row r="3294" spans="1:12" ht="25" customHeight="1">
      <c r="A3294" s="2" t="s">
        <v>12</v>
      </c>
      <c r="B3294" s="2" t="str">
        <f>HYPERLINK("http://bbs.12365auto.com/postcontent.aspx?tID=194936","今年上市的4款新车，将成为自主品牌的骄傲")</f>
        <v>今年上市的4款新车，将成为自主品牌的骄傲</v>
      </c>
      <c r="C3294" s="2" t="s">
        <v>13</v>
      </c>
      <c r="D3294" s="2" t="s">
        <v>12</v>
      </c>
      <c r="E3294" s="2" t="s">
        <v>28</v>
      </c>
      <c r="F3294" s="2" t="str">
        <f>HYPERLINK("http://bbs.12365auto.com/postcontent.aspx?tID=194936","http://bbs.12365auto.com/postcontent.aspx?tID=194936")</f>
        <v>http://bbs.12365auto.com/postcontent.aspx?tID=194936</v>
      </c>
      <c r="G3294" s="2"/>
      <c r="H3294" s="2" t="s">
        <v>4699</v>
      </c>
      <c r="I3294" s="2" t="s">
        <v>15</v>
      </c>
      <c r="J3294" s="2" t="s">
        <v>2699</v>
      </c>
      <c r="K3294" s="2" t="s">
        <v>4698</v>
      </c>
      <c r="L3294" s="2">
        <f t="shared" si="51"/>
        <v>150</v>
      </c>
    </row>
    <row r="3295" spans="1:12" ht="25" customHeight="1">
      <c r="A3295" s="2" t="s">
        <v>12</v>
      </c>
      <c r="B3295" s="2" t="str">
        <f>HYPERLINK("http://bbs.12365auto.com/postcontent.aspx?tId=194936","今年上市的4款新车，将成为自主品牌的骄傲")</f>
        <v>今年上市的4款新车，将成为自主品牌的骄傲</v>
      </c>
      <c r="C3295" s="2" t="s">
        <v>13</v>
      </c>
      <c r="D3295" s="2" t="s">
        <v>12</v>
      </c>
      <c r="E3295" s="2" t="s">
        <v>27</v>
      </c>
      <c r="F3295" s="2" t="str">
        <f>HYPERLINK("http://bbs.12365auto.com/postcontent.aspx?tId=194936","http://bbs.12365auto.com/postcontent.aspx?tId=194936")</f>
        <v>http://bbs.12365auto.com/postcontent.aspx?tId=194936</v>
      </c>
      <c r="G3295" s="2"/>
      <c r="H3295" s="2" t="s">
        <v>4697</v>
      </c>
      <c r="I3295" s="2" t="s">
        <v>15</v>
      </c>
      <c r="J3295" s="2" t="s">
        <v>2699</v>
      </c>
      <c r="K3295" s="2" t="s">
        <v>4698</v>
      </c>
      <c r="L3295" s="2">
        <f t="shared" si="51"/>
        <v>150</v>
      </c>
    </row>
    <row r="3296" spans="1:12" ht="25" customHeight="1">
      <c r="A3296" s="2" t="s">
        <v>12</v>
      </c>
      <c r="B3296" s="2" t="str">
        <f>HYPERLINK("http://m.12365auto.com/bbs/postcontent.aspx?tID=194934","国产的奥迪A7L，究竟要不要死等？")</f>
        <v>国产的奥迪A7L，究竟要不要死等？</v>
      </c>
      <c r="C3296" s="2" t="s">
        <v>13</v>
      </c>
      <c r="D3296" s="2" t="s">
        <v>23</v>
      </c>
      <c r="E3296" s="2"/>
      <c r="F3296" s="2" t="str">
        <f>HYPERLINK("http://m.12365auto.com/bbs/postcontent.aspx?tID=194934","http://m.12365auto.com/bbs/postcontent.aspx?tID=194934")</f>
        <v>http://m.12365auto.com/bbs/postcontent.aspx?tID=194934</v>
      </c>
      <c r="G3296" s="2"/>
      <c r="H3296" s="2" t="s">
        <v>3489</v>
      </c>
      <c r="I3296" s="2" t="s">
        <v>15</v>
      </c>
      <c r="J3296" s="2" t="s">
        <v>2699</v>
      </c>
      <c r="K3296" s="2" t="s">
        <v>4700</v>
      </c>
      <c r="L3296" s="2">
        <f t="shared" si="51"/>
        <v>150</v>
      </c>
    </row>
    <row r="3297" spans="1:12" ht="25" customHeight="1">
      <c r="A3297" s="2" t="s">
        <v>12</v>
      </c>
      <c r="B3297" s="2" t="str">
        <f>HYPERLINK("http://m.12365auto.com/bbs/postcontent.aspx?tID=194935","领克和WEY三岁了，我们该更看好谁？")</f>
        <v>领克和WEY三岁了，我们该更看好谁？</v>
      </c>
      <c r="C3297" s="2" t="s">
        <v>13</v>
      </c>
      <c r="D3297" s="2" t="s">
        <v>23</v>
      </c>
      <c r="E3297" s="2"/>
      <c r="F3297" s="2" t="str">
        <f>HYPERLINK("http://m.12365auto.com/bbs/postcontent.aspx?tID=194935","http://m.12365auto.com/bbs/postcontent.aspx?tID=194935")</f>
        <v>http://m.12365auto.com/bbs/postcontent.aspx?tID=194935</v>
      </c>
      <c r="G3297" s="2"/>
      <c r="H3297" s="2" t="s">
        <v>4701</v>
      </c>
      <c r="I3297" s="2" t="s">
        <v>15</v>
      </c>
      <c r="J3297" s="2" t="s">
        <v>2699</v>
      </c>
      <c r="K3297" s="2" t="s">
        <v>4700</v>
      </c>
      <c r="L3297" s="2">
        <f t="shared" si="51"/>
        <v>150</v>
      </c>
    </row>
    <row r="3298" spans="1:12" ht="25" customHeight="1">
      <c r="A3298" s="2" t="s">
        <v>12</v>
      </c>
      <c r="B3298" s="2" t="str">
        <f>HYPERLINK("http://bbs.12365auto.com/postcontent.aspx?tID=194934","国产的奥迪A7L，究竟要不要死等？")</f>
        <v>国产的奥迪A7L，究竟要不要死等？</v>
      </c>
      <c r="C3298" s="2" t="s">
        <v>13</v>
      </c>
      <c r="D3298" s="2" t="s">
        <v>12</v>
      </c>
      <c r="E3298" s="2" t="s">
        <v>28</v>
      </c>
      <c r="F3298" s="2" t="str">
        <f>HYPERLINK("http://bbs.12365auto.com/postcontent.aspx?tID=194934","http://bbs.12365auto.com/postcontent.aspx?tID=194934")</f>
        <v>http://bbs.12365auto.com/postcontent.aspx?tID=194934</v>
      </c>
      <c r="G3298" s="2"/>
      <c r="H3298" s="2" t="s">
        <v>3749</v>
      </c>
      <c r="I3298" s="2" t="s">
        <v>15</v>
      </c>
      <c r="J3298" s="2" t="s">
        <v>2699</v>
      </c>
      <c r="K3298" s="2" t="s">
        <v>4700</v>
      </c>
      <c r="L3298" s="2">
        <f t="shared" si="51"/>
        <v>150</v>
      </c>
    </row>
    <row r="3299" spans="1:12" ht="25" customHeight="1">
      <c r="A3299" s="2" t="s">
        <v>12</v>
      </c>
      <c r="B3299" s="2" t="str">
        <f>HYPERLINK("http://bbs.12365auto.com/postcontent.aspx?tID=194935","领克和WEY三岁了，我们该更看好谁？")</f>
        <v>领克和WEY三岁了，我们该更看好谁？</v>
      </c>
      <c r="C3299" s="2" t="s">
        <v>13</v>
      </c>
      <c r="D3299" s="2" t="s">
        <v>12</v>
      </c>
      <c r="E3299" s="2" t="s">
        <v>28</v>
      </c>
      <c r="F3299" s="2" t="str">
        <f>HYPERLINK("http://bbs.12365auto.com/postcontent.aspx?tID=194935","http://bbs.12365auto.com/postcontent.aspx?tID=194935")</f>
        <v>http://bbs.12365auto.com/postcontent.aspx?tID=194935</v>
      </c>
      <c r="G3299" s="2"/>
      <c r="H3299" s="2" t="s">
        <v>4702</v>
      </c>
      <c r="I3299" s="2" t="s">
        <v>15</v>
      </c>
      <c r="J3299" s="2" t="s">
        <v>2699</v>
      </c>
      <c r="K3299" s="2" t="s">
        <v>4700</v>
      </c>
      <c r="L3299" s="2">
        <f t="shared" si="51"/>
        <v>150</v>
      </c>
    </row>
    <row r="3300" spans="1:12" ht="25" customHeight="1">
      <c r="A3300" s="2" t="s">
        <v>12</v>
      </c>
      <c r="B3300" s="2" t="str">
        <f>HYPERLINK("http://m.12365auto.com/xcdg/20200224/419333.shtml","换标雷克萨斯SUV真实惠 20万什么配置都有")</f>
        <v>换标雷克萨斯SUV真实惠 20万什么配置都有</v>
      </c>
      <c r="C3300" s="2" t="s">
        <v>13</v>
      </c>
      <c r="D3300" s="2" t="s">
        <v>12</v>
      </c>
      <c r="E3300" s="2"/>
      <c r="F3300" s="2" t="str">
        <f>HYPERLINK("http://m.12365auto.com/xcdg/20200224/419333.shtml","http://m.12365auto.com/xcdg/20200224/419333.shtml")</f>
        <v>http://m.12365auto.com/xcdg/20200224/419333.shtml</v>
      </c>
      <c r="G3300" s="2"/>
      <c r="H3300" s="2" t="s">
        <v>4703</v>
      </c>
      <c r="I3300" s="2" t="s">
        <v>19</v>
      </c>
      <c r="J3300" s="2" t="s">
        <v>1247</v>
      </c>
      <c r="K3300" s="2" t="s">
        <v>4700</v>
      </c>
      <c r="L3300" s="2">
        <f t="shared" si="51"/>
        <v>150</v>
      </c>
    </row>
    <row r="3301" spans="1:12" ht="25" customHeight="1">
      <c r="A3301" s="2" t="s">
        <v>12</v>
      </c>
      <c r="B3301" s="2" t="str">
        <f>HYPERLINK("http://bbs.12365auto.com/postcontent.aspx?tId=194935","领克和WEY三岁了，我们该更看好谁？")</f>
        <v>领克和WEY三岁了，我们该更看好谁？</v>
      </c>
      <c r="C3301" s="2" t="s">
        <v>13</v>
      </c>
      <c r="D3301" s="2" t="s">
        <v>12</v>
      </c>
      <c r="E3301" s="2" t="s">
        <v>27</v>
      </c>
      <c r="F3301" s="2" t="str">
        <f>HYPERLINK("http://bbs.12365auto.com/postcontent.aspx?tId=194935","http://bbs.12365auto.com/postcontent.aspx?tId=194935")</f>
        <v>http://bbs.12365auto.com/postcontent.aspx?tId=194935</v>
      </c>
      <c r="G3301" s="2"/>
      <c r="H3301" s="2" t="s">
        <v>4701</v>
      </c>
      <c r="I3301" s="2" t="s">
        <v>15</v>
      </c>
      <c r="J3301" s="2" t="s">
        <v>2699</v>
      </c>
      <c r="K3301" s="2" t="s">
        <v>4700</v>
      </c>
      <c r="L3301" s="2">
        <f t="shared" si="51"/>
        <v>150</v>
      </c>
    </row>
    <row r="3302" spans="1:12" ht="25" customHeight="1">
      <c r="A3302" s="2" t="s">
        <v>12</v>
      </c>
      <c r="B3302" s="2" t="str">
        <f>HYPERLINK("http://bbs.12365auto.com/postcontent.aspx?tId=194934","国产的奥迪A7L，究竟要不要死等？")</f>
        <v>国产的奥迪A7L，究竟要不要死等？</v>
      </c>
      <c r="C3302" s="2" t="s">
        <v>13</v>
      </c>
      <c r="D3302" s="2" t="s">
        <v>12</v>
      </c>
      <c r="E3302" s="2" t="s">
        <v>27</v>
      </c>
      <c r="F3302" s="2" t="str">
        <f>HYPERLINK("http://bbs.12365auto.com/postcontent.aspx?tId=194934","http://bbs.12365auto.com/postcontent.aspx?tId=194934")</f>
        <v>http://bbs.12365auto.com/postcontent.aspx?tId=194934</v>
      </c>
      <c r="G3302" s="2"/>
      <c r="H3302" s="2" t="s">
        <v>3489</v>
      </c>
      <c r="I3302" s="2" t="s">
        <v>15</v>
      </c>
      <c r="J3302" s="2" t="s">
        <v>2699</v>
      </c>
      <c r="K3302" s="2" t="s">
        <v>4700</v>
      </c>
      <c r="L3302" s="2">
        <f t="shared" si="51"/>
        <v>150</v>
      </c>
    </row>
    <row r="3303" spans="1:12" ht="25" customHeight="1">
      <c r="A3303" s="2" t="s">
        <v>12</v>
      </c>
      <c r="B3303" s="2" t="str">
        <f>HYPERLINK("http://bbs.12365auto.com/postcontent.aspx?tId=194933","4年前花80万买的特斯拉，现在续航多少？能卖多少？听车主怎么说")</f>
        <v>4年前花80万买的特斯拉，现在续航多少？能卖多少？听车主怎么说</v>
      </c>
      <c r="C3303" s="2" t="s">
        <v>13</v>
      </c>
      <c r="D3303" s="2" t="s">
        <v>12</v>
      </c>
      <c r="E3303" s="2" t="s">
        <v>27</v>
      </c>
      <c r="F3303" s="2" t="str">
        <f>HYPERLINK("http://bbs.12365auto.com/postcontent.aspx?tId=194933","http://bbs.12365auto.com/postcontent.aspx?tId=194933")</f>
        <v>http://bbs.12365auto.com/postcontent.aspx?tId=194933</v>
      </c>
      <c r="G3303" s="2"/>
      <c r="H3303" s="2" t="s">
        <v>977</v>
      </c>
      <c r="I3303" s="2" t="s">
        <v>15</v>
      </c>
      <c r="J3303" s="2" t="s">
        <v>2699</v>
      </c>
      <c r="K3303" s="2" t="s">
        <v>4704</v>
      </c>
      <c r="L3303" s="2">
        <f t="shared" si="51"/>
        <v>150</v>
      </c>
    </row>
    <row r="3304" spans="1:12" ht="25" customHeight="1">
      <c r="A3304" s="2" t="s">
        <v>12</v>
      </c>
      <c r="B3304" s="2" t="str">
        <f>HYPERLINK("http://m.12365auto.com/bbs/postcontent.aspx?tID=194932","马自达未来2年不发新车，2年后放大招")</f>
        <v>马自达未来2年不发新车，2年后放大招</v>
      </c>
      <c r="C3304" s="2" t="s">
        <v>13</v>
      </c>
      <c r="D3304" s="2" t="s">
        <v>23</v>
      </c>
      <c r="E3304" s="2"/>
      <c r="F3304" s="2" t="str">
        <f>HYPERLINK("http://m.12365auto.com/bbs/postcontent.aspx?tID=194932","http://m.12365auto.com/bbs/postcontent.aspx?tID=194932")</f>
        <v>http://m.12365auto.com/bbs/postcontent.aspx?tID=194932</v>
      </c>
      <c r="G3304" s="2"/>
      <c r="H3304" s="2" t="s">
        <v>4705</v>
      </c>
      <c r="I3304" s="2" t="s">
        <v>15</v>
      </c>
      <c r="J3304" s="2" t="s">
        <v>2699</v>
      </c>
      <c r="K3304" s="2" t="s">
        <v>4704</v>
      </c>
      <c r="L3304" s="2">
        <f t="shared" si="51"/>
        <v>150</v>
      </c>
    </row>
    <row r="3305" spans="1:12" ht="25" customHeight="1">
      <c r="A3305" s="2" t="s">
        <v>12</v>
      </c>
      <c r="B3305" s="2" t="str">
        <f>HYPERLINK("http://m.12365auto.com/bbs/postcontent.aspx?tID=194933","4年前花80万买的特斯拉，现在续航多少？能卖多少？听车主怎么说")</f>
        <v>4年前花80万买的特斯拉，现在续航多少？能卖多少？听车主怎么说</v>
      </c>
      <c r="C3305" s="2" t="s">
        <v>13</v>
      </c>
      <c r="D3305" s="2" t="s">
        <v>23</v>
      </c>
      <c r="E3305" s="2"/>
      <c r="F3305" s="2" t="str">
        <f>HYPERLINK("http://m.12365auto.com/bbs/postcontent.aspx?tID=194933","http://m.12365auto.com/bbs/postcontent.aspx?tID=194933")</f>
        <v>http://m.12365auto.com/bbs/postcontent.aspx?tID=194933</v>
      </c>
      <c r="G3305" s="2"/>
      <c r="H3305" s="2" t="s">
        <v>977</v>
      </c>
      <c r="I3305" s="2" t="s">
        <v>15</v>
      </c>
      <c r="J3305" s="2" t="s">
        <v>2699</v>
      </c>
      <c r="K3305" s="2" t="s">
        <v>4704</v>
      </c>
      <c r="L3305" s="2">
        <f t="shared" si="51"/>
        <v>150</v>
      </c>
    </row>
    <row r="3306" spans="1:12" ht="25" customHeight="1">
      <c r="A3306" s="2" t="s">
        <v>12</v>
      </c>
      <c r="B3306" s="2" t="str">
        <f>HYPERLINK("http://bbs.12365auto.com/postcontent.aspx?tID=194932","马自达未来2年不发新车，2年后放大招")</f>
        <v>马自达未来2年不发新车，2年后放大招</v>
      </c>
      <c r="C3306" s="2" t="s">
        <v>13</v>
      </c>
      <c r="D3306" s="2" t="s">
        <v>12</v>
      </c>
      <c r="E3306" s="2" t="s">
        <v>28</v>
      </c>
      <c r="F3306" s="2" t="str">
        <f>HYPERLINK("http://bbs.12365auto.com/postcontent.aspx?tID=194932","http://bbs.12365auto.com/postcontent.aspx?tID=194932")</f>
        <v>http://bbs.12365auto.com/postcontent.aspx?tID=194932</v>
      </c>
      <c r="G3306" s="2"/>
      <c r="H3306" s="2" t="s">
        <v>4706</v>
      </c>
      <c r="I3306" s="2" t="s">
        <v>15</v>
      </c>
      <c r="J3306" s="2" t="s">
        <v>2699</v>
      </c>
      <c r="K3306" s="2" t="s">
        <v>4704</v>
      </c>
      <c r="L3306" s="2">
        <f t="shared" si="51"/>
        <v>150</v>
      </c>
    </row>
    <row r="3307" spans="1:12" ht="25" customHeight="1">
      <c r="A3307" s="2" t="s">
        <v>12</v>
      </c>
      <c r="B3307" s="2" t="str">
        <f>HYPERLINK("http://bbs.12365auto.com/postcontent.aspx?tID=194933","4年前花80万买的特斯拉，现在续航多少？能卖多少？听车主怎么说")</f>
        <v>4年前花80万买的特斯拉，现在续航多少？能卖多少？听车主怎么说</v>
      </c>
      <c r="C3307" s="2" t="s">
        <v>13</v>
      </c>
      <c r="D3307" s="2" t="s">
        <v>12</v>
      </c>
      <c r="E3307" s="2" t="s">
        <v>28</v>
      </c>
      <c r="F3307" s="2" t="str">
        <f>HYPERLINK("http://bbs.12365auto.com/postcontent.aspx?tID=194933","http://bbs.12365auto.com/postcontent.aspx?tID=194933")</f>
        <v>http://bbs.12365auto.com/postcontent.aspx?tID=194933</v>
      </c>
      <c r="G3307" s="2"/>
      <c r="H3307" s="2" t="s">
        <v>3773</v>
      </c>
      <c r="I3307" s="2" t="s">
        <v>15</v>
      </c>
      <c r="J3307" s="2" t="s">
        <v>2699</v>
      </c>
      <c r="K3307" s="2" t="s">
        <v>4704</v>
      </c>
      <c r="L3307" s="2">
        <f t="shared" si="51"/>
        <v>150</v>
      </c>
    </row>
    <row r="3308" spans="1:12" ht="25" customHeight="1">
      <c r="A3308" s="2" t="s">
        <v>12</v>
      </c>
      <c r="B3308" s="2" t="str">
        <f>HYPERLINK("http://bbs.12365auto.com/postcontent.aspx?tId=194932","马自达未来2年不发新车，2年后放大招")</f>
        <v>马自达未来2年不发新车，2年后放大招</v>
      </c>
      <c r="C3308" s="2" t="s">
        <v>13</v>
      </c>
      <c r="D3308" s="2" t="s">
        <v>12</v>
      </c>
      <c r="E3308" s="2" t="s">
        <v>27</v>
      </c>
      <c r="F3308" s="2" t="str">
        <f>HYPERLINK("http://bbs.12365auto.com/postcontent.aspx?tId=194932","http://bbs.12365auto.com/postcontent.aspx?tId=194932")</f>
        <v>http://bbs.12365auto.com/postcontent.aspx?tId=194932</v>
      </c>
      <c r="G3308" s="2"/>
      <c r="H3308" s="2" t="s">
        <v>4705</v>
      </c>
      <c r="I3308" s="2" t="s">
        <v>15</v>
      </c>
      <c r="J3308" s="2" t="s">
        <v>2699</v>
      </c>
      <c r="K3308" s="2" t="s">
        <v>4704</v>
      </c>
      <c r="L3308" s="2">
        <f t="shared" si="51"/>
        <v>150</v>
      </c>
    </row>
    <row r="3309" spans="1:12" ht="25" customHeight="1">
      <c r="A3309" s="2" t="s">
        <v>12</v>
      </c>
      <c r="B3309" s="2" t="str">
        <f>HYPERLINK("http://www.12365auto.com/news/20200224/419331.shtml","动力有看点/安全有保障 主流SUV谁才是TOP1")</f>
        <v>动力有看点/安全有保障 主流SUV谁才是TOP1</v>
      </c>
      <c r="C3309" s="2" t="s">
        <v>13</v>
      </c>
      <c r="D3309" s="2" t="s">
        <v>12</v>
      </c>
      <c r="E3309" s="2" t="s">
        <v>276</v>
      </c>
      <c r="F3309" s="2" t="str">
        <f>HYPERLINK("http://www.12365auto.com/news/20200224/419331.shtml","http://www.12365auto.com/news/20200224/419331.shtml")</f>
        <v>http://www.12365auto.com/news/20200224/419331.shtml</v>
      </c>
      <c r="G3309" s="2"/>
      <c r="H3309" s="2" t="s">
        <v>4707</v>
      </c>
      <c r="I3309" s="2" t="s">
        <v>15</v>
      </c>
      <c r="J3309" s="2" t="s">
        <v>12</v>
      </c>
      <c r="K3309" s="2" t="s">
        <v>4708</v>
      </c>
      <c r="L3309" s="2">
        <f t="shared" si="51"/>
        <v>150</v>
      </c>
    </row>
    <row r="3310" spans="1:12" ht="25" customHeight="1">
      <c r="A3310" s="2" t="s">
        <v>12</v>
      </c>
      <c r="B3310" s="2" t="str">
        <f>HYPERLINK("http://m.12365auto.com/news/20200224/419331.shtml","动力有看点/安全有保障 主流SUV谁才是TOP1")</f>
        <v>动力有看点/安全有保障 主流SUV谁才是TOP1</v>
      </c>
      <c r="C3310" s="2" t="s">
        <v>13</v>
      </c>
      <c r="D3310" s="2" t="s">
        <v>12</v>
      </c>
      <c r="E3310" s="2"/>
      <c r="F3310" s="2" t="str">
        <f>HYPERLINK("http://m.12365auto.com/news/20200224/419331.shtml","http://m.12365auto.com/news/20200224/419331.shtml")</f>
        <v>http://m.12365auto.com/news/20200224/419331.shtml</v>
      </c>
      <c r="G3310" s="2"/>
      <c r="H3310" s="2" t="s">
        <v>4709</v>
      </c>
      <c r="I3310" s="2" t="s">
        <v>19</v>
      </c>
      <c r="J3310" s="2" t="s">
        <v>4710</v>
      </c>
      <c r="K3310" s="2" t="s">
        <v>4708</v>
      </c>
      <c r="L3310" s="2">
        <f t="shared" si="51"/>
        <v>150</v>
      </c>
    </row>
    <row r="3311" spans="1:12" ht="25" customHeight="1">
      <c r="A3311" s="2" t="s">
        <v>12</v>
      </c>
      <c r="B3311" s="2" t="str">
        <f>HYPERLINK("http://m.12365auto.com/xcdg/20200224/419330.shtml","解读低配车 实拍2019款大众速腾 200TSI")</f>
        <v>解读低配车 实拍2019款大众速腾 200TSI</v>
      </c>
      <c r="C3311" s="2" t="s">
        <v>13</v>
      </c>
      <c r="D3311" s="2" t="s">
        <v>12</v>
      </c>
      <c r="E3311" s="2"/>
      <c r="F3311" s="2" t="str">
        <f>HYPERLINK("http://m.12365auto.com/xcdg/20200224/419330.shtml","http://m.12365auto.com/xcdg/20200224/419330.shtml")</f>
        <v>http://m.12365auto.com/xcdg/20200224/419330.shtml</v>
      </c>
      <c r="G3311" s="2"/>
      <c r="H3311" s="2" t="s">
        <v>4711</v>
      </c>
      <c r="I3311" s="2" t="s">
        <v>19</v>
      </c>
      <c r="J3311" s="2" t="s">
        <v>4712</v>
      </c>
      <c r="K3311" s="2" t="s">
        <v>4713</v>
      </c>
      <c r="L3311" s="2">
        <f t="shared" si="51"/>
        <v>150</v>
      </c>
    </row>
    <row r="3312" spans="1:12" ht="25" customHeight="1">
      <c r="A3312" s="2" t="s">
        <v>12</v>
      </c>
      <c r="B3312" s="2" t="str">
        <f>HYPERLINK("http://www.12365auto.com/zlts/20200224/448427.shtml","长安马自达昂克赛拉行驶时刹车分泵有异响")</f>
        <v>长安马自达昂克赛拉行驶时刹车分泵有异响</v>
      </c>
      <c r="C3312" s="2" t="s">
        <v>13</v>
      </c>
      <c r="D3312" s="2" t="s">
        <v>12</v>
      </c>
      <c r="E3312" s="2" t="s">
        <v>17</v>
      </c>
      <c r="F3312" s="2" t="str">
        <f>HYPERLINK("http://www.12365auto.com/zlts/20200224/448427.shtml","http://www.12365auto.com/zlts/20200224/448427.shtml")</f>
        <v>http://www.12365auto.com/zlts/20200224/448427.shtml</v>
      </c>
      <c r="G3312" s="2"/>
      <c r="H3312" s="2" t="s">
        <v>4714</v>
      </c>
      <c r="I3312" s="2" t="s">
        <v>15</v>
      </c>
      <c r="J3312" s="2" t="s">
        <v>12</v>
      </c>
      <c r="K3312" s="2" t="s">
        <v>4715</v>
      </c>
      <c r="L3312" s="2">
        <f t="shared" si="51"/>
        <v>150</v>
      </c>
    </row>
    <row r="3313" spans="1:12" ht="25" customHeight="1">
      <c r="A3313" s="2" t="s">
        <v>12</v>
      </c>
      <c r="B3313" s="2" t="str">
        <f>HYPERLINK("http://www.12365auto.com/news/20200224/419329.shtml","10年老兵将离任 本田中国人事大调整")</f>
        <v>10年老兵将离任 本田中国人事大调整</v>
      </c>
      <c r="C3313" s="2" t="s">
        <v>13</v>
      </c>
      <c r="D3313" s="2" t="s">
        <v>12</v>
      </c>
      <c r="E3313" s="2" t="s">
        <v>276</v>
      </c>
      <c r="F3313" s="2" t="str">
        <f>HYPERLINK("http://www.12365auto.com/news/20200224/419329.shtml","http://www.12365auto.com/news/20200224/419329.shtml")</f>
        <v>http://www.12365auto.com/news/20200224/419329.shtml</v>
      </c>
      <c r="G3313" s="2"/>
      <c r="H3313" s="2" t="s">
        <v>4716</v>
      </c>
      <c r="I3313" s="2" t="s">
        <v>15</v>
      </c>
      <c r="J3313" s="2" t="s">
        <v>12</v>
      </c>
      <c r="K3313" s="2" t="s">
        <v>4717</v>
      </c>
      <c r="L3313" s="2">
        <f t="shared" si="51"/>
        <v>150</v>
      </c>
    </row>
    <row r="3314" spans="1:12" ht="25" customHeight="1">
      <c r="A3314" s="2" t="s">
        <v>12</v>
      </c>
      <c r="B3314" s="2" t="str">
        <f>HYPERLINK("http://m.12365auto.com/news/20200224/419329.shtml","10年老兵将离任 本田中国人事大调整")</f>
        <v>10年老兵将离任 本田中国人事大调整</v>
      </c>
      <c r="C3314" s="2" t="s">
        <v>13</v>
      </c>
      <c r="D3314" s="2" t="s">
        <v>12</v>
      </c>
      <c r="E3314" s="2"/>
      <c r="F3314" s="2" t="str">
        <f>HYPERLINK("http://m.12365auto.com/news/20200224/419329.shtml","http://m.12365auto.com/news/20200224/419329.shtml")</f>
        <v>http://m.12365auto.com/news/20200224/419329.shtml</v>
      </c>
      <c r="G3314" s="2"/>
      <c r="H3314" s="2" t="s">
        <v>4718</v>
      </c>
      <c r="I3314" s="2" t="s">
        <v>19</v>
      </c>
      <c r="J3314" s="2" t="s">
        <v>274</v>
      </c>
      <c r="K3314" s="2" t="s">
        <v>4717</v>
      </c>
      <c r="L3314" s="2">
        <f t="shared" si="51"/>
        <v>150</v>
      </c>
    </row>
    <row r="3315" spans="1:12" ht="25" customHeight="1">
      <c r="A3315" s="2" t="s">
        <v>12</v>
      </c>
      <c r="B3315" s="2" t="str">
        <f>HYPERLINK("http://www.12365auto.com/zlts/20200224/448425.shtml","启辰T70高速行驶过程中方向盘有卡滞现象")</f>
        <v>启辰T70高速行驶过程中方向盘有卡滞现象</v>
      </c>
      <c r="C3315" s="2" t="s">
        <v>13</v>
      </c>
      <c r="D3315" s="2" t="s">
        <v>12</v>
      </c>
      <c r="E3315" s="2"/>
      <c r="F3315" s="2" t="str">
        <f>HYPERLINK("http://www.12365auto.com/zlts/20200224/448425.shtml","http://www.12365auto.com/zlts/20200224/448425.shtml")</f>
        <v>http://www.12365auto.com/zlts/20200224/448425.shtml</v>
      </c>
      <c r="G3315" s="2"/>
      <c r="H3315" s="3" t="s">
        <v>4719</v>
      </c>
      <c r="I3315" s="2" t="s">
        <v>15</v>
      </c>
      <c r="J3315" s="2" t="s">
        <v>12</v>
      </c>
      <c r="K3315" s="2" t="s">
        <v>4720</v>
      </c>
      <c r="L3315" s="2">
        <f t="shared" si="51"/>
        <v>120</v>
      </c>
    </row>
    <row r="3316" spans="1:12" ht="25" customHeight="1">
      <c r="A3316" s="2" t="s">
        <v>12</v>
      </c>
      <c r="B3316" s="2" t="str">
        <f>HYPERLINK("http://www.12365auto.com/xcdg/20200224/419332.shtml","主攻欧洲市场 雷诺新能源产品规划曝光")</f>
        <v>主攻欧洲市场 雷诺新能源产品规划曝光</v>
      </c>
      <c r="C3316" s="2" t="s">
        <v>13</v>
      </c>
      <c r="D3316" s="2" t="s">
        <v>12</v>
      </c>
      <c r="E3316" s="2" t="s">
        <v>216</v>
      </c>
      <c r="F3316" s="2" t="str">
        <f>HYPERLINK("http://www.12365auto.com/xcdg/20200224/419332.shtml","http://www.12365auto.com/xcdg/20200224/419332.shtml")</f>
        <v>http://www.12365auto.com/xcdg/20200224/419332.shtml</v>
      </c>
      <c r="G3316" s="2"/>
      <c r="H3316" s="2" t="s">
        <v>4721</v>
      </c>
      <c r="I3316" s="2" t="s">
        <v>15</v>
      </c>
      <c r="J3316" s="2" t="s">
        <v>12</v>
      </c>
      <c r="K3316" s="2" t="s">
        <v>4722</v>
      </c>
      <c r="L3316" s="2">
        <f t="shared" si="51"/>
        <v>150</v>
      </c>
    </row>
    <row r="3317" spans="1:12" ht="25" customHeight="1">
      <c r="A3317" s="2" t="s">
        <v>12</v>
      </c>
      <c r="B3317" s="2" t="str">
        <f>HYPERLINK("http://m.12365auto.com/xcdg/20200224/419332.shtml","主攻欧洲市场 雷诺新能源产品规划曝光")</f>
        <v>主攻欧洲市场 雷诺新能源产品规划曝光</v>
      </c>
      <c r="C3317" s="2" t="s">
        <v>13</v>
      </c>
      <c r="D3317" s="2" t="s">
        <v>12</v>
      </c>
      <c r="E3317" s="2"/>
      <c r="F3317" s="2" t="str">
        <f>HYPERLINK("http://m.12365auto.com/xcdg/20200224/419332.shtml","http://m.12365auto.com/xcdg/20200224/419332.shtml")</f>
        <v>http://m.12365auto.com/xcdg/20200224/419332.shtml</v>
      </c>
      <c r="G3317" s="2"/>
      <c r="H3317" s="2" t="s">
        <v>4723</v>
      </c>
      <c r="I3317" s="2" t="s">
        <v>19</v>
      </c>
      <c r="J3317" s="2" t="s">
        <v>1250</v>
      </c>
      <c r="K3317" s="2" t="s">
        <v>4722</v>
      </c>
      <c r="L3317" s="2">
        <f t="shared" si="51"/>
        <v>150</v>
      </c>
    </row>
    <row r="3318" spans="1:12" ht="25" customHeight="1">
      <c r="A3318" s="2" t="s">
        <v>12</v>
      </c>
      <c r="B3318" s="2" t="str">
        <f>HYPERLINK("http://www.12365auto.com/zlts/20200224/448426.shtml","上汽名爵HS电瓶亏电导致发动机启动困难")</f>
        <v>上汽名爵HS电瓶亏电导致发动机启动困难</v>
      </c>
      <c r="C3318" s="2" t="s">
        <v>13</v>
      </c>
      <c r="D3318" s="2" t="s">
        <v>12</v>
      </c>
      <c r="E3318" s="2" t="s">
        <v>17</v>
      </c>
      <c r="F3318" s="2" t="str">
        <f>HYPERLINK("http://www.12365auto.com/zlts/20200224/448426.shtml","http://www.12365auto.com/zlts/20200224/448426.shtml")</f>
        <v>http://www.12365auto.com/zlts/20200224/448426.shtml</v>
      </c>
      <c r="G3318" s="2"/>
      <c r="H3318" s="2" t="s">
        <v>4724</v>
      </c>
      <c r="I3318" s="2" t="s">
        <v>15</v>
      </c>
      <c r="J3318" s="2" t="s">
        <v>12</v>
      </c>
      <c r="K3318" s="2" t="s">
        <v>4725</v>
      </c>
      <c r="L3318" s="2">
        <f t="shared" si="51"/>
        <v>150</v>
      </c>
    </row>
    <row r="3319" spans="1:12" ht="25" customHeight="1">
      <c r="A3319" s="2" t="s">
        <v>12</v>
      </c>
      <c r="B3319" s="2" t="str">
        <f>HYPERLINK("http://www.12365auto.com/news/20200224/419327.shtml","赋能经销商 一汽丰田推出网络培训计划")</f>
        <v>赋能经销商 一汽丰田推出网络培训计划</v>
      </c>
      <c r="C3319" s="2" t="s">
        <v>13</v>
      </c>
      <c r="D3319" s="2" t="s">
        <v>12</v>
      </c>
      <c r="E3319" s="2" t="s">
        <v>276</v>
      </c>
      <c r="F3319" s="2" t="str">
        <f>HYPERLINK("http://www.12365auto.com/news/20200224/419327.shtml","http://www.12365auto.com/news/20200224/419327.shtml")</f>
        <v>http://www.12365auto.com/news/20200224/419327.shtml</v>
      </c>
      <c r="G3319" s="2"/>
      <c r="H3319" s="2" t="s">
        <v>4726</v>
      </c>
      <c r="I3319" s="2" t="s">
        <v>15</v>
      </c>
      <c r="J3319" s="2" t="s">
        <v>12</v>
      </c>
      <c r="K3319" s="2" t="s">
        <v>4725</v>
      </c>
      <c r="L3319" s="2">
        <f t="shared" si="51"/>
        <v>150</v>
      </c>
    </row>
    <row r="3320" spans="1:12" ht="25" customHeight="1">
      <c r="A3320" s="2" t="s">
        <v>12</v>
      </c>
      <c r="B3320" s="2" t="str">
        <f>HYPERLINK("http://m.12365auto.com/news/20200224/419327.shtml","赋能经销商 一汽丰田推出网络培训计划")</f>
        <v>赋能经销商 一汽丰田推出网络培训计划</v>
      </c>
      <c r="C3320" s="2" t="s">
        <v>13</v>
      </c>
      <c r="D3320" s="2" t="s">
        <v>12</v>
      </c>
      <c r="E3320" s="2"/>
      <c r="F3320" s="2" t="str">
        <f>HYPERLINK("http://m.12365auto.com/news/20200224/419327.shtml","http://m.12365auto.com/news/20200224/419327.shtml")</f>
        <v>http://m.12365auto.com/news/20200224/419327.shtml</v>
      </c>
      <c r="G3320" s="2"/>
      <c r="H3320" s="2" t="s">
        <v>4727</v>
      </c>
      <c r="I3320" s="2" t="s">
        <v>19</v>
      </c>
      <c r="J3320" s="2" t="s">
        <v>1643</v>
      </c>
      <c r="K3320" s="2" t="s">
        <v>4725</v>
      </c>
      <c r="L3320" s="2">
        <f t="shared" si="51"/>
        <v>150</v>
      </c>
    </row>
    <row r="3321" spans="1:12" ht="25" customHeight="1">
      <c r="A3321" s="2" t="s">
        <v>12</v>
      </c>
      <c r="B3321" s="2" t="str">
        <f>HYPERLINK("http://m.12365auto.com/xcdg/20200224/419326.shtml","推荐星河/星云版 雪佛兰畅巡购车手册")</f>
        <v>推荐星河/星云版 雪佛兰畅巡购车手册</v>
      </c>
      <c r="C3321" s="2" t="s">
        <v>13</v>
      </c>
      <c r="D3321" s="2" t="s">
        <v>12</v>
      </c>
      <c r="E3321" s="2"/>
      <c r="F3321" s="2" t="str">
        <f>HYPERLINK("http://m.12365auto.com/xcdg/20200224/419326.shtml","http://m.12365auto.com/xcdg/20200224/419326.shtml")</f>
        <v>http://m.12365auto.com/xcdg/20200224/419326.shtml</v>
      </c>
      <c r="G3321" s="2"/>
      <c r="H3321" s="2" t="s">
        <v>4728</v>
      </c>
      <c r="I3321" s="2" t="s">
        <v>19</v>
      </c>
      <c r="J3321" s="2" t="s">
        <v>4729</v>
      </c>
      <c r="K3321" s="2" t="s">
        <v>4730</v>
      </c>
      <c r="L3321" s="2">
        <f t="shared" si="51"/>
        <v>150</v>
      </c>
    </row>
    <row r="3322" spans="1:12" ht="25" customHeight="1">
      <c r="A3322" s="2" t="s">
        <v>12</v>
      </c>
      <c r="B3322" s="2" t="str">
        <f>HYPERLINK("http://bbs.12365auto.com/postcontent.aspx?tId=194931","严重被低估的合资中型SUV")</f>
        <v>严重被低估的合资中型SUV</v>
      </c>
      <c r="C3322" s="2" t="s">
        <v>13</v>
      </c>
      <c r="D3322" s="2" t="s">
        <v>12</v>
      </c>
      <c r="E3322" s="2" t="s">
        <v>210</v>
      </c>
      <c r="F3322" s="2" t="str">
        <f>HYPERLINK("http://bbs.12365auto.com/postcontent.aspx?tId=194931","http://bbs.12365auto.com/postcontent.aspx?tId=194931")</f>
        <v>http://bbs.12365auto.com/postcontent.aspx?tId=194931</v>
      </c>
      <c r="G3322" s="2"/>
      <c r="H3322" s="2" t="s">
        <v>4731</v>
      </c>
      <c r="I3322" s="2" t="s">
        <v>15</v>
      </c>
      <c r="J3322" s="2" t="s">
        <v>4732</v>
      </c>
      <c r="K3322" s="2" t="s">
        <v>4733</v>
      </c>
      <c r="L3322" s="2">
        <f t="shared" si="51"/>
        <v>150</v>
      </c>
    </row>
    <row r="3323" spans="1:12" ht="25" customHeight="1">
      <c r="A3323" s="2" t="s">
        <v>12</v>
      </c>
      <c r="B3323" s="2" t="str">
        <f>HYPERLINK("http://bbs.12365auto.com/postcontent.aspx?tId=194930","全球最热卖的十款车 其中七款在中国")</f>
        <v>全球最热卖的十款车 其中七款在中国</v>
      </c>
      <c r="C3323" s="2" t="s">
        <v>13</v>
      </c>
      <c r="D3323" s="2" t="s">
        <v>12</v>
      </c>
      <c r="E3323" s="2" t="s">
        <v>210</v>
      </c>
      <c r="F3323" s="2" t="str">
        <f>HYPERLINK("http://bbs.12365auto.com/postcontent.aspx?tId=194930","http://bbs.12365auto.com/postcontent.aspx?tId=194930")</f>
        <v>http://bbs.12365auto.com/postcontent.aspx?tId=194930</v>
      </c>
      <c r="G3323" s="2"/>
      <c r="H3323" s="2" t="s">
        <v>4734</v>
      </c>
      <c r="I3323" s="2" t="s">
        <v>15</v>
      </c>
      <c r="J3323" s="2" t="s">
        <v>4732</v>
      </c>
      <c r="K3323" s="2" t="s">
        <v>4733</v>
      </c>
      <c r="L3323" s="2">
        <f t="shared" si="51"/>
        <v>150</v>
      </c>
    </row>
    <row r="3324" spans="1:12" ht="25" customHeight="1">
      <c r="A3324" s="2" t="s">
        <v>12</v>
      </c>
      <c r="B3324" s="2" t="str">
        <f>HYPERLINK("http://m.12365auto.com/bbs/postcontent.aspx?tID=194930&amp;i=1","全球最热卖的十款车 其中七款在中国")</f>
        <v>全球最热卖的十款车 其中七款在中国</v>
      </c>
      <c r="C3324" s="2" t="s">
        <v>13</v>
      </c>
      <c r="D3324" s="2" t="s">
        <v>23</v>
      </c>
      <c r="E3324" s="2"/>
      <c r="F3324" s="2" t="str">
        <f>HYPERLINK("http://m.12365auto.com/bbs/postcontent.aspx?tID=194930&amp;i=1","http://m.12365auto.com/bbs/postcontent.aspx?tID=194930&amp;i=1")</f>
        <v>http://m.12365auto.com/bbs/postcontent.aspx?tID=194930&amp;i=1</v>
      </c>
      <c r="G3324" s="2"/>
      <c r="H3324" s="2" t="s">
        <v>4734</v>
      </c>
      <c r="I3324" s="2" t="s">
        <v>15</v>
      </c>
      <c r="J3324" s="2" t="s">
        <v>4732</v>
      </c>
      <c r="K3324" s="2" t="s">
        <v>4733</v>
      </c>
      <c r="L3324" s="2">
        <f t="shared" si="51"/>
        <v>150</v>
      </c>
    </row>
    <row r="3325" spans="1:12" ht="25" customHeight="1">
      <c r="A3325" s="2" t="s">
        <v>12</v>
      </c>
      <c r="B3325" s="2" t="str">
        <f>HYPERLINK("http://bbs.12365auto.com/postcontent.aspx?tID=194930","全球最热卖的十款车 其中七款在中国")</f>
        <v>全球最热卖的十款车 其中七款在中国</v>
      </c>
      <c r="C3325" s="2" t="s">
        <v>13</v>
      </c>
      <c r="D3325" s="2" t="s">
        <v>12</v>
      </c>
      <c r="E3325" s="2" t="s">
        <v>214</v>
      </c>
      <c r="F3325" s="2" t="str">
        <f>HYPERLINK("http://bbs.12365auto.com/postcontent.aspx?tID=194930","http://bbs.12365auto.com/postcontent.aspx?tID=194930")</f>
        <v>http://bbs.12365auto.com/postcontent.aspx?tID=194930</v>
      </c>
      <c r="G3325" s="2"/>
      <c r="H3325" s="2" t="s">
        <v>4735</v>
      </c>
      <c r="I3325" s="2" t="s">
        <v>15</v>
      </c>
      <c r="J3325" s="2" t="s">
        <v>4732</v>
      </c>
      <c r="K3325" s="2" t="s">
        <v>4733</v>
      </c>
      <c r="L3325" s="2">
        <f t="shared" si="51"/>
        <v>150</v>
      </c>
    </row>
    <row r="3326" spans="1:12" ht="25" customHeight="1">
      <c r="A3326" s="2" t="s">
        <v>12</v>
      </c>
      <c r="B3326" s="2" t="str">
        <f>HYPERLINK("http://bbs.12365auto.com/postcontent.aspx?tID=194931","严重被低估的合资中型SUV")</f>
        <v>严重被低估的合资中型SUV</v>
      </c>
      <c r="C3326" s="2" t="s">
        <v>13</v>
      </c>
      <c r="D3326" s="2" t="s">
        <v>12</v>
      </c>
      <c r="E3326" s="2" t="s">
        <v>214</v>
      </c>
      <c r="F3326" s="2" t="str">
        <f>HYPERLINK("http://bbs.12365auto.com/postcontent.aspx?tID=194931","http://bbs.12365auto.com/postcontent.aspx?tID=194931")</f>
        <v>http://bbs.12365auto.com/postcontent.aspx?tID=194931</v>
      </c>
      <c r="G3326" s="2"/>
      <c r="H3326" s="2" t="s">
        <v>4736</v>
      </c>
      <c r="I3326" s="2" t="s">
        <v>15</v>
      </c>
      <c r="J3326" s="2" t="s">
        <v>4732</v>
      </c>
      <c r="K3326" s="2" t="s">
        <v>4733</v>
      </c>
      <c r="L3326" s="2">
        <f t="shared" si="51"/>
        <v>150</v>
      </c>
    </row>
    <row r="3327" spans="1:12" ht="25" customHeight="1">
      <c r="A3327" s="2" t="s">
        <v>12</v>
      </c>
      <c r="B3327" s="2" t="str">
        <f>HYPERLINK("http://m.12365auto.com/bbs/postcontent.aspx?tID=194931","严重被低估的合资中型SUV")</f>
        <v>严重被低估的合资中型SUV</v>
      </c>
      <c r="C3327" s="2" t="s">
        <v>13</v>
      </c>
      <c r="D3327" s="2" t="s">
        <v>23</v>
      </c>
      <c r="E3327" s="2"/>
      <c r="F3327" s="2" t="str">
        <f>HYPERLINK("http://m.12365auto.com/bbs/postcontent.aspx?tID=194931","http://m.12365auto.com/bbs/postcontent.aspx?tID=194931")</f>
        <v>http://m.12365auto.com/bbs/postcontent.aspx?tID=194931</v>
      </c>
      <c r="G3327" s="2"/>
      <c r="H3327" s="2" t="s">
        <v>4731</v>
      </c>
      <c r="I3327" s="2" t="s">
        <v>15</v>
      </c>
      <c r="J3327" s="2" t="s">
        <v>4732</v>
      </c>
      <c r="K3327" s="2" t="s">
        <v>4733</v>
      </c>
      <c r="L3327" s="2">
        <f t="shared" si="51"/>
        <v>150</v>
      </c>
    </row>
    <row r="3328" spans="1:12" ht="25" customHeight="1">
      <c r="A3328" s="2" t="s">
        <v>12</v>
      </c>
      <c r="B3328" s="2" t="str">
        <f>HYPERLINK("http://m.12365auto.com/bbs/postcontent.aspx?tID=194930","全球最热卖的十款车 其中七款在中国")</f>
        <v>全球最热卖的十款车 其中七款在中国</v>
      </c>
      <c r="C3328" s="2" t="s">
        <v>13</v>
      </c>
      <c r="D3328" s="2" t="s">
        <v>23</v>
      </c>
      <c r="E3328" s="2"/>
      <c r="F3328" s="2" t="str">
        <f>HYPERLINK("http://m.12365auto.com/bbs/postcontent.aspx?tID=194930","http://m.12365auto.com/bbs/postcontent.aspx?tID=194930")</f>
        <v>http://m.12365auto.com/bbs/postcontent.aspx?tID=194930</v>
      </c>
      <c r="G3328" s="2"/>
      <c r="H3328" s="2" t="s">
        <v>4734</v>
      </c>
      <c r="I3328" s="2" t="s">
        <v>15</v>
      </c>
      <c r="J3328" s="2" t="s">
        <v>4732</v>
      </c>
      <c r="K3328" s="2" t="s">
        <v>4733</v>
      </c>
      <c r="L3328" s="2">
        <f t="shared" si="51"/>
        <v>150</v>
      </c>
    </row>
    <row r="3329" spans="1:12" ht="25" customHeight="1">
      <c r="A3329" s="2" t="s">
        <v>12</v>
      </c>
      <c r="B3329" s="2" t="str">
        <f>HYPERLINK("http://bbs.12365auto.com/postcontent.aspx?tId=194929","盘点五款值得买的低配车型")</f>
        <v>盘点五款值得买的低配车型</v>
      </c>
      <c r="C3329" s="2" t="s">
        <v>13</v>
      </c>
      <c r="D3329" s="2" t="s">
        <v>12</v>
      </c>
      <c r="E3329" s="2" t="s">
        <v>210</v>
      </c>
      <c r="F3329" s="2" t="str">
        <f>HYPERLINK("http://bbs.12365auto.com/postcontent.aspx?tId=194929","http://bbs.12365auto.com/postcontent.aspx?tId=194929")</f>
        <v>http://bbs.12365auto.com/postcontent.aspx?tId=194929</v>
      </c>
      <c r="G3329" s="2"/>
      <c r="H3329" s="2" t="s">
        <v>4737</v>
      </c>
      <c r="I3329" s="2" t="s">
        <v>15</v>
      </c>
      <c r="J3329" s="2" t="s">
        <v>4732</v>
      </c>
      <c r="K3329" s="2" t="s">
        <v>4738</v>
      </c>
      <c r="L3329" s="2">
        <f t="shared" si="51"/>
        <v>150</v>
      </c>
    </row>
    <row r="3330" spans="1:12" ht="25" customHeight="1">
      <c r="A3330" s="2" t="s">
        <v>12</v>
      </c>
      <c r="B3330" s="2" t="str">
        <f>HYPERLINK("http://bbs.12365auto.com/postcontent.aspx?tID=194929","盘点五款值得买的低配车型")</f>
        <v>盘点五款值得买的低配车型</v>
      </c>
      <c r="C3330" s="2" t="s">
        <v>13</v>
      </c>
      <c r="D3330" s="2" t="s">
        <v>12</v>
      </c>
      <c r="E3330" s="2" t="s">
        <v>214</v>
      </c>
      <c r="F3330" s="2" t="str">
        <f>HYPERLINK("http://bbs.12365auto.com/postcontent.aspx?tID=194929","http://bbs.12365auto.com/postcontent.aspx?tID=194929")</f>
        <v>http://bbs.12365auto.com/postcontent.aspx?tID=194929</v>
      </c>
      <c r="G3330" s="2"/>
      <c r="H3330" s="2" t="s">
        <v>4739</v>
      </c>
      <c r="I3330" s="2" t="s">
        <v>15</v>
      </c>
      <c r="J3330" s="2" t="s">
        <v>4732</v>
      </c>
      <c r="K3330" s="2" t="s">
        <v>4738</v>
      </c>
      <c r="L3330" s="2">
        <f t="shared" si="51"/>
        <v>150</v>
      </c>
    </row>
    <row r="3331" spans="1:12" ht="25" customHeight="1">
      <c r="A3331" s="2" t="s">
        <v>12</v>
      </c>
      <c r="B3331" s="2" t="str">
        <f>HYPERLINK("http://m.12365auto.com/bbs/postcontent.aspx?tID=194929","盘点五款值得买的低配车型")</f>
        <v>盘点五款值得买的低配车型</v>
      </c>
      <c r="C3331" s="2" t="s">
        <v>13</v>
      </c>
      <c r="D3331" s="2" t="s">
        <v>23</v>
      </c>
      <c r="E3331" s="2"/>
      <c r="F3331" s="2" t="str">
        <f>HYPERLINK("http://m.12365auto.com/bbs/postcontent.aspx?tID=194929","http://m.12365auto.com/bbs/postcontent.aspx?tID=194929")</f>
        <v>http://m.12365auto.com/bbs/postcontent.aspx?tID=194929</v>
      </c>
      <c r="G3331" s="2"/>
      <c r="H3331" s="2" t="s">
        <v>4737</v>
      </c>
      <c r="I3331" s="2" t="s">
        <v>15</v>
      </c>
      <c r="J3331" s="2" t="s">
        <v>4732</v>
      </c>
      <c r="K3331" s="2" t="s">
        <v>4738</v>
      </c>
      <c r="L3331" s="2">
        <f t="shared" ref="L3331:L3394" si="52">LEN(H3331)</f>
        <v>150</v>
      </c>
    </row>
    <row r="3332" spans="1:12" ht="25" customHeight="1">
      <c r="A3332" s="2" t="s">
        <v>12</v>
      </c>
      <c r="B3332" s="2" t="str">
        <f>HYPERLINK("http://bbs.12365auto.com/postcontent.aspx?tId=194928","高层换血一年 现在的观致一地鸡毛")</f>
        <v>高层换血一年 现在的观致一地鸡毛</v>
      </c>
      <c r="C3332" s="2" t="s">
        <v>13</v>
      </c>
      <c r="D3332" s="2" t="s">
        <v>12</v>
      </c>
      <c r="E3332" s="2" t="s">
        <v>210</v>
      </c>
      <c r="F3332" s="2" t="str">
        <f>HYPERLINK("http://bbs.12365auto.com/postcontent.aspx?tId=194928","http://bbs.12365auto.com/postcontent.aspx?tId=194928")</f>
        <v>http://bbs.12365auto.com/postcontent.aspx?tId=194928</v>
      </c>
      <c r="G3332" s="2"/>
      <c r="H3332" s="2" t="s">
        <v>4740</v>
      </c>
      <c r="I3332" s="2" t="s">
        <v>15</v>
      </c>
      <c r="J3332" s="2" t="s">
        <v>4732</v>
      </c>
      <c r="K3332" s="2" t="s">
        <v>4741</v>
      </c>
      <c r="L3332" s="2">
        <f t="shared" si="52"/>
        <v>150</v>
      </c>
    </row>
    <row r="3333" spans="1:12" ht="25" customHeight="1">
      <c r="A3333" s="2" t="s">
        <v>12</v>
      </c>
      <c r="B3333" s="2" t="str">
        <f>HYPERLINK("http://bbs.12365auto.com/postcontent.aspx?tID=194928","高层换血一年 现在的观致一地鸡毛")</f>
        <v>高层换血一年 现在的观致一地鸡毛</v>
      </c>
      <c r="C3333" s="2" t="s">
        <v>13</v>
      </c>
      <c r="D3333" s="2" t="s">
        <v>12</v>
      </c>
      <c r="E3333" s="2" t="s">
        <v>214</v>
      </c>
      <c r="F3333" s="2" t="str">
        <f>HYPERLINK("http://bbs.12365auto.com/postcontent.aspx?tID=194928","http://bbs.12365auto.com/postcontent.aspx?tID=194928")</f>
        <v>http://bbs.12365auto.com/postcontent.aspx?tID=194928</v>
      </c>
      <c r="G3333" s="2"/>
      <c r="H3333" s="2" t="s">
        <v>4742</v>
      </c>
      <c r="I3333" s="2" t="s">
        <v>15</v>
      </c>
      <c r="J3333" s="2" t="s">
        <v>4732</v>
      </c>
      <c r="K3333" s="2" t="s">
        <v>4741</v>
      </c>
      <c r="L3333" s="2">
        <f t="shared" si="52"/>
        <v>150</v>
      </c>
    </row>
    <row r="3334" spans="1:12" ht="25" customHeight="1">
      <c r="A3334" s="2" t="s">
        <v>12</v>
      </c>
      <c r="B3334" s="2" t="str">
        <f>HYPERLINK("http://m.12365auto.com/bbs/postcontent.aspx?tID=194928","高层换血一年 现在的观致一地鸡毛")</f>
        <v>高层换血一年 现在的观致一地鸡毛</v>
      </c>
      <c r="C3334" s="2" t="s">
        <v>13</v>
      </c>
      <c r="D3334" s="2" t="s">
        <v>23</v>
      </c>
      <c r="E3334" s="2"/>
      <c r="F3334" s="2" t="str">
        <f>HYPERLINK("http://m.12365auto.com/bbs/postcontent.aspx?tID=194928","http://m.12365auto.com/bbs/postcontent.aspx?tID=194928")</f>
        <v>http://m.12365auto.com/bbs/postcontent.aspx?tID=194928</v>
      </c>
      <c r="G3334" s="2"/>
      <c r="H3334" s="2" t="s">
        <v>4740</v>
      </c>
      <c r="I3334" s="2" t="s">
        <v>15</v>
      </c>
      <c r="J3334" s="2" t="s">
        <v>4732</v>
      </c>
      <c r="K3334" s="2" t="s">
        <v>4741</v>
      </c>
      <c r="L3334" s="2">
        <f t="shared" si="52"/>
        <v>150</v>
      </c>
    </row>
    <row r="3335" spans="1:12" ht="25" customHeight="1">
      <c r="A3335" s="2" t="s">
        <v>12</v>
      </c>
      <c r="B3335" s="2" t="s">
        <v>4743</v>
      </c>
      <c r="C3335" s="2" t="s">
        <v>13</v>
      </c>
      <c r="D3335" s="2" t="s">
        <v>12</v>
      </c>
      <c r="E3335" s="2" t="s">
        <v>210</v>
      </c>
      <c r="F3335" s="2" t="str">
        <f>HYPERLINK("http://bbs.12365auto.com/postcontent.aspx?tId=194927","http://bbs.12365auto.com/postcontent.aspx?tId=194927")</f>
        <v>http://bbs.12365auto.com/postcontent.aspx?tId=194927</v>
      </c>
      <c r="G3335" s="2"/>
      <c r="H3335" s="2" t="s">
        <v>4744</v>
      </c>
      <c r="I3335" s="2" t="s">
        <v>15</v>
      </c>
      <c r="J3335" s="2" t="s">
        <v>4732</v>
      </c>
      <c r="K3335" s="2" t="s">
        <v>4745</v>
      </c>
      <c r="L3335" s="2">
        <f t="shared" si="52"/>
        <v>150</v>
      </c>
    </row>
    <row r="3336" spans="1:12" ht="25" customHeight="1">
      <c r="A3336" s="2" t="s">
        <v>12</v>
      </c>
      <c r="B3336" s="2" t="s">
        <v>4743</v>
      </c>
      <c r="C3336" s="2" t="s">
        <v>13</v>
      </c>
      <c r="D3336" s="2" t="s">
        <v>12</v>
      </c>
      <c r="E3336" s="2" t="s">
        <v>214</v>
      </c>
      <c r="F3336" s="2" t="str">
        <f>HYPERLINK("http://bbs.12365auto.com/postcontent.aspx?tID=194927","http://bbs.12365auto.com/postcontent.aspx?tID=194927")</f>
        <v>http://bbs.12365auto.com/postcontent.aspx?tID=194927</v>
      </c>
      <c r="G3336" s="2"/>
      <c r="H3336" s="2" t="s">
        <v>4746</v>
      </c>
      <c r="I3336" s="2" t="s">
        <v>15</v>
      </c>
      <c r="J3336" s="2" t="s">
        <v>4732</v>
      </c>
      <c r="K3336" s="2" t="s">
        <v>4745</v>
      </c>
      <c r="L3336" s="2">
        <f t="shared" si="52"/>
        <v>150</v>
      </c>
    </row>
    <row r="3337" spans="1:12" ht="25" customHeight="1">
      <c r="A3337" s="2" t="s">
        <v>12</v>
      </c>
      <c r="B3337" s="2" t="s">
        <v>4743</v>
      </c>
      <c r="C3337" s="2" t="s">
        <v>13</v>
      </c>
      <c r="D3337" s="2" t="s">
        <v>23</v>
      </c>
      <c r="E3337" s="2"/>
      <c r="F3337" s="2" t="str">
        <f>HYPERLINK("http://m.12365auto.com/bbs/postcontent.aspx?tID=194927","http://m.12365auto.com/bbs/postcontent.aspx?tID=194927")</f>
        <v>http://m.12365auto.com/bbs/postcontent.aspx?tID=194927</v>
      </c>
      <c r="G3337" s="2"/>
      <c r="H3337" s="2" t="s">
        <v>4744</v>
      </c>
      <c r="I3337" s="2" t="s">
        <v>15</v>
      </c>
      <c r="J3337" s="2" t="s">
        <v>4732</v>
      </c>
      <c r="K3337" s="2" t="s">
        <v>4745</v>
      </c>
      <c r="L3337" s="2">
        <f t="shared" si="52"/>
        <v>150</v>
      </c>
    </row>
    <row r="3338" spans="1:12" ht="25" customHeight="1">
      <c r="A3338" s="2" t="s">
        <v>12</v>
      </c>
      <c r="B3338" s="2" t="str">
        <f>HYPERLINK("http://bbs.12365auto.com/postcontent.aspx?tId=194926","10万级别最火的3台中国SUV大PK")</f>
        <v>10万级别最火的3台中国SUV大PK</v>
      </c>
      <c r="C3338" s="2" t="s">
        <v>13</v>
      </c>
      <c r="D3338" s="2" t="s">
        <v>12</v>
      </c>
      <c r="E3338" s="2" t="s">
        <v>210</v>
      </c>
      <c r="F3338" s="2" t="str">
        <f>HYPERLINK("http://bbs.12365auto.com/postcontent.aspx?tId=194926","http://bbs.12365auto.com/postcontent.aspx?tId=194926")</f>
        <v>http://bbs.12365auto.com/postcontent.aspx?tId=194926</v>
      </c>
      <c r="G3338" s="2"/>
      <c r="H3338" s="2" t="s">
        <v>4747</v>
      </c>
      <c r="I3338" s="2" t="s">
        <v>15</v>
      </c>
      <c r="J3338" s="2" t="s">
        <v>4732</v>
      </c>
      <c r="K3338" s="2" t="s">
        <v>4748</v>
      </c>
      <c r="L3338" s="2">
        <f t="shared" si="52"/>
        <v>150</v>
      </c>
    </row>
    <row r="3339" spans="1:12" ht="25" customHeight="1">
      <c r="A3339" s="2" t="s">
        <v>12</v>
      </c>
      <c r="B3339" s="2" t="str">
        <f>HYPERLINK("http://bbs.12365auto.com/postcontent.aspx?tId=194925","2019年最不可靠的十款车")</f>
        <v>2019年最不可靠的十款车</v>
      </c>
      <c r="C3339" s="2" t="s">
        <v>13</v>
      </c>
      <c r="D3339" s="2" t="s">
        <v>12</v>
      </c>
      <c r="E3339" s="2" t="s">
        <v>210</v>
      </c>
      <c r="F3339" s="2" t="str">
        <f>HYPERLINK("http://bbs.12365auto.com/postcontent.aspx?tId=194925","http://bbs.12365auto.com/postcontent.aspx?tId=194925")</f>
        <v>http://bbs.12365auto.com/postcontent.aspx?tId=194925</v>
      </c>
      <c r="G3339" s="2"/>
      <c r="H3339" s="2" t="s">
        <v>4749</v>
      </c>
      <c r="I3339" s="2" t="s">
        <v>15</v>
      </c>
      <c r="J3339" s="2" t="s">
        <v>4732</v>
      </c>
      <c r="K3339" s="2" t="s">
        <v>4748</v>
      </c>
      <c r="L3339" s="2">
        <f t="shared" si="52"/>
        <v>150</v>
      </c>
    </row>
    <row r="3340" spans="1:12" ht="25" customHeight="1">
      <c r="A3340" s="2" t="s">
        <v>12</v>
      </c>
      <c r="B3340" s="2" t="str">
        <f>HYPERLINK("http://bbs.12365auto.com/postcontent.aspx?tID=194926","10万级别最火的3台中国SUV大PK")</f>
        <v>10万级别最火的3台中国SUV大PK</v>
      </c>
      <c r="C3340" s="2" t="s">
        <v>13</v>
      </c>
      <c r="D3340" s="2" t="s">
        <v>12</v>
      </c>
      <c r="E3340" s="2" t="s">
        <v>214</v>
      </c>
      <c r="F3340" s="2" t="str">
        <f>HYPERLINK("http://bbs.12365auto.com/postcontent.aspx?tID=194926","http://bbs.12365auto.com/postcontent.aspx?tID=194926")</f>
        <v>http://bbs.12365auto.com/postcontent.aspx?tID=194926</v>
      </c>
      <c r="G3340" s="2"/>
      <c r="H3340" s="2" t="s">
        <v>4750</v>
      </c>
      <c r="I3340" s="2" t="s">
        <v>15</v>
      </c>
      <c r="J3340" s="2" t="s">
        <v>4732</v>
      </c>
      <c r="K3340" s="2" t="s">
        <v>4748</v>
      </c>
      <c r="L3340" s="2">
        <f t="shared" si="52"/>
        <v>150</v>
      </c>
    </row>
    <row r="3341" spans="1:12" ht="25" customHeight="1">
      <c r="A3341" s="2" t="s">
        <v>12</v>
      </c>
      <c r="B3341" s="2" t="str">
        <f>HYPERLINK("http://bbs.12365auto.com/postcontent.aspx?tID=194925","2019年最不可靠的十款车")</f>
        <v>2019年最不可靠的十款车</v>
      </c>
      <c r="C3341" s="2" t="s">
        <v>13</v>
      </c>
      <c r="D3341" s="2" t="s">
        <v>12</v>
      </c>
      <c r="E3341" s="2" t="s">
        <v>214</v>
      </c>
      <c r="F3341" s="2" t="str">
        <f>HYPERLINK("http://bbs.12365auto.com/postcontent.aspx?tID=194925","http://bbs.12365auto.com/postcontent.aspx?tID=194925")</f>
        <v>http://bbs.12365auto.com/postcontent.aspx?tID=194925</v>
      </c>
      <c r="G3341" s="2"/>
      <c r="H3341" s="2" t="s">
        <v>4751</v>
      </c>
      <c r="I3341" s="2" t="s">
        <v>15</v>
      </c>
      <c r="J3341" s="2" t="s">
        <v>4732</v>
      </c>
      <c r="K3341" s="2" t="s">
        <v>4748</v>
      </c>
      <c r="L3341" s="2">
        <f t="shared" si="52"/>
        <v>150</v>
      </c>
    </row>
    <row r="3342" spans="1:12" ht="25" customHeight="1">
      <c r="A3342" s="2" t="s">
        <v>12</v>
      </c>
      <c r="B3342" s="2" t="str">
        <f>HYPERLINK("http://m.12365auto.com/bbs/postcontent.aspx?tID=194926","10万级别最火的3台中国SUV大PK")</f>
        <v>10万级别最火的3台中国SUV大PK</v>
      </c>
      <c r="C3342" s="2" t="s">
        <v>13</v>
      </c>
      <c r="D3342" s="2" t="s">
        <v>23</v>
      </c>
      <c r="E3342" s="2"/>
      <c r="F3342" s="2" t="str">
        <f>HYPERLINK("http://m.12365auto.com/bbs/postcontent.aspx?tID=194926","http://m.12365auto.com/bbs/postcontent.aspx?tID=194926")</f>
        <v>http://m.12365auto.com/bbs/postcontent.aspx?tID=194926</v>
      </c>
      <c r="G3342" s="2"/>
      <c r="H3342" s="2" t="s">
        <v>4747</v>
      </c>
      <c r="I3342" s="2" t="s">
        <v>15</v>
      </c>
      <c r="J3342" s="2" t="s">
        <v>4732</v>
      </c>
      <c r="K3342" s="2" t="s">
        <v>4748</v>
      </c>
      <c r="L3342" s="2">
        <f t="shared" si="52"/>
        <v>150</v>
      </c>
    </row>
    <row r="3343" spans="1:12" ht="25" customHeight="1">
      <c r="A3343" s="2" t="s">
        <v>12</v>
      </c>
      <c r="B3343" s="2" t="str">
        <f>HYPERLINK("http://m.12365auto.com/bbs/postcontent.aspx?tID=194925","2019年最不可靠的十款车")</f>
        <v>2019年最不可靠的十款车</v>
      </c>
      <c r="C3343" s="2" t="s">
        <v>13</v>
      </c>
      <c r="D3343" s="2" t="s">
        <v>23</v>
      </c>
      <c r="E3343" s="2"/>
      <c r="F3343" s="2" t="str">
        <f>HYPERLINK("http://m.12365auto.com/bbs/postcontent.aspx?tID=194925","http://m.12365auto.com/bbs/postcontent.aspx?tID=194925")</f>
        <v>http://m.12365auto.com/bbs/postcontent.aspx?tID=194925</v>
      </c>
      <c r="G3343" s="2"/>
      <c r="H3343" s="2" t="s">
        <v>4749</v>
      </c>
      <c r="I3343" s="2" t="s">
        <v>15</v>
      </c>
      <c r="J3343" s="2" t="s">
        <v>4732</v>
      </c>
      <c r="K3343" s="2" t="s">
        <v>4748</v>
      </c>
      <c r="L3343" s="2">
        <f t="shared" si="52"/>
        <v>150</v>
      </c>
    </row>
    <row r="3344" spans="1:12" ht="25" customHeight="1">
      <c r="A3344" s="2" t="s">
        <v>12</v>
      </c>
      <c r="B3344" s="2" t="str">
        <f>HYPERLINK("http://m.12365auto.com/xcdg/20200224/419325.shtml","解读低配车 2020款宝马X4 xDrive25i")</f>
        <v>解读低配车 2020款宝马X4 xDrive25i</v>
      </c>
      <c r="C3344" s="2" t="s">
        <v>13</v>
      </c>
      <c r="D3344" s="2" t="s">
        <v>12</v>
      </c>
      <c r="E3344" s="2"/>
      <c r="F3344" s="2" t="str">
        <f>HYPERLINK("http://m.12365auto.com/xcdg/20200224/419325.shtml","http://m.12365auto.com/xcdg/20200224/419325.shtml")</f>
        <v>http://m.12365auto.com/xcdg/20200224/419325.shtml</v>
      </c>
      <c r="G3344" s="2"/>
      <c r="H3344" s="2" t="s">
        <v>4752</v>
      </c>
      <c r="I3344" s="2" t="s">
        <v>19</v>
      </c>
      <c r="J3344" s="2" t="s">
        <v>4753</v>
      </c>
      <c r="K3344" s="2" t="s">
        <v>4748</v>
      </c>
      <c r="L3344" s="2">
        <f t="shared" si="52"/>
        <v>150</v>
      </c>
    </row>
    <row r="3345" spans="1:12" ht="25" customHeight="1">
      <c r="A3345" s="2" t="s">
        <v>12</v>
      </c>
      <c r="B3345" s="2" t="str">
        <f>HYPERLINK("http://bbs.12365auto.com/postcontent.aspx?tId=194924","20万多就能买豪华SUV 一降就是6万")</f>
        <v>20万多就能买豪华SUV 一降就是6万</v>
      </c>
      <c r="C3345" s="2" t="s">
        <v>13</v>
      </c>
      <c r="D3345" s="2" t="s">
        <v>12</v>
      </c>
      <c r="E3345" s="2" t="s">
        <v>210</v>
      </c>
      <c r="F3345" s="2" t="str">
        <f>HYPERLINK("http://bbs.12365auto.com/postcontent.aspx?tId=194924","http://bbs.12365auto.com/postcontent.aspx?tId=194924")</f>
        <v>http://bbs.12365auto.com/postcontent.aspx?tId=194924</v>
      </c>
      <c r="G3345" s="2"/>
      <c r="H3345" s="2" t="s">
        <v>4754</v>
      </c>
      <c r="I3345" s="2" t="s">
        <v>15</v>
      </c>
      <c r="J3345" s="2" t="s">
        <v>4732</v>
      </c>
      <c r="K3345" s="2" t="s">
        <v>4755</v>
      </c>
      <c r="L3345" s="2">
        <f t="shared" si="52"/>
        <v>150</v>
      </c>
    </row>
    <row r="3346" spans="1:12" ht="25" customHeight="1">
      <c r="A3346" s="2" t="s">
        <v>12</v>
      </c>
      <c r="B3346" s="2" t="str">
        <f>HYPERLINK("http://bbs.12365auto.com/postcontent.aspx?tId=194923","性能车也有“白菜价” 7.8秒破百")</f>
        <v>性能车也有“白菜价” 7.8秒破百</v>
      </c>
      <c r="C3346" s="2" t="s">
        <v>13</v>
      </c>
      <c r="D3346" s="2" t="s">
        <v>12</v>
      </c>
      <c r="E3346" s="2" t="s">
        <v>210</v>
      </c>
      <c r="F3346" s="2" t="str">
        <f>HYPERLINK("http://bbs.12365auto.com/postcontent.aspx?tId=194923","http://bbs.12365auto.com/postcontent.aspx?tId=194923")</f>
        <v>http://bbs.12365auto.com/postcontent.aspx?tId=194923</v>
      </c>
      <c r="G3346" s="2"/>
      <c r="H3346" s="2" t="s">
        <v>4756</v>
      </c>
      <c r="I3346" s="2" t="s">
        <v>15</v>
      </c>
      <c r="J3346" s="2" t="s">
        <v>4732</v>
      </c>
      <c r="K3346" s="2" t="s">
        <v>4755</v>
      </c>
      <c r="L3346" s="2">
        <f t="shared" si="52"/>
        <v>150</v>
      </c>
    </row>
    <row r="3347" spans="1:12" ht="25" customHeight="1">
      <c r="A3347" s="2" t="s">
        <v>12</v>
      </c>
      <c r="B3347" s="2" t="str">
        <f>HYPERLINK("http://bbs.12365auto.com/postcontent.aspx?tID=194924","20万多就能买豪华SUV 一降就是6万")</f>
        <v>20万多就能买豪华SUV 一降就是6万</v>
      </c>
      <c r="C3347" s="2" t="s">
        <v>13</v>
      </c>
      <c r="D3347" s="2" t="s">
        <v>12</v>
      </c>
      <c r="E3347" s="2" t="s">
        <v>214</v>
      </c>
      <c r="F3347" s="2" t="str">
        <f>HYPERLINK("http://bbs.12365auto.com/postcontent.aspx?tID=194924","http://bbs.12365auto.com/postcontent.aspx?tID=194924")</f>
        <v>http://bbs.12365auto.com/postcontent.aspx?tID=194924</v>
      </c>
      <c r="G3347" s="2"/>
      <c r="H3347" s="2" t="s">
        <v>4757</v>
      </c>
      <c r="I3347" s="2" t="s">
        <v>15</v>
      </c>
      <c r="J3347" s="2" t="s">
        <v>4732</v>
      </c>
      <c r="K3347" s="2" t="s">
        <v>4755</v>
      </c>
      <c r="L3347" s="2">
        <f t="shared" si="52"/>
        <v>150</v>
      </c>
    </row>
    <row r="3348" spans="1:12" ht="25" customHeight="1">
      <c r="A3348" s="2" t="s">
        <v>12</v>
      </c>
      <c r="B3348" s="2" t="str">
        <f>HYPERLINK("http://bbs.12365auto.com/postcontent.aspx?tID=194923","性能车也有“白菜价” 7.8秒破百")</f>
        <v>性能车也有“白菜价” 7.8秒破百</v>
      </c>
      <c r="C3348" s="2" t="s">
        <v>13</v>
      </c>
      <c r="D3348" s="2" t="s">
        <v>12</v>
      </c>
      <c r="E3348" s="2" t="s">
        <v>214</v>
      </c>
      <c r="F3348" s="2" t="str">
        <f>HYPERLINK("http://bbs.12365auto.com/postcontent.aspx?tID=194923","http://bbs.12365auto.com/postcontent.aspx?tID=194923")</f>
        <v>http://bbs.12365auto.com/postcontent.aspx?tID=194923</v>
      </c>
      <c r="G3348" s="2"/>
      <c r="H3348" s="2" t="s">
        <v>4758</v>
      </c>
      <c r="I3348" s="2" t="s">
        <v>15</v>
      </c>
      <c r="J3348" s="2" t="s">
        <v>4732</v>
      </c>
      <c r="K3348" s="2" t="s">
        <v>4755</v>
      </c>
      <c r="L3348" s="2">
        <f t="shared" si="52"/>
        <v>150</v>
      </c>
    </row>
    <row r="3349" spans="1:12" ht="25" customHeight="1">
      <c r="A3349" s="2" t="s">
        <v>12</v>
      </c>
      <c r="B3349" s="2" t="str">
        <f>HYPERLINK("http://m.12365auto.com/bbs/postcontent.aspx?tID=194924","20万多就能买豪华SUV 一降就是6万")</f>
        <v>20万多就能买豪华SUV 一降就是6万</v>
      </c>
      <c r="C3349" s="2" t="s">
        <v>13</v>
      </c>
      <c r="D3349" s="2" t="s">
        <v>23</v>
      </c>
      <c r="E3349" s="2"/>
      <c r="F3349" s="2" t="str">
        <f>HYPERLINK("http://m.12365auto.com/bbs/postcontent.aspx?tID=194924","http://m.12365auto.com/bbs/postcontent.aspx?tID=194924")</f>
        <v>http://m.12365auto.com/bbs/postcontent.aspx?tID=194924</v>
      </c>
      <c r="G3349" s="2"/>
      <c r="H3349" s="2" t="s">
        <v>4754</v>
      </c>
      <c r="I3349" s="2" t="s">
        <v>15</v>
      </c>
      <c r="J3349" s="2" t="s">
        <v>4732</v>
      </c>
      <c r="K3349" s="2" t="s">
        <v>4755</v>
      </c>
      <c r="L3349" s="2">
        <f t="shared" si="52"/>
        <v>150</v>
      </c>
    </row>
    <row r="3350" spans="1:12" ht="25" customHeight="1">
      <c r="A3350" s="2" t="s">
        <v>12</v>
      </c>
      <c r="B3350" s="2" t="str">
        <f>HYPERLINK("http://m.12365auto.com/bbs/postcontent.aspx?tID=194923","性能车也有“白菜价” 7.8秒破百")</f>
        <v>性能车也有“白菜价” 7.8秒破百</v>
      </c>
      <c r="C3350" s="2" t="s">
        <v>13</v>
      </c>
      <c r="D3350" s="2" t="s">
        <v>23</v>
      </c>
      <c r="E3350" s="2"/>
      <c r="F3350" s="2" t="str">
        <f>HYPERLINK("http://m.12365auto.com/bbs/postcontent.aspx?tID=194923","http://m.12365auto.com/bbs/postcontent.aspx?tID=194923")</f>
        <v>http://m.12365auto.com/bbs/postcontent.aspx?tID=194923</v>
      </c>
      <c r="G3350" s="2"/>
      <c r="H3350" s="2" t="s">
        <v>4756</v>
      </c>
      <c r="I3350" s="2" t="s">
        <v>15</v>
      </c>
      <c r="J3350" s="2" t="s">
        <v>4732</v>
      </c>
      <c r="K3350" s="2" t="s">
        <v>4755</v>
      </c>
      <c r="L3350" s="2">
        <f t="shared" si="52"/>
        <v>150</v>
      </c>
    </row>
    <row r="3351" spans="1:12" ht="25" customHeight="1">
      <c r="A3351" s="2" t="s">
        <v>12</v>
      </c>
      <c r="B3351" s="2" t="str">
        <f>HYPERLINK("http://bbs.12365auto.com/postcontent.aspx?tID=194922","90后最喜欢的几款车！花13万哪款SUV最值得入手？")</f>
        <v>90后最喜欢的几款车！花13万哪款SUV最值得入手？</v>
      </c>
      <c r="C3351" s="2" t="s">
        <v>13</v>
      </c>
      <c r="D3351" s="2" t="s">
        <v>12</v>
      </c>
      <c r="E3351" s="2" t="s">
        <v>28</v>
      </c>
      <c r="F3351" s="2" t="str">
        <f>HYPERLINK("http://bbs.12365auto.com/postcontent.aspx?tID=194922","http://bbs.12365auto.com/postcontent.aspx?tID=194922")</f>
        <v>http://bbs.12365auto.com/postcontent.aspx?tID=194922</v>
      </c>
      <c r="G3351" s="2"/>
      <c r="H3351" s="2" t="s">
        <v>4759</v>
      </c>
      <c r="I3351" s="2" t="s">
        <v>15</v>
      </c>
      <c r="J3351" s="2" t="s">
        <v>4760</v>
      </c>
      <c r="K3351" s="2" t="s">
        <v>4761</v>
      </c>
      <c r="L3351" s="2">
        <f t="shared" si="52"/>
        <v>150</v>
      </c>
    </row>
    <row r="3352" spans="1:12" ht="25" customHeight="1">
      <c r="A3352" s="2" t="s">
        <v>12</v>
      </c>
      <c r="B3352" s="2" t="str">
        <f>HYPERLINK("http://bbs.12365auto.com/postcontent.aspx?tId=194922","90后最喜欢的几款车！花13万哪款SUV最值得入手？")</f>
        <v>90后最喜欢的几款车！花13万哪款SUV最值得入手？</v>
      </c>
      <c r="C3352" s="2" t="s">
        <v>13</v>
      </c>
      <c r="D3352" s="2" t="s">
        <v>12</v>
      </c>
      <c r="E3352" s="2" t="s">
        <v>27</v>
      </c>
      <c r="F3352" s="2" t="str">
        <f>HYPERLINK("http://bbs.12365auto.com/postcontent.aspx?tId=194922","http://bbs.12365auto.com/postcontent.aspx?tId=194922")</f>
        <v>http://bbs.12365auto.com/postcontent.aspx?tId=194922</v>
      </c>
      <c r="G3352" s="2"/>
      <c r="H3352" s="2" t="s">
        <v>4762</v>
      </c>
      <c r="I3352" s="2" t="s">
        <v>15</v>
      </c>
      <c r="J3352" s="2" t="s">
        <v>4760</v>
      </c>
      <c r="K3352" s="2" t="s">
        <v>4761</v>
      </c>
      <c r="L3352" s="2">
        <f t="shared" si="52"/>
        <v>150</v>
      </c>
    </row>
    <row r="3353" spans="1:12" ht="25" customHeight="1">
      <c r="A3353" s="2" t="s">
        <v>12</v>
      </c>
      <c r="B3353" s="2" t="str">
        <f>HYPERLINK("http://www.12365auto.com/news/20200224/419324.shtml","中汽协：建议推迟国六排放标准实施")</f>
        <v>中汽协：建议推迟国六排放标准实施</v>
      </c>
      <c r="C3353" s="2" t="s">
        <v>13</v>
      </c>
      <c r="D3353" s="2" t="s">
        <v>12</v>
      </c>
      <c r="E3353" s="2" t="s">
        <v>276</v>
      </c>
      <c r="F3353" s="2" t="str">
        <f>HYPERLINK("http://www.12365auto.com/news/20200224/419324.shtml","http://www.12365auto.com/news/20200224/419324.shtml")</f>
        <v>http://www.12365auto.com/news/20200224/419324.shtml</v>
      </c>
      <c r="G3353" s="2"/>
      <c r="H3353" s="2" t="s">
        <v>4763</v>
      </c>
      <c r="I3353" s="2" t="s">
        <v>15</v>
      </c>
      <c r="J3353" s="2" t="s">
        <v>12</v>
      </c>
      <c r="K3353" s="2" t="s">
        <v>4761</v>
      </c>
      <c r="L3353" s="2">
        <f t="shared" si="52"/>
        <v>150</v>
      </c>
    </row>
    <row r="3354" spans="1:12" ht="25" customHeight="1">
      <c r="A3354" s="2" t="s">
        <v>12</v>
      </c>
      <c r="B3354" s="2" t="str">
        <f>HYPERLINK("http://m.12365auto.com/news/20200224/419324.shtml","中汽协：建议推迟国六排放标准实施")</f>
        <v>中汽协：建议推迟国六排放标准实施</v>
      </c>
      <c r="C3354" s="2" t="s">
        <v>13</v>
      </c>
      <c r="D3354" s="2" t="s">
        <v>12</v>
      </c>
      <c r="E3354" s="2"/>
      <c r="F3354" s="2" t="str">
        <f>HYPERLINK("http://m.12365auto.com/news/20200224/419324.shtml","http://m.12365auto.com/news/20200224/419324.shtml")</f>
        <v>http://m.12365auto.com/news/20200224/419324.shtml</v>
      </c>
      <c r="G3354" s="2"/>
      <c r="H3354" s="2" t="s">
        <v>4764</v>
      </c>
      <c r="I3354" s="2" t="s">
        <v>19</v>
      </c>
      <c r="J3354" s="2" t="s">
        <v>274</v>
      </c>
      <c r="K3354" s="2" t="s">
        <v>4761</v>
      </c>
      <c r="L3354" s="2">
        <f t="shared" si="52"/>
        <v>150</v>
      </c>
    </row>
    <row r="3355" spans="1:12" ht="25" customHeight="1">
      <c r="A3355" s="2" t="s">
        <v>12</v>
      </c>
      <c r="B3355" s="2" t="str">
        <f>HYPERLINK("http://m.12365auto.com/bbs/postcontent.aspx?tID=194922","90后最喜欢的几款车！花13万哪款SUV最值得入手？")</f>
        <v>90后最喜欢的几款车！花13万哪款SUV最值得入手？</v>
      </c>
      <c r="C3355" s="2" t="s">
        <v>13</v>
      </c>
      <c r="D3355" s="2" t="s">
        <v>23</v>
      </c>
      <c r="E3355" s="2"/>
      <c r="F3355" s="2" t="str">
        <f>HYPERLINK("http://m.12365auto.com/bbs/postcontent.aspx?tID=194922","http://m.12365auto.com/bbs/postcontent.aspx?tID=194922")</f>
        <v>http://m.12365auto.com/bbs/postcontent.aspx?tID=194922</v>
      </c>
      <c r="G3355" s="2"/>
      <c r="H3355" s="2" t="s">
        <v>4762</v>
      </c>
      <c r="I3355" s="2" t="s">
        <v>15</v>
      </c>
      <c r="J3355" s="2" t="s">
        <v>4760</v>
      </c>
      <c r="K3355" s="2" t="s">
        <v>4761</v>
      </c>
      <c r="L3355" s="2">
        <f t="shared" si="52"/>
        <v>150</v>
      </c>
    </row>
    <row r="3356" spans="1:12" ht="25" customHeight="1">
      <c r="A3356" s="2" t="s">
        <v>12</v>
      </c>
      <c r="B3356" s="2" t="str">
        <f>HYPERLINK("http://bbs.12365auto.com/postcontent.aspx?tId=194920","疫情后就会降价？这几款SUV不加价已偷笑")</f>
        <v>疫情后就会降价？这几款SUV不加价已偷笑</v>
      </c>
      <c r="C3356" s="2" t="s">
        <v>13</v>
      </c>
      <c r="D3356" s="2" t="s">
        <v>12</v>
      </c>
      <c r="E3356" s="2" t="s">
        <v>210</v>
      </c>
      <c r="F3356" s="2" t="str">
        <f>HYPERLINK("http://bbs.12365auto.com/postcontent.aspx?tId=194920","http://bbs.12365auto.com/postcontent.aspx?tId=194920")</f>
        <v>http://bbs.12365auto.com/postcontent.aspx?tId=194920</v>
      </c>
      <c r="G3356" s="2"/>
      <c r="H3356" s="2" t="s">
        <v>3763</v>
      </c>
      <c r="I3356" s="2" t="s">
        <v>15</v>
      </c>
      <c r="J3356" s="2" t="s">
        <v>4732</v>
      </c>
      <c r="K3356" s="2" t="s">
        <v>4765</v>
      </c>
      <c r="L3356" s="2">
        <f t="shared" si="52"/>
        <v>150</v>
      </c>
    </row>
    <row r="3357" spans="1:12" ht="25" customHeight="1">
      <c r="A3357" s="2" t="s">
        <v>12</v>
      </c>
      <c r="B3357" s="2" t="str">
        <f>HYPERLINK("http://bbs.12365auto.com/postcontent.aspx?tId=194921","国产首款7座豪华SUV 尺寸超X5和Q7")</f>
        <v>国产首款7座豪华SUV 尺寸超X5和Q7</v>
      </c>
      <c r="C3357" s="2" t="s">
        <v>13</v>
      </c>
      <c r="D3357" s="2" t="s">
        <v>12</v>
      </c>
      <c r="E3357" s="2" t="s">
        <v>210</v>
      </c>
      <c r="F3357" s="2" t="str">
        <f>HYPERLINK("http://bbs.12365auto.com/postcontent.aspx?tId=194921","http://bbs.12365auto.com/postcontent.aspx?tId=194921")</f>
        <v>http://bbs.12365auto.com/postcontent.aspx?tId=194921</v>
      </c>
      <c r="G3357" s="2"/>
      <c r="H3357" s="2" t="s">
        <v>4766</v>
      </c>
      <c r="I3357" s="2" t="s">
        <v>15</v>
      </c>
      <c r="J3357" s="2" t="s">
        <v>4732</v>
      </c>
      <c r="K3357" s="2" t="s">
        <v>4765</v>
      </c>
      <c r="L3357" s="2">
        <f t="shared" si="52"/>
        <v>150</v>
      </c>
    </row>
    <row r="3358" spans="1:12" ht="25" customHeight="1">
      <c r="A3358" s="2" t="s">
        <v>12</v>
      </c>
      <c r="B3358" s="2" t="str">
        <f>HYPERLINK("http://bbs.12365auto.com/postcontent.aspx?tID=194921","国产首款7座豪华SUV 尺寸超X5和Q7")</f>
        <v>国产首款7座豪华SUV 尺寸超X5和Q7</v>
      </c>
      <c r="C3358" s="2" t="s">
        <v>13</v>
      </c>
      <c r="D3358" s="2" t="s">
        <v>12</v>
      </c>
      <c r="E3358" s="2" t="s">
        <v>214</v>
      </c>
      <c r="F3358" s="2" t="str">
        <f>HYPERLINK("http://bbs.12365auto.com/postcontent.aspx?tID=194921","http://bbs.12365auto.com/postcontent.aspx?tID=194921")</f>
        <v>http://bbs.12365auto.com/postcontent.aspx?tID=194921</v>
      </c>
      <c r="G3358" s="2"/>
      <c r="H3358" s="2" t="s">
        <v>4767</v>
      </c>
      <c r="I3358" s="2" t="s">
        <v>15</v>
      </c>
      <c r="J3358" s="2" t="s">
        <v>4732</v>
      </c>
      <c r="K3358" s="2" t="s">
        <v>4765</v>
      </c>
      <c r="L3358" s="2">
        <f t="shared" si="52"/>
        <v>150</v>
      </c>
    </row>
    <row r="3359" spans="1:12" ht="25" customHeight="1">
      <c r="A3359" s="2" t="s">
        <v>12</v>
      </c>
      <c r="B3359" s="2" t="str">
        <f>HYPERLINK("http://www.12365auto.com/news/20200224/419321.shtml","发力智能网联 中科创达拟募资17亿元")</f>
        <v>发力智能网联 中科创达拟募资17亿元</v>
      </c>
      <c r="C3359" s="2" t="s">
        <v>13</v>
      </c>
      <c r="D3359" s="2" t="s">
        <v>12</v>
      </c>
      <c r="E3359" s="2" t="s">
        <v>276</v>
      </c>
      <c r="F3359" s="2" t="str">
        <f>HYPERLINK("http://www.12365auto.com/news/20200224/419321.shtml","http://www.12365auto.com/news/20200224/419321.shtml")</f>
        <v>http://www.12365auto.com/news/20200224/419321.shtml</v>
      </c>
      <c r="G3359" s="2"/>
      <c r="H3359" s="2" t="s">
        <v>4768</v>
      </c>
      <c r="I3359" s="2" t="s">
        <v>15</v>
      </c>
      <c r="J3359" s="2" t="s">
        <v>12</v>
      </c>
      <c r="K3359" s="2" t="s">
        <v>4765</v>
      </c>
      <c r="L3359" s="2">
        <f t="shared" si="52"/>
        <v>150</v>
      </c>
    </row>
    <row r="3360" spans="1:12" ht="25" customHeight="1">
      <c r="A3360" s="2" t="s">
        <v>12</v>
      </c>
      <c r="B3360" s="2" t="str">
        <f>HYPERLINK("http://m.12365auto.com/news/20200224/419321.shtml","发力智能网联 中科创达拟募资17亿元")</f>
        <v>发力智能网联 中科创达拟募资17亿元</v>
      </c>
      <c r="C3360" s="2" t="s">
        <v>13</v>
      </c>
      <c r="D3360" s="2" t="s">
        <v>12</v>
      </c>
      <c r="E3360" s="2"/>
      <c r="F3360" s="2" t="str">
        <f>HYPERLINK("http://m.12365auto.com/news/20200224/419321.shtml","http://m.12365auto.com/news/20200224/419321.shtml")</f>
        <v>http://m.12365auto.com/news/20200224/419321.shtml</v>
      </c>
      <c r="G3360" s="2"/>
      <c r="H3360" s="2" t="s">
        <v>4769</v>
      </c>
      <c r="I3360" s="2" t="s">
        <v>19</v>
      </c>
      <c r="J3360" s="2" t="s">
        <v>1643</v>
      </c>
      <c r="K3360" s="2" t="s">
        <v>4765</v>
      </c>
      <c r="L3360" s="2">
        <f t="shared" si="52"/>
        <v>150</v>
      </c>
    </row>
    <row r="3361" spans="1:12" ht="25" customHeight="1">
      <c r="A3361" s="2" t="s">
        <v>12</v>
      </c>
      <c r="B3361" s="2" t="str">
        <f>HYPERLINK("http://bbs.12365auto.com/postcontent.aspx?tID=194920","疫情后就会降价？这几款SUV不加价已偷笑")</f>
        <v>疫情后就会降价？这几款SUV不加价已偷笑</v>
      </c>
      <c r="C3361" s="2" t="s">
        <v>13</v>
      </c>
      <c r="D3361" s="2" t="s">
        <v>12</v>
      </c>
      <c r="E3361" s="2" t="s">
        <v>214</v>
      </c>
      <c r="F3361" s="2" t="str">
        <f>HYPERLINK("http://bbs.12365auto.com/postcontent.aspx?tID=194920","http://bbs.12365auto.com/postcontent.aspx?tID=194920")</f>
        <v>http://bbs.12365auto.com/postcontent.aspx?tID=194920</v>
      </c>
      <c r="G3361" s="2"/>
      <c r="H3361" s="2" t="s">
        <v>4770</v>
      </c>
      <c r="I3361" s="2" t="s">
        <v>15</v>
      </c>
      <c r="J3361" s="2" t="s">
        <v>4732</v>
      </c>
      <c r="K3361" s="2" t="s">
        <v>4765</v>
      </c>
      <c r="L3361" s="2">
        <f t="shared" si="52"/>
        <v>150</v>
      </c>
    </row>
    <row r="3362" spans="1:12" ht="25" customHeight="1">
      <c r="A3362" s="2" t="s">
        <v>12</v>
      </c>
      <c r="B3362" s="2" t="str">
        <f>HYPERLINK("http://bbs.12365auto.com/postcontent.aspx?tId=194919","前置后驱搭载V8 布加迪这款新车略显“寒酸”")</f>
        <v>前置后驱搭载V8 布加迪这款新车略显“寒酸”</v>
      </c>
      <c r="C3362" s="2" t="s">
        <v>13</v>
      </c>
      <c r="D3362" s="2" t="s">
        <v>12</v>
      </c>
      <c r="E3362" s="2" t="s">
        <v>27</v>
      </c>
      <c r="F3362" s="2" t="str">
        <f>HYPERLINK("http://bbs.12365auto.com/postcontent.aspx?tId=194919","http://bbs.12365auto.com/postcontent.aspx?tId=194919")</f>
        <v>http://bbs.12365auto.com/postcontent.aspx?tId=194919</v>
      </c>
      <c r="G3362" s="2"/>
      <c r="H3362" s="2" t="s">
        <v>4771</v>
      </c>
      <c r="I3362" s="2" t="s">
        <v>15</v>
      </c>
      <c r="J3362" s="2" t="s">
        <v>4760</v>
      </c>
      <c r="K3362" s="2" t="s">
        <v>4772</v>
      </c>
      <c r="L3362" s="2">
        <f t="shared" si="52"/>
        <v>150</v>
      </c>
    </row>
    <row r="3363" spans="1:12" ht="25" customHeight="1">
      <c r="A3363" s="2" t="s">
        <v>12</v>
      </c>
      <c r="B3363" s="2" t="str">
        <f>HYPERLINK("http://www.12365auto.com/xcdg/20200224/419320.shtml","比亚迪汉将搭载刀片电池 基于磷酸铁锂技术")</f>
        <v>比亚迪汉将搭载刀片电池 基于磷酸铁锂技术</v>
      </c>
      <c r="C3363" s="2" t="s">
        <v>13</v>
      </c>
      <c r="D3363" s="2" t="s">
        <v>12</v>
      </c>
      <c r="E3363" s="2" t="s">
        <v>216</v>
      </c>
      <c r="F3363" s="2" t="str">
        <f>HYPERLINK("http://www.12365auto.com/xcdg/20200224/419320.shtml","http://www.12365auto.com/xcdg/20200224/419320.shtml")</f>
        <v>http://www.12365auto.com/xcdg/20200224/419320.shtml</v>
      </c>
      <c r="G3363" s="2"/>
      <c r="H3363" s="2" t="s">
        <v>4773</v>
      </c>
      <c r="I3363" s="2" t="s">
        <v>15</v>
      </c>
      <c r="J3363" s="2" t="s">
        <v>12</v>
      </c>
      <c r="K3363" s="2" t="s">
        <v>4772</v>
      </c>
      <c r="L3363" s="2">
        <f t="shared" si="52"/>
        <v>150</v>
      </c>
    </row>
    <row r="3364" spans="1:12" ht="25" customHeight="1">
      <c r="A3364" s="2" t="s">
        <v>12</v>
      </c>
      <c r="B3364" s="2" t="str">
        <f>HYPERLINK("http://m.12365auto.com/xcdg/20200224/419320.shtml","比亚迪汉将搭载刀片电池 基于磷酸铁锂技术")</f>
        <v>比亚迪汉将搭载刀片电池 基于磷酸铁锂技术</v>
      </c>
      <c r="C3364" s="2" t="s">
        <v>13</v>
      </c>
      <c r="D3364" s="2" t="s">
        <v>12</v>
      </c>
      <c r="E3364" s="2"/>
      <c r="F3364" s="2" t="str">
        <f>HYPERLINK("http://m.12365auto.com/xcdg/20200224/419320.shtml","http://m.12365auto.com/xcdg/20200224/419320.shtml")</f>
        <v>http://m.12365auto.com/xcdg/20200224/419320.shtml</v>
      </c>
      <c r="G3364" s="2"/>
      <c r="H3364" s="2" t="s">
        <v>4774</v>
      </c>
      <c r="I3364" s="2" t="s">
        <v>19</v>
      </c>
      <c r="J3364" s="2" t="s">
        <v>4775</v>
      </c>
      <c r="K3364" s="2" t="s">
        <v>4772</v>
      </c>
      <c r="L3364" s="2">
        <f t="shared" si="52"/>
        <v>150</v>
      </c>
    </row>
    <row r="3365" spans="1:12" ht="25" customHeight="1">
      <c r="A3365" s="2" t="s">
        <v>12</v>
      </c>
      <c r="B3365" s="2" t="str">
        <f>HYPERLINK("http://bbs.12365auto.com/postcontent.aspx?tID=194919","前置后驱搭载V8 布加迪这款新车略显“寒酸”")</f>
        <v>前置后驱搭载V8 布加迪这款新车略显“寒酸”</v>
      </c>
      <c r="C3365" s="2" t="s">
        <v>13</v>
      </c>
      <c r="D3365" s="2" t="s">
        <v>12</v>
      </c>
      <c r="E3365" s="2" t="s">
        <v>28</v>
      </c>
      <c r="F3365" s="2" t="str">
        <f>HYPERLINK("http://bbs.12365auto.com/postcontent.aspx?tID=194919","http://bbs.12365auto.com/postcontent.aspx?tID=194919")</f>
        <v>http://bbs.12365auto.com/postcontent.aspx?tID=194919</v>
      </c>
      <c r="G3365" s="2"/>
      <c r="H3365" s="2" t="s">
        <v>4776</v>
      </c>
      <c r="I3365" s="2" t="s">
        <v>15</v>
      </c>
      <c r="J3365" s="2" t="s">
        <v>4760</v>
      </c>
      <c r="K3365" s="2" t="s">
        <v>4772</v>
      </c>
      <c r="L3365" s="2">
        <f t="shared" si="52"/>
        <v>150</v>
      </c>
    </row>
    <row r="3366" spans="1:12" ht="25" customHeight="1">
      <c r="A3366" s="2" t="s">
        <v>12</v>
      </c>
      <c r="B3366" s="2" t="str">
        <f>HYPERLINK("http://m.12365auto.com/bbs/postcontent.aspx?tID=194919","前置后驱搭载V8 布加迪这款新车略显“寒酸”")</f>
        <v>前置后驱搭载V8 布加迪这款新车略显“寒酸”</v>
      </c>
      <c r="C3366" s="2" t="s">
        <v>13</v>
      </c>
      <c r="D3366" s="2" t="s">
        <v>23</v>
      </c>
      <c r="E3366" s="2"/>
      <c r="F3366" s="2" t="str">
        <f>HYPERLINK("http://m.12365auto.com/bbs/postcontent.aspx?tID=194919","http://m.12365auto.com/bbs/postcontent.aspx?tID=194919")</f>
        <v>http://m.12365auto.com/bbs/postcontent.aspx?tID=194919</v>
      </c>
      <c r="G3366" s="2"/>
      <c r="H3366" s="2" t="s">
        <v>4771</v>
      </c>
      <c r="I3366" s="2" t="s">
        <v>15</v>
      </c>
      <c r="J3366" s="2" t="s">
        <v>4760</v>
      </c>
      <c r="K3366" s="2" t="s">
        <v>4772</v>
      </c>
      <c r="L3366" s="2">
        <f t="shared" si="52"/>
        <v>150</v>
      </c>
    </row>
    <row r="3367" spans="1:12" ht="25" customHeight="1">
      <c r="A3367" s="2" t="s">
        <v>12</v>
      </c>
      <c r="B3367" s="2" t="str">
        <f>HYPERLINK("http://bbs.12365auto.com/postcontent.aspx?tID=194917","这款被龙哥害停产的MPV 可能换脸复活 但感觉还是凉凉")</f>
        <v>这款被龙哥害停产的MPV 可能换脸复活 但感觉还是凉凉</v>
      </c>
      <c r="C3367" s="2" t="s">
        <v>13</v>
      </c>
      <c r="D3367" s="2" t="s">
        <v>12</v>
      </c>
      <c r="E3367" s="2" t="s">
        <v>28</v>
      </c>
      <c r="F3367" s="2" t="str">
        <f>HYPERLINK("http://bbs.12365auto.com/postcontent.aspx?tID=194917","http://bbs.12365auto.com/postcontent.aspx?tID=194917")</f>
        <v>http://bbs.12365auto.com/postcontent.aspx?tID=194917</v>
      </c>
      <c r="G3367" s="2"/>
      <c r="H3367" s="2" t="s">
        <v>4777</v>
      </c>
      <c r="I3367" s="2" t="s">
        <v>15</v>
      </c>
      <c r="J3367" s="2" t="s">
        <v>4760</v>
      </c>
      <c r="K3367" s="2" t="s">
        <v>4778</v>
      </c>
      <c r="L3367" s="2">
        <f t="shared" si="52"/>
        <v>150</v>
      </c>
    </row>
    <row r="3368" spans="1:12" ht="25" customHeight="1">
      <c r="A3368" s="2" t="s">
        <v>12</v>
      </c>
      <c r="B3368" s="2" t="str">
        <f>HYPERLINK("http://bbs.12365auto.com/postcontent.aspx?tId=194918","堪比头等舱的享受 2.5L混动+211匹马力 不香吗？")</f>
        <v>堪比头等舱的享受 2.5L混动+211匹马力 不香吗？</v>
      </c>
      <c r="C3368" s="2" t="s">
        <v>13</v>
      </c>
      <c r="D3368" s="2" t="s">
        <v>12</v>
      </c>
      <c r="E3368" s="2" t="s">
        <v>27</v>
      </c>
      <c r="F3368" s="2" t="str">
        <f>HYPERLINK("http://bbs.12365auto.com/postcontent.aspx?tId=194918","http://bbs.12365auto.com/postcontent.aspx?tId=194918")</f>
        <v>http://bbs.12365auto.com/postcontent.aspx?tId=194918</v>
      </c>
      <c r="G3368" s="2"/>
      <c r="H3368" s="2" t="s">
        <v>4779</v>
      </c>
      <c r="I3368" s="2" t="s">
        <v>15</v>
      </c>
      <c r="J3368" s="2" t="s">
        <v>4760</v>
      </c>
      <c r="K3368" s="2" t="s">
        <v>4778</v>
      </c>
      <c r="L3368" s="2">
        <f t="shared" si="52"/>
        <v>150</v>
      </c>
    </row>
    <row r="3369" spans="1:12" ht="25" customHeight="1">
      <c r="A3369" s="2" t="s">
        <v>12</v>
      </c>
      <c r="B3369" s="2" t="str">
        <f>HYPERLINK("http://www.12365auto.com/xcdg/20200224/419322.shtml","新卡罗拉Cross或更名Venza 将于2021年推出")</f>
        <v>新卡罗拉Cross或更名Venza 将于2021年推出</v>
      </c>
      <c r="C3369" s="2" t="s">
        <v>13</v>
      </c>
      <c r="D3369" s="2" t="s">
        <v>12</v>
      </c>
      <c r="E3369" s="2" t="s">
        <v>216</v>
      </c>
      <c r="F3369" s="2" t="str">
        <f>HYPERLINK("http://www.12365auto.com/xcdg/20200224/419322.shtml","http://www.12365auto.com/xcdg/20200224/419322.shtml")</f>
        <v>http://www.12365auto.com/xcdg/20200224/419322.shtml</v>
      </c>
      <c r="G3369" s="2"/>
      <c r="H3369" s="2" t="s">
        <v>4780</v>
      </c>
      <c r="I3369" s="2" t="s">
        <v>15</v>
      </c>
      <c r="J3369" s="2" t="s">
        <v>12</v>
      </c>
      <c r="K3369" s="2" t="s">
        <v>4778</v>
      </c>
      <c r="L3369" s="2">
        <f t="shared" si="52"/>
        <v>150</v>
      </c>
    </row>
    <row r="3370" spans="1:12" ht="25" customHeight="1">
      <c r="A3370" s="2" t="s">
        <v>12</v>
      </c>
      <c r="B3370" s="2" t="str">
        <f>HYPERLINK("http://m.12365auto.com/xcdg/20200224/419322.shtml","新卡罗拉Cross或更名Venza 将于2021年推出")</f>
        <v>新卡罗拉Cross或更名Venza 将于2021年推出</v>
      </c>
      <c r="C3370" s="2" t="s">
        <v>13</v>
      </c>
      <c r="D3370" s="2" t="s">
        <v>12</v>
      </c>
      <c r="E3370" s="2"/>
      <c r="F3370" s="2" t="str">
        <f>HYPERLINK("http://m.12365auto.com/xcdg/20200224/419322.shtml","http://m.12365auto.com/xcdg/20200224/419322.shtml")</f>
        <v>http://m.12365auto.com/xcdg/20200224/419322.shtml</v>
      </c>
      <c r="G3370" s="2"/>
      <c r="H3370" s="2" t="s">
        <v>4781</v>
      </c>
      <c r="I3370" s="2" t="s">
        <v>19</v>
      </c>
      <c r="J3370" s="2" t="s">
        <v>1241</v>
      </c>
      <c r="K3370" s="2" t="s">
        <v>4778</v>
      </c>
      <c r="L3370" s="2">
        <f t="shared" si="52"/>
        <v>150</v>
      </c>
    </row>
    <row r="3371" spans="1:12" ht="25" customHeight="1">
      <c r="A3371" s="2" t="s">
        <v>12</v>
      </c>
      <c r="B3371" s="2" t="str">
        <f>HYPERLINK("http://bbs.12365auto.com/postcontent.aspx?tId=194917","这款被龙哥害停产的MPV 可能换脸复活 但感觉还是凉凉")</f>
        <v>这款被龙哥害停产的MPV 可能换脸复活 但感觉还是凉凉</v>
      </c>
      <c r="C3371" s="2" t="s">
        <v>13</v>
      </c>
      <c r="D3371" s="2" t="s">
        <v>12</v>
      </c>
      <c r="E3371" s="2" t="s">
        <v>27</v>
      </c>
      <c r="F3371" s="2" t="str">
        <f>HYPERLINK("http://bbs.12365auto.com/postcontent.aspx?tId=194917","http://bbs.12365auto.com/postcontent.aspx?tId=194917")</f>
        <v>http://bbs.12365auto.com/postcontent.aspx?tId=194917</v>
      </c>
      <c r="G3371" s="2"/>
      <c r="H3371" s="2" t="s">
        <v>4782</v>
      </c>
      <c r="I3371" s="2" t="s">
        <v>15</v>
      </c>
      <c r="J3371" s="2" t="s">
        <v>4760</v>
      </c>
      <c r="K3371" s="2" t="s">
        <v>4778</v>
      </c>
      <c r="L3371" s="2">
        <f t="shared" si="52"/>
        <v>150</v>
      </c>
    </row>
    <row r="3372" spans="1:12" ht="25" customHeight="1">
      <c r="A3372" s="2" t="s">
        <v>12</v>
      </c>
      <c r="B3372" s="2" t="str">
        <f>HYPERLINK("http://www.12365auto.com/news/20200224/419319.shtml","一汽红旗1月销售1.26万辆 激增142.7%")</f>
        <v>一汽红旗1月销售1.26万辆 激增142.7%</v>
      </c>
      <c r="C3372" s="2" t="s">
        <v>13</v>
      </c>
      <c r="D3372" s="2" t="s">
        <v>12</v>
      </c>
      <c r="E3372" s="2" t="s">
        <v>276</v>
      </c>
      <c r="F3372" s="2" t="str">
        <f>HYPERLINK("http://www.12365auto.com/news/20200224/419319.shtml","http://www.12365auto.com/news/20200224/419319.shtml")</f>
        <v>http://www.12365auto.com/news/20200224/419319.shtml</v>
      </c>
      <c r="G3372" s="2"/>
      <c r="H3372" s="2" t="s">
        <v>4783</v>
      </c>
      <c r="I3372" s="2" t="s">
        <v>15</v>
      </c>
      <c r="J3372" s="2" t="s">
        <v>12</v>
      </c>
      <c r="K3372" s="2" t="s">
        <v>4778</v>
      </c>
      <c r="L3372" s="2">
        <f t="shared" si="52"/>
        <v>150</v>
      </c>
    </row>
    <row r="3373" spans="1:12" ht="25" customHeight="1">
      <c r="A3373" s="2" t="s">
        <v>12</v>
      </c>
      <c r="B3373" s="2" t="str">
        <f>HYPERLINK("http://m.12365auto.com/news/20200224/419319.shtml","一汽红旗1月销售1.26万辆 激增142.7%")</f>
        <v>一汽红旗1月销售1.26万辆 激增142.7%</v>
      </c>
      <c r="C3373" s="2" t="s">
        <v>13</v>
      </c>
      <c r="D3373" s="2" t="s">
        <v>12</v>
      </c>
      <c r="E3373" s="2"/>
      <c r="F3373" s="2" t="str">
        <f>HYPERLINK("http://m.12365auto.com/news/20200224/419319.shtml","http://m.12365auto.com/news/20200224/419319.shtml")</f>
        <v>http://m.12365auto.com/news/20200224/419319.shtml</v>
      </c>
      <c r="G3373" s="2"/>
      <c r="H3373" s="2" t="s">
        <v>4784</v>
      </c>
      <c r="I3373" s="2" t="s">
        <v>19</v>
      </c>
      <c r="J3373" s="2" t="s">
        <v>1205</v>
      </c>
      <c r="K3373" s="2" t="s">
        <v>4778</v>
      </c>
      <c r="L3373" s="2">
        <f t="shared" si="52"/>
        <v>150</v>
      </c>
    </row>
    <row r="3374" spans="1:12" ht="25" customHeight="1">
      <c r="A3374" s="2" t="s">
        <v>12</v>
      </c>
      <c r="B3374" s="2" t="str">
        <f>HYPERLINK("http://bbs.12365auto.com/postcontent.aspx?tID=194918","堪比头等舱的享受 2.5L混动+211匹马力 不香吗？")</f>
        <v>堪比头等舱的享受 2.5L混动+211匹马力 不香吗？</v>
      </c>
      <c r="C3374" s="2" t="s">
        <v>13</v>
      </c>
      <c r="D3374" s="2" t="s">
        <v>12</v>
      </c>
      <c r="E3374" s="2" t="s">
        <v>28</v>
      </c>
      <c r="F3374" s="2" t="str">
        <f>HYPERLINK("http://bbs.12365auto.com/postcontent.aspx?tID=194918","http://bbs.12365auto.com/postcontent.aspx?tID=194918")</f>
        <v>http://bbs.12365auto.com/postcontent.aspx?tID=194918</v>
      </c>
      <c r="G3374" s="2"/>
      <c r="H3374" s="2" t="s">
        <v>4785</v>
      </c>
      <c r="I3374" s="2" t="s">
        <v>15</v>
      </c>
      <c r="J3374" s="2" t="s">
        <v>4760</v>
      </c>
      <c r="K3374" s="2" t="s">
        <v>4778</v>
      </c>
      <c r="L3374" s="2">
        <f t="shared" si="52"/>
        <v>150</v>
      </c>
    </row>
    <row r="3375" spans="1:12" ht="25" customHeight="1">
      <c r="A3375" s="2" t="s">
        <v>12</v>
      </c>
      <c r="B3375" s="2" t="str">
        <f>HYPERLINK("http://m.12365auto.com/bbs/postcontent.aspx?tID=194918","堪比头等舱的享受 2.5L混动+211匹马力 不香吗？")</f>
        <v>堪比头等舱的享受 2.5L混动+211匹马力 不香吗？</v>
      </c>
      <c r="C3375" s="2" t="s">
        <v>13</v>
      </c>
      <c r="D3375" s="2" t="s">
        <v>23</v>
      </c>
      <c r="E3375" s="2"/>
      <c r="F3375" s="2" t="str">
        <f>HYPERLINK("http://m.12365auto.com/bbs/postcontent.aspx?tID=194918","http://m.12365auto.com/bbs/postcontent.aspx?tID=194918")</f>
        <v>http://m.12365auto.com/bbs/postcontent.aspx?tID=194918</v>
      </c>
      <c r="G3375" s="2"/>
      <c r="H3375" s="2" t="s">
        <v>4779</v>
      </c>
      <c r="I3375" s="2" t="s">
        <v>15</v>
      </c>
      <c r="J3375" s="2" t="s">
        <v>4760</v>
      </c>
      <c r="K3375" s="2" t="s">
        <v>4778</v>
      </c>
      <c r="L3375" s="2">
        <f t="shared" si="52"/>
        <v>150</v>
      </c>
    </row>
    <row r="3376" spans="1:12" ht="25" customHeight="1">
      <c r="A3376" s="2" t="s">
        <v>12</v>
      </c>
      <c r="B3376" s="2" t="str">
        <f>HYPERLINK("http://m.12365auto.com/bbs/postcontent.aspx?tID=194917","这款被龙哥害停产的MPV 可能换脸复活 但感觉还是凉凉")</f>
        <v>这款被龙哥害停产的MPV 可能换脸复活 但感觉还是凉凉</v>
      </c>
      <c r="C3376" s="2" t="s">
        <v>13</v>
      </c>
      <c r="D3376" s="2" t="s">
        <v>23</v>
      </c>
      <c r="E3376" s="2"/>
      <c r="F3376" s="2" t="str">
        <f>HYPERLINK("http://m.12365auto.com/bbs/postcontent.aspx?tID=194917","http://m.12365auto.com/bbs/postcontent.aspx?tID=194917")</f>
        <v>http://m.12365auto.com/bbs/postcontent.aspx?tID=194917</v>
      </c>
      <c r="G3376" s="2"/>
      <c r="H3376" s="2" t="s">
        <v>4782</v>
      </c>
      <c r="I3376" s="2" t="s">
        <v>15</v>
      </c>
      <c r="J3376" s="2" t="s">
        <v>4760</v>
      </c>
      <c r="K3376" s="2" t="s">
        <v>4778</v>
      </c>
      <c r="L3376" s="2">
        <f t="shared" si="52"/>
        <v>150</v>
      </c>
    </row>
    <row r="3377" spans="1:12" ht="25" customHeight="1">
      <c r="A3377" s="2" t="s">
        <v>12</v>
      </c>
      <c r="B3377" s="2" t="str">
        <f>HYPERLINK("http://bbs.12365auto.com/postcontent.aspx?tID=194916","603马力输出 GLE 63 S Coupe一看就不好惹")</f>
        <v>603马力输出 GLE 63 S Coupe一看就不好惹</v>
      </c>
      <c r="C3377" s="2" t="s">
        <v>13</v>
      </c>
      <c r="D3377" s="2" t="s">
        <v>12</v>
      </c>
      <c r="E3377" s="2" t="s">
        <v>28</v>
      </c>
      <c r="F3377" s="2" t="str">
        <f>HYPERLINK("http://bbs.12365auto.com/postcontent.aspx?tID=194916","http://bbs.12365auto.com/postcontent.aspx?tID=194916")</f>
        <v>http://bbs.12365auto.com/postcontent.aspx?tID=194916</v>
      </c>
      <c r="G3377" s="2"/>
      <c r="H3377" s="2" t="s">
        <v>4786</v>
      </c>
      <c r="I3377" s="2" t="s">
        <v>15</v>
      </c>
      <c r="J3377" s="2" t="s">
        <v>4760</v>
      </c>
      <c r="K3377" s="2" t="s">
        <v>4787</v>
      </c>
      <c r="L3377" s="2">
        <f t="shared" si="52"/>
        <v>150</v>
      </c>
    </row>
    <row r="3378" spans="1:12" ht="25" customHeight="1">
      <c r="A3378" s="2" t="s">
        <v>12</v>
      </c>
      <c r="B3378" s="2" t="str">
        <f>HYPERLINK("http://bbs.12365auto.com/postcontent.aspx?tID=194915","左手实用右手情怀 品质生活必选瓦罐 30万旅行车推荐")</f>
        <v>左手实用右手情怀 品质生活必选瓦罐 30万旅行车推荐</v>
      </c>
      <c r="C3378" s="2" t="s">
        <v>13</v>
      </c>
      <c r="D3378" s="2" t="s">
        <v>12</v>
      </c>
      <c r="E3378" s="2" t="s">
        <v>28</v>
      </c>
      <c r="F3378" s="2" t="str">
        <f>HYPERLINK("http://bbs.12365auto.com/postcontent.aspx?tID=194915","http://bbs.12365auto.com/postcontent.aspx?tID=194915")</f>
        <v>http://bbs.12365auto.com/postcontent.aspx?tID=194915</v>
      </c>
      <c r="G3378" s="2"/>
      <c r="H3378" s="2" t="s">
        <v>4788</v>
      </c>
      <c r="I3378" s="2" t="s">
        <v>15</v>
      </c>
      <c r="J3378" s="2" t="s">
        <v>4760</v>
      </c>
      <c r="K3378" s="2" t="s">
        <v>4787</v>
      </c>
      <c r="L3378" s="2">
        <f t="shared" si="52"/>
        <v>150</v>
      </c>
    </row>
    <row r="3379" spans="1:12" ht="25" customHeight="1">
      <c r="A3379" s="2" t="s">
        <v>12</v>
      </c>
      <c r="B3379" s="2" t="str">
        <f>HYPERLINK("http://www.12365auto.com/xcdg/20200224/419323.shtml","推多种版本 大众第五代开迪正式发布")</f>
        <v>推多种版本 大众第五代开迪正式发布</v>
      </c>
      <c r="C3379" s="2" t="s">
        <v>13</v>
      </c>
      <c r="D3379" s="2" t="s">
        <v>12</v>
      </c>
      <c r="E3379" s="2" t="s">
        <v>216</v>
      </c>
      <c r="F3379" s="2" t="str">
        <f>HYPERLINK("http://www.12365auto.com/xcdg/20200224/419323.shtml","http://www.12365auto.com/xcdg/20200224/419323.shtml")</f>
        <v>http://www.12365auto.com/xcdg/20200224/419323.shtml</v>
      </c>
      <c r="G3379" s="2"/>
      <c r="H3379" s="2" t="s">
        <v>4789</v>
      </c>
      <c r="I3379" s="2" t="s">
        <v>15</v>
      </c>
      <c r="J3379" s="2" t="s">
        <v>12</v>
      </c>
      <c r="K3379" s="2" t="s">
        <v>4787</v>
      </c>
      <c r="L3379" s="2">
        <f t="shared" si="52"/>
        <v>150</v>
      </c>
    </row>
    <row r="3380" spans="1:12" ht="25" customHeight="1">
      <c r="A3380" s="2" t="s">
        <v>12</v>
      </c>
      <c r="B3380" s="2" t="str">
        <f>HYPERLINK("http://bbs.12365auto.com/postcontent.aspx?tId=194915","左手实用右手情怀 品质生活必选瓦罐 30万旅行车推荐")</f>
        <v>左手实用右手情怀 品质生活必选瓦罐 30万旅行车推荐</v>
      </c>
      <c r="C3380" s="2" t="s">
        <v>13</v>
      </c>
      <c r="D3380" s="2" t="s">
        <v>12</v>
      </c>
      <c r="E3380" s="2" t="s">
        <v>27</v>
      </c>
      <c r="F3380" s="2" t="str">
        <f>HYPERLINK("http://bbs.12365auto.com/postcontent.aspx?tId=194915","http://bbs.12365auto.com/postcontent.aspx?tId=194915")</f>
        <v>http://bbs.12365auto.com/postcontent.aspx?tId=194915</v>
      </c>
      <c r="G3380" s="2"/>
      <c r="H3380" s="2" t="s">
        <v>4790</v>
      </c>
      <c r="I3380" s="2" t="s">
        <v>15</v>
      </c>
      <c r="J3380" s="2" t="s">
        <v>4760</v>
      </c>
      <c r="K3380" s="2" t="s">
        <v>4787</v>
      </c>
      <c r="L3380" s="2">
        <f t="shared" si="52"/>
        <v>150</v>
      </c>
    </row>
    <row r="3381" spans="1:12" ht="25" customHeight="1">
      <c r="A3381" s="2" t="s">
        <v>12</v>
      </c>
      <c r="B3381" s="2" t="str">
        <f>HYPERLINK("http://bbs.12365auto.com/postcontent.aspx?tId=194916","603马力输出 GLE 63 S Coupe一看就不好惹")</f>
        <v>603马力输出 GLE 63 S Coupe一看就不好惹</v>
      </c>
      <c r="C3381" s="2" t="s">
        <v>13</v>
      </c>
      <c r="D3381" s="2" t="s">
        <v>12</v>
      </c>
      <c r="E3381" s="2" t="s">
        <v>27</v>
      </c>
      <c r="F3381" s="2" t="str">
        <f>HYPERLINK("http://bbs.12365auto.com/postcontent.aspx?tId=194916","http://bbs.12365auto.com/postcontent.aspx?tId=194916")</f>
        <v>http://bbs.12365auto.com/postcontent.aspx?tId=194916</v>
      </c>
      <c r="G3381" s="2"/>
      <c r="H3381" s="2" t="s">
        <v>4791</v>
      </c>
      <c r="I3381" s="2" t="s">
        <v>15</v>
      </c>
      <c r="J3381" s="2" t="s">
        <v>4760</v>
      </c>
      <c r="K3381" s="2" t="s">
        <v>4787</v>
      </c>
      <c r="L3381" s="2">
        <f t="shared" si="52"/>
        <v>150</v>
      </c>
    </row>
    <row r="3382" spans="1:12" ht="25" customHeight="1">
      <c r="A3382" s="2" t="s">
        <v>12</v>
      </c>
      <c r="B3382" s="2" t="str">
        <f>HYPERLINK("http://www.12365auto.com/news/20200224/419318.shtml","长城汽车2019年营收超964亿 净利润45亿")</f>
        <v>长城汽车2019年营收超964亿 净利润45亿</v>
      </c>
      <c r="C3382" s="2" t="s">
        <v>13</v>
      </c>
      <c r="D3382" s="2" t="s">
        <v>12</v>
      </c>
      <c r="E3382" s="2" t="s">
        <v>276</v>
      </c>
      <c r="F3382" s="2" t="str">
        <f>HYPERLINK("http://www.12365auto.com/news/20200224/419318.shtml","http://www.12365auto.com/news/20200224/419318.shtml")</f>
        <v>http://www.12365auto.com/news/20200224/419318.shtml</v>
      </c>
      <c r="G3382" s="2"/>
      <c r="H3382" s="2" t="s">
        <v>4792</v>
      </c>
      <c r="I3382" s="2" t="s">
        <v>15</v>
      </c>
      <c r="J3382" s="2" t="s">
        <v>12</v>
      </c>
      <c r="K3382" s="2" t="s">
        <v>4787</v>
      </c>
      <c r="L3382" s="2">
        <f t="shared" si="52"/>
        <v>150</v>
      </c>
    </row>
    <row r="3383" spans="1:12" ht="25" customHeight="1">
      <c r="A3383" s="2" t="s">
        <v>12</v>
      </c>
      <c r="B3383" s="2" t="str">
        <f>HYPERLINK("http://m.12365auto.com/news/20200224/419318.shtml","长城汽车2019年营收超964亿 净利润45亿")</f>
        <v>长城汽车2019年营收超964亿 净利润45亿</v>
      </c>
      <c r="C3383" s="2" t="s">
        <v>13</v>
      </c>
      <c r="D3383" s="2" t="s">
        <v>12</v>
      </c>
      <c r="E3383" s="2"/>
      <c r="F3383" s="2" t="str">
        <f>HYPERLINK("http://m.12365auto.com/news/20200224/419318.shtml","http://m.12365auto.com/news/20200224/419318.shtml")</f>
        <v>http://m.12365auto.com/news/20200224/419318.shtml</v>
      </c>
      <c r="G3383" s="2"/>
      <c r="H3383" s="2" t="s">
        <v>4793</v>
      </c>
      <c r="I3383" s="2" t="s">
        <v>19</v>
      </c>
      <c r="J3383" s="2" t="s">
        <v>1205</v>
      </c>
      <c r="K3383" s="2" t="s">
        <v>4787</v>
      </c>
      <c r="L3383" s="2">
        <f t="shared" si="52"/>
        <v>150</v>
      </c>
    </row>
    <row r="3384" spans="1:12" ht="25" customHeight="1">
      <c r="A3384" s="2" t="s">
        <v>12</v>
      </c>
      <c r="B3384" s="2" t="str">
        <f>HYPERLINK("http://m.12365auto.com/bbs/postcontent.aspx?tID=194916","603马力输出 GLE 63 S Coupe一看就不好惹")</f>
        <v>603马力输出 GLE 63 S Coupe一看就不好惹</v>
      </c>
      <c r="C3384" s="2" t="s">
        <v>13</v>
      </c>
      <c r="D3384" s="2" t="s">
        <v>23</v>
      </c>
      <c r="E3384" s="2"/>
      <c r="F3384" s="2" t="str">
        <f>HYPERLINK("http://m.12365auto.com/bbs/postcontent.aspx?tID=194916","http://m.12365auto.com/bbs/postcontent.aspx?tID=194916")</f>
        <v>http://m.12365auto.com/bbs/postcontent.aspx?tID=194916</v>
      </c>
      <c r="G3384" s="2"/>
      <c r="H3384" s="2" t="s">
        <v>4791</v>
      </c>
      <c r="I3384" s="2" t="s">
        <v>15</v>
      </c>
      <c r="J3384" s="2" t="s">
        <v>4760</v>
      </c>
      <c r="K3384" s="2" t="s">
        <v>4787</v>
      </c>
      <c r="L3384" s="2">
        <f t="shared" si="52"/>
        <v>150</v>
      </c>
    </row>
    <row r="3385" spans="1:12" ht="25" customHeight="1">
      <c r="A3385" s="2" t="s">
        <v>12</v>
      </c>
      <c r="B3385" s="2" t="str">
        <f>HYPERLINK("http://m.12365auto.com/bbs/postcontent.aspx?tID=194915","左手实用右手情怀 品质生活必选瓦罐 30万旅行车推荐")</f>
        <v>左手实用右手情怀 品质生活必选瓦罐 30万旅行车推荐</v>
      </c>
      <c r="C3385" s="2" t="s">
        <v>13</v>
      </c>
      <c r="D3385" s="2" t="s">
        <v>23</v>
      </c>
      <c r="E3385" s="2"/>
      <c r="F3385" s="2" t="str">
        <f>HYPERLINK("http://m.12365auto.com/bbs/postcontent.aspx?tID=194915","http://m.12365auto.com/bbs/postcontent.aspx?tID=194915")</f>
        <v>http://m.12365auto.com/bbs/postcontent.aspx?tID=194915</v>
      </c>
      <c r="G3385" s="2"/>
      <c r="H3385" s="2" t="s">
        <v>4790</v>
      </c>
      <c r="I3385" s="2" t="s">
        <v>15</v>
      </c>
      <c r="J3385" s="2" t="s">
        <v>4760</v>
      </c>
      <c r="K3385" s="2" t="s">
        <v>4787</v>
      </c>
      <c r="L3385" s="2">
        <f t="shared" si="52"/>
        <v>150</v>
      </c>
    </row>
    <row r="3386" spans="1:12" ht="25" customHeight="1">
      <c r="A3386" s="2" t="s">
        <v>12</v>
      </c>
      <c r="B3386" s="2" t="str">
        <f>HYPERLINK("http://m.12365auto.com/xcdg/20200224/419323.shtml","推多种版本 大众第五代开迪正式发布")</f>
        <v>推多种版本 大众第五代开迪正式发布</v>
      </c>
      <c r="C3386" s="2" t="s">
        <v>13</v>
      </c>
      <c r="D3386" s="2" t="s">
        <v>12</v>
      </c>
      <c r="E3386" s="2"/>
      <c r="F3386" s="2" t="str">
        <f>HYPERLINK("http://m.12365auto.com/xcdg/20200224/419323.shtml","http://m.12365auto.com/xcdg/20200224/419323.shtml")</f>
        <v>http://m.12365auto.com/xcdg/20200224/419323.shtml</v>
      </c>
      <c r="G3386" s="2"/>
      <c r="H3386" s="2" t="s">
        <v>4794</v>
      </c>
      <c r="I3386" s="2" t="s">
        <v>19</v>
      </c>
      <c r="J3386" s="2" t="s">
        <v>371</v>
      </c>
      <c r="K3386" s="2" t="s">
        <v>4787</v>
      </c>
      <c r="L3386" s="2">
        <f t="shared" si="52"/>
        <v>150</v>
      </c>
    </row>
    <row r="3387" spans="1:12" ht="25" customHeight="1">
      <c r="A3387" s="2" t="s">
        <v>12</v>
      </c>
      <c r="B3387" s="2" t="str">
        <f>HYPERLINK("http://bbs.12365auto.com/postcontent.aspx?tID=194914","车内最容易脏最容易有细菌的这几个地方如何清洗？")</f>
        <v>车内最容易脏最容易有细菌的这几个地方如何清洗？</v>
      </c>
      <c r="C3387" s="2" t="s">
        <v>13</v>
      </c>
      <c r="D3387" s="2" t="s">
        <v>12</v>
      </c>
      <c r="E3387" s="2" t="s">
        <v>28</v>
      </c>
      <c r="F3387" s="2" t="str">
        <f>HYPERLINK("http://bbs.12365auto.com/postcontent.aspx?tID=194914","http://bbs.12365auto.com/postcontent.aspx?tID=194914")</f>
        <v>http://bbs.12365auto.com/postcontent.aspx?tID=194914</v>
      </c>
      <c r="G3387" s="2"/>
      <c r="H3387" s="2" t="s">
        <v>4795</v>
      </c>
      <c r="I3387" s="2" t="s">
        <v>15</v>
      </c>
      <c r="J3387" s="2" t="s">
        <v>4760</v>
      </c>
      <c r="K3387" s="2" t="s">
        <v>4796</v>
      </c>
      <c r="L3387" s="2">
        <f t="shared" si="52"/>
        <v>150</v>
      </c>
    </row>
    <row r="3388" spans="1:12" ht="25" customHeight="1">
      <c r="A3388" s="2" t="s">
        <v>12</v>
      </c>
      <c r="B3388" s="2" t="str">
        <f>HYPERLINK("http://bbs.12365auto.com/postcontent.aspx?tId=194914","车内最容易脏最容易有细菌的这几个地方如何清洗？")</f>
        <v>车内最容易脏最容易有细菌的这几个地方如何清洗？</v>
      </c>
      <c r="C3388" s="2" t="s">
        <v>13</v>
      </c>
      <c r="D3388" s="2" t="s">
        <v>12</v>
      </c>
      <c r="E3388" s="2" t="s">
        <v>27</v>
      </c>
      <c r="F3388" s="2" t="str">
        <f>HYPERLINK("http://bbs.12365auto.com/postcontent.aspx?tId=194914","http://bbs.12365auto.com/postcontent.aspx?tId=194914")</f>
        <v>http://bbs.12365auto.com/postcontent.aspx?tId=194914</v>
      </c>
      <c r="G3388" s="2"/>
      <c r="H3388" s="2" t="s">
        <v>4797</v>
      </c>
      <c r="I3388" s="2" t="s">
        <v>15</v>
      </c>
      <c r="J3388" s="2" t="s">
        <v>4760</v>
      </c>
      <c r="K3388" s="2" t="s">
        <v>4796</v>
      </c>
      <c r="L3388" s="2">
        <f t="shared" si="52"/>
        <v>150</v>
      </c>
    </row>
    <row r="3389" spans="1:12" ht="25" customHeight="1">
      <c r="A3389" s="2" t="s">
        <v>12</v>
      </c>
      <c r="B3389" s="2" t="str">
        <f>HYPERLINK("http://m.12365auto.com/bbs/postcontent.aspx?tID=194914","车内最容易脏最容易有细菌的这几个地方如何清洗？")</f>
        <v>车内最容易脏最容易有细菌的这几个地方如何清洗？</v>
      </c>
      <c r="C3389" s="2" t="s">
        <v>13</v>
      </c>
      <c r="D3389" s="2" t="s">
        <v>23</v>
      </c>
      <c r="E3389" s="2"/>
      <c r="F3389" s="2" t="str">
        <f>HYPERLINK("http://m.12365auto.com/bbs/postcontent.aspx?tID=194914","http://m.12365auto.com/bbs/postcontent.aspx?tID=194914")</f>
        <v>http://m.12365auto.com/bbs/postcontent.aspx?tID=194914</v>
      </c>
      <c r="G3389" s="2"/>
      <c r="H3389" s="2" t="s">
        <v>4797</v>
      </c>
      <c r="I3389" s="2" t="s">
        <v>15</v>
      </c>
      <c r="J3389" s="2" t="s">
        <v>4760</v>
      </c>
      <c r="K3389" s="2" t="s">
        <v>4796</v>
      </c>
      <c r="L3389" s="2">
        <f t="shared" si="52"/>
        <v>150</v>
      </c>
    </row>
    <row r="3390" spans="1:12" ht="25" customHeight="1">
      <c r="A3390" s="2" t="s">
        <v>12</v>
      </c>
      <c r="B3390" s="2" t="str">
        <f>HYPERLINK("http://bbs.12365auto.com/postcontent.aspx?tID=194913","玛莎拉蒂全新跑车官方命名MC20正式公布")</f>
        <v>玛莎拉蒂全新跑车官方命名MC20正式公布</v>
      </c>
      <c r="C3390" s="2" t="s">
        <v>13</v>
      </c>
      <c r="D3390" s="2" t="s">
        <v>12</v>
      </c>
      <c r="E3390" s="2" t="s">
        <v>28</v>
      </c>
      <c r="F3390" s="2" t="str">
        <f>HYPERLINK("http://bbs.12365auto.com/postcontent.aspx?tID=194913","http://bbs.12365auto.com/postcontent.aspx?tID=194913")</f>
        <v>http://bbs.12365auto.com/postcontent.aspx?tID=194913</v>
      </c>
      <c r="G3390" s="2"/>
      <c r="H3390" s="2" t="s">
        <v>4798</v>
      </c>
      <c r="I3390" s="2" t="s">
        <v>15</v>
      </c>
      <c r="J3390" s="2" t="s">
        <v>4760</v>
      </c>
      <c r="K3390" s="2" t="s">
        <v>4799</v>
      </c>
      <c r="L3390" s="2">
        <f t="shared" si="52"/>
        <v>150</v>
      </c>
    </row>
    <row r="3391" spans="1:12" ht="25" customHeight="1">
      <c r="A3391" s="2" t="s">
        <v>12</v>
      </c>
      <c r="B3391" s="2" t="str">
        <f>HYPERLINK("http://bbs.12365auto.com/postcontent.aspx?tID=194912","新能源扶持或将延续 国内电动车补贴有望延长？")</f>
        <v>新能源扶持或将延续 国内电动车补贴有望延长？</v>
      </c>
      <c r="C3391" s="2" t="s">
        <v>13</v>
      </c>
      <c r="D3391" s="2" t="s">
        <v>12</v>
      </c>
      <c r="E3391" s="2" t="s">
        <v>28</v>
      </c>
      <c r="F3391" s="2" t="str">
        <f>HYPERLINK("http://bbs.12365auto.com/postcontent.aspx?tID=194912","http://bbs.12365auto.com/postcontent.aspx?tID=194912")</f>
        <v>http://bbs.12365auto.com/postcontent.aspx?tID=194912</v>
      </c>
      <c r="G3391" s="2"/>
      <c r="H3391" s="2" t="s">
        <v>4800</v>
      </c>
      <c r="I3391" s="2" t="s">
        <v>15</v>
      </c>
      <c r="J3391" s="2" t="s">
        <v>4760</v>
      </c>
      <c r="K3391" s="2" t="s">
        <v>4799</v>
      </c>
      <c r="L3391" s="2">
        <f t="shared" si="52"/>
        <v>150</v>
      </c>
    </row>
    <row r="3392" spans="1:12" ht="25" customHeight="1">
      <c r="A3392" s="2" t="s">
        <v>12</v>
      </c>
      <c r="B3392" s="2" t="str">
        <f>HYPERLINK("http://bbs.12365auto.com/postcontent.aspx?tId=194913","玛莎拉蒂全新跑车官方命名MC20正式公布")</f>
        <v>玛莎拉蒂全新跑车官方命名MC20正式公布</v>
      </c>
      <c r="C3392" s="2" t="s">
        <v>13</v>
      </c>
      <c r="D3392" s="2" t="s">
        <v>12</v>
      </c>
      <c r="E3392" s="2" t="s">
        <v>27</v>
      </c>
      <c r="F3392" s="2" t="str">
        <f>HYPERLINK("http://bbs.12365auto.com/postcontent.aspx?tId=194913","http://bbs.12365auto.com/postcontent.aspx?tId=194913")</f>
        <v>http://bbs.12365auto.com/postcontent.aspx?tId=194913</v>
      </c>
      <c r="G3392" s="2"/>
      <c r="H3392" s="2" t="s">
        <v>4801</v>
      </c>
      <c r="I3392" s="2" t="s">
        <v>15</v>
      </c>
      <c r="J3392" s="2" t="s">
        <v>4760</v>
      </c>
      <c r="K3392" s="2" t="s">
        <v>4799</v>
      </c>
      <c r="L3392" s="2">
        <f t="shared" si="52"/>
        <v>150</v>
      </c>
    </row>
    <row r="3393" spans="1:12" ht="25" customHeight="1">
      <c r="A3393" s="2" t="s">
        <v>12</v>
      </c>
      <c r="B3393" s="2" t="str">
        <f>HYPERLINK("http://bbs.12365auto.com/postcontent.aspx?tId=194912","新能源扶持或将延续 国内电动车补贴有望延长？")</f>
        <v>新能源扶持或将延续 国内电动车补贴有望延长？</v>
      </c>
      <c r="C3393" s="2" t="s">
        <v>13</v>
      </c>
      <c r="D3393" s="2" t="s">
        <v>12</v>
      </c>
      <c r="E3393" s="2" t="s">
        <v>27</v>
      </c>
      <c r="F3393" s="2" t="str">
        <f>HYPERLINK("http://bbs.12365auto.com/postcontent.aspx?tId=194912","http://bbs.12365auto.com/postcontent.aspx?tId=194912")</f>
        <v>http://bbs.12365auto.com/postcontent.aspx?tId=194912</v>
      </c>
      <c r="G3393" s="2"/>
      <c r="H3393" s="2" t="s">
        <v>4802</v>
      </c>
      <c r="I3393" s="2" t="s">
        <v>15</v>
      </c>
      <c r="J3393" s="2" t="s">
        <v>4760</v>
      </c>
      <c r="K3393" s="2" t="s">
        <v>4799</v>
      </c>
      <c r="L3393" s="2">
        <f t="shared" si="52"/>
        <v>150</v>
      </c>
    </row>
    <row r="3394" spans="1:12" ht="25" customHeight="1">
      <c r="A3394" s="2" t="s">
        <v>12</v>
      </c>
      <c r="B3394" s="2" t="str">
        <f>HYPERLINK("http://m.12365auto.com/bbs/postcontent.aspx?tID=194912","新能源扶持或将延续 国内电动车补贴有望延长？")</f>
        <v>新能源扶持或将延续 国内电动车补贴有望延长？</v>
      </c>
      <c r="C3394" s="2" t="s">
        <v>13</v>
      </c>
      <c r="D3394" s="2" t="s">
        <v>23</v>
      </c>
      <c r="E3394" s="2"/>
      <c r="F3394" s="2" t="str">
        <f>HYPERLINK("http://m.12365auto.com/bbs/postcontent.aspx?tID=194912","http://m.12365auto.com/bbs/postcontent.aspx?tID=194912")</f>
        <v>http://m.12365auto.com/bbs/postcontent.aspx?tID=194912</v>
      </c>
      <c r="G3394" s="2"/>
      <c r="H3394" s="2" t="s">
        <v>4802</v>
      </c>
      <c r="I3394" s="2" t="s">
        <v>15</v>
      </c>
      <c r="J3394" s="2" t="s">
        <v>4760</v>
      </c>
      <c r="K3394" s="2" t="s">
        <v>4799</v>
      </c>
      <c r="L3394" s="2">
        <f t="shared" si="52"/>
        <v>150</v>
      </c>
    </row>
    <row r="3395" spans="1:12" ht="25" customHeight="1">
      <c r="A3395" s="2" t="s">
        <v>12</v>
      </c>
      <c r="B3395" s="2" t="str">
        <f>HYPERLINK("http://m.12365auto.com/bbs/postcontent.aspx?tID=194913","玛莎拉蒂全新跑车官方命名MC20正式公布")</f>
        <v>玛莎拉蒂全新跑车官方命名MC20正式公布</v>
      </c>
      <c r="C3395" s="2" t="s">
        <v>13</v>
      </c>
      <c r="D3395" s="2" t="s">
        <v>23</v>
      </c>
      <c r="E3395" s="2"/>
      <c r="F3395" s="2" t="str">
        <f>HYPERLINK("http://m.12365auto.com/bbs/postcontent.aspx?tID=194913","http://m.12365auto.com/bbs/postcontent.aspx?tID=194913")</f>
        <v>http://m.12365auto.com/bbs/postcontent.aspx?tID=194913</v>
      </c>
      <c r="G3395" s="2"/>
      <c r="H3395" s="2" t="s">
        <v>4801</v>
      </c>
      <c r="I3395" s="2" t="s">
        <v>15</v>
      </c>
      <c r="J3395" s="2" t="s">
        <v>4760</v>
      </c>
      <c r="K3395" s="2" t="s">
        <v>4799</v>
      </c>
      <c r="L3395" s="2">
        <f t="shared" ref="L3395:L3458" si="53">LEN(H3395)</f>
        <v>150</v>
      </c>
    </row>
    <row r="3396" spans="1:12" ht="25" customHeight="1">
      <c r="A3396" s="2" t="s">
        <v>12</v>
      </c>
      <c r="B3396" s="2" t="str">
        <f>HYPERLINK("http://www.12365auto.com/news/20200224/419317.shtml","袁小华揭秘 广汽本田1月如何实现双增长")</f>
        <v>袁小华揭秘 广汽本田1月如何实现双增长</v>
      </c>
      <c r="C3396" s="2" t="s">
        <v>13</v>
      </c>
      <c r="D3396" s="2" t="s">
        <v>12</v>
      </c>
      <c r="E3396" s="2" t="s">
        <v>276</v>
      </c>
      <c r="F3396" s="2" t="str">
        <f>HYPERLINK("http://www.12365auto.com/news/20200224/419317.shtml","http://www.12365auto.com/news/20200224/419317.shtml")</f>
        <v>http://www.12365auto.com/news/20200224/419317.shtml</v>
      </c>
      <c r="G3396" s="2"/>
      <c r="H3396" s="2" t="s">
        <v>4803</v>
      </c>
      <c r="I3396" s="2" t="s">
        <v>15</v>
      </c>
      <c r="J3396" s="2" t="s">
        <v>12</v>
      </c>
      <c r="K3396" s="2" t="s">
        <v>4804</v>
      </c>
      <c r="L3396" s="2">
        <f t="shared" si="53"/>
        <v>150</v>
      </c>
    </row>
    <row r="3397" spans="1:12" ht="25" customHeight="1">
      <c r="A3397" s="2" t="s">
        <v>12</v>
      </c>
      <c r="B3397" s="2" t="str">
        <f>HYPERLINK("http://m.12365auto.com/news/20200224/419317.shtml","袁小华揭秘 广汽本田1月如何实现双增长")</f>
        <v>袁小华揭秘 广汽本田1月如何实现双增长</v>
      </c>
      <c r="C3397" s="2" t="s">
        <v>13</v>
      </c>
      <c r="D3397" s="2" t="s">
        <v>12</v>
      </c>
      <c r="E3397" s="2"/>
      <c r="F3397" s="2" t="str">
        <f>HYPERLINK("http://m.12365auto.com/news/20200224/419317.shtml","http://m.12365auto.com/news/20200224/419317.shtml")</f>
        <v>http://m.12365auto.com/news/20200224/419317.shtml</v>
      </c>
      <c r="G3397" s="2"/>
      <c r="H3397" s="2" t="s">
        <v>4805</v>
      </c>
      <c r="I3397" s="2" t="s">
        <v>19</v>
      </c>
      <c r="J3397" s="2" t="s">
        <v>751</v>
      </c>
      <c r="K3397" s="2" t="s">
        <v>4804</v>
      </c>
      <c r="L3397" s="2">
        <f t="shared" si="53"/>
        <v>150</v>
      </c>
    </row>
    <row r="3398" spans="1:12" ht="25" customHeight="1">
      <c r="A3398" s="2" t="s">
        <v>12</v>
      </c>
      <c r="B3398" s="2" t="str">
        <f>HYPERLINK("http://bbs.12365auto.com/postcontent.aspx?tID=194911","跨界轿跑SUV 爱驰U6 ion设计草图发布")</f>
        <v>跨界轿跑SUV 爱驰U6 ion设计草图发布</v>
      </c>
      <c r="C3398" s="2" t="s">
        <v>13</v>
      </c>
      <c r="D3398" s="2" t="s">
        <v>12</v>
      </c>
      <c r="E3398" s="2" t="s">
        <v>28</v>
      </c>
      <c r="F3398" s="2" t="str">
        <f>HYPERLINK("http://bbs.12365auto.com/postcontent.aspx?tID=194911","http://bbs.12365auto.com/postcontent.aspx?tID=194911")</f>
        <v>http://bbs.12365auto.com/postcontent.aspx?tID=194911</v>
      </c>
      <c r="G3398" s="2"/>
      <c r="H3398" s="2" t="s">
        <v>4806</v>
      </c>
      <c r="I3398" s="2" t="s">
        <v>15</v>
      </c>
      <c r="J3398" s="2" t="s">
        <v>4760</v>
      </c>
      <c r="K3398" s="2" t="s">
        <v>4804</v>
      </c>
      <c r="L3398" s="2">
        <f t="shared" si="53"/>
        <v>150</v>
      </c>
    </row>
    <row r="3399" spans="1:12" ht="25" customHeight="1">
      <c r="A3399" s="2" t="s">
        <v>12</v>
      </c>
      <c r="B3399" s="2" t="str">
        <f>HYPERLINK("http://bbs.12365auto.com/postcontent.aspx?tId=194911","跨界轿跑SUV 爱驰U6 ion设计草图发布")</f>
        <v>跨界轿跑SUV 爱驰U6 ion设计草图发布</v>
      </c>
      <c r="C3399" s="2" t="s">
        <v>13</v>
      </c>
      <c r="D3399" s="2" t="s">
        <v>12</v>
      </c>
      <c r="E3399" s="2" t="s">
        <v>27</v>
      </c>
      <c r="F3399" s="2" t="str">
        <f>HYPERLINK("http://bbs.12365auto.com/postcontent.aspx?tId=194911","http://bbs.12365auto.com/postcontent.aspx?tId=194911")</f>
        <v>http://bbs.12365auto.com/postcontent.aspx?tId=194911</v>
      </c>
      <c r="G3399" s="2"/>
      <c r="H3399" s="2" t="s">
        <v>4807</v>
      </c>
      <c r="I3399" s="2" t="s">
        <v>15</v>
      </c>
      <c r="J3399" s="2" t="s">
        <v>4760</v>
      </c>
      <c r="K3399" s="2" t="s">
        <v>4804</v>
      </c>
      <c r="L3399" s="2">
        <f t="shared" si="53"/>
        <v>150</v>
      </c>
    </row>
    <row r="3400" spans="1:12" ht="25" customHeight="1">
      <c r="A3400" s="2" t="s">
        <v>12</v>
      </c>
      <c r="B3400" s="2" t="str">
        <f>HYPERLINK("http://m.12365auto.com/bbs/postcontent.aspx?tID=194911","跨界轿跑SUV 爱驰U6 ion设计草图发布")</f>
        <v>跨界轿跑SUV 爱驰U6 ion设计草图发布</v>
      </c>
      <c r="C3400" s="2" t="s">
        <v>13</v>
      </c>
      <c r="D3400" s="2" t="s">
        <v>23</v>
      </c>
      <c r="E3400" s="2"/>
      <c r="F3400" s="2" t="str">
        <f>HYPERLINK("http://m.12365auto.com/bbs/postcontent.aspx?tID=194911","http://m.12365auto.com/bbs/postcontent.aspx?tID=194911")</f>
        <v>http://m.12365auto.com/bbs/postcontent.aspx?tID=194911</v>
      </c>
      <c r="G3400" s="2"/>
      <c r="H3400" s="2" t="s">
        <v>4807</v>
      </c>
      <c r="I3400" s="2" t="s">
        <v>15</v>
      </c>
      <c r="J3400" s="2" t="s">
        <v>4760</v>
      </c>
      <c r="K3400" s="2" t="s">
        <v>4804</v>
      </c>
      <c r="L3400" s="2">
        <f t="shared" si="53"/>
        <v>150</v>
      </c>
    </row>
    <row r="3401" spans="1:12" ht="25" customHeight="1">
      <c r="A3401" s="2" t="s">
        <v>12</v>
      </c>
      <c r="B3401" s="2" t="str">
        <f>HYPERLINK("http://www.12365auto.com/news/20200224/419316.shtml","大众冯思翰：根据市场情况调整新车投放")</f>
        <v>大众冯思翰：根据市场情况调整新车投放</v>
      </c>
      <c r="C3401" s="2" t="s">
        <v>13</v>
      </c>
      <c r="D3401" s="2" t="s">
        <v>12</v>
      </c>
      <c r="E3401" s="2" t="s">
        <v>276</v>
      </c>
      <c r="F3401" s="2" t="str">
        <f>HYPERLINK("http://www.12365auto.com/news/20200224/419316.shtml","http://www.12365auto.com/news/20200224/419316.shtml")</f>
        <v>http://www.12365auto.com/news/20200224/419316.shtml</v>
      </c>
      <c r="G3401" s="2"/>
      <c r="H3401" s="2" t="s">
        <v>4808</v>
      </c>
      <c r="I3401" s="2" t="s">
        <v>15</v>
      </c>
      <c r="J3401" s="2" t="s">
        <v>12</v>
      </c>
      <c r="K3401" s="2" t="s">
        <v>4809</v>
      </c>
      <c r="L3401" s="2">
        <f t="shared" si="53"/>
        <v>150</v>
      </c>
    </row>
    <row r="3402" spans="1:12" ht="25" customHeight="1">
      <c r="A3402" s="2" t="s">
        <v>12</v>
      </c>
      <c r="B3402" s="2" t="str">
        <f>HYPERLINK("http://m.12365auto.com/news/20200224/419316.shtml","大众冯思翰：根据市场情况调整新车投放")</f>
        <v>大众冯思翰：根据市场情况调整新车投放</v>
      </c>
      <c r="C3402" s="2" t="s">
        <v>13</v>
      </c>
      <c r="D3402" s="2" t="s">
        <v>12</v>
      </c>
      <c r="E3402" s="2"/>
      <c r="F3402" s="2" t="str">
        <f>HYPERLINK("http://m.12365auto.com/news/20200224/419316.shtml","http://m.12365auto.com/news/20200224/419316.shtml")</f>
        <v>http://m.12365auto.com/news/20200224/419316.shtml</v>
      </c>
      <c r="G3402" s="2"/>
      <c r="H3402" s="2" t="s">
        <v>4810</v>
      </c>
      <c r="I3402" s="2" t="s">
        <v>19</v>
      </c>
      <c r="J3402" s="2" t="s">
        <v>751</v>
      </c>
      <c r="K3402" s="2" t="s">
        <v>4809</v>
      </c>
      <c r="L3402" s="2">
        <f t="shared" si="53"/>
        <v>150</v>
      </c>
    </row>
    <row r="3403" spans="1:12" ht="25" customHeight="1">
      <c r="A3403" s="2" t="s">
        <v>12</v>
      </c>
      <c r="B3403" s="2" t="str">
        <f>HYPERLINK("http://www.12365auto.com/news/20200224/419314.shtml","杭州：部分小客车指标有效期延长6个月")</f>
        <v>杭州：部分小客车指标有效期延长6个月</v>
      </c>
      <c r="C3403" s="2" t="s">
        <v>13</v>
      </c>
      <c r="D3403" s="2" t="s">
        <v>12</v>
      </c>
      <c r="E3403" s="2" t="s">
        <v>276</v>
      </c>
      <c r="F3403" s="2" t="str">
        <f>HYPERLINK("http://www.12365auto.com/news/20200224/419314.shtml","http://www.12365auto.com/news/20200224/419314.shtml")</f>
        <v>http://www.12365auto.com/news/20200224/419314.shtml</v>
      </c>
      <c r="G3403" s="2"/>
      <c r="H3403" s="2" t="s">
        <v>4811</v>
      </c>
      <c r="I3403" s="2" t="s">
        <v>15</v>
      </c>
      <c r="J3403" s="2" t="s">
        <v>12</v>
      </c>
      <c r="K3403" s="2" t="s">
        <v>4812</v>
      </c>
      <c r="L3403" s="2">
        <f t="shared" si="53"/>
        <v>150</v>
      </c>
    </row>
    <row r="3404" spans="1:12" ht="25" customHeight="1">
      <c r="A3404" s="2" t="s">
        <v>12</v>
      </c>
      <c r="B3404" s="2" t="str">
        <f>HYPERLINK("http://m.12365auto.com/news/20200224/419314.shtml","杭州：部分小客车指标有效期延长6个月")</f>
        <v>杭州：部分小客车指标有效期延长6个月</v>
      </c>
      <c r="C3404" s="2" t="s">
        <v>13</v>
      </c>
      <c r="D3404" s="2" t="s">
        <v>12</v>
      </c>
      <c r="E3404" s="2"/>
      <c r="F3404" s="2" t="str">
        <f>HYPERLINK("http://m.12365auto.com/news/20200224/419314.shtml","http://m.12365auto.com/news/20200224/419314.shtml")</f>
        <v>http://m.12365auto.com/news/20200224/419314.shtml</v>
      </c>
      <c r="G3404" s="2"/>
      <c r="H3404" s="2" t="s">
        <v>4813</v>
      </c>
      <c r="I3404" s="2" t="s">
        <v>19</v>
      </c>
      <c r="J3404" s="2" t="s">
        <v>1222</v>
      </c>
      <c r="K3404" s="2" t="s">
        <v>4812</v>
      </c>
      <c r="L3404" s="2">
        <f t="shared" si="53"/>
        <v>150</v>
      </c>
    </row>
    <row r="3405" spans="1:12" ht="25" customHeight="1">
      <c r="A3405" s="2" t="s">
        <v>12</v>
      </c>
      <c r="B3405" s="2" t="str">
        <f>HYPERLINK("http://www.12365auto.com/news/20200224/419313.shtml","东风乘用车颜宏斌：疫情下营销迎新机遇")</f>
        <v>东风乘用车颜宏斌：疫情下营销迎新机遇</v>
      </c>
      <c r="C3405" s="2" t="s">
        <v>13</v>
      </c>
      <c r="D3405" s="2" t="s">
        <v>12</v>
      </c>
      <c r="E3405" s="2" t="s">
        <v>276</v>
      </c>
      <c r="F3405" s="2" t="str">
        <f>HYPERLINK("http://www.12365auto.com/news/20200224/419313.shtml","http://www.12365auto.com/news/20200224/419313.shtml")</f>
        <v>http://www.12365auto.com/news/20200224/419313.shtml</v>
      </c>
      <c r="G3405" s="2"/>
      <c r="H3405" s="2" t="s">
        <v>4814</v>
      </c>
      <c r="I3405" s="2" t="s">
        <v>15</v>
      </c>
      <c r="J3405" s="2" t="s">
        <v>12</v>
      </c>
      <c r="K3405" s="2" t="s">
        <v>4815</v>
      </c>
      <c r="L3405" s="2">
        <f t="shared" si="53"/>
        <v>150</v>
      </c>
    </row>
    <row r="3406" spans="1:12" ht="25" customHeight="1">
      <c r="A3406" s="2" t="s">
        <v>12</v>
      </c>
      <c r="B3406" s="2" t="str">
        <f>HYPERLINK("http://m.12365auto.com/news/20200224/419313.shtml","东风乘用车颜宏斌：疫情下营销迎新机遇")</f>
        <v>东风乘用车颜宏斌：疫情下营销迎新机遇</v>
      </c>
      <c r="C3406" s="2" t="s">
        <v>13</v>
      </c>
      <c r="D3406" s="2" t="s">
        <v>12</v>
      </c>
      <c r="E3406" s="2"/>
      <c r="F3406" s="2" t="str">
        <f>HYPERLINK("http://m.12365auto.com/news/20200224/419313.shtml","http://m.12365auto.com/news/20200224/419313.shtml")</f>
        <v>http://m.12365auto.com/news/20200224/419313.shtml</v>
      </c>
      <c r="G3406" s="2"/>
      <c r="H3406" s="2" t="s">
        <v>4816</v>
      </c>
      <c r="I3406" s="2" t="s">
        <v>19</v>
      </c>
      <c r="J3406" s="2" t="s">
        <v>1218</v>
      </c>
      <c r="K3406" s="2" t="s">
        <v>4815</v>
      </c>
      <c r="L3406" s="2">
        <f t="shared" si="53"/>
        <v>150</v>
      </c>
    </row>
    <row r="3407" spans="1:12" ht="25" customHeight="1">
      <c r="A3407" s="2" t="s">
        <v>12</v>
      </c>
      <c r="B3407" s="2" t="str">
        <f>HYPERLINK("http://m.12365auto.com/news/20200224/419312.shtml","健康依旧是重点 车艳华解析沃尔沃举措")</f>
        <v>健康依旧是重点 车艳华解析沃尔沃举措</v>
      </c>
      <c r="C3407" s="2" t="s">
        <v>13</v>
      </c>
      <c r="D3407" s="2" t="s">
        <v>12</v>
      </c>
      <c r="E3407" s="2"/>
      <c r="F3407" s="2" t="str">
        <f>HYPERLINK("http://m.12365auto.com/news/20200224/419312.shtml","http://m.12365auto.com/news/20200224/419312.shtml")</f>
        <v>http://m.12365auto.com/news/20200224/419312.shtml</v>
      </c>
      <c r="G3407" s="2"/>
      <c r="H3407" s="2" t="s">
        <v>4817</v>
      </c>
      <c r="I3407" s="2" t="s">
        <v>19</v>
      </c>
      <c r="J3407" s="2" t="s">
        <v>1657</v>
      </c>
      <c r="K3407" s="2" t="s">
        <v>4818</v>
      </c>
      <c r="L3407" s="2">
        <f t="shared" si="53"/>
        <v>150</v>
      </c>
    </row>
    <row r="3408" spans="1:12" ht="25" customHeight="1">
      <c r="A3408" s="2" t="s">
        <v>12</v>
      </c>
      <c r="B3408" s="2" t="str">
        <f>HYPERLINK("http://www.12365auto.com/news/20200224/419312.shtml","健康依旧是重点 车艳华解析沃尔沃举措")</f>
        <v>健康依旧是重点 车艳华解析沃尔沃举措</v>
      </c>
      <c r="C3408" s="2" t="s">
        <v>13</v>
      </c>
      <c r="D3408" s="2" t="s">
        <v>12</v>
      </c>
      <c r="E3408" s="2" t="s">
        <v>276</v>
      </c>
      <c r="F3408" s="2" t="str">
        <f>HYPERLINK("http://www.12365auto.com/news/20200224/419312.shtml","http://www.12365auto.com/news/20200224/419312.shtml")</f>
        <v>http://www.12365auto.com/news/20200224/419312.shtml</v>
      </c>
      <c r="G3408" s="2"/>
      <c r="H3408" s="2" t="s">
        <v>4817</v>
      </c>
      <c r="I3408" s="2" t="s">
        <v>15</v>
      </c>
      <c r="J3408" s="2" t="s">
        <v>12</v>
      </c>
      <c r="K3408" s="2" t="s">
        <v>4818</v>
      </c>
      <c r="L3408" s="2">
        <f t="shared" si="53"/>
        <v>150</v>
      </c>
    </row>
    <row r="3409" spans="1:12" ht="25" customHeight="1">
      <c r="A3409" s="2" t="s">
        <v>12</v>
      </c>
      <c r="B3409" s="2" t="str">
        <f>HYPERLINK("http://www.12365auto.com/zlts/20200224/448423.shtml","一汽丰田威驰1100转左右时发动机有异响")</f>
        <v>一汽丰田威驰1100转左右时发动机有异响</v>
      </c>
      <c r="C3409" s="2" t="s">
        <v>13</v>
      </c>
      <c r="D3409" s="2" t="s">
        <v>12</v>
      </c>
      <c r="E3409" s="2" t="s">
        <v>17</v>
      </c>
      <c r="F3409" s="2" t="str">
        <f>HYPERLINK("http://www.12365auto.com/zlts/20200224/448423.shtml","http://www.12365auto.com/zlts/20200224/448423.shtml")</f>
        <v>http://www.12365auto.com/zlts/20200224/448423.shtml</v>
      </c>
      <c r="G3409" s="2"/>
      <c r="H3409" s="2" t="s">
        <v>4819</v>
      </c>
      <c r="I3409" s="2" t="s">
        <v>19</v>
      </c>
      <c r="J3409" s="2" t="s">
        <v>12</v>
      </c>
      <c r="K3409" s="2" t="s">
        <v>4820</v>
      </c>
      <c r="L3409" s="2">
        <f t="shared" si="53"/>
        <v>150</v>
      </c>
    </row>
    <row r="3410" spans="1:12" ht="25" customHeight="1">
      <c r="A3410" s="2" t="s">
        <v>12</v>
      </c>
      <c r="B3410" s="2" t="str">
        <f>HYPERLINK("http://www.12365auto.com/news/20200224/419311.shtml","领克：为全国车主免费更换CN95空调滤芯")</f>
        <v>领克：为全国车主免费更换CN95空调滤芯</v>
      </c>
      <c r="C3410" s="2" t="s">
        <v>13</v>
      </c>
      <c r="D3410" s="2" t="s">
        <v>12</v>
      </c>
      <c r="E3410" s="2" t="s">
        <v>276</v>
      </c>
      <c r="F3410" s="2" t="str">
        <f>HYPERLINK("http://www.12365auto.com/news/20200224/419311.shtml","http://www.12365auto.com/news/20200224/419311.shtml")</f>
        <v>http://www.12365auto.com/news/20200224/419311.shtml</v>
      </c>
      <c r="G3410" s="2"/>
      <c r="H3410" s="2" t="s">
        <v>4821</v>
      </c>
      <c r="I3410" s="2" t="s">
        <v>15</v>
      </c>
      <c r="J3410" s="2" t="s">
        <v>12</v>
      </c>
      <c r="K3410" s="2" t="s">
        <v>4822</v>
      </c>
      <c r="L3410" s="2">
        <f t="shared" si="53"/>
        <v>150</v>
      </c>
    </row>
    <row r="3411" spans="1:12" ht="25" customHeight="1">
      <c r="A3411" s="2" t="s">
        <v>12</v>
      </c>
      <c r="B3411" s="2" t="str">
        <f>HYPERLINK("http://m.12365auto.com/news/20200224/419311.shtml","领克：为全国车主免费更换CN95空调滤芯")</f>
        <v>领克：为全国车主免费更换CN95空调滤芯</v>
      </c>
      <c r="C3411" s="2" t="s">
        <v>13</v>
      </c>
      <c r="D3411" s="2" t="s">
        <v>12</v>
      </c>
      <c r="E3411" s="2"/>
      <c r="F3411" s="2" t="str">
        <f>HYPERLINK("http://m.12365auto.com/news/20200224/419311.shtml","http://m.12365auto.com/news/20200224/419311.shtml")</f>
        <v>http://m.12365auto.com/news/20200224/419311.shtml</v>
      </c>
      <c r="G3411" s="2"/>
      <c r="H3411" s="2" t="s">
        <v>4823</v>
      </c>
      <c r="I3411" s="2" t="s">
        <v>19</v>
      </c>
      <c r="J3411" s="2" t="s">
        <v>1222</v>
      </c>
      <c r="K3411" s="2" t="s">
        <v>4822</v>
      </c>
      <c r="L3411" s="2">
        <f t="shared" si="53"/>
        <v>150</v>
      </c>
    </row>
    <row r="3412" spans="1:12" ht="25" customHeight="1">
      <c r="A3412" s="2" t="s">
        <v>12</v>
      </c>
      <c r="B3412" s="2" t="str">
        <f>HYPERLINK("http://www.12365auto.com/xcdg/20200224/419310.shtml","玛莎拉蒂全新跑车定名MC20 五月底首发")</f>
        <v>玛莎拉蒂全新跑车定名MC20 五月底首发</v>
      </c>
      <c r="C3412" s="2" t="s">
        <v>13</v>
      </c>
      <c r="D3412" s="2" t="s">
        <v>12</v>
      </c>
      <c r="E3412" s="2" t="s">
        <v>216</v>
      </c>
      <c r="F3412" s="2" t="str">
        <f>HYPERLINK("http://www.12365auto.com/xcdg/20200224/419310.shtml","http://www.12365auto.com/xcdg/20200224/419310.shtml")</f>
        <v>http://www.12365auto.com/xcdg/20200224/419310.shtml</v>
      </c>
      <c r="G3412" s="2"/>
      <c r="H3412" s="2" t="s">
        <v>4824</v>
      </c>
      <c r="I3412" s="2" t="s">
        <v>15</v>
      </c>
      <c r="J3412" s="2" t="s">
        <v>12</v>
      </c>
      <c r="K3412" s="2" t="s">
        <v>4825</v>
      </c>
      <c r="L3412" s="2">
        <f t="shared" si="53"/>
        <v>150</v>
      </c>
    </row>
    <row r="3413" spans="1:12" ht="25" customHeight="1">
      <c r="A3413" s="2" t="s">
        <v>12</v>
      </c>
      <c r="B3413" s="2" t="str">
        <f>HYPERLINK("http://m.12365auto.com/xcdg/20200224/419310.shtml","玛莎拉蒂全新跑车定名MC20 五月底首发")</f>
        <v>玛莎拉蒂全新跑车定名MC20 五月底首发</v>
      </c>
      <c r="C3413" s="2" t="s">
        <v>13</v>
      </c>
      <c r="D3413" s="2" t="s">
        <v>12</v>
      </c>
      <c r="E3413" s="2"/>
      <c r="F3413" s="2" t="str">
        <f>HYPERLINK("http://m.12365auto.com/xcdg/20200224/419310.shtml","http://m.12365auto.com/xcdg/20200224/419310.shtml")</f>
        <v>http://m.12365auto.com/xcdg/20200224/419310.shtml</v>
      </c>
      <c r="G3413" s="2"/>
      <c r="H3413" s="2" t="s">
        <v>4826</v>
      </c>
      <c r="I3413" s="2" t="s">
        <v>19</v>
      </c>
      <c r="J3413" s="2" t="s">
        <v>1222</v>
      </c>
      <c r="K3413" s="2" t="s">
        <v>4825</v>
      </c>
      <c r="L3413" s="2">
        <f t="shared" si="53"/>
        <v>150</v>
      </c>
    </row>
    <row r="3414" spans="1:12" ht="25" customHeight="1">
      <c r="A3414" s="2" t="s">
        <v>12</v>
      </c>
      <c r="B3414" s="2" t="str">
        <f>HYPERLINK("http://www.12365auto.com/xcdg/20200224/419309.shtml","标致Landtrek官图 主打实用的皮卡车型")</f>
        <v>标致Landtrek官图 主打实用的皮卡车型</v>
      </c>
      <c r="C3414" s="2" t="s">
        <v>13</v>
      </c>
      <c r="D3414" s="2" t="s">
        <v>12</v>
      </c>
      <c r="E3414" s="2" t="s">
        <v>216</v>
      </c>
      <c r="F3414" s="2" t="str">
        <f>HYPERLINK("http://www.12365auto.com/xcdg/20200224/419309.shtml","http://www.12365auto.com/xcdg/20200224/419309.shtml")</f>
        <v>http://www.12365auto.com/xcdg/20200224/419309.shtml</v>
      </c>
      <c r="G3414" s="2"/>
      <c r="H3414" s="2" t="s">
        <v>4827</v>
      </c>
      <c r="I3414" s="2" t="s">
        <v>15</v>
      </c>
      <c r="J3414" s="2" t="s">
        <v>12</v>
      </c>
      <c r="K3414" s="2" t="s">
        <v>4828</v>
      </c>
      <c r="L3414" s="2">
        <f t="shared" si="53"/>
        <v>150</v>
      </c>
    </row>
    <row r="3415" spans="1:12" ht="25" customHeight="1">
      <c r="A3415" s="2" t="s">
        <v>12</v>
      </c>
      <c r="B3415" s="2" t="str">
        <f>HYPERLINK("http://m.12365auto.com/xcdg/20200224/419309.shtml","标致Landtrek官图 主打实用的皮卡车型")</f>
        <v>标致Landtrek官图 主打实用的皮卡车型</v>
      </c>
      <c r="C3415" s="2" t="s">
        <v>13</v>
      </c>
      <c r="D3415" s="2" t="s">
        <v>12</v>
      </c>
      <c r="E3415" s="2"/>
      <c r="F3415" s="2" t="str">
        <f>HYPERLINK("http://m.12365auto.com/xcdg/20200224/419309.shtml","http://m.12365auto.com/xcdg/20200224/419309.shtml")</f>
        <v>http://m.12365auto.com/xcdg/20200224/419309.shtml</v>
      </c>
      <c r="G3415" s="2"/>
      <c r="H3415" s="2" t="s">
        <v>4829</v>
      </c>
      <c r="I3415" s="2" t="s">
        <v>19</v>
      </c>
      <c r="J3415" s="2" t="s">
        <v>1657</v>
      </c>
      <c r="K3415" s="2" t="s">
        <v>4828</v>
      </c>
      <c r="L3415" s="2">
        <f t="shared" si="53"/>
        <v>150</v>
      </c>
    </row>
    <row r="3416" spans="1:12" ht="25" customHeight="1">
      <c r="A3416" s="2" t="s">
        <v>12</v>
      </c>
      <c r="B3416" s="2" t="str">
        <f>HYPERLINK("http://www.12365auto.com/news/20200224/419315.shtml","提供更多技术 马自达未来两年不推全新车型")</f>
        <v>提供更多技术 马自达未来两年不推全新车型</v>
      </c>
      <c r="C3416" s="2" t="s">
        <v>13</v>
      </c>
      <c r="D3416" s="2" t="s">
        <v>12</v>
      </c>
      <c r="E3416" s="2" t="s">
        <v>276</v>
      </c>
      <c r="F3416" s="2" t="str">
        <f>HYPERLINK("http://www.12365auto.com/news/20200224/419315.shtml","http://www.12365auto.com/news/20200224/419315.shtml")</f>
        <v>http://www.12365auto.com/news/20200224/419315.shtml</v>
      </c>
      <c r="G3416" s="2"/>
      <c r="H3416" s="2" t="s">
        <v>4830</v>
      </c>
      <c r="I3416" s="2" t="s">
        <v>15</v>
      </c>
      <c r="J3416" s="2" t="s">
        <v>12</v>
      </c>
      <c r="K3416" s="2" t="s">
        <v>4831</v>
      </c>
      <c r="L3416" s="2">
        <f t="shared" si="53"/>
        <v>150</v>
      </c>
    </row>
    <row r="3417" spans="1:12" ht="25" customHeight="1">
      <c r="A3417" s="2" t="s">
        <v>12</v>
      </c>
      <c r="B3417" s="2" t="str">
        <f>HYPERLINK("http://www.12365auto.com/xcdg/20200224/419308.shtml","总统的新座驾？ DS发布全新车型预告图")</f>
        <v>总统的新座驾？ DS发布全新车型预告图</v>
      </c>
      <c r="C3417" s="2" t="s">
        <v>13</v>
      </c>
      <c r="D3417" s="2" t="s">
        <v>12</v>
      </c>
      <c r="E3417" s="2" t="s">
        <v>216</v>
      </c>
      <c r="F3417" s="2" t="str">
        <f>HYPERLINK("http://www.12365auto.com/xcdg/20200224/419308.shtml","http://www.12365auto.com/xcdg/20200224/419308.shtml")</f>
        <v>http://www.12365auto.com/xcdg/20200224/419308.shtml</v>
      </c>
      <c r="G3417" s="2"/>
      <c r="H3417" s="2" t="s">
        <v>4832</v>
      </c>
      <c r="I3417" s="2" t="s">
        <v>15</v>
      </c>
      <c r="J3417" s="2" t="s">
        <v>12</v>
      </c>
      <c r="K3417" s="2" t="s">
        <v>4833</v>
      </c>
      <c r="L3417" s="2">
        <f t="shared" si="53"/>
        <v>150</v>
      </c>
    </row>
    <row r="3418" spans="1:12" ht="25" customHeight="1">
      <c r="A3418" s="2" t="s">
        <v>12</v>
      </c>
      <c r="B3418" s="2" t="str">
        <f>HYPERLINK("http://m.12365auto.com/xcdg/20200224/419308.shtml","总统的新座驾？ DS发布全新车型预告图")</f>
        <v>总统的新座驾？ DS发布全新车型预告图</v>
      </c>
      <c r="C3418" s="2" t="s">
        <v>13</v>
      </c>
      <c r="D3418" s="2" t="s">
        <v>12</v>
      </c>
      <c r="E3418" s="2"/>
      <c r="F3418" s="2" t="str">
        <f>HYPERLINK("http://m.12365auto.com/xcdg/20200224/419308.shtml","http://m.12365auto.com/xcdg/20200224/419308.shtml")</f>
        <v>http://m.12365auto.com/xcdg/20200224/419308.shtml</v>
      </c>
      <c r="G3418" s="2"/>
      <c r="H3418" s="2" t="s">
        <v>4834</v>
      </c>
      <c r="I3418" s="2" t="s">
        <v>19</v>
      </c>
      <c r="J3418" s="2" t="s">
        <v>1222</v>
      </c>
      <c r="K3418" s="2" t="s">
        <v>4833</v>
      </c>
      <c r="L3418" s="2">
        <f t="shared" si="53"/>
        <v>150</v>
      </c>
    </row>
    <row r="3419" spans="1:12" ht="25" customHeight="1">
      <c r="A3419" s="2" t="s">
        <v>12</v>
      </c>
      <c r="B3419" s="2" t="str">
        <f>HYPERLINK("http://www.12365auto.com/xcdg/20200224/419307.shtml","新一代高尔夫GTI预告图 日内瓦车展亮相")</f>
        <v>新一代高尔夫GTI预告图 日内瓦车展亮相</v>
      </c>
      <c r="C3419" s="2" t="s">
        <v>13</v>
      </c>
      <c r="D3419" s="2" t="s">
        <v>12</v>
      </c>
      <c r="E3419" s="2" t="s">
        <v>216</v>
      </c>
      <c r="F3419" s="2" t="str">
        <f>HYPERLINK("http://www.12365auto.com/xcdg/20200224/419307.shtml","http://www.12365auto.com/xcdg/20200224/419307.shtml")</f>
        <v>http://www.12365auto.com/xcdg/20200224/419307.shtml</v>
      </c>
      <c r="G3419" s="2"/>
      <c r="H3419" s="2" t="s">
        <v>4835</v>
      </c>
      <c r="I3419" s="2" t="s">
        <v>15</v>
      </c>
      <c r="J3419" s="2" t="s">
        <v>12</v>
      </c>
      <c r="K3419" s="2" t="s">
        <v>4836</v>
      </c>
      <c r="L3419" s="2">
        <f t="shared" si="53"/>
        <v>150</v>
      </c>
    </row>
    <row r="3420" spans="1:12" ht="25" customHeight="1">
      <c r="A3420" s="2" t="s">
        <v>12</v>
      </c>
      <c r="B3420" s="2" t="str">
        <f>HYPERLINK("http://m.12365auto.com/xcdg/20200224/419307.shtml","新一代高尔夫GTI预告图 日内瓦车展亮相")</f>
        <v>新一代高尔夫GTI预告图 日内瓦车展亮相</v>
      </c>
      <c r="C3420" s="2" t="s">
        <v>13</v>
      </c>
      <c r="D3420" s="2" t="s">
        <v>12</v>
      </c>
      <c r="E3420" s="2"/>
      <c r="F3420" s="2" t="str">
        <f>HYPERLINK("http://m.12365auto.com/xcdg/20200224/419307.shtml","http://m.12365auto.com/xcdg/20200224/419307.shtml")</f>
        <v>http://m.12365auto.com/xcdg/20200224/419307.shtml</v>
      </c>
      <c r="G3420" s="2"/>
      <c r="H3420" s="2" t="s">
        <v>4837</v>
      </c>
      <c r="I3420" s="2" t="s">
        <v>19</v>
      </c>
      <c r="J3420" s="2" t="s">
        <v>1657</v>
      </c>
      <c r="K3420" s="2" t="s">
        <v>4836</v>
      </c>
      <c r="L3420" s="2">
        <f t="shared" si="53"/>
        <v>150</v>
      </c>
    </row>
    <row r="3421" spans="1:12" ht="25" customHeight="1">
      <c r="A3421" s="2" t="s">
        <v>12</v>
      </c>
      <c r="B3421" s="2" t="str">
        <f>HYPERLINK("http://bbs.12365auto.com/postcontent.aspx?tID=194909","新车君威出现无法正常启动")</f>
        <v>新车君威出现无法正常启动</v>
      </c>
      <c r="C3421" s="2" t="s">
        <v>13</v>
      </c>
      <c r="D3421" s="2" t="s">
        <v>12</v>
      </c>
      <c r="E3421" s="2" t="s">
        <v>67</v>
      </c>
      <c r="F3421" s="2" t="str">
        <f>HYPERLINK("http://bbs.12365auto.com/postcontent.aspx?tID=194909","http://bbs.12365auto.com/postcontent.aspx?tID=194909")</f>
        <v>http://bbs.12365auto.com/postcontent.aspx?tID=194909</v>
      </c>
      <c r="G3421" s="2"/>
      <c r="H3421" s="2" t="s">
        <v>4838</v>
      </c>
      <c r="I3421" s="2" t="s">
        <v>15</v>
      </c>
      <c r="J3421" s="2" t="s">
        <v>4839</v>
      </c>
      <c r="K3421" s="2" t="s">
        <v>4840</v>
      </c>
      <c r="L3421" s="2">
        <f t="shared" si="53"/>
        <v>69</v>
      </c>
    </row>
    <row r="3422" spans="1:12" ht="25" customHeight="1">
      <c r="A3422" s="2" t="s">
        <v>12</v>
      </c>
      <c r="B3422" s="2" t="str">
        <f>HYPERLINK("http://www.12365auto.com/xcdg/20200224/419328.shtml","性能小钢炮 西雅特Cupra LEON ST官图发布")</f>
        <v>性能小钢炮 西雅特Cupra LEON ST官图发布</v>
      </c>
      <c r="C3422" s="2" t="s">
        <v>13</v>
      </c>
      <c r="D3422" s="2" t="s">
        <v>12</v>
      </c>
      <c r="E3422" s="2" t="s">
        <v>216</v>
      </c>
      <c r="F3422" s="2" t="str">
        <f>HYPERLINK("http://www.12365auto.com/xcdg/20200224/419328.shtml","http://www.12365auto.com/xcdg/20200224/419328.shtml")</f>
        <v>http://www.12365auto.com/xcdg/20200224/419328.shtml</v>
      </c>
      <c r="G3422" s="2"/>
      <c r="H3422" s="2" t="s">
        <v>4841</v>
      </c>
      <c r="I3422" s="2" t="s">
        <v>15</v>
      </c>
      <c r="J3422" s="2" t="s">
        <v>12</v>
      </c>
      <c r="K3422" s="2" t="s">
        <v>4842</v>
      </c>
      <c r="L3422" s="2">
        <f t="shared" si="53"/>
        <v>150</v>
      </c>
    </row>
    <row r="3423" spans="1:12" ht="25" customHeight="1">
      <c r="A3423" s="2" t="s">
        <v>12</v>
      </c>
      <c r="B3423" s="2" t="str">
        <f>HYPERLINK("http://m.12365auto.com/xcdg/20200224/419328.shtml","性能小钢炮 西雅特Cupra LEON ST官图发布")</f>
        <v>性能小钢炮 西雅特Cupra LEON ST官图发布</v>
      </c>
      <c r="C3423" s="2" t="s">
        <v>13</v>
      </c>
      <c r="D3423" s="2" t="s">
        <v>12</v>
      </c>
      <c r="E3423" s="2"/>
      <c r="F3423" s="2" t="str">
        <f>HYPERLINK("http://m.12365auto.com/xcdg/20200224/419328.shtml","http://m.12365auto.com/xcdg/20200224/419328.shtml")</f>
        <v>http://m.12365auto.com/xcdg/20200224/419328.shtml</v>
      </c>
      <c r="G3423" s="2"/>
      <c r="H3423" s="2" t="s">
        <v>4843</v>
      </c>
      <c r="I3423" s="2" t="s">
        <v>19</v>
      </c>
      <c r="J3423" s="2" t="s">
        <v>369</v>
      </c>
      <c r="K3423" s="2" t="s">
        <v>4842</v>
      </c>
      <c r="L3423" s="2">
        <f t="shared" si="53"/>
        <v>150</v>
      </c>
    </row>
    <row r="3424" spans="1:12" ht="25" customHeight="1">
      <c r="A3424" s="2" t="s">
        <v>12</v>
      </c>
      <c r="B3424" s="2" t="str">
        <f>HYPERLINK("http://m.12365auto.com/zjdy/20200224/121570.shtml","干式双离合变速箱升降挡异响什么原因？")</f>
        <v>干式双离合变速箱升降挡异响什么原因？</v>
      </c>
      <c r="C3424" s="2" t="s">
        <v>13</v>
      </c>
      <c r="D3424" s="2" t="s">
        <v>12</v>
      </c>
      <c r="E3424" s="2"/>
      <c r="F3424" s="2" t="str">
        <f>HYPERLINK("http://m.12365auto.com/zjdy/20200224/121570.shtml","http://m.12365auto.com/zjdy/20200224/121570.shtml")</f>
        <v>http://m.12365auto.com/zjdy/20200224/121570.shtml</v>
      </c>
      <c r="G3424" s="2"/>
      <c r="H3424" s="2" t="s">
        <v>4844</v>
      </c>
      <c r="I3424" s="2" t="s">
        <v>19</v>
      </c>
      <c r="J3424" s="2" t="s">
        <v>12</v>
      </c>
      <c r="K3424" s="2" t="s">
        <v>4845</v>
      </c>
      <c r="L3424" s="2">
        <f t="shared" si="53"/>
        <v>39</v>
      </c>
    </row>
    <row r="3425" spans="1:12" ht="25" customHeight="1">
      <c r="A3425" s="2" t="s">
        <v>12</v>
      </c>
      <c r="B3425" s="2" t="str">
        <f>HYPERLINK("http://m.12365auto.com/zjdy/20200223/121562.shtml","冷车怠速时转速过高是什么原因导致的？")</f>
        <v>冷车怠速时转速过高是什么原因导致的？</v>
      </c>
      <c r="C3425" s="2" t="s">
        <v>13</v>
      </c>
      <c r="D3425" s="2" t="s">
        <v>12</v>
      </c>
      <c r="E3425" s="2"/>
      <c r="F3425" s="2" t="str">
        <f>HYPERLINK("http://m.12365auto.com/zjdy/20200223/121562.shtml","http://m.12365auto.com/zjdy/20200223/121562.shtml")</f>
        <v>http://m.12365auto.com/zjdy/20200223/121562.shtml</v>
      </c>
      <c r="G3425" s="2"/>
      <c r="H3425" s="2" t="s">
        <v>4846</v>
      </c>
      <c r="I3425" s="2" t="s">
        <v>19</v>
      </c>
      <c r="J3425" s="2" t="s">
        <v>12</v>
      </c>
      <c r="K3425" s="2" t="s">
        <v>4847</v>
      </c>
      <c r="L3425" s="2">
        <f t="shared" si="53"/>
        <v>119</v>
      </c>
    </row>
    <row r="3426" spans="1:12" ht="25" customHeight="1">
      <c r="A3426" s="2" t="s">
        <v>12</v>
      </c>
      <c r="B3426" s="2" t="str">
        <f>HYPERLINK("http://www.12365auto.com/zlts/20200224/448421.shtml","太差了、这玩意、")</f>
        <v>太差了、这玩意、</v>
      </c>
      <c r="C3426" s="2" t="s">
        <v>13</v>
      </c>
      <c r="D3426" s="2" t="s">
        <v>12</v>
      </c>
      <c r="E3426" s="2"/>
      <c r="F3426" s="2" t="str">
        <f>HYPERLINK("http://www.12365auto.com/zlts/20200224/448421.shtml","http://www.12365auto.com/zlts/20200224/448421.shtml")</f>
        <v>http://www.12365auto.com/zlts/20200224/448421.shtml</v>
      </c>
      <c r="G3426" s="2"/>
      <c r="H3426" s="3" t="s">
        <v>4848</v>
      </c>
      <c r="I3426" s="2" t="s">
        <v>15</v>
      </c>
      <c r="J3426" s="2" t="s">
        <v>12</v>
      </c>
      <c r="K3426" s="2" t="s">
        <v>4849</v>
      </c>
      <c r="L3426" s="2">
        <f t="shared" si="53"/>
        <v>107</v>
      </c>
    </row>
    <row r="3427" spans="1:12" ht="25" customHeight="1">
      <c r="A3427" s="2" t="s">
        <v>12</v>
      </c>
      <c r="B3427" s="2" t="str">
        <f>HYPERLINK("http://m.12365auto.com/zjdy/20200223/121560.shtml","别克君越和丰田凯美瑞这两款车怎么选择？")</f>
        <v>别克君越和丰田凯美瑞这两款车怎么选择？</v>
      </c>
      <c r="C3427" s="2" t="s">
        <v>13</v>
      </c>
      <c r="D3427" s="2" t="s">
        <v>12</v>
      </c>
      <c r="E3427" s="2"/>
      <c r="F3427" s="2" t="str">
        <f>HYPERLINK("http://m.12365auto.com/zjdy/20200223/121560.shtml","http://m.12365auto.com/zjdy/20200223/121560.shtml")</f>
        <v>http://m.12365auto.com/zjdy/20200223/121560.shtml</v>
      </c>
      <c r="G3427" s="2"/>
      <c r="H3427" s="2" t="s">
        <v>4850</v>
      </c>
      <c r="I3427" s="2" t="s">
        <v>19</v>
      </c>
      <c r="J3427" s="2" t="s">
        <v>12</v>
      </c>
      <c r="K3427" s="2" t="s">
        <v>4851</v>
      </c>
      <c r="L3427" s="2">
        <f t="shared" si="53"/>
        <v>26</v>
      </c>
    </row>
    <row r="3428" spans="1:12" ht="25" customHeight="1">
      <c r="A3428" s="2" t="s">
        <v>12</v>
      </c>
      <c r="B3428" s="2" t="str">
        <f>HYPERLINK("http://m.12365auto.com/zjdy/20200223/121561.shtml","车速表不转转向无助力应该怎么处理？")</f>
        <v>车速表不转转向无助力应该怎么处理？</v>
      </c>
      <c r="C3428" s="2" t="s">
        <v>13</v>
      </c>
      <c r="D3428" s="2" t="s">
        <v>12</v>
      </c>
      <c r="E3428" s="2"/>
      <c r="F3428" s="2" t="str">
        <f>HYPERLINK("http://m.12365auto.com/zjdy/20200223/121561.shtml","http://m.12365auto.com/zjdy/20200223/121561.shtml")</f>
        <v>http://m.12365auto.com/zjdy/20200223/121561.shtml</v>
      </c>
      <c r="G3428" s="2"/>
      <c r="H3428" s="2" t="s">
        <v>4852</v>
      </c>
      <c r="I3428" s="2" t="s">
        <v>19</v>
      </c>
      <c r="J3428" s="2" t="s">
        <v>12</v>
      </c>
      <c r="K3428" s="2" t="s">
        <v>4853</v>
      </c>
      <c r="L3428" s="2">
        <f t="shared" si="53"/>
        <v>70</v>
      </c>
    </row>
    <row r="3429" spans="1:12" ht="25" customHeight="1">
      <c r="A3429" s="2" t="s">
        <v>12</v>
      </c>
      <c r="B3429" s="2" t="str">
        <f>HYPERLINK("http://m.12365auto.com/zjdy/20200223/121559.shtml","远景X6这款车的变速箱是万里扬品牌吗？")</f>
        <v>远景X6这款车的变速箱是万里扬品牌吗？</v>
      </c>
      <c r="C3429" s="2" t="s">
        <v>13</v>
      </c>
      <c r="D3429" s="2" t="s">
        <v>12</v>
      </c>
      <c r="E3429" s="2"/>
      <c r="F3429" s="2" t="str">
        <f>HYPERLINK("http://m.12365auto.com/zjdy/20200223/121559.shtml","http://m.12365auto.com/zjdy/20200223/121559.shtml")</f>
        <v>http://m.12365auto.com/zjdy/20200223/121559.shtml</v>
      </c>
      <c r="G3429" s="2"/>
      <c r="H3429" s="2" t="s">
        <v>4854</v>
      </c>
      <c r="I3429" s="2" t="s">
        <v>19</v>
      </c>
      <c r="J3429" s="2" t="s">
        <v>12</v>
      </c>
      <c r="K3429" s="2" t="s">
        <v>4855</v>
      </c>
      <c r="L3429" s="2">
        <f t="shared" si="53"/>
        <v>17</v>
      </c>
    </row>
    <row r="3430" spans="1:12" ht="25" customHeight="1">
      <c r="A3430" s="2" t="s">
        <v>12</v>
      </c>
      <c r="B3430" s="2" t="str">
        <f>HYPERLINK("http://m.12365auto.com/zjdy/20200223/121558.shtml","仪表盘出现故障是什么原因导致的？")</f>
        <v>仪表盘出现故障是什么原因导致的？</v>
      </c>
      <c r="C3430" s="2" t="s">
        <v>13</v>
      </c>
      <c r="D3430" s="2" t="s">
        <v>12</v>
      </c>
      <c r="E3430" s="2"/>
      <c r="F3430" s="2" t="str">
        <f>HYPERLINK("http://m.12365auto.com/zjdy/20200223/121558.shtml","http://m.12365auto.com/zjdy/20200223/121558.shtml")</f>
        <v>http://m.12365auto.com/zjdy/20200223/121558.shtml</v>
      </c>
      <c r="G3430" s="2"/>
      <c r="H3430" s="2" t="s">
        <v>4856</v>
      </c>
      <c r="I3430" s="2" t="s">
        <v>19</v>
      </c>
      <c r="J3430" s="2" t="s">
        <v>12</v>
      </c>
      <c r="K3430" s="2" t="s">
        <v>4855</v>
      </c>
      <c r="L3430" s="2">
        <f t="shared" si="53"/>
        <v>68</v>
      </c>
    </row>
    <row r="3431" spans="1:12" ht="25" customHeight="1">
      <c r="A3431" s="2" t="s">
        <v>12</v>
      </c>
      <c r="B3431" s="2" t="str">
        <f>HYPERLINK("http://m.12365auto.com/zjdy/20200223/121557.shtml","丰田皇冠故障码B2786是什么含义？")</f>
        <v>丰田皇冠故障码B2786是什么含义？</v>
      </c>
      <c r="C3431" s="2" t="s">
        <v>13</v>
      </c>
      <c r="D3431" s="2" t="s">
        <v>12</v>
      </c>
      <c r="E3431" s="2"/>
      <c r="F3431" s="2" t="str">
        <f>HYPERLINK("http://m.12365auto.com/zjdy/20200223/121557.shtml","http://m.12365auto.com/zjdy/20200223/121557.shtml")</f>
        <v>http://m.12365auto.com/zjdy/20200223/121557.shtml</v>
      </c>
      <c r="G3431" s="2"/>
      <c r="H3431" s="2" t="s">
        <v>4857</v>
      </c>
      <c r="I3431" s="2" t="s">
        <v>19</v>
      </c>
      <c r="J3431" s="2" t="s">
        <v>12</v>
      </c>
      <c r="K3431" s="2" t="s">
        <v>4858</v>
      </c>
      <c r="L3431" s="2">
        <f t="shared" si="53"/>
        <v>26</v>
      </c>
    </row>
    <row r="3432" spans="1:12" ht="25" customHeight="1">
      <c r="A3432" s="2" t="s">
        <v>12</v>
      </c>
      <c r="B3432" s="2" t="str">
        <f>HYPERLINK("http://www.12365auto.com/zlts/20200224/448420.shtml","进口宝马3系GT方向盘皮质局部褶皱褶痕")</f>
        <v>进口宝马3系GT方向盘皮质局部褶皱褶痕</v>
      </c>
      <c r="C3432" s="2" t="s">
        <v>13</v>
      </c>
      <c r="D3432" s="2" t="s">
        <v>12</v>
      </c>
      <c r="E3432" s="2" t="s">
        <v>17</v>
      </c>
      <c r="F3432" s="2" t="str">
        <f>HYPERLINK("http://www.12365auto.com/zlts/20200224/448420.shtml","http://www.12365auto.com/zlts/20200224/448420.shtml")</f>
        <v>http://www.12365auto.com/zlts/20200224/448420.shtml</v>
      </c>
      <c r="G3432" s="2"/>
      <c r="H3432" s="2" t="s">
        <v>4859</v>
      </c>
      <c r="I3432" s="2" t="s">
        <v>19</v>
      </c>
      <c r="J3432" s="2" t="s">
        <v>12</v>
      </c>
      <c r="K3432" s="2" t="s">
        <v>4860</v>
      </c>
      <c r="L3432" s="2">
        <f t="shared" si="53"/>
        <v>150</v>
      </c>
    </row>
    <row r="3433" spans="1:12" ht="25" customHeight="1">
      <c r="A3433" s="2" t="s">
        <v>12</v>
      </c>
      <c r="B3433" s="2" t="str">
        <f>HYPERLINK("http://m.12365auto.com/xcdg/20200224/419305.shtml","领克02 HEV谍照曝光 或搭载1.5T混动系统")</f>
        <v>领克02 HEV谍照曝光 或搭载1.5T混动系统</v>
      </c>
      <c r="C3433" s="2" t="s">
        <v>13</v>
      </c>
      <c r="D3433" s="2" t="s">
        <v>12</v>
      </c>
      <c r="E3433" s="2"/>
      <c r="F3433" s="2" t="str">
        <f>HYPERLINK("http://m.12365auto.com/xcdg/20200224/419305.shtml","http://m.12365auto.com/xcdg/20200224/419305.shtml")</f>
        <v>http://m.12365auto.com/xcdg/20200224/419305.shtml</v>
      </c>
      <c r="G3433" s="2"/>
      <c r="H3433" s="2" t="s">
        <v>4861</v>
      </c>
      <c r="I3433" s="2" t="s">
        <v>19</v>
      </c>
      <c r="J3433" s="2" t="s">
        <v>1305</v>
      </c>
      <c r="K3433" s="2" t="s">
        <v>4862</v>
      </c>
      <c r="L3433" s="2">
        <f t="shared" si="53"/>
        <v>150</v>
      </c>
    </row>
    <row r="3434" spans="1:12" ht="25" customHeight="1">
      <c r="A3434" s="2" t="s">
        <v>12</v>
      </c>
      <c r="B3434" s="2" t="str">
        <f>HYPERLINK("http://www.12365auto.com/xcdg/20200224/419305.shtml","领克02 HEV谍照曝光 或搭载1.5T混动系统")</f>
        <v>领克02 HEV谍照曝光 或搭载1.5T混动系统</v>
      </c>
      <c r="C3434" s="2" t="s">
        <v>13</v>
      </c>
      <c r="D3434" s="2" t="s">
        <v>12</v>
      </c>
      <c r="E3434" s="2" t="s">
        <v>216</v>
      </c>
      <c r="F3434" s="2" t="str">
        <f>HYPERLINK("http://www.12365auto.com/xcdg/20200224/419305.shtml","http://www.12365auto.com/xcdg/20200224/419305.shtml")</f>
        <v>http://www.12365auto.com/xcdg/20200224/419305.shtml</v>
      </c>
      <c r="G3434" s="2"/>
      <c r="H3434" s="2" t="s">
        <v>4863</v>
      </c>
      <c r="I3434" s="2" t="s">
        <v>15</v>
      </c>
      <c r="J3434" s="2" t="s">
        <v>12</v>
      </c>
      <c r="K3434" s="2" t="s">
        <v>4862</v>
      </c>
      <c r="L3434" s="2">
        <f t="shared" si="53"/>
        <v>150</v>
      </c>
    </row>
    <row r="3435" spans="1:12" ht="25" customHeight="1">
      <c r="A3435" s="2" t="s">
        <v>12</v>
      </c>
      <c r="B3435" s="2" t="str">
        <f>HYPERLINK("http://m.12365auto.com/zjdy/20200223/121555.shtml","奇瑞和比亚迪哪个品牌的售后服务更好？")</f>
        <v>奇瑞和比亚迪哪个品牌的售后服务更好？</v>
      </c>
      <c r="C3435" s="2" t="s">
        <v>13</v>
      </c>
      <c r="D3435" s="2" t="s">
        <v>12</v>
      </c>
      <c r="E3435" s="2"/>
      <c r="F3435" s="2" t="str">
        <f>HYPERLINK("http://m.12365auto.com/zjdy/20200223/121555.shtml","http://m.12365auto.com/zjdy/20200223/121555.shtml")</f>
        <v>http://m.12365auto.com/zjdy/20200223/121555.shtml</v>
      </c>
      <c r="G3435" s="2"/>
      <c r="H3435" s="2" t="s">
        <v>4864</v>
      </c>
      <c r="I3435" s="2" t="s">
        <v>19</v>
      </c>
      <c r="J3435" s="2" t="s">
        <v>12</v>
      </c>
      <c r="K3435" s="2" t="s">
        <v>4865</v>
      </c>
      <c r="L3435" s="2">
        <f t="shared" si="53"/>
        <v>29</v>
      </c>
    </row>
    <row r="3436" spans="1:12" ht="25" customHeight="1">
      <c r="A3436" s="2" t="s">
        <v>12</v>
      </c>
      <c r="B3436" s="2" t="str">
        <f>HYPERLINK("http://m.12365auto.com/zjdy/20200223/121554.shtml","荣威i6转向卡顿异响是什么原因导致的？")</f>
        <v>荣威i6转向卡顿异响是什么原因导致的？</v>
      </c>
      <c r="C3436" s="2" t="s">
        <v>13</v>
      </c>
      <c r="D3436" s="2" t="s">
        <v>12</v>
      </c>
      <c r="E3436" s="2"/>
      <c r="F3436" s="2" t="str">
        <f>HYPERLINK("http://m.12365auto.com/zjdy/20200223/121554.shtml","http://m.12365auto.com/zjdy/20200223/121554.shtml")</f>
        <v>http://m.12365auto.com/zjdy/20200223/121554.shtml</v>
      </c>
      <c r="G3436" s="2"/>
      <c r="H3436" s="2" t="s">
        <v>4866</v>
      </c>
      <c r="I3436" s="2" t="s">
        <v>19</v>
      </c>
      <c r="J3436" s="2" t="s">
        <v>12</v>
      </c>
      <c r="K3436" s="2" t="s">
        <v>4865</v>
      </c>
      <c r="L3436" s="2">
        <f t="shared" si="53"/>
        <v>51</v>
      </c>
    </row>
    <row r="3437" spans="1:12" ht="25" customHeight="1">
      <c r="A3437" s="2" t="s">
        <v>12</v>
      </c>
      <c r="B3437" s="2" t="str">
        <f>HYPERLINK("http://www.12365auto.com/xcdg/20200224/419306.shtml","搭载N95口罩空调滤芯 吉利ICON将于今日上市")</f>
        <v>搭载N95口罩空调滤芯 吉利ICON将于今日上市</v>
      </c>
      <c r="C3437" s="2" t="s">
        <v>13</v>
      </c>
      <c r="D3437" s="2" t="s">
        <v>12</v>
      </c>
      <c r="E3437" s="2" t="s">
        <v>245</v>
      </c>
      <c r="F3437" s="2" t="str">
        <f>HYPERLINK("http://www.12365auto.com/xcdg/20200224/419306.shtml","http://www.12365auto.com/xcdg/20200224/419306.shtml")</f>
        <v>http://www.12365auto.com/xcdg/20200224/419306.shtml</v>
      </c>
      <c r="G3437" s="2"/>
      <c r="H3437" s="2" t="s">
        <v>4867</v>
      </c>
      <c r="I3437" s="2" t="s">
        <v>19</v>
      </c>
      <c r="J3437" s="2" t="s">
        <v>12</v>
      </c>
      <c r="K3437" s="2" t="s">
        <v>4868</v>
      </c>
      <c r="L3437" s="2">
        <f t="shared" si="53"/>
        <v>150</v>
      </c>
    </row>
    <row r="3438" spans="1:12" ht="25" customHeight="1">
      <c r="A3438" s="2" t="s">
        <v>12</v>
      </c>
      <c r="B3438" s="2" t="str">
        <f>HYPERLINK("http://m.12365auto.com/zjdy/20200223/121564.shtml","自由光19款典藏版和17款优越版有哪些区别？")</f>
        <v>自由光19款典藏版和17款优越版有哪些区别？</v>
      </c>
      <c r="C3438" s="2" t="s">
        <v>13</v>
      </c>
      <c r="D3438" s="2" t="s">
        <v>12</v>
      </c>
      <c r="E3438" s="2"/>
      <c r="F3438" s="2" t="str">
        <f>HYPERLINK("http://m.12365auto.com/zjdy/20200223/121564.shtml","http://m.12365auto.com/zjdy/20200223/121564.shtml")</f>
        <v>http://m.12365auto.com/zjdy/20200223/121564.shtml</v>
      </c>
      <c r="G3438" s="2"/>
      <c r="H3438" s="2" t="s">
        <v>4869</v>
      </c>
      <c r="I3438" s="2" t="s">
        <v>19</v>
      </c>
      <c r="J3438" s="2" t="s">
        <v>12</v>
      </c>
      <c r="K3438" s="2" t="s">
        <v>4870</v>
      </c>
      <c r="L3438" s="2">
        <f t="shared" si="53"/>
        <v>23</v>
      </c>
    </row>
    <row r="3439" spans="1:12" ht="25" customHeight="1">
      <c r="A3439" s="2" t="s">
        <v>12</v>
      </c>
      <c r="B3439" s="2" t="str">
        <f>HYPERLINK("http://m.12365auto.com/zjdy/20200223/121563.shtml","奥德赛冷启动怠速不正常是什么原因？")</f>
        <v>奥德赛冷启动怠速不正常是什么原因？</v>
      </c>
      <c r="C3439" s="2" t="s">
        <v>13</v>
      </c>
      <c r="D3439" s="2" t="s">
        <v>12</v>
      </c>
      <c r="E3439" s="2"/>
      <c r="F3439" s="2" t="str">
        <f>HYPERLINK("http://m.12365auto.com/zjdy/20200223/121563.shtml","http://m.12365auto.com/zjdy/20200223/121563.shtml")</f>
        <v>http://m.12365auto.com/zjdy/20200223/121563.shtml</v>
      </c>
      <c r="G3439" s="2"/>
      <c r="H3439" s="2" t="s">
        <v>4871</v>
      </c>
      <c r="I3439" s="2" t="s">
        <v>19</v>
      </c>
      <c r="J3439" s="2" t="s">
        <v>12</v>
      </c>
      <c r="K3439" s="2" t="s">
        <v>4870</v>
      </c>
      <c r="L3439" s="2">
        <f t="shared" si="53"/>
        <v>150</v>
      </c>
    </row>
    <row r="3440" spans="1:12" ht="25" customHeight="1">
      <c r="A3440" s="2" t="s">
        <v>12</v>
      </c>
      <c r="B3440" s="2" t="str">
        <f>HYPERLINK("http://m.12365auto.com/zjdy/20200223/121565.shtml","广汽丰田C-HR发动机质量如何？")</f>
        <v>广汽丰田C-HR发动机质量如何？</v>
      </c>
      <c r="C3440" s="2" t="s">
        <v>13</v>
      </c>
      <c r="D3440" s="2" t="s">
        <v>12</v>
      </c>
      <c r="E3440" s="2"/>
      <c r="F3440" s="2" t="str">
        <f>HYPERLINK("http://m.12365auto.com/zjdy/20200223/121565.shtml","http://m.12365auto.com/zjdy/20200223/121565.shtml")</f>
        <v>http://m.12365auto.com/zjdy/20200223/121565.shtml</v>
      </c>
      <c r="G3440" s="2"/>
      <c r="H3440" s="2" t="s">
        <v>4872</v>
      </c>
      <c r="I3440" s="2" t="s">
        <v>19</v>
      </c>
      <c r="J3440" s="2" t="s">
        <v>12</v>
      </c>
      <c r="K3440" s="2" t="s">
        <v>4873</v>
      </c>
      <c r="L3440" s="2">
        <f t="shared" si="53"/>
        <v>94</v>
      </c>
    </row>
    <row r="3441" spans="1:12" ht="25" customHeight="1">
      <c r="A3441" s="2" t="s">
        <v>12</v>
      </c>
      <c r="B3441" s="2" t="str">
        <f>HYPERLINK("http://m.12365auto.com/zjdy/20200223/121566.shtml","如何检查点火线圈是否存在故障？")</f>
        <v>如何检查点火线圈是否存在故障？</v>
      </c>
      <c r="C3441" s="2" t="s">
        <v>13</v>
      </c>
      <c r="D3441" s="2" t="s">
        <v>12</v>
      </c>
      <c r="E3441" s="2"/>
      <c r="F3441" s="2" t="str">
        <f>HYPERLINK("http://m.12365auto.com/zjdy/20200223/121566.shtml","http://m.12365auto.com/zjdy/20200223/121566.shtml")</f>
        <v>http://m.12365auto.com/zjdy/20200223/121566.shtml</v>
      </c>
      <c r="G3441" s="2"/>
      <c r="H3441" s="2" t="s">
        <v>4874</v>
      </c>
      <c r="I3441" s="2" t="s">
        <v>19</v>
      </c>
      <c r="J3441" s="2" t="s">
        <v>12</v>
      </c>
      <c r="K3441" s="2" t="s">
        <v>4875</v>
      </c>
      <c r="L3441" s="2">
        <f t="shared" si="53"/>
        <v>15</v>
      </c>
    </row>
    <row r="3442" spans="1:12" ht="25" customHeight="1">
      <c r="A3442" s="2" t="s">
        <v>12</v>
      </c>
      <c r="B3442" s="2" t="str">
        <f>HYPERLINK("http://m.12365auto.com/zjdy/20200223/121567.shtml","2019款长安CS55胎压监测如何复位？")</f>
        <v>2019款长安CS55胎压监测如何复位？</v>
      </c>
      <c r="C3442" s="2" t="s">
        <v>13</v>
      </c>
      <c r="D3442" s="2" t="s">
        <v>12</v>
      </c>
      <c r="E3442" s="2"/>
      <c r="F3442" s="2" t="str">
        <f>HYPERLINK("http://m.12365auto.com/zjdy/20200223/121567.shtml","http://m.12365auto.com/zjdy/20200223/121567.shtml")</f>
        <v>http://m.12365auto.com/zjdy/20200223/121567.shtml</v>
      </c>
      <c r="G3442" s="2"/>
      <c r="H3442" s="2" t="s">
        <v>4876</v>
      </c>
      <c r="I3442" s="2" t="s">
        <v>19</v>
      </c>
      <c r="J3442" s="2" t="s">
        <v>12</v>
      </c>
      <c r="K3442" s="2" t="s">
        <v>4877</v>
      </c>
      <c r="L3442" s="2">
        <f t="shared" si="53"/>
        <v>18</v>
      </c>
    </row>
    <row r="3443" spans="1:12" ht="25" customHeight="1">
      <c r="A3443" s="2" t="s">
        <v>12</v>
      </c>
      <c r="B3443" s="2" t="str">
        <f>HYPERLINK("http://m.12365auto.com/zjdy/20200224/121569.shtml","经典轩逸变速箱漏油应该如何维权？")</f>
        <v>经典轩逸变速箱漏油应该如何维权？</v>
      </c>
      <c r="C3443" s="2" t="s">
        <v>13</v>
      </c>
      <c r="D3443" s="2" t="s">
        <v>12</v>
      </c>
      <c r="E3443" s="2"/>
      <c r="F3443" s="2" t="str">
        <f>HYPERLINK("http://m.12365auto.com/zjdy/20200224/121569.shtml","http://m.12365auto.com/zjdy/20200224/121569.shtml")</f>
        <v>http://m.12365auto.com/zjdy/20200224/121569.shtml</v>
      </c>
      <c r="G3443" s="2"/>
      <c r="H3443" s="2" t="s">
        <v>4878</v>
      </c>
      <c r="I3443" s="2" t="s">
        <v>19</v>
      </c>
      <c r="J3443" s="2" t="s">
        <v>12</v>
      </c>
      <c r="K3443" s="2" t="s">
        <v>4879</v>
      </c>
      <c r="L3443" s="2">
        <f t="shared" si="53"/>
        <v>46</v>
      </c>
    </row>
    <row r="3444" spans="1:12" ht="25" customHeight="1">
      <c r="A3444" s="2" t="s">
        <v>12</v>
      </c>
      <c r="B3444" s="2" t="str">
        <f>HYPERLINK("http://m.12365auto.com/zjdy/20200224/121568.shtml","购车后4S店不提供购车合同怎么办？")</f>
        <v>购车后4S店不提供购车合同怎么办？</v>
      </c>
      <c r="C3444" s="2" t="s">
        <v>13</v>
      </c>
      <c r="D3444" s="2" t="s">
        <v>12</v>
      </c>
      <c r="E3444" s="2"/>
      <c r="F3444" s="2" t="str">
        <f>HYPERLINK("http://m.12365auto.com/zjdy/20200224/121568.shtml","http://m.12365auto.com/zjdy/20200224/121568.shtml")</f>
        <v>http://m.12365auto.com/zjdy/20200224/121568.shtml</v>
      </c>
      <c r="G3444" s="2"/>
      <c r="H3444" s="2" t="s">
        <v>4880</v>
      </c>
      <c r="I3444" s="2" t="s">
        <v>19</v>
      </c>
      <c r="J3444" s="2" t="s">
        <v>12</v>
      </c>
      <c r="K3444" s="2" t="s">
        <v>4881</v>
      </c>
      <c r="L3444" s="2">
        <f t="shared" si="53"/>
        <v>25</v>
      </c>
    </row>
    <row r="3445" spans="1:12" ht="25" customHeight="1">
      <c r="A3445" s="2" t="s">
        <v>12</v>
      </c>
      <c r="B3445" s="2" t="str">
        <f>HYPERLINK("http://www.12365auto.com/xcdg/20200224/419302.shtml","拥抱电气化 2020款菲亚特500 Hybrid新车图解")</f>
        <v>拥抱电气化 2020款菲亚特500 Hybrid新车图解</v>
      </c>
      <c r="C3445" s="2" t="s">
        <v>13</v>
      </c>
      <c r="D3445" s="2" t="s">
        <v>12</v>
      </c>
      <c r="E3445" s="2" t="s">
        <v>245</v>
      </c>
      <c r="F3445" s="2" t="str">
        <f>HYPERLINK("http://www.12365auto.com/xcdg/20200224/419302.shtml","http://www.12365auto.com/xcdg/20200224/419302.shtml")</f>
        <v>http://www.12365auto.com/xcdg/20200224/419302.shtml</v>
      </c>
      <c r="G3445" s="2"/>
      <c r="H3445" s="2" t="s">
        <v>4882</v>
      </c>
      <c r="I3445" s="2" t="s">
        <v>19</v>
      </c>
      <c r="J3445" s="2" t="s">
        <v>12</v>
      </c>
      <c r="K3445" s="2" t="s">
        <v>4883</v>
      </c>
      <c r="L3445" s="2">
        <f t="shared" si="53"/>
        <v>150</v>
      </c>
    </row>
    <row r="3446" spans="1:12" ht="25" customHeight="1">
      <c r="A3446" s="2" t="s">
        <v>12</v>
      </c>
      <c r="B3446" s="2" t="str">
        <f>HYPERLINK("http://m.12365auto.com/xcdg/20200224/419303.shtml","首推手动柴油舒适版 江铃驭胜S350购车指南")</f>
        <v>首推手动柴油舒适版 江铃驭胜S350购车指南</v>
      </c>
      <c r="C3446" s="2" t="s">
        <v>13</v>
      </c>
      <c r="D3446" s="2" t="s">
        <v>12</v>
      </c>
      <c r="E3446" s="2"/>
      <c r="F3446" s="2" t="str">
        <f>HYPERLINK("http://m.12365auto.com/xcdg/20200224/419303.shtml","http://m.12365auto.com/xcdg/20200224/419303.shtml")</f>
        <v>http://m.12365auto.com/xcdg/20200224/419303.shtml</v>
      </c>
      <c r="G3446" s="2"/>
      <c r="H3446" s="2" t="s">
        <v>4884</v>
      </c>
      <c r="I3446" s="2" t="s">
        <v>19</v>
      </c>
      <c r="J3446" s="2" t="s">
        <v>1250</v>
      </c>
      <c r="K3446" s="2" t="s">
        <v>4883</v>
      </c>
      <c r="L3446" s="2">
        <f t="shared" si="53"/>
        <v>150</v>
      </c>
    </row>
    <row r="3447" spans="1:12" ht="25" customHeight="1">
      <c r="A3447" s="2" t="s">
        <v>12</v>
      </c>
      <c r="B3447" s="2" t="str">
        <f>HYPERLINK("http://m.12365auto.com/dcbg/20200224/419304.shtml","2020年1月TOP30轿车销量投诉量对应点评")</f>
        <v>2020年1月TOP30轿车销量投诉量对应点评</v>
      </c>
      <c r="C3447" s="2" t="s">
        <v>13</v>
      </c>
      <c r="D3447" s="2" t="s">
        <v>12</v>
      </c>
      <c r="E3447" s="2"/>
      <c r="F3447" s="2" t="str">
        <f>HYPERLINK("http://m.12365auto.com/dcbg/20200224/419304.shtml","http://m.12365auto.com/dcbg/20200224/419304.shtml")</f>
        <v>http://m.12365auto.com/dcbg/20200224/419304.shtml</v>
      </c>
      <c r="G3447" s="2"/>
      <c r="H3447" s="2" t="s">
        <v>4885</v>
      </c>
      <c r="I3447" s="2" t="s">
        <v>19</v>
      </c>
      <c r="J3447" s="2" t="s">
        <v>1322</v>
      </c>
      <c r="K3447" s="2" t="s">
        <v>4883</v>
      </c>
      <c r="L3447" s="2">
        <f t="shared" si="53"/>
        <v>150</v>
      </c>
    </row>
    <row r="3448" spans="1:12" ht="25" customHeight="1">
      <c r="A3448" s="2" t="s">
        <v>12</v>
      </c>
      <c r="B3448" s="2" t="str">
        <f>HYPERLINK("http://m.12365auto.com/xcdg/20200224/419302.shtml","拥抱电气化 2020款菲亚特500 Hybrid新车图解")</f>
        <v>拥抱电气化 2020款菲亚特500 Hybrid新车图解</v>
      </c>
      <c r="C3448" s="2" t="s">
        <v>13</v>
      </c>
      <c r="D3448" s="2" t="s">
        <v>12</v>
      </c>
      <c r="E3448" s="2"/>
      <c r="F3448" s="2" t="str">
        <f>HYPERLINK("http://m.12365auto.com/xcdg/20200224/419302.shtml","http://m.12365auto.com/xcdg/20200224/419302.shtml")</f>
        <v>http://m.12365auto.com/xcdg/20200224/419302.shtml</v>
      </c>
      <c r="G3448" s="2"/>
      <c r="H3448" s="2" t="s">
        <v>4886</v>
      </c>
      <c r="I3448" s="2" t="s">
        <v>19</v>
      </c>
      <c r="J3448" s="2" t="s">
        <v>1241</v>
      </c>
      <c r="K3448" s="2" t="s">
        <v>4883</v>
      </c>
      <c r="L3448" s="2">
        <f t="shared" si="53"/>
        <v>150</v>
      </c>
    </row>
    <row r="3449" spans="1:12" ht="25" customHeight="1">
      <c r="A3449" s="2" t="s">
        <v>12</v>
      </c>
      <c r="B3449" s="2" t="str">
        <f>HYPERLINK("http://www.12365auto.com/dcbg/20200224/419304.shtml","2020年1月TOP30轿车销量投诉量对应点评")</f>
        <v>2020年1月TOP30轿车销量投诉量对应点评</v>
      </c>
      <c r="C3449" s="2" t="s">
        <v>13</v>
      </c>
      <c r="D3449" s="2" t="s">
        <v>12</v>
      </c>
      <c r="E3449" s="2" t="s">
        <v>1319</v>
      </c>
      <c r="F3449" s="2" t="str">
        <f>HYPERLINK("http://www.12365auto.com/dcbg/20200224/419304.shtml","http://www.12365auto.com/dcbg/20200224/419304.shtml")</f>
        <v>http://www.12365auto.com/dcbg/20200224/419304.shtml</v>
      </c>
      <c r="G3449" s="2"/>
      <c r="H3449" s="2" t="s">
        <v>4887</v>
      </c>
      <c r="I3449" s="2" t="s">
        <v>15</v>
      </c>
      <c r="J3449" s="2" t="s">
        <v>12</v>
      </c>
      <c r="K3449" s="2" t="s">
        <v>4883</v>
      </c>
      <c r="L3449" s="2">
        <f t="shared" si="53"/>
        <v>150</v>
      </c>
    </row>
    <row r="3450" spans="1:12" ht="25" customHeight="1">
      <c r="A3450" s="2" t="s">
        <v>12</v>
      </c>
      <c r="B3450" s="2" t="str">
        <f>HYPERLINK("http://www.12365auto.com/zlts/20200224/448417.shtml","2019年6月27提的车")</f>
        <v>2019年6月27提的车</v>
      </c>
      <c r="C3450" s="2" t="s">
        <v>13</v>
      </c>
      <c r="D3450" s="2" t="s">
        <v>12</v>
      </c>
      <c r="E3450" s="2"/>
      <c r="F3450" s="2" t="str">
        <f>HYPERLINK("http://www.12365auto.com/zlts/20200224/448417.shtml","http://www.12365auto.com/zlts/20200224/448417.shtml")</f>
        <v>http://www.12365auto.com/zlts/20200224/448417.shtml</v>
      </c>
      <c r="G3450" s="2"/>
      <c r="H3450" s="3" t="s">
        <v>4888</v>
      </c>
      <c r="I3450" s="2" t="s">
        <v>15</v>
      </c>
      <c r="J3450" s="2" t="s">
        <v>12</v>
      </c>
      <c r="K3450" s="2" t="s">
        <v>4889</v>
      </c>
      <c r="L3450" s="2">
        <f t="shared" si="53"/>
        <v>114</v>
      </c>
    </row>
    <row r="3451" spans="1:12" ht="25" customHeight="1">
      <c r="A3451" s="2" t="s">
        <v>12</v>
      </c>
      <c r="B3451" s="2" t="str">
        <f>HYPERLINK("http://www.12365auto.com/zlts/20200224/448416.shtml","车联网一直未开通")</f>
        <v>车联网一直未开通</v>
      </c>
      <c r="C3451" s="2" t="s">
        <v>13</v>
      </c>
      <c r="D3451" s="2" t="s">
        <v>12</v>
      </c>
      <c r="E3451" s="2"/>
      <c r="F3451" s="2" t="str">
        <f>HYPERLINK("http://www.12365auto.com/zlts/20200224/448416.shtml","http://www.12365auto.com/zlts/20200224/448416.shtml")</f>
        <v>http://www.12365auto.com/zlts/20200224/448416.shtml</v>
      </c>
      <c r="G3451" s="2"/>
      <c r="H3451" s="3" t="s">
        <v>4890</v>
      </c>
      <c r="I3451" s="2" t="s">
        <v>15</v>
      </c>
      <c r="J3451" s="2" t="s">
        <v>12</v>
      </c>
      <c r="K3451" s="2" t="s">
        <v>4891</v>
      </c>
      <c r="L3451" s="2">
        <f t="shared" si="53"/>
        <v>117</v>
      </c>
    </row>
    <row r="3452" spans="1:12" ht="25" customHeight="1">
      <c r="A3452" s="2" t="s">
        <v>12</v>
      </c>
      <c r="B3452" s="2" t="str">
        <f>HYPERLINK("http://www.12365auto.com/zlts/20200224/448415.shtml","3档经常进不去，")</f>
        <v>3档经常进不去，</v>
      </c>
      <c r="C3452" s="2" t="s">
        <v>13</v>
      </c>
      <c r="D3452" s="2" t="s">
        <v>12</v>
      </c>
      <c r="E3452" s="2"/>
      <c r="F3452" s="2" t="str">
        <f>HYPERLINK("http://www.12365auto.com/zlts/20200224/448415.shtml","http://www.12365auto.com/zlts/20200224/448415.shtml")</f>
        <v>http://www.12365auto.com/zlts/20200224/448415.shtml</v>
      </c>
      <c r="G3452" s="2"/>
      <c r="H3452" s="3" t="s">
        <v>4892</v>
      </c>
      <c r="I3452" s="2" t="s">
        <v>15</v>
      </c>
      <c r="J3452" s="2" t="s">
        <v>12</v>
      </c>
      <c r="K3452" s="2" t="s">
        <v>4893</v>
      </c>
      <c r="L3452" s="2">
        <f t="shared" si="53"/>
        <v>116</v>
      </c>
    </row>
    <row r="3453" spans="1:12" ht="25" customHeight="1">
      <c r="A3453" s="2" t="s">
        <v>12</v>
      </c>
      <c r="B3453" s="2" t="str">
        <f>HYPERLINK("http://www.12365auto.com/zlts/20200224/448414.shtml","车辆冷车怠速抖动严重，行驶中整车抖动")</f>
        <v>车辆冷车怠速抖动严重，行驶中整车抖动</v>
      </c>
      <c r="C3453" s="2" t="s">
        <v>13</v>
      </c>
      <c r="D3453" s="2" t="s">
        <v>12</v>
      </c>
      <c r="E3453" s="2"/>
      <c r="F3453" s="4" t="str">
        <f>HYPERLINK("http://www.12365auto.com/zlts/20200224/448414.shtml","http://www.12365auto.com/zlts/20200224/448414.shtml")</f>
        <v>http://www.12365auto.com/zlts/20200224/448414.shtml</v>
      </c>
      <c r="G3453" s="2"/>
      <c r="H3453" s="3" t="s">
        <v>4894</v>
      </c>
      <c r="I3453" s="2" t="s">
        <v>15</v>
      </c>
      <c r="J3453" s="2" t="s">
        <v>12</v>
      </c>
      <c r="K3453" s="2" t="s">
        <v>4895</v>
      </c>
      <c r="L3453" s="2">
        <f t="shared" si="53"/>
        <v>123</v>
      </c>
    </row>
    <row r="3454" spans="1:12" ht="25" customHeight="1">
      <c r="A3454" s="2" t="s">
        <v>12</v>
      </c>
      <c r="B3454" s="2" t="str">
        <f>HYPERLINK("http://bbs.12365auto.com/postcontent.aspx?tId=194908","2020款欧兰德畅主要是抖动 影响驾驶")</f>
        <v>2020款欧兰德畅主要是抖动 影响驾驶</v>
      </c>
      <c r="C3454" s="2" t="s">
        <v>13</v>
      </c>
      <c r="D3454" s="2" t="s">
        <v>12</v>
      </c>
      <c r="E3454" s="2" t="s">
        <v>66</v>
      </c>
      <c r="F3454" s="2" t="str">
        <f>HYPERLINK("http://bbs.12365auto.com/postcontent.aspx?tId=194908","http://bbs.12365auto.com/postcontent.aspx?tId=194908")</f>
        <v>http://bbs.12365auto.com/postcontent.aspx?tId=194908</v>
      </c>
      <c r="G3454" s="2"/>
      <c r="H3454" s="2" t="s">
        <v>4896</v>
      </c>
      <c r="I3454" s="2" t="s">
        <v>15</v>
      </c>
      <c r="J3454" s="2" t="s">
        <v>4897</v>
      </c>
      <c r="K3454" s="2" t="s">
        <v>4898</v>
      </c>
      <c r="L3454" s="2">
        <f t="shared" si="53"/>
        <v>29</v>
      </c>
    </row>
    <row r="3455" spans="1:12" ht="25" customHeight="1">
      <c r="A3455" s="2" t="s">
        <v>12</v>
      </c>
      <c r="B3455" s="2" t="str">
        <f>HYPERLINK("http://bbs.12365auto.com/postcontent.aspx?tID=194908","2020款欧兰德畅主要是抖动 影响驾驶")</f>
        <v>2020款欧兰德畅主要是抖动 影响驾驶</v>
      </c>
      <c r="C3455" s="2" t="s">
        <v>13</v>
      </c>
      <c r="D3455" s="2" t="s">
        <v>12</v>
      </c>
      <c r="E3455" s="2" t="s">
        <v>67</v>
      </c>
      <c r="F3455" s="2" t="str">
        <f>HYPERLINK("http://bbs.12365auto.com/postcontent.aspx?tID=194908","http://bbs.12365auto.com/postcontent.aspx?tID=194908")</f>
        <v>http://bbs.12365auto.com/postcontent.aspx?tID=194908</v>
      </c>
      <c r="G3455" s="2"/>
      <c r="H3455" s="2" t="s">
        <v>4899</v>
      </c>
      <c r="I3455" s="2" t="s">
        <v>15</v>
      </c>
      <c r="J3455" s="2" t="s">
        <v>4897</v>
      </c>
      <c r="K3455" s="2" t="s">
        <v>4898</v>
      </c>
      <c r="L3455" s="2">
        <f t="shared" si="53"/>
        <v>48</v>
      </c>
    </row>
    <row r="3456" spans="1:12" ht="25" customHeight="1">
      <c r="A3456" s="2" t="s">
        <v>12</v>
      </c>
      <c r="B3456" s="2" t="str">
        <f>HYPERLINK("http://m.12365auto.com/bbs/postcontent.aspx?tID=194908","2020款欧兰德畅主要是抖动 影响驾驶")</f>
        <v>2020款欧兰德畅主要是抖动 影响驾驶</v>
      </c>
      <c r="C3456" s="2" t="s">
        <v>13</v>
      </c>
      <c r="D3456" s="2" t="s">
        <v>23</v>
      </c>
      <c r="E3456" s="2"/>
      <c r="F3456" s="2" t="str">
        <f>HYPERLINK("http://m.12365auto.com/bbs/postcontent.aspx?tID=194908","http://m.12365auto.com/bbs/postcontent.aspx?tID=194908")</f>
        <v>http://m.12365auto.com/bbs/postcontent.aspx?tID=194908</v>
      </c>
      <c r="G3456" s="2"/>
      <c r="H3456" s="2" t="s">
        <v>4896</v>
      </c>
      <c r="I3456" s="2" t="s">
        <v>15</v>
      </c>
      <c r="J3456" s="2" t="s">
        <v>4897</v>
      </c>
      <c r="K3456" s="2" t="s">
        <v>4898</v>
      </c>
      <c r="L3456" s="2">
        <f t="shared" si="53"/>
        <v>29</v>
      </c>
    </row>
    <row r="3457" spans="1:12" ht="25" customHeight="1">
      <c r="A3457" s="2" t="s">
        <v>12</v>
      </c>
      <c r="B3457" s="2" t="str">
        <f>HYPERLINK("http://www.12365auto.com/zlts/20200223/448407.shtml","起车之后发动机哒哒响。最近咔哧咔哧的响。")</f>
        <v>起车之后发动机哒哒响。最近咔哧咔哧的响。</v>
      </c>
      <c r="C3457" s="2" t="s">
        <v>13</v>
      </c>
      <c r="D3457" s="2" t="s">
        <v>12</v>
      </c>
      <c r="E3457" s="2"/>
      <c r="F3457" s="2" t="str">
        <f>HYPERLINK("http://www.12365auto.com/zlts/20200223/448407.shtml","http://www.12365auto.com/zlts/20200223/448407.shtml")</f>
        <v>http://www.12365auto.com/zlts/20200223/448407.shtml</v>
      </c>
      <c r="G3457" s="2"/>
      <c r="H3457" s="3" t="s">
        <v>4900</v>
      </c>
      <c r="I3457" s="2" t="s">
        <v>15</v>
      </c>
      <c r="J3457" s="2" t="s">
        <v>12</v>
      </c>
      <c r="K3457" s="2" t="s">
        <v>4901</v>
      </c>
      <c r="L3457" s="2">
        <f t="shared" si="53"/>
        <v>126</v>
      </c>
    </row>
    <row r="3458" spans="1:12" ht="25" customHeight="1">
      <c r="A3458" s="2" t="s">
        <v>12</v>
      </c>
      <c r="B3458" s="2" t="str">
        <f>HYPERLINK("http://www.12365auto.com/zlts/20200223/448411.shtml","主驾驶车窗玻璃升降间歇性失灵。")</f>
        <v>主驾驶车窗玻璃升降间歇性失灵。</v>
      </c>
      <c r="C3458" s="2" t="s">
        <v>13</v>
      </c>
      <c r="D3458" s="2" t="s">
        <v>12</v>
      </c>
      <c r="E3458" s="2"/>
      <c r="F3458" s="2" t="str">
        <f>HYPERLINK("http://www.12365auto.com/zlts/20200223/448411.shtml","http://www.12365auto.com/zlts/20200223/448411.shtml")</f>
        <v>http://www.12365auto.com/zlts/20200223/448411.shtml</v>
      </c>
      <c r="G3458" s="2"/>
      <c r="H3458" s="3" t="s">
        <v>4902</v>
      </c>
      <c r="I3458" s="2" t="s">
        <v>15</v>
      </c>
      <c r="J3458" s="2" t="s">
        <v>12</v>
      </c>
      <c r="K3458" s="2" t="s">
        <v>4901</v>
      </c>
      <c r="L3458" s="2">
        <f t="shared" si="53"/>
        <v>108</v>
      </c>
    </row>
    <row r="3459" spans="1:12" ht="25" customHeight="1">
      <c r="A3459" s="2" t="s">
        <v>12</v>
      </c>
      <c r="B3459" s="2" t="str">
        <f>HYPERLINK("http://bbs.12365auto.com/postcontent.aspx?tId=194906","变速箱渗油 有相同问题的朋友吗")</f>
        <v>变速箱渗油 有相同问题的朋友吗</v>
      </c>
      <c r="C3459" s="2" t="s">
        <v>13</v>
      </c>
      <c r="D3459" s="2" t="s">
        <v>12</v>
      </c>
      <c r="E3459" s="2" t="s">
        <v>66</v>
      </c>
      <c r="F3459" s="2" t="str">
        <f>HYPERLINK("http://bbs.12365auto.com/postcontent.aspx?tId=194906","http://bbs.12365auto.com/postcontent.aspx?tId=194906")</f>
        <v>http://bbs.12365auto.com/postcontent.aspx?tId=194906</v>
      </c>
      <c r="G3459" s="2"/>
      <c r="H3459" s="2" t="s">
        <v>4903</v>
      </c>
      <c r="I3459" s="2" t="s">
        <v>15</v>
      </c>
      <c r="J3459" s="2" t="s">
        <v>4904</v>
      </c>
      <c r="K3459" s="2" t="s">
        <v>4905</v>
      </c>
      <c r="L3459" s="2">
        <f t="shared" ref="L3459:L3522" si="54">LEN(H3459)</f>
        <v>145</v>
      </c>
    </row>
    <row r="3460" spans="1:12" ht="25" customHeight="1">
      <c r="A3460" s="2" t="s">
        <v>12</v>
      </c>
      <c r="B3460" s="2" t="str">
        <f>HYPERLINK("http://m.12365auto.com/bbs/postcontent.aspx?tID=194906","变速箱渗油 有相同问题的朋友吗")</f>
        <v>变速箱渗油 有相同问题的朋友吗</v>
      </c>
      <c r="C3460" s="2" t="s">
        <v>13</v>
      </c>
      <c r="D3460" s="2" t="s">
        <v>23</v>
      </c>
      <c r="E3460" s="2"/>
      <c r="F3460" s="2" t="str">
        <f>HYPERLINK("http://m.12365auto.com/bbs/postcontent.aspx?tID=194906","http://m.12365auto.com/bbs/postcontent.aspx?tID=194906")</f>
        <v>http://m.12365auto.com/bbs/postcontent.aspx?tID=194906</v>
      </c>
      <c r="G3460" s="2"/>
      <c r="H3460" s="2" t="s">
        <v>4903</v>
      </c>
      <c r="I3460" s="2" t="s">
        <v>15</v>
      </c>
      <c r="J3460" s="2" t="s">
        <v>4904</v>
      </c>
      <c r="K3460" s="2" t="s">
        <v>4905</v>
      </c>
      <c r="L3460" s="2">
        <f t="shared" si="54"/>
        <v>145</v>
      </c>
    </row>
    <row r="3461" spans="1:12" ht="25" customHeight="1">
      <c r="A3461" s="2" t="s">
        <v>12</v>
      </c>
      <c r="B3461" s="2" t="str">
        <f>HYPERLINK("http://bbs.12365auto.com/postcontent.aspx?tID=194906","变速箱渗油 有相同问题的朋友吗")</f>
        <v>变速箱渗油 有相同问题的朋友吗</v>
      </c>
      <c r="C3461" s="2" t="s">
        <v>13</v>
      </c>
      <c r="D3461" s="2" t="s">
        <v>12</v>
      </c>
      <c r="E3461" s="2" t="s">
        <v>67</v>
      </c>
      <c r="F3461" s="2" t="str">
        <f>HYPERLINK("http://bbs.12365auto.com/postcontent.aspx?tID=194906","http://bbs.12365auto.com/postcontent.aspx?tID=194906")</f>
        <v>http://bbs.12365auto.com/postcontent.aspx?tID=194906</v>
      </c>
      <c r="G3461" s="2"/>
      <c r="H3461" s="2" t="s">
        <v>4906</v>
      </c>
      <c r="I3461" s="2" t="s">
        <v>15</v>
      </c>
      <c r="J3461" s="2" t="s">
        <v>4904</v>
      </c>
      <c r="K3461" s="2" t="s">
        <v>4905</v>
      </c>
      <c r="L3461" s="2">
        <f t="shared" si="54"/>
        <v>150</v>
      </c>
    </row>
    <row r="3462" spans="1:12" ht="25" customHeight="1">
      <c r="A3462" s="2" t="s">
        <v>12</v>
      </c>
      <c r="B3462" s="2" t="str">
        <f>HYPERLINK("http://www.12365auto.com/zlts/20200223/448406.shtml","广汽丰田汉兰达发动机后曲轴油封严重漏油")</f>
        <v>广汽丰田汉兰达发动机后曲轴油封严重漏油</v>
      </c>
      <c r="C3462" s="2" t="s">
        <v>13</v>
      </c>
      <c r="D3462" s="2" t="s">
        <v>12</v>
      </c>
      <c r="E3462" s="2" t="s">
        <v>17</v>
      </c>
      <c r="F3462" s="2" t="str">
        <f>HYPERLINK("http://www.12365auto.com/zlts/20200223/448406.shtml","http://www.12365auto.com/zlts/20200223/448406.shtml")</f>
        <v>http://www.12365auto.com/zlts/20200223/448406.shtml</v>
      </c>
      <c r="G3462" s="2"/>
      <c r="H3462" s="2" t="s">
        <v>4907</v>
      </c>
      <c r="I3462" s="2" t="s">
        <v>19</v>
      </c>
      <c r="J3462" s="2" t="s">
        <v>12</v>
      </c>
      <c r="K3462" s="2" t="s">
        <v>4908</v>
      </c>
      <c r="L3462" s="2">
        <f t="shared" si="54"/>
        <v>150</v>
      </c>
    </row>
    <row r="3463" spans="1:12" ht="25" customHeight="1">
      <c r="A3463" s="2" t="s">
        <v>12</v>
      </c>
      <c r="B3463" s="2" t="str">
        <f>HYPERLINK("http://www.12365auto.com/zlts/20200223/448405.shtml","一汽奔腾T77漏水维修多次无法解决")</f>
        <v>一汽奔腾T77漏水维修多次无法解决</v>
      </c>
      <c r="C3463" s="2" t="s">
        <v>13</v>
      </c>
      <c r="D3463" s="2" t="s">
        <v>12</v>
      </c>
      <c r="E3463" s="2" t="s">
        <v>17</v>
      </c>
      <c r="F3463" s="2" t="str">
        <f>HYPERLINK("http://www.12365auto.com/zlts/20200223/448405.shtml","http://www.12365auto.com/zlts/20200223/448405.shtml")</f>
        <v>http://www.12365auto.com/zlts/20200223/448405.shtml</v>
      </c>
      <c r="G3463" s="2"/>
      <c r="H3463" s="2" t="s">
        <v>4909</v>
      </c>
      <c r="I3463" s="2" t="s">
        <v>19</v>
      </c>
      <c r="J3463" s="2" t="s">
        <v>12</v>
      </c>
      <c r="K3463" s="2" t="s">
        <v>4910</v>
      </c>
      <c r="L3463" s="2">
        <f t="shared" si="54"/>
        <v>150</v>
      </c>
    </row>
    <row r="3464" spans="1:12" ht="25" customHeight="1">
      <c r="A3464" s="2" t="s">
        <v>12</v>
      </c>
      <c r="B3464" s="2" t="str">
        <f>HYPERLINK("http://www.12365auto.com/zlts/20200223/448392.shtml","上汽大众凌渡低速行驶时变速箱顿挫异响")</f>
        <v>上汽大众凌渡低速行驶时变速箱顿挫异响</v>
      </c>
      <c r="C3464" s="2" t="s">
        <v>13</v>
      </c>
      <c r="D3464" s="2" t="s">
        <v>12</v>
      </c>
      <c r="E3464" s="2" t="s">
        <v>17</v>
      </c>
      <c r="F3464" s="2" t="str">
        <f>HYPERLINK("http://www.12365auto.com/zlts/20200223/448392.shtml","http://www.12365auto.com/zlts/20200223/448392.shtml")</f>
        <v>http://www.12365auto.com/zlts/20200223/448392.shtml</v>
      </c>
      <c r="G3464" s="2"/>
      <c r="H3464" s="2" t="s">
        <v>4911</v>
      </c>
      <c r="I3464" s="2" t="s">
        <v>19</v>
      </c>
      <c r="J3464" s="2" t="s">
        <v>12</v>
      </c>
      <c r="K3464" s="2" t="s">
        <v>4912</v>
      </c>
      <c r="L3464" s="2">
        <f t="shared" si="54"/>
        <v>150</v>
      </c>
    </row>
    <row r="3465" spans="1:12" ht="25" customHeight="1">
      <c r="A3465" s="2" t="s">
        <v>12</v>
      </c>
      <c r="B3465" s="2" t="str">
        <f>HYPERLINK("http://www.12365auto.com/zlts/20200223/448389.shtml","北京现代悦纳半轴油封渗油希望处理")</f>
        <v>北京现代悦纳半轴油封渗油希望处理</v>
      </c>
      <c r="C3465" s="2" t="s">
        <v>13</v>
      </c>
      <c r="D3465" s="2" t="s">
        <v>12</v>
      </c>
      <c r="E3465" s="2" t="s">
        <v>17</v>
      </c>
      <c r="F3465" s="2" t="str">
        <f>HYPERLINK("http://www.12365auto.com/zlts/20200223/448389.shtml","http://www.12365auto.com/zlts/20200223/448389.shtml")</f>
        <v>http://www.12365auto.com/zlts/20200223/448389.shtml</v>
      </c>
      <c r="G3465" s="2"/>
      <c r="H3465" s="2" t="s">
        <v>4913</v>
      </c>
      <c r="I3465" s="2" t="s">
        <v>19</v>
      </c>
      <c r="J3465" s="2" t="s">
        <v>12</v>
      </c>
      <c r="K3465" s="2" t="s">
        <v>4914</v>
      </c>
      <c r="L3465" s="2">
        <f t="shared" si="54"/>
        <v>150</v>
      </c>
    </row>
    <row r="3466" spans="1:12" ht="25" customHeight="1">
      <c r="A3466" s="2" t="s">
        <v>12</v>
      </c>
      <c r="B3466" s="2" t="str">
        <f>HYPERLINK("http://www.12365auto.com/zlts/20200223/448388.shtml","长安CS15发动机漏油 怠速不稳要求解决")</f>
        <v>长安CS15发动机漏油 怠速不稳要求解决</v>
      </c>
      <c r="C3466" s="2" t="s">
        <v>13</v>
      </c>
      <c r="D3466" s="2" t="s">
        <v>12</v>
      </c>
      <c r="E3466" s="2" t="s">
        <v>17</v>
      </c>
      <c r="F3466" s="2" t="str">
        <f>HYPERLINK("http://www.12365auto.com/zlts/20200223/448388.shtml","http://www.12365auto.com/zlts/20200223/448388.shtml")</f>
        <v>http://www.12365auto.com/zlts/20200223/448388.shtml</v>
      </c>
      <c r="G3466" s="2"/>
      <c r="H3466" s="2" t="s">
        <v>4915</v>
      </c>
      <c r="I3466" s="2" t="s">
        <v>19</v>
      </c>
      <c r="J3466" s="2" t="s">
        <v>12</v>
      </c>
      <c r="K3466" s="2" t="s">
        <v>4916</v>
      </c>
      <c r="L3466" s="2">
        <f t="shared" si="54"/>
        <v>150</v>
      </c>
    </row>
    <row r="3467" spans="1:12" ht="25" customHeight="1">
      <c r="A3467" s="2" t="s">
        <v>12</v>
      </c>
      <c r="B3467" s="2" t="str">
        <f>HYPERLINK("http://www.12365auto.com/zlts/20200223/448385.shtml","广汽菲克菲亚特菲翔无法换挡 发动机高温")</f>
        <v>广汽菲克菲亚特菲翔无法换挡 发动机高温</v>
      </c>
      <c r="C3467" s="2" t="s">
        <v>13</v>
      </c>
      <c r="D3467" s="2" t="s">
        <v>12</v>
      </c>
      <c r="E3467" s="2" t="s">
        <v>17</v>
      </c>
      <c r="F3467" s="2" t="str">
        <f>HYPERLINK("http://www.12365auto.com/zlts/20200223/448385.shtml","http://www.12365auto.com/zlts/20200223/448385.shtml")</f>
        <v>http://www.12365auto.com/zlts/20200223/448385.shtml</v>
      </c>
      <c r="G3467" s="2"/>
      <c r="H3467" s="2" t="s">
        <v>4917</v>
      </c>
      <c r="I3467" s="2" t="s">
        <v>19</v>
      </c>
      <c r="J3467" s="2" t="s">
        <v>12</v>
      </c>
      <c r="K3467" s="2" t="s">
        <v>4918</v>
      </c>
      <c r="L3467" s="2">
        <f t="shared" si="54"/>
        <v>150</v>
      </c>
    </row>
    <row r="3468" spans="1:12" ht="25" customHeight="1">
      <c r="A3468" s="2" t="s">
        <v>12</v>
      </c>
      <c r="B3468" s="2" t="str">
        <f>HYPERLINK("http://www.12365auto.com/zlts/20200223/448382.shtml","车机问题，再质保期，需要客户自费解决。。")</f>
        <v>车机问题，再质保期，需要客户自费解决。。</v>
      </c>
      <c r="C3468" s="2" t="s">
        <v>13</v>
      </c>
      <c r="D3468" s="2" t="s">
        <v>12</v>
      </c>
      <c r="E3468" s="2"/>
      <c r="F3468" s="2" t="str">
        <f>HYPERLINK("http://www.12365auto.com/zlts/20200223/448382.shtml","http://www.12365auto.com/zlts/20200223/448382.shtml")</f>
        <v>http://www.12365auto.com/zlts/20200223/448382.shtml</v>
      </c>
      <c r="G3468" s="2"/>
      <c r="H3468" s="3" t="s">
        <v>4919</v>
      </c>
      <c r="I3468" s="2" t="s">
        <v>15</v>
      </c>
      <c r="J3468" s="2" t="s">
        <v>12</v>
      </c>
      <c r="K3468" s="2" t="s">
        <v>4920</v>
      </c>
      <c r="L3468" s="2">
        <f t="shared" si="54"/>
        <v>93</v>
      </c>
    </row>
    <row r="3469" spans="1:12" ht="25" customHeight="1">
      <c r="A3469" s="2" t="s">
        <v>12</v>
      </c>
      <c r="B3469" s="2" t="str">
        <f>HYPERLINK("http://www.12365auto.com/zlts/20200223/448383.shtml","长安马自达昂克赛拉曲轴油封漏油")</f>
        <v>长安马自达昂克赛拉曲轴油封漏油</v>
      </c>
      <c r="C3469" s="2" t="s">
        <v>13</v>
      </c>
      <c r="D3469" s="2" t="s">
        <v>12</v>
      </c>
      <c r="E3469" s="2" t="s">
        <v>17</v>
      </c>
      <c r="F3469" s="2" t="str">
        <f>HYPERLINK("http://www.12365auto.com/zlts/20200223/448383.shtml","http://www.12365auto.com/zlts/20200223/448383.shtml")</f>
        <v>http://www.12365auto.com/zlts/20200223/448383.shtml</v>
      </c>
      <c r="G3469" s="2"/>
      <c r="H3469" s="2" t="s">
        <v>4921</v>
      </c>
      <c r="I3469" s="2" t="s">
        <v>19</v>
      </c>
      <c r="J3469" s="2" t="s">
        <v>12</v>
      </c>
      <c r="K3469" s="2" t="s">
        <v>4922</v>
      </c>
      <c r="L3469" s="2">
        <f t="shared" si="54"/>
        <v>150</v>
      </c>
    </row>
    <row r="3470" spans="1:12" ht="25" customHeight="1">
      <c r="A3470" s="2" t="s">
        <v>12</v>
      </c>
      <c r="B3470" s="2" t="str">
        <f>HYPERLINK("http://www.12365auto.com/zlts/20200223/448381.shtml","上汽大众帕萨特25%偏置碰撞时A柱断裂")</f>
        <v>上汽大众帕萨特25%偏置碰撞时A柱断裂</v>
      </c>
      <c r="C3470" s="2" t="s">
        <v>13</v>
      </c>
      <c r="D3470" s="2" t="s">
        <v>12</v>
      </c>
      <c r="E3470" s="2" t="s">
        <v>17</v>
      </c>
      <c r="F3470" s="2" t="str">
        <f>HYPERLINK("http://www.12365auto.com/zlts/20200223/448381.shtml","http://www.12365auto.com/zlts/20200223/448381.shtml")</f>
        <v>http://www.12365auto.com/zlts/20200223/448381.shtml</v>
      </c>
      <c r="G3470" s="2"/>
      <c r="H3470" s="2" t="s">
        <v>4923</v>
      </c>
      <c r="I3470" s="2" t="s">
        <v>19</v>
      </c>
      <c r="J3470" s="2" t="s">
        <v>12</v>
      </c>
      <c r="K3470" s="2" t="s">
        <v>4924</v>
      </c>
      <c r="L3470" s="2">
        <f t="shared" si="54"/>
        <v>150</v>
      </c>
    </row>
    <row r="3471" spans="1:12" ht="25" customHeight="1">
      <c r="A3471" s="2" t="s">
        <v>12</v>
      </c>
      <c r="B3471" s="2" t="str">
        <f>HYPERLINK("http://www.12365auto.com/zlts/20200223/448372.shtml","车子会自动点火，主副驾驶门板共振异响，方向跑偏")</f>
        <v>车子会自动点火，主副驾驶门板共振异响，方向跑偏</v>
      </c>
      <c r="C3471" s="2" t="s">
        <v>13</v>
      </c>
      <c r="D3471" s="2" t="s">
        <v>12</v>
      </c>
      <c r="E3471" s="2"/>
      <c r="F3471" s="2" t="str">
        <f>HYPERLINK("http://www.12365auto.com/zlts/20200223/448372.shtml","http://www.12365auto.com/zlts/20200223/448372.shtml")</f>
        <v>http://www.12365auto.com/zlts/20200223/448372.shtml</v>
      </c>
      <c r="G3471" s="2"/>
      <c r="H3471" s="2" t="s">
        <v>4926</v>
      </c>
      <c r="I3471" s="2" t="s">
        <v>15</v>
      </c>
      <c r="J3471" s="2" t="s">
        <v>12</v>
      </c>
      <c r="K3471" s="2" t="s">
        <v>4925</v>
      </c>
      <c r="L3471" s="2">
        <f t="shared" si="54"/>
        <v>84</v>
      </c>
    </row>
    <row r="3472" spans="1:12" ht="25" customHeight="1">
      <c r="A3472" s="2" t="s">
        <v>12</v>
      </c>
      <c r="B3472" s="2" t="str">
        <f>HYPERLINK("http://www.12365auto.com/zlts/20200223/448377.shtml","机油增多，动力弱，顿挫")</f>
        <v>机油增多，动力弱，顿挫</v>
      </c>
      <c r="C3472" s="2" t="s">
        <v>13</v>
      </c>
      <c r="D3472" s="2" t="s">
        <v>12</v>
      </c>
      <c r="E3472" s="2"/>
      <c r="F3472" s="2" t="str">
        <f>HYPERLINK("http://www.12365auto.com/zlts/20200223/448377.shtml","http://www.12365auto.com/zlts/20200223/448377.shtml")</f>
        <v>http://www.12365auto.com/zlts/20200223/448377.shtml</v>
      </c>
      <c r="G3472" s="2"/>
      <c r="H3472" s="5" t="s">
        <v>4927</v>
      </c>
      <c r="I3472" s="2" t="s">
        <v>15</v>
      </c>
      <c r="J3472" s="2" t="s">
        <v>12</v>
      </c>
      <c r="K3472" s="2" t="s">
        <v>4928</v>
      </c>
      <c r="L3472" s="2">
        <f t="shared" si="54"/>
        <v>108</v>
      </c>
    </row>
    <row r="3473" spans="1:12" ht="25" customHeight="1">
      <c r="A3473" s="2" t="s">
        <v>12</v>
      </c>
      <c r="B3473" s="2" t="str">
        <f>HYPERLINK("http://m.12365auto.com/topic/20200223/419301.shtml","宋广生：新冠疫情将促进车内环保行业创新")</f>
        <v>宋广生：新冠疫情将促进车内环保行业创新</v>
      </c>
      <c r="C3473" s="2" t="s">
        <v>13</v>
      </c>
      <c r="D3473" s="2" t="s">
        <v>12</v>
      </c>
      <c r="E3473" s="2"/>
      <c r="F3473" s="2" t="str">
        <f>HYPERLINK("http://m.12365auto.com/topic/20200223/419301.shtml","http://m.12365auto.com/topic/20200223/419301.shtml")</f>
        <v>http://m.12365auto.com/topic/20200223/419301.shtml</v>
      </c>
      <c r="G3473" s="2"/>
      <c r="H3473" s="2" t="s">
        <v>4929</v>
      </c>
      <c r="I3473" s="2" t="s">
        <v>19</v>
      </c>
      <c r="J3473" s="2" t="s">
        <v>12</v>
      </c>
      <c r="K3473" s="2" t="s">
        <v>4930</v>
      </c>
      <c r="L3473" s="2">
        <f t="shared" si="54"/>
        <v>150</v>
      </c>
    </row>
    <row r="3474" spans="1:12" ht="25" customHeight="1">
      <c r="A3474" s="2" t="s">
        <v>12</v>
      </c>
      <c r="B3474" s="2" t="str">
        <f>HYPERLINK("http://www.12365auto.com/zlts/20200223/448378.shtml","上汽名爵HS电瓶亏电发动机无法正常启动")</f>
        <v>上汽名爵HS电瓶亏电发动机无法正常启动</v>
      </c>
      <c r="C3474" s="2" t="s">
        <v>13</v>
      </c>
      <c r="D3474" s="2" t="s">
        <v>12</v>
      </c>
      <c r="E3474" s="2" t="s">
        <v>17</v>
      </c>
      <c r="F3474" s="2" t="str">
        <f>HYPERLINK("http://www.12365auto.com/zlts/20200223/448378.shtml","http://www.12365auto.com/zlts/20200223/448378.shtml")</f>
        <v>http://www.12365auto.com/zlts/20200223/448378.shtml</v>
      </c>
      <c r="G3474" s="2"/>
      <c r="H3474" s="2" t="s">
        <v>4931</v>
      </c>
      <c r="I3474" s="2" t="s">
        <v>19</v>
      </c>
      <c r="J3474" s="2" t="s">
        <v>12</v>
      </c>
      <c r="K3474" s="2" t="s">
        <v>4932</v>
      </c>
      <c r="L3474" s="2">
        <f t="shared" si="54"/>
        <v>150</v>
      </c>
    </row>
    <row r="3475" spans="1:12" ht="25" customHeight="1">
      <c r="A3475" s="2" t="s">
        <v>12</v>
      </c>
      <c r="B3475" s="2" t="str">
        <f>HYPERLINK("http://www.12365auto.com/zlts/20200223/448369.shtml","一汽大众探岳发动机加速无力且异响")</f>
        <v>一汽大众探岳发动机加速无力且异响</v>
      </c>
      <c r="C3475" s="2" t="s">
        <v>13</v>
      </c>
      <c r="D3475" s="2" t="s">
        <v>12</v>
      </c>
      <c r="E3475" s="2" t="s">
        <v>17</v>
      </c>
      <c r="F3475" s="2" t="str">
        <f>HYPERLINK("http://www.12365auto.com/zlts/20200223/448369.shtml","http://www.12365auto.com/zlts/20200223/448369.shtml")</f>
        <v>http://www.12365auto.com/zlts/20200223/448369.shtml</v>
      </c>
      <c r="G3475" s="2"/>
      <c r="H3475" s="2" t="s">
        <v>4933</v>
      </c>
      <c r="I3475" s="2" t="s">
        <v>19</v>
      </c>
      <c r="J3475" s="2" t="s">
        <v>12</v>
      </c>
      <c r="K3475" s="2" t="s">
        <v>4934</v>
      </c>
      <c r="L3475" s="2">
        <f t="shared" si="54"/>
        <v>150</v>
      </c>
    </row>
    <row r="3476" spans="1:12" ht="25" customHeight="1">
      <c r="A3476" s="2" t="s">
        <v>12</v>
      </c>
      <c r="B3476" s="2" t="str">
        <f>HYPERLINK("http://www.12365auto.com/zlts/20200223/448368.shtml","东南V3菱悦车门及车架大面积腐烂")</f>
        <v>东南V3菱悦车门及车架大面积腐烂</v>
      </c>
      <c r="C3476" s="2" t="s">
        <v>13</v>
      </c>
      <c r="D3476" s="2" t="s">
        <v>12</v>
      </c>
      <c r="E3476" s="2" t="s">
        <v>17</v>
      </c>
      <c r="F3476" s="2" t="str">
        <f>HYPERLINK("http://www.12365auto.com/zlts/20200223/448368.shtml","http://www.12365auto.com/zlts/20200223/448368.shtml")</f>
        <v>http://www.12365auto.com/zlts/20200223/448368.shtml</v>
      </c>
      <c r="G3476" s="2"/>
      <c r="H3476" s="2" t="s">
        <v>4935</v>
      </c>
      <c r="I3476" s="2" t="s">
        <v>19</v>
      </c>
      <c r="J3476" s="2" t="s">
        <v>12</v>
      </c>
      <c r="K3476" s="2" t="s">
        <v>4936</v>
      </c>
      <c r="L3476" s="2">
        <f t="shared" si="54"/>
        <v>150</v>
      </c>
    </row>
    <row r="3477" spans="1:12" ht="25" customHeight="1">
      <c r="A3477" s="2" t="s">
        <v>12</v>
      </c>
      <c r="B3477" s="2" t="str">
        <f>HYPERLINK("http://www.12365auto.com/zlts/20200223/448366.shtml","捷达VS5四条米其林轮胎开裂严重")</f>
        <v>捷达VS5四条米其林轮胎开裂严重</v>
      </c>
      <c r="C3477" s="2" t="s">
        <v>13</v>
      </c>
      <c r="D3477" s="2" t="s">
        <v>12</v>
      </c>
      <c r="E3477" s="2" t="s">
        <v>17</v>
      </c>
      <c r="F3477" s="2" t="str">
        <f>HYPERLINK("http://www.12365auto.com/zlts/20200223/448366.shtml","http://www.12365auto.com/zlts/20200223/448366.shtml")</f>
        <v>http://www.12365auto.com/zlts/20200223/448366.shtml</v>
      </c>
      <c r="G3477" s="2"/>
      <c r="H3477" s="2" t="s">
        <v>4937</v>
      </c>
      <c r="I3477" s="2" t="s">
        <v>19</v>
      </c>
      <c r="J3477" s="2" t="s">
        <v>12</v>
      </c>
      <c r="K3477" s="2" t="s">
        <v>4938</v>
      </c>
      <c r="L3477" s="2">
        <f t="shared" si="54"/>
        <v>150</v>
      </c>
    </row>
    <row r="3478" spans="1:12" ht="25" customHeight="1">
      <c r="A3478" s="2" t="s">
        <v>12</v>
      </c>
      <c r="B3478" s="2" t="str">
        <f>HYPERLINK("http://www.12365auto.com/zlts/20200223/448365.shtml","北京现代途胜升级后发动机噪音大油耗增加")</f>
        <v>北京现代途胜升级后发动机噪音大油耗增加</v>
      </c>
      <c r="C3478" s="2" t="s">
        <v>13</v>
      </c>
      <c r="D3478" s="2" t="s">
        <v>12</v>
      </c>
      <c r="E3478" s="2" t="s">
        <v>17</v>
      </c>
      <c r="F3478" s="2" t="str">
        <f>HYPERLINK("http://www.12365auto.com/zlts/20200223/448365.shtml","http://www.12365auto.com/zlts/20200223/448365.shtml")</f>
        <v>http://www.12365auto.com/zlts/20200223/448365.shtml</v>
      </c>
      <c r="G3478" s="2"/>
      <c r="H3478" s="2" t="s">
        <v>4939</v>
      </c>
      <c r="I3478" s="2" t="s">
        <v>15</v>
      </c>
      <c r="J3478" s="2" t="s">
        <v>12</v>
      </c>
      <c r="K3478" s="2" t="s">
        <v>4940</v>
      </c>
      <c r="L3478" s="2">
        <f t="shared" si="54"/>
        <v>150</v>
      </c>
    </row>
    <row r="3479" spans="1:12" ht="25" customHeight="1">
      <c r="A3479" s="2" t="s">
        <v>12</v>
      </c>
      <c r="B3479" s="2" t="str">
        <f>HYPERLINK("http://www.12365auto.com/zlts/20200223/448364.shtml","上汽大众朗逸车内异味明显引起身体不适")</f>
        <v>上汽大众朗逸车内异味明显引起身体不适</v>
      </c>
      <c r="C3479" s="2" t="s">
        <v>13</v>
      </c>
      <c r="D3479" s="2" t="s">
        <v>12</v>
      </c>
      <c r="E3479" s="2" t="s">
        <v>17</v>
      </c>
      <c r="F3479" s="2" t="str">
        <f>HYPERLINK("http://www.12365auto.com/zlts/20200223/448364.shtml","http://www.12365auto.com/zlts/20200223/448364.shtml")</f>
        <v>http://www.12365auto.com/zlts/20200223/448364.shtml</v>
      </c>
      <c r="G3479" s="2"/>
      <c r="H3479" s="2" t="s">
        <v>4941</v>
      </c>
      <c r="I3479" s="2" t="s">
        <v>15</v>
      </c>
      <c r="J3479" s="2" t="s">
        <v>12</v>
      </c>
      <c r="K3479" s="2" t="s">
        <v>4942</v>
      </c>
      <c r="L3479" s="2">
        <f t="shared" si="54"/>
        <v>150</v>
      </c>
    </row>
    <row r="3480" spans="1:12" ht="25" customHeight="1">
      <c r="A3480" s="2" t="s">
        <v>12</v>
      </c>
      <c r="B3480" s="2" t="str">
        <f>HYPERLINK("http://www.12365auto.com/zlts/20200223/448362.shtml","斯柯达明锐正常行驶中多次提示故障")</f>
        <v>斯柯达明锐正常行驶中多次提示故障</v>
      </c>
      <c r="C3480" s="2" t="s">
        <v>13</v>
      </c>
      <c r="D3480" s="2" t="s">
        <v>12</v>
      </c>
      <c r="E3480" s="2"/>
      <c r="F3480" s="2" t="str">
        <f>HYPERLINK("http://www.12365auto.com/zlts/20200223/448362.shtml","http://www.12365auto.com/zlts/20200223/448362.shtml")</f>
        <v>http://www.12365auto.com/zlts/20200223/448362.shtml</v>
      </c>
      <c r="G3480" s="2"/>
      <c r="H3480" s="3" t="s">
        <v>4943</v>
      </c>
      <c r="I3480" s="2" t="s">
        <v>15</v>
      </c>
      <c r="J3480" s="2" t="s">
        <v>12</v>
      </c>
      <c r="K3480" s="2" t="s">
        <v>4944</v>
      </c>
      <c r="L3480" s="2">
        <f t="shared" si="54"/>
        <v>101</v>
      </c>
    </row>
    <row r="3481" spans="1:12" ht="25" customHeight="1">
      <c r="A3481" s="2" t="s">
        <v>12</v>
      </c>
      <c r="B3481" s="2" t="str">
        <f>HYPERLINK("http://www.12365auto.com/zlts/20200223/448363.shtml","东风本田思域优科豪马轮胎磨损严重")</f>
        <v>东风本田思域优科豪马轮胎磨损严重</v>
      </c>
      <c r="C3481" s="2" t="s">
        <v>13</v>
      </c>
      <c r="D3481" s="2" t="s">
        <v>12</v>
      </c>
      <c r="E3481" s="2" t="s">
        <v>17</v>
      </c>
      <c r="F3481" s="2" t="str">
        <f>HYPERLINK("http://www.12365auto.com/zlts/20200223/448363.shtml","http://www.12365auto.com/zlts/20200223/448363.shtml")</f>
        <v>http://www.12365auto.com/zlts/20200223/448363.shtml</v>
      </c>
      <c r="G3481" s="2"/>
      <c r="H3481" s="2" t="s">
        <v>4945</v>
      </c>
      <c r="I3481" s="2" t="s">
        <v>15</v>
      </c>
      <c r="J3481" s="2" t="s">
        <v>12</v>
      </c>
      <c r="K3481" s="2" t="s">
        <v>4946</v>
      </c>
      <c r="L3481" s="2">
        <f t="shared" si="54"/>
        <v>150</v>
      </c>
    </row>
    <row r="3482" spans="1:12" ht="25" customHeight="1">
      <c r="A3482" s="2" t="s">
        <v>12</v>
      </c>
      <c r="B3482" s="2" t="str">
        <f>HYPERLINK("http://www.12365auto.com/zlts/20200223/448360.shtml","奇瑞瑞虎3车门爆漆生锈整体质量差")</f>
        <v>奇瑞瑞虎3车门爆漆生锈整体质量差</v>
      </c>
      <c r="C3482" s="2" t="s">
        <v>13</v>
      </c>
      <c r="D3482" s="2" t="s">
        <v>12</v>
      </c>
      <c r="E3482" s="2"/>
      <c r="F3482" s="2" t="str">
        <f>HYPERLINK("http://www.12365auto.com/zlts/20200223/448360.shtml","http://www.12365auto.com/zlts/20200223/448360.shtml")</f>
        <v>http://www.12365auto.com/zlts/20200223/448360.shtml</v>
      </c>
      <c r="G3482" s="2"/>
      <c r="H3482" s="3" t="s">
        <v>4947</v>
      </c>
      <c r="I3482" s="2" t="s">
        <v>15</v>
      </c>
      <c r="J3482" s="2" t="s">
        <v>12</v>
      </c>
      <c r="K3482" s="2" t="s">
        <v>4948</v>
      </c>
      <c r="L3482" s="2">
        <f t="shared" si="54"/>
        <v>112</v>
      </c>
    </row>
    <row r="3483" spans="1:12" ht="25" customHeight="1">
      <c r="A3483" s="2" t="s">
        <v>12</v>
      </c>
      <c r="B3483" s="2" t="str">
        <f>HYPERLINK("http://m.12365auto.com/zjdy/20200223/121553.shtml","新车发动机故障灯亮属于质量问题吗？")</f>
        <v>新车发动机故障灯亮属于质量问题吗？</v>
      </c>
      <c r="C3483" s="2" t="s">
        <v>13</v>
      </c>
      <c r="D3483" s="2" t="s">
        <v>12</v>
      </c>
      <c r="E3483" s="2"/>
      <c r="F3483" s="2" t="str">
        <f>HYPERLINK("http://m.12365auto.com/zjdy/20200223/121553.shtml","http://m.12365auto.com/zjdy/20200223/121553.shtml")</f>
        <v>http://m.12365auto.com/zjdy/20200223/121553.shtml</v>
      </c>
      <c r="G3483" s="2"/>
      <c r="H3483" s="2" t="s">
        <v>4949</v>
      </c>
      <c r="I3483" s="2" t="s">
        <v>19</v>
      </c>
      <c r="J3483" s="2" t="s">
        <v>12</v>
      </c>
      <c r="K3483" s="2" t="s">
        <v>4950</v>
      </c>
      <c r="L3483" s="2">
        <f t="shared" si="54"/>
        <v>46</v>
      </c>
    </row>
    <row r="3484" spans="1:12" ht="25" customHeight="1">
      <c r="A3484" s="2" t="s">
        <v>12</v>
      </c>
      <c r="B3484" s="2" t="str">
        <f>HYPERLINK("http://m.12365auto.com/zjdy/20200223/121552.shtml","2018款C-HR和2020款发动机有区别吗？")</f>
        <v>2018款C-HR和2020款发动机有区别吗？</v>
      </c>
      <c r="C3484" s="2" t="s">
        <v>13</v>
      </c>
      <c r="D3484" s="2" t="s">
        <v>12</v>
      </c>
      <c r="E3484" s="2"/>
      <c r="F3484" s="2" t="str">
        <f>HYPERLINK("http://m.12365auto.com/zjdy/20200223/121552.shtml","http://m.12365auto.com/zjdy/20200223/121552.shtml")</f>
        <v>http://m.12365auto.com/zjdy/20200223/121552.shtml</v>
      </c>
      <c r="G3484" s="2"/>
      <c r="H3484" s="2" t="s">
        <v>4951</v>
      </c>
      <c r="I3484" s="2" t="s">
        <v>19</v>
      </c>
      <c r="J3484" s="2" t="s">
        <v>12</v>
      </c>
      <c r="K3484" s="2" t="s">
        <v>4952</v>
      </c>
      <c r="L3484" s="2">
        <f t="shared" si="54"/>
        <v>50</v>
      </c>
    </row>
    <row r="3485" spans="1:12" ht="25" customHeight="1">
      <c r="A3485" s="2" t="s">
        <v>12</v>
      </c>
      <c r="B3485" s="2" t="str">
        <f>HYPERLINK("http://www.12365auto.com/zlts/20200223/448356.shtml","上汽大众帕萨特中保研测试A柱严重变形")</f>
        <v>上汽大众帕萨特中保研测试A柱严重变形</v>
      </c>
      <c r="C3485" s="2" t="s">
        <v>13</v>
      </c>
      <c r="D3485" s="2" t="s">
        <v>12</v>
      </c>
      <c r="E3485" s="2" t="s">
        <v>17</v>
      </c>
      <c r="F3485" s="2" t="str">
        <f>HYPERLINK("http://www.12365auto.com/zlts/20200223/448356.shtml","http://www.12365auto.com/zlts/20200223/448356.shtml")</f>
        <v>http://www.12365auto.com/zlts/20200223/448356.shtml</v>
      </c>
      <c r="G3485" s="2"/>
      <c r="H3485" s="2" t="s">
        <v>4953</v>
      </c>
      <c r="I3485" s="2" t="s">
        <v>15</v>
      </c>
      <c r="J3485" s="2" t="s">
        <v>12</v>
      </c>
      <c r="K3485" s="2" t="s">
        <v>4954</v>
      </c>
      <c r="L3485" s="2">
        <f t="shared" si="54"/>
        <v>150</v>
      </c>
    </row>
    <row r="3486" spans="1:12" ht="25" customHeight="1">
      <c r="A3486" s="2" t="s">
        <v>12</v>
      </c>
      <c r="B3486" s="2" t="str">
        <f>HYPERLINK("http://m.12365auto.com/zjdy/20200223/121550.shtml","2019款东风本田XR-V是国六B车型吗？")</f>
        <v>2019款东风本田XR-V是国六B车型吗？</v>
      </c>
      <c r="C3486" s="2" t="s">
        <v>13</v>
      </c>
      <c r="D3486" s="2" t="s">
        <v>12</v>
      </c>
      <c r="E3486" s="2"/>
      <c r="F3486" s="2" t="str">
        <f>HYPERLINK("http://m.12365auto.com/zjdy/20200223/121550.shtml","http://m.12365auto.com/zjdy/20200223/121550.shtml")</f>
        <v>http://m.12365auto.com/zjdy/20200223/121550.shtml</v>
      </c>
      <c r="G3486" s="2"/>
      <c r="H3486" s="2" t="s">
        <v>4955</v>
      </c>
      <c r="I3486" s="2" t="s">
        <v>19</v>
      </c>
      <c r="J3486" s="2" t="s">
        <v>12</v>
      </c>
      <c r="K3486" s="2" t="s">
        <v>4956</v>
      </c>
      <c r="L3486" s="2">
        <f t="shared" si="54"/>
        <v>21</v>
      </c>
    </row>
    <row r="3487" spans="1:12" ht="25" customHeight="1">
      <c r="A3487" s="2" t="s">
        <v>12</v>
      </c>
      <c r="B3487" s="2" t="str">
        <f>HYPERLINK("http://m.12365auto.com/zjdy/20200223/121548.shtml","CX-5本田CR-V以及RAV4使用成本如何？")</f>
        <v>CX-5本田CR-V以及RAV4使用成本如何？</v>
      </c>
      <c r="C3487" s="2" t="s">
        <v>13</v>
      </c>
      <c r="D3487" s="2" t="s">
        <v>12</v>
      </c>
      <c r="E3487" s="2"/>
      <c r="F3487" s="2" t="str">
        <f>HYPERLINK("http://m.12365auto.com/zjdy/20200223/121548.shtml","http://m.12365auto.com/zjdy/20200223/121548.shtml")</f>
        <v>http://m.12365auto.com/zjdy/20200223/121548.shtml</v>
      </c>
      <c r="G3487" s="2"/>
      <c r="H3487" s="2" t="s">
        <v>4957</v>
      </c>
      <c r="I3487" s="2" t="s">
        <v>19</v>
      </c>
      <c r="J3487" s="2" t="s">
        <v>12</v>
      </c>
      <c r="K3487" s="2" t="s">
        <v>4958</v>
      </c>
      <c r="L3487" s="2">
        <f t="shared" si="54"/>
        <v>66</v>
      </c>
    </row>
    <row r="3488" spans="1:12" ht="25" customHeight="1">
      <c r="A3488" s="2" t="s">
        <v>12</v>
      </c>
      <c r="B3488" s="2" t="str">
        <f>HYPERLINK("http://www.12365auto.com/zlts/20200223/448354.shtml","东风日产轩逸发动机故障灯亮 变速箱顿挫")</f>
        <v>东风日产轩逸发动机故障灯亮 变速箱顿挫</v>
      </c>
      <c r="C3488" s="2" t="s">
        <v>13</v>
      </c>
      <c r="D3488" s="2" t="s">
        <v>12</v>
      </c>
      <c r="E3488" s="2" t="s">
        <v>17</v>
      </c>
      <c r="F3488" s="2" t="str">
        <f>HYPERLINK("http://www.12365auto.com/zlts/20200223/448354.shtml","http://www.12365auto.com/zlts/20200223/448354.shtml")</f>
        <v>http://www.12365auto.com/zlts/20200223/448354.shtml</v>
      </c>
      <c r="G3488" s="2"/>
      <c r="H3488" s="2" t="s">
        <v>4959</v>
      </c>
      <c r="I3488" s="2" t="s">
        <v>19</v>
      </c>
      <c r="J3488" s="2" t="s">
        <v>12</v>
      </c>
      <c r="K3488" s="2" t="s">
        <v>4960</v>
      </c>
      <c r="L3488" s="2">
        <f t="shared" si="54"/>
        <v>150</v>
      </c>
    </row>
    <row r="3489" spans="1:12" ht="25" customHeight="1">
      <c r="A3489" s="2" t="s">
        <v>12</v>
      </c>
      <c r="B3489" s="2" t="str">
        <f>HYPERLINK("http://m.12365auto.com/zjdy/20200223/121547.shtml","发动机警示灯隔段时间会报警吗？")</f>
        <v>发动机警示灯隔段时间会报警吗？</v>
      </c>
      <c r="C3489" s="2" t="s">
        <v>13</v>
      </c>
      <c r="D3489" s="2" t="s">
        <v>12</v>
      </c>
      <c r="E3489" s="2"/>
      <c r="F3489" s="2" t="str">
        <f>HYPERLINK("http://m.12365auto.com/zjdy/20200223/121547.shtml","http://m.12365auto.com/zjdy/20200223/121547.shtml")</f>
        <v>http://m.12365auto.com/zjdy/20200223/121547.shtml</v>
      </c>
      <c r="G3489" s="2"/>
      <c r="H3489" s="2" t="s">
        <v>4961</v>
      </c>
      <c r="I3489" s="2" t="s">
        <v>19</v>
      </c>
      <c r="J3489" s="2" t="s">
        <v>12</v>
      </c>
      <c r="K3489" s="2" t="s">
        <v>4962</v>
      </c>
      <c r="L3489" s="2">
        <f t="shared" si="54"/>
        <v>15</v>
      </c>
    </row>
    <row r="3490" spans="1:12" ht="25" customHeight="1">
      <c r="A3490" s="2" t="s">
        <v>12</v>
      </c>
      <c r="B3490" s="2" t="str">
        <f>HYPERLINK("http://m.12365auto.com/zjdy/20200223/121549.shtml","4S店订购配件只能在固定时间操作吗？")</f>
        <v>4S店订购配件只能在固定时间操作吗？</v>
      </c>
      <c r="C3490" s="2" t="s">
        <v>13</v>
      </c>
      <c r="D3490" s="2" t="s">
        <v>12</v>
      </c>
      <c r="E3490" s="2"/>
      <c r="F3490" s="2" t="str">
        <f>HYPERLINK("http://m.12365auto.com/zjdy/20200223/121549.shtml","http://m.12365auto.com/zjdy/20200223/121549.shtml")</f>
        <v>http://m.12365auto.com/zjdy/20200223/121549.shtml</v>
      </c>
      <c r="G3490" s="2"/>
      <c r="H3490" s="2" t="s">
        <v>4963</v>
      </c>
      <c r="I3490" s="2" t="s">
        <v>19</v>
      </c>
      <c r="J3490" s="2" t="s">
        <v>12</v>
      </c>
      <c r="K3490" s="2" t="s">
        <v>4962</v>
      </c>
      <c r="L3490" s="2">
        <f t="shared" si="54"/>
        <v>62</v>
      </c>
    </row>
    <row r="3491" spans="1:12" ht="25" customHeight="1">
      <c r="A3491" s="2" t="s">
        <v>12</v>
      </c>
      <c r="B3491" s="2" t="str">
        <f>HYPERLINK("http://www.12365auto.com/zlts/20200223/448349.shtml","一汽丰田卡罗拉普利司通轮胎很多细小裂纹")</f>
        <v>一汽丰田卡罗拉普利司通轮胎很多细小裂纹</v>
      </c>
      <c r="C3491" s="2" t="s">
        <v>13</v>
      </c>
      <c r="D3491" s="2" t="s">
        <v>12</v>
      </c>
      <c r="E3491" s="2" t="s">
        <v>17</v>
      </c>
      <c r="F3491" s="2" t="str">
        <f>HYPERLINK("http://www.12365auto.com/zlts/20200223/448349.shtml","http://www.12365auto.com/zlts/20200223/448349.shtml")</f>
        <v>http://www.12365auto.com/zlts/20200223/448349.shtml</v>
      </c>
      <c r="G3491" s="2"/>
      <c r="H3491" s="2" t="s">
        <v>4964</v>
      </c>
      <c r="I3491" s="2" t="s">
        <v>19</v>
      </c>
      <c r="J3491" s="2" t="s">
        <v>12</v>
      </c>
      <c r="K3491" s="2" t="s">
        <v>4965</v>
      </c>
      <c r="L3491" s="2">
        <f t="shared" si="54"/>
        <v>150</v>
      </c>
    </row>
    <row r="3492" spans="1:12" ht="25" customHeight="1">
      <c r="A3492" s="2" t="s">
        <v>12</v>
      </c>
      <c r="B3492" s="2" t="str">
        <f>HYPERLINK("http://www.12365auto.com/zlts/20200223/448348.shtml","吉利帝豪后挡风玻璃与车身缝隙生锈")</f>
        <v>吉利帝豪后挡风玻璃与车身缝隙生锈</v>
      </c>
      <c r="C3492" s="2" t="s">
        <v>13</v>
      </c>
      <c r="D3492" s="2" t="s">
        <v>12</v>
      </c>
      <c r="E3492" s="2" t="s">
        <v>17</v>
      </c>
      <c r="F3492" s="2" t="str">
        <f>HYPERLINK("http://www.12365auto.com/zlts/20200223/448348.shtml","http://www.12365auto.com/zlts/20200223/448348.shtml")</f>
        <v>http://www.12365auto.com/zlts/20200223/448348.shtml</v>
      </c>
      <c r="G3492" s="2"/>
      <c r="H3492" s="2" t="s">
        <v>4966</v>
      </c>
      <c r="I3492" s="2" t="s">
        <v>19</v>
      </c>
      <c r="J3492" s="2" t="s">
        <v>12</v>
      </c>
      <c r="K3492" s="2" t="s">
        <v>4967</v>
      </c>
      <c r="L3492" s="2">
        <f t="shared" si="54"/>
        <v>150</v>
      </c>
    </row>
    <row r="3493" spans="1:12" ht="25" customHeight="1">
      <c r="A3493" s="2" t="s">
        <v>12</v>
      </c>
      <c r="B3493" s="2" t="str">
        <f>HYPERLINK("http://m.12365auto.com/zjdy/20200223/121546.shtml","安装发动机下护板影响变速箱散热吗？")</f>
        <v>安装发动机下护板影响变速箱散热吗？</v>
      </c>
      <c r="C3493" s="2" t="s">
        <v>13</v>
      </c>
      <c r="D3493" s="2" t="s">
        <v>12</v>
      </c>
      <c r="E3493" s="2"/>
      <c r="F3493" s="2" t="str">
        <f>HYPERLINK("http://m.12365auto.com/zjdy/20200223/121546.shtml","http://m.12365auto.com/zjdy/20200223/121546.shtml")</f>
        <v>http://m.12365auto.com/zjdy/20200223/121546.shtml</v>
      </c>
      <c r="G3493" s="2"/>
      <c r="H3493" s="2" t="s">
        <v>4968</v>
      </c>
      <c r="I3493" s="2" t="s">
        <v>19</v>
      </c>
      <c r="J3493" s="2" t="s">
        <v>12</v>
      </c>
      <c r="K3493" s="2" t="s">
        <v>4969</v>
      </c>
      <c r="L3493" s="2">
        <f t="shared" si="54"/>
        <v>21</v>
      </c>
    </row>
    <row r="3494" spans="1:12" ht="25" customHeight="1">
      <c r="A3494" s="2" t="s">
        <v>12</v>
      </c>
      <c r="B3494" s="2" t="str">
        <f>HYPERLINK("http://www.12365auto.com/zlts/20200223/448347.shtml","一汽大众奥迪A3副驾驶座椅真皮出现皱褶")</f>
        <v>一汽大众奥迪A3副驾驶座椅真皮出现皱褶</v>
      </c>
      <c r="C3494" s="2" t="s">
        <v>13</v>
      </c>
      <c r="D3494" s="2" t="s">
        <v>12</v>
      </c>
      <c r="E3494" s="2" t="s">
        <v>17</v>
      </c>
      <c r="F3494" s="2" t="str">
        <f>HYPERLINK("http://www.12365auto.com/zlts/20200223/448347.shtml","http://www.12365auto.com/zlts/20200223/448347.shtml")</f>
        <v>http://www.12365auto.com/zlts/20200223/448347.shtml</v>
      </c>
      <c r="G3494" s="2"/>
      <c r="H3494" s="2" t="s">
        <v>4970</v>
      </c>
      <c r="I3494" s="2" t="s">
        <v>15</v>
      </c>
      <c r="J3494" s="2" t="s">
        <v>12</v>
      </c>
      <c r="K3494" s="2" t="s">
        <v>4971</v>
      </c>
      <c r="L3494" s="2">
        <f t="shared" si="54"/>
        <v>150</v>
      </c>
    </row>
    <row r="3495" spans="1:12" ht="25" customHeight="1">
      <c r="A3495" s="2" t="s">
        <v>12</v>
      </c>
      <c r="B3495" s="2" t="str">
        <f>HYPERLINK("http://www.12365auto.com/zlts/20200223/448346.shtml","吉利帝豪新能源加热器损坏无法使用暖风")</f>
        <v>吉利帝豪新能源加热器损坏无法使用暖风</v>
      </c>
      <c r="C3495" s="2" t="s">
        <v>13</v>
      </c>
      <c r="D3495" s="2" t="s">
        <v>12</v>
      </c>
      <c r="E3495" s="2" t="s">
        <v>17</v>
      </c>
      <c r="F3495" s="2" t="str">
        <f>HYPERLINK("http://www.12365auto.com/zlts/20200223/448346.shtml","http://www.12365auto.com/zlts/20200223/448346.shtml")</f>
        <v>http://www.12365auto.com/zlts/20200223/448346.shtml</v>
      </c>
      <c r="G3495" s="2"/>
      <c r="H3495" s="2" t="s">
        <v>4972</v>
      </c>
      <c r="I3495" s="2" t="s">
        <v>15</v>
      </c>
      <c r="J3495" s="2" t="s">
        <v>12</v>
      </c>
      <c r="K3495" s="2" t="s">
        <v>4973</v>
      </c>
      <c r="L3495" s="2">
        <f t="shared" si="54"/>
        <v>150</v>
      </c>
    </row>
    <row r="3496" spans="1:12" ht="25" customHeight="1">
      <c r="A3496" s="2" t="s">
        <v>12</v>
      </c>
      <c r="B3496" s="2" t="str">
        <f>HYPERLINK("http://www.12365auto.com/zlts/20200223/448344.shtml","北汽昌河福瑞达K22行驶跑偏一直无配件")</f>
        <v>北汽昌河福瑞达K22行驶跑偏一直无配件</v>
      </c>
      <c r="C3496" s="2" t="s">
        <v>13</v>
      </c>
      <c r="D3496" s="2" t="s">
        <v>12</v>
      </c>
      <c r="E3496" s="2" t="s">
        <v>17</v>
      </c>
      <c r="F3496" s="2" t="str">
        <f>HYPERLINK("http://www.12365auto.com/zlts/20200223/448344.shtml","http://www.12365auto.com/zlts/20200223/448344.shtml")</f>
        <v>http://www.12365auto.com/zlts/20200223/448344.shtml</v>
      </c>
      <c r="G3496" s="2"/>
      <c r="H3496" s="2" t="s">
        <v>4974</v>
      </c>
      <c r="I3496" s="2" t="s">
        <v>19</v>
      </c>
      <c r="J3496" s="2" t="s">
        <v>12</v>
      </c>
      <c r="K3496" s="2" t="s">
        <v>4975</v>
      </c>
      <c r="L3496" s="2">
        <f t="shared" si="54"/>
        <v>150</v>
      </c>
    </row>
    <row r="3497" spans="1:12" ht="25" customHeight="1">
      <c r="A3497" s="2" t="s">
        <v>12</v>
      </c>
      <c r="B3497" s="2" t="str">
        <f>HYPERLINK("http://www.12365auto.com/zlts/20200223/448343.shtml","中控台裂开")</f>
        <v>中控台裂开</v>
      </c>
      <c r="C3497" s="2" t="s">
        <v>13</v>
      </c>
      <c r="D3497" s="2" t="s">
        <v>12</v>
      </c>
      <c r="E3497" s="2"/>
      <c r="F3497" s="2" t="str">
        <f>HYPERLINK("http://www.12365auto.com/zlts/20200223/448343.shtml","http://www.12365auto.com/zlts/20200223/448343.shtml")</f>
        <v>http://www.12365auto.com/zlts/20200223/448343.shtml</v>
      </c>
      <c r="G3497" s="2"/>
      <c r="H3497" s="3" t="s">
        <v>4976</v>
      </c>
      <c r="I3497" s="2" t="s">
        <v>15</v>
      </c>
      <c r="J3497" s="2" t="s">
        <v>12</v>
      </c>
      <c r="K3497" s="2" t="s">
        <v>4977</v>
      </c>
      <c r="L3497" s="2">
        <f t="shared" si="54"/>
        <v>103</v>
      </c>
    </row>
    <row r="3498" spans="1:12" ht="25" customHeight="1">
      <c r="A3498" s="2" t="s">
        <v>12</v>
      </c>
      <c r="B3498" s="2" t="str">
        <f>HYPERLINK("http://m.12365auto.com/zjdy/20200223/121545.shtml","4S店无故收取解押费用是否合理？")</f>
        <v>4S店无故收取解押费用是否合理？</v>
      </c>
      <c r="C3498" s="2" t="s">
        <v>13</v>
      </c>
      <c r="D3498" s="2" t="s">
        <v>12</v>
      </c>
      <c r="E3498" s="2"/>
      <c r="F3498" s="2" t="str">
        <f>HYPERLINK("http://m.12365auto.com/zjdy/20200223/121545.shtml","http://m.12365auto.com/zjdy/20200223/121545.shtml")</f>
        <v>http://m.12365auto.com/zjdy/20200223/121545.shtml</v>
      </c>
      <c r="G3498" s="2"/>
      <c r="H3498" s="2" t="s">
        <v>4978</v>
      </c>
      <c r="I3498" s="2" t="s">
        <v>19</v>
      </c>
      <c r="J3498" s="2" t="s">
        <v>12</v>
      </c>
      <c r="K3498" s="2" t="s">
        <v>4979</v>
      </c>
      <c r="L3498" s="2">
        <f t="shared" si="54"/>
        <v>22</v>
      </c>
    </row>
    <row r="3499" spans="1:12" ht="25" customHeight="1">
      <c r="A3499" s="2" t="s">
        <v>12</v>
      </c>
      <c r="B3499" s="2" t="str">
        <f>HYPERLINK("http://www.12365auto.com/zlts/20200223/448335.shtml","上汽大众帕萨特A柱变形 二挡降一挡异响")</f>
        <v>上汽大众帕萨特A柱变形 二挡降一挡异响</v>
      </c>
      <c r="C3499" s="2" t="s">
        <v>13</v>
      </c>
      <c r="D3499" s="2" t="s">
        <v>12</v>
      </c>
      <c r="E3499" s="2"/>
      <c r="F3499" s="2" t="str">
        <f>HYPERLINK("http://www.12365auto.com/zlts/20200223/448335.shtml","http://www.12365auto.com/zlts/20200223/448335.shtml")</f>
        <v>http://www.12365auto.com/zlts/20200223/448335.shtml</v>
      </c>
      <c r="G3499" s="2"/>
      <c r="H3499" s="3" t="s">
        <v>4980</v>
      </c>
      <c r="I3499" s="2" t="s">
        <v>15</v>
      </c>
      <c r="J3499" s="2" t="s">
        <v>12</v>
      </c>
      <c r="K3499" s="2" t="s">
        <v>4981</v>
      </c>
      <c r="L3499" s="2">
        <f t="shared" si="54"/>
        <v>124</v>
      </c>
    </row>
    <row r="3500" spans="1:12" ht="25" customHeight="1">
      <c r="A3500" s="2" t="s">
        <v>12</v>
      </c>
      <c r="B3500" s="2" t="str">
        <f>HYPERLINK("http://m.12365auto.com/zjdy/20200223/121543.shtml","一汽大众奥迪A6L整体的质量如何？")</f>
        <v>一汽大众奥迪A6L整体的质量如何？</v>
      </c>
      <c r="C3500" s="2" t="s">
        <v>13</v>
      </c>
      <c r="D3500" s="2" t="s">
        <v>12</v>
      </c>
      <c r="E3500" s="2"/>
      <c r="F3500" s="2" t="str">
        <f>HYPERLINK("http://m.12365auto.com/zjdy/20200223/121543.shtml","http://m.12365auto.com/zjdy/20200223/121543.shtml")</f>
        <v>http://m.12365auto.com/zjdy/20200223/121543.shtml</v>
      </c>
      <c r="G3500" s="2"/>
      <c r="H3500" s="2" t="s">
        <v>4982</v>
      </c>
      <c r="I3500" s="2" t="s">
        <v>19</v>
      </c>
      <c r="J3500" s="2" t="s">
        <v>12</v>
      </c>
      <c r="K3500" s="2" t="s">
        <v>4983</v>
      </c>
      <c r="L3500" s="2">
        <f t="shared" si="54"/>
        <v>23</v>
      </c>
    </row>
    <row r="3501" spans="1:12" ht="25" customHeight="1">
      <c r="A3501" s="2" t="s">
        <v>12</v>
      </c>
      <c r="B3501" s="2" t="str">
        <f>HYPERLINK("http://m.12365auto.com/zjdy/20200223/121544.shtml","哈弗H6变速器功能受限问题可以解决吗？")</f>
        <v>哈弗H6变速器功能受限问题可以解决吗？</v>
      </c>
      <c r="C3501" s="2" t="s">
        <v>13</v>
      </c>
      <c r="D3501" s="2" t="s">
        <v>12</v>
      </c>
      <c r="E3501" s="2"/>
      <c r="F3501" s="2" t="str">
        <f>HYPERLINK("http://m.12365auto.com/zjdy/20200223/121544.shtml","http://m.12365auto.com/zjdy/20200223/121544.shtml")</f>
        <v>http://m.12365auto.com/zjdy/20200223/121544.shtml</v>
      </c>
      <c r="G3501" s="2"/>
      <c r="H3501" s="2" t="s">
        <v>4984</v>
      </c>
      <c r="I3501" s="2" t="s">
        <v>19</v>
      </c>
      <c r="J3501" s="2" t="s">
        <v>12</v>
      </c>
      <c r="K3501" s="2" t="s">
        <v>4985</v>
      </c>
      <c r="L3501" s="2">
        <f t="shared" si="54"/>
        <v>28</v>
      </c>
    </row>
    <row r="3502" spans="1:12" ht="25" customHeight="1">
      <c r="A3502" s="2" t="s">
        <v>12</v>
      </c>
      <c r="B3502" s="2" t="str">
        <f>HYPERLINK("http://www.12365auto.com/zlts/20200223/448340.shtml","一汽大众迈腾变速箱机电控制单元损坏")</f>
        <v>一汽大众迈腾变速箱机电控制单元损坏</v>
      </c>
      <c r="C3502" s="2" t="s">
        <v>13</v>
      </c>
      <c r="D3502" s="2" t="s">
        <v>12</v>
      </c>
      <c r="E3502" s="2" t="s">
        <v>17</v>
      </c>
      <c r="F3502" s="2" t="str">
        <f>HYPERLINK("http://www.12365auto.com/zlts/20200223/448340.shtml","http://www.12365auto.com/zlts/20200223/448340.shtml")</f>
        <v>http://www.12365auto.com/zlts/20200223/448340.shtml</v>
      </c>
      <c r="G3502" s="2"/>
      <c r="H3502" s="2" t="s">
        <v>4986</v>
      </c>
      <c r="I3502" s="2" t="s">
        <v>19</v>
      </c>
      <c r="J3502" s="2" t="s">
        <v>12</v>
      </c>
      <c r="K3502" s="2" t="s">
        <v>4987</v>
      </c>
      <c r="L3502" s="2">
        <f t="shared" si="54"/>
        <v>150</v>
      </c>
    </row>
    <row r="3503" spans="1:12" ht="25" customHeight="1">
      <c r="A3503" s="2" t="s">
        <v>12</v>
      </c>
      <c r="B3503" s="2" t="str">
        <f>HYPERLINK("http://www.12365auto.com/zlts/20200223/448339.shtml","华晨宝马X3车辆行驶不平顺颠簸晃动")</f>
        <v>华晨宝马X3车辆行驶不平顺颠簸晃动</v>
      </c>
      <c r="C3503" s="2" t="s">
        <v>13</v>
      </c>
      <c r="D3503" s="2" t="s">
        <v>12</v>
      </c>
      <c r="E3503" s="2" t="s">
        <v>17</v>
      </c>
      <c r="F3503" s="2" t="str">
        <f>HYPERLINK("http://www.12365auto.com/zlts/20200223/448339.shtml","http://www.12365auto.com/zlts/20200223/448339.shtml")</f>
        <v>http://www.12365auto.com/zlts/20200223/448339.shtml</v>
      </c>
      <c r="G3503" s="2"/>
      <c r="H3503" s="2" t="s">
        <v>4988</v>
      </c>
      <c r="I3503" s="2" t="s">
        <v>19</v>
      </c>
      <c r="J3503" s="2" t="s">
        <v>12</v>
      </c>
      <c r="K3503" s="2" t="s">
        <v>4989</v>
      </c>
      <c r="L3503" s="2">
        <f t="shared" si="54"/>
        <v>150</v>
      </c>
    </row>
    <row r="3504" spans="1:12" ht="25" customHeight="1">
      <c r="A3504" s="2" t="s">
        <v>12</v>
      </c>
      <c r="B3504" s="2" t="str">
        <f>HYPERLINK("http://www.12365auto.com/zlts/20200223/448338.shtml","东风日产天籁发动机与变速箱连接处漏油")</f>
        <v>东风日产天籁发动机与变速箱连接处漏油</v>
      </c>
      <c r="C3504" s="2" t="s">
        <v>13</v>
      </c>
      <c r="D3504" s="2" t="s">
        <v>12</v>
      </c>
      <c r="E3504" s="2" t="s">
        <v>17</v>
      </c>
      <c r="F3504" s="2" t="str">
        <f>HYPERLINK("http://www.12365auto.com/zlts/20200223/448338.shtml","http://www.12365auto.com/zlts/20200223/448338.shtml")</f>
        <v>http://www.12365auto.com/zlts/20200223/448338.shtml</v>
      </c>
      <c r="G3504" s="2"/>
      <c r="H3504" s="2" t="s">
        <v>4990</v>
      </c>
      <c r="I3504" s="2" t="s">
        <v>19</v>
      </c>
      <c r="J3504" s="2" t="s">
        <v>12</v>
      </c>
      <c r="K3504" s="2" t="s">
        <v>4991</v>
      </c>
      <c r="L3504" s="2">
        <f t="shared" si="54"/>
        <v>150</v>
      </c>
    </row>
    <row r="3505" spans="1:12" ht="25" customHeight="1">
      <c r="A3505" s="2" t="s">
        <v>12</v>
      </c>
      <c r="B3505" s="2" t="str">
        <f>HYPERLINK("http://www.12365auto.com/zlts/20200223/448327.shtml","江铃福特领界电瓶亏电导致车辆无法启动")</f>
        <v>江铃福特领界电瓶亏电导致车辆无法启动</v>
      </c>
      <c r="C3505" s="2" t="s">
        <v>13</v>
      </c>
      <c r="D3505" s="2" t="s">
        <v>12</v>
      </c>
      <c r="E3505" s="2"/>
      <c r="F3505" s="2" t="str">
        <f>HYPERLINK("http://www.12365auto.com/zlts/20200223/448327.shtml","http://www.12365auto.com/zlts/20200223/448327.shtml")</f>
        <v>http://www.12365auto.com/zlts/20200223/448327.shtml</v>
      </c>
      <c r="G3505" s="2"/>
      <c r="H3505" s="3" t="s">
        <v>4992</v>
      </c>
      <c r="I3505" s="2" t="s">
        <v>15</v>
      </c>
      <c r="J3505" s="2" t="s">
        <v>12</v>
      </c>
      <c r="K3505" s="2" t="s">
        <v>4993</v>
      </c>
      <c r="L3505" s="2">
        <f t="shared" si="54"/>
        <v>129</v>
      </c>
    </row>
    <row r="3506" spans="1:12" ht="25" customHeight="1">
      <c r="A3506" s="2" t="s">
        <v>12</v>
      </c>
      <c r="B3506" s="2" t="str">
        <f>HYPERLINK("http://www.12365auto.com/zlts/20200223/448337.shtml","东风日产轩逸变速箱顿挫明显抖动")</f>
        <v>东风日产轩逸变速箱顿挫明显抖动</v>
      </c>
      <c r="C3506" s="2" t="s">
        <v>13</v>
      </c>
      <c r="D3506" s="2" t="s">
        <v>12</v>
      </c>
      <c r="E3506" s="2" t="s">
        <v>17</v>
      </c>
      <c r="F3506" s="2" t="str">
        <f>HYPERLINK("http://www.12365auto.com/zlts/20200223/448337.shtml","http://www.12365auto.com/zlts/20200223/448337.shtml")</f>
        <v>http://www.12365auto.com/zlts/20200223/448337.shtml</v>
      </c>
      <c r="G3506" s="2"/>
      <c r="H3506" s="2" t="s">
        <v>4994</v>
      </c>
      <c r="I3506" s="2" t="s">
        <v>19</v>
      </c>
      <c r="J3506" s="2" t="s">
        <v>12</v>
      </c>
      <c r="K3506" s="2" t="s">
        <v>4995</v>
      </c>
      <c r="L3506" s="2">
        <f t="shared" si="54"/>
        <v>150</v>
      </c>
    </row>
    <row r="3507" spans="1:12" ht="25" customHeight="1">
      <c r="A3507" s="2" t="s">
        <v>12</v>
      </c>
      <c r="B3507" s="2" t="str">
        <f>HYPERLINK("http://www.12365auto.com/zlts/20200223/448336.shtml","宝骏560座椅塌陷变形 变速箱频繁故障")</f>
        <v>宝骏560座椅塌陷变形 变速箱频繁故障</v>
      </c>
      <c r="C3507" s="2" t="s">
        <v>13</v>
      </c>
      <c r="D3507" s="2" t="s">
        <v>12</v>
      </c>
      <c r="E3507" s="2" t="s">
        <v>17</v>
      </c>
      <c r="F3507" s="2" t="str">
        <f>HYPERLINK("http://www.12365auto.com/zlts/20200223/448336.shtml","http://www.12365auto.com/zlts/20200223/448336.shtml")</f>
        <v>http://www.12365auto.com/zlts/20200223/448336.shtml</v>
      </c>
      <c r="G3507" s="2"/>
      <c r="H3507" s="2" t="s">
        <v>4996</v>
      </c>
      <c r="I3507" s="2" t="s">
        <v>19</v>
      </c>
      <c r="J3507" s="2" t="s">
        <v>12</v>
      </c>
      <c r="K3507" s="2" t="s">
        <v>4997</v>
      </c>
      <c r="L3507" s="2">
        <f t="shared" si="54"/>
        <v>150</v>
      </c>
    </row>
    <row r="3508" spans="1:12" ht="25" customHeight="1">
      <c r="A3508" s="2" t="s">
        <v>12</v>
      </c>
      <c r="B3508" s="2" t="str">
        <f>HYPERLINK("http://www.12365auto.com/zlts/20200223/448333.shtml","一汽马自达阿特兹音响存在电流声")</f>
        <v>一汽马自达阿特兹音响存在电流声</v>
      </c>
      <c r="C3508" s="2" t="s">
        <v>13</v>
      </c>
      <c r="D3508" s="2" t="s">
        <v>12</v>
      </c>
      <c r="E3508" s="2" t="s">
        <v>17</v>
      </c>
      <c r="F3508" s="2" t="str">
        <f>HYPERLINK("http://www.12365auto.com/zlts/20200223/448333.shtml","http://www.12365auto.com/zlts/20200223/448333.shtml")</f>
        <v>http://www.12365auto.com/zlts/20200223/448333.shtml</v>
      </c>
      <c r="G3508" s="2"/>
      <c r="H3508" s="2" t="s">
        <v>4998</v>
      </c>
      <c r="I3508" s="2" t="s">
        <v>19</v>
      </c>
      <c r="J3508" s="2" t="s">
        <v>12</v>
      </c>
      <c r="K3508" s="2" t="s">
        <v>4999</v>
      </c>
      <c r="L3508" s="2">
        <f t="shared" si="54"/>
        <v>150</v>
      </c>
    </row>
    <row r="3509" spans="1:12" ht="25" customHeight="1">
      <c r="A3509" s="2" t="s">
        <v>12</v>
      </c>
      <c r="B3509" s="2" t="str">
        <f>HYPERLINK("http://www.12365auto.com/zlts/20200223/448317.shtml","一汽红旗H5购买新车生产时间超过6个月")</f>
        <v>一汽红旗H5购买新车生产时间超过6个月</v>
      </c>
      <c r="C3509" s="2" t="s">
        <v>13</v>
      </c>
      <c r="D3509" s="2" t="s">
        <v>12</v>
      </c>
      <c r="E3509" s="2"/>
      <c r="F3509" s="2" t="str">
        <f>HYPERLINK("http://www.12365auto.com/zlts/20200223/448317.shtml","http://www.12365auto.com/zlts/20200223/448317.shtml")</f>
        <v>http://www.12365auto.com/zlts/20200223/448317.shtml</v>
      </c>
      <c r="G3509" s="2"/>
      <c r="H3509" s="3" t="s">
        <v>5000</v>
      </c>
      <c r="I3509" s="2" t="s">
        <v>15</v>
      </c>
      <c r="J3509" s="2" t="s">
        <v>12</v>
      </c>
      <c r="K3509" s="2" t="s">
        <v>5001</v>
      </c>
      <c r="L3509" s="2">
        <f t="shared" si="54"/>
        <v>114</v>
      </c>
    </row>
    <row r="3510" spans="1:12" ht="25" customHeight="1">
      <c r="A3510" s="2" t="s">
        <v>12</v>
      </c>
      <c r="B3510" s="2" t="str">
        <f>HYPERLINK("http://www.12365auto.com/zlts/20200223/448332.shtml","广汽本田飞度ABS功能丧失存在安全隐患")</f>
        <v>广汽本田飞度ABS功能丧失存在安全隐患</v>
      </c>
      <c r="C3510" s="2" t="s">
        <v>13</v>
      </c>
      <c r="D3510" s="2" t="s">
        <v>12</v>
      </c>
      <c r="E3510" s="2" t="s">
        <v>17</v>
      </c>
      <c r="F3510" s="2" t="str">
        <f>HYPERLINK("http://www.12365auto.com/zlts/20200223/448332.shtml","http://www.12365auto.com/zlts/20200223/448332.shtml")</f>
        <v>http://www.12365auto.com/zlts/20200223/448332.shtml</v>
      </c>
      <c r="G3510" s="2"/>
      <c r="H3510" s="2" t="s">
        <v>5002</v>
      </c>
      <c r="I3510" s="2" t="s">
        <v>19</v>
      </c>
      <c r="J3510" s="2" t="s">
        <v>12</v>
      </c>
      <c r="K3510" s="2" t="s">
        <v>5003</v>
      </c>
      <c r="L3510" s="2">
        <f t="shared" si="54"/>
        <v>150</v>
      </c>
    </row>
    <row r="3511" spans="1:12" ht="25" customHeight="1">
      <c r="A3511" s="2" t="s">
        <v>12</v>
      </c>
      <c r="B3511" s="2" t="str">
        <f>HYPERLINK("http://www.12365auto.com/zlts/20200223/448314.shtml","比亚迪秦新能源充电跳枪 配件不发货")</f>
        <v>比亚迪秦新能源充电跳枪 配件不发货</v>
      </c>
      <c r="C3511" s="2" t="s">
        <v>13</v>
      </c>
      <c r="D3511" s="2" t="s">
        <v>12</v>
      </c>
      <c r="E3511" s="2"/>
      <c r="F3511" s="2" t="str">
        <f>HYPERLINK("http://www.12365auto.com/zlts/20200223/448314.shtml","http://www.12365auto.com/zlts/20200223/448314.shtml")</f>
        <v>http://www.12365auto.com/zlts/20200223/448314.shtml</v>
      </c>
      <c r="G3511" s="2"/>
      <c r="H3511" s="3" t="s">
        <v>5004</v>
      </c>
      <c r="I3511" s="2" t="s">
        <v>15</v>
      </c>
      <c r="J3511" s="2" t="s">
        <v>12</v>
      </c>
      <c r="K3511" s="2" t="s">
        <v>5005</v>
      </c>
      <c r="L3511" s="2">
        <f t="shared" si="54"/>
        <v>119</v>
      </c>
    </row>
    <row r="3512" spans="1:12" ht="25" customHeight="1">
      <c r="A3512" s="2" t="s">
        <v>12</v>
      </c>
      <c r="B3512" s="2" t="str">
        <f>HYPERLINK("http://www.12365auto.com/zlts/20200223/448330.shtml","东风雪铁龙C4L方向盘松动轴承损坏")</f>
        <v>东风雪铁龙C4L方向盘松动轴承损坏</v>
      </c>
      <c r="C3512" s="2" t="s">
        <v>13</v>
      </c>
      <c r="D3512" s="2" t="s">
        <v>12</v>
      </c>
      <c r="E3512" s="2" t="s">
        <v>17</v>
      </c>
      <c r="F3512" s="2" t="str">
        <f>HYPERLINK("http://www.12365auto.com/zlts/20200223/448330.shtml","http://www.12365auto.com/zlts/20200223/448330.shtml")</f>
        <v>http://www.12365auto.com/zlts/20200223/448330.shtml</v>
      </c>
      <c r="G3512" s="2"/>
      <c r="H3512" s="2" t="s">
        <v>5006</v>
      </c>
      <c r="I3512" s="2" t="s">
        <v>15</v>
      </c>
      <c r="J3512" s="2" t="s">
        <v>12</v>
      </c>
      <c r="K3512" s="2" t="s">
        <v>5007</v>
      </c>
      <c r="L3512" s="2">
        <f t="shared" si="54"/>
        <v>150</v>
      </c>
    </row>
    <row r="3513" spans="1:12" ht="25" customHeight="1">
      <c r="A3513" s="2" t="s">
        <v>12</v>
      </c>
      <c r="B3513" s="2" t="str">
        <f>HYPERLINK("http://www.12365auto.com/zlts/20200223/448307.shtml","雪佛兰科鲁兹机油进入防冻液 发动机漏油")</f>
        <v>雪佛兰科鲁兹机油进入防冻液 发动机漏油</v>
      </c>
      <c r="C3513" s="2" t="s">
        <v>13</v>
      </c>
      <c r="D3513" s="2" t="s">
        <v>12</v>
      </c>
      <c r="E3513" s="2"/>
      <c r="F3513" s="2" t="str">
        <f>HYPERLINK("http://www.12365auto.com/zlts/20200223/448307.shtml","http://www.12365auto.com/zlts/20200223/448307.shtml")</f>
        <v>http://www.12365auto.com/zlts/20200223/448307.shtml</v>
      </c>
      <c r="G3513" s="2"/>
      <c r="H3513" s="3" t="s">
        <v>5008</v>
      </c>
      <c r="I3513" s="2" t="s">
        <v>15</v>
      </c>
      <c r="J3513" s="2" t="s">
        <v>12</v>
      </c>
      <c r="K3513" s="2" t="s">
        <v>5009</v>
      </c>
      <c r="L3513" s="2">
        <f t="shared" si="54"/>
        <v>117</v>
      </c>
    </row>
    <row r="3514" spans="1:12" ht="25" customHeight="1">
      <c r="A3514" s="2" t="s">
        <v>12</v>
      </c>
      <c r="B3514" s="2" t="str">
        <f>HYPERLINK("http://www.12365auto.com/zlts/20200223/448328.shtml","斯柯达昊锐车内常年异味无法解决")</f>
        <v>斯柯达昊锐车内常年异味无法解决</v>
      </c>
      <c r="C3514" s="2" t="s">
        <v>13</v>
      </c>
      <c r="D3514" s="2" t="s">
        <v>12</v>
      </c>
      <c r="E3514" s="2" t="s">
        <v>17</v>
      </c>
      <c r="F3514" s="2" t="str">
        <f>HYPERLINK("http://www.12365auto.com/zlts/20200223/448328.shtml","http://www.12365auto.com/zlts/20200223/448328.shtml")</f>
        <v>http://www.12365auto.com/zlts/20200223/448328.shtml</v>
      </c>
      <c r="G3514" s="2"/>
      <c r="H3514" s="2" t="s">
        <v>5010</v>
      </c>
      <c r="I3514" s="2" t="s">
        <v>19</v>
      </c>
      <c r="J3514" s="2" t="s">
        <v>12</v>
      </c>
      <c r="K3514" s="2" t="s">
        <v>5011</v>
      </c>
      <c r="L3514" s="2">
        <f t="shared" si="54"/>
        <v>150</v>
      </c>
    </row>
    <row r="3515" spans="1:12" ht="25" customHeight="1">
      <c r="A3515" s="2" t="s">
        <v>12</v>
      </c>
      <c r="B3515" s="2" t="str">
        <f>HYPERLINK("http://www.12365auto.com/zlts/20200223/448326.shtml","上汽大众途昂四条邓禄普轮胎龟裂")</f>
        <v>上汽大众途昂四条邓禄普轮胎龟裂</v>
      </c>
      <c r="C3515" s="2" t="s">
        <v>13</v>
      </c>
      <c r="D3515" s="2" t="s">
        <v>12</v>
      </c>
      <c r="E3515" s="2" t="s">
        <v>17</v>
      </c>
      <c r="F3515" s="2" t="str">
        <f>HYPERLINK("http://www.12365auto.com/zlts/20200223/448326.shtml","http://www.12365auto.com/zlts/20200223/448326.shtml")</f>
        <v>http://www.12365auto.com/zlts/20200223/448326.shtml</v>
      </c>
      <c r="G3515" s="2"/>
      <c r="H3515" s="2" t="s">
        <v>5012</v>
      </c>
      <c r="I3515" s="2" t="s">
        <v>19</v>
      </c>
      <c r="J3515" s="2" t="s">
        <v>12</v>
      </c>
      <c r="K3515" s="2" t="s">
        <v>5013</v>
      </c>
      <c r="L3515" s="2">
        <f t="shared" si="54"/>
        <v>150</v>
      </c>
    </row>
    <row r="3516" spans="1:12" ht="25" customHeight="1">
      <c r="A3516" s="2" t="s">
        <v>12</v>
      </c>
      <c r="B3516" s="2" t="str">
        <f>HYPERLINK("http://www.12365auto.com/zlts/20200223/448325.shtml","东风雪铁龙世嘉行驶中左前轮减震弹簧断裂")</f>
        <v>东风雪铁龙世嘉行驶中左前轮减震弹簧断裂</v>
      </c>
      <c r="C3516" s="2" t="s">
        <v>13</v>
      </c>
      <c r="D3516" s="2" t="s">
        <v>12</v>
      </c>
      <c r="E3516" s="2" t="s">
        <v>17</v>
      </c>
      <c r="F3516" s="2" t="str">
        <f>HYPERLINK("http://www.12365auto.com/zlts/20200223/448325.shtml","http://www.12365auto.com/zlts/20200223/448325.shtml")</f>
        <v>http://www.12365auto.com/zlts/20200223/448325.shtml</v>
      </c>
      <c r="G3516" s="2"/>
      <c r="H3516" s="2" t="s">
        <v>5014</v>
      </c>
      <c r="I3516" s="2" t="s">
        <v>19</v>
      </c>
      <c r="J3516" s="2" t="s">
        <v>12</v>
      </c>
      <c r="K3516" s="2" t="s">
        <v>5015</v>
      </c>
      <c r="L3516" s="2">
        <f t="shared" si="54"/>
        <v>150</v>
      </c>
    </row>
    <row r="3517" spans="1:12" ht="25" customHeight="1">
      <c r="A3517" s="2" t="s">
        <v>12</v>
      </c>
      <c r="B3517" s="2" t="str">
        <f>HYPERLINK("http://www.12365auto.com/zlts/20200223/448324.shtml","东风日产蓝鸟电瓶断电更换后未解决")</f>
        <v>东风日产蓝鸟电瓶断电更换后未解决</v>
      </c>
      <c r="C3517" s="2" t="s">
        <v>13</v>
      </c>
      <c r="D3517" s="2" t="s">
        <v>12</v>
      </c>
      <c r="E3517" s="2" t="s">
        <v>17</v>
      </c>
      <c r="F3517" s="2" t="str">
        <f>HYPERLINK("http://www.12365auto.com/zlts/20200223/448324.shtml","http://www.12365auto.com/zlts/20200223/448324.shtml")</f>
        <v>http://www.12365auto.com/zlts/20200223/448324.shtml</v>
      </c>
      <c r="G3517" s="2"/>
      <c r="H3517" s="2" t="s">
        <v>5016</v>
      </c>
      <c r="I3517" s="2" t="s">
        <v>19</v>
      </c>
      <c r="J3517" s="2" t="s">
        <v>12</v>
      </c>
      <c r="K3517" s="2" t="s">
        <v>5017</v>
      </c>
      <c r="L3517" s="2">
        <f t="shared" si="54"/>
        <v>150</v>
      </c>
    </row>
    <row r="3518" spans="1:12" ht="25" customHeight="1">
      <c r="A3518" s="2" t="s">
        <v>12</v>
      </c>
      <c r="B3518" s="2" t="str">
        <f>HYPERLINK("http://www.12365auto.com/zlts/20200223/448321.shtml","众泰T300方向盘异响 打方向异响")</f>
        <v>众泰T300方向盘异响 打方向异响</v>
      </c>
      <c r="C3518" s="2" t="s">
        <v>13</v>
      </c>
      <c r="D3518" s="2" t="s">
        <v>12</v>
      </c>
      <c r="E3518" s="2" t="s">
        <v>17</v>
      </c>
      <c r="F3518" s="2" t="str">
        <f>HYPERLINK("http://www.12365auto.com/zlts/20200223/448321.shtml","http://www.12365auto.com/zlts/20200223/448321.shtml")</f>
        <v>http://www.12365auto.com/zlts/20200223/448321.shtml</v>
      </c>
      <c r="G3518" s="2"/>
      <c r="H3518" s="2" t="s">
        <v>5018</v>
      </c>
      <c r="I3518" s="2" t="s">
        <v>15</v>
      </c>
      <c r="J3518" s="2" t="s">
        <v>12</v>
      </c>
      <c r="K3518" s="2" t="s">
        <v>5019</v>
      </c>
      <c r="L3518" s="2">
        <f t="shared" si="54"/>
        <v>150</v>
      </c>
    </row>
    <row r="3519" spans="1:12" ht="25" customHeight="1">
      <c r="A3519" s="2" t="s">
        <v>12</v>
      </c>
      <c r="B3519" s="2" t="str">
        <f>HYPERLINK("http://m.12365auto.com/zjdy/20200223/121540.shtml","冷车启动挂D挡仪表台共振异响什么原因？")</f>
        <v>冷车启动挂D挡仪表台共振异响什么原因？</v>
      </c>
      <c r="C3519" s="2" t="s">
        <v>13</v>
      </c>
      <c r="D3519" s="2" t="s">
        <v>12</v>
      </c>
      <c r="E3519" s="2"/>
      <c r="F3519" s="2" t="str">
        <f>HYPERLINK("http://m.12365auto.com/zjdy/20200223/121540.shtml","http://m.12365auto.com/zjdy/20200223/121540.shtml")</f>
        <v>http://m.12365auto.com/zjdy/20200223/121540.shtml</v>
      </c>
      <c r="G3519" s="2"/>
      <c r="H3519" s="2" t="s">
        <v>5020</v>
      </c>
      <c r="I3519" s="2" t="s">
        <v>19</v>
      </c>
      <c r="J3519" s="2" t="s">
        <v>12</v>
      </c>
      <c r="K3519" s="2" t="s">
        <v>5021</v>
      </c>
      <c r="L3519" s="2">
        <f t="shared" si="54"/>
        <v>43</v>
      </c>
    </row>
    <row r="3520" spans="1:12" ht="25" customHeight="1">
      <c r="A3520" s="2" t="s">
        <v>12</v>
      </c>
      <c r="B3520" s="2" t="str">
        <f>HYPERLINK("http://m.12365auto.com/zjdy/20200223/121542.shtml","北京奔驰E级整体的质量表现如何？")</f>
        <v>北京奔驰E级整体的质量表现如何？</v>
      </c>
      <c r="C3520" s="2" t="s">
        <v>13</v>
      </c>
      <c r="D3520" s="2" t="s">
        <v>12</v>
      </c>
      <c r="E3520" s="2"/>
      <c r="F3520" s="2" t="str">
        <f>HYPERLINK("http://m.12365auto.com/zjdy/20200223/121542.shtml","http://m.12365auto.com/zjdy/20200223/121542.shtml")</f>
        <v>http://m.12365auto.com/zjdy/20200223/121542.shtml</v>
      </c>
      <c r="G3520" s="2"/>
      <c r="H3520" s="2" t="s">
        <v>5022</v>
      </c>
      <c r="I3520" s="2" t="s">
        <v>19</v>
      </c>
      <c r="J3520" s="2" t="s">
        <v>12</v>
      </c>
      <c r="K3520" s="2" t="s">
        <v>5023</v>
      </c>
      <c r="L3520" s="2">
        <f t="shared" si="54"/>
        <v>55</v>
      </c>
    </row>
    <row r="3521" spans="1:12" ht="25" customHeight="1">
      <c r="A3521" s="2" t="s">
        <v>12</v>
      </c>
      <c r="B3521" s="2" t="str">
        <f>HYPERLINK("http://m.12365auto.com/zjdy/20200223/121539.shtml","自由光19款典尚版和17款优越版区别是什么？")</f>
        <v>自由光19款典尚版和17款优越版区别是什么？</v>
      </c>
      <c r="C3521" s="2" t="s">
        <v>13</v>
      </c>
      <c r="D3521" s="2" t="s">
        <v>12</v>
      </c>
      <c r="E3521" s="2"/>
      <c r="F3521" s="2" t="str">
        <f>HYPERLINK("http://m.12365auto.com/zjdy/20200223/121539.shtml","http://m.12365auto.com/zjdy/20200223/121539.shtml")</f>
        <v>http://m.12365auto.com/zjdy/20200223/121539.shtml</v>
      </c>
      <c r="G3521" s="2"/>
      <c r="H3521" s="2" t="s">
        <v>5024</v>
      </c>
      <c r="I3521" s="2" t="s">
        <v>19</v>
      </c>
      <c r="J3521" s="2" t="s">
        <v>12</v>
      </c>
      <c r="K3521" s="2" t="s">
        <v>5023</v>
      </c>
      <c r="L3521" s="2">
        <f t="shared" si="54"/>
        <v>23</v>
      </c>
    </row>
    <row r="3522" spans="1:12" ht="25" customHeight="1">
      <c r="A3522" s="2" t="s">
        <v>12</v>
      </c>
      <c r="B3522" s="2" t="str">
        <f>HYPERLINK("http://m.12365auto.com/zjdy/20200223/121541.shtml","福特福克斯启停失效应该如何解决？")</f>
        <v>福特福克斯启停失效应该如何解决？</v>
      </c>
      <c r="C3522" s="2" t="s">
        <v>13</v>
      </c>
      <c r="D3522" s="2" t="s">
        <v>12</v>
      </c>
      <c r="E3522" s="2"/>
      <c r="F3522" s="2" t="str">
        <f>HYPERLINK("http://m.12365auto.com/zjdy/20200223/121541.shtml","http://m.12365auto.com/zjdy/20200223/121541.shtml")</f>
        <v>http://m.12365auto.com/zjdy/20200223/121541.shtml</v>
      </c>
      <c r="G3522" s="2"/>
      <c r="H3522" s="2" t="s">
        <v>5025</v>
      </c>
      <c r="I3522" s="2" t="s">
        <v>19</v>
      </c>
      <c r="J3522" s="2" t="s">
        <v>12</v>
      </c>
      <c r="K3522" s="2" t="s">
        <v>5023</v>
      </c>
      <c r="L3522" s="2">
        <f t="shared" si="54"/>
        <v>94</v>
      </c>
    </row>
    <row r="3523" spans="1:12" ht="25" customHeight="1">
      <c r="A3523" s="2" t="s">
        <v>12</v>
      </c>
      <c r="B3523" s="2" t="str">
        <f>HYPERLINK("http://www.12365auto.com/zlts/20200223/448319.shtml","宝骏730轮毂裂缝导致行驶中轮胎无气")</f>
        <v>宝骏730轮毂裂缝导致行驶中轮胎无气</v>
      </c>
      <c r="C3523" s="2" t="s">
        <v>13</v>
      </c>
      <c r="D3523" s="2" t="s">
        <v>12</v>
      </c>
      <c r="E3523" s="2" t="s">
        <v>17</v>
      </c>
      <c r="F3523" s="2" t="str">
        <f>HYPERLINK("http://www.12365auto.com/zlts/20200223/448319.shtml","http://www.12365auto.com/zlts/20200223/448319.shtml")</f>
        <v>http://www.12365auto.com/zlts/20200223/448319.shtml</v>
      </c>
      <c r="G3523" s="2"/>
      <c r="H3523" s="2" t="s">
        <v>5026</v>
      </c>
      <c r="I3523" s="2" t="s">
        <v>19</v>
      </c>
      <c r="J3523" s="2" t="s">
        <v>12</v>
      </c>
      <c r="K3523" s="2" t="s">
        <v>5027</v>
      </c>
      <c r="L3523" s="2">
        <f t="shared" ref="L3523:L3586" si="55">LEN(H3523)</f>
        <v>150</v>
      </c>
    </row>
    <row r="3524" spans="1:12" ht="25" customHeight="1">
      <c r="A3524" s="2" t="s">
        <v>12</v>
      </c>
      <c r="B3524" s="2" t="str">
        <f>HYPERLINK("http://m.12365auto.com/zjdy/20200223/121535.shtml","干式双离合变速箱升降挡异响什么原因？")</f>
        <v>干式双离合变速箱升降挡异响什么原因？</v>
      </c>
      <c r="C3524" s="2" t="s">
        <v>13</v>
      </c>
      <c r="D3524" s="2" t="s">
        <v>12</v>
      </c>
      <c r="E3524" s="2"/>
      <c r="F3524" s="2" t="str">
        <f>HYPERLINK("http://m.12365auto.com/zjdy/20200223/121535.shtml","http://m.12365auto.com/zjdy/20200223/121535.shtml")</f>
        <v>http://m.12365auto.com/zjdy/20200223/121535.shtml</v>
      </c>
      <c r="G3524" s="2"/>
      <c r="H3524" s="2" t="s">
        <v>5028</v>
      </c>
      <c r="I3524" s="2" t="s">
        <v>19</v>
      </c>
      <c r="J3524" s="2" t="s">
        <v>12</v>
      </c>
      <c r="K3524" s="2" t="s">
        <v>5029</v>
      </c>
      <c r="L3524" s="2">
        <f t="shared" si="55"/>
        <v>24</v>
      </c>
    </row>
    <row r="3525" spans="1:12" ht="25" customHeight="1">
      <c r="A3525" s="2" t="s">
        <v>12</v>
      </c>
      <c r="B3525" s="2" t="str">
        <f>HYPERLINK("http://m.12365auto.com/zjdy/20200223/121538.shtml","北京现代ix25变速箱是哪里生产的？")</f>
        <v>北京现代ix25变速箱是哪里生产的？</v>
      </c>
      <c r="C3525" s="2" t="s">
        <v>13</v>
      </c>
      <c r="D3525" s="2" t="s">
        <v>12</v>
      </c>
      <c r="E3525" s="2"/>
      <c r="F3525" s="2" t="str">
        <f>HYPERLINK("http://m.12365auto.com/zjdy/20200223/121538.shtml","http://m.12365auto.com/zjdy/20200223/121538.shtml")</f>
        <v>http://m.12365auto.com/zjdy/20200223/121538.shtml</v>
      </c>
      <c r="G3525" s="2"/>
      <c r="H3525" s="2" t="s">
        <v>5030</v>
      </c>
      <c r="I3525" s="2" t="s">
        <v>19</v>
      </c>
      <c r="J3525" s="2" t="s">
        <v>12</v>
      </c>
      <c r="K3525" s="2" t="s">
        <v>5029</v>
      </c>
      <c r="L3525" s="2">
        <f t="shared" si="55"/>
        <v>28</v>
      </c>
    </row>
    <row r="3526" spans="1:12" ht="25" customHeight="1">
      <c r="A3526" s="2" t="s">
        <v>12</v>
      </c>
      <c r="B3526" s="2" t="str">
        <f>HYPERLINK("http://m.12365auto.com/zjdy/20200223/121537.shtml","上汽荣威i5和悦动哪一款值得购买？")</f>
        <v>上汽荣威i5和悦动哪一款值得购买？</v>
      </c>
      <c r="C3526" s="2" t="s">
        <v>13</v>
      </c>
      <c r="D3526" s="2" t="s">
        <v>12</v>
      </c>
      <c r="E3526" s="2"/>
      <c r="F3526" s="2" t="str">
        <f>HYPERLINK("http://m.12365auto.com/zjdy/20200223/121537.shtml","http://m.12365auto.com/zjdy/20200223/121537.shtml")</f>
        <v>http://m.12365auto.com/zjdy/20200223/121537.shtml</v>
      </c>
      <c r="G3526" s="2"/>
      <c r="H3526" s="2" t="s">
        <v>5031</v>
      </c>
      <c r="I3526" s="2" t="s">
        <v>19</v>
      </c>
      <c r="J3526" s="2" t="s">
        <v>12</v>
      </c>
      <c r="K3526" s="2" t="s">
        <v>5029</v>
      </c>
      <c r="L3526" s="2">
        <f t="shared" si="55"/>
        <v>34</v>
      </c>
    </row>
    <row r="3527" spans="1:12" ht="25" customHeight="1">
      <c r="A3527" s="2" t="s">
        <v>12</v>
      </c>
      <c r="B3527" s="2" t="str">
        <f>HYPERLINK("http://www.12365auto.com/zlts/20200223/448300.shtml","打方向盘有咕咕咕声音")</f>
        <v>打方向盘有咕咕咕声音</v>
      </c>
      <c r="C3527" s="2" t="s">
        <v>13</v>
      </c>
      <c r="D3527" s="2" t="s">
        <v>12</v>
      </c>
      <c r="E3527" s="2"/>
      <c r="F3527" s="2" t="str">
        <f>HYPERLINK("http://www.12365auto.com/zlts/20200223/448300.shtml","http://www.12365auto.com/zlts/20200223/448300.shtml")</f>
        <v>http://www.12365auto.com/zlts/20200223/448300.shtml</v>
      </c>
      <c r="G3527" s="2"/>
      <c r="H3527" s="3" t="s">
        <v>5032</v>
      </c>
      <c r="I3527" s="2" t="s">
        <v>15</v>
      </c>
      <c r="J3527" s="2" t="s">
        <v>12</v>
      </c>
      <c r="K3527" s="2" t="s">
        <v>5033</v>
      </c>
      <c r="L3527" s="2">
        <f t="shared" si="55"/>
        <v>108</v>
      </c>
    </row>
    <row r="3528" spans="1:12" ht="25" customHeight="1">
      <c r="A3528" s="2" t="s">
        <v>12</v>
      </c>
      <c r="B3528" s="2" t="str">
        <f>HYPERLINK("http://www.12365auto.com/zlts/20200223/448312.shtml","东风本田CR-V机油增多希望尽快得到解决")</f>
        <v>东风本田CR-V机油增多希望尽快得到解决</v>
      </c>
      <c r="C3528" s="2" t="s">
        <v>13</v>
      </c>
      <c r="D3528" s="2" t="s">
        <v>12</v>
      </c>
      <c r="E3528" s="2" t="s">
        <v>17</v>
      </c>
      <c r="F3528" s="2" t="str">
        <f>HYPERLINK("http://www.12365auto.com/zlts/20200223/448312.shtml","http://www.12365auto.com/zlts/20200223/448312.shtml")</f>
        <v>http://www.12365auto.com/zlts/20200223/448312.shtml</v>
      </c>
      <c r="G3528" s="2"/>
      <c r="H3528" s="2" t="s">
        <v>5034</v>
      </c>
      <c r="I3528" s="2" t="s">
        <v>19</v>
      </c>
      <c r="J3528" s="2" t="s">
        <v>12</v>
      </c>
      <c r="K3528" s="2" t="s">
        <v>5035</v>
      </c>
      <c r="L3528" s="2">
        <f t="shared" si="55"/>
        <v>150</v>
      </c>
    </row>
    <row r="3529" spans="1:12" ht="25" customHeight="1">
      <c r="A3529" s="2" t="s">
        <v>12</v>
      </c>
      <c r="B3529" s="2" t="str">
        <f>HYPERLINK("http://www.12365auto.com/zlts/20200223/448310.shtml","东风日产天籁挡风玻璃漏水4S店过度维修")</f>
        <v>东风日产天籁挡风玻璃漏水4S店过度维修</v>
      </c>
      <c r="C3529" s="2" t="s">
        <v>13</v>
      </c>
      <c r="D3529" s="2" t="s">
        <v>12</v>
      </c>
      <c r="E3529" s="2" t="s">
        <v>17</v>
      </c>
      <c r="F3529" s="2" t="str">
        <f>HYPERLINK("http://www.12365auto.com/zlts/20200223/448310.shtml","http://www.12365auto.com/zlts/20200223/448310.shtml")</f>
        <v>http://www.12365auto.com/zlts/20200223/448310.shtml</v>
      </c>
      <c r="G3529" s="2"/>
      <c r="H3529" s="2" t="s">
        <v>5036</v>
      </c>
      <c r="I3529" s="2" t="s">
        <v>19</v>
      </c>
      <c r="J3529" s="2" t="s">
        <v>12</v>
      </c>
      <c r="K3529" s="2" t="s">
        <v>5037</v>
      </c>
      <c r="L3529" s="2">
        <f t="shared" si="55"/>
        <v>150</v>
      </c>
    </row>
    <row r="3530" spans="1:12" ht="25" customHeight="1">
      <c r="A3530" s="2" t="s">
        <v>12</v>
      </c>
      <c r="B3530" s="2" t="str">
        <f>HYPERLINK("http://www.12365auto.com/zlts/20200223/448305.shtml","吉利帝豪车门生锈要求厂家质保处理")</f>
        <v>吉利帝豪车门生锈要求厂家质保处理</v>
      </c>
      <c r="C3530" s="2" t="s">
        <v>13</v>
      </c>
      <c r="D3530" s="2" t="s">
        <v>12</v>
      </c>
      <c r="E3530" s="2" t="s">
        <v>17</v>
      </c>
      <c r="F3530" s="2" t="str">
        <f>HYPERLINK("http://www.12365auto.com/zlts/20200223/448305.shtml","http://www.12365auto.com/zlts/20200223/448305.shtml")</f>
        <v>http://www.12365auto.com/zlts/20200223/448305.shtml</v>
      </c>
      <c r="G3530" s="2"/>
      <c r="H3530" s="2" t="s">
        <v>5038</v>
      </c>
      <c r="I3530" s="2" t="s">
        <v>19</v>
      </c>
      <c r="J3530" s="2" t="s">
        <v>12</v>
      </c>
      <c r="K3530" s="2" t="s">
        <v>5039</v>
      </c>
      <c r="L3530" s="2">
        <f t="shared" si="55"/>
        <v>150</v>
      </c>
    </row>
    <row r="3531" spans="1:12" ht="25" customHeight="1">
      <c r="A3531" s="2" t="s">
        <v>12</v>
      </c>
      <c r="B3531" s="2" t="str">
        <f>HYPERLINK("http://www.12365auto.com/zlts/20200223/448304.shtml","上汽名爵ZS中控异响 挂挡困难 左后轮异响")</f>
        <v>上汽名爵ZS中控异响 挂挡困难 左后轮异响</v>
      </c>
      <c r="C3531" s="2" t="s">
        <v>13</v>
      </c>
      <c r="D3531" s="2" t="s">
        <v>12</v>
      </c>
      <c r="E3531" s="2" t="s">
        <v>17</v>
      </c>
      <c r="F3531" s="2" t="str">
        <f>HYPERLINK("http://www.12365auto.com/zlts/20200223/448304.shtml","http://www.12365auto.com/zlts/20200223/448304.shtml")</f>
        <v>http://www.12365auto.com/zlts/20200223/448304.shtml</v>
      </c>
      <c r="G3531" s="2"/>
      <c r="H3531" s="2" t="s">
        <v>5040</v>
      </c>
      <c r="I3531" s="2" t="s">
        <v>19</v>
      </c>
      <c r="J3531" s="2" t="s">
        <v>12</v>
      </c>
      <c r="K3531" s="2" t="s">
        <v>5041</v>
      </c>
      <c r="L3531" s="2">
        <f t="shared" si="55"/>
        <v>150</v>
      </c>
    </row>
    <row r="3532" spans="1:12" ht="25" customHeight="1">
      <c r="A3532" s="2" t="s">
        <v>12</v>
      </c>
      <c r="B3532" s="2" t="str">
        <f>HYPERLINK("http://www.12365auto.com/zlts/20200223/448293.shtml","远近光灯无法切换")</f>
        <v>远近光灯无法切换</v>
      </c>
      <c r="C3532" s="2" t="s">
        <v>13</v>
      </c>
      <c r="D3532" s="2" t="s">
        <v>12</v>
      </c>
      <c r="E3532" s="2"/>
      <c r="F3532" s="2" t="str">
        <f>HYPERLINK("http://www.12365auto.com/zlts/20200223/448293.shtml","http://www.12365auto.com/zlts/20200223/448293.shtml")</f>
        <v>http://www.12365auto.com/zlts/20200223/448293.shtml</v>
      </c>
      <c r="G3532" s="2"/>
      <c r="H3532" s="3" t="s">
        <v>5042</v>
      </c>
      <c r="I3532" s="2" t="s">
        <v>15</v>
      </c>
      <c r="J3532" s="2" t="s">
        <v>12</v>
      </c>
      <c r="K3532" s="2" t="s">
        <v>5043</v>
      </c>
      <c r="L3532" s="2">
        <f t="shared" si="55"/>
        <v>108</v>
      </c>
    </row>
    <row r="3533" spans="1:12" ht="25" customHeight="1">
      <c r="A3533" s="2" t="s">
        <v>12</v>
      </c>
      <c r="B3533" s="2" t="str">
        <f>HYPERLINK("http://www.12365auto.com/zlts/20200223/448303.shtml","吉利帝豪GS车门全部生锈且大面积起泡")</f>
        <v>吉利帝豪GS车门全部生锈且大面积起泡</v>
      </c>
      <c r="C3533" s="2" t="s">
        <v>13</v>
      </c>
      <c r="D3533" s="2" t="s">
        <v>12</v>
      </c>
      <c r="E3533" s="2" t="s">
        <v>17</v>
      </c>
      <c r="F3533" s="2" t="str">
        <f>HYPERLINK("http://www.12365auto.com/zlts/20200223/448303.shtml","http://www.12365auto.com/zlts/20200223/448303.shtml")</f>
        <v>http://www.12365auto.com/zlts/20200223/448303.shtml</v>
      </c>
      <c r="G3533" s="2"/>
      <c r="H3533" s="2" t="s">
        <v>5044</v>
      </c>
      <c r="I3533" s="2" t="s">
        <v>15</v>
      </c>
      <c r="J3533" s="2" t="s">
        <v>12</v>
      </c>
      <c r="K3533" s="2" t="s">
        <v>5045</v>
      </c>
      <c r="L3533" s="2">
        <f t="shared" si="55"/>
        <v>150</v>
      </c>
    </row>
    <row r="3534" spans="1:12" ht="25" customHeight="1">
      <c r="A3534" s="2" t="s">
        <v>12</v>
      </c>
      <c r="B3534" s="2" t="str">
        <f>HYPERLINK("http://www.12365auto.com/zlts/20200223/448302.shtml","宝骏730空调制冷异常4S店维修后未解决")</f>
        <v>宝骏730空调制冷异常4S店维修后未解决</v>
      </c>
      <c r="C3534" s="2" t="s">
        <v>13</v>
      </c>
      <c r="D3534" s="2" t="s">
        <v>12</v>
      </c>
      <c r="E3534" s="2" t="s">
        <v>17</v>
      </c>
      <c r="F3534" s="2" t="str">
        <f>HYPERLINK("http://www.12365auto.com/zlts/20200223/448302.shtml","http://www.12365auto.com/zlts/20200223/448302.shtml")</f>
        <v>http://www.12365auto.com/zlts/20200223/448302.shtml</v>
      </c>
      <c r="G3534" s="2"/>
      <c r="H3534" s="2" t="s">
        <v>5046</v>
      </c>
      <c r="I3534" s="2" t="s">
        <v>19</v>
      </c>
      <c r="J3534" s="2" t="s">
        <v>12</v>
      </c>
      <c r="K3534" s="2" t="s">
        <v>5047</v>
      </c>
      <c r="L3534" s="2">
        <f t="shared" si="55"/>
        <v>150</v>
      </c>
    </row>
    <row r="3535" spans="1:12" ht="25" customHeight="1">
      <c r="A3535" s="2" t="s">
        <v>12</v>
      </c>
      <c r="B3535" s="2" t="str">
        <f>HYPERLINK("http://www.12365auto.com/zlts/20200223/448301.shtml","一汽奔腾T77中控重启黑屏一直未解决")</f>
        <v>一汽奔腾T77中控重启黑屏一直未解决</v>
      </c>
      <c r="C3535" s="2" t="s">
        <v>13</v>
      </c>
      <c r="D3535" s="2" t="s">
        <v>12</v>
      </c>
      <c r="E3535" s="2" t="s">
        <v>17</v>
      </c>
      <c r="F3535" s="2" t="str">
        <f>HYPERLINK("http://www.12365auto.com/zlts/20200223/448301.shtml","http://www.12365auto.com/zlts/20200223/448301.shtml")</f>
        <v>http://www.12365auto.com/zlts/20200223/448301.shtml</v>
      </c>
      <c r="G3535" s="2"/>
      <c r="H3535" s="2" t="s">
        <v>5048</v>
      </c>
      <c r="I3535" s="2" t="s">
        <v>15</v>
      </c>
      <c r="J3535" s="2" t="s">
        <v>12</v>
      </c>
      <c r="K3535" s="2" t="s">
        <v>5049</v>
      </c>
      <c r="L3535" s="2">
        <f t="shared" si="55"/>
        <v>150</v>
      </c>
    </row>
    <row r="3536" spans="1:12" ht="25" customHeight="1">
      <c r="A3536" s="2" t="s">
        <v>12</v>
      </c>
      <c r="B3536" s="2" t="str">
        <f>HYPERLINK("http://www.12365auto.com/zlts/20200223/448292.shtml","中控面板开裂严重，影响安全气囊，")</f>
        <v>中控面板开裂严重，影响安全气囊，</v>
      </c>
      <c r="C3536" s="2" t="s">
        <v>13</v>
      </c>
      <c r="D3536" s="2" t="s">
        <v>12</v>
      </c>
      <c r="E3536" s="2"/>
      <c r="F3536" s="2" t="str">
        <f>HYPERLINK("http://www.12365auto.com/zlts/20200223/448292.shtml","http://www.12365auto.com/zlts/20200223/448292.shtml")</f>
        <v>http://www.12365auto.com/zlts/20200223/448292.shtml</v>
      </c>
      <c r="G3536" s="2"/>
      <c r="H3536" s="3" t="s">
        <v>5050</v>
      </c>
      <c r="I3536" s="2" t="s">
        <v>15</v>
      </c>
      <c r="J3536" s="2" t="s">
        <v>12</v>
      </c>
      <c r="K3536" s="2" t="s">
        <v>5051</v>
      </c>
      <c r="L3536" s="2">
        <f t="shared" si="55"/>
        <v>97</v>
      </c>
    </row>
    <row r="3537" spans="1:12" ht="25" customHeight="1">
      <c r="A3537" s="2" t="s">
        <v>12</v>
      </c>
      <c r="B3537" s="2" t="str">
        <f>HYPERLINK("http://www.12365auto.com/news/20200223/419300.shtml","采取全面安全措施 华晨宝马工厂现已复工")</f>
        <v>采取全面安全措施 华晨宝马工厂现已复工</v>
      </c>
      <c r="C3537" s="2" t="s">
        <v>13</v>
      </c>
      <c r="D3537" s="2" t="s">
        <v>12</v>
      </c>
      <c r="E3537" s="2" t="s">
        <v>282</v>
      </c>
      <c r="F3537" s="2" t="str">
        <f>HYPERLINK("http://www.12365auto.com/news/20200223/419300.shtml","http://www.12365auto.com/news/20200223/419300.shtml")</f>
        <v>http://www.12365auto.com/news/20200223/419300.shtml</v>
      </c>
      <c r="G3537" s="2"/>
      <c r="H3537" s="2" t="s">
        <v>5052</v>
      </c>
      <c r="I3537" s="2" t="s">
        <v>19</v>
      </c>
      <c r="J3537" s="2" t="s">
        <v>12</v>
      </c>
      <c r="K3537" s="2" t="s">
        <v>5053</v>
      </c>
      <c r="L3537" s="2">
        <f t="shared" si="55"/>
        <v>150</v>
      </c>
    </row>
    <row r="3538" spans="1:12" ht="25" customHeight="1">
      <c r="A3538" s="2" t="s">
        <v>12</v>
      </c>
      <c r="B3538" s="2" t="str">
        <f>HYPERLINK("http://m.12365auto.com/news/20200223/419300.shtml","采取全面安全措施 华晨宝马工厂现已复工")</f>
        <v>采取全面安全措施 华晨宝马工厂现已复工</v>
      </c>
      <c r="C3538" s="2" t="s">
        <v>13</v>
      </c>
      <c r="D3538" s="2" t="s">
        <v>12</v>
      </c>
      <c r="E3538" s="2"/>
      <c r="F3538" s="2" t="str">
        <f>HYPERLINK("http://m.12365auto.com/news/20200223/419300.shtml","http://m.12365auto.com/news/20200223/419300.shtml")</f>
        <v>http://m.12365auto.com/news/20200223/419300.shtml</v>
      </c>
      <c r="G3538" s="2"/>
      <c r="H3538" s="2" t="s">
        <v>5054</v>
      </c>
      <c r="I3538" s="2" t="s">
        <v>19</v>
      </c>
      <c r="J3538" s="2" t="s">
        <v>303</v>
      </c>
      <c r="K3538" s="2" t="s">
        <v>5053</v>
      </c>
      <c r="L3538" s="2">
        <f t="shared" si="55"/>
        <v>150</v>
      </c>
    </row>
    <row r="3539" spans="1:12" ht="25" customHeight="1">
      <c r="A3539" s="2" t="s">
        <v>12</v>
      </c>
      <c r="B3539" s="2" t="str">
        <f>HYPERLINK("http://www.12365auto.com/zlts/20200223/448288.shtml","中控台软质材料全部开裂。")</f>
        <v>中控台软质材料全部开裂。</v>
      </c>
      <c r="C3539" s="2" t="s">
        <v>13</v>
      </c>
      <c r="D3539" s="2" t="s">
        <v>12</v>
      </c>
      <c r="E3539" s="2"/>
      <c r="F3539" s="2" t="str">
        <f>HYPERLINK("http://www.12365auto.com/zlts/20200223/448288.shtml","http://www.12365auto.com/zlts/20200223/448288.shtml")</f>
        <v>http://www.12365auto.com/zlts/20200223/448288.shtml</v>
      </c>
      <c r="G3539" s="2"/>
      <c r="H3539" s="3" t="s">
        <v>5055</v>
      </c>
      <c r="I3539" s="2" t="s">
        <v>15</v>
      </c>
      <c r="J3539" s="2" t="s">
        <v>12</v>
      </c>
      <c r="K3539" s="2" t="s">
        <v>5056</v>
      </c>
      <c r="L3539" s="2">
        <f t="shared" si="55"/>
        <v>117</v>
      </c>
    </row>
    <row r="3540" spans="1:12" ht="25" customHeight="1">
      <c r="A3540" s="2" t="s">
        <v>12</v>
      </c>
      <c r="B3540" s="2" t="str">
        <f>HYPERLINK("http://m.12365auto.com/xcdg/20200223/419299.shtml","全新福克斯RS或将搭载插电混动系统")</f>
        <v>全新福克斯RS或将搭载插电混动系统</v>
      </c>
      <c r="C3540" s="2" t="s">
        <v>13</v>
      </c>
      <c r="D3540" s="2" t="s">
        <v>12</v>
      </c>
      <c r="E3540" s="2"/>
      <c r="F3540" s="2" t="str">
        <f>HYPERLINK("http://m.12365auto.com/xcdg/20200223/419299.shtml","http://m.12365auto.com/xcdg/20200223/419299.shtml")</f>
        <v>http://m.12365auto.com/xcdg/20200223/419299.shtml</v>
      </c>
      <c r="G3540" s="2"/>
      <c r="H3540" s="2" t="s">
        <v>5057</v>
      </c>
      <c r="I3540" s="2" t="s">
        <v>19</v>
      </c>
      <c r="J3540" s="2" t="s">
        <v>332</v>
      </c>
      <c r="K3540" s="2" t="s">
        <v>5058</v>
      </c>
      <c r="L3540" s="2">
        <f t="shared" si="55"/>
        <v>150</v>
      </c>
    </row>
    <row r="3541" spans="1:12" ht="25" customHeight="1">
      <c r="A3541" s="2" t="s">
        <v>12</v>
      </c>
      <c r="B3541" s="2" t="str">
        <f>HYPERLINK("http://www.12365auto.com/xcdg/20200223/419299.shtml","全新福克斯RS或将搭载插电混动系统")</f>
        <v>全新福克斯RS或将搭载插电混动系统</v>
      </c>
      <c r="C3541" s="2" t="s">
        <v>13</v>
      </c>
      <c r="D3541" s="2" t="s">
        <v>12</v>
      </c>
      <c r="E3541" s="2" t="s">
        <v>216</v>
      </c>
      <c r="F3541" s="2" t="str">
        <f>HYPERLINK("http://www.12365auto.com/xcdg/20200223/419299.shtml","http://www.12365auto.com/xcdg/20200223/419299.shtml")</f>
        <v>http://www.12365auto.com/xcdg/20200223/419299.shtml</v>
      </c>
      <c r="G3541" s="2"/>
      <c r="H3541" s="2" t="s">
        <v>5059</v>
      </c>
      <c r="I3541" s="2" t="s">
        <v>15</v>
      </c>
      <c r="J3541" s="2" t="s">
        <v>12</v>
      </c>
      <c r="K3541" s="2" t="s">
        <v>5058</v>
      </c>
      <c r="L3541" s="2">
        <f t="shared" si="55"/>
        <v>150</v>
      </c>
    </row>
    <row r="3542" spans="1:12" ht="25" customHeight="1">
      <c r="A3542" s="2" t="s">
        <v>12</v>
      </c>
      <c r="B3542" s="2" t="str">
        <f>HYPERLINK("http://m.12365auto.com/xcdg/20200223/419298.shtml","8月上市 曝新款奥迪A4 Avant国内谍照")</f>
        <v>8月上市 曝新款奥迪A4 Avant国内谍照</v>
      </c>
      <c r="C3542" s="2" t="s">
        <v>13</v>
      </c>
      <c r="D3542" s="2" t="s">
        <v>12</v>
      </c>
      <c r="E3542" s="2"/>
      <c r="F3542" s="2" t="str">
        <f>HYPERLINK("http://m.12365auto.com/xcdg/20200223/419298.shtml","http://m.12365auto.com/xcdg/20200223/419298.shtml")</f>
        <v>http://m.12365auto.com/xcdg/20200223/419298.shtml</v>
      </c>
      <c r="G3542" s="2"/>
      <c r="H3542" s="2" t="s">
        <v>5060</v>
      </c>
      <c r="I3542" s="2" t="s">
        <v>19</v>
      </c>
      <c r="J3542" s="2" t="s">
        <v>1197</v>
      </c>
      <c r="K3542" s="2" t="s">
        <v>5061</v>
      </c>
      <c r="L3542" s="2">
        <f t="shared" si="55"/>
        <v>150</v>
      </c>
    </row>
    <row r="3543" spans="1:12" ht="25" customHeight="1">
      <c r="A3543" s="2" t="s">
        <v>12</v>
      </c>
      <c r="B3543" s="2" t="str">
        <f>HYPERLINK("http://www.12365auto.com/xcdg/20200223/419298.shtml","8月上市 曝新款奥迪A4 Avant国内谍照")</f>
        <v>8月上市 曝新款奥迪A4 Avant国内谍照</v>
      </c>
      <c r="C3543" s="2" t="s">
        <v>13</v>
      </c>
      <c r="D3543" s="2" t="s">
        <v>12</v>
      </c>
      <c r="E3543" s="2" t="s">
        <v>216</v>
      </c>
      <c r="F3543" s="2" t="str">
        <f>HYPERLINK("http://www.12365auto.com/xcdg/20200223/419298.shtml","http://www.12365auto.com/xcdg/20200223/419298.shtml")</f>
        <v>http://www.12365auto.com/xcdg/20200223/419298.shtml</v>
      </c>
      <c r="G3543" s="2"/>
      <c r="H3543" s="2" t="s">
        <v>5062</v>
      </c>
      <c r="I3543" s="2" t="s">
        <v>15</v>
      </c>
      <c r="J3543" s="2" t="s">
        <v>12</v>
      </c>
      <c r="K3543" s="2" t="s">
        <v>5061</v>
      </c>
      <c r="L3543" s="2">
        <f t="shared" si="55"/>
        <v>150</v>
      </c>
    </row>
    <row r="3544" spans="1:12" ht="25" customHeight="1">
      <c r="A3544" s="2" t="s">
        <v>12</v>
      </c>
      <c r="B3544" s="2" t="str">
        <f>HYPERLINK("http://m.12365auto.com/scbg/20200223/419297.shtml","看似凶悍却不暴躁 试现代菲斯塔纯电动")</f>
        <v>看似凶悍却不暴躁 试现代菲斯塔纯电动</v>
      </c>
      <c r="C3544" s="2" t="s">
        <v>13</v>
      </c>
      <c r="D3544" s="2" t="s">
        <v>12</v>
      </c>
      <c r="E3544" s="2"/>
      <c r="F3544" s="2" t="str">
        <f>HYPERLINK("http://m.12365auto.com/scbg/20200223/419297.shtml","http://m.12365auto.com/scbg/20200223/419297.shtml")</f>
        <v>http://m.12365auto.com/scbg/20200223/419297.shtml</v>
      </c>
      <c r="G3544" s="2"/>
      <c r="H3544" s="2" t="s">
        <v>5063</v>
      </c>
      <c r="I3544" s="2" t="s">
        <v>19</v>
      </c>
      <c r="J3544" s="2" t="s">
        <v>297</v>
      </c>
      <c r="K3544" s="2" t="s">
        <v>5064</v>
      </c>
      <c r="L3544" s="2">
        <f t="shared" si="55"/>
        <v>150</v>
      </c>
    </row>
    <row r="3545" spans="1:12" ht="25" customHeight="1">
      <c r="A3545" s="2" t="s">
        <v>12</v>
      </c>
      <c r="B3545" s="2" t="str">
        <f>HYPERLINK("http://www.12365auto.com/scbg/20200223/419297.shtml","看似凶悍却不暴躁 试现代菲斯塔纯电动")</f>
        <v>看似凶悍却不暴躁 试现代菲斯塔纯电动</v>
      </c>
      <c r="C3545" s="2" t="s">
        <v>13</v>
      </c>
      <c r="D3545" s="2" t="s">
        <v>12</v>
      </c>
      <c r="E3545" s="2" t="s">
        <v>1548</v>
      </c>
      <c r="F3545" s="2" t="str">
        <f>HYPERLINK("http://www.12365auto.com/scbg/20200223/419297.shtml","http://www.12365auto.com/scbg/20200223/419297.shtml")</f>
        <v>http://www.12365auto.com/scbg/20200223/419297.shtml</v>
      </c>
      <c r="G3545" s="2"/>
      <c r="H3545" s="2" t="s">
        <v>5065</v>
      </c>
      <c r="I3545" s="2" t="s">
        <v>15</v>
      </c>
      <c r="J3545" s="2" t="s">
        <v>12</v>
      </c>
      <c r="K3545" s="2" t="s">
        <v>5064</v>
      </c>
      <c r="L3545" s="2">
        <f t="shared" si="55"/>
        <v>150</v>
      </c>
    </row>
    <row r="3546" spans="1:12" ht="25" customHeight="1">
      <c r="A3546" s="2" t="s">
        <v>12</v>
      </c>
      <c r="B3546" s="2" t="str">
        <f>HYPERLINK("http://m.12365auto.com/xcdg/20200223/419296.shtml","增混动系统 梅赛德斯-AMG GT 73谍照曝光")</f>
        <v>增混动系统 梅赛德斯-AMG GT 73谍照曝光</v>
      </c>
      <c r="C3546" s="2" t="s">
        <v>13</v>
      </c>
      <c r="D3546" s="2" t="s">
        <v>12</v>
      </c>
      <c r="E3546" s="2"/>
      <c r="F3546" s="2" t="str">
        <f>HYPERLINK("http://m.12365auto.com/xcdg/20200223/419296.shtml","http://m.12365auto.com/xcdg/20200223/419296.shtml")</f>
        <v>http://m.12365auto.com/xcdg/20200223/419296.shtml</v>
      </c>
      <c r="G3546" s="2"/>
      <c r="H3546" s="2" t="s">
        <v>5066</v>
      </c>
      <c r="I3546" s="2" t="s">
        <v>19</v>
      </c>
      <c r="J3546" s="2" t="s">
        <v>220</v>
      </c>
      <c r="K3546" s="2" t="s">
        <v>5067</v>
      </c>
      <c r="L3546" s="2">
        <f t="shared" si="55"/>
        <v>150</v>
      </c>
    </row>
    <row r="3547" spans="1:12" ht="25" customHeight="1">
      <c r="A3547" s="2" t="s">
        <v>12</v>
      </c>
      <c r="B3547" s="2" t="str">
        <f>HYPERLINK("http://www.12365auto.com/xcdg/20200223/419296.shtml","增混动系统 梅赛德斯-AMG GT 73谍照曝光")</f>
        <v>增混动系统 梅赛德斯-AMG GT 73谍照曝光</v>
      </c>
      <c r="C3547" s="2" t="s">
        <v>13</v>
      </c>
      <c r="D3547" s="2" t="s">
        <v>12</v>
      </c>
      <c r="E3547" s="2" t="s">
        <v>224</v>
      </c>
      <c r="F3547" s="2" t="str">
        <f>HYPERLINK("http://www.12365auto.com/xcdg/20200223/419296.shtml","http://www.12365auto.com/xcdg/20200223/419296.shtml")</f>
        <v>http://www.12365auto.com/xcdg/20200223/419296.shtml</v>
      </c>
      <c r="G3547" s="2"/>
      <c r="H3547" s="2" t="s">
        <v>5068</v>
      </c>
      <c r="I3547" s="2" t="s">
        <v>15</v>
      </c>
      <c r="J3547" s="2" t="s">
        <v>12</v>
      </c>
      <c r="K3547" s="2" t="s">
        <v>5067</v>
      </c>
      <c r="L3547" s="2">
        <f t="shared" si="55"/>
        <v>150</v>
      </c>
    </row>
    <row r="3548" spans="1:12" ht="25" customHeight="1">
      <c r="A3548" s="2" t="s">
        <v>12</v>
      </c>
      <c r="B3548" s="2" t="str">
        <f>HYPERLINK("http://www.12365auto.com/zlts/20200223/448290.shtml","哈弗H6 Coupe离合器异响 四挡异响明显")</f>
        <v>哈弗H6 Coupe离合器异响 四挡异响明显</v>
      </c>
      <c r="C3548" s="2" t="s">
        <v>13</v>
      </c>
      <c r="D3548" s="2" t="s">
        <v>12</v>
      </c>
      <c r="E3548" s="2" t="s">
        <v>17</v>
      </c>
      <c r="F3548" s="2" t="str">
        <f>HYPERLINK("http://www.12365auto.com/zlts/20200223/448290.shtml","http://www.12365auto.com/zlts/20200223/448290.shtml")</f>
        <v>http://www.12365auto.com/zlts/20200223/448290.shtml</v>
      </c>
      <c r="G3548" s="2"/>
      <c r="H3548" s="2" t="s">
        <v>5069</v>
      </c>
      <c r="I3548" s="2" t="s">
        <v>19</v>
      </c>
      <c r="J3548" s="2" t="s">
        <v>12</v>
      </c>
      <c r="K3548" s="2" t="s">
        <v>5067</v>
      </c>
      <c r="L3548" s="2">
        <f t="shared" si="55"/>
        <v>150</v>
      </c>
    </row>
    <row r="3549" spans="1:12" ht="25" customHeight="1">
      <c r="A3549" s="2" t="s">
        <v>12</v>
      </c>
      <c r="B3549" s="2" t="str">
        <f>HYPERLINK("http://bbs.12365auto.com/postcontent.aspx?tId=194905","昂克赛拉发动机故障灯亮了 （没有人投诉有结果的吗？")</f>
        <v>昂克赛拉发动机故障灯亮了 （没有人投诉有结果的吗？</v>
      </c>
      <c r="C3549" s="2" t="s">
        <v>13</v>
      </c>
      <c r="D3549" s="2" t="s">
        <v>12</v>
      </c>
      <c r="E3549" s="2" t="s">
        <v>66</v>
      </c>
      <c r="F3549" s="2" t="str">
        <f>HYPERLINK("http://bbs.12365auto.com/postcontent.aspx?tId=194905","http://bbs.12365auto.com/postcontent.aspx?tId=194905")</f>
        <v>http://bbs.12365auto.com/postcontent.aspx?tId=194905</v>
      </c>
      <c r="G3549" s="2"/>
      <c r="H3549" s="2" t="s">
        <v>5070</v>
      </c>
      <c r="I3549" s="2" t="s">
        <v>15</v>
      </c>
      <c r="J3549" s="2" t="s">
        <v>5071</v>
      </c>
      <c r="K3549" s="2" t="s">
        <v>5072</v>
      </c>
      <c r="L3549" s="2">
        <f t="shared" si="55"/>
        <v>144</v>
      </c>
    </row>
    <row r="3550" spans="1:12" ht="25" customHeight="1">
      <c r="A3550" s="2" t="s">
        <v>12</v>
      </c>
      <c r="B3550" s="2" t="str">
        <f>HYPERLINK("http://bbs.12365auto.com/postcontent.aspx?tID=194905","昂克赛拉发动机故障灯亮了 （没有人投诉有结果的吗？")</f>
        <v>昂克赛拉发动机故障灯亮了 （没有人投诉有结果的吗？</v>
      </c>
      <c r="C3550" s="2" t="s">
        <v>13</v>
      </c>
      <c r="D3550" s="2" t="s">
        <v>12</v>
      </c>
      <c r="E3550" s="2" t="s">
        <v>67</v>
      </c>
      <c r="F3550" s="2" t="str">
        <f>HYPERLINK("http://bbs.12365auto.com/postcontent.aspx?tID=194905","http://bbs.12365auto.com/postcontent.aspx?tID=194905")</f>
        <v>http://bbs.12365auto.com/postcontent.aspx?tID=194905</v>
      </c>
      <c r="G3550" s="2"/>
      <c r="H3550" s="2" t="s">
        <v>5073</v>
      </c>
      <c r="I3550" s="2" t="s">
        <v>15</v>
      </c>
      <c r="J3550" s="2" t="s">
        <v>5071</v>
      </c>
      <c r="K3550" s="2" t="s">
        <v>5072</v>
      </c>
      <c r="L3550" s="2">
        <f t="shared" si="55"/>
        <v>150</v>
      </c>
    </row>
    <row r="3551" spans="1:12" ht="25" customHeight="1">
      <c r="A3551" s="2" t="s">
        <v>12</v>
      </c>
      <c r="B3551" s="2" t="str">
        <f>HYPERLINK("http://m.12365auto.com/bbs/postcontent.aspx?tID=194905","昂克赛拉发动机故障灯亮了 （没有人投诉有结果的吗？")</f>
        <v>昂克赛拉发动机故障灯亮了 （没有人投诉有结果的吗？</v>
      </c>
      <c r="C3551" s="2" t="s">
        <v>13</v>
      </c>
      <c r="D3551" s="2" t="s">
        <v>23</v>
      </c>
      <c r="E3551" s="2"/>
      <c r="F3551" s="2" t="str">
        <f>HYPERLINK("http://m.12365auto.com/bbs/postcontent.aspx?tID=194905","http://m.12365auto.com/bbs/postcontent.aspx?tID=194905")</f>
        <v>http://m.12365auto.com/bbs/postcontent.aspx?tID=194905</v>
      </c>
      <c r="G3551" s="2"/>
      <c r="H3551" s="2" t="s">
        <v>5070</v>
      </c>
      <c r="I3551" s="2" t="s">
        <v>15</v>
      </c>
      <c r="J3551" s="2" t="s">
        <v>5071</v>
      </c>
      <c r="K3551" s="2" t="s">
        <v>5072</v>
      </c>
      <c r="L3551" s="2">
        <f t="shared" si="55"/>
        <v>144</v>
      </c>
    </row>
    <row r="3552" spans="1:12" ht="25" customHeight="1">
      <c r="A3552" s="2" t="s">
        <v>12</v>
      </c>
      <c r="B3552" s="2" t="str">
        <f>HYPERLINK("http://www.12365auto.com/zlts/20200223/448287.shtml","一汽大众速腾韩泰轮胎开裂存在安全隐患")</f>
        <v>一汽大众速腾韩泰轮胎开裂存在安全隐患</v>
      </c>
      <c r="C3552" s="2" t="s">
        <v>13</v>
      </c>
      <c r="D3552" s="2" t="s">
        <v>12</v>
      </c>
      <c r="E3552" s="2" t="s">
        <v>17</v>
      </c>
      <c r="F3552" s="2" t="str">
        <f>HYPERLINK("http://www.12365auto.com/zlts/20200223/448287.shtml","http://www.12365auto.com/zlts/20200223/448287.shtml")</f>
        <v>http://www.12365auto.com/zlts/20200223/448287.shtml</v>
      </c>
      <c r="G3552" s="2"/>
      <c r="H3552" s="2" t="s">
        <v>5074</v>
      </c>
      <c r="I3552" s="2" t="s">
        <v>19</v>
      </c>
      <c r="J3552" s="2" t="s">
        <v>12</v>
      </c>
      <c r="K3552" s="2" t="s">
        <v>5075</v>
      </c>
      <c r="L3552" s="2">
        <f t="shared" si="55"/>
        <v>150</v>
      </c>
    </row>
    <row r="3553" spans="1:12" ht="25" customHeight="1">
      <c r="A3553" s="2" t="s">
        <v>12</v>
      </c>
      <c r="B3553" s="2" t="str">
        <f>HYPERLINK("http://bbs.12365auto.com/postcontent.aspx?tId=194904","告诉你买二手车检测重点 还原车况避让事故车的关键？")</f>
        <v>告诉你买二手车检测重点 还原车况避让事故车的关键？</v>
      </c>
      <c r="C3553" s="2" t="s">
        <v>13</v>
      </c>
      <c r="D3553" s="2" t="s">
        <v>12</v>
      </c>
      <c r="E3553" s="2" t="s">
        <v>1397</v>
      </c>
      <c r="F3553" s="2" t="str">
        <f>HYPERLINK("http://bbs.12365auto.com/postcontent.aspx?tId=194904","http://bbs.12365auto.com/postcontent.aspx?tId=194904")</f>
        <v>http://bbs.12365auto.com/postcontent.aspx?tId=194904</v>
      </c>
      <c r="G3553" s="2"/>
      <c r="H3553" s="2" t="s">
        <v>5076</v>
      </c>
      <c r="I3553" s="2" t="s">
        <v>15</v>
      </c>
      <c r="J3553" s="2" t="s">
        <v>2824</v>
      </c>
      <c r="K3553" s="2" t="s">
        <v>5077</v>
      </c>
      <c r="L3553" s="2">
        <f t="shared" si="55"/>
        <v>150</v>
      </c>
    </row>
    <row r="3554" spans="1:12" ht="25" customHeight="1">
      <c r="A3554" s="2" t="s">
        <v>12</v>
      </c>
      <c r="B3554" s="2" t="str">
        <f>HYPERLINK("http://bbs.12365auto.com/postcontent.aspx?tID=194904","告诉你买二手车检测重点 还原车况避让事故车的关键？")</f>
        <v>告诉你买二手车检测重点 还原车况避让事故车的关键？</v>
      </c>
      <c r="C3554" s="2" t="s">
        <v>13</v>
      </c>
      <c r="D3554" s="2" t="s">
        <v>12</v>
      </c>
      <c r="E3554" s="2" t="s">
        <v>1393</v>
      </c>
      <c r="F3554" s="2" t="str">
        <f>HYPERLINK("http://bbs.12365auto.com/postcontent.aspx?tID=194904","http://bbs.12365auto.com/postcontent.aspx?tID=194904")</f>
        <v>http://bbs.12365auto.com/postcontent.aspx?tID=194904</v>
      </c>
      <c r="G3554" s="2"/>
      <c r="H3554" s="2" t="s">
        <v>5078</v>
      </c>
      <c r="I3554" s="2" t="s">
        <v>15</v>
      </c>
      <c r="J3554" s="2" t="s">
        <v>2824</v>
      </c>
      <c r="K3554" s="2" t="s">
        <v>5077</v>
      </c>
      <c r="L3554" s="2">
        <f t="shared" si="55"/>
        <v>150</v>
      </c>
    </row>
    <row r="3555" spans="1:12" ht="25" customHeight="1">
      <c r="A3555" s="2" t="s">
        <v>12</v>
      </c>
      <c r="B3555" s="2" t="str">
        <f>HYPERLINK("http://m.12365auto.com/bbs/postcontent.aspx?tID=194904","告诉你买二手车检测重点 还原车况避让事故车的关键？")</f>
        <v>告诉你买二手车检测重点 还原车况避让事故车的关键？</v>
      </c>
      <c r="C3555" s="2" t="s">
        <v>13</v>
      </c>
      <c r="D3555" s="2" t="s">
        <v>23</v>
      </c>
      <c r="E3555" s="2"/>
      <c r="F3555" s="2" t="str">
        <f>HYPERLINK("http://m.12365auto.com/bbs/postcontent.aspx?tID=194904","http://m.12365auto.com/bbs/postcontent.aspx?tID=194904")</f>
        <v>http://m.12365auto.com/bbs/postcontent.aspx?tID=194904</v>
      </c>
      <c r="G3555" s="2"/>
      <c r="H3555" s="2" t="s">
        <v>5076</v>
      </c>
      <c r="I3555" s="2" t="s">
        <v>15</v>
      </c>
      <c r="J3555" s="2" t="s">
        <v>2824</v>
      </c>
      <c r="K3555" s="2" t="s">
        <v>5077</v>
      </c>
      <c r="L3555" s="2">
        <f t="shared" si="55"/>
        <v>150</v>
      </c>
    </row>
    <row r="3556" spans="1:12" ht="25" customHeight="1">
      <c r="A3556" s="2" t="s">
        <v>12</v>
      </c>
      <c r="B3556" s="2" t="str">
        <f>HYPERLINK("http://www.12365auto.com/zlts/20200223/448280.shtml","四个门的手把前后间隙大")</f>
        <v>四个门的手把前后间隙大</v>
      </c>
      <c r="C3556" s="2" t="s">
        <v>13</v>
      </c>
      <c r="D3556" s="2" t="s">
        <v>12</v>
      </c>
      <c r="E3556" s="2"/>
      <c r="F3556" s="2" t="str">
        <f>HYPERLINK("http://www.12365auto.com/zlts/20200223/448280.shtml","http://www.12365auto.com/zlts/20200223/448280.shtml")</f>
        <v>http://www.12365auto.com/zlts/20200223/448280.shtml</v>
      </c>
      <c r="G3556" s="2"/>
      <c r="H3556" s="3" t="s">
        <v>5079</v>
      </c>
      <c r="I3556" s="2" t="s">
        <v>15</v>
      </c>
      <c r="J3556" s="2" t="s">
        <v>12</v>
      </c>
      <c r="K3556" s="2" t="s">
        <v>5080</v>
      </c>
      <c r="L3556" s="2">
        <f t="shared" si="55"/>
        <v>118</v>
      </c>
    </row>
    <row r="3557" spans="1:12" ht="25" customHeight="1">
      <c r="A3557" s="2" t="s">
        <v>12</v>
      </c>
      <c r="B3557" s="2" t="str">
        <f>HYPERLINK("http://www.12365auto.com/zlts/20200223/448283.shtml","有吃胎现象")</f>
        <v>有吃胎现象</v>
      </c>
      <c r="C3557" s="2" t="s">
        <v>13</v>
      </c>
      <c r="D3557" s="2" t="s">
        <v>12</v>
      </c>
      <c r="E3557" s="2"/>
      <c r="F3557" s="2" t="str">
        <f>HYPERLINK("http://www.12365auto.com/zlts/20200223/448283.shtml","http://www.12365auto.com/zlts/20200223/448283.shtml")</f>
        <v>http://www.12365auto.com/zlts/20200223/448283.shtml</v>
      </c>
      <c r="G3557" s="2"/>
      <c r="H3557" s="2" t="s">
        <v>5082</v>
      </c>
      <c r="I3557" s="2" t="s">
        <v>15</v>
      </c>
      <c r="J3557" s="2" t="s">
        <v>12</v>
      </c>
      <c r="K3557" s="2" t="s">
        <v>5081</v>
      </c>
      <c r="L3557" s="2">
        <f t="shared" si="55"/>
        <v>95</v>
      </c>
    </row>
    <row r="3558" spans="1:12" ht="25" customHeight="1">
      <c r="A3558" s="2" t="s">
        <v>12</v>
      </c>
      <c r="B3558" s="2" t="str">
        <f>HYPERLINK("http://www.12365auto.com/zlts/20200223/448286.shtml","上汽名爵HS电瓶频繁亏电影响正常使用")</f>
        <v>上汽名爵HS电瓶频繁亏电影响正常使用</v>
      </c>
      <c r="C3558" s="2" t="s">
        <v>13</v>
      </c>
      <c r="D3558" s="2" t="s">
        <v>12</v>
      </c>
      <c r="E3558" s="2" t="s">
        <v>17</v>
      </c>
      <c r="F3558" s="2" t="str">
        <f>HYPERLINK("http://www.12365auto.com/zlts/20200223/448286.shtml","http://www.12365auto.com/zlts/20200223/448286.shtml")</f>
        <v>http://www.12365auto.com/zlts/20200223/448286.shtml</v>
      </c>
      <c r="G3558" s="2"/>
      <c r="H3558" s="2" t="s">
        <v>5083</v>
      </c>
      <c r="I3558" s="2" t="s">
        <v>19</v>
      </c>
      <c r="J3558" s="2" t="s">
        <v>12</v>
      </c>
      <c r="K3558" s="2" t="s">
        <v>5084</v>
      </c>
      <c r="L3558" s="2">
        <f t="shared" si="55"/>
        <v>150</v>
      </c>
    </row>
    <row r="3559" spans="1:12" ht="25" customHeight="1">
      <c r="A3559" s="2" t="s">
        <v>12</v>
      </c>
      <c r="B3559" s="2" t="str">
        <f>HYPERLINK("http://www.12365auto.com/zlts/20200223/448285.shtml","江铃驭胜S330经销商疑似出售事故车")</f>
        <v>江铃驭胜S330经销商疑似出售事故车</v>
      </c>
      <c r="C3559" s="2" t="s">
        <v>13</v>
      </c>
      <c r="D3559" s="2" t="s">
        <v>12</v>
      </c>
      <c r="E3559" s="2" t="s">
        <v>17</v>
      </c>
      <c r="F3559" s="2" t="str">
        <f>HYPERLINK("http://www.12365auto.com/zlts/20200223/448285.shtml","http://www.12365auto.com/zlts/20200223/448285.shtml")</f>
        <v>http://www.12365auto.com/zlts/20200223/448285.shtml</v>
      </c>
      <c r="G3559" s="2"/>
      <c r="H3559" s="2" t="s">
        <v>5085</v>
      </c>
      <c r="I3559" s="2" t="s">
        <v>19</v>
      </c>
      <c r="J3559" s="2" t="s">
        <v>12</v>
      </c>
      <c r="K3559" s="2" t="s">
        <v>5086</v>
      </c>
      <c r="L3559" s="2">
        <f t="shared" si="55"/>
        <v>150</v>
      </c>
    </row>
    <row r="3560" spans="1:12" ht="25" customHeight="1">
      <c r="A3560" s="2" t="s">
        <v>12</v>
      </c>
      <c r="B3560" s="2" t="str">
        <f>HYPERLINK("http://m.12365auto.com/news/20200223/419295.shtml","大众1月全球销量83.68万辆 奥迪增长1.8%")</f>
        <v>大众1月全球销量83.68万辆 奥迪增长1.8%</v>
      </c>
      <c r="C3560" s="2" t="s">
        <v>13</v>
      </c>
      <c r="D3560" s="2" t="s">
        <v>12</v>
      </c>
      <c r="E3560" s="2"/>
      <c r="F3560" s="2" t="str">
        <f>HYPERLINK("http://m.12365auto.com/news/20200223/419295.shtml","http://m.12365auto.com/news/20200223/419295.shtml")</f>
        <v>http://m.12365auto.com/news/20200223/419295.shtml</v>
      </c>
      <c r="G3560" s="2"/>
      <c r="H3560" s="2" t="s">
        <v>5087</v>
      </c>
      <c r="I3560" s="2" t="s">
        <v>19</v>
      </c>
      <c r="J3560" s="2" t="s">
        <v>1076</v>
      </c>
      <c r="K3560" s="2" t="s">
        <v>5088</v>
      </c>
      <c r="L3560" s="2">
        <f t="shared" si="55"/>
        <v>150</v>
      </c>
    </row>
    <row r="3561" spans="1:12" ht="25" customHeight="1">
      <c r="A3561" s="2" t="s">
        <v>12</v>
      </c>
      <c r="B3561" s="2" t="str">
        <f>HYPERLINK("http://www.12365auto.com/news/20200223/419295.shtml","大众1月全球销量83.68万辆 奥迪增长1.8%")</f>
        <v>大众1月全球销量83.68万辆 奥迪增长1.8%</v>
      </c>
      <c r="C3561" s="2" t="s">
        <v>13</v>
      </c>
      <c r="D3561" s="2" t="s">
        <v>12</v>
      </c>
      <c r="E3561" s="2" t="s">
        <v>276</v>
      </c>
      <c r="F3561" s="2" t="str">
        <f>HYPERLINK("http://www.12365auto.com/news/20200223/419295.shtml","http://www.12365auto.com/news/20200223/419295.shtml")</f>
        <v>http://www.12365auto.com/news/20200223/419295.shtml</v>
      </c>
      <c r="G3561" s="2"/>
      <c r="H3561" s="2" t="s">
        <v>5089</v>
      </c>
      <c r="I3561" s="2" t="s">
        <v>15</v>
      </c>
      <c r="J3561" s="2" t="s">
        <v>12</v>
      </c>
      <c r="K3561" s="2" t="s">
        <v>5088</v>
      </c>
      <c r="L3561" s="2">
        <f t="shared" si="55"/>
        <v>150</v>
      </c>
    </row>
    <row r="3562" spans="1:12" ht="25" customHeight="1">
      <c r="A3562" s="2" t="s">
        <v>12</v>
      </c>
      <c r="B3562" s="2" t="str">
        <f>HYPERLINK("http://m.12365auto.com/xcdg/20200223/419294.shtml","改款奥迪A4L配置曝光 入门版增10项标配")</f>
        <v>改款奥迪A4L配置曝光 入门版增10项标配</v>
      </c>
      <c r="C3562" s="2" t="s">
        <v>13</v>
      </c>
      <c r="D3562" s="2" t="s">
        <v>12</v>
      </c>
      <c r="E3562" s="2"/>
      <c r="F3562" s="2" t="str">
        <f>HYPERLINK("http://m.12365auto.com/xcdg/20200223/419294.shtml","http://m.12365auto.com/xcdg/20200223/419294.shtml")</f>
        <v>http://m.12365auto.com/xcdg/20200223/419294.shtml</v>
      </c>
      <c r="G3562" s="2"/>
      <c r="H3562" s="2" t="s">
        <v>5090</v>
      </c>
      <c r="I3562" s="2" t="s">
        <v>19</v>
      </c>
      <c r="J3562" s="2" t="s">
        <v>732</v>
      </c>
      <c r="K3562" s="2" t="s">
        <v>5091</v>
      </c>
      <c r="L3562" s="2">
        <f t="shared" si="55"/>
        <v>150</v>
      </c>
    </row>
    <row r="3563" spans="1:12" ht="25" customHeight="1">
      <c r="A3563" s="2" t="s">
        <v>12</v>
      </c>
      <c r="B3563" s="2" t="str">
        <f>HYPERLINK("http://www.12365auto.com/xcdg/20200223/419294.shtml","改款奥迪A4L配置曝光 入门版增10项标配")</f>
        <v>改款奥迪A4L配置曝光 入门版增10项标配</v>
      </c>
      <c r="C3563" s="2" t="s">
        <v>13</v>
      </c>
      <c r="D3563" s="2" t="s">
        <v>12</v>
      </c>
      <c r="E3563" s="2" t="s">
        <v>216</v>
      </c>
      <c r="F3563" s="2" t="str">
        <f>HYPERLINK("http://www.12365auto.com/xcdg/20200223/419294.shtml","http://www.12365auto.com/xcdg/20200223/419294.shtml")</f>
        <v>http://www.12365auto.com/xcdg/20200223/419294.shtml</v>
      </c>
      <c r="G3563" s="2"/>
      <c r="H3563" s="2" t="s">
        <v>5092</v>
      </c>
      <c r="I3563" s="2" t="s">
        <v>15</v>
      </c>
      <c r="J3563" s="2" t="s">
        <v>12</v>
      </c>
      <c r="K3563" s="2" t="s">
        <v>5091</v>
      </c>
      <c r="L3563" s="2">
        <f t="shared" si="55"/>
        <v>150</v>
      </c>
    </row>
    <row r="3564" spans="1:12" ht="25" customHeight="1">
      <c r="A3564" s="2" t="s">
        <v>12</v>
      </c>
      <c r="B3564" s="2" t="str">
        <f>HYPERLINK("http://www.12365auto.com/zlts/20200223/448284.shtml","上汽名爵锐腾挂挡困难 车内异味 后减震失效")</f>
        <v>上汽名爵锐腾挂挡困难 车内异味 后减震失效</v>
      </c>
      <c r="C3564" s="2" t="s">
        <v>13</v>
      </c>
      <c r="D3564" s="2" t="s">
        <v>12</v>
      </c>
      <c r="E3564" s="2" t="s">
        <v>17</v>
      </c>
      <c r="F3564" s="2" t="str">
        <f>HYPERLINK("http://www.12365auto.com/zlts/20200223/448284.shtml","http://www.12365auto.com/zlts/20200223/448284.shtml")</f>
        <v>http://www.12365auto.com/zlts/20200223/448284.shtml</v>
      </c>
      <c r="G3564" s="2"/>
      <c r="H3564" s="2" t="s">
        <v>5093</v>
      </c>
      <c r="I3564" s="2" t="s">
        <v>19</v>
      </c>
      <c r="J3564" s="2" t="s">
        <v>12</v>
      </c>
      <c r="K3564" s="2" t="s">
        <v>5094</v>
      </c>
      <c r="L3564" s="2">
        <f t="shared" si="55"/>
        <v>150</v>
      </c>
    </row>
    <row r="3565" spans="1:12" ht="25" customHeight="1">
      <c r="A3565" s="2" t="s">
        <v>12</v>
      </c>
      <c r="B3565" s="2" t="str">
        <f>HYPERLINK("http://www.12365auto.com/zlts/20200223/448282.shtml","东风本田思域优科豪马轮胎掉块存在隐患")</f>
        <v>东风本田思域优科豪马轮胎掉块存在隐患</v>
      </c>
      <c r="C3565" s="2" t="s">
        <v>13</v>
      </c>
      <c r="D3565" s="2" t="s">
        <v>12</v>
      </c>
      <c r="E3565" s="2" t="s">
        <v>17</v>
      </c>
      <c r="F3565" s="2" t="str">
        <f>HYPERLINK("http://www.12365auto.com/zlts/20200223/448282.shtml","http://www.12365auto.com/zlts/20200223/448282.shtml")</f>
        <v>http://www.12365auto.com/zlts/20200223/448282.shtml</v>
      </c>
      <c r="G3565" s="2"/>
      <c r="H3565" s="2" t="s">
        <v>5095</v>
      </c>
      <c r="I3565" s="2" t="s">
        <v>19</v>
      </c>
      <c r="J3565" s="2" t="s">
        <v>12</v>
      </c>
      <c r="K3565" s="2" t="s">
        <v>5096</v>
      </c>
      <c r="L3565" s="2">
        <f t="shared" si="55"/>
        <v>150</v>
      </c>
    </row>
    <row r="3566" spans="1:12" ht="25" customHeight="1">
      <c r="A3566" s="2" t="s">
        <v>12</v>
      </c>
      <c r="B3566" s="2" t="str">
        <f>HYPERLINK("http://www.12365auto.com/zlts/20200223/448277.shtml","变速箱不升档，中控屏闪屏，黑屏无法使用")</f>
        <v>变速箱不升档，中控屏闪屏，黑屏无法使用</v>
      </c>
      <c r="C3566" s="2" t="s">
        <v>13</v>
      </c>
      <c r="D3566" s="2" t="s">
        <v>12</v>
      </c>
      <c r="E3566" s="2"/>
      <c r="F3566" s="2" t="str">
        <f>HYPERLINK("http://www.12365auto.com/zlts/20200223/448277.shtml","http://www.12365auto.com/zlts/20200223/448277.shtml")</f>
        <v>http://www.12365auto.com/zlts/20200223/448277.shtml</v>
      </c>
      <c r="G3566" s="2"/>
      <c r="H3566" s="2" t="s">
        <v>5098</v>
      </c>
      <c r="I3566" s="2" t="s">
        <v>15</v>
      </c>
      <c r="J3566" s="2" t="s">
        <v>12</v>
      </c>
      <c r="K3566" s="2" t="s">
        <v>5097</v>
      </c>
      <c r="L3566" s="2">
        <f t="shared" si="55"/>
        <v>84</v>
      </c>
    </row>
    <row r="3567" spans="1:12" ht="25" customHeight="1">
      <c r="A3567" s="2" t="s">
        <v>12</v>
      </c>
      <c r="B3567" s="2" t="str">
        <f>HYPERLINK("http://www.12365auto.com/news/20200223/419293.shtml","1月销量暴跌5成 新能源的神话终结了？")</f>
        <v>1月销量暴跌5成 新能源的神话终结了？</v>
      </c>
      <c r="C3567" s="2" t="s">
        <v>13</v>
      </c>
      <c r="D3567" s="2" t="s">
        <v>12</v>
      </c>
      <c r="E3567" s="2" t="s">
        <v>276</v>
      </c>
      <c r="F3567" s="2" t="str">
        <f>HYPERLINK("http://www.12365auto.com/news/20200223/419293.shtml","http://www.12365auto.com/news/20200223/419293.shtml")</f>
        <v>http://www.12365auto.com/news/20200223/419293.shtml</v>
      </c>
      <c r="G3567" s="2"/>
      <c r="H3567" s="2" t="s">
        <v>5099</v>
      </c>
      <c r="I3567" s="2" t="s">
        <v>15</v>
      </c>
      <c r="J3567" s="2" t="s">
        <v>12</v>
      </c>
      <c r="K3567" s="2" t="s">
        <v>5100</v>
      </c>
      <c r="L3567" s="2">
        <f t="shared" si="55"/>
        <v>150</v>
      </c>
    </row>
    <row r="3568" spans="1:12" ht="25" customHeight="1">
      <c r="A3568" s="2" t="s">
        <v>12</v>
      </c>
      <c r="B3568" s="2" t="str">
        <f>HYPERLINK("http://m.12365auto.com/news/20200223/419293.shtml","1月销量暴跌5成 新能源的神话终结了？")</f>
        <v>1月销量暴跌5成 新能源的神话终结了？</v>
      </c>
      <c r="C3568" s="2" t="s">
        <v>13</v>
      </c>
      <c r="D3568" s="2" t="s">
        <v>12</v>
      </c>
      <c r="E3568" s="2"/>
      <c r="F3568" s="2" t="str">
        <f>HYPERLINK("http://m.12365auto.com/news/20200223/419293.shtml","http://m.12365auto.com/news/20200223/419293.shtml")</f>
        <v>http://m.12365auto.com/news/20200223/419293.shtml</v>
      </c>
      <c r="G3568" s="2"/>
      <c r="H3568" s="2" t="s">
        <v>5101</v>
      </c>
      <c r="I3568" s="2" t="s">
        <v>19</v>
      </c>
      <c r="J3568" s="2" t="s">
        <v>5102</v>
      </c>
      <c r="K3568" s="2" t="s">
        <v>5100</v>
      </c>
      <c r="L3568" s="2">
        <f t="shared" si="55"/>
        <v>150</v>
      </c>
    </row>
    <row r="3569" spans="1:12" ht="25" customHeight="1">
      <c r="A3569" s="2" t="s">
        <v>12</v>
      </c>
      <c r="B3569" s="2" t="str">
        <f>HYPERLINK("http://www.12365auto.com/zlts/20200223/448281.shtml","上汽荣威RX8发动机抖动 座椅无法前后调节")</f>
        <v>上汽荣威RX8发动机抖动 座椅无法前后调节</v>
      </c>
      <c r="C3569" s="2" t="s">
        <v>13</v>
      </c>
      <c r="D3569" s="2" t="s">
        <v>12</v>
      </c>
      <c r="E3569" s="2" t="s">
        <v>17</v>
      </c>
      <c r="F3569" s="2" t="str">
        <f>HYPERLINK("http://www.12365auto.com/zlts/20200223/448281.shtml","http://www.12365auto.com/zlts/20200223/448281.shtml")</f>
        <v>http://www.12365auto.com/zlts/20200223/448281.shtml</v>
      </c>
      <c r="G3569" s="2"/>
      <c r="H3569" s="2" t="s">
        <v>5103</v>
      </c>
      <c r="I3569" s="2" t="s">
        <v>19</v>
      </c>
      <c r="J3569" s="2" t="s">
        <v>12</v>
      </c>
      <c r="K3569" s="2" t="s">
        <v>5104</v>
      </c>
      <c r="L3569" s="2">
        <f t="shared" si="55"/>
        <v>150</v>
      </c>
    </row>
    <row r="3570" spans="1:12" ht="25" customHeight="1">
      <c r="A3570" s="2" t="s">
        <v>12</v>
      </c>
      <c r="B3570" s="2" t="str">
        <f>HYPERLINK("http://www.12365auto.com/news/20200223/419292.shtml","海外业务有亮点 长城发布2019业绩快报")</f>
        <v>海外业务有亮点 长城发布2019业绩快报</v>
      </c>
      <c r="C3570" s="2" t="s">
        <v>13</v>
      </c>
      <c r="D3570" s="2" t="s">
        <v>12</v>
      </c>
      <c r="E3570" s="2" t="s">
        <v>282</v>
      </c>
      <c r="F3570" s="2" t="str">
        <f>HYPERLINK("http://www.12365auto.com/news/20200223/419292.shtml","http://www.12365auto.com/news/20200223/419292.shtml")</f>
        <v>http://www.12365auto.com/news/20200223/419292.shtml</v>
      </c>
      <c r="G3570" s="2"/>
      <c r="H3570" s="2" t="s">
        <v>5105</v>
      </c>
      <c r="I3570" s="2" t="s">
        <v>19</v>
      </c>
      <c r="J3570" s="2" t="s">
        <v>12</v>
      </c>
      <c r="K3570" s="2" t="s">
        <v>5106</v>
      </c>
      <c r="L3570" s="2">
        <f t="shared" si="55"/>
        <v>150</v>
      </c>
    </row>
    <row r="3571" spans="1:12" ht="25" customHeight="1">
      <c r="A3571" s="2" t="s">
        <v>12</v>
      </c>
      <c r="B3571" s="2" t="str">
        <f>HYPERLINK("http://m.12365auto.com/news/20200223/419292.shtml","海外业务有亮点 长城发布2019业绩快报")</f>
        <v>海外业务有亮点 长城发布2019业绩快报</v>
      </c>
      <c r="C3571" s="2" t="s">
        <v>13</v>
      </c>
      <c r="D3571" s="2" t="s">
        <v>12</v>
      </c>
      <c r="E3571" s="2"/>
      <c r="F3571" s="2" t="str">
        <f>HYPERLINK("http://m.12365auto.com/news/20200223/419292.shtml","http://m.12365auto.com/news/20200223/419292.shtml")</f>
        <v>http://m.12365auto.com/news/20200223/419292.shtml</v>
      </c>
      <c r="G3571" s="2"/>
      <c r="H3571" s="2" t="s">
        <v>5107</v>
      </c>
      <c r="I3571" s="2" t="s">
        <v>19</v>
      </c>
      <c r="J3571" s="2" t="s">
        <v>281</v>
      </c>
      <c r="K3571" s="2" t="s">
        <v>5106</v>
      </c>
      <c r="L3571" s="2">
        <f t="shared" si="55"/>
        <v>150</v>
      </c>
    </row>
    <row r="3572" spans="1:12" ht="25" customHeight="1">
      <c r="A3572" s="2" t="s">
        <v>12</v>
      </c>
      <c r="B3572" s="2" t="str">
        <f>HYPERLINK("http://www.12365auto.com/news/20200223/419291.shtml","形成中国标准！智能汽车创新战略发布")</f>
        <v>形成中国标准！智能汽车创新战略发布</v>
      </c>
      <c r="C3572" s="2" t="s">
        <v>13</v>
      </c>
      <c r="D3572" s="2" t="s">
        <v>12</v>
      </c>
      <c r="E3572" s="2" t="s">
        <v>276</v>
      </c>
      <c r="F3572" s="2" t="str">
        <f>HYPERLINK("http://www.12365auto.com/news/20200223/419291.shtml","http://www.12365auto.com/news/20200223/419291.shtml")</f>
        <v>http://www.12365auto.com/news/20200223/419291.shtml</v>
      </c>
      <c r="G3572" s="2"/>
      <c r="H3572" s="2" t="s">
        <v>5108</v>
      </c>
      <c r="I3572" s="2" t="s">
        <v>15</v>
      </c>
      <c r="J3572" s="2" t="s">
        <v>12</v>
      </c>
      <c r="K3572" s="2" t="s">
        <v>5109</v>
      </c>
      <c r="L3572" s="2">
        <f t="shared" si="55"/>
        <v>150</v>
      </c>
    </row>
    <row r="3573" spans="1:12" ht="25" customHeight="1">
      <c r="A3573" s="2" t="s">
        <v>12</v>
      </c>
      <c r="B3573" s="2" t="str">
        <f>HYPERLINK("http://m.12365auto.com/news/20200223/419291.shtml","形成中国标准！智能汽车创新战略发布")</f>
        <v>形成中国标准！智能汽车创新战略发布</v>
      </c>
      <c r="C3573" s="2" t="s">
        <v>13</v>
      </c>
      <c r="D3573" s="2" t="s">
        <v>12</v>
      </c>
      <c r="E3573" s="2"/>
      <c r="F3573" s="2" t="str">
        <f>HYPERLINK("http://m.12365auto.com/news/20200223/419291.shtml","http://m.12365auto.com/news/20200223/419291.shtml")</f>
        <v>http://m.12365auto.com/news/20200223/419291.shtml</v>
      </c>
      <c r="G3573" s="2"/>
      <c r="H3573" s="2" t="s">
        <v>5110</v>
      </c>
      <c r="I3573" s="2" t="s">
        <v>19</v>
      </c>
      <c r="J3573" s="2" t="s">
        <v>1643</v>
      </c>
      <c r="K3573" s="2" t="s">
        <v>5109</v>
      </c>
      <c r="L3573" s="2">
        <f t="shared" si="55"/>
        <v>150</v>
      </c>
    </row>
    <row r="3574" spans="1:12" ht="25" customHeight="1">
      <c r="A3574" s="2" t="s">
        <v>12</v>
      </c>
      <c r="B3574" s="2" t="str">
        <f>HYPERLINK("http://www.12365auto.com/xcdg/20200223/419290.shtml","布加迪Chiron Sport特别版将亮相日内瓦")</f>
        <v>布加迪Chiron Sport特别版将亮相日内瓦</v>
      </c>
      <c r="C3574" s="2" t="s">
        <v>13</v>
      </c>
      <c r="D3574" s="2" t="s">
        <v>12</v>
      </c>
      <c r="E3574" s="2" t="s">
        <v>216</v>
      </c>
      <c r="F3574" s="2" t="str">
        <f>HYPERLINK("http://www.12365auto.com/xcdg/20200223/419290.shtml","http://www.12365auto.com/xcdg/20200223/419290.shtml")</f>
        <v>http://www.12365auto.com/xcdg/20200223/419290.shtml</v>
      </c>
      <c r="G3574" s="2"/>
      <c r="H3574" s="2" t="s">
        <v>5111</v>
      </c>
      <c r="I3574" s="2" t="s">
        <v>15</v>
      </c>
      <c r="J3574" s="2" t="s">
        <v>12</v>
      </c>
      <c r="K3574" s="2" t="s">
        <v>5112</v>
      </c>
      <c r="L3574" s="2">
        <f t="shared" si="55"/>
        <v>150</v>
      </c>
    </row>
    <row r="3575" spans="1:12" ht="25" customHeight="1">
      <c r="A3575" s="2" t="s">
        <v>12</v>
      </c>
      <c r="B3575" s="2" t="str">
        <f>HYPERLINK("http://m.12365auto.com/xcdg/20200223/419290.shtml","布加迪Chiron Sport特别版将亮相日内瓦")</f>
        <v>布加迪Chiron Sport特别版将亮相日内瓦</v>
      </c>
      <c r="C3575" s="2" t="s">
        <v>13</v>
      </c>
      <c r="D3575" s="2" t="s">
        <v>12</v>
      </c>
      <c r="E3575" s="2"/>
      <c r="F3575" s="2" t="str">
        <f>HYPERLINK("http://m.12365auto.com/xcdg/20200223/419290.shtml","http://m.12365auto.com/xcdg/20200223/419290.shtml")</f>
        <v>http://m.12365auto.com/xcdg/20200223/419290.shtml</v>
      </c>
      <c r="G3575" s="2"/>
      <c r="H3575" s="2" t="s">
        <v>5113</v>
      </c>
      <c r="I3575" s="2" t="s">
        <v>19</v>
      </c>
      <c r="J3575" s="2" t="s">
        <v>1218</v>
      </c>
      <c r="K3575" s="2" t="s">
        <v>5112</v>
      </c>
      <c r="L3575" s="2">
        <f t="shared" si="55"/>
        <v>150</v>
      </c>
    </row>
    <row r="3576" spans="1:12" ht="25" customHeight="1">
      <c r="A3576" s="2" t="s">
        <v>12</v>
      </c>
      <c r="B3576" s="2" t="str">
        <f>HYPERLINK("http://www.12365auto.com/news/20200223/419289.shtml","质保延长3个月 上汽通用再推“战疫”举措")</f>
        <v>质保延长3个月 上汽通用再推“战疫”举措</v>
      </c>
      <c r="C3576" s="2" t="s">
        <v>13</v>
      </c>
      <c r="D3576" s="2" t="s">
        <v>12</v>
      </c>
      <c r="E3576" s="2" t="s">
        <v>282</v>
      </c>
      <c r="F3576" s="2" t="str">
        <f>HYPERLINK("http://www.12365auto.com/news/20200223/419289.shtml","http://www.12365auto.com/news/20200223/419289.shtml")</f>
        <v>http://www.12365auto.com/news/20200223/419289.shtml</v>
      </c>
      <c r="G3576" s="2"/>
      <c r="H3576" s="2" t="s">
        <v>5114</v>
      </c>
      <c r="I3576" s="2" t="s">
        <v>19</v>
      </c>
      <c r="J3576" s="2" t="s">
        <v>12</v>
      </c>
      <c r="K3576" s="2" t="s">
        <v>5115</v>
      </c>
      <c r="L3576" s="2">
        <f t="shared" si="55"/>
        <v>150</v>
      </c>
    </row>
    <row r="3577" spans="1:12" ht="25" customHeight="1">
      <c r="A3577" s="2" t="s">
        <v>12</v>
      </c>
      <c r="B3577" s="2" t="str">
        <f>HYPERLINK("http://m.12365auto.com/news/20200223/419289.shtml","质保延长3个月 上汽通用再推“战疫”举措")</f>
        <v>质保延长3个月 上汽通用再推“战疫”举措</v>
      </c>
      <c r="C3577" s="2" t="s">
        <v>13</v>
      </c>
      <c r="D3577" s="2" t="s">
        <v>12</v>
      </c>
      <c r="E3577" s="2"/>
      <c r="F3577" s="2" t="str">
        <f>HYPERLINK("http://m.12365auto.com/news/20200223/419289.shtml","http://m.12365auto.com/news/20200223/419289.shtml")</f>
        <v>http://m.12365auto.com/news/20200223/419289.shtml</v>
      </c>
      <c r="G3577" s="2"/>
      <c r="H3577" s="2" t="s">
        <v>5116</v>
      </c>
      <c r="I3577" s="2" t="s">
        <v>19</v>
      </c>
      <c r="J3577" s="2" t="s">
        <v>2760</v>
      </c>
      <c r="K3577" s="2" t="s">
        <v>5115</v>
      </c>
      <c r="L3577" s="2">
        <f t="shared" si="55"/>
        <v>150</v>
      </c>
    </row>
    <row r="3578" spans="1:12" ht="25" customHeight="1">
      <c r="A3578" s="2" t="s">
        <v>12</v>
      </c>
      <c r="B3578" s="2" t="str">
        <f>HYPERLINK("http://m.12365auto.com/news/20200223/419288.shtml","汽车空调滤清器CN95认证首批结果发布")</f>
        <v>汽车空调滤清器CN95认证首批结果发布</v>
      </c>
      <c r="C3578" s="2" t="s">
        <v>13</v>
      </c>
      <c r="D3578" s="2" t="s">
        <v>12</v>
      </c>
      <c r="E3578" s="2"/>
      <c r="F3578" s="2" t="str">
        <f>HYPERLINK("http://m.12365auto.com/news/20200223/419288.shtml","http://m.12365auto.com/news/20200223/419288.shtml")</f>
        <v>http://m.12365auto.com/news/20200223/419288.shtml</v>
      </c>
      <c r="G3578" s="2"/>
      <c r="H3578" s="2" t="s">
        <v>5117</v>
      </c>
      <c r="I3578" s="2" t="s">
        <v>19</v>
      </c>
      <c r="J3578" s="2" t="s">
        <v>1539</v>
      </c>
      <c r="K3578" s="2" t="s">
        <v>5118</v>
      </c>
      <c r="L3578" s="2">
        <f t="shared" si="55"/>
        <v>150</v>
      </c>
    </row>
    <row r="3579" spans="1:12" ht="25" customHeight="1">
      <c r="A3579" s="2" t="s">
        <v>12</v>
      </c>
      <c r="B3579" s="2" t="str">
        <f>HYPERLINK("http://www.12365auto.com/news/20200223/419288.shtml","汽车空调滤清器CN95认证首批结果发布")</f>
        <v>汽车空调滤清器CN95认证首批结果发布</v>
      </c>
      <c r="C3579" s="2" t="s">
        <v>13</v>
      </c>
      <c r="D3579" s="2" t="s">
        <v>12</v>
      </c>
      <c r="E3579" s="2" t="s">
        <v>276</v>
      </c>
      <c r="F3579" s="2" t="str">
        <f>HYPERLINK("http://www.12365auto.com/news/20200223/419288.shtml","http://www.12365auto.com/news/20200223/419288.shtml")</f>
        <v>http://www.12365auto.com/news/20200223/419288.shtml</v>
      </c>
      <c r="G3579" s="2"/>
      <c r="H3579" s="2" t="s">
        <v>5119</v>
      </c>
      <c r="I3579" s="2" t="s">
        <v>15</v>
      </c>
      <c r="J3579" s="2" t="s">
        <v>12</v>
      </c>
      <c r="K3579" s="2" t="s">
        <v>5118</v>
      </c>
      <c r="L3579" s="2">
        <f t="shared" si="55"/>
        <v>150</v>
      </c>
    </row>
    <row r="3580" spans="1:12" ht="25" customHeight="1">
      <c r="A3580" s="2" t="s">
        <v>12</v>
      </c>
      <c r="B3580" s="2" t="str">
        <f>HYPERLINK("http://www.12365auto.com/xcdg/20200223/419287.shtml","新款现代i30动力曝光 搭全新1.5T发动机")</f>
        <v>新款现代i30动力曝光 搭全新1.5T发动机</v>
      </c>
      <c r="C3580" s="2" t="s">
        <v>13</v>
      </c>
      <c r="D3580" s="2" t="s">
        <v>12</v>
      </c>
      <c r="E3580" s="2" t="s">
        <v>245</v>
      </c>
      <c r="F3580" s="2" t="str">
        <f>HYPERLINK("http://www.12365auto.com/xcdg/20200223/419287.shtml","http://www.12365auto.com/xcdg/20200223/419287.shtml")</f>
        <v>http://www.12365auto.com/xcdg/20200223/419287.shtml</v>
      </c>
      <c r="G3580" s="2"/>
      <c r="H3580" s="2" t="s">
        <v>5120</v>
      </c>
      <c r="I3580" s="2" t="s">
        <v>19</v>
      </c>
      <c r="J3580" s="2" t="s">
        <v>12</v>
      </c>
      <c r="K3580" s="2" t="s">
        <v>5121</v>
      </c>
      <c r="L3580" s="2">
        <f t="shared" si="55"/>
        <v>150</v>
      </c>
    </row>
    <row r="3581" spans="1:12" ht="25" customHeight="1">
      <c r="A3581" s="2" t="s">
        <v>12</v>
      </c>
      <c r="B3581" s="2" t="str">
        <f>HYPERLINK("http://m.12365auto.com/xcdg/20200223/419287.shtml","新款现代i30动力曝光 搭全新1.5T发动机")</f>
        <v>新款现代i30动力曝光 搭全新1.5T发动机</v>
      </c>
      <c r="C3581" s="2" t="s">
        <v>13</v>
      </c>
      <c r="D3581" s="2" t="s">
        <v>12</v>
      </c>
      <c r="E3581" s="2"/>
      <c r="F3581" s="2" t="str">
        <f>HYPERLINK("http://m.12365auto.com/xcdg/20200223/419287.shtml","http://m.12365auto.com/xcdg/20200223/419287.shtml")</f>
        <v>http://m.12365auto.com/xcdg/20200223/419287.shtml</v>
      </c>
      <c r="G3581" s="2"/>
      <c r="H3581" s="2" t="s">
        <v>5122</v>
      </c>
      <c r="I3581" s="2" t="s">
        <v>19</v>
      </c>
      <c r="J3581" s="2" t="s">
        <v>1657</v>
      </c>
      <c r="K3581" s="2" t="s">
        <v>5121</v>
      </c>
      <c r="L3581" s="2">
        <f t="shared" si="55"/>
        <v>150</v>
      </c>
    </row>
    <row r="3582" spans="1:12" ht="25" customHeight="1">
      <c r="A3582" s="2" t="s">
        <v>12</v>
      </c>
      <c r="B3582" s="2" t="str">
        <f>HYPERLINK("http://www.12365auto.com/zlts/20200223/448278.shtml","上汽大众途观主驾驶玻璃升降时异响")</f>
        <v>上汽大众途观主驾驶玻璃升降时异响</v>
      </c>
      <c r="C3582" s="2" t="s">
        <v>13</v>
      </c>
      <c r="D3582" s="2" t="s">
        <v>12</v>
      </c>
      <c r="E3582" s="2" t="s">
        <v>17</v>
      </c>
      <c r="F3582" s="2" t="str">
        <f>HYPERLINK("http://www.12365auto.com/zlts/20200223/448278.shtml","http://www.12365auto.com/zlts/20200223/448278.shtml")</f>
        <v>http://www.12365auto.com/zlts/20200223/448278.shtml</v>
      </c>
      <c r="G3582" s="2"/>
      <c r="H3582" s="2" t="s">
        <v>5123</v>
      </c>
      <c r="I3582" s="2" t="s">
        <v>19</v>
      </c>
      <c r="J3582" s="2" t="s">
        <v>12</v>
      </c>
      <c r="K3582" s="2" t="s">
        <v>5124</v>
      </c>
      <c r="L3582" s="2">
        <f t="shared" si="55"/>
        <v>150</v>
      </c>
    </row>
    <row r="3583" spans="1:12" ht="25" customHeight="1">
      <c r="A3583" s="2" t="s">
        <v>12</v>
      </c>
      <c r="B3583" s="2" t="str">
        <f>HYPERLINK("http://www.12365auto.com/news/20200223/419286.shtml","受新冠肺炎疫情影响 日内瓦车展或取消")</f>
        <v>受新冠肺炎疫情影响 日内瓦车展或取消</v>
      </c>
      <c r="C3583" s="2" t="s">
        <v>13</v>
      </c>
      <c r="D3583" s="2" t="s">
        <v>12</v>
      </c>
      <c r="E3583" s="2" t="s">
        <v>276</v>
      </c>
      <c r="F3583" s="2" t="str">
        <f>HYPERLINK("http://www.12365auto.com/news/20200223/419286.shtml","http://www.12365auto.com/news/20200223/419286.shtml")</f>
        <v>http://www.12365auto.com/news/20200223/419286.shtml</v>
      </c>
      <c r="G3583" s="2"/>
      <c r="H3583" s="2" t="s">
        <v>5125</v>
      </c>
      <c r="I3583" s="2" t="s">
        <v>15</v>
      </c>
      <c r="J3583" s="2" t="s">
        <v>12</v>
      </c>
      <c r="K3583" s="2" t="s">
        <v>5124</v>
      </c>
      <c r="L3583" s="2">
        <f t="shared" si="55"/>
        <v>150</v>
      </c>
    </row>
    <row r="3584" spans="1:12" ht="25" customHeight="1">
      <c r="A3584" s="2" t="s">
        <v>12</v>
      </c>
      <c r="B3584" s="2" t="str">
        <f>HYPERLINK("http://m.12365auto.com/news/20200223/419286.shtml","受新冠肺炎疫情影响 日内瓦车展或取消")</f>
        <v>受新冠肺炎疫情影响 日内瓦车展或取消</v>
      </c>
      <c r="C3584" s="2" t="s">
        <v>13</v>
      </c>
      <c r="D3584" s="2" t="s">
        <v>12</v>
      </c>
      <c r="E3584" s="2"/>
      <c r="F3584" s="2" t="str">
        <f>HYPERLINK("http://m.12365auto.com/news/20200223/419286.shtml","http://m.12365auto.com/news/20200223/419286.shtml")</f>
        <v>http://m.12365auto.com/news/20200223/419286.shtml</v>
      </c>
      <c r="G3584" s="2"/>
      <c r="H3584" s="2" t="s">
        <v>5126</v>
      </c>
      <c r="I3584" s="2" t="s">
        <v>19</v>
      </c>
      <c r="J3584" s="2" t="s">
        <v>12</v>
      </c>
      <c r="K3584" s="2" t="s">
        <v>5124</v>
      </c>
      <c r="L3584" s="2">
        <f t="shared" si="55"/>
        <v>150</v>
      </c>
    </row>
    <row r="3585" spans="1:12" ht="25" customHeight="1">
      <c r="A3585" s="2" t="s">
        <v>12</v>
      </c>
      <c r="B3585" s="2" t="str">
        <f>HYPERLINK("http://m.12365auto.com/zjdy/20200223/121534.shtml","名爵6和昂克赛拉手动车型哪款质量好？")</f>
        <v>名爵6和昂克赛拉手动车型哪款质量好？</v>
      </c>
      <c r="C3585" s="2" t="s">
        <v>13</v>
      </c>
      <c r="D3585" s="2" t="s">
        <v>12</v>
      </c>
      <c r="E3585" s="2"/>
      <c r="F3585" s="2" t="str">
        <f>HYPERLINK("http://m.12365auto.com/zjdy/20200223/121534.shtml","http://m.12365auto.com/zjdy/20200223/121534.shtml")</f>
        <v>http://m.12365auto.com/zjdy/20200223/121534.shtml</v>
      </c>
      <c r="G3585" s="2"/>
      <c r="H3585" s="2" t="s">
        <v>5127</v>
      </c>
      <c r="I3585" s="2" t="s">
        <v>19</v>
      </c>
      <c r="J3585" s="2" t="s">
        <v>12</v>
      </c>
      <c r="K3585" s="2" t="s">
        <v>5128</v>
      </c>
      <c r="L3585" s="2">
        <f t="shared" si="55"/>
        <v>22</v>
      </c>
    </row>
    <row r="3586" spans="1:12" ht="25" customHeight="1">
      <c r="A3586" s="2" t="s">
        <v>12</v>
      </c>
      <c r="B3586" s="2" t="str">
        <f>HYPERLINK("http://m.12365auto.com/xcdg/20200223/419285.shtml","总统的新座驾？DS发布全新车型预告图")</f>
        <v>总统的新座驾？DS发布全新车型预告图</v>
      </c>
      <c r="C3586" s="2" t="s">
        <v>13</v>
      </c>
      <c r="D3586" s="2" t="s">
        <v>12</v>
      </c>
      <c r="E3586" s="2"/>
      <c r="F3586" s="2" t="str">
        <f>HYPERLINK("http://m.12365auto.com/xcdg/20200223/419285.shtml","http://m.12365auto.com/xcdg/20200223/419285.shtml")</f>
        <v>http://m.12365auto.com/xcdg/20200223/419285.shtml</v>
      </c>
      <c r="G3586" s="2"/>
      <c r="H3586" s="2" t="s">
        <v>5129</v>
      </c>
      <c r="I3586" s="2" t="s">
        <v>19</v>
      </c>
      <c r="J3586" s="2" t="s">
        <v>1222</v>
      </c>
      <c r="K3586" s="2" t="s">
        <v>5130</v>
      </c>
      <c r="L3586" s="2">
        <f t="shared" si="55"/>
        <v>150</v>
      </c>
    </row>
    <row r="3587" spans="1:12" ht="25" customHeight="1">
      <c r="A3587" s="2" t="s">
        <v>12</v>
      </c>
      <c r="B3587" s="2" t="str">
        <f>HYPERLINK("http://www.12365auto.com/xcdg/20200223/419285.shtml","总统的新座驾？DS发布全新车型预告图")</f>
        <v>总统的新座驾？DS发布全新车型预告图</v>
      </c>
      <c r="C3587" s="2" t="s">
        <v>13</v>
      </c>
      <c r="D3587" s="2" t="s">
        <v>12</v>
      </c>
      <c r="E3587" s="2" t="s">
        <v>245</v>
      </c>
      <c r="F3587" s="2" t="str">
        <f>HYPERLINK("http://www.12365auto.com/xcdg/20200223/419285.shtml","http://www.12365auto.com/xcdg/20200223/419285.shtml")</f>
        <v>http://www.12365auto.com/xcdg/20200223/419285.shtml</v>
      </c>
      <c r="G3587" s="2"/>
      <c r="H3587" s="2" t="s">
        <v>5131</v>
      </c>
      <c r="I3587" s="2" t="s">
        <v>19</v>
      </c>
      <c r="J3587" s="2" t="s">
        <v>12</v>
      </c>
      <c r="K3587" s="2" t="s">
        <v>5130</v>
      </c>
      <c r="L3587" s="2">
        <f t="shared" ref="L3587:L3650" si="56">LEN(H3587)</f>
        <v>150</v>
      </c>
    </row>
    <row r="3588" spans="1:12" ht="25" customHeight="1">
      <c r="A3588" s="2" t="s">
        <v>12</v>
      </c>
      <c r="B3588" s="2" t="str">
        <f>HYPERLINK("http://m.12365auto.com/xcdg/20200223/419284.shtml","江淮iC5将于2月26日线上预售 续航530km")</f>
        <v>江淮iC5将于2月26日线上预售 续航530km</v>
      </c>
      <c r="C3588" s="2" t="s">
        <v>13</v>
      </c>
      <c r="D3588" s="2" t="s">
        <v>12</v>
      </c>
      <c r="E3588" s="2"/>
      <c r="F3588" s="2" t="str">
        <f>HYPERLINK("http://m.12365auto.com/xcdg/20200223/419284.shtml","http://m.12365auto.com/xcdg/20200223/419284.shtml")</f>
        <v>http://m.12365auto.com/xcdg/20200223/419284.shtml</v>
      </c>
      <c r="G3588" s="2"/>
      <c r="H3588" s="2" t="s">
        <v>5132</v>
      </c>
      <c r="I3588" s="2" t="s">
        <v>19</v>
      </c>
      <c r="J3588" s="2" t="s">
        <v>751</v>
      </c>
      <c r="K3588" s="2" t="s">
        <v>5133</v>
      </c>
      <c r="L3588" s="2">
        <f t="shared" si="56"/>
        <v>150</v>
      </c>
    </row>
    <row r="3589" spans="1:12" ht="25" customHeight="1">
      <c r="A3589" s="2" t="s">
        <v>12</v>
      </c>
      <c r="B3589" s="2" t="str">
        <f>HYPERLINK("http://www.12365auto.com/xcdg/20200223/419284.shtml","江淮iC5将于2月26日线上预售 续航530km")</f>
        <v>江淮iC5将于2月26日线上预售 续航530km</v>
      </c>
      <c r="C3589" s="2" t="s">
        <v>13</v>
      </c>
      <c r="D3589" s="2" t="s">
        <v>12</v>
      </c>
      <c r="E3589" s="2" t="s">
        <v>245</v>
      </c>
      <c r="F3589" s="2" t="str">
        <f>HYPERLINK("http://www.12365auto.com/xcdg/20200223/419284.shtml","http://www.12365auto.com/xcdg/20200223/419284.shtml")</f>
        <v>http://www.12365auto.com/xcdg/20200223/419284.shtml</v>
      </c>
      <c r="G3589" s="2"/>
      <c r="H3589" s="2" t="s">
        <v>5134</v>
      </c>
      <c r="I3589" s="2" t="s">
        <v>19</v>
      </c>
      <c r="J3589" s="2" t="s">
        <v>12</v>
      </c>
      <c r="K3589" s="2" t="s">
        <v>5133</v>
      </c>
      <c r="L3589" s="2">
        <f t="shared" si="56"/>
        <v>150</v>
      </c>
    </row>
    <row r="3590" spans="1:12" ht="25" customHeight="1">
      <c r="A3590" s="2" t="s">
        <v>12</v>
      </c>
      <c r="B3590" s="2" t="str">
        <f>HYPERLINK("http://m.12365auto.com/xcdg/20200223/419283.shtml","第八代高尔夫GTI最新谍照 搭DCC自适应悬架")</f>
        <v>第八代高尔夫GTI最新谍照 搭DCC自适应悬架</v>
      </c>
      <c r="C3590" s="2" t="s">
        <v>13</v>
      </c>
      <c r="D3590" s="2" t="s">
        <v>12</v>
      </c>
      <c r="E3590" s="2"/>
      <c r="F3590" s="2" t="str">
        <f>HYPERLINK("http://m.12365auto.com/xcdg/20200223/419283.shtml","http://m.12365auto.com/xcdg/20200223/419283.shtml")</f>
        <v>http://m.12365auto.com/xcdg/20200223/419283.shtml</v>
      </c>
      <c r="G3590" s="2"/>
      <c r="H3590" s="2" t="s">
        <v>5135</v>
      </c>
      <c r="I3590" s="2" t="s">
        <v>19</v>
      </c>
      <c r="J3590" s="2" t="s">
        <v>1076</v>
      </c>
      <c r="K3590" s="2" t="s">
        <v>5136</v>
      </c>
      <c r="L3590" s="2">
        <f t="shared" si="56"/>
        <v>150</v>
      </c>
    </row>
    <row r="3591" spans="1:12" ht="25" customHeight="1">
      <c r="A3591" s="2" t="s">
        <v>12</v>
      </c>
      <c r="B3591" s="2" t="str">
        <f>HYPERLINK("http://www.12365auto.com/xcdg/20200223/419283.shtml","第八代高尔夫GTI最新谍照 搭DCC自适应悬架")</f>
        <v>第八代高尔夫GTI最新谍照 搭DCC自适应悬架</v>
      </c>
      <c r="C3591" s="2" t="s">
        <v>13</v>
      </c>
      <c r="D3591" s="2" t="s">
        <v>12</v>
      </c>
      <c r="E3591" s="2" t="s">
        <v>224</v>
      </c>
      <c r="F3591" s="2" t="str">
        <f>HYPERLINK("http://www.12365auto.com/xcdg/20200223/419283.shtml","http://www.12365auto.com/xcdg/20200223/419283.shtml")</f>
        <v>http://www.12365auto.com/xcdg/20200223/419283.shtml</v>
      </c>
      <c r="G3591" s="2"/>
      <c r="H3591" s="2" t="s">
        <v>5137</v>
      </c>
      <c r="I3591" s="2" t="s">
        <v>15</v>
      </c>
      <c r="J3591" s="2" t="s">
        <v>12</v>
      </c>
      <c r="K3591" s="2" t="s">
        <v>5136</v>
      </c>
      <c r="L3591" s="2">
        <f t="shared" si="56"/>
        <v>150</v>
      </c>
    </row>
    <row r="3592" spans="1:12" ht="25" customHeight="1">
      <c r="A3592" s="2" t="s">
        <v>12</v>
      </c>
      <c r="B3592" s="2" t="str">
        <f>HYPERLINK("http://www.12365auto.com/xcdg/20200223/419282.shtml","采用2.0T发动机 北京BJ40三门版谍照曝光")</f>
        <v>采用2.0T发动机 北京BJ40三门版谍照曝光</v>
      </c>
      <c r="C3592" s="2" t="s">
        <v>13</v>
      </c>
      <c r="D3592" s="2" t="s">
        <v>12</v>
      </c>
      <c r="E3592" s="2" t="s">
        <v>216</v>
      </c>
      <c r="F3592" s="2" t="str">
        <f>HYPERLINK("http://www.12365auto.com/xcdg/20200223/419282.shtml","http://www.12365auto.com/xcdg/20200223/419282.shtml")</f>
        <v>http://www.12365auto.com/xcdg/20200223/419282.shtml</v>
      </c>
      <c r="G3592" s="2"/>
      <c r="H3592" s="2" t="s">
        <v>5138</v>
      </c>
      <c r="I3592" s="2" t="s">
        <v>15</v>
      </c>
      <c r="J3592" s="2" t="s">
        <v>12</v>
      </c>
      <c r="K3592" s="2" t="s">
        <v>5139</v>
      </c>
      <c r="L3592" s="2">
        <f t="shared" si="56"/>
        <v>150</v>
      </c>
    </row>
    <row r="3593" spans="1:12" ht="25" customHeight="1">
      <c r="A3593" s="2" t="s">
        <v>12</v>
      </c>
      <c r="B3593" s="2" t="str">
        <f>HYPERLINK("http://m.12365auto.com/xcdg/20200223/419282.shtml","采用2.0T发动机 北京BJ40三门版谍照曝光")</f>
        <v>采用2.0T发动机 北京BJ40三门版谍照曝光</v>
      </c>
      <c r="C3593" s="2" t="s">
        <v>13</v>
      </c>
      <c r="D3593" s="2" t="s">
        <v>12</v>
      </c>
      <c r="E3593" s="2"/>
      <c r="F3593" s="2" t="str">
        <f>HYPERLINK("http://m.12365auto.com/xcdg/20200223/419282.shtml","http://m.12365auto.com/xcdg/20200223/419282.shtml")</f>
        <v>http://m.12365auto.com/xcdg/20200223/419282.shtml</v>
      </c>
      <c r="G3593" s="2"/>
      <c r="H3593" s="2" t="s">
        <v>5140</v>
      </c>
      <c r="I3593" s="2" t="s">
        <v>19</v>
      </c>
      <c r="J3593" s="2" t="s">
        <v>1553</v>
      </c>
      <c r="K3593" s="2" t="s">
        <v>5139</v>
      </c>
      <c r="L3593" s="2">
        <f t="shared" si="56"/>
        <v>150</v>
      </c>
    </row>
    <row r="3594" spans="1:12" ht="25" customHeight="1">
      <c r="A3594" s="2" t="s">
        <v>12</v>
      </c>
      <c r="B3594" s="2" t="str">
        <f>HYPERLINK("http://m.12365auto.com/xcdg/20200223/419281.shtml","出自CMP平台 全新一代DS 4谍照曝光")</f>
        <v>出自CMP平台 全新一代DS 4谍照曝光</v>
      </c>
      <c r="C3594" s="2" t="s">
        <v>13</v>
      </c>
      <c r="D3594" s="2" t="s">
        <v>12</v>
      </c>
      <c r="E3594" s="2"/>
      <c r="F3594" s="2" t="str">
        <f>HYPERLINK("http://m.12365auto.com/xcdg/20200223/419281.shtml","http://m.12365auto.com/xcdg/20200223/419281.shtml")</f>
        <v>http://m.12365auto.com/xcdg/20200223/419281.shtml</v>
      </c>
      <c r="G3594" s="2"/>
      <c r="H3594" s="2" t="s">
        <v>5141</v>
      </c>
      <c r="I3594" s="2" t="s">
        <v>19</v>
      </c>
      <c r="J3594" s="2" t="s">
        <v>1553</v>
      </c>
      <c r="K3594" s="2" t="s">
        <v>5142</v>
      </c>
      <c r="L3594" s="2">
        <f t="shared" si="56"/>
        <v>150</v>
      </c>
    </row>
    <row r="3595" spans="1:12" ht="25" customHeight="1">
      <c r="A3595" s="2" t="s">
        <v>12</v>
      </c>
      <c r="B3595" s="2" t="str">
        <f>HYPERLINK("http://www.12365auto.com/xcdg/20200223/419281.shtml","出自CMP平台 全新一代DS 4谍照曝光")</f>
        <v>出自CMP平台 全新一代DS 4谍照曝光</v>
      </c>
      <c r="C3595" s="2" t="s">
        <v>13</v>
      </c>
      <c r="D3595" s="2" t="s">
        <v>12</v>
      </c>
      <c r="E3595" s="2" t="s">
        <v>224</v>
      </c>
      <c r="F3595" s="2" t="str">
        <f>HYPERLINK("http://www.12365auto.com/xcdg/20200223/419281.shtml","http://www.12365auto.com/xcdg/20200223/419281.shtml")</f>
        <v>http://www.12365auto.com/xcdg/20200223/419281.shtml</v>
      </c>
      <c r="G3595" s="2"/>
      <c r="H3595" s="2" t="s">
        <v>5143</v>
      </c>
      <c r="I3595" s="2" t="s">
        <v>15</v>
      </c>
      <c r="J3595" s="2" t="s">
        <v>12</v>
      </c>
      <c r="K3595" s="2" t="s">
        <v>5142</v>
      </c>
      <c r="L3595" s="2">
        <f t="shared" si="56"/>
        <v>150</v>
      </c>
    </row>
    <row r="3596" spans="1:12" ht="25" customHeight="1">
      <c r="A3596" s="2" t="s">
        <v>12</v>
      </c>
      <c r="B3596" s="2" t="str">
        <f>HYPERLINK("http://m.12365auto.com/xcdg/20200223/419280.shtml","不再循规蹈矩的MPV 大众Caddy官图发布")</f>
        <v>不再循规蹈矩的MPV 大众Caddy官图发布</v>
      </c>
      <c r="C3596" s="2" t="s">
        <v>13</v>
      </c>
      <c r="D3596" s="2" t="s">
        <v>12</v>
      </c>
      <c r="E3596" s="2"/>
      <c r="F3596" s="2" t="str">
        <f>HYPERLINK("http://m.12365auto.com/xcdg/20200223/419280.shtml","http://m.12365auto.com/xcdg/20200223/419280.shtml")</f>
        <v>http://m.12365auto.com/xcdg/20200223/419280.shtml</v>
      </c>
      <c r="G3596" s="2"/>
      <c r="H3596" s="2" t="s">
        <v>5144</v>
      </c>
      <c r="I3596" s="2" t="s">
        <v>19</v>
      </c>
      <c r="J3596" s="2" t="s">
        <v>238</v>
      </c>
      <c r="K3596" s="2" t="s">
        <v>5145</v>
      </c>
      <c r="L3596" s="2">
        <f t="shared" si="56"/>
        <v>150</v>
      </c>
    </row>
    <row r="3597" spans="1:12" ht="25" customHeight="1">
      <c r="A3597" s="2" t="s">
        <v>12</v>
      </c>
      <c r="B3597" s="2" t="str">
        <f>HYPERLINK("http://www.12365auto.com/xcdg/20200223/419280.shtml","不再循规蹈矩的MPV 大众Caddy官图发布")</f>
        <v>不再循规蹈矩的MPV 大众Caddy官图发布</v>
      </c>
      <c r="C3597" s="2" t="s">
        <v>13</v>
      </c>
      <c r="D3597" s="2" t="s">
        <v>12</v>
      </c>
      <c r="E3597" s="2" t="s">
        <v>216</v>
      </c>
      <c r="F3597" s="2" t="str">
        <f>HYPERLINK("http://www.12365auto.com/xcdg/20200223/419280.shtml","http://www.12365auto.com/xcdg/20200223/419280.shtml")</f>
        <v>http://www.12365auto.com/xcdg/20200223/419280.shtml</v>
      </c>
      <c r="G3597" s="2"/>
      <c r="H3597" s="2" t="s">
        <v>5146</v>
      </c>
      <c r="I3597" s="2" t="s">
        <v>15</v>
      </c>
      <c r="J3597" s="2" t="s">
        <v>12</v>
      </c>
      <c r="K3597" s="2" t="s">
        <v>5145</v>
      </c>
      <c r="L3597" s="2">
        <f t="shared" si="56"/>
        <v>150</v>
      </c>
    </row>
    <row r="3598" spans="1:12" ht="25" customHeight="1">
      <c r="A3598" s="2" t="s">
        <v>12</v>
      </c>
      <c r="B3598" s="2" t="str">
        <f>HYPERLINK("http://www.12365auto.com/news/20200223/419279.shtml","加强疫情监测 五菱推出智能移动测温车")</f>
        <v>加强疫情监测 五菱推出智能移动测温车</v>
      </c>
      <c r="C3598" s="2" t="s">
        <v>13</v>
      </c>
      <c r="D3598" s="2" t="s">
        <v>12</v>
      </c>
      <c r="E3598" s="2" t="s">
        <v>276</v>
      </c>
      <c r="F3598" s="2" t="str">
        <f>HYPERLINK("http://www.12365auto.com/news/20200223/419279.shtml","http://www.12365auto.com/news/20200223/419279.shtml")</f>
        <v>http://www.12365auto.com/news/20200223/419279.shtml</v>
      </c>
      <c r="G3598" s="2"/>
      <c r="H3598" s="2" t="s">
        <v>5147</v>
      </c>
      <c r="I3598" s="2" t="s">
        <v>15</v>
      </c>
      <c r="J3598" s="2" t="s">
        <v>12</v>
      </c>
      <c r="K3598" s="2" t="s">
        <v>5148</v>
      </c>
      <c r="L3598" s="2">
        <f t="shared" si="56"/>
        <v>150</v>
      </c>
    </row>
    <row r="3599" spans="1:12" ht="25" customHeight="1">
      <c r="A3599" s="2" t="s">
        <v>12</v>
      </c>
      <c r="B3599" s="2" t="str">
        <f>HYPERLINK("http://m.12365auto.com/news/20200223/419279.shtml","加强疫情监测 五菱推出智能移动测温车")</f>
        <v>加强疫情监测 五菱推出智能移动测温车</v>
      </c>
      <c r="C3599" s="2" t="s">
        <v>13</v>
      </c>
      <c r="D3599" s="2" t="s">
        <v>12</v>
      </c>
      <c r="E3599" s="2"/>
      <c r="F3599" s="2" t="str">
        <f>HYPERLINK("http://m.12365auto.com/news/20200223/419279.shtml","http://m.12365auto.com/news/20200223/419279.shtml")</f>
        <v>http://m.12365auto.com/news/20200223/419279.shtml</v>
      </c>
      <c r="G3599" s="2"/>
      <c r="H3599" s="2" t="s">
        <v>5149</v>
      </c>
      <c r="I3599" s="2" t="s">
        <v>19</v>
      </c>
      <c r="J3599" s="2" t="s">
        <v>238</v>
      </c>
      <c r="K3599" s="2" t="s">
        <v>5148</v>
      </c>
      <c r="L3599" s="2">
        <f t="shared" si="56"/>
        <v>150</v>
      </c>
    </row>
    <row r="3600" spans="1:12" ht="25" customHeight="1">
      <c r="A3600" s="2" t="s">
        <v>12</v>
      </c>
      <c r="B3600" s="2" t="str">
        <f>HYPERLINK("http://m.12365auto.com/zjdy/20200223/121531.shtml","2017款宝马320li存在什么共性问题？")</f>
        <v>2017款宝马320li存在什么共性问题？</v>
      </c>
      <c r="C3600" s="2" t="s">
        <v>13</v>
      </c>
      <c r="D3600" s="2" t="s">
        <v>12</v>
      </c>
      <c r="E3600" s="2"/>
      <c r="F3600" s="2" t="str">
        <f>HYPERLINK("http://m.12365auto.com/zjdy/20200223/121531.shtml","http://m.12365auto.com/zjdy/20200223/121531.shtml")</f>
        <v>http://m.12365auto.com/zjdy/20200223/121531.shtml</v>
      </c>
      <c r="G3600" s="2"/>
      <c r="H3600" s="2" t="s">
        <v>5150</v>
      </c>
      <c r="I3600" s="2" t="s">
        <v>19</v>
      </c>
      <c r="J3600" s="2" t="s">
        <v>12</v>
      </c>
      <c r="K3600" s="2" t="s">
        <v>5151</v>
      </c>
      <c r="L3600" s="2">
        <f t="shared" si="56"/>
        <v>116</v>
      </c>
    </row>
    <row r="3601" spans="1:12" ht="25" customHeight="1">
      <c r="A3601" s="2" t="s">
        <v>12</v>
      </c>
      <c r="B3601" s="2" t="str">
        <f>HYPERLINK("http://www.12365auto.com/news/20200223/419278.shtml","多项措施保障 新宝骏生产基地现已复工")</f>
        <v>多项措施保障 新宝骏生产基地现已复工</v>
      </c>
      <c r="C3601" s="2" t="s">
        <v>13</v>
      </c>
      <c r="D3601" s="2" t="s">
        <v>12</v>
      </c>
      <c r="E3601" s="2" t="s">
        <v>276</v>
      </c>
      <c r="F3601" s="2" t="str">
        <f>HYPERLINK("http://www.12365auto.com/news/20200223/419278.shtml","http://www.12365auto.com/news/20200223/419278.shtml")</f>
        <v>http://www.12365auto.com/news/20200223/419278.shtml</v>
      </c>
      <c r="G3601" s="2"/>
      <c r="H3601" s="2" t="s">
        <v>5152</v>
      </c>
      <c r="I3601" s="2" t="s">
        <v>15</v>
      </c>
      <c r="J3601" s="2" t="s">
        <v>12</v>
      </c>
      <c r="K3601" s="2" t="s">
        <v>5153</v>
      </c>
      <c r="L3601" s="2">
        <f t="shared" si="56"/>
        <v>150</v>
      </c>
    </row>
    <row r="3602" spans="1:12" ht="25" customHeight="1">
      <c r="A3602" s="2" t="s">
        <v>12</v>
      </c>
      <c r="B3602" s="2" t="str">
        <f>HYPERLINK("http://m.12365auto.com/news/20200223/419278.shtml","多项措施保障 新宝骏生产基地现已复工")</f>
        <v>多项措施保障 新宝骏生产基地现已复工</v>
      </c>
      <c r="C3602" s="2" t="s">
        <v>13</v>
      </c>
      <c r="D3602" s="2" t="s">
        <v>12</v>
      </c>
      <c r="E3602" s="2"/>
      <c r="F3602" s="2" t="str">
        <f>HYPERLINK("http://m.12365auto.com/news/20200223/419278.shtml","http://m.12365auto.com/news/20200223/419278.shtml")</f>
        <v>http://m.12365auto.com/news/20200223/419278.shtml</v>
      </c>
      <c r="G3602" s="2"/>
      <c r="H3602" s="2" t="s">
        <v>5154</v>
      </c>
      <c r="I3602" s="2" t="s">
        <v>19</v>
      </c>
      <c r="J3602" s="2" t="s">
        <v>836</v>
      </c>
      <c r="K3602" s="2" t="s">
        <v>5153</v>
      </c>
      <c r="L3602" s="2">
        <f t="shared" si="56"/>
        <v>150</v>
      </c>
    </row>
    <row r="3603" spans="1:12" ht="25" customHeight="1">
      <c r="A3603" s="2" t="s">
        <v>12</v>
      </c>
      <c r="B3603" s="2" t="str">
        <f>HYPERLINK("http://m.12365auto.com/xcdg/20200223/419277.shtml","奔驰EQA低伪曝光曝光 EQ电动SUV家族壮大")</f>
        <v>奔驰EQA低伪曝光曝光 EQ电动SUV家族壮大</v>
      </c>
      <c r="C3603" s="2" t="s">
        <v>13</v>
      </c>
      <c r="D3603" s="2" t="s">
        <v>12</v>
      </c>
      <c r="E3603" s="2"/>
      <c r="F3603" s="2" t="str">
        <f>HYPERLINK("http://m.12365auto.com/xcdg/20200223/419277.shtml","http://m.12365auto.com/xcdg/20200223/419277.shtml")</f>
        <v>http://m.12365auto.com/xcdg/20200223/419277.shtml</v>
      </c>
      <c r="G3603" s="2"/>
      <c r="H3603" s="2" t="s">
        <v>5155</v>
      </c>
      <c r="I3603" s="2" t="s">
        <v>19</v>
      </c>
      <c r="J3603" s="2" t="s">
        <v>1923</v>
      </c>
      <c r="K3603" s="2" t="s">
        <v>5156</v>
      </c>
      <c r="L3603" s="2">
        <f t="shared" si="56"/>
        <v>150</v>
      </c>
    </row>
    <row r="3604" spans="1:12" ht="25" customHeight="1">
      <c r="A3604" s="2" t="s">
        <v>12</v>
      </c>
      <c r="B3604" s="2" t="str">
        <f>HYPERLINK("http://www.12365auto.com/xcdg/20200223/419277.shtml","奔驰EQA低伪曝光曝光 EQ电动SUV家族壮大")</f>
        <v>奔驰EQA低伪曝光曝光 EQ电动SUV家族壮大</v>
      </c>
      <c r="C3604" s="2" t="s">
        <v>13</v>
      </c>
      <c r="D3604" s="2" t="s">
        <v>12</v>
      </c>
      <c r="E3604" s="2" t="s">
        <v>224</v>
      </c>
      <c r="F3604" s="2" t="str">
        <f>HYPERLINK("http://www.12365auto.com/xcdg/20200223/419277.shtml","http://www.12365auto.com/xcdg/20200223/419277.shtml")</f>
        <v>http://www.12365auto.com/xcdg/20200223/419277.shtml</v>
      </c>
      <c r="G3604" s="2"/>
      <c r="H3604" s="2" t="s">
        <v>5157</v>
      </c>
      <c r="I3604" s="2" t="s">
        <v>15</v>
      </c>
      <c r="J3604" s="2" t="s">
        <v>12</v>
      </c>
      <c r="K3604" s="2" t="s">
        <v>5156</v>
      </c>
      <c r="L3604" s="2">
        <f t="shared" si="56"/>
        <v>150</v>
      </c>
    </row>
    <row r="3605" spans="1:12" ht="25" customHeight="1">
      <c r="A3605" s="2" t="s">
        <v>12</v>
      </c>
      <c r="B3605" s="2" t="str">
        <f>HYPERLINK("http://m.12365auto.com/zjdy/20200223/121530.shtml","一汽大众探岳大灯亮度不够解决了吗？")</f>
        <v>一汽大众探岳大灯亮度不够解决了吗？</v>
      </c>
      <c r="C3605" s="2" t="s">
        <v>13</v>
      </c>
      <c r="D3605" s="2" t="s">
        <v>12</v>
      </c>
      <c r="E3605" s="2"/>
      <c r="F3605" s="2" t="str">
        <f>HYPERLINK("http://m.12365auto.com/zjdy/20200223/121530.shtml","http://m.12365auto.com/zjdy/20200223/121530.shtml")</f>
        <v>http://m.12365auto.com/zjdy/20200223/121530.shtml</v>
      </c>
      <c r="G3605" s="2"/>
      <c r="H3605" s="2" t="s">
        <v>5158</v>
      </c>
      <c r="I3605" s="2" t="s">
        <v>19</v>
      </c>
      <c r="J3605" s="2" t="s">
        <v>12</v>
      </c>
      <c r="K3605" s="2" t="s">
        <v>5159</v>
      </c>
      <c r="L3605" s="2">
        <f t="shared" si="56"/>
        <v>14</v>
      </c>
    </row>
    <row r="3606" spans="1:12" ht="25" customHeight="1">
      <c r="A3606" s="2" t="s">
        <v>12</v>
      </c>
      <c r="B3606" s="2" t="str">
        <f>HYPERLINK("http://m.12365auto.com/zjdy/20200223/121532.shtml","将近10年的普拉多还可以购买吗？")</f>
        <v>将近10年的普拉多还可以购买吗？</v>
      </c>
      <c r="C3606" s="2" t="s">
        <v>13</v>
      </c>
      <c r="D3606" s="2" t="s">
        <v>12</v>
      </c>
      <c r="E3606" s="2"/>
      <c r="F3606" s="2" t="str">
        <f>HYPERLINK("http://m.12365auto.com/zjdy/20200223/121532.shtml","http://m.12365auto.com/zjdy/20200223/121532.shtml")</f>
        <v>http://m.12365auto.com/zjdy/20200223/121532.shtml</v>
      </c>
      <c r="G3606" s="2"/>
      <c r="H3606" s="2" t="s">
        <v>5160</v>
      </c>
      <c r="I3606" s="2" t="s">
        <v>19</v>
      </c>
      <c r="J3606" s="2" t="s">
        <v>12</v>
      </c>
      <c r="K3606" s="2" t="s">
        <v>5161</v>
      </c>
      <c r="L3606" s="2">
        <f t="shared" si="56"/>
        <v>55</v>
      </c>
    </row>
    <row r="3607" spans="1:12" ht="25" customHeight="1">
      <c r="A3607" s="2" t="s">
        <v>12</v>
      </c>
      <c r="B3607" s="2" t="str">
        <f>HYPERLINK("http://m.12365auto.com/zjdy/20200223/121533.shtml","质保期内发动机烧机油可以更换总成吗？")</f>
        <v>质保期内发动机烧机油可以更换总成吗？</v>
      </c>
      <c r="C3607" s="2" t="s">
        <v>13</v>
      </c>
      <c r="D3607" s="2" t="s">
        <v>12</v>
      </c>
      <c r="E3607" s="2"/>
      <c r="F3607" s="2" t="str">
        <f>HYPERLINK("http://m.12365auto.com/zjdy/20200223/121533.shtml","http://m.12365auto.com/zjdy/20200223/121533.shtml")</f>
        <v>http://m.12365auto.com/zjdy/20200223/121533.shtml</v>
      </c>
      <c r="G3607" s="2"/>
      <c r="H3607" s="2" t="s">
        <v>5162</v>
      </c>
      <c r="I3607" s="2" t="s">
        <v>19</v>
      </c>
      <c r="J3607" s="2" t="s">
        <v>12</v>
      </c>
      <c r="K3607" s="2" t="s">
        <v>5163</v>
      </c>
      <c r="L3607" s="2">
        <f t="shared" si="56"/>
        <v>37</v>
      </c>
    </row>
    <row r="3608" spans="1:12" ht="25" customHeight="1">
      <c r="A3608" s="2" t="s">
        <v>12</v>
      </c>
      <c r="B3608" s="2" t="str">
        <f>HYPERLINK("http://www.12365auto.com/xcdg/20200223/419276.shtml","奥迪e-tron S Sportback原型车官图发布")</f>
        <v>奥迪e-tron S Sportback原型车官图发布</v>
      </c>
      <c r="C3608" s="2" t="s">
        <v>13</v>
      </c>
      <c r="D3608" s="2" t="s">
        <v>12</v>
      </c>
      <c r="E3608" s="2" t="s">
        <v>216</v>
      </c>
      <c r="F3608" s="2" t="str">
        <f>HYPERLINK("http://www.12365auto.com/xcdg/20200223/419276.shtml","http://www.12365auto.com/xcdg/20200223/419276.shtml")</f>
        <v>http://www.12365auto.com/xcdg/20200223/419276.shtml</v>
      </c>
      <c r="G3608" s="2"/>
      <c r="H3608" s="2" t="s">
        <v>5164</v>
      </c>
      <c r="I3608" s="2" t="s">
        <v>15</v>
      </c>
      <c r="J3608" s="2" t="s">
        <v>12</v>
      </c>
      <c r="K3608" s="2" t="s">
        <v>5165</v>
      </c>
      <c r="L3608" s="2">
        <f t="shared" si="56"/>
        <v>150</v>
      </c>
    </row>
    <row r="3609" spans="1:12" ht="25" customHeight="1">
      <c r="A3609" s="2" t="s">
        <v>12</v>
      </c>
      <c r="B3609" s="2" t="str">
        <f>HYPERLINK("http://m.12365auto.com/xcdg/20200223/419276.shtml","奥迪e-tron S Sportback原型车官图发布")</f>
        <v>奥迪e-tron S Sportback原型车官图发布</v>
      </c>
      <c r="C3609" s="2" t="s">
        <v>13</v>
      </c>
      <c r="D3609" s="2" t="s">
        <v>12</v>
      </c>
      <c r="E3609" s="2"/>
      <c r="F3609" s="2" t="str">
        <f>HYPERLINK("http://m.12365auto.com/xcdg/20200223/419276.shtml","http://m.12365auto.com/xcdg/20200223/419276.shtml")</f>
        <v>http://m.12365auto.com/xcdg/20200223/419276.shtml</v>
      </c>
      <c r="G3609" s="2"/>
      <c r="H3609" s="2" t="s">
        <v>5166</v>
      </c>
      <c r="I3609" s="2" t="s">
        <v>19</v>
      </c>
      <c r="J3609" s="2" t="s">
        <v>1923</v>
      </c>
      <c r="K3609" s="2" t="s">
        <v>5165</v>
      </c>
      <c r="L3609" s="2">
        <f t="shared" si="56"/>
        <v>150</v>
      </c>
    </row>
    <row r="3610" spans="1:12" ht="25" customHeight="1">
      <c r="A3610" s="2" t="s">
        <v>12</v>
      </c>
      <c r="B3610" s="2" t="str">
        <f>HYPERLINK("http://m.12365auto.com/xcdg/20200223/419275.shtml","配液晶仪表 新款MINI COUNTRYMAN内饰曝光")</f>
        <v>配液晶仪表 新款MINI COUNTRYMAN内饰曝光</v>
      </c>
      <c r="C3610" s="2" t="s">
        <v>13</v>
      </c>
      <c r="D3610" s="2" t="s">
        <v>12</v>
      </c>
      <c r="E3610" s="2"/>
      <c r="F3610" s="2" t="str">
        <f>HYPERLINK("http://m.12365auto.com/xcdg/20200223/419275.shtml","http://m.12365auto.com/xcdg/20200223/419275.shtml")</f>
        <v>http://m.12365auto.com/xcdg/20200223/419275.shtml</v>
      </c>
      <c r="G3610" s="2"/>
      <c r="H3610" s="2" t="s">
        <v>5167</v>
      </c>
      <c r="I3610" s="2" t="s">
        <v>19</v>
      </c>
      <c r="J3610" s="2" t="s">
        <v>1923</v>
      </c>
      <c r="K3610" s="2" t="s">
        <v>5168</v>
      </c>
      <c r="L3610" s="2">
        <f t="shared" si="56"/>
        <v>150</v>
      </c>
    </row>
    <row r="3611" spans="1:12" ht="25" customHeight="1">
      <c r="A3611" s="2" t="s">
        <v>12</v>
      </c>
      <c r="B3611" s="2" t="str">
        <f>HYPERLINK("http://www.12365auto.com/xcdg/20200223/419275.shtml","配液晶仪表 新款MINI COUNTRYMAN内饰曝光")</f>
        <v>配液晶仪表 新款MINI COUNTRYMAN内饰曝光</v>
      </c>
      <c r="C3611" s="2" t="s">
        <v>13</v>
      </c>
      <c r="D3611" s="2" t="s">
        <v>12</v>
      </c>
      <c r="E3611" s="2" t="s">
        <v>245</v>
      </c>
      <c r="F3611" s="2" t="str">
        <f>HYPERLINK("http://www.12365auto.com/xcdg/20200223/419275.shtml","http://www.12365auto.com/xcdg/20200223/419275.shtml")</f>
        <v>http://www.12365auto.com/xcdg/20200223/419275.shtml</v>
      </c>
      <c r="G3611" s="2"/>
      <c r="H3611" s="2" t="s">
        <v>5169</v>
      </c>
      <c r="I3611" s="2" t="s">
        <v>19</v>
      </c>
      <c r="J3611" s="2" t="s">
        <v>12</v>
      </c>
      <c r="K3611" s="2" t="s">
        <v>5168</v>
      </c>
      <c r="L3611" s="2">
        <f t="shared" si="56"/>
        <v>150</v>
      </c>
    </row>
    <row r="3612" spans="1:12" ht="25" customHeight="1">
      <c r="A3612" s="2" t="s">
        <v>12</v>
      </c>
      <c r="B3612" s="2" t="str">
        <f>HYPERLINK("http://m.12365auto.com/xcdg/20200223/419274.shtml","续航或达700km 宝马7系纯电动版新消息")</f>
        <v>续航或达700km 宝马7系纯电动版新消息</v>
      </c>
      <c r="C3612" s="2" t="s">
        <v>13</v>
      </c>
      <c r="D3612" s="2" t="s">
        <v>12</v>
      </c>
      <c r="E3612" s="2"/>
      <c r="F3612" s="2" t="str">
        <f>HYPERLINK("http://m.12365auto.com/xcdg/20200223/419274.shtml","http://m.12365auto.com/xcdg/20200223/419274.shtml")</f>
        <v>http://m.12365auto.com/xcdg/20200223/419274.shtml</v>
      </c>
      <c r="G3612" s="2"/>
      <c r="H3612" s="2" t="s">
        <v>5170</v>
      </c>
      <c r="I3612" s="2" t="s">
        <v>19</v>
      </c>
      <c r="J3612" s="2" t="s">
        <v>330</v>
      </c>
      <c r="K3612" s="2" t="s">
        <v>5171</v>
      </c>
      <c r="L3612" s="2">
        <f t="shared" si="56"/>
        <v>150</v>
      </c>
    </row>
    <row r="3613" spans="1:12" ht="25" customHeight="1">
      <c r="A3613" s="2" t="s">
        <v>12</v>
      </c>
      <c r="B3613" s="2" t="str">
        <f>HYPERLINK("http://www.12365auto.com/xcdg/20200223/419274.shtml","续航或达700km 宝马7系纯电动版新消息")</f>
        <v>续航或达700km 宝马7系纯电动版新消息</v>
      </c>
      <c r="C3613" s="2" t="s">
        <v>13</v>
      </c>
      <c r="D3613" s="2" t="s">
        <v>12</v>
      </c>
      <c r="E3613" s="2" t="s">
        <v>216</v>
      </c>
      <c r="F3613" s="2" t="str">
        <f>HYPERLINK("http://www.12365auto.com/xcdg/20200223/419274.shtml","http://www.12365auto.com/xcdg/20200223/419274.shtml")</f>
        <v>http://www.12365auto.com/xcdg/20200223/419274.shtml</v>
      </c>
      <c r="G3613" s="2"/>
      <c r="H3613" s="2" t="s">
        <v>5172</v>
      </c>
      <c r="I3613" s="2" t="s">
        <v>15</v>
      </c>
      <c r="J3613" s="2" t="s">
        <v>12</v>
      </c>
      <c r="K3613" s="2" t="s">
        <v>5171</v>
      </c>
      <c r="L3613" s="2">
        <f t="shared" si="56"/>
        <v>150</v>
      </c>
    </row>
    <row r="3614" spans="1:12" ht="25" customHeight="1">
      <c r="A3614" s="2" t="s">
        <v>12</v>
      </c>
      <c r="B3614" s="2" t="str">
        <f>HYPERLINK("http://m.12365auto.com/zjdy/20200223/121529.shtml","广汽传祺GS4使用6AT变速箱后投诉多吗？")</f>
        <v>广汽传祺GS4使用6AT变速箱后投诉多吗？</v>
      </c>
      <c r="C3614" s="2" t="s">
        <v>13</v>
      </c>
      <c r="D3614" s="2" t="s">
        <v>12</v>
      </c>
      <c r="E3614" s="2"/>
      <c r="F3614" s="2" t="str">
        <f>HYPERLINK("http://m.12365auto.com/zjdy/20200223/121529.shtml","http://m.12365auto.com/zjdy/20200223/121529.shtml")</f>
        <v>http://m.12365auto.com/zjdy/20200223/121529.shtml</v>
      </c>
      <c r="G3614" s="2"/>
      <c r="H3614" s="2" t="s">
        <v>5173</v>
      </c>
      <c r="I3614" s="2" t="s">
        <v>19</v>
      </c>
      <c r="J3614" s="2" t="s">
        <v>12</v>
      </c>
      <c r="K3614" s="2" t="s">
        <v>5174</v>
      </c>
      <c r="L3614" s="2">
        <f t="shared" si="56"/>
        <v>50</v>
      </c>
    </row>
    <row r="3615" spans="1:12" ht="25" customHeight="1">
      <c r="A3615" s="2" t="s">
        <v>12</v>
      </c>
      <c r="B3615" s="2" t="str">
        <f>HYPERLINK("http://m.12365auto.com/xcdg/20200223/419273.shtml","前脸变化明显 新款福特F-150谍照曝光")</f>
        <v>前脸变化明显 新款福特F-150谍照曝光</v>
      </c>
      <c r="C3615" s="2" t="s">
        <v>13</v>
      </c>
      <c r="D3615" s="2" t="s">
        <v>12</v>
      </c>
      <c r="E3615" s="2"/>
      <c r="F3615" s="2" t="str">
        <f>HYPERLINK("http://m.12365auto.com/xcdg/20200223/419273.shtml","http://m.12365auto.com/xcdg/20200223/419273.shtml")</f>
        <v>http://m.12365auto.com/xcdg/20200223/419273.shtml</v>
      </c>
      <c r="G3615" s="2"/>
      <c r="H3615" s="2" t="s">
        <v>5175</v>
      </c>
      <c r="I3615" s="2" t="s">
        <v>19</v>
      </c>
      <c r="J3615" s="2" t="s">
        <v>836</v>
      </c>
      <c r="K3615" s="2" t="s">
        <v>5176</v>
      </c>
      <c r="L3615" s="2">
        <f t="shared" si="56"/>
        <v>150</v>
      </c>
    </row>
    <row r="3616" spans="1:12" ht="25" customHeight="1">
      <c r="A3616" s="2" t="s">
        <v>12</v>
      </c>
      <c r="B3616" s="2" t="str">
        <f>HYPERLINK("http://www.12365auto.com/zlts/20200223/448274.shtml","华晨宝马5系轮毂开裂导致轮胎漏气")</f>
        <v>华晨宝马5系轮毂开裂导致轮胎漏气</v>
      </c>
      <c r="C3616" s="2" t="s">
        <v>13</v>
      </c>
      <c r="D3616" s="2" t="s">
        <v>12</v>
      </c>
      <c r="E3616" s="2" t="s">
        <v>17</v>
      </c>
      <c r="F3616" s="2" t="str">
        <f>HYPERLINK("http://www.12365auto.com/zlts/20200223/448274.shtml","http://www.12365auto.com/zlts/20200223/448274.shtml")</f>
        <v>http://www.12365auto.com/zlts/20200223/448274.shtml</v>
      </c>
      <c r="G3616" s="2"/>
      <c r="H3616" s="2" t="s">
        <v>5177</v>
      </c>
      <c r="I3616" s="2" t="s">
        <v>19</v>
      </c>
      <c r="J3616" s="2" t="s">
        <v>12</v>
      </c>
      <c r="K3616" s="2" t="s">
        <v>5176</v>
      </c>
      <c r="L3616" s="2">
        <f t="shared" si="56"/>
        <v>150</v>
      </c>
    </row>
    <row r="3617" spans="1:12" ht="25" customHeight="1">
      <c r="A3617" s="2" t="s">
        <v>12</v>
      </c>
      <c r="B3617" s="2" t="str">
        <f>HYPERLINK("http://www.12365auto.com/xcdg/20200223/419273.shtml","前脸变化明显 新款福特F-150谍照曝光")</f>
        <v>前脸变化明显 新款福特F-150谍照曝光</v>
      </c>
      <c r="C3617" s="2" t="s">
        <v>13</v>
      </c>
      <c r="D3617" s="2" t="s">
        <v>12</v>
      </c>
      <c r="E3617" s="2" t="s">
        <v>224</v>
      </c>
      <c r="F3617" s="2" t="str">
        <f>HYPERLINK("http://www.12365auto.com/xcdg/20200223/419273.shtml","http://www.12365auto.com/xcdg/20200223/419273.shtml")</f>
        <v>http://www.12365auto.com/xcdg/20200223/419273.shtml</v>
      </c>
      <c r="G3617" s="2"/>
      <c r="H3617" s="2" t="s">
        <v>5178</v>
      </c>
      <c r="I3617" s="2" t="s">
        <v>15</v>
      </c>
      <c r="J3617" s="2" t="s">
        <v>12</v>
      </c>
      <c r="K3617" s="2" t="s">
        <v>5176</v>
      </c>
      <c r="L3617" s="2">
        <f t="shared" si="56"/>
        <v>150</v>
      </c>
    </row>
    <row r="3618" spans="1:12" ht="25" customHeight="1">
      <c r="A3618" s="2" t="s">
        <v>12</v>
      </c>
      <c r="B3618" s="2" t="str">
        <f>HYPERLINK("http://www.12365auto.com/zlts/20200223/448273.shtml","上汽大众朗逸半轴漏油 发动机报警")</f>
        <v>上汽大众朗逸半轴漏油 发动机报警</v>
      </c>
      <c r="C3618" s="2" t="s">
        <v>13</v>
      </c>
      <c r="D3618" s="2" t="s">
        <v>12</v>
      </c>
      <c r="E3618" s="2" t="s">
        <v>17</v>
      </c>
      <c r="F3618" s="2" t="str">
        <f>HYPERLINK("http://www.12365auto.com/zlts/20200223/448273.shtml","http://www.12365auto.com/zlts/20200223/448273.shtml")</f>
        <v>http://www.12365auto.com/zlts/20200223/448273.shtml</v>
      </c>
      <c r="G3618" s="2"/>
      <c r="H3618" s="2" t="s">
        <v>5179</v>
      </c>
      <c r="I3618" s="2" t="s">
        <v>19</v>
      </c>
      <c r="J3618" s="2" t="s">
        <v>12</v>
      </c>
      <c r="K3618" s="2" t="s">
        <v>5180</v>
      </c>
      <c r="L3618" s="2">
        <f t="shared" si="56"/>
        <v>150</v>
      </c>
    </row>
    <row r="3619" spans="1:12" ht="25" customHeight="1">
      <c r="A3619" s="2" t="s">
        <v>12</v>
      </c>
      <c r="B3619" s="2" t="str">
        <f>HYPERLINK("http://m.12365auto.com/zjdy/20200223/121528.shtml","大众帕萨特无大灯高度调节开关怎么办？")</f>
        <v>大众帕萨特无大灯高度调节开关怎么办？</v>
      </c>
      <c r="C3619" s="2" t="s">
        <v>13</v>
      </c>
      <c r="D3619" s="2" t="s">
        <v>12</v>
      </c>
      <c r="E3619" s="2"/>
      <c r="F3619" s="2" t="str">
        <f>HYPERLINK("http://m.12365auto.com/zjdy/20200223/121528.shtml","http://m.12365auto.com/zjdy/20200223/121528.shtml")</f>
        <v>http://m.12365auto.com/zjdy/20200223/121528.shtml</v>
      </c>
      <c r="G3619" s="2"/>
      <c r="H3619" s="2" t="s">
        <v>5181</v>
      </c>
      <c r="I3619" s="2" t="s">
        <v>19</v>
      </c>
      <c r="J3619" s="2" t="s">
        <v>12</v>
      </c>
      <c r="K3619" s="2" t="s">
        <v>5182</v>
      </c>
      <c r="L3619" s="2">
        <f t="shared" si="56"/>
        <v>20</v>
      </c>
    </row>
    <row r="3620" spans="1:12" ht="25" customHeight="1">
      <c r="A3620" s="2" t="s">
        <v>12</v>
      </c>
      <c r="B3620" s="2" t="str">
        <f>HYPERLINK("http://m.12365auto.com/zjdy/20200222/121527.shtml","传祺GS4自检故障灯亮启动后消失正常吗？")</f>
        <v>传祺GS4自检故障灯亮启动后消失正常吗？</v>
      </c>
      <c r="C3620" s="2" t="s">
        <v>13</v>
      </c>
      <c r="D3620" s="2" t="s">
        <v>12</v>
      </c>
      <c r="E3620" s="2"/>
      <c r="F3620" s="2" t="str">
        <f>HYPERLINK("http://m.12365auto.com/zjdy/20200222/121527.shtml","http://m.12365auto.com/zjdy/20200222/121527.shtml")</f>
        <v>http://m.12365auto.com/zjdy/20200222/121527.shtml</v>
      </c>
      <c r="G3620" s="2"/>
      <c r="H3620" s="2" t="s">
        <v>5183</v>
      </c>
      <c r="I3620" s="2" t="s">
        <v>19</v>
      </c>
      <c r="J3620" s="2" t="s">
        <v>12</v>
      </c>
      <c r="K3620" s="2" t="s">
        <v>5184</v>
      </c>
      <c r="L3620" s="2">
        <f t="shared" si="56"/>
        <v>33</v>
      </c>
    </row>
    <row r="3621" spans="1:12" ht="25" customHeight="1">
      <c r="A3621" s="2" t="s">
        <v>12</v>
      </c>
      <c r="B3621" s="2" t="str">
        <f>HYPERLINK("http://m.12365auto.com/zjdy/20200222/121526.shtml","广汽传祺GS8散热器有伤痕怎么处理？")</f>
        <v>广汽传祺GS8散热器有伤痕怎么处理？</v>
      </c>
      <c r="C3621" s="2" t="s">
        <v>13</v>
      </c>
      <c r="D3621" s="2" t="s">
        <v>12</v>
      </c>
      <c r="E3621" s="2"/>
      <c r="F3621" s="2" t="str">
        <f>HYPERLINK("http://m.12365auto.com/zjdy/20200222/121526.shtml","http://m.12365auto.com/zjdy/20200222/121526.shtml")</f>
        <v>http://m.12365auto.com/zjdy/20200222/121526.shtml</v>
      </c>
      <c r="G3621" s="2"/>
      <c r="H3621" s="2" t="s">
        <v>5185</v>
      </c>
      <c r="I3621" s="2" t="s">
        <v>19</v>
      </c>
      <c r="J3621" s="2" t="s">
        <v>12</v>
      </c>
      <c r="K3621" s="2" t="s">
        <v>5184</v>
      </c>
      <c r="L3621" s="2">
        <f t="shared" si="56"/>
        <v>42</v>
      </c>
    </row>
    <row r="3622" spans="1:12" ht="25" customHeight="1">
      <c r="A3622" s="2" t="s">
        <v>12</v>
      </c>
      <c r="B3622" s="2" t="str">
        <f>HYPERLINK("http://m.12365auto.com/zjdy/20200222/121525.shtml","斯威G01频繁使用1挡或2挡下坡有影响吗？")</f>
        <v>斯威G01频繁使用1挡或2挡下坡有影响吗？</v>
      </c>
      <c r="C3622" s="2" t="s">
        <v>13</v>
      </c>
      <c r="D3622" s="2" t="s">
        <v>12</v>
      </c>
      <c r="E3622" s="2"/>
      <c r="F3622" s="2" t="str">
        <f>HYPERLINK("http://m.12365auto.com/zjdy/20200222/121525.shtml","http://m.12365auto.com/zjdy/20200222/121525.shtml")</f>
        <v>http://m.12365auto.com/zjdy/20200222/121525.shtml</v>
      </c>
      <c r="G3622" s="2"/>
      <c r="H3622" s="2" t="s">
        <v>5186</v>
      </c>
      <c r="I3622" s="2" t="s">
        <v>19</v>
      </c>
      <c r="J3622" s="2" t="s">
        <v>12</v>
      </c>
      <c r="K3622" s="2" t="s">
        <v>5187</v>
      </c>
      <c r="L3622" s="2">
        <f t="shared" si="56"/>
        <v>100</v>
      </c>
    </row>
    <row r="3623" spans="1:12" ht="25" customHeight="1">
      <c r="A3623" s="2" t="s">
        <v>12</v>
      </c>
      <c r="B3623" s="2" t="str">
        <f>HYPERLINK("http://m.12365auto.com/zjdy/20200222/121524.shtml","荣威RX5倒车踩刹车底盘异响什么原因？")</f>
        <v>荣威RX5倒车踩刹车底盘异响什么原因？</v>
      </c>
      <c r="C3623" s="2" t="s">
        <v>13</v>
      </c>
      <c r="D3623" s="2" t="s">
        <v>12</v>
      </c>
      <c r="E3623" s="2"/>
      <c r="F3623" s="2" t="str">
        <f>HYPERLINK("http://m.12365auto.com/zjdy/20200222/121524.shtml","http://m.12365auto.com/zjdy/20200222/121524.shtml")</f>
        <v>http://m.12365auto.com/zjdy/20200222/121524.shtml</v>
      </c>
      <c r="G3623" s="2"/>
      <c r="H3623" s="2" t="s">
        <v>5188</v>
      </c>
      <c r="I3623" s="2" t="s">
        <v>19</v>
      </c>
      <c r="J3623" s="2" t="s">
        <v>12</v>
      </c>
      <c r="K3623" s="2" t="s">
        <v>5187</v>
      </c>
      <c r="L3623" s="2">
        <f t="shared" si="56"/>
        <v>36</v>
      </c>
    </row>
    <row r="3624" spans="1:12" ht="25" customHeight="1">
      <c r="A3624" s="2" t="s">
        <v>12</v>
      </c>
      <c r="B3624" s="2" t="str">
        <f>HYPERLINK("http://m.12365auto.com/zjdy/20200222/121522.shtml","2018年8月生产的自由光是2019款吗？")</f>
        <v>2018年8月生产的自由光是2019款吗？</v>
      </c>
      <c r="C3624" s="2" t="s">
        <v>13</v>
      </c>
      <c r="D3624" s="2" t="s">
        <v>12</v>
      </c>
      <c r="E3624" s="2"/>
      <c r="F3624" s="2" t="str">
        <f>HYPERLINK("http://m.12365auto.com/zjdy/20200222/121522.shtml","http://m.12365auto.com/zjdy/20200222/121522.shtml")</f>
        <v>http://m.12365auto.com/zjdy/20200222/121522.shtml</v>
      </c>
      <c r="G3624" s="2"/>
      <c r="H3624" s="2" t="s">
        <v>5189</v>
      </c>
      <c r="I3624" s="2" t="s">
        <v>19</v>
      </c>
      <c r="J3624" s="2" t="s">
        <v>12</v>
      </c>
      <c r="K3624" s="2" t="s">
        <v>5190</v>
      </c>
      <c r="L3624" s="2">
        <f t="shared" si="56"/>
        <v>27</v>
      </c>
    </row>
    <row r="3625" spans="1:12" ht="25" customHeight="1">
      <c r="A3625" s="2" t="s">
        <v>12</v>
      </c>
      <c r="B3625" s="2" t="str">
        <f>HYPERLINK("http://m.12365auto.com/zjdy/20200222/121521.shtml","一汽大众迈腾双离合器是如何解释的？")</f>
        <v>一汽大众迈腾双离合器是如何解释的？</v>
      </c>
      <c r="C3625" s="2" t="s">
        <v>13</v>
      </c>
      <c r="D3625" s="2" t="s">
        <v>12</v>
      </c>
      <c r="E3625" s="2"/>
      <c r="F3625" s="2" t="str">
        <f>HYPERLINK("http://m.12365auto.com/zjdy/20200222/121521.shtml","http://m.12365auto.com/zjdy/20200222/121521.shtml")</f>
        <v>http://m.12365auto.com/zjdy/20200222/121521.shtml</v>
      </c>
      <c r="G3625" s="2"/>
      <c r="H3625" s="2" t="s">
        <v>5191</v>
      </c>
      <c r="I3625" s="2" t="s">
        <v>19</v>
      </c>
      <c r="J3625" s="2" t="s">
        <v>12</v>
      </c>
      <c r="K3625" s="2" t="s">
        <v>5190</v>
      </c>
      <c r="L3625" s="2">
        <f t="shared" si="56"/>
        <v>48</v>
      </c>
    </row>
    <row r="3626" spans="1:12" ht="25" customHeight="1">
      <c r="A3626" s="2" t="s">
        <v>12</v>
      </c>
      <c r="B3626" s="2" t="str">
        <f>HYPERLINK("http://m.12365auto.com/zjdy/20200222/121523.shtml","华晨宝马5系油温多少度是正常的？")</f>
        <v>华晨宝马5系油温多少度是正常的？</v>
      </c>
      <c r="C3626" s="2" t="s">
        <v>13</v>
      </c>
      <c r="D3626" s="2" t="s">
        <v>12</v>
      </c>
      <c r="E3626" s="2"/>
      <c r="F3626" s="2" t="str">
        <f>HYPERLINK("http://m.12365auto.com/zjdy/20200222/121523.shtml","http://m.12365auto.com/zjdy/20200222/121523.shtml")</f>
        <v>http://m.12365auto.com/zjdy/20200222/121523.shtml</v>
      </c>
      <c r="G3626" s="2"/>
      <c r="H3626" s="2" t="s">
        <v>5192</v>
      </c>
      <c r="I3626" s="2" t="s">
        <v>19</v>
      </c>
      <c r="J3626" s="2" t="s">
        <v>12</v>
      </c>
      <c r="K3626" s="2" t="s">
        <v>5190</v>
      </c>
      <c r="L3626" s="2">
        <f t="shared" si="56"/>
        <v>49</v>
      </c>
    </row>
    <row r="3627" spans="1:12" ht="25" customHeight="1">
      <c r="A3627" s="2" t="s">
        <v>12</v>
      </c>
      <c r="B3627" s="2" t="str">
        <f>HYPERLINK("http://m.12365auto.com/news/20200223/419272.shtml","零首付等 小鹏汽车G3推限时专属政策")</f>
        <v>零首付等 小鹏汽车G3推限时专属政策</v>
      </c>
      <c r="C3627" s="2" t="s">
        <v>13</v>
      </c>
      <c r="D3627" s="2" t="s">
        <v>12</v>
      </c>
      <c r="E3627" s="2"/>
      <c r="F3627" s="2" t="str">
        <f>HYPERLINK("http://m.12365auto.com/news/20200223/419272.shtml","http://m.12365auto.com/news/20200223/419272.shtml")</f>
        <v>http://m.12365auto.com/news/20200223/419272.shtml</v>
      </c>
      <c r="G3627" s="2"/>
      <c r="H3627" s="2" t="s">
        <v>5193</v>
      </c>
      <c r="I3627" s="2" t="s">
        <v>19</v>
      </c>
      <c r="J3627" s="2" t="s">
        <v>330</v>
      </c>
      <c r="K3627" s="2" t="s">
        <v>5194</v>
      </c>
      <c r="L3627" s="2">
        <f t="shared" si="56"/>
        <v>150</v>
      </c>
    </row>
    <row r="3628" spans="1:12" ht="25" customHeight="1">
      <c r="A3628" s="2" t="s">
        <v>12</v>
      </c>
      <c r="B3628" s="2" t="str">
        <f>HYPERLINK("http://www.12365auto.com/news/20200223/419272.shtml","零首付等 小鹏汽车G3推限时专属政策")</f>
        <v>零首付等 小鹏汽车G3推限时专属政策</v>
      </c>
      <c r="C3628" s="2" t="s">
        <v>13</v>
      </c>
      <c r="D3628" s="2" t="s">
        <v>12</v>
      </c>
      <c r="E3628" s="2" t="s">
        <v>282</v>
      </c>
      <c r="F3628" s="2" t="str">
        <f>HYPERLINK("http://www.12365auto.com/news/20200223/419272.shtml","http://www.12365auto.com/news/20200223/419272.shtml")</f>
        <v>http://www.12365auto.com/news/20200223/419272.shtml</v>
      </c>
      <c r="G3628" s="2"/>
      <c r="H3628" s="2" t="s">
        <v>5195</v>
      </c>
      <c r="I3628" s="2" t="s">
        <v>19</v>
      </c>
      <c r="J3628" s="2" t="s">
        <v>12</v>
      </c>
      <c r="K3628" s="2" t="s">
        <v>5194</v>
      </c>
      <c r="L3628" s="2">
        <f t="shared" si="56"/>
        <v>150</v>
      </c>
    </row>
    <row r="3629" spans="1:12" ht="25" customHeight="1">
      <c r="A3629" s="2" t="s">
        <v>12</v>
      </c>
      <c r="B3629" s="2" t="str">
        <f>HYPERLINK("http://m.12365auto.com/zjdy/20200222/121520.shtml","吉利远景保险杠发黄应该如何处理？")</f>
        <v>吉利远景保险杠发黄应该如何处理？</v>
      </c>
      <c r="C3629" s="2" t="s">
        <v>13</v>
      </c>
      <c r="D3629" s="2" t="s">
        <v>12</v>
      </c>
      <c r="E3629" s="2"/>
      <c r="F3629" s="2" t="str">
        <f>HYPERLINK("http://m.12365auto.com/zjdy/20200222/121520.shtml","http://m.12365auto.com/zjdy/20200222/121520.shtml")</f>
        <v>http://m.12365auto.com/zjdy/20200222/121520.shtml</v>
      </c>
      <c r="G3629" s="2"/>
      <c r="H3629" s="2" t="s">
        <v>5196</v>
      </c>
      <c r="I3629" s="2" t="s">
        <v>19</v>
      </c>
      <c r="J3629" s="2" t="s">
        <v>12</v>
      </c>
      <c r="K3629" s="2" t="s">
        <v>5197</v>
      </c>
      <c r="L3629" s="2">
        <f t="shared" si="56"/>
        <v>63</v>
      </c>
    </row>
    <row r="3630" spans="1:12" ht="25" customHeight="1">
      <c r="A3630" s="2" t="s">
        <v>12</v>
      </c>
      <c r="B3630" s="2" t="str">
        <f>HYPERLINK("http://m.12365auto.com/news/20200223/419271.shtml","不限品牌 保时捷欧洲最大充电站开业")</f>
        <v>不限品牌 保时捷欧洲最大充电站开业</v>
      </c>
      <c r="C3630" s="2" t="s">
        <v>13</v>
      </c>
      <c r="D3630" s="2" t="s">
        <v>12</v>
      </c>
      <c r="E3630" s="2"/>
      <c r="F3630" s="2" t="str">
        <f>HYPERLINK("http://m.12365auto.com/news/20200223/419271.shtml","http://m.12365auto.com/news/20200223/419271.shtml")</f>
        <v>http://m.12365auto.com/news/20200223/419271.shtml</v>
      </c>
      <c r="G3630" s="2"/>
      <c r="H3630" s="2" t="s">
        <v>5198</v>
      </c>
      <c r="I3630" s="2" t="s">
        <v>19</v>
      </c>
      <c r="J3630" s="2" t="s">
        <v>5199</v>
      </c>
      <c r="K3630" s="2" t="s">
        <v>5200</v>
      </c>
      <c r="L3630" s="2">
        <f t="shared" si="56"/>
        <v>150</v>
      </c>
    </row>
    <row r="3631" spans="1:12" ht="25" customHeight="1">
      <c r="A3631" s="2" t="s">
        <v>12</v>
      </c>
      <c r="B3631" s="2" t="str">
        <f>HYPERLINK("http://www.12365auto.com/news/20200223/419271.shtml","不限品牌 保时捷欧洲最大充电站开业")</f>
        <v>不限品牌 保时捷欧洲最大充电站开业</v>
      </c>
      <c r="C3631" s="2" t="s">
        <v>13</v>
      </c>
      <c r="D3631" s="2" t="s">
        <v>12</v>
      </c>
      <c r="E3631" s="2" t="s">
        <v>276</v>
      </c>
      <c r="F3631" s="2" t="str">
        <f>HYPERLINK("http://www.12365auto.com/news/20200223/419271.shtml","http://www.12365auto.com/news/20200223/419271.shtml")</f>
        <v>http://www.12365auto.com/news/20200223/419271.shtml</v>
      </c>
      <c r="G3631" s="2"/>
      <c r="H3631" s="2" t="s">
        <v>5201</v>
      </c>
      <c r="I3631" s="2" t="s">
        <v>15</v>
      </c>
      <c r="J3631" s="2" t="s">
        <v>12</v>
      </c>
      <c r="K3631" s="2" t="s">
        <v>5200</v>
      </c>
      <c r="L3631" s="2">
        <f t="shared" si="56"/>
        <v>150</v>
      </c>
    </row>
    <row r="3632" spans="1:12" ht="25" customHeight="1">
      <c r="A3632" s="2" t="s">
        <v>12</v>
      </c>
      <c r="B3632" s="2" t="str">
        <f>HYPERLINK("http://m.12365auto.com/zjdy/20200222/121519.shtml","一汽大众宝来故障码RND321是什么意思？")</f>
        <v>一汽大众宝来故障码RND321是什么意思？</v>
      </c>
      <c r="C3632" s="2" t="s">
        <v>13</v>
      </c>
      <c r="D3632" s="2" t="s">
        <v>12</v>
      </c>
      <c r="E3632" s="2"/>
      <c r="F3632" s="2" t="str">
        <f>HYPERLINK("http://m.12365auto.com/zjdy/20200222/121519.shtml","http://m.12365auto.com/zjdy/20200222/121519.shtml")</f>
        <v>http://m.12365auto.com/zjdy/20200222/121519.shtml</v>
      </c>
      <c r="G3632" s="2"/>
      <c r="H3632" s="2" t="s">
        <v>5202</v>
      </c>
      <c r="I3632" s="2" t="s">
        <v>19</v>
      </c>
      <c r="J3632" s="2" t="s">
        <v>12</v>
      </c>
      <c r="K3632" s="2" t="s">
        <v>5203</v>
      </c>
      <c r="L3632" s="2">
        <f t="shared" si="56"/>
        <v>28</v>
      </c>
    </row>
    <row r="3633" spans="1:12" ht="25" customHeight="1">
      <c r="A3633" s="2" t="s">
        <v>12</v>
      </c>
      <c r="B3633" s="2" t="str">
        <f>HYPERLINK("http://m.12365auto.com/zjdy/20200222/121518.shtml","挡位开关损坏一般维修的价格是多少？")</f>
        <v>挡位开关损坏一般维修的价格是多少？</v>
      </c>
      <c r="C3633" s="2" t="s">
        <v>13</v>
      </c>
      <c r="D3633" s="2" t="s">
        <v>12</v>
      </c>
      <c r="E3633" s="2"/>
      <c r="F3633" s="2" t="str">
        <f>HYPERLINK("http://m.12365auto.com/zjdy/20200222/121518.shtml","http://m.12365auto.com/zjdy/20200222/121518.shtml")</f>
        <v>http://m.12365auto.com/zjdy/20200222/121518.shtml</v>
      </c>
      <c r="G3633" s="2"/>
      <c r="H3633" s="2" t="s">
        <v>5204</v>
      </c>
      <c r="I3633" s="2" t="s">
        <v>19</v>
      </c>
      <c r="J3633" s="2" t="s">
        <v>12</v>
      </c>
      <c r="K3633" s="2" t="s">
        <v>5205</v>
      </c>
      <c r="L3633" s="2">
        <f t="shared" si="56"/>
        <v>28</v>
      </c>
    </row>
    <row r="3634" spans="1:12" ht="25" customHeight="1">
      <c r="A3634" s="2" t="s">
        <v>12</v>
      </c>
      <c r="B3634" s="2" t="str">
        <f>HYPERLINK("http://m.12365auto.com/zjdy/20200222/121517.shtml","探界者牵引力及ESP灯亮是什么原因？")</f>
        <v>探界者牵引力及ESP灯亮是什么原因？</v>
      </c>
      <c r="C3634" s="2" t="s">
        <v>13</v>
      </c>
      <c r="D3634" s="2" t="s">
        <v>12</v>
      </c>
      <c r="E3634" s="2"/>
      <c r="F3634" s="2" t="str">
        <f>HYPERLINK("http://m.12365auto.com/zjdy/20200222/121517.shtml","http://m.12365auto.com/zjdy/20200222/121517.shtml")</f>
        <v>http://m.12365auto.com/zjdy/20200222/121517.shtml</v>
      </c>
      <c r="G3634" s="2"/>
      <c r="H3634" s="2" t="s">
        <v>5206</v>
      </c>
      <c r="I3634" s="2" t="s">
        <v>19</v>
      </c>
      <c r="J3634" s="2" t="s">
        <v>12</v>
      </c>
      <c r="K3634" s="2" t="s">
        <v>5205</v>
      </c>
      <c r="L3634" s="2">
        <f t="shared" si="56"/>
        <v>123</v>
      </c>
    </row>
    <row r="3635" spans="1:12" ht="25" customHeight="1">
      <c r="A3635" s="2" t="s">
        <v>12</v>
      </c>
      <c r="B3635" s="2" t="str">
        <f>HYPERLINK("http://www.12365auto.com/zlts/20200223/448271.shtml","长安CS55方向盘抖动 中控台异响")</f>
        <v>长安CS55方向盘抖动 中控台异响</v>
      </c>
      <c r="C3635" s="2" t="s">
        <v>13</v>
      </c>
      <c r="D3635" s="2" t="s">
        <v>12</v>
      </c>
      <c r="E3635" s="2" t="s">
        <v>17</v>
      </c>
      <c r="F3635" s="2" t="str">
        <f>HYPERLINK("http://www.12365auto.com/zlts/20200223/448271.shtml","http://www.12365auto.com/zlts/20200223/448271.shtml")</f>
        <v>http://www.12365auto.com/zlts/20200223/448271.shtml</v>
      </c>
      <c r="G3635" s="2"/>
      <c r="H3635" s="2" t="s">
        <v>5207</v>
      </c>
      <c r="I3635" s="2" t="s">
        <v>19</v>
      </c>
      <c r="J3635" s="2" t="s">
        <v>12</v>
      </c>
      <c r="K3635" s="2" t="s">
        <v>5208</v>
      </c>
      <c r="L3635" s="2">
        <f t="shared" si="56"/>
        <v>150</v>
      </c>
    </row>
    <row r="3636" spans="1:12" ht="25" customHeight="1">
      <c r="A3636" s="2" t="s">
        <v>12</v>
      </c>
      <c r="B3636" s="2" t="str">
        <f>HYPERLINK("http://m.12365auto.com/xcdg/20200223/419269.shtml","推荐两驱自动时尚型 宝沃BX3购车指南")</f>
        <v>推荐两驱自动时尚型 宝沃BX3购车指南</v>
      </c>
      <c r="C3636" s="2" t="s">
        <v>13</v>
      </c>
      <c r="D3636" s="2" t="s">
        <v>12</v>
      </c>
      <c r="E3636" s="2"/>
      <c r="F3636" s="2" t="str">
        <f>HYPERLINK("http://m.12365auto.com/xcdg/20200223/419269.shtml","http://m.12365auto.com/xcdg/20200223/419269.shtml")</f>
        <v>http://m.12365auto.com/xcdg/20200223/419269.shtml</v>
      </c>
      <c r="G3636" s="2"/>
      <c r="H3636" s="2" t="s">
        <v>5209</v>
      </c>
      <c r="I3636" s="2" t="s">
        <v>19</v>
      </c>
      <c r="J3636" s="2" t="s">
        <v>1230</v>
      </c>
      <c r="K3636" s="2" t="s">
        <v>5210</v>
      </c>
      <c r="L3636" s="2">
        <f t="shared" si="56"/>
        <v>150</v>
      </c>
    </row>
    <row r="3637" spans="1:12" ht="25" customHeight="1">
      <c r="A3637" s="2" t="s">
        <v>12</v>
      </c>
      <c r="B3637" s="2" t="str">
        <f>HYPERLINK("http://m.12365auto.com/dcbg/20200223/419270.shtml","2019款吉利缤越完全评价报告")</f>
        <v>2019款吉利缤越完全评价报告</v>
      </c>
      <c r="C3637" s="2" t="s">
        <v>13</v>
      </c>
      <c r="D3637" s="2" t="s">
        <v>12</v>
      </c>
      <c r="E3637" s="2"/>
      <c r="F3637" s="2" t="str">
        <f>HYPERLINK("http://m.12365auto.com/dcbg/20200223/419270.shtml","http://m.12365auto.com/dcbg/20200223/419270.shtml")</f>
        <v>http://m.12365auto.com/dcbg/20200223/419270.shtml</v>
      </c>
      <c r="G3637" s="2"/>
      <c r="H3637" s="2" t="s">
        <v>5211</v>
      </c>
      <c r="I3637" s="2" t="s">
        <v>19</v>
      </c>
      <c r="J3637" s="2" t="s">
        <v>1305</v>
      </c>
      <c r="K3637" s="2" t="s">
        <v>5210</v>
      </c>
      <c r="L3637" s="2">
        <f t="shared" si="56"/>
        <v>150</v>
      </c>
    </row>
    <row r="3638" spans="1:12" ht="25" customHeight="1">
      <c r="A3638" s="2" t="s">
        <v>12</v>
      </c>
      <c r="B3638" s="2" t="str">
        <f>HYPERLINK("http://m.12365auto.com/xcdg/20200223/419268.shtml","身披运动装的绅士 现代索纳塔新车图解")</f>
        <v>身披运动装的绅士 现代索纳塔新车图解</v>
      </c>
      <c r="C3638" s="2" t="s">
        <v>13</v>
      </c>
      <c r="D3638" s="2" t="s">
        <v>12</v>
      </c>
      <c r="E3638" s="2"/>
      <c r="F3638" s="2" t="str">
        <f>HYPERLINK("http://m.12365auto.com/xcdg/20200223/419268.shtml","http://m.12365auto.com/xcdg/20200223/419268.shtml")</f>
        <v>http://m.12365auto.com/xcdg/20200223/419268.shtml</v>
      </c>
      <c r="G3638" s="2"/>
      <c r="H3638" s="2" t="s">
        <v>5212</v>
      </c>
      <c r="I3638" s="2" t="s">
        <v>19</v>
      </c>
      <c r="J3638" s="2" t="s">
        <v>1326</v>
      </c>
      <c r="K3638" s="2" t="s">
        <v>5210</v>
      </c>
      <c r="L3638" s="2">
        <f t="shared" si="56"/>
        <v>150</v>
      </c>
    </row>
    <row r="3639" spans="1:12" ht="25" customHeight="1">
      <c r="A3639" s="2" t="s">
        <v>12</v>
      </c>
      <c r="B3639" s="2" t="str">
        <f>HYPERLINK("http://www.12365auto.com/xcdg/20200223/419268.shtml","身披运动装的绅士 现代索纳塔新车图解")</f>
        <v>身披运动装的绅士 现代索纳塔新车图解</v>
      </c>
      <c r="C3639" s="2" t="s">
        <v>13</v>
      </c>
      <c r="D3639" s="2" t="s">
        <v>12</v>
      </c>
      <c r="E3639" s="2" t="s">
        <v>216</v>
      </c>
      <c r="F3639" s="2" t="str">
        <f>HYPERLINK("http://www.12365auto.com/xcdg/20200223/419268.shtml","http://www.12365auto.com/xcdg/20200223/419268.shtml")</f>
        <v>http://www.12365auto.com/xcdg/20200223/419268.shtml</v>
      </c>
      <c r="G3639" s="2"/>
      <c r="H3639" s="2" t="s">
        <v>5213</v>
      </c>
      <c r="I3639" s="2" t="s">
        <v>15</v>
      </c>
      <c r="J3639" s="2" t="s">
        <v>12</v>
      </c>
      <c r="K3639" s="2" t="s">
        <v>5210</v>
      </c>
      <c r="L3639" s="2">
        <f t="shared" si="56"/>
        <v>150</v>
      </c>
    </row>
    <row r="3640" spans="1:12" ht="25" customHeight="1">
      <c r="A3640" s="2" t="s">
        <v>12</v>
      </c>
      <c r="B3640" s="2" t="str">
        <f>HYPERLINK("http://www.12365auto.com/dcbg/20200223/419270.shtml","2019款吉利缤越完全评价报告")</f>
        <v>2019款吉利缤越完全评价报告</v>
      </c>
      <c r="C3640" s="2" t="s">
        <v>13</v>
      </c>
      <c r="D3640" s="2" t="s">
        <v>12</v>
      </c>
      <c r="E3640" s="2" t="s">
        <v>1319</v>
      </c>
      <c r="F3640" s="2" t="str">
        <f>HYPERLINK("http://www.12365auto.com/dcbg/20200223/419270.shtml","http://www.12365auto.com/dcbg/20200223/419270.shtml")</f>
        <v>http://www.12365auto.com/dcbg/20200223/419270.shtml</v>
      </c>
      <c r="G3640" s="2"/>
      <c r="H3640" s="2" t="s">
        <v>5214</v>
      </c>
      <c r="I3640" s="2" t="s">
        <v>15</v>
      </c>
      <c r="J3640" s="2" t="s">
        <v>12</v>
      </c>
      <c r="K3640" s="2" t="s">
        <v>5210</v>
      </c>
      <c r="L3640" s="2">
        <f t="shared" si="56"/>
        <v>150</v>
      </c>
    </row>
    <row r="3641" spans="1:12" ht="25" customHeight="1">
      <c r="A3641" s="2" t="s">
        <v>12</v>
      </c>
      <c r="B3641" s="2" t="str">
        <f>HYPERLINK("http://www.12365auto.com/zlts/20200223/448269.shtml","东南DX3离合器沉重影响正常使用")</f>
        <v>东南DX3离合器沉重影响正常使用</v>
      </c>
      <c r="C3641" s="2" t="s">
        <v>13</v>
      </c>
      <c r="D3641" s="2" t="s">
        <v>12</v>
      </c>
      <c r="E3641" s="2" t="s">
        <v>17</v>
      </c>
      <c r="F3641" s="2" t="str">
        <f>HYPERLINK("http://www.12365auto.com/zlts/20200223/448269.shtml","http://www.12365auto.com/zlts/20200223/448269.shtml")</f>
        <v>http://www.12365auto.com/zlts/20200223/448269.shtml</v>
      </c>
      <c r="G3641" s="2"/>
      <c r="H3641" s="2" t="s">
        <v>5215</v>
      </c>
      <c r="I3641" s="2" t="s">
        <v>19</v>
      </c>
      <c r="J3641" s="2" t="s">
        <v>12</v>
      </c>
      <c r="K3641" s="2" t="s">
        <v>5216</v>
      </c>
      <c r="L3641" s="2">
        <f t="shared" si="56"/>
        <v>150</v>
      </c>
    </row>
    <row r="3642" spans="1:12" ht="25" customHeight="1">
      <c r="A3642" s="2" t="s">
        <v>12</v>
      </c>
      <c r="B3642" s="2" t="str">
        <f>HYPERLINK("http://bbs.12365auto.com/postcontent.aspx?tID=194902","踩离合顿挫/提不起来速/偶尔断油/怠速")</f>
        <v>踩离合顿挫/提不起来速/偶尔断油/怠速</v>
      </c>
      <c r="C3642" s="2" t="s">
        <v>13</v>
      </c>
      <c r="D3642" s="2" t="s">
        <v>12</v>
      </c>
      <c r="E3642" s="2" t="s">
        <v>67</v>
      </c>
      <c r="F3642" s="2" t="str">
        <f>HYPERLINK("http://bbs.12365auto.com/postcontent.aspx?tID=194902","http://bbs.12365auto.com/postcontent.aspx?tID=194902")</f>
        <v>http://bbs.12365auto.com/postcontent.aspx?tID=194902</v>
      </c>
      <c r="G3642" s="2"/>
      <c r="H3642" s="2" t="s">
        <v>5217</v>
      </c>
      <c r="I3642" s="2" t="s">
        <v>15</v>
      </c>
      <c r="J3642" s="2" t="s">
        <v>5218</v>
      </c>
      <c r="K3642" s="2" t="s">
        <v>5219</v>
      </c>
      <c r="L3642" s="2">
        <f t="shared" si="56"/>
        <v>150</v>
      </c>
    </row>
    <row r="3643" spans="1:12" ht="25" customHeight="1">
      <c r="A3643" s="2" t="s">
        <v>12</v>
      </c>
      <c r="B3643" s="2" t="str">
        <f>HYPERLINK("http://bbs.12365auto.com/postcontent.aspx?tId=194902","踩离合顿挫/提不起来速/偶尔断油/怠速")</f>
        <v>踩离合顿挫/提不起来速/偶尔断油/怠速</v>
      </c>
      <c r="C3643" s="2" t="s">
        <v>13</v>
      </c>
      <c r="D3643" s="2" t="s">
        <v>12</v>
      </c>
      <c r="E3643" s="2" t="s">
        <v>66</v>
      </c>
      <c r="F3643" s="2" t="str">
        <f>HYPERLINK("http://bbs.12365auto.com/postcontent.aspx?tId=194902","http://bbs.12365auto.com/postcontent.aspx?tId=194902")</f>
        <v>http://bbs.12365auto.com/postcontent.aspx?tId=194902</v>
      </c>
      <c r="G3643" s="2"/>
      <c r="H3643" s="2" t="s">
        <v>5220</v>
      </c>
      <c r="I3643" s="2" t="s">
        <v>15</v>
      </c>
      <c r="J3643" s="2" t="s">
        <v>5218</v>
      </c>
      <c r="K3643" s="2" t="s">
        <v>5219</v>
      </c>
      <c r="L3643" s="2">
        <f t="shared" si="56"/>
        <v>140</v>
      </c>
    </row>
    <row r="3644" spans="1:12" ht="25" customHeight="1">
      <c r="A3644" s="2" t="s">
        <v>12</v>
      </c>
      <c r="B3644" s="2" t="str">
        <f>HYPERLINK("http://m.12365auto.com/bbs/postcontent.aspx?tID=194902","踩离合顿挫/提不起来速/偶尔断油/怠速")</f>
        <v>踩离合顿挫/提不起来速/偶尔断油/怠速</v>
      </c>
      <c r="C3644" s="2" t="s">
        <v>13</v>
      </c>
      <c r="D3644" s="2" t="s">
        <v>23</v>
      </c>
      <c r="E3644" s="2"/>
      <c r="F3644" s="2" t="str">
        <f>HYPERLINK("http://m.12365auto.com/bbs/postcontent.aspx?tID=194902","http://m.12365auto.com/bbs/postcontent.aspx?tID=194902")</f>
        <v>http://m.12365auto.com/bbs/postcontent.aspx?tID=194902</v>
      </c>
      <c r="G3644" s="2"/>
      <c r="H3644" s="2" t="s">
        <v>5220</v>
      </c>
      <c r="I3644" s="2" t="s">
        <v>15</v>
      </c>
      <c r="J3644" s="2" t="s">
        <v>5218</v>
      </c>
      <c r="K3644" s="2" t="s">
        <v>5219</v>
      </c>
      <c r="L3644" s="2">
        <f t="shared" si="56"/>
        <v>140</v>
      </c>
    </row>
    <row r="3645" spans="1:12" ht="25" customHeight="1">
      <c r="A3645" s="2" t="s">
        <v>12</v>
      </c>
      <c r="B3645" s="2" t="str">
        <f>HYPERLINK("http://www.12365auto.com/zlts/20200223/448268.shtml","北京现代途胜发动机噪音大水温上不去")</f>
        <v>北京现代途胜发动机噪音大水温上不去</v>
      </c>
      <c r="C3645" s="2" t="s">
        <v>13</v>
      </c>
      <c r="D3645" s="2" t="s">
        <v>12</v>
      </c>
      <c r="E3645" s="2"/>
      <c r="F3645" s="2" t="str">
        <f>HYPERLINK("http://www.12365auto.com/zlts/20200223/448268.shtml","http://www.12365auto.com/zlts/20200223/448268.shtml")</f>
        <v>http://www.12365auto.com/zlts/20200223/448268.shtml</v>
      </c>
      <c r="G3645" s="2"/>
      <c r="H3645" s="3" t="s">
        <v>5221</v>
      </c>
      <c r="I3645" s="2" t="s">
        <v>15</v>
      </c>
      <c r="J3645" s="2" t="s">
        <v>12</v>
      </c>
      <c r="K3645" s="2" t="s">
        <v>5222</v>
      </c>
      <c r="L3645" s="2">
        <f t="shared" si="56"/>
        <v>123</v>
      </c>
    </row>
    <row r="3646" spans="1:12" ht="25" customHeight="1">
      <c r="A3646" s="2" t="s">
        <v>12</v>
      </c>
      <c r="B3646" s="2" t="str">
        <f>HYPERLINK("http://www.12365auto.com/zlts/20200223/448267.shtml","主机黑屏，死机，卡机，短路")</f>
        <v>主机黑屏，死机，卡机，短路</v>
      </c>
      <c r="C3646" s="2" t="s">
        <v>13</v>
      </c>
      <c r="D3646" s="2" t="s">
        <v>12</v>
      </c>
      <c r="E3646" s="2"/>
      <c r="F3646" s="2" t="str">
        <f>HYPERLINK("http://www.12365auto.com/zlts/20200223/448267.shtml","http://www.12365auto.com/zlts/20200223/448267.shtml")</f>
        <v>http://www.12365auto.com/zlts/20200223/448267.shtml</v>
      </c>
      <c r="G3646" s="2"/>
      <c r="H3646" s="3" t="s">
        <v>5223</v>
      </c>
      <c r="I3646" s="2" t="s">
        <v>15</v>
      </c>
      <c r="J3646" s="2" t="s">
        <v>12</v>
      </c>
      <c r="K3646" s="2" t="s">
        <v>5224</v>
      </c>
      <c r="L3646" s="2">
        <f t="shared" si="56"/>
        <v>112</v>
      </c>
    </row>
    <row r="3647" spans="1:12" ht="25" customHeight="1">
      <c r="A3647" s="2" t="s">
        <v>12</v>
      </c>
      <c r="B3647" s="2" t="str">
        <f>HYPERLINK("http://www.12365auto.com/zlts/20200223/448265.shtml","变速箱起步严重抖动，有打齿声，转速忽高忽低")</f>
        <v>变速箱起步严重抖动，有打齿声，转速忽高忽低</v>
      </c>
      <c r="C3647" s="2" t="s">
        <v>13</v>
      </c>
      <c r="D3647" s="2" t="s">
        <v>12</v>
      </c>
      <c r="E3647" s="2"/>
      <c r="F3647" s="2" t="str">
        <f>HYPERLINK("http://www.12365auto.com/zlts/20200223/448265.shtml","http://www.12365auto.com/zlts/20200223/448265.shtml")</f>
        <v>http://www.12365auto.com/zlts/20200223/448265.shtml</v>
      </c>
      <c r="G3647" s="2"/>
      <c r="H3647" s="2" t="s">
        <v>5226</v>
      </c>
      <c r="I3647" s="2" t="s">
        <v>15</v>
      </c>
      <c r="J3647" s="2" t="s">
        <v>12</v>
      </c>
      <c r="K3647" s="2" t="s">
        <v>5225</v>
      </c>
      <c r="L3647" s="2">
        <f t="shared" si="56"/>
        <v>84</v>
      </c>
    </row>
    <row r="3648" spans="1:12" ht="25" customHeight="1">
      <c r="A3648" s="2" t="s">
        <v>12</v>
      </c>
      <c r="B3648" s="2" t="str">
        <f>HYPERLINK("http://www.12365auto.com/zlts/20200223/448262.shtml","严重漏油")</f>
        <v>严重漏油</v>
      </c>
      <c r="C3648" s="2" t="s">
        <v>13</v>
      </c>
      <c r="D3648" s="2" t="s">
        <v>12</v>
      </c>
      <c r="E3648" s="2"/>
      <c r="F3648" s="2" t="str">
        <f>HYPERLINK("http://www.12365auto.com/zlts/20200223/448262.shtml","http://www.12365auto.com/zlts/20200223/448262.shtml")</f>
        <v>http://www.12365auto.com/zlts/20200223/448262.shtml</v>
      </c>
      <c r="G3648" s="2"/>
      <c r="H3648" s="3" t="s">
        <v>5227</v>
      </c>
      <c r="I3648" s="2" t="s">
        <v>15</v>
      </c>
      <c r="J3648" s="2" t="s">
        <v>12</v>
      </c>
      <c r="K3648" s="2" t="s">
        <v>5228</v>
      </c>
      <c r="L3648" s="2">
        <f t="shared" si="56"/>
        <v>116</v>
      </c>
    </row>
    <row r="3649" spans="1:12" ht="25" customHeight="1">
      <c r="A3649" s="2" t="s">
        <v>12</v>
      </c>
      <c r="B3649" s="2" t="str">
        <f>HYPERLINK("http://www.12365auto.com/zlts/20200223/448264.shtml","上汽大众朗行行驶过程中突然熄火")</f>
        <v>上汽大众朗行行驶过程中突然熄火</v>
      </c>
      <c r="C3649" s="2" t="s">
        <v>13</v>
      </c>
      <c r="D3649" s="2" t="s">
        <v>12</v>
      </c>
      <c r="E3649" s="2" t="s">
        <v>17</v>
      </c>
      <c r="F3649" s="2" t="str">
        <f>HYPERLINK("http://www.12365auto.com/zlts/20200223/448264.shtml","http://www.12365auto.com/zlts/20200223/448264.shtml")</f>
        <v>http://www.12365auto.com/zlts/20200223/448264.shtml</v>
      </c>
      <c r="G3649" s="2"/>
      <c r="H3649" s="2" t="s">
        <v>5229</v>
      </c>
      <c r="I3649" s="2" t="s">
        <v>19</v>
      </c>
      <c r="J3649" s="2" t="s">
        <v>12</v>
      </c>
      <c r="K3649" s="2" t="s">
        <v>5230</v>
      </c>
      <c r="L3649" s="2">
        <f t="shared" si="56"/>
        <v>150</v>
      </c>
    </row>
    <row r="3650" spans="1:12" ht="25" customHeight="1">
      <c r="A3650" s="2" t="s">
        <v>12</v>
      </c>
      <c r="B3650" s="2" t="str">
        <f>HYPERLINK("http://www.12365auto.com/zlts/20200223/448263.shtml","上汽名爵HS电瓶亏电导致无法启动")</f>
        <v>上汽名爵HS电瓶亏电导致无法启动</v>
      </c>
      <c r="C3650" s="2" t="s">
        <v>13</v>
      </c>
      <c r="D3650" s="2" t="s">
        <v>12</v>
      </c>
      <c r="E3650" s="2" t="s">
        <v>17</v>
      </c>
      <c r="F3650" s="2" t="str">
        <f>HYPERLINK("http://www.12365auto.com/zlts/20200223/448263.shtml","http://www.12365auto.com/zlts/20200223/448263.shtml")</f>
        <v>http://www.12365auto.com/zlts/20200223/448263.shtml</v>
      </c>
      <c r="G3650" s="2"/>
      <c r="H3650" s="2" t="s">
        <v>5231</v>
      </c>
      <c r="I3650" s="2" t="s">
        <v>19</v>
      </c>
      <c r="J3650" s="2" t="s">
        <v>12</v>
      </c>
      <c r="K3650" s="2" t="s">
        <v>5232</v>
      </c>
      <c r="L3650" s="2">
        <f t="shared" si="56"/>
        <v>150</v>
      </c>
    </row>
    <row r="3651" spans="1:12" ht="25" customHeight="1">
      <c r="A3651" s="2" t="s">
        <v>12</v>
      </c>
      <c r="B3651" s="2" t="str">
        <f>HYPERLINK("http://www.12365auto.com/zlts/20200223/448260.shtml","北京现代领动发动机缸盖损坏导致无法启动")</f>
        <v>北京现代领动发动机缸盖损坏导致无法启动</v>
      </c>
      <c r="C3651" s="2" t="s">
        <v>13</v>
      </c>
      <c r="D3651" s="2" t="s">
        <v>12</v>
      </c>
      <c r="E3651" s="2" t="s">
        <v>17</v>
      </c>
      <c r="F3651" s="2" t="str">
        <f>HYPERLINK("http://www.12365auto.com/zlts/20200223/448260.shtml","http://www.12365auto.com/zlts/20200223/448260.shtml")</f>
        <v>http://www.12365auto.com/zlts/20200223/448260.shtml</v>
      </c>
      <c r="G3651" s="2"/>
      <c r="H3651" s="2" t="s">
        <v>5233</v>
      </c>
      <c r="I3651" s="2" t="s">
        <v>19</v>
      </c>
      <c r="J3651" s="2" t="s">
        <v>12</v>
      </c>
      <c r="K3651" s="2" t="s">
        <v>5234</v>
      </c>
      <c r="L3651" s="2">
        <f t="shared" ref="L3651:L3714" si="57">LEN(H3651)</f>
        <v>150</v>
      </c>
    </row>
    <row r="3652" spans="1:12" ht="25" customHeight="1">
      <c r="A3652" s="2" t="s">
        <v>12</v>
      </c>
      <c r="B3652" s="2" t="str">
        <f>HYPERLINK("http://www.12365auto.com/zlts/20200223/448259.shtml","长安CS55开启空调后一直吹热风无法解决")</f>
        <v>长安CS55开启空调后一直吹热风无法解决</v>
      </c>
      <c r="C3652" s="2" t="s">
        <v>13</v>
      </c>
      <c r="D3652" s="2" t="s">
        <v>12</v>
      </c>
      <c r="E3652" s="2" t="s">
        <v>17</v>
      </c>
      <c r="F3652" s="2" t="str">
        <f>HYPERLINK("http://www.12365auto.com/zlts/20200223/448259.shtml","http://www.12365auto.com/zlts/20200223/448259.shtml")</f>
        <v>http://www.12365auto.com/zlts/20200223/448259.shtml</v>
      </c>
      <c r="G3652" s="2"/>
      <c r="H3652" s="2" t="s">
        <v>5235</v>
      </c>
      <c r="I3652" s="2" t="s">
        <v>19</v>
      </c>
      <c r="J3652" s="2" t="s">
        <v>12</v>
      </c>
      <c r="K3652" s="2" t="s">
        <v>5236</v>
      </c>
      <c r="L3652" s="2">
        <f t="shared" si="57"/>
        <v>150</v>
      </c>
    </row>
    <row r="3653" spans="1:12" ht="25" customHeight="1">
      <c r="A3653" s="2" t="s">
        <v>12</v>
      </c>
      <c r="B3653" s="2" t="str">
        <f>HYPERLINK("http://www.12365auto.com/zlts/20200222/448255.shtml","起步，倒车出现自动补油，发动机转速过高")</f>
        <v>起步，倒车出现自动补油，发动机转速过高</v>
      </c>
      <c r="C3653" s="2" t="s">
        <v>13</v>
      </c>
      <c r="D3653" s="2" t="s">
        <v>12</v>
      </c>
      <c r="E3653" s="2"/>
      <c r="F3653" s="2" t="str">
        <f>HYPERLINK("http://www.12365auto.com/zlts/20200222/448255.shtml","http://www.12365auto.com/zlts/20200222/448255.shtml")</f>
        <v>http://www.12365auto.com/zlts/20200222/448255.shtml</v>
      </c>
      <c r="G3653" s="2"/>
      <c r="H3653" s="3" t="s">
        <v>5237</v>
      </c>
      <c r="I3653" s="2" t="s">
        <v>15</v>
      </c>
      <c r="J3653" s="2" t="s">
        <v>12</v>
      </c>
      <c r="K3653" s="2" t="s">
        <v>5238</v>
      </c>
      <c r="L3653" s="2">
        <f t="shared" si="57"/>
        <v>124</v>
      </c>
    </row>
    <row r="3654" spans="1:12" ht="25" customHeight="1">
      <c r="A3654" s="2" t="s">
        <v>12</v>
      </c>
      <c r="B3654" s="2" t="str">
        <f>HYPERLINK("http://www.12365auto.com/zlts/20200222/448256.shtml","东风日产楼兰1200转至1700转时共振")</f>
        <v>东风日产楼兰1200转至1700转时共振</v>
      </c>
      <c r="C3654" s="2" t="s">
        <v>13</v>
      </c>
      <c r="D3654" s="2" t="s">
        <v>12</v>
      </c>
      <c r="E3654" s="2" t="s">
        <v>17</v>
      </c>
      <c r="F3654" s="2" t="str">
        <f>HYPERLINK("http://www.12365auto.com/zlts/20200222/448256.shtml","http://www.12365auto.com/zlts/20200222/448256.shtml")</f>
        <v>http://www.12365auto.com/zlts/20200222/448256.shtml</v>
      </c>
      <c r="G3654" s="2"/>
      <c r="H3654" s="2" t="s">
        <v>5239</v>
      </c>
      <c r="I3654" s="2" t="s">
        <v>19</v>
      </c>
      <c r="J3654" s="2" t="s">
        <v>12</v>
      </c>
      <c r="K3654" s="2" t="s">
        <v>5240</v>
      </c>
      <c r="L3654" s="2">
        <f t="shared" si="57"/>
        <v>150</v>
      </c>
    </row>
    <row r="3655" spans="1:12" ht="25" customHeight="1">
      <c r="A3655" s="2" t="s">
        <v>12</v>
      </c>
      <c r="B3655" s="2" t="str">
        <f>HYPERLINK("http://www.12365auto.com/zlts/20200222/448247.shtml","机电控制单元故障")</f>
        <v>机电控制单元故障</v>
      </c>
      <c r="C3655" s="2" t="s">
        <v>13</v>
      </c>
      <c r="D3655" s="2" t="s">
        <v>12</v>
      </c>
      <c r="E3655" s="2"/>
      <c r="F3655" s="2" t="str">
        <f>HYPERLINK("http://www.12365auto.com/zlts/20200222/448247.shtml","http://www.12365auto.com/zlts/20200222/448247.shtml")</f>
        <v>http://www.12365auto.com/zlts/20200222/448247.shtml</v>
      </c>
      <c r="G3655" s="2"/>
      <c r="H3655" s="3" t="s">
        <v>5241</v>
      </c>
      <c r="I3655" s="2" t="s">
        <v>15</v>
      </c>
      <c r="J3655" s="2" t="s">
        <v>12</v>
      </c>
      <c r="K3655" s="2" t="s">
        <v>5242</v>
      </c>
      <c r="L3655" s="2">
        <f t="shared" si="57"/>
        <v>104</v>
      </c>
    </row>
    <row r="3656" spans="1:12" ht="25" customHeight="1">
      <c r="A3656" s="2" t="s">
        <v>12</v>
      </c>
      <c r="B3656" s="2" t="str">
        <f>HYPERLINK("http://www.12365auto.com/zlts/20200222/448240.shtml","行驶中左前轮嗡嗡响")</f>
        <v>行驶中左前轮嗡嗡响</v>
      </c>
      <c r="C3656" s="2" t="s">
        <v>13</v>
      </c>
      <c r="D3656" s="2" t="s">
        <v>12</v>
      </c>
      <c r="E3656" s="2"/>
      <c r="F3656" s="2" t="str">
        <f>HYPERLINK("http://www.12365auto.com/zlts/20200222/448240.shtml","http://www.12365auto.com/zlts/20200222/448240.shtml")</f>
        <v>http://www.12365auto.com/zlts/20200222/448240.shtml</v>
      </c>
      <c r="G3656" s="2"/>
      <c r="H3656" s="3" t="s">
        <v>5243</v>
      </c>
      <c r="I3656" s="2" t="s">
        <v>15</v>
      </c>
      <c r="J3656" s="2" t="s">
        <v>12</v>
      </c>
      <c r="K3656" s="2" t="s">
        <v>5244</v>
      </c>
      <c r="L3656" s="2">
        <f t="shared" si="57"/>
        <v>116</v>
      </c>
    </row>
    <row r="3657" spans="1:12" ht="25" customHeight="1">
      <c r="A3657" s="2" t="s">
        <v>12</v>
      </c>
      <c r="B3657" s="2" t="str">
        <f>HYPERLINK("http://www.12365auto.com/zlts/20200222/448249.shtml","奇瑞艾瑞泽5车身爆漆一直无解决方案")</f>
        <v>奇瑞艾瑞泽5车身爆漆一直无解决方案</v>
      </c>
      <c r="C3657" s="2" t="s">
        <v>13</v>
      </c>
      <c r="D3657" s="2" t="s">
        <v>12</v>
      </c>
      <c r="E3657" s="2" t="s">
        <v>17</v>
      </c>
      <c r="F3657" s="2" t="str">
        <f>HYPERLINK("http://www.12365auto.com/zlts/20200222/448249.shtml","http://www.12365auto.com/zlts/20200222/448249.shtml")</f>
        <v>http://www.12365auto.com/zlts/20200222/448249.shtml</v>
      </c>
      <c r="G3657" s="2"/>
      <c r="H3657" s="2" t="s">
        <v>5245</v>
      </c>
      <c r="I3657" s="2" t="s">
        <v>19</v>
      </c>
      <c r="J3657" s="2" t="s">
        <v>12</v>
      </c>
      <c r="K3657" s="2" t="s">
        <v>5246</v>
      </c>
      <c r="L3657" s="2">
        <f t="shared" si="57"/>
        <v>150</v>
      </c>
    </row>
    <row r="3658" spans="1:12" ht="25" customHeight="1">
      <c r="A3658" s="2" t="s">
        <v>12</v>
      </c>
      <c r="B3658" s="2" t="str">
        <f>HYPERLINK("http://www.12365auto.com/zlts/20200222/448246.shtml","众泰T600后轮吃胎偏磨 发动机抖动")</f>
        <v>众泰T600后轮吃胎偏磨 发动机抖动</v>
      </c>
      <c r="C3658" s="2" t="s">
        <v>13</v>
      </c>
      <c r="D3658" s="2" t="s">
        <v>12</v>
      </c>
      <c r="E3658" s="2" t="s">
        <v>17</v>
      </c>
      <c r="F3658" s="2" t="str">
        <f>HYPERLINK("http://www.12365auto.com/zlts/20200222/448246.shtml","http://www.12365auto.com/zlts/20200222/448246.shtml")</f>
        <v>http://www.12365auto.com/zlts/20200222/448246.shtml</v>
      </c>
      <c r="G3658" s="2"/>
      <c r="H3658" s="2" t="s">
        <v>5247</v>
      </c>
      <c r="I3658" s="2" t="s">
        <v>19</v>
      </c>
      <c r="J3658" s="2" t="s">
        <v>12</v>
      </c>
      <c r="K3658" s="2" t="s">
        <v>5248</v>
      </c>
      <c r="L3658" s="2">
        <f t="shared" si="57"/>
        <v>150</v>
      </c>
    </row>
    <row r="3659" spans="1:12" ht="25" customHeight="1">
      <c r="A3659" s="2" t="s">
        <v>12</v>
      </c>
      <c r="B3659" s="2" t="str">
        <f>HYPERLINK("http://www.12365auto.com/zlts/20200222/448243.shtml","上汽名爵HS警报器无故报警影响使用")</f>
        <v>上汽名爵HS警报器无故报警影响使用</v>
      </c>
      <c r="C3659" s="2" t="s">
        <v>13</v>
      </c>
      <c r="D3659" s="2" t="s">
        <v>12</v>
      </c>
      <c r="E3659" s="2" t="s">
        <v>17</v>
      </c>
      <c r="F3659" s="2" t="str">
        <f>HYPERLINK("http://www.12365auto.com/zlts/20200222/448243.shtml","http://www.12365auto.com/zlts/20200222/448243.shtml")</f>
        <v>http://www.12365auto.com/zlts/20200222/448243.shtml</v>
      </c>
      <c r="G3659" s="2"/>
      <c r="H3659" s="2" t="s">
        <v>5249</v>
      </c>
      <c r="I3659" s="2" t="s">
        <v>19</v>
      </c>
      <c r="J3659" s="2" t="s">
        <v>12</v>
      </c>
      <c r="K3659" s="2" t="s">
        <v>5250</v>
      </c>
      <c r="L3659" s="2">
        <f t="shared" si="57"/>
        <v>150</v>
      </c>
    </row>
    <row r="3660" spans="1:12" ht="25" customHeight="1">
      <c r="A3660" s="2" t="s">
        <v>12</v>
      </c>
      <c r="B3660" s="2" t="str">
        <f>HYPERLINK("http://www.12365auto.com/zlts/20200222/448241.shtml","一汽大众奥迪A4L节温器故障要求召回处理")</f>
        <v>一汽大众奥迪A4L节温器故障要求召回处理</v>
      </c>
      <c r="C3660" s="2" t="s">
        <v>13</v>
      </c>
      <c r="D3660" s="2" t="s">
        <v>12</v>
      </c>
      <c r="E3660" s="2" t="s">
        <v>17</v>
      </c>
      <c r="F3660" s="2" t="str">
        <f>HYPERLINK("http://www.12365auto.com/zlts/20200222/448241.shtml","http://www.12365auto.com/zlts/20200222/448241.shtml")</f>
        <v>http://www.12365auto.com/zlts/20200222/448241.shtml</v>
      </c>
      <c r="G3660" s="2"/>
      <c r="H3660" s="2" t="s">
        <v>5251</v>
      </c>
      <c r="I3660" s="2" t="s">
        <v>19</v>
      </c>
      <c r="J3660" s="2" t="s">
        <v>12</v>
      </c>
      <c r="K3660" s="2" t="s">
        <v>5252</v>
      </c>
      <c r="L3660" s="2">
        <f t="shared" si="57"/>
        <v>150</v>
      </c>
    </row>
    <row r="3661" spans="1:12" ht="25" customHeight="1">
      <c r="A3661" s="2" t="s">
        <v>12</v>
      </c>
      <c r="B3661" s="2" t="str">
        <f>HYPERLINK("http://www.12365auto.com/zlts/20200222/448239.shtml","北京现代途胜发动机烧机油一直未解决")</f>
        <v>北京现代途胜发动机烧机油一直未解决</v>
      </c>
      <c r="C3661" s="2" t="s">
        <v>13</v>
      </c>
      <c r="D3661" s="2" t="s">
        <v>12</v>
      </c>
      <c r="E3661" s="2" t="s">
        <v>17</v>
      </c>
      <c r="F3661" s="2" t="str">
        <f>HYPERLINK("http://www.12365auto.com/zlts/20200222/448239.shtml","http://www.12365auto.com/zlts/20200222/448239.shtml")</f>
        <v>http://www.12365auto.com/zlts/20200222/448239.shtml</v>
      </c>
      <c r="G3661" s="2"/>
      <c r="H3661" s="2" t="s">
        <v>5253</v>
      </c>
      <c r="I3661" s="2" t="s">
        <v>19</v>
      </c>
      <c r="J3661" s="2" t="s">
        <v>12</v>
      </c>
      <c r="K3661" s="2" t="s">
        <v>5254</v>
      </c>
      <c r="L3661" s="2">
        <f t="shared" si="57"/>
        <v>150</v>
      </c>
    </row>
    <row r="3662" spans="1:12" ht="25" customHeight="1">
      <c r="A3662" s="2" t="s">
        <v>12</v>
      </c>
      <c r="B3662" s="2" t="str">
        <f>HYPERLINK("http://www.12365auto.com/zlts/20200222/448237.shtml","底盘、避震、裙边生锈，车漆起泡，车窗异响")</f>
        <v>底盘、避震、裙边生锈，车漆起泡，车窗异响</v>
      </c>
      <c r="C3662" s="2" t="s">
        <v>13</v>
      </c>
      <c r="D3662" s="2" t="s">
        <v>12</v>
      </c>
      <c r="E3662" s="2"/>
      <c r="F3662" s="2" t="str">
        <f>HYPERLINK("http://www.12365auto.com/zlts/20200222/448237.shtml","http://www.12365auto.com/zlts/20200222/448237.shtml")</f>
        <v>http://www.12365auto.com/zlts/20200222/448237.shtml</v>
      </c>
      <c r="G3662" s="2"/>
      <c r="H3662" s="6" t="s">
        <v>5255</v>
      </c>
      <c r="I3662" s="2" t="s">
        <v>15</v>
      </c>
      <c r="J3662" s="2" t="s">
        <v>12</v>
      </c>
      <c r="K3662" s="2" t="s">
        <v>5256</v>
      </c>
      <c r="L3662" s="2">
        <f t="shared" si="57"/>
        <v>123</v>
      </c>
    </row>
    <row r="3663" spans="1:12" ht="25" customHeight="1">
      <c r="A3663" s="2" t="s">
        <v>12</v>
      </c>
      <c r="B3663" s="2" t="str">
        <f>HYPERLINK("http://www.12365auto.com/zlts/20200222/448234.shtml","雷达控制模块更换问题")</f>
        <v>雷达控制模块更换问题</v>
      </c>
      <c r="C3663" s="2" t="s">
        <v>13</v>
      </c>
      <c r="D3663" s="2" t="s">
        <v>12</v>
      </c>
      <c r="E3663" s="2"/>
      <c r="F3663" s="2" t="str">
        <f>HYPERLINK("http://www.12365auto.com/zlts/20200222/448234.shtml","http://www.12365auto.com/zlts/20200222/448234.shtml")</f>
        <v>http://www.12365auto.com/zlts/20200222/448234.shtml</v>
      </c>
      <c r="G3663" s="2"/>
      <c r="H3663" s="6" t="s">
        <v>5257</v>
      </c>
      <c r="I3663" s="2" t="s">
        <v>15</v>
      </c>
      <c r="J3663" s="2" t="s">
        <v>12</v>
      </c>
      <c r="K3663" s="2" t="s">
        <v>5258</v>
      </c>
      <c r="L3663" s="2">
        <f t="shared" si="57"/>
        <v>115</v>
      </c>
    </row>
    <row r="3664" spans="1:12" ht="25" customHeight="1">
      <c r="A3664" s="2" t="s">
        <v>12</v>
      </c>
      <c r="B3664" s="2" t="str">
        <f>HYPERLINK("http://www.12365auto.com/zlts/20200222/448232.shtml","新车买来不到70天，开了2400公里，离合器冒烟")</f>
        <v>新车买来不到70天，开了2400公里，离合器冒烟</v>
      </c>
      <c r="C3664" s="2" t="s">
        <v>13</v>
      </c>
      <c r="D3664" s="2" t="s">
        <v>12</v>
      </c>
      <c r="E3664" s="2"/>
      <c r="F3664" s="2" t="str">
        <f>HYPERLINK("http://www.12365auto.com/zlts/20200222/448232.shtml","http://www.12365auto.com/zlts/20200222/448232.shtml")</f>
        <v>http://www.12365auto.com/zlts/20200222/448232.shtml</v>
      </c>
      <c r="G3664" s="2"/>
      <c r="H3664" s="2" t="s">
        <v>5260</v>
      </c>
      <c r="I3664" s="2" t="s">
        <v>15</v>
      </c>
      <c r="J3664" s="2" t="s">
        <v>12</v>
      </c>
      <c r="K3664" s="2" t="s">
        <v>5259</v>
      </c>
      <c r="L3664" s="2">
        <f t="shared" si="57"/>
        <v>85</v>
      </c>
    </row>
    <row r="3665" spans="1:12" ht="25" customHeight="1">
      <c r="A3665" s="2" t="s">
        <v>12</v>
      </c>
      <c r="B3665" s="2" t="str">
        <f>HYPERLINK("http://www.12365auto.com/zlts/20200222/448231.shtml","长安逸动DT提速换挡加油门时发动机噪音大")</f>
        <v>长安逸动DT提速换挡加油门时发动机噪音大</v>
      </c>
      <c r="C3665" s="2" t="s">
        <v>13</v>
      </c>
      <c r="D3665" s="2" t="s">
        <v>12</v>
      </c>
      <c r="E3665" s="2" t="s">
        <v>17</v>
      </c>
      <c r="F3665" s="2" t="str">
        <f>HYPERLINK("http://www.12365auto.com/zlts/20200222/448231.shtml","http://www.12365auto.com/zlts/20200222/448231.shtml")</f>
        <v>http://www.12365auto.com/zlts/20200222/448231.shtml</v>
      </c>
      <c r="G3665" s="2"/>
      <c r="H3665" s="2" t="s">
        <v>5261</v>
      </c>
      <c r="I3665" s="2" t="s">
        <v>19</v>
      </c>
      <c r="J3665" s="2" t="s">
        <v>12</v>
      </c>
      <c r="K3665" s="2" t="s">
        <v>5262</v>
      </c>
      <c r="L3665" s="2">
        <f t="shared" si="57"/>
        <v>150</v>
      </c>
    </row>
    <row r="3666" spans="1:12" ht="25" customHeight="1">
      <c r="A3666" s="2" t="s">
        <v>12</v>
      </c>
      <c r="B3666" s="2" t="str">
        <f>HYPERLINK("http://www.12365auto.com/zlts/20200222/448230.shtml","长安睿骋CC加速无力 变速箱闯挡后视镜摆动")</f>
        <v>长安睿骋CC加速无力 变速箱闯挡后视镜摆动</v>
      </c>
      <c r="C3666" s="2" t="s">
        <v>13</v>
      </c>
      <c r="D3666" s="2" t="s">
        <v>12</v>
      </c>
      <c r="E3666" s="2" t="s">
        <v>17</v>
      </c>
      <c r="F3666" s="2" t="str">
        <f>HYPERLINK("http://www.12365auto.com/zlts/20200222/448230.shtml","http://www.12365auto.com/zlts/20200222/448230.shtml")</f>
        <v>http://www.12365auto.com/zlts/20200222/448230.shtml</v>
      </c>
      <c r="G3666" s="2"/>
      <c r="H3666" s="2" t="s">
        <v>5263</v>
      </c>
      <c r="I3666" s="2" t="s">
        <v>19</v>
      </c>
      <c r="J3666" s="2" t="s">
        <v>12</v>
      </c>
      <c r="K3666" s="2" t="s">
        <v>5264</v>
      </c>
      <c r="L3666" s="2">
        <f t="shared" si="57"/>
        <v>150</v>
      </c>
    </row>
    <row r="3667" spans="1:12" ht="25" customHeight="1">
      <c r="A3667" s="2" t="s">
        <v>12</v>
      </c>
      <c r="B3667" s="2" t="str">
        <f>HYPERLINK("http://www.12365auto.com/zlts/20200222/448227.shtml","吉利帝豪后排两侧车门大面积生锈")</f>
        <v>吉利帝豪后排两侧车门大面积生锈</v>
      </c>
      <c r="C3667" s="2" t="s">
        <v>13</v>
      </c>
      <c r="D3667" s="2" t="s">
        <v>12</v>
      </c>
      <c r="E3667" s="2" t="s">
        <v>17</v>
      </c>
      <c r="F3667" s="2" t="str">
        <f>HYPERLINK("http://www.12365auto.com/zlts/20200222/448227.shtml","http://www.12365auto.com/zlts/20200222/448227.shtml")</f>
        <v>http://www.12365auto.com/zlts/20200222/448227.shtml</v>
      </c>
      <c r="G3667" s="2"/>
      <c r="H3667" s="2" t="s">
        <v>5265</v>
      </c>
      <c r="I3667" s="2" t="s">
        <v>19</v>
      </c>
      <c r="J3667" s="2" t="s">
        <v>12</v>
      </c>
      <c r="K3667" s="2" t="s">
        <v>5266</v>
      </c>
      <c r="L3667" s="2">
        <f t="shared" si="57"/>
        <v>150</v>
      </c>
    </row>
    <row r="3668" spans="1:12" ht="25" customHeight="1">
      <c r="A3668" s="2" t="s">
        <v>12</v>
      </c>
      <c r="B3668" s="2" t="str">
        <f>HYPERLINK("http://www.12365auto.com/zlts/20200222/448226.shtml","一汽马自达睿翼副驾驶仪表台开裂")</f>
        <v>一汽马自达睿翼副驾驶仪表台开裂</v>
      </c>
      <c r="C3668" s="2" t="s">
        <v>13</v>
      </c>
      <c r="D3668" s="2" t="s">
        <v>12</v>
      </c>
      <c r="E3668" s="2" t="s">
        <v>17</v>
      </c>
      <c r="F3668" s="2" t="str">
        <f>HYPERLINK("http://www.12365auto.com/zlts/20200222/448226.shtml","http://www.12365auto.com/zlts/20200222/448226.shtml")</f>
        <v>http://www.12365auto.com/zlts/20200222/448226.shtml</v>
      </c>
      <c r="G3668" s="2"/>
      <c r="H3668" s="2" t="s">
        <v>5267</v>
      </c>
      <c r="I3668" s="2" t="s">
        <v>19</v>
      </c>
      <c r="J3668" s="2" t="s">
        <v>12</v>
      </c>
      <c r="K3668" s="2" t="s">
        <v>5268</v>
      </c>
      <c r="L3668" s="2">
        <f t="shared" si="57"/>
        <v>150</v>
      </c>
    </row>
    <row r="3669" spans="1:12" ht="25" customHeight="1">
      <c r="A3669" s="2" t="s">
        <v>12</v>
      </c>
      <c r="B3669" s="2" t="str">
        <f>HYPERLINK("http://www.12365auto.com/zlts/20200222/448225.shtml","郑州日产途达停驶7天后电瓶亏电无法启动")</f>
        <v>郑州日产途达停驶7天后电瓶亏电无法启动</v>
      </c>
      <c r="C3669" s="2" t="s">
        <v>13</v>
      </c>
      <c r="D3669" s="2" t="s">
        <v>12</v>
      </c>
      <c r="E3669" s="2" t="s">
        <v>17</v>
      </c>
      <c r="F3669" s="2" t="str">
        <f>HYPERLINK("http://www.12365auto.com/zlts/20200222/448225.shtml","http://www.12365auto.com/zlts/20200222/448225.shtml")</f>
        <v>http://www.12365auto.com/zlts/20200222/448225.shtml</v>
      </c>
      <c r="G3669" s="2"/>
      <c r="H3669" s="2" t="s">
        <v>5269</v>
      </c>
      <c r="I3669" s="2" t="s">
        <v>19</v>
      </c>
      <c r="J3669" s="2" t="s">
        <v>12</v>
      </c>
      <c r="K3669" s="2" t="s">
        <v>5270</v>
      </c>
      <c r="L3669" s="2">
        <f t="shared" si="57"/>
        <v>150</v>
      </c>
    </row>
    <row r="3670" spans="1:12" ht="25" customHeight="1">
      <c r="A3670" s="2" t="s">
        <v>12</v>
      </c>
      <c r="B3670" s="2" t="str">
        <f>HYPERLINK("http://www.12365auto.com/zlts/20200222/448224.shtml","广汽本田雅阁中控异响 挡杆松动 音响破音")</f>
        <v>广汽本田雅阁中控异响 挡杆松动 音响破音</v>
      </c>
      <c r="C3670" s="2" t="s">
        <v>13</v>
      </c>
      <c r="D3670" s="2" t="s">
        <v>12</v>
      </c>
      <c r="E3670" s="2" t="s">
        <v>17</v>
      </c>
      <c r="F3670" s="2" t="str">
        <f>HYPERLINK("http://www.12365auto.com/zlts/20200222/448224.shtml","http://www.12365auto.com/zlts/20200222/448224.shtml")</f>
        <v>http://www.12365auto.com/zlts/20200222/448224.shtml</v>
      </c>
      <c r="G3670" s="2"/>
      <c r="H3670" s="2" t="s">
        <v>5271</v>
      </c>
      <c r="I3670" s="2" t="s">
        <v>19</v>
      </c>
      <c r="J3670" s="2" t="s">
        <v>12</v>
      </c>
      <c r="K3670" s="2" t="s">
        <v>5272</v>
      </c>
      <c r="L3670" s="2">
        <f t="shared" si="57"/>
        <v>150</v>
      </c>
    </row>
    <row r="3671" spans="1:12" ht="25" customHeight="1">
      <c r="A3671" s="2" t="s">
        <v>12</v>
      </c>
      <c r="B3671" s="2" t="str">
        <f>HYPERLINK("http://www.12365auto.com/zlts/20200222/448221.shtml","郑州日产途达停放一段时间后无法启动")</f>
        <v>郑州日产途达停放一段时间后无法启动</v>
      </c>
      <c r="C3671" s="2" t="s">
        <v>13</v>
      </c>
      <c r="D3671" s="2" t="s">
        <v>12</v>
      </c>
      <c r="E3671" s="2" t="s">
        <v>17</v>
      </c>
      <c r="F3671" s="2" t="str">
        <f>HYPERLINK("http://www.12365auto.com/zlts/20200222/448221.shtml","http://www.12365auto.com/zlts/20200222/448221.shtml")</f>
        <v>http://www.12365auto.com/zlts/20200222/448221.shtml</v>
      </c>
      <c r="G3671" s="2"/>
      <c r="H3671" s="2" t="s">
        <v>5273</v>
      </c>
      <c r="I3671" s="2" t="s">
        <v>19</v>
      </c>
      <c r="J3671" s="2" t="s">
        <v>12</v>
      </c>
      <c r="K3671" s="2" t="s">
        <v>5274</v>
      </c>
      <c r="L3671" s="2">
        <f t="shared" si="57"/>
        <v>150</v>
      </c>
    </row>
    <row r="3672" spans="1:12" ht="25" customHeight="1">
      <c r="A3672" s="2" t="s">
        <v>12</v>
      </c>
      <c r="B3672" s="2" t="str">
        <f>HYPERLINK("http://www.12365auto.com/zlts/20200222/448215.shtml","上汽大众帕萨特A柱严重变形强烈要求召回")</f>
        <v>上汽大众帕萨特A柱严重变形强烈要求召回</v>
      </c>
      <c r="C3672" s="2" t="s">
        <v>13</v>
      </c>
      <c r="D3672" s="2" t="s">
        <v>12</v>
      </c>
      <c r="E3672" s="2"/>
      <c r="F3672" s="2" t="str">
        <f>HYPERLINK("http://www.12365auto.com/zlts/20200222/448215.shtml","http://www.12365auto.com/zlts/20200222/448215.shtml")</f>
        <v>http://www.12365auto.com/zlts/20200222/448215.shtml</v>
      </c>
      <c r="G3672" s="2"/>
      <c r="H3672" s="2" t="s">
        <v>5276</v>
      </c>
      <c r="I3672" s="2" t="s">
        <v>15</v>
      </c>
      <c r="J3672" s="2" t="s">
        <v>12</v>
      </c>
      <c r="K3672" s="2" t="s">
        <v>5275</v>
      </c>
      <c r="L3672" s="2">
        <f t="shared" si="57"/>
        <v>84</v>
      </c>
    </row>
    <row r="3673" spans="1:12" ht="25" customHeight="1">
      <c r="A3673" s="2" t="s">
        <v>12</v>
      </c>
      <c r="B3673" s="2" t="str">
        <f>HYPERLINK("http://www.12365auto.com/zlts/20200222/448216.shtml","吉利帝豪两后门生锈维修后未解决")</f>
        <v>吉利帝豪两后门生锈维修后未解决</v>
      </c>
      <c r="C3673" s="2" t="s">
        <v>13</v>
      </c>
      <c r="D3673" s="2" t="s">
        <v>12</v>
      </c>
      <c r="E3673" s="2" t="s">
        <v>17</v>
      </c>
      <c r="F3673" s="2" t="str">
        <f>HYPERLINK("http://www.12365auto.com/zlts/20200222/448216.shtml","http://www.12365auto.com/zlts/20200222/448216.shtml")</f>
        <v>http://www.12365auto.com/zlts/20200222/448216.shtml</v>
      </c>
      <c r="G3673" s="2"/>
      <c r="H3673" s="2" t="s">
        <v>5277</v>
      </c>
      <c r="I3673" s="2" t="s">
        <v>19</v>
      </c>
      <c r="J3673" s="2" t="s">
        <v>12</v>
      </c>
      <c r="K3673" s="2" t="s">
        <v>5278</v>
      </c>
      <c r="L3673" s="2">
        <f t="shared" si="57"/>
        <v>150</v>
      </c>
    </row>
    <row r="3674" spans="1:12" ht="25" customHeight="1">
      <c r="A3674" s="2" t="s">
        <v>12</v>
      </c>
      <c r="B3674" s="2" t="str">
        <f>HYPERLINK("http://bbs.12365auto.com/postcontent.aspx?tID=194901","上坡突然感觉加不上油了 发动机故障指示灯闪烁")</f>
        <v>上坡突然感觉加不上油了 发动机故障指示灯闪烁</v>
      </c>
      <c r="C3674" s="2" t="s">
        <v>13</v>
      </c>
      <c r="D3674" s="2" t="s">
        <v>12</v>
      </c>
      <c r="E3674" s="2" t="s">
        <v>67</v>
      </c>
      <c r="F3674" s="2" t="str">
        <f>HYPERLINK("http://bbs.12365auto.com/postcontent.aspx?tID=194901","http://bbs.12365auto.com/postcontent.aspx?tID=194901")</f>
        <v>http://bbs.12365auto.com/postcontent.aspx?tID=194901</v>
      </c>
      <c r="G3674" s="2"/>
      <c r="H3674" s="2" t="s">
        <v>5279</v>
      </c>
      <c r="I3674" s="2" t="s">
        <v>15</v>
      </c>
      <c r="J3674" s="2" t="s">
        <v>5280</v>
      </c>
      <c r="K3674" s="2" t="s">
        <v>5281</v>
      </c>
      <c r="L3674" s="2">
        <f t="shared" si="57"/>
        <v>144</v>
      </c>
    </row>
    <row r="3675" spans="1:12" ht="25" customHeight="1">
      <c r="A3675" s="2" t="s">
        <v>12</v>
      </c>
      <c r="B3675" s="2" t="str">
        <f>HYPERLINK("http://bbs.12365auto.com/postcontent.aspx?tId=194901","上坡突然感觉加不上油了 发动机故障指示灯闪烁")</f>
        <v>上坡突然感觉加不上油了 发动机故障指示灯闪烁</v>
      </c>
      <c r="C3675" s="2" t="s">
        <v>13</v>
      </c>
      <c r="D3675" s="2" t="s">
        <v>12</v>
      </c>
      <c r="E3675" s="2" t="s">
        <v>66</v>
      </c>
      <c r="F3675" s="2" t="str">
        <f>HYPERLINK("http://bbs.12365auto.com/postcontent.aspx?tId=194901","http://bbs.12365auto.com/postcontent.aspx?tId=194901")</f>
        <v>http://bbs.12365auto.com/postcontent.aspx?tId=194901</v>
      </c>
      <c r="G3675" s="2"/>
      <c r="H3675" s="2" t="s">
        <v>5282</v>
      </c>
      <c r="I3675" s="2" t="s">
        <v>15</v>
      </c>
      <c r="J3675" s="2" t="s">
        <v>5280</v>
      </c>
      <c r="K3675" s="2" t="s">
        <v>5281</v>
      </c>
      <c r="L3675" s="2">
        <f t="shared" si="57"/>
        <v>122</v>
      </c>
    </row>
    <row r="3676" spans="1:12" ht="25" customHeight="1">
      <c r="A3676" s="2" t="s">
        <v>12</v>
      </c>
      <c r="B3676" s="2" t="str">
        <f>HYPERLINK("http://m.12365auto.com/bbs/postcontent.aspx?tID=194901&amp;i=1","上坡突然感觉加不上油了 发动机故障指示灯闪烁")</f>
        <v>上坡突然感觉加不上油了 发动机故障指示灯闪烁</v>
      </c>
      <c r="C3676" s="2" t="s">
        <v>13</v>
      </c>
      <c r="D3676" s="2" t="s">
        <v>23</v>
      </c>
      <c r="E3676" s="2"/>
      <c r="F3676" s="2" t="str">
        <f>HYPERLINK("http://m.12365auto.com/bbs/postcontent.aspx?tID=194901&amp;i=1","http://m.12365auto.com/bbs/postcontent.aspx?tID=194901&amp;i=1")</f>
        <v>http://m.12365auto.com/bbs/postcontent.aspx?tID=194901&amp;i=1</v>
      </c>
      <c r="G3676" s="2"/>
      <c r="H3676" s="2" t="s">
        <v>5282</v>
      </c>
      <c r="I3676" s="2" t="s">
        <v>15</v>
      </c>
      <c r="J3676" s="2" t="s">
        <v>5280</v>
      </c>
      <c r="K3676" s="2" t="s">
        <v>5281</v>
      </c>
      <c r="L3676" s="2">
        <f t="shared" si="57"/>
        <v>122</v>
      </c>
    </row>
    <row r="3677" spans="1:12" ht="25" customHeight="1">
      <c r="A3677" s="2" t="s">
        <v>12</v>
      </c>
      <c r="B3677" s="2" t="str">
        <f>HYPERLINK("http://m.12365auto.com/bbs/postcontent.aspx?tID=194901","上坡突然感觉加不上油了 发动机故障指示灯闪烁")</f>
        <v>上坡突然感觉加不上油了 发动机故障指示灯闪烁</v>
      </c>
      <c r="C3677" s="2" t="s">
        <v>13</v>
      </c>
      <c r="D3677" s="2" t="s">
        <v>23</v>
      </c>
      <c r="E3677" s="2"/>
      <c r="F3677" s="2" t="str">
        <f>HYPERLINK("http://m.12365auto.com/bbs/postcontent.aspx?tID=194901","http://m.12365auto.com/bbs/postcontent.aspx?tID=194901")</f>
        <v>http://m.12365auto.com/bbs/postcontent.aspx?tID=194901</v>
      </c>
      <c r="G3677" s="2"/>
      <c r="H3677" s="2" t="s">
        <v>5282</v>
      </c>
      <c r="I3677" s="2" t="s">
        <v>15</v>
      </c>
      <c r="J3677" s="2" t="s">
        <v>5280</v>
      </c>
      <c r="K3677" s="2" t="s">
        <v>5281</v>
      </c>
      <c r="L3677" s="2">
        <f t="shared" si="57"/>
        <v>122</v>
      </c>
    </row>
    <row r="3678" spans="1:12" ht="25" customHeight="1">
      <c r="A3678" s="2" t="s">
        <v>12</v>
      </c>
      <c r="B3678" s="2" t="str">
        <f>HYPERLINK("http://m.12365auto.com/zjdy/20200222/121516.shtml","发电机皮带工作时异响应该如何解决？")</f>
        <v>发电机皮带工作时异响应该如何解决？</v>
      </c>
      <c r="C3678" s="2" t="s">
        <v>13</v>
      </c>
      <c r="D3678" s="2" t="s">
        <v>12</v>
      </c>
      <c r="E3678" s="2"/>
      <c r="F3678" s="2" t="str">
        <f>HYPERLINK("http://m.12365auto.com/zjdy/20200222/121516.shtml","http://m.12365auto.com/zjdy/20200222/121516.shtml")</f>
        <v>http://m.12365auto.com/zjdy/20200222/121516.shtml</v>
      </c>
      <c r="G3678" s="2"/>
      <c r="H3678" s="2" t="s">
        <v>5283</v>
      </c>
      <c r="I3678" s="2" t="s">
        <v>19</v>
      </c>
      <c r="J3678" s="2" t="s">
        <v>12</v>
      </c>
      <c r="K3678" s="2" t="s">
        <v>5284</v>
      </c>
      <c r="L3678" s="2">
        <f t="shared" si="57"/>
        <v>38</v>
      </c>
    </row>
    <row r="3679" spans="1:12" ht="25" customHeight="1">
      <c r="A3679" s="2" t="s">
        <v>12</v>
      </c>
      <c r="B3679" s="2" t="str">
        <f>HYPERLINK("http://m.12365auto.com/zjdy/20200222/121515.shtml","捷途X70整体质量如何值得购买吗？")</f>
        <v>捷途X70整体质量如何值得购买吗？</v>
      </c>
      <c r="C3679" s="2" t="s">
        <v>13</v>
      </c>
      <c r="D3679" s="2" t="s">
        <v>12</v>
      </c>
      <c r="E3679" s="2"/>
      <c r="F3679" s="2" t="str">
        <f>HYPERLINK("http://m.12365auto.com/zjdy/20200222/121515.shtml","http://m.12365auto.com/zjdy/20200222/121515.shtml")</f>
        <v>http://m.12365auto.com/zjdy/20200222/121515.shtml</v>
      </c>
      <c r="G3679" s="2"/>
      <c r="H3679" s="2" t="s">
        <v>5285</v>
      </c>
      <c r="I3679" s="2" t="s">
        <v>19</v>
      </c>
      <c r="J3679" s="2" t="s">
        <v>12</v>
      </c>
      <c r="K3679" s="2" t="s">
        <v>5286</v>
      </c>
      <c r="L3679" s="2">
        <f t="shared" si="57"/>
        <v>12</v>
      </c>
    </row>
    <row r="3680" spans="1:12" ht="25" customHeight="1">
      <c r="A3680" s="2" t="s">
        <v>12</v>
      </c>
      <c r="B3680" s="2" t="str">
        <f>HYPERLINK("http://www.12365auto.com/zlts/20200222/448210.shtml","北京BJ20副驾驶B柱漆面无故脱落")</f>
        <v>北京BJ20副驾驶B柱漆面无故脱落</v>
      </c>
      <c r="C3680" s="2" t="s">
        <v>13</v>
      </c>
      <c r="D3680" s="2" t="s">
        <v>12</v>
      </c>
      <c r="E3680" s="2"/>
      <c r="F3680" s="2" t="str">
        <f>HYPERLINK("http://www.12365auto.com/zlts/20200222/448210.shtml","http://www.12365auto.com/zlts/20200222/448210.shtml")</f>
        <v>http://www.12365auto.com/zlts/20200222/448210.shtml</v>
      </c>
      <c r="G3680" s="2"/>
      <c r="H3680" s="2" t="s">
        <v>5288</v>
      </c>
      <c r="I3680" s="2" t="s">
        <v>15</v>
      </c>
      <c r="J3680" s="2" t="s">
        <v>12</v>
      </c>
      <c r="K3680" s="2" t="s">
        <v>5287</v>
      </c>
      <c r="L3680" s="2">
        <f t="shared" si="57"/>
        <v>85</v>
      </c>
    </row>
    <row r="3681" spans="1:12" ht="25" customHeight="1">
      <c r="A3681" s="2" t="s">
        <v>12</v>
      </c>
      <c r="B3681" s="2" t="str">
        <f>HYPERLINK("http://www.12365auto.com/zlts/20200222/448206.shtml","东风日产天籁发动机大量泄露油液")</f>
        <v>东风日产天籁发动机大量泄露油液</v>
      </c>
      <c r="C3681" s="2" t="s">
        <v>13</v>
      </c>
      <c r="D3681" s="2" t="s">
        <v>12</v>
      </c>
      <c r="E3681" s="2"/>
      <c r="F3681" s="2" t="str">
        <f>HYPERLINK("http://www.12365auto.com/zlts/20200222/448206.shtml","http://www.12365auto.com/zlts/20200222/448206.shtml")</f>
        <v>http://www.12365auto.com/zlts/20200222/448206.shtml</v>
      </c>
      <c r="G3681" s="2"/>
      <c r="H3681" s="2" t="s">
        <v>5290</v>
      </c>
      <c r="I3681" s="2" t="s">
        <v>15</v>
      </c>
      <c r="J3681" s="2" t="s">
        <v>12</v>
      </c>
      <c r="K3681" s="2" t="s">
        <v>5289</v>
      </c>
      <c r="L3681" s="2">
        <f t="shared" si="57"/>
        <v>86</v>
      </c>
    </row>
    <row r="3682" spans="1:12" ht="25" customHeight="1">
      <c r="A3682" s="2" t="s">
        <v>12</v>
      </c>
      <c r="B3682" s="2" t="str">
        <f>HYPERLINK("http://www.12365auto.com/zlts/20200222/448212.shtml","广汽本田飞度VTC执行器故障导致异响")</f>
        <v>广汽本田飞度VTC执行器故障导致异响</v>
      </c>
      <c r="C3682" s="2" t="s">
        <v>13</v>
      </c>
      <c r="D3682" s="2" t="s">
        <v>12</v>
      </c>
      <c r="E3682" s="2" t="s">
        <v>17</v>
      </c>
      <c r="F3682" s="2" t="str">
        <f>HYPERLINK("http://www.12365auto.com/zlts/20200222/448212.shtml","http://www.12365auto.com/zlts/20200222/448212.shtml")</f>
        <v>http://www.12365auto.com/zlts/20200222/448212.shtml</v>
      </c>
      <c r="G3682" s="2"/>
      <c r="H3682" s="2" t="s">
        <v>5291</v>
      </c>
      <c r="I3682" s="2" t="s">
        <v>19</v>
      </c>
      <c r="J3682" s="2" t="s">
        <v>12</v>
      </c>
      <c r="K3682" s="2" t="s">
        <v>5292</v>
      </c>
      <c r="L3682" s="2">
        <f t="shared" si="57"/>
        <v>150</v>
      </c>
    </row>
    <row r="3683" spans="1:12" ht="25" customHeight="1">
      <c r="A3683" s="2" t="s">
        <v>12</v>
      </c>
      <c r="B3683" s="2" t="str">
        <f>HYPERLINK("http://m.12365auto.com/zjdy/20200222/121514.shtml","一汽丰田锐志油耗较高是什么原因？")</f>
        <v>一汽丰田锐志油耗较高是什么原因？</v>
      </c>
      <c r="C3683" s="2" t="s">
        <v>13</v>
      </c>
      <c r="D3683" s="2" t="s">
        <v>12</v>
      </c>
      <c r="E3683" s="2"/>
      <c r="F3683" s="2" t="str">
        <f>HYPERLINK("http://m.12365auto.com/zjdy/20200222/121514.shtml","http://m.12365auto.com/zjdy/20200222/121514.shtml")</f>
        <v>http://m.12365auto.com/zjdy/20200222/121514.shtml</v>
      </c>
      <c r="G3683" s="2"/>
      <c r="H3683" s="2" t="s">
        <v>5293</v>
      </c>
      <c r="I3683" s="2" t="s">
        <v>19</v>
      </c>
      <c r="J3683" s="2" t="s">
        <v>12</v>
      </c>
      <c r="K3683" s="2" t="s">
        <v>5294</v>
      </c>
      <c r="L3683" s="2">
        <f t="shared" si="57"/>
        <v>28</v>
      </c>
    </row>
    <row r="3684" spans="1:12" ht="25" customHeight="1">
      <c r="A3684" s="2" t="s">
        <v>12</v>
      </c>
      <c r="B3684" s="2" t="str">
        <f>HYPERLINK("http://www.12365auto.com/zlts/20200222/448208.shtml","东风风光370多媒体接触不良倒车影像不显示")</f>
        <v>东风风光370多媒体接触不良倒车影像不显示</v>
      </c>
      <c r="C3684" s="2" t="s">
        <v>13</v>
      </c>
      <c r="D3684" s="2" t="s">
        <v>12</v>
      </c>
      <c r="E3684" s="2" t="s">
        <v>17</v>
      </c>
      <c r="F3684" s="2" t="str">
        <f>HYPERLINK("http://www.12365auto.com/zlts/20200222/448208.shtml","http://www.12365auto.com/zlts/20200222/448208.shtml")</f>
        <v>http://www.12365auto.com/zlts/20200222/448208.shtml</v>
      </c>
      <c r="G3684" s="2"/>
      <c r="H3684" s="2" t="s">
        <v>5295</v>
      </c>
      <c r="I3684" s="2" t="s">
        <v>19</v>
      </c>
      <c r="J3684" s="2" t="s">
        <v>12</v>
      </c>
      <c r="K3684" s="2" t="s">
        <v>5296</v>
      </c>
      <c r="L3684" s="2">
        <f t="shared" si="57"/>
        <v>150</v>
      </c>
    </row>
    <row r="3685" spans="1:12" ht="25" customHeight="1">
      <c r="A3685" s="2" t="s">
        <v>12</v>
      </c>
      <c r="B3685" s="2" t="str">
        <f>HYPERLINK("http://www.12365auto.com/zlts/20200222/448205.shtml","吉利远景行驶过程中无法加速希望处理")</f>
        <v>吉利远景行驶过程中无法加速希望处理</v>
      </c>
      <c r="C3685" s="2" t="s">
        <v>13</v>
      </c>
      <c r="D3685" s="2" t="s">
        <v>12</v>
      </c>
      <c r="E3685" s="2" t="s">
        <v>17</v>
      </c>
      <c r="F3685" s="2" t="str">
        <f>HYPERLINK("http://www.12365auto.com/zlts/20200222/448205.shtml","http://www.12365auto.com/zlts/20200222/448205.shtml")</f>
        <v>http://www.12365auto.com/zlts/20200222/448205.shtml</v>
      </c>
      <c r="G3685" s="2"/>
      <c r="H3685" s="2" t="s">
        <v>5297</v>
      </c>
      <c r="I3685" s="2" t="s">
        <v>15</v>
      </c>
      <c r="J3685" s="2" t="s">
        <v>12</v>
      </c>
      <c r="K3685" s="2" t="s">
        <v>5298</v>
      </c>
      <c r="L3685" s="2">
        <f t="shared" si="57"/>
        <v>150</v>
      </c>
    </row>
    <row r="3686" spans="1:12" ht="25" customHeight="1">
      <c r="A3686" s="2" t="s">
        <v>12</v>
      </c>
      <c r="B3686" s="2" t="str">
        <f>HYPERLINK("http://www.12365auto.com/zlts/20200222/448204.shtml","东风悦达起亚KX3傲跑刹车异响 中控异响")</f>
        <v>东风悦达起亚KX3傲跑刹车异响 中控异响</v>
      </c>
      <c r="C3686" s="2" t="s">
        <v>13</v>
      </c>
      <c r="D3686" s="2" t="s">
        <v>12</v>
      </c>
      <c r="E3686" s="2" t="s">
        <v>17</v>
      </c>
      <c r="F3686" s="2" t="str">
        <f>HYPERLINK("http://www.12365auto.com/zlts/20200222/448204.shtml","http://www.12365auto.com/zlts/20200222/448204.shtml")</f>
        <v>http://www.12365auto.com/zlts/20200222/448204.shtml</v>
      </c>
      <c r="G3686" s="2"/>
      <c r="H3686" s="2" t="s">
        <v>5299</v>
      </c>
      <c r="I3686" s="2" t="s">
        <v>19</v>
      </c>
      <c r="J3686" s="2" t="s">
        <v>12</v>
      </c>
      <c r="K3686" s="2" t="s">
        <v>5300</v>
      </c>
      <c r="L3686" s="2">
        <f t="shared" si="57"/>
        <v>150</v>
      </c>
    </row>
    <row r="3687" spans="1:12" ht="25" customHeight="1">
      <c r="A3687" s="2" t="s">
        <v>12</v>
      </c>
      <c r="B3687" s="2" t="str">
        <f>HYPERLINK("http://www.12365auto.com/zlts/20200222/448203.shtml","吉利帝豪发动机抖动 变速箱渗油")</f>
        <v>吉利帝豪发动机抖动 变速箱渗油</v>
      </c>
      <c r="C3687" s="2" t="s">
        <v>13</v>
      </c>
      <c r="D3687" s="2" t="s">
        <v>12</v>
      </c>
      <c r="E3687" s="2" t="s">
        <v>17</v>
      </c>
      <c r="F3687" s="2" t="str">
        <f>HYPERLINK("http://www.12365auto.com/zlts/20200222/448203.shtml","http://www.12365auto.com/zlts/20200222/448203.shtml")</f>
        <v>http://www.12365auto.com/zlts/20200222/448203.shtml</v>
      </c>
      <c r="G3687" s="2"/>
      <c r="H3687" s="2" t="s">
        <v>5301</v>
      </c>
      <c r="I3687" s="2" t="s">
        <v>19</v>
      </c>
      <c r="J3687" s="2" t="s">
        <v>12</v>
      </c>
      <c r="K3687" s="2" t="s">
        <v>5302</v>
      </c>
      <c r="L3687" s="2">
        <f t="shared" si="57"/>
        <v>150</v>
      </c>
    </row>
    <row r="3688" spans="1:12" ht="25" customHeight="1">
      <c r="A3688" s="2" t="s">
        <v>12</v>
      </c>
      <c r="B3688" s="2" t="str">
        <f>HYPERLINK("http://www.12365auto.com/zlts/20200222/448202.shtml","吉利远景X6底盘生锈严重 车内座椅生锈")</f>
        <v>吉利远景X6底盘生锈严重 车内座椅生锈</v>
      </c>
      <c r="C3688" s="2" t="s">
        <v>13</v>
      </c>
      <c r="D3688" s="2" t="s">
        <v>12</v>
      </c>
      <c r="E3688" s="2" t="s">
        <v>17</v>
      </c>
      <c r="F3688" s="2" t="str">
        <f>HYPERLINK("http://www.12365auto.com/zlts/20200222/448202.shtml","http://www.12365auto.com/zlts/20200222/448202.shtml")</f>
        <v>http://www.12365auto.com/zlts/20200222/448202.shtml</v>
      </c>
      <c r="G3688" s="2"/>
      <c r="H3688" s="2" t="s">
        <v>5303</v>
      </c>
      <c r="I3688" s="2" t="s">
        <v>19</v>
      </c>
      <c r="J3688" s="2" t="s">
        <v>12</v>
      </c>
      <c r="K3688" s="2" t="s">
        <v>5304</v>
      </c>
      <c r="L3688" s="2">
        <f t="shared" si="57"/>
        <v>150</v>
      </c>
    </row>
    <row r="3689" spans="1:12" ht="25" customHeight="1">
      <c r="A3689" s="2" t="s">
        <v>12</v>
      </c>
      <c r="B3689" s="2" t="str">
        <f>HYPERLINK("http://www.12365auto.com/zlts/20200222/448201.shtml","众泰T500轮毂全部出现氧化要求更换")</f>
        <v>众泰T500轮毂全部出现氧化要求更换</v>
      </c>
      <c r="C3689" s="2" t="s">
        <v>13</v>
      </c>
      <c r="D3689" s="2" t="s">
        <v>12</v>
      </c>
      <c r="E3689" s="2" t="s">
        <v>17</v>
      </c>
      <c r="F3689" s="2" t="str">
        <f>HYPERLINK("http://www.12365auto.com/zlts/20200222/448201.shtml","http://www.12365auto.com/zlts/20200222/448201.shtml")</f>
        <v>http://www.12365auto.com/zlts/20200222/448201.shtml</v>
      </c>
      <c r="G3689" s="2"/>
      <c r="H3689" s="2" t="s">
        <v>5305</v>
      </c>
      <c r="I3689" s="2" t="s">
        <v>19</v>
      </c>
      <c r="J3689" s="2" t="s">
        <v>12</v>
      </c>
      <c r="K3689" s="2" t="s">
        <v>5306</v>
      </c>
      <c r="L3689" s="2">
        <f t="shared" si="57"/>
        <v>150</v>
      </c>
    </row>
    <row r="3690" spans="1:12" ht="25" customHeight="1">
      <c r="A3690" s="2" t="s">
        <v>12</v>
      </c>
      <c r="B3690" s="2" t="str">
        <f>HYPERLINK("http://www.12365auto.com/zlts/20200222/448197.shtml","一汽丰田卡罗拉发动机异响 刹车异响")</f>
        <v>一汽丰田卡罗拉发动机异响 刹车异响</v>
      </c>
      <c r="C3690" s="2" t="s">
        <v>13</v>
      </c>
      <c r="D3690" s="2" t="s">
        <v>12</v>
      </c>
      <c r="E3690" s="2"/>
      <c r="F3690" s="2" t="str">
        <f>HYPERLINK("http://www.12365auto.com/zlts/20200222/448197.shtml","http://www.12365auto.com/zlts/20200222/448197.shtml")</f>
        <v>http://www.12365auto.com/zlts/20200222/448197.shtml</v>
      </c>
      <c r="G3690" s="2"/>
      <c r="H3690" s="2" t="s">
        <v>5308</v>
      </c>
      <c r="I3690" s="2" t="s">
        <v>15</v>
      </c>
      <c r="J3690" s="2" t="s">
        <v>12</v>
      </c>
      <c r="K3690" s="2" t="s">
        <v>5307</v>
      </c>
      <c r="L3690" s="2">
        <f t="shared" si="57"/>
        <v>88</v>
      </c>
    </row>
    <row r="3691" spans="1:12" ht="25" customHeight="1">
      <c r="A3691" s="2" t="s">
        <v>12</v>
      </c>
      <c r="B3691" s="2" t="str">
        <f>HYPERLINK("http://bbs.12365auto.com/postcontent.aspx?tID=194899","开着新帕萨特的感觉 真的是非常不错")</f>
        <v>开着新帕萨特的感觉 真的是非常不错</v>
      </c>
      <c r="C3691" s="2" t="s">
        <v>13</v>
      </c>
      <c r="D3691" s="2" t="s">
        <v>12</v>
      </c>
      <c r="E3691" s="2" t="s">
        <v>1393</v>
      </c>
      <c r="F3691" s="2" t="str">
        <f>HYPERLINK("http://bbs.12365auto.com/postcontent.aspx?tID=194899","http://bbs.12365auto.com/postcontent.aspx?tID=194899")</f>
        <v>http://bbs.12365auto.com/postcontent.aspx?tID=194899</v>
      </c>
      <c r="G3691" s="2"/>
      <c r="H3691" s="2" t="s">
        <v>5309</v>
      </c>
      <c r="I3691" s="2" t="s">
        <v>15</v>
      </c>
      <c r="J3691" s="2" t="s">
        <v>5310</v>
      </c>
      <c r="K3691" s="2" t="s">
        <v>5311</v>
      </c>
      <c r="L3691" s="2">
        <f t="shared" si="57"/>
        <v>150</v>
      </c>
    </row>
    <row r="3692" spans="1:12" ht="25" customHeight="1">
      <c r="A3692" s="2" t="s">
        <v>12</v>
      </c>
      <c r="B3692" s="2" t="str">
        <f>HYPERLINK("http://bbs.12365auto.com/postcontent.aspx?tId=194899","开着新帕萨特的感觉 真的是非常不错")</f>
        <v>开着新帕萨特的感觉 真的是非常不错</v>
      </c>
      <c r="C3692" s="2" t="s">
        <v>13</v>
      </c>
      <c r="D3692" s="2" t="s">
        <v>12</v>
      </c>
      <c r="E3692" s="2" t="s">
        <v>1397</v>
      </c>
      <c r="F3692" s="2" t="str">
        <f>HYPERLINK("http://bbs.12365auto.com/postcontent.aspx?tId=194899","http://bbs.12365auto.com/postcontent.aspx?tId=194899")</f>
        <v>http://bbs.12365auto.com/postcontent.aspx?tId=194899</v>
      </c>
      <c r="G3692" s="2"/>
      <c r="H3692" s="2" t="s">
        <v>5312</v>
      </c>
      <c r="I3692" s="2" t="s">
        <v>15</v>
      </c>
      <c r="J3692" s="2" t="s">
        <v>5310</v>
      </c>
      <c r="K3692" s="2" t="s">
        <v>5311</v>
      </c>
      <c r="L3692" s="2">
        <f t="shared" si="57"/>
        <v>150</v>
      </c>
    </row>
    <row r="3693" spans="1:12" ht="25" customHeight="1">
      <c r="A3693" s="2" t="s">
        <v>12</v>
      </c>
      <c r="B3693" s="2" t="str">
        <f>HYPERLINK("http://m.12365auto.com/bbs/postcontent.aspx?tID=194899","开着新帕萨特的感觉 真的是非常不错")</f>
        <v>开着新帕萨特的感觉 真的是非常不错</v>
      </c>
      <c r="C3693" s="2" t="s">
        <v>13</v>
      </c>
      <c r="D3693" s="2" t="s">
        <v>23</v>
      </c>
      <c r="E3693" s="2"/>
      <c r="F3693" s="2" t="str">
        <f>HYPERLINK("http://m.12365auto.com/bbs/postcontent.aspx?tID=194899","http://m.12365auto.com/bbs/postcontent.aspx?tID=194899")</f>
        <v>http://m.12365auto.com/bbs/postcontent.aspx?tID=194899</v>
      </c>
      <c r="G3693" s="2"/>
      <c r="H3693" s="2" t="s">
        <v>5312</v>
      </c>
      <c r="I3693" s="2" t="s">
        <v>15</v>
      </c>
      <c r="J3693" s="2" t="s">
        <v>5310</v>
      </c>
      <c r="K3693" s="2" t="s">
        <v>5311</v>
      </c>
      <c r="L3693" s="2">
        <f t="shared" si="57"/>
        <v>150</v>
      </c>
    </row>
    <row r="3694" spans="1:12" ht="25" customHeight="1">
      <c r="A3694" s="2" t="s">
        <v>12</v>
      </c>
      <c r="B3694" s="2" t="str">
        <f>HYPERLINK("http://bbs.12365auto.com/postcontent.aspx?tID=194898","希望帕萨特在未来的几年里 为我们全家保驾护航吧~")</f>
        <v>希望帕萨特在未来的几年里 为我们全家保驾护航吧~</v>
      </c>
      <c r="C3694" s="2" t="s">
        <v>13</v>
      </c>
      <c r="D3694" s="2" t="s">
        <v>12</v>
      </c>
      <c r="E3694" s="2" t="s">
        <v>214</v>
      </c>
      <c r="F3694" s="2" t="str">
        <f>HYPERLINK("http://bbs.12365auto.com/postcontent.aspx?tID=194898","http://bbs.12365auto.com/postcontent.aspx?tID=194898")</f>
        <v>http://bbs.12365auto.com/postcontent.aspx?tID=194898</v>
      </c>
      <c r="G3694" s="2"/>
      <c r="H3694" s="2" t="s">
        <v>5313</v>
      </c>
      <c r="I3694" s="2" t="s">
        <v>15</v>
      </c>
      <c r="J3694" s="2" t="s">
        <v>5314</v>
      </c>
      <c r="K3694" s="2" t="s">
        <v>5315</v>
      </c>
      <c r="L3694" s="2">
        <f t="shared" si="57"/>
        <v>150</v>
      </c>
    </row>
    <row r="3695" spans="1:12" ht="25" customHeight="1">
      <c r="A3695" s="2" t="s">
        <v>12</v>
      </c>
      <c r="B3695" s="2" t="str">
        <f>HYPERLINK("http://bbs.12365auto.com/postcontent.aspx?tId=194898","希望帕萨特在未来的几年里 为我们全家保驾护航吧~")</f>
        <v>希望帕萨特在未来的几年里 为我们全家保驾护航吧~</v>
      </c>
      <c r="C3695" s="2" t="s">
        <v>13</v>
      </c>
      <c r="D3695" s="2" t="s">
        <v>12</v>
      </c>
      <c r="E3695" s="2" t="s">
        <v>210</v>
      </c>
      <c r="F3695" s="2" t="str">
        <f>HYPERLINK("http://bbs.12365auto.com/postcontent.aspx?tId=194898","http://bbs.12365auto.com/postcontent.aspx?tId=194898")</f>
        <v>http://bbs.12365auto.com/postcontent.aspx?tId=194898</v>
      </c>
      <c r="G3695" s="2"/>
      <c r="H3695" s="2" t="s">
        <v>5316</v>
      </c>
      <c r="I3695" s="2" t="s">
        <v>15</v>
      </c>
      <c r="J3695" s="2" t="s">
        <v>5314</v>
      </c>
      <c r="K3695" s="2" t="s">
        <v>5315</v>
      </c>
      <c r="L3695" s="2">
        <f t="shared" si="57"/>
        <v>150</v>
      </c>
    </row>
    <row r="3696" spans="1:12" ht="25" customHeight="1">
      <c r="A3696" s="2" t="s">
        <v>12</v>
      </c>
      <c r="B3696" s="2" t="str">
        <f>HYPERLINK("http://m.12365auto.com/bbs/postcontent.aspx?tID=194898","希望帕萨特在未来的几年里 为我们全家保驾护航吧~")</f>
        <v>希望帕萨特在未来的几年里 为我们全家保驾护航吧~</v>
      </c>
      <c r="C3696" s="2" t="s">
        <v>13</v>
      </c>
      <c r="D3696" s="2" t="s">
        <v>23</v>
      </c>
      <c r="E3696" s="2"/>
      <c r="F3696" s="2" t="str">
        <f>HYPERLINK("http://m.12365auto.com/bbs/postcontent.aspx?tID=194898","http://m.12365auto.com/bbs/postcontent.aspx?tID=194898")</f>
        <v>http://m.12365auto.com/bbs/postcontent.aspx?tID=194898</v>
      </c>
      <c r="G3696" s="2"/>
      <c r="H3696" s="2" t="s">
        <v>5316</v>
      </c>
      <c r="I3696" s="2" t="s">
        <v>15</v>
      </c>
      <c r="J3696" s="2" t="s">
        <v>5314</v>
      </c>
      <c r="K3696" s="2" t="s">
        <v>5315</v>
      </c>
      <c r="L3696" s="2">
        <f t="shared" si="57"/>
        <v>150</v>
      </c>
    </row>
    <row r="3697" spans="1:12" ht="25" customHeight="1">
      <c r="A3697" s="2" t="s">
        <v>12</v>
      </c>
      <c r="B3697" s="2" t="str">
        <f>HYPERLINK("http://m.12365auto.com/zjdy/20200222/121513.shtml","瑞纳自动挡行驶中动力不足是为什么？")</f>
        <v>瑞纳自动挡行驶中动力不足是为什么？</v>
      </c>
      <c r="C3697" s="2" t="s">
        <v>13</v>
      </c>
      <c r="D3697" s="2" t="s">
        <v>12</v>
      </c>
      <c r="E3697" s="2"/>
      <c r="F3697" s="2" t="str">
        <f>HYPERLINK("http://m.12365auto.com/zjdy/20200222/121513.shtml","http://m.12365auto.com/zjdy/20200222/121513.shtml")</f>
        <v>http://m.12365auto.com/zjdy/20200222/121513.shtml</v>
      </c>
      <c r="G3697" s="2"/>
      <c r="H3697" s="2" t="s">
        <v>5317</v>
      </c>
      <c r="I3697" s="2" t="s">
        <v>19</v>
      </c>
      <c r="J3697" s="2" t="s">
        <v>12</v>
      </c>
      <c r="K3697" s="2" t="s">
        <v>5318</v>
      </c>
      <c r="L3697" s="2">
        <f t="shared" si="57"/>
        <v>43</v>
      </c>
    </row>
    <row r="3698" spans="1:12" ht="25" customHeight="1">
      <c r="A3698" s="2" t="s">
        <v>12</v>
      </c>
      <c r="B3698" s="2" t="str">
        <f>HYPERLINK("http://www.12365auto.com/zlts/20200222/448196.shtml","一汽大众迈腾变速箱故障灯亮无法提速")</f>
        <v>一汽大众迈腾变速箱故障灯亮无法提速</v>
      </c>
      <c r="C3698" s="2" t="s">
        <v>13</v>
      </c>
      <c r="D3698" s="2" t="s">
        <v>12</v>
      </c>
      <c r="E3698" s="2" t="s">
        <v>17</v>
      </c>
      <c r="F3698" s="2" t="str">
        <f>HYPERLINK("http://www.12365auto.com/zlts/20200222/448196.shtml","http://www.12365auto.com/zlts/20200222/448196.shtml")</f>
        <v>http://www.12365auto.com/zlts/20200222/448196.shtml</v>
      </c>
      <c r="G3698" s="2"/>
      <c r="H3698" s="2" t="s">
        <v>5319</v>
      </c>
      <c r="I3698" s="2" t="s">
        <v>19</v>
      </c>
      <c r="J3698" s="2" t="s">
        <v>12</v>
      </c>
      <c r="K3698" s="2" t="s">
        <v>5320</v>
      </c>
      <c r="L3698" s="2">
        <f t="shared" si="57"/>
        <v>150</v>
      </c>
    </row>
    <row r="3699" spans="1:12" ht="25" customHeight="1">
      <c r="A3699" s="2" t="s">
        <v>12</v>
      </c>
      <c r="B3699" s="2" t="str">
        <f>HYPERLINK("http://www.12365auto.com/zlts/20200222/448192.shtml","奇瑞E5车门生锈车漆鼓包严重要求厂家处理")</f>
        <v>奇瑞E5车门生锈车漆鼓包严重要求厂家处理</v>
      </c>
      <c r="C3699" s="2" t="s">
        <v>13</v>
      </c>
      <c r="D3699" s="2" t="s">
        <v>12</v>
      </c>
      <c r="E3699" s="2"/>
      <c r="F3699" s="2" t="str">
        <f>HYPERLINK("http://www.12365auto.com/zlts/20200222/448192.shtml","http://www.12365auto.com/zlts/20200222/448192.shtml")</f>
        <v>http://www.12365auto.com/zlts/20200222/448192.shtml</v>
      </c>
      <c r="G3699" s="2"/>
      <c r="H3699" s="2" t="s">
        <v>5322</v>
      </c>
      <c r="I3699" s="2" t="s">
        <v>15</v>
      </c>
      <c r="J3699" s="2" t="s">
        <v>12</v>
      </c>
      <c r="K3699" s="2" t="s">
        <v>5321</v>
      </c>
      <c r="L3699" s="2">
        <f t="shared" si="57"/>
        <v>82</v>
      </c>
    </row>
    <row r="3700" spans="1:12" ht="25" customHeight="1">
      <c r="A3700" s="2" t="s">
        <v>12</v>
      </c>
      <c r="B3700" s="2" t="str">
        <f>HYPERLINK("http://bbs.12365auto.com/postcontent.aspx?tID=194896","二十万预算 我选择了帕萨特")</f>
        <v>二十万预算 我选择了帕萨特</v>
      </c>
      <c r="C3700" s="2" t="s">
        <v>13</v>
      </c>
      <c r="D3700" s="2" t="s">
        <v>12</v>
      </c>
      <c r="E3700" s="2" t="s">
        <v>214</v>
      </c>
      <c r="F3700" s="2" t="str">
        <f>HYPERLINK("http://bbs.12365auto.com/postcontent.aspx?tID=194896","http://bbs.12365auto.com/postcontent.aspx?tID=194896")</f>
        <v>http://bbs.12365auto.com/postcontent.aspx?tID=194896</v>
      </c>
      <c r="G3700" s="2"/>
      <c r="H3700" s="2" t="s">
        <v>5323</v>
      </c>
      <c r="I3700" s="2" t="s">
        <v>15</v>
      </c>
      <c r="J3700" s="2" t="s">
        <v>5324</v>
      </c>
      <c r="K3700" s="2" t="s">
        <v>5325</v>
      </c>
      <c r="L3700" s="2">
        <f t="shared" si="57"/>
        <v>150</v>
      </c>
    </row>
    <row r="3701" spans="1:12" ht="25" customHeight="1">
      <c r="A3701" s="2" t="s">
        <v>12</v>
      </c>
      <c r="B3701" s="2" t="str">
        <f>HYPERLINK("http://bbs.12365auto.com/postcontent.aspx?tId=194896","二十万预算 我选择了帕萨特")</f>
        <v>二十万预算 我选择了帕萨特</v>
      </c>
      <c r="C3701" s="2" t="s">
        <v>13</v>
      </c>
      <c r="D3701" s="2" t="s">
        <v>12</v>
      </c>
      <c r="E3701" s="2" t="s">
        <v>210</v>
      </c>
      <c r="F3701" s="2" t="str">
        <f>HYPERLINK("http://bbs.12365auto.com/postcontent.aspx?tId=194896","http://bbs.12365auto.com/postcontent.aspx?tId=194896")</f>
        <v>http://bbs.12365auto.com/postcontent.aspx?tId=194896</v>
      </c>
      <c r="G3701" s="2"/>
      <c r="H3701" s="2" t="s">
        <v>5326</v>
      </c>
      <c r="I3701" s="2" t="s">
        <v>15</v>
      </c>
      <c r="J3701" s="2" t="s">
        <v>5324</v>
      </c>
      <c r="K3701" s="2" t="s">
        <v>5325</v>
      </c>
      <c r="L3701" s="2">
        <f t="shared" si="57"/>
        <v>150</v>
      </c>
    </row>
    <row r="3702" spans="1:12" ht="25" customHeight="1">
      <c r="A3702" s="2" t="s">
        <v>12</v>
      </c>
      <c r="B3702" s="2" t="str">
        <f>HYPERLINK("http://m.12365auto.com/bbs/postcontent.aspx?tID=194896","二十万预算 我选择了帕萨特")</f>
        <v>二十万预算 我选择了帕萨特</v>
      </c>
      <c r="C3702" s="2" t="s">
        <v>13</v>
      </c>
      <c r="D3702" s="2" t="s">
        <v>23</v>
      </c>
      <c r="E3702" s="2"/>
      <c r="F3702" s="2" t="str">
        <f>HYPERLINK("http://m.12365auto.com/bbs/postcontent.aspx?tID=194896","http://m.12365auto.com/bbs/postcontent.aspx?tID=194896")</f>
        <v>http://m.12365auto.com/bbs/postcontent.aspx?tID=194896</v>
      </c>
      <c r="G3702" s="2"/>
      <c r="H3702" s="2" t="s">
        <v>5326</v>
      </c>
      <c r="I3702" s="2" t="s">
        <v>15</v>
      </c>
      <c r="J3702" s="2" t="s">
        <v>5324</v>
      </c>
      <c r="K3702" s="2" t="s">
        <v>5325</v>
      </c>
      <c r="L3702" s="2">
        <f t="shared" si="57"/>
        <v>150</v>
      </c>
    </row>
    <row r="3703" spans="1:12" ht="25" customHeight="1">
      <c r="A3703" s="2" t="s">
        <v>12</v>
      </c>
      <c r="B3703" s="2" t="str">
        <f>HYPERLINK("http://bbs.12365auto.com/postcontent.aspx?tId=194895","宜商也宜家 入手新款帕萨特")</f>
        <v>宜商也宜家 入手新款帕萨特</v>
      </c>
      <c r="C3703" s="2" t="s">
        <v>13</v>
      </c>
      <c r="D3703" s="2" t="s">
        <v>12</v>
      </c>
      <c r="E3703" s="2" t="s">
        <v>1397</v>
      </c>
      <c r="F3703" s="2" t="str">
        <f>HYPERLINK("http://bbs.12365auto.com/postcontent.aspx?tId=194895","http://bbs.12365auto.com/postcontent.aspx?tId=194895")</f>
        <v>http://bbs.12365auto.com/postcontent.aspx?tId=194895</v>
      </c>
      <c r="G3703" s="2"/>
      <c r="H3703" s="2" t="s">
        <v>5327</v>
      </c>
      <c r="I3703" s="2" t="s">
        <v>15</v>
      </c>
      <c r="J3703" s="2" t="s">
        <v>5328</v>
      </c>
      <c r="K3703" s="2" t="s">
        <v>5329</v>
      </c>
      <c r="L3703" s="2">
        <f t="shared" si="57"/>
        <v>150</v>
      </c>
    </row>
    <row r="3704" spans="1:12" ht="25" customHeight="1">
      <c r="A3704" s="2" t="s">
        <v>12</v>
      </c>
      <c r="B3704" s="2" t="str">
        <f>HYPERLINK("http://m.12365auto.com/bbs/postcontent.aspx?tID=194895","宜商也宜家 入手新款帕萨特")</f>
        <v>宜商也宜家 入手新款帕萨特</v>
      </c>
      <c r="C3704" s="2" t="s">
        <v>13</v>
      </c>
      <c r="D3704" s="2" t="s">
        <v>23</v>
      </c>
      <c r="E3704" s="2"/>
      <c r="F3704" s="2" t="str">
        <f>HYPERLINK("http://m.12365auto.com/bbs/postcontent.aspx?tID=194895","http://m.12365auto.com/bbs/postcontent.aspx?tID=194895")</f>
        <v>http://m.12365auto.com/bbs/postcontent.aspx?tID=194895</v>
      </c>
      <c r="G3704" s="2"/>
      <c r="H3704" s="2" t="s">
        <v>5327</v>
      </c>
      <c r="I3704" s="2" t="s">
        <v>15</v>
      </c>
      <c r="J3704" s="2" t="s">
        <v>5328</v>
      </c>
      <c r="K3704" s="2" t="s">
        <v>5329</v>
      </c>
      <c r="L3704" s="2">
        <f t="shared" si="57"/>
        <v>150</v>
      </c>
    </row>
    <row r="3705" spans="1:12" ht="25" customHeight="1">
      <c r="A3705" s="2" t="s">
        <v>12</v>
      </c>
      <c r="B3705" s="2" t="str">
        <f>HYPERLINK("http://bbs.12365auto.com/postcontent.aspx?tID=194895","宜商也宜家 入手新款帕萨特")</f>
        <v>宜商也宜家 入手新款帕萨特</v>
      </c>
      <c r="C3705" s="2" t="s">
        <v>13</v>
      </c>
      <c r="D3705" s="2" t="s">
        <v>12</v>
      </c>
      <c r="E3705" s="2" t="s">
        <v>1393</v>
      </c>
      <c r="F3705" s="2" t="str">
        <f>HYPERLINK("http://bbs.12365auto.com/postcontent.aspx?tID=194895","http://bbs.12365auto.com/postcontent.aspx?tID=194895")</f>
        <v>http://bbs.12365auto.com/postcontent.aspx?tID=194895</v>
      </c>
      <c r="G3705" s="2"/>
      <c r="H3705" s="2" t="s">
        <v>5330</v>
      </c>
      <c r="I3705" s="2" t="s">
        <v>15</v>
      </c>
      <c r="J3705" s="2" t="s">
        <v>5328</v>
      </c>
      <c r="K3705" s="2" t="s">
        <v>5329</v>
      </c>
      <c r="L3705" s="2">
        <f t="shared" si="57"/>
        <v>150</v>
      </c>
    </row>
    <row r="3706" spans="1:12" ht="25" customHeight="1">
      <c r="A3706" s="2" t="s">
        <v>12</v>
      </c>
      <c r="B3706" s="2" t="str">
        <f>HYPERLINK("http://www.12365auto.com/zlts/20200222/448194.shtml","广汽丰田凯美瑞新车普利司通轮胎爆胎")</f>
        <v>广汽丰田凯美瑞新车普利司通轮胎爆胎</v>
      </c>
      <c r="C3706" s="2" t="s">
        <v>13</v>
      </c>
      <c r="D3706" s="2" t="s">
        <v>12</v>
      </c>
      <c r="E3706" s="2" t="s">
        <v>17</v>
      </c>
      <c r="F3706" s="2" t="str">
        <f>HYPERLINK("http://www.12365auto.com/zlts/20200222/448194.shtml","http://www.12365auto.com/zlts/20200222/448194.shtml")</f>
        <v>http://www.12365auto.com/zlts/20200222/448194.shtml</v>
      </c>
      <c r="G3706" s="2"/>
      <c r="H3706" s="2" t="s">
        <v>5331</v>
      </c>
      <c r="I3706" s="2" t="s">
        <v>19</v>
      </c>
      <c r="J3706" s="2" t="s">
        <v>12</v>
      </c>
      <c r="K3706" s="2" t="s">
        <v>5332</v>
      </c>
      <c r="L3706" s="2">
        <f t="shared" si="57"/>
        <v>150</v>
      </c>
    </row>
    <row r="3707" spans="1:12" ht="25" customHeight="1">
      <c r="A3707" s="2" t="s">
        <v>12</v>
      </c>
      <c r="B3707" s="2" t="str">
        <f>HYPERLINK("http://bbs.12365auto.com/postcontent.aspx?tID=194892","同为大众车 帕萨特销量远超迈腾")</f>
        <v>同为大众车 帕萨特销量远超迈腾</v>
      </c>
      <c r="C3707" s="2" t="s">
        <v>13</v>
      </c>
      <c r="D3707" s="2" t="s">
        <v>12</v>
      </c>
      <c r="E3707" s="2" t="s">
        <v>28</v>
      </c>
      <c r="F3707" s="2" t="str">
        <f>HYPERLINK("http://bbs.12365auto.com/postcontent.aspx?tID=194892","http://bbs.12365auto.com/postcontent.aspx?tID=194892")</f>
        <v>http://bbs.12365auto.com/postcontent.aspx?tID=194892</v>
      </c>
      <c r="G3707" s="2"/>
      <c r="H3707" s="2" t="s">
        <v>5333</v>
      </c>
      <c r="I3707" s="2" t="s">
        <v>15</v>
      </c>
      <c r="J3707" s="2" t="s">
        <v>5334</v>
      </c>
      <c r="K3707" s="2" t="s">
        <v>5332</v>
      </c>
      <c r="L3707" s="2">
        <f t="shared" si="57"/>
        <v>150</v>
      </c>
    </row>
    <row r="3708" spans="1:12" ht="25" customHeight="1">
      <c r="A3708" s="2" t="s">
        <v>12</v>
      </c>
      <c r="B3708" s="2" t="str">
        <f>HYPERLINK("http://bbs.12365auto.com/postcontent.aspx?tId=194892","同为大众车 帕萨特销量远超迈腾")</f>
        <v>同为大众车 帕萨特销量远超迈腾</v>
      </c>
      <c r="C3708" s="2" t="s">
        <v>13</v>
      </c>
      <c r="D3708" s="2" t="s">
        <v>12</v>
      </c>
      <c r="E3708" s="2" t="s">
        <v>27</v>
      </c>
      <c r="F3708" s="2" t="str">
        <f>HYPERLINK("http://bbs.12365auto.com/postcontent.aspx?tId=194892","http://bbs.12365auto.com/postcontent.aspx?tId=194892")</f>
        <v>http://bbs.12365auto.com/postcontent.aspx?tId=194892</v>
      </c>
      <c r="G3708" s="2"/>
      <c r="H3708" s="2" t="s">
        <v>5335</v>
      </c>
      <c r="I3708" s="2" t="s">
        <v>15</v>
      </c>
      <c r="J3708" s="2" t="s">
        <v>5334</v>
      </c>
      <c r="K3708" s="2" t="s">
        <v>5332</v>
      </c>
      <c r="L3708" s="2">
        <f t="shared" si="57"/>
        <v>150</v>
      </c>
    </row>
    <row r="3709" spans="1:12" ht="25" customHeight="1">
      <c r="A3709" s="2" t="s">
        <v>12</v>
      </c>
      <c r="B3709" s="2" t="str">
        <f>HYPERLINK("http://m.12365auto.com/bbs/postcontent.aspx?tID=194892","同为大众车 帕萨特销量远超迈腾")</f>
        <v>同为大众车 帕萨特销量远超迈腾</v>
      </c>
      <c r="C3709" s="2" t="s">
        <v>13</v>
      </c>
      <c r="D3709" s="2" t="s">
        <v>23</v>
      </c>
      <c r="E3709" s="2"/>
      <c r="F3709" s="2" t="str">
        <f>HYPERLINK("http://m.12365auto.com/bbs/postcontent.aspx?tID=194892","http://m.12365auto.com/bbs/postcontent.aspx?tID=194892")</f>
        <v>http://m.12365auto.com/bbs/postcontent.aspx?tID=194892</v>
      </c>
      <c r="G3709" s="2"/>
      <c r="H3709" s="2" t="s">
        <v>5335</v>
      </c>
      <c r="I3709" s="2" t="s">
        <v>15</v>
      </c>
      <c r="J3709" s="2" t="s">
        <v>5334</v>
      </c>
      <c r="K3709" s="2" t="s">
        <v>5332</v>
      </c>
      <c r="L3709" s="2">
        <f t="shared" si="57"/>
        <v>150</v>
      </c>
    </row>
    <row r="3710" spans="1:12" ht="25" customHeight="1">
      <c r="A3710" s="2" t="s">
        <v>12</v>
      </c>
      <c r="B3710" s="2" t="str">
        <f>HYPERLINK("http://bbs.12365auto.com/postcontent.aspx?tID=194890","迫不及待想看车 斯柯达昕动")</f>
        <v>迫不及待想看车 斯柯达昕动</v>
      </c>
      <c r="C3710" s="2" t="s">
        <v>13</v>
      </c>
      <c r="D3710" s="2" t="s">
        <v>12</v>
      </c>
      <c r="E3710" s="2" t="s">
        <v>214</v>
      </c>
      <c r="F3710" s="2" t="str">
        <f>HYPERLINK("http://bbs.12365auto.com/postcontent.aspx?tID=194890","http://bbs.12365auto.com/postcontent.aspx?tID=194890")</f>
        <v>http://bbs.12365auto.com/postcontent.aspx?tID=194890</v>
      </c>
      <c r="G3710" s="2"/>
      <c r="H3710" s="2" t="s">
        <v>5336</v>
      </c>
      <c r="I3710" s="2" t="s">
        <v>15</v>
      </c>
      <c r="J3710" s="2" t="s">
        <v>5337</v>
      </c>
      <c r="K3710" s="2" t="s">
        <v>5338</v>
      </c>
      <c r="L3710" s="2">
        <f t="shared" si="57"/>
        <v>150</v>
      </c>
    </row>
    <row r="3711" spans="1:12" ht="25" customHeight="1">
      <c r="A3711" s="2" t="s">
        <v>12</v>
      </c>
      <c r="B3711" s="2" t="str">
        <f>HYPERLINK("http://bbs.12365auto.com/postcontent.aspx?tId=194890","迫不及待想看车 斯柯达昕动")</f>
        <v>迫不及待想看车 斯柯达昕动</v>
      </c>
      <c r="C3711" s="2" t="s">
        <v>13</v>
      </c>
      <c r="D3711" s="2" t="s">
        <v>12</v>
      </c>
      <c r="E3711" s="2" t="s">
        <v>210</v>
      </c>
      <c r="F3711" s="2" t="str">
        <f>HYPERLINK("http://bbs.12365auto.com/postcontent.aspx?tId=194890","http://bbs.12365auto.com/postcontent.aspx?tId=194890")</f>
        <v>http://bbs.12365auto.com/postcontent.aspx?tId=194890</v>
      </c>
      <c r="G3711" s="2"/>
      <c r="H3711" s="2" t="s">
        <v>5339</v>
      </c>
      <c r="I3711" s="2" t="s">
        <v>15</v>
      </c>
      <c r="J3711" s="2" t="s">
        <v>5337</v>
      </c>
      <c r="K3711" s="2" t="s">
        <v>5338</v>
      </c>
      <c r="L3711" s="2">
        <f t="shared" si="57"/>
        <v>150</v>
      </c>
    </row>
    <row r="3712" spans="1:12" ht="25" customHeight="1">
      <c r="A3712" s="2" t="s">
        <v>12</v>
      </c>
      <c r="B3712" s="2" t="str">
        <f>HYPERLINK("http://m.12365auto.com/bbs/postcontent.aspx?tID=194890","迫不及待想看车 斯柯达昕动")</f>
        <v>迫不及待想看车 斯柯达昕动</v>
      </c>
      <c r="C3712" s="2" t="s">
        <v>13</v>
      </c>
      <c r="D3712" s="2" t="s">
        <v>23</v>
      </c>
      <c r="E3712" s="2"/>
      <c r="F3712" s="2" t="str">
        <f>HYPERLINK("http://m.12365auto.com/bbs/postcontent.aspx?tID=194890","http://m.12365auto.com/bbs/postcontent.aspx?tID=194890")</f>
        <v>http://m.12365auto.com/bbs/postcontent.aspx?tID=194890</v>
      </c>
      <c r="G3712" s="2"/>
      <c r="H3712" s="2" t="s">
        <v>5339</v>
      </c>
      <c r="I3712" s="2" t="s">
        <v>15</v>
      </c>
      <c r="J3712" s="2" t="s">
        <v>5337</v>
      </c>
      <c r="K3712" s="2" t="s">
        <v>5338</v>
      </c>
      <c r="L3712" s="2">
        <f t="shared" si="57"/>
        <v>150</v>
      </c>
    </row>
    <row r="3713" spans="1:12" ht="25" customHeight="1">
      <c r="A3713" s="2" t="s">
        <v>12</v>
      </c>
      <c r="B3713" s="2" t="str">
        <f>HYPERLINK("http://www.12365auto.com/zlts/20200222/448186.shtml","东风日产轩逸行驶中转向拉杆断裂")</f>
        <v>东风日产轩逸行驶中转向拉杆断裂</v>
      </c>
      <c r="C3713" s="2" t="s">
        <v>13</v>
      </c>
      <c r="D3713" s="2" t="s">
        <v>12</v>
      </c>
      <c r="E3713" s="2"/>
      <c r="F3713" s="2" t="str">
        <f>HYPERLINK("http://www.12365auto.com/zlts/20200222/448186.shtml","http://www.12365auto.com/zlts/20200222/448186.shtml")</f>
        <v>http://www.12365auto.com/zlts/20200222/448186.shtml</v>
      </c>
      <c r="G3713" s="2"/>
      <c r="H3713" s="2" t="s">
        <v>5341</v>
      </c>
      <c r="I3713" s="2" t="s">
        <v>15</v>
      </c>
      <c r="J3713" s="2" t="s">
        <v>12</v>
      </c>
      <c r="K3713" s="2" t="s">
        <v>5340</v>
      </c>
      <c r="L3713" s="2">
        <f t="shared" si="57"/>
        <v>87</v>
      </c>
    </row>
    <row r="3714" spans="1:12" ht="25" customHeight="1">
      <c r="A3714" s="2" t="s">
        <v>12</v>
      </c>
      <c r="B3714" s="2" t="str">
        <f>HYPERLINK("http://www.12365auto.com/zlts/20200222/448191.shtml","领克01首保升级后动力下降油耗增加")</f>
        <v>领克01首保升级后动力下降油耗增加</v>
      </c>
      <c r="C3714" s="2" t="s">
        <v>13</v>
      </c>
      <c r="D3714" s="2" t="s">
        <v>12</v>
      </c>
      <c r="E3714" s="2" t="s">
        <v>17</v>
      </c>
      <c r="F3714" s="2" t="str">
        <f>HYPERLINK("http://www.12365auto.com/zlts/20200222/448191.shtml","http://www.12365auto.com/zlts/20200222/448191.shtml")</f>
        <v>http://www.12365auto.com/zlts/20200222/448191.shtml</v>
      </c>
      <c r="G3714" s="2"/>
      <c r="H3714" s="2" t="s">
        <v>5342</v>
      </c>
      <c r="I3714" s="2" t="s">
        <v>15</v>
      </c>
      <c r="J3714" s="2" t="s">
        <v>12</v>
      </c>
      <c r="K3714" s="2" t="s">
        <v>5343</v>
      </c>
      <c r="L3714" s="2">
        <f t="shared" si="57"/>
        <v>150</v>
      </c>
    </row>
    <row r="3715" spans="1:12" ht="25" customHeight="1">
      <c r="A3715" s="2" t="s">
        <v>12</v>
      </c>
      <c r="B3715" s="2" t="str">
        <f>HYPERLINK("http://m.12365auto.com/zjdy/20200222/121512.shtml","打开AC开关后水温表报警是为什么？")</f>
        <v>打开AC开关后水温表报警是为什么？</v>
      </c>
      <c r="C3715" s="2" t="s">
        <v>13</v>
      </c>
      <c r="D3715" s="2" t="s">
        <v>12</v>
      </c>
      <c r="E3715" s="2"/>
      <c r="F3715" s="2" t="str">
        <f>HYPERLINK("http://m.12365auto.com/zjdy/20200222/121512.shtml","http://m.12365auto.com/zjdy/20200222/121512.shtml")</f>
        <v>http://m.12365auto.com/zjdy/20200222/121512.shtml</v>
      </c>
      <c r="G3715" s="2"/>
      <c r="H3715" s="2" t="s">
        <v>5344</v>
      </c>
      <c r="I3715" s="2" t="s">
        <v>19</v>
      </c>
      <c r="J3715" s="2" t="s">
        <v>12</v>
      </c>
      <c r="K3715" s="2" t="s">
        <v>5345</v>
      </c>
      <c r="L3715" s="2">
        <f t="shared" ref="L3715:L3778" si="58">LEN(H3715)</f>
        <v>57</v>
      </c>
    </row>
    <row r="3716" spans="1:12" ht="25" customHeight="1">
      <c r="A3716" s="2" t="s">
        <v>12</v>
      </c>
      <c r="B3716" s="2" t="str">
        <f>HYPERLINK("http://m.12365auto.com/zjdy/20200222/121511.shtml","一汽大众迈腾变速箱保修包括飞轮吗？")</f>
        <v>一汽大众迈腾变速箱保修包括飞轮吗？</v>
      </c>
      <c r="C3716" s="2" t="s">
        <v>13</v>
      </c>
      <c r="D3716" s="2" t="s">
        <v>12</v>
      </c>
      <c r="E3716" s="2"/>
      <c r="F3716" s="2" t="str">
        <f>HYPERLINK("http://m.12365auto.com/zjdy/20200222/121511.shtml","http://m.12365auto.com/zjdy/20200222/121511.shtml")</f>
        <v>http://m.12365auto.com/zjdy/20200222/121511.shtml</v>
      </c>
      <c r="G3716" s="2"/>
      <c r="H3716" s="2" t="s">
        <v>5346</v>
      </c>
      <c r="I3716" s="2" t="s">
        <v>19</v>
      </c>
      <c r="J3716" s="2" t="s">
        <v>12</v>
      </c>
      <c r="K3716" s="2" t="s">
        <v>5347</v>
      </c>
      <c r="L3716" s="2">
        <f t="shared" si="58"/>
        <v>18</v>
      </c>
    </row>
    <row r="3717" spans="1:12" ht="25" customHeight="1">
      <c r="A3717" s="2" t="s">
        <v>12</v>
      </c>
      <c r="B3717" s="2" t="str">
        <f>HYPERLINK("http://www.12365auto.com/zlts/20200222/448182.shtml","奇瑞艾瑞泽EX电子钥匙失灵无法使用")</f>
        <v>奇瑞艾瑞泽EX电子钥匙失灵无法使用</v>
      </c>
      <c r="C3717" s="2" t="s">
        <v>13</v>
      </c>
      <c r="D3717" s="2" t="s">
        <v>12</v>
      </c>
      <c r="E3717" s="2" t="s">
        <v>17</v>
      </c>
      <c r="F3717" s="2" t="str">
        <f>HYPERLINK("http://www.12365auto.com/zlts/20200222/448182.shtml","http://www.12365auto.com/zlts/20200222/448182.shtml")</f>
        <v>http://www.12365auto.com/zlts/20200222/448182.shtml</v>
      </c>
      <c r="G3717" s="2"/>
      <c r="H3717" s="2" t="s">
        <v>5348</v>
      </c>
      <c r="I3717" s="2" t="s">
        <v>15</v>
      </c>
      <c r="J3717" s="2" t="s">
        <v>12</v>
      </c>
      <c r="K3717" s="2" t="s">
        <v>5349</v>
      </c>
      <c r="L3717" s="2">
        <f t="shared" si="58"/>
        <v>150</v>
      </c>
    </row>
    <row r="3718" spans="1:12" ht="25" customHeight="1">
      <c r="A3718" s="2" t="s">
        <v>12</v>
      </c>
      <c r="B3718" s="2" t="str">
        <f>HYPERLINK("http://www.12365auto.com/zlts/20200222/448180.shtml","奇瑞艾瑞泽5右后车门生锈前保险杠车漆脱落")</f>
        <v>奇瑞艾瑞泽5右后车门生锈前保险杠车漆脱落</v>
      </c>
      <c r="C3718" s="2" t="s">
        <v>13</v>
      </c>
      <c r="D3718" s="2" t="s">
        <v>12</v>
      </c>
      <c r="E3718" s="2" t="s">
        <v>17</v>
      </c>
      <c r="F3718" s="2" t="str">
        <f>HYPERLINK("http://www.12365auto.com/zlts/20200222/448180.shtml","http://www.12365auto.com/zlts/20200222/448180.shtml")</f>
        <v>http://www.12365auto.com/zlts/20200222/448180.shtml</v>
      </c>
      <c r="G3718" s="2"/>
      <c r="H3718" s="2" t="s">
        <v>5350</v>
      </c>
      <c r="I3718" s="2" t="s">
        <v>15</v>
      </c>
      <c r="J3718" s="2" t="s">
        <v>12</v>
      </c>
      <c r="K3718" s="2" t="s">
        <v>5351</v>
      </c>
      <c r="L3718" s="2">
        <f t="shared" si="58"/>
        <v>150</v>
      </c>
    </row>
    <row r="3719" spans="1:12" ht="25" customHeight="1">
      <c r="A3719" s="2" t="s">
        <v>12</v>
      </c>
      <c r="B3719" s="2" t="str">
        <f>HYPERLINK("http://www.12365auto.com/zlts/20200222/448179.shtml","广汽本田飞度VTC执行器冷启动时异响")</f>
        <v>广汽本田飞度VTC执行器冷启动时异响</v>
      </c>
      <c r="C3719" s="2" t="s">
        <v>13</v>
      </c>
      <c r="D3719" s="2" t="s">
        <v>12</v>
      </c>
      <c r="E3719" s="2" t="s">
        <v>17</v>
      </c>
      <c r="F3719" s="2" t="str">
        <f>HYPERLINK("http://www.12365auto.com/zlts/20200222/448179.shtml","http://www.12365auto.com/zlts/20200222/448179.shtml")</f>
        <v>http://www.12365auto.com/zlts/20200222/448179.shtml</v>
      </c>
      <c r="G3719" s="2"/>
      <c r="H3719" s="2" t="s">
        <v>5352</v>
      </c>
      <c r="I3719" s="2" t="s">
        <v>19</v>
      </c>
      <c r="J3719" s="2" t="s">
        <v>12</v>
      </c>
      <c r="K3719" s="2" t="s">
        <v>5353</v>
      </c>
      <c r="L3719" s="2">
        <f t="shared" si="58"/>
        <v>150</v>
      </c>
    </row>
    <row r="3720" spans="1:12" ht="25" customHeight="1">
      <c r="A3720" s="2" t="s">
        <v>12</v>
      </c>
      <c r="B3720" s="2" t="str">
        <f>HYPERLINK("http://www.12365auto.com/zlts/20200222/448175.shtml","东风标致408更换正时皮带后发动机烧机油")</f>
        <v>东风标致408更换正时皮带后发动机烧机油</v>
      </c>
      <c r="C3720" s="2" t="s">
        <v>13</v>
      </c>
      <c r="D3720" s="2" t="s">
        <v>12</v>
      </c>
      <c r="E3720" s="2"/>
      <c r="F3720" s="2" t="str">
        <f>HYPERLINK("http://www.12365auto.com/zlts/20200222/448175.shtml","http://www.12365auto.com/zlts/20200222/448175.shtml")</f>
        <v>http://www.12365auto.com/zlts/20200222/448175.shtml</v>
      </c>
      <c r="G3720" s="2"/>
      <c r="H3720" s="2" t="s">
        <v>5355</v>
      </c>
      <c r="I3720" s="2" t="s">
        <v>15</v>
      </c>
      <c r="J3720" s="2" t="s">
        <v>12</v>
      </c>
      <c r="K3720" s="2" t="s">
        <v>5354</v>
      </c>
      <c r="L3720" s="2">
        <f t="shared" si="58"/>
        <v>83</v>
      </c>
    </row>
    <row r="3721" spans="1:12" ht="25" customHeight="1">
      <c r="A3721" s="2" t="s">
        <v>12</v>
      </c>
      <c r="B3721" s="2" t="str">
        <f>HYPERLINK("http://www.12365auto.com/zlts/20200222/448174.shtml","北京奔驰GLC后挡玻璃自爆要求索赔")</f>
        <v>北京奔驰GLC后挡玻璃自爆要求索赔</v>
      </c>
      <c r="C3721" s="2" t="s">
        <v>13</v>
      </c>
      <c r="D3721" s="2" t="s">
        <v>12</v>
      </c>
      <c r="E3721" s="2"/>
      <c r="F3721" s="2" t="str">
        <f>HYPERLINK("http://www.12365auto.com/zlts/20200222/448174.shtml","http://www.12365auto.com/zlts/20200222/448174.shtml")</f>
        <v>http://www.12365auto.com/zlts/20200222/448174.shtml</v>
      </c>
      <c r="G3721" s="2"/>
      <c r="H3721" s="2" t="s">
        <v>5357</v>
      </c>
      <c r="I3721" s="2" t="s">
        <v>15</v>
      </c>
      <c r="J3721" s="2" t="s">
        <v>12</v>
      </c>
      <c r="K3721" s="2" t="s">
        <v>5356</v>
      </c>
      <c r="L3721" s="2">
        <f t="shared" si="58"/>
        <v>90</v>
      </c>
    </row>
    <row r="3722" spans="1:12" ht="25" customHeight="1">
      <c r="A3722" s="2" t="s">
        <v>12</v>
      </c>
      <c r="B3722" s="2" t="str">
        <f>HYPERLINK("http://www.12365auto.com/zlts/20200222/448172.shtml","宝骏730发动机异响振动 驾驶室异响")</f>
        <v>宝骏730发动机异响振动 驾驶室异响</v>
      </c>
      <c r="C3722" s="2" t="s">
        <v>13</v>
      </c>
      <c r="D3722" s="2" t="s">
        <v>12</v>
      </c>
      <c r="E3722" s="2" t="s">
        <v>17</v>
      </c>
      <c r="F3722" s="2" t="str">
        <f>HYPERLINK("http://www.12365auto.com/zlts/20200222/448172.shtml","http://www.12365auto.com/zlts/20200222/448172.shtml")</f>
        <v>http://www.12365auto.com/zlts/20200222/448172.shtml</v>
      </c>
      <c r="G3722" s="2"/>
      <c r="H3722" s="2" t="s">
        <v>5358</v>
      </c>
      <c r="I3722" s="2" t="s">
        <v>15</v>
      </c>
      <c r="J3722" s="2" t="s">
        <v>12</v>
      </c>
      <c r="K3722" s="2" t="s">
        <v>5359</v>
      </c>
      <c r="L3722" s="2">
        <f t="shared" si="58"/>
        <v>150</v>
      </c>
    </row>
    <row r="3723" spans="1:12" ht="25" customHeight="1">
      <c r="A3723" s="2" t="s">
        <v>12</v>
      </c>
      <c r="B3723" s="2" t="str">
        <f>HYPERLINK("http://www.12365auto.com/zlts/20200222/448171.shtml","一汽大众奥迪A4L节温器损坏漏防冻液")</f>
        <v>一汽大众奥迪A4L节温器损坏漏防冻液</v>
      </c>
      <c r="C3723" s="2" t="s">
        <v>13</v>
      </c>
      <c r="D3723" s="2" t="s">
        <v>12</v>
      </c>
      <c r="E3723" s="2" t="s">
        <v>17</v>
      </c>
      <c r="F3723" s="2" t="str">
        <f>HYPERLINK("http://www.12365auto.com/zlts/20200222/448171.shtml","http://www.12365auto.com/zlts/20200222/448171.shtml")</f>
        <v>http://www.12365auto.com/zlts/20200222/448171.shtml</v>
      </c>
      <c r="G3723" s="2"/>
      <c r="H3723" s="2" t="s">
        <v>5360</v>
      </c>
      <c r="I3723" s="2" t="s">
        <v>19</v>
      </c>
      <c r="J3723" s="2" t="s">
        <v>12</v>
      </c>
      <c r="K3723" s="2" t="s">
        <v>5361</v>
      </c>
      <c r="L3723" s="2">
        <f t="shared" si="58"/>
        <v>150</v>
      </c>
    </row>
    <row r="3724" spans="1:12" ht="25" customHeight="1">
      <c r="A3724" s="2" t="s">
        <v>12</v>
      </c>
      <c r="B3724" s="2" t="str">
        <f>HYPERLINK("http://www.12365auto.com/zlts/20200222/448170.shtml","吉利远景车身生锈严重要求厂家召回")</f>
        <v>吉利远景车身生锈严重要求厂家召回</v>
      </c>
      <c r="C3724" s="2" t="s">
        <v>13</v>
      </c>
      <c r="D3724" s="2" t="s">
        <v>12</v>
      </c>
      <c r="E3724" s="2" t="s">
        <v>17</v>
      </c>
      <c r="F3724" s="2" t="str">
        <f>HYPERLINK("http://www.12365auto.com/zlts/20200222/448170.shtml","http://www.12365auto.com/zlts/20200222/448170.shtml")</f>
        <v>http://www.12365auto.com/zlts/20200222/448170.shtml</v>
      </c>
      <c r="G3724" s="2"/>
      <c r="H3724" s="2" t="s">
        <v>5362</v>
      </c>
      <c r="I3724" s="2" t="s">
        <v>19</v>
      </c>
      <c r="J3724" s="2" t="s">
        <v>12</v>
      </c>
      <c r="K3724" s="2" t="s">
        <v>5363</v>
      </c>
      <c r="L3724" s="2">
        <f t="shared" si="58"/>
        <v>150</v>
      </c>
    </row>
    <row r="3725" spans="1:12" ht="25" customHeight="1">
      <c r="A3725" s="2" t="s">
        <v>12</v>
      </c>
      <c r="B3725" s="2" t="str">
        <f>HYPERLINK("http://www.12365auto.com/zlts/20200222/448168.shtml","斯柯达昕动火花塞处渗油发动机积碳过多")</f>
        <v>斯柯达昕动火花塞处渗油发动机积碳过多</v>
      </c>
      <c r="C3725" s="2" t="s">
        <v>13</v>
      </c>
      <c r="D3725" s="2" t="s">
        <v>12</v>
      </c>
      <c r="E3725" s="2" t="s">
        <v>17</v>
      </c>
      <c r="F3725" s="2" t="str">
        <f>HYPERLINK("http://www.12365auto.com/zlts/20200222/448168.shtml","http://www.12365auto.com/zlts/20200222/448168.shtml")</f>
        <v>http://www.12365auto.com/zlts/20200222/448168.shtml</v>
      </c>
      <c r="G3725" s="2"/>
      <c r="H3725" s="2" t="s">
        <v>5364</v>
      </c>
      <c r="I3725" s="2" t="s">
        <v>15</v>
      </c>
      <c r="J3725" s="2" t="s">
        <v>12</v>
      </c>
      <c r="K3725" s="2" t="s">
        <v>5365</v>
      </c>
      <c r="L3725" s="2">
        <f t="shared" si="58"/>
        <v>150</v>
      </c>
    </row>
    <row r="3726" spans="1:12" ht="25" customHeight="1">
      <c r="A3726" s="2" t="s">
        <v>12</v>
      </c>
      <c r="B3726" s="2" t="str">
        <f>HYPERLINK("http://www.12365auto.com/zlts/20200222/448166.shtml","上汽荣威RX8维修后烧机油 油耗增加")</f>
        <v>上汽荣威RX8维修后烧机油 油耗增加</v>
      </c>
      <c r="C3726" s="2" t="s">
        <v>13</v>
      </c>
      <c r="D3726" s="2" t="s">
        <v>12</v>
      </c>
      <c r="E3726" s="2" t="s">
        <v>17</v>
      </c>
      <c r="F3726" s="2" t="str">
        <f>HYPERLINK("http://www.12365auto.com/zlts/20200222/448166.shtml","http://www.12365auto.com/zlts/20200222/448166.shtml")</f>
        <v>http://www.12365auto.com/zlts/20200222/448166.shtml</v>
      </c>
      <c r="G3726" s="2"/>
      <c r="H3726" s="2" t="s">
        <v>5366</v>
      </c>
      <c r="I3726" s="2" t="s">
        <v>19</v>
      </c>
      <c r="J3726" s="2" t="s">
        <v>12</v>
      </c>
      <c r="K3726" s="2" t="s">
        <v>5367</v>
      </c>
      <c r="L3726" s="2">
        <f t="shared" si="58"/>
        <v>150</v>
      </c>
    </row>
    <row r="3727" spans="1:12" ht="25" customHeight="1">
      <c r="A3727" s="2" t="s">
        <v>12</v>
      </c>
      <c r="B3727" s="2" t="str">
        <f>HYPERLINK("http://www.12365auto.com/zlts/20200222/448164.shtml","东风日产逍客发动机漏油严重希望尽快维修")</f>
        <v>东风日产逍客发动机漏油严重希望尽快维修</v>
      </c>
      <c r="C3727" s="2" t="s">
        <v>13</v>
      </c>
      <c r="D3727" s="2" t="s">
        <v>12</v>
      </c>
      <c r="E3727" s="2" t="s">
        <v>17</v>
      </c>
      <c r="F3727" s="2" t="str">
        <f>HYPERLINK("http://www.12365auto.com/zlts/20200222/448164.shtml","http://www.12365auto.com/zlts/20200222/448164.shtml")</f>
        <v>http://www.12365auto.com/zlts/20200222/448164.shtml</v>
      </c>
      <c r="G3727" s="2"/>
      <c r="H3727" s="2" t="s">
        <v>5368</v>
      </c>
      <c r="I3727" s="2" t="s">
        <v>19</v>
      </c>
      <c r="J3727" s="2" t="s">
        <v>12</v>
      </c>
      <c r="K3727" s="2" t="s">
        <v>5369</v>
      </c>
      <c r="L3727" s="2">
        <f t="shared" si="58"/>
        <v>150</v>
      </c>
    </row>
    <row r="3728" spans="1:12" ht="25" customHeight="1">
      <c r="A3728" s="2" t="s">
        <v>12</v>
      </c>
      <c r="B3728" s="2" t="str">
        <f>HYPERLINK("http://www.12365auto.com/zlts/20200222/448163.shtml","斯柯达柯珞克加速时发动机有异响")</f>
        <v>斯柯达柯珞克加速时发动机有异响</v>
      </c>
      <c r="C3728" s="2" t="s">
        <v>13</v>
      </c>
      <c r="D3728" s="2" t="s">
        <v>12</v>
      </c>
      <c r="E3728" s="2" t="s">
        <v>17</v>
      </c>
      <c r="F3728" s="2" t="str">
        <f>HYPERLINK("http://www.12365auto.com/zlts/20200222/448163.shtml","http://www.12365auto.com/zlts/20200222/448163.shtml")</f>
        <v>http://www.12365auto.com/zlts/20200222/448163.shtml</v>
      </c>
      <c r="G3728" s="2"/>
      <c r="H3728" s="2" t="s">
        <v>5370</v>
      </c>
      <c r="I3728" s="2" t="s">
        <v>19</v>
      </c>
      <c r="J3728" s="2" t="s">
        <v>12</v>
      </c>
      <c r="K3728" s="2" t="s">
        <v>5371</v>
      </c>
      <c r="L3728" s="2">
        <f t="shared" si="58"/>
        <v>150</v>
      </c>
    </row>
    <row r="3729" spans="1:12" ht="25" customHeight="1">
      <c r="A3729" s="2" t="s">
        <v>12</v>
      </c>
      <c r="B3729" s="2" t="str">
        <f>HYPERLINK("http://m.12365auto.com/zjdy/20200222/121503.shtml","三菱奕歌和起亚KX5哪个更好一些？")</f>
        <v>三菱奕歌和起亚KX5哪个更好一些？</v>
      </c>
      <c r="C3729" s="2" t="s">
        <v>13</v>
      </c>
      <c r="D3729" s="2" t="s">
        <v>12</v>
      </c>
      <c r="E3729" s="2"/>
      <c r="F3729" s="2" t="str">
        <f>HYPERLINK("http://m.12365auto.com/zjdy/20200222/121503.shtml","http://m.12365auto.com/zjdy/20200222/121503.shtml")</f>
        <v>http://m.12365auto.com/zjdy/20200222/121503.shtml</v>
      </c>
      <c r="G3729" s="2"/>
      <c r="H3729" s="2" t="s">
        <v>5372</v>
      </c>
      <c r="I3729" s="2" t="s">
        <v>19</v>
      </c>
      <c r="J3729" s="2" t="s">
        <v>12</v>
      </c>
      <c r="K3729" s="2" t="s">
        <v>5373</v>
      </c>
      <c r="L3729" s="2">
        <f t="shared" si="58"/>
        <v>39</v>
      </c>
    </row>
    <row r="3730" spans="1:12" ht="25" customHeight="1">
      <c r="A3730" s="2" t="s">
        <v>12</v>
      </c>
      <c r="B3730" s="2" t="str">
        <f>HYPERLINK("http://m.12365auto.com/zjdy/20200222/121502.shtml","2019款东风悦达起亚KX5质量怎么样？")</f>
        <v>2019款东风悦达起亚KX5质量怎么样？</v>
      </c>
      <c r="C3730" s="2" t="s">
        <v>13</v>
      </c>
      <c r="D3730" s="2" t="s">
        <v>12</v>
      </c>
      <c r="E3730" s="2"/>
      <c r="F3730" s="2" t="str">
        <f>HYPERLINK("http://m.12365auto.com/zjdy/20200222/121502.shtml","http://m.12365auto.com/zjdy/20200222/121502.shtml")</f>
        <v>http://m.12365auto.com/zjdy/20200222/121502.shtml</v>
      </c>
      <c r="G3730" s="2"/>
      <c r="H3730" s="2" t="s">
        <v>5374</v>
      </c>
      <c r="I3730" s="2" t="s">
        <v>19</v>
      </c>
      <c r="J3730" s="2" t="s">
        <v>12</v>
      </c>
      <c r="K3730" s="2" t="s">
        <v>5373</v>
      </c>
      <c r="L3730" s="2">
        <f t="shared" si="58"/>
        <v>48</v>
      </c>
    </row>
    <row r="3731" spans="1:12" ht="25" customHeight="1">
      <c r="A3731" s="2" t="s">
        <v>12</v>
      </c>
      <c r="B3731" s="2" t="str">
        <f>HYPERLINK("http://m.12365auto.com/zjdy/20200222/121507.shtml","雪佛兰迈锐宝加速无力是为什么？")</f>
        <v>雪佛兰迈锐宝加速无力是为什么？</v>
      </c>
      <c r="C3731" s="2" t="s">
        <v>13</v>
      </c>
      <c r="D3731" s="2" t="s">
        <v>12</v>
      </c>
      <c r="E3731" s="2"/>
      <c r="F3731" s="2" t="str">
        <f>HYPERLINK("http://m.12365auto.com/zjdy/20200222/121507.shtml","http://m.12365auto.com/zjdy/20200222/121507.shtml")</f>
        <v>http://m.12365auto.com/zjdy/20200222/121507.shtml</v>
      </c>
      <c r="G3731" s="2"/>
      <c r="H3731" s="2" t="s">
        <v>5375</v>
      </c>
      <c r="I3731" s="2" t="s">
        <v>19</v>
      </c>
      <c r="J3731" s="2" t="s">
        <v>12</v>
      </c>
      <c r="K3731" s="2" t="s">
        <v>5376</v>
      </c>
      <c r="L3731" s="2">
        <f t="shared" si="58"/>
        <v>88</v>
      </c>
    </row>
    <row r="3732" spans="1:12" ht="25" customHeight="1">
      <c r="A3732" s="2" t="s">
        <v>12</v>
      </c>
      <c r="B3732" s="2" t="str">
        <f>HYPERLINK("http://m.12365auto.com/zjdy/20200222/121509.shtml","宝骏乐驰警报器不响是什么原因？")</f>
        <v>宝骏乐驰警报器不响是什么原因？</v>
      </c>
      <c r="C3732" s="2" t="s">
        <v>13</v>
      </c>
      <c r="D3732" s="2" t="s">
        <v>12</v>
      </c>
      <c r="E3732" s="2"/>
      <c r="F3732" s="2" t="str">
        <f>HYPERLINK("http://m.12365auto.com/zjdy/20200222/121509.shtml","http://m.12365auto.com/zjdy/20200222/121509.shtml")</f>
        <v>http://m.12365auto.com/zjdy/20200222/121509.shtml</v>
      </c>
      <c r="G3732" s="2"/>
      <c r="H3732" s="2" t="s">
        <v>5377</v>
      </c>
      <c r="I3732" s="2" t="s">
        <v>19</v>
      </c>
      <c r="J3732" s="2" t="s">
        <v>12</v>
      </c>
      <c r="K3732" s="2" t="s">
        <v>5376</v>
      </c>
      <c r="L3732" s="2">
        <f t="shared" si="58"/>
        <v>15</v>
      </c>
    </row>
    <row r="3733" spans="1:12" ht="25" customHeight="1">
      <c r="A3733" s="2" t="s">
        <v>12</v>
      </c>
      <c r="B3733" s="2" t="str">
        <f>HYPERLINK("http://m.12365auto.com/zjdy/20200222/121508.shtml","发动机怠速节气门附近有摩擦的声音怎么办？")</f>
        <v>发动机怠速节气门附近有摩擦的声音怎么办？</v>
      </c>
      <c r="C3733" s="2" t="s">
        <v>13</v>
      </c>
      <c r="D3733" s="2" t="s">
        <v>12</v>
      </c>
      <c r="E3733" s="2"/>
      <c r="F3733" s="2" t="str">
        <f>HYPERLINK("http://m.12365auto.com/zjdy/20200222/121508.shtml","http://m.12365auto.com/zjdy/20200222/121508.shtml")</f>
        <v>http://m.12365auto.com/zjdy/20200222/121508.shtml</v>
      </c>
      <c r="G3733" s="2"/>
      <c r="H3733" s="2" t="s">
        <v>5378</v>
      </c>
      <c r="I3733" s="2" t="s">
        <v>19</v>
      </c>
      <c r="J3733" s="2" t="s">
        <v>12</v>
      </c>
      <c r="K3733" s="2" t="s">
        <v>5376</v>
      </c>
      <c r="L3733" s="2">
        <f t="shared" si="58"/>
        <v>20</v>
      </c>
    </row>
    <row r="3734" spans="1:12" ht="25" customHeight="1">
      <c r="A3734" s="2" t="s">
        <v>12</v>
      </c>
      <c r="B3734" s="2" t="str">
        <f>HYPERLINK("http://m.12365auto.com/zjdy/20200222/121501.shtml","干式双离合为什么升降挡顿挫和异响？")</f>
        <v>干式双离合为什么升降挡顿挫和异响？</v>
      </c>
      <c r="C3734" s="2" t="s">
        <v>13</v>
      </c>
      <c r="D3734" s="2" t="s">
        <v>12</v>
      </c>
      <c r="E3734" s="2"/>
      <c r="F3734" s="2" t="str">
        <f>HYPERLINK("http://m.12365auto.com/zjdy/20200222/121501.shtml","http://m.12365auto.com/zjdy/20200222/121501.shtml")</f>
        <v>http://m.12365auto.com/zjdy/20200222/121501.shtml</v>
      </c>
      <c r="G3734" s="2"/>
      <c r="H3734" s="2" t="s">
        <v>5379</v>
      </c>
      <c r="I3734" s="2" t="s">
        <v>19</v>
      </c>
      <c r="J3734" s="2" t="s">
        <v>12</v>
      </c>
      <c r="K3734" s="2" t="s">
        <v>5376</v>
      </c>
      <c r="L3734" s="2">
        <f t="shared" si="58"/>
        <v>20</v>
      </c>
    </row>
    <row r="3735" spans="1:12" ht="25" customHeight="1">
      <c r="A3735" s="2" t="s">
        <v>12</v>
      </c>
      <c r="B3735" s="2" t="str">
        <f>HYPERLINK("http://m.12365auto.com/zjdy/20200222/121500.shtml","君越电子手刹自动解除是什么原因？")</f>
        <v>君越电子手刹自动解除是什么原因？</v>
      </c>
      <c r="C3735" s="2" t="s">
        <v>13</v>
      </c>
      <c r="D3735" s="2" t="s">
        <v>12</v>
      </c>
      <c r="E3735" s="2"/>
      <c r="F3735" s="2" t="str">
        <f>HYPERLINK("http://m.12365auto.com/zjdy/20200222/121500.shtml","http://m.12365auto.com/zjdy/20200222/121500.shtml")</f>
        <v>http://m.12365auto.com/zjdy/20200222/121500.shtml</v>
      </c>
      <c r="G3735" s="2"/>
      <c r="H3735" s="2" t="s">
        <v>5380</v>
      </c>
      <c r="I3735" s="2" t="s">
        <v>19</v>
      </c>
      <c r="J3735" s="2" t="s">
        <v>12</v>
      </c>
      <c r="K3735" s="2" t="s">
        <v>5376</v>
      </c>
      <c r="L3735" s="2">
        <f t="shared" si="58"/>
        <v>65</v>
      </c>
    </row>
    <row r="3736" spans="1:12" ht="25" customHeight="1">
      <c r="A3736" s="2" t="s">
        <v>12</v>
      </c>
      <c r="B3736" s="2" t="str">
        <f>HYPERLINK("http://m.12365auto.com/zjdy/20200222/121504.shtml","2020款荣放对比柯迪亚克GT哪个更好一些？")</f>
        <v>2020款荣放对比柯迪亚克GT哪个更好一些？</v>
      </c>
      <c r="C3736" s="2" t="s">
        <v>13</v>
      </c>
      <c r="D3736" s="2" t="s">
        <v>12</v>
      </c>
      <c r="E3736" s="2"/>
      <c r="F3736" s="2" t="str">
        <f>HYPERLINK("http://m.12365auto.com/zjdy/20200222/121504.shtml","http://m.12365auto.com/zjdy/20200222/121504.shtml")</f>
        <v>http://m.12365auto.com/zjdy/20200222/121504.shtml</v>
      </c>
      <c r="G3736" s="2"/>
      <c r="H3736" s="2" t="s">
        <v>5381</v>
      </c>
      <c r="I3736" s="2" t="s">
        <v>19</v>
      </c>
      <c r="J3736" s="2" t="s">
        <v>12</v>
      </c>
      <c r="K3736" s="2" t="s">
        <v>5376</v>
      </c>
      <c r="L3736" s="2">
        <f t="shared" si="58"/>
        <v>51</v>
      </c>
    </row>
    <row r="3737" spans="1:12" ht="25" customHeight="1">
      <c r="A3737" s="2" t="s">
        <v>12</v>
      </c>
      <c r="B3737" s="2" t="str">
        <f>HYPERLINK("http://m.12365auto.com/zjdy/20200222/121510.shtml","雪铁龙天逸C5质量怎么样值得买吗？")</f>
        <v>雪铁龙天逸C5质量怎么样值得买吗？</v>
      </c>
      <c r="C3737" s="2" t="s">
        <v>13</v>
      </c>
      <c r="D3737" s="2" t="s">
        <v>12</v>
      </c>
      <c r="E3737" s="2"/>
      <c r="F3737" s="2" t="str">
        <f>HYPERLINK("http://m.12365auto.com/zjdy/20200222/121510.shtml","http://m.12365auto.com/zjdy/20200222/121510.shtml")</f>
        <v>http://m.12365auto.com/zjdy/20200222/121510.shtml</v>
      </c>
      <c r="G3737" s="2"/>
      <c r="H3737" s="2" t="s">
        <v>5382</v>
      </c>
      <c r="I3737" s="2" t="s">
        <v>19</v>
      </c>
      <c r="J3737" s="2" t="s">
        <v>12</v>
      </c>
      <c r="K3737" s="2" t="s">
        <v>5383</v>
      </c>
      <c r="L3737" s="2">
        <f t="shared" si="58"/>
        <v>23</v>
      </c>
    </row>
    <row r="3738" spans="1:12" ht="25" customHeight="1">
      <c r="A3738" s="2" t="s">
        <v>12</v>
      </c>
      <c r="B3738" s="2" t="str">
        <f>HYPERLINK("http://m.12365auto.com/zjdy/20200222/121506.shtml","雪佛兰科沃兹发动机异响是什么原因？")</f>
        <v>雪佛兰科沃兹发动机异响是什么原因？</v>
      </c>
      <c r="C3738" s="2" t="s">
        <v>13</v>
      </c>
      <c r="D3738" s="2" t="s">
        <v>12</v>
      </c>
      <c r="E3738" s="2"/>
      <c r="F3738" s="2" t="str">
        <f>HYPERLINK("http://m.12365auto.com/zjdy/20200222/121506.shtml","http://m.12365auto.com/zjdy/20200222/121506.shtml")</f>
        <v>http://m.12365auto.com/zjdy/20200222/121506.shtml</v>
      </c>
      <c r="G3738" s="2"/>
      <c r="H3738" s="2" t="s">
        <v>5384</v>
      </c>
      <c r="I3738" s="2" t="s">
        <v>19</v>
      </c>
      <c r="J3738" s="2" t="s">
        <v>12</v>
      </c>
      <c r="K3738" s="2" t="s">
        <v>5383</v>
      </c>
      <c r="L3738" s="2">
        <f t="shared" si="58"/>
        <v>38</v>
      </c>
    </row>
    <row r="3739" spans="1:12" ht="25" customHeight="1">
      <c r="A3739" s="2" t="s">
        <v>12</v>
      </c>
      <c r="B3739" s="2" t="str">
        <f>HYPERLINK("http://m.12365auto.com/zjdy/20200221/121484.shtml","长安欧尚机舱盖打不开怎么办？")</f>
        <v>长安欧尚机舱盖打不开怎么办？</v>
      </c>
      <c r="C3739" s="2" t="s">
        <v>13</v>
      </c>
      <c r="D3739" s="2" t="s">
        <v>12</v>
      </c>
      <c r="E3739" s="2"/>
      <c r="F3739" s="2" t="str">
        <f>HYPERLINK("http://m.12365auto.com/zjdy/20200221/121484.shtml","http://m.12365auto.com/zjdy/20200221/121484.shtml")</f>
        <v>http://m.12365auto.com/zjdy/20200221/121484.shtml</v>
      </c>
      <c r="G3739" s="2"/>
      <c r="H3739" s="2" t="s">
        <v>5385</v>
      </c>
      <c r="I3739" s="2" t="s">
        <v>19</v>
      </c>
      <c r="J3739" s="2" t="s">
        <v>12</v>
      </c>
      <c r="K3739" s="2" t="s">
        <v>5386</v>
      </c>
      <c r="L3739" s="2">
        <f t="shared" si="58"/>
        <v>14</v>
      </c>
    </row>
    <row r="3740" spans="1:12" ht="25" customHeight="1">
      <c r="A3740" s="2" t="s">
        <v>12</v>
      </c>
      <c r="B3740" s="2" t="str">
        <f>HYPERLINK("http://m.12365auto.com/zjdy/20200221/121483.shtml","艾瑞泽5转向异响是什么原因造成的？")</f>
        <v>艾瑞泽5转向异响是什么原因造成的？</v>
      </c>
      <c r="C3740" s="2" t="s">
        <v>13</v>
      </c>
      <c r="D3740" s="2" t="s">
        <v>12</v>
      </c>
      <c r="E3740" s="2"/>
      <c r="F3740" s="2" t="str">
        <f>HYPERLINK("http://m.12365auto.com/zjdy/20200221/121483.shtml","http://m.12365auto.com/zjdy/20200221/121483.shtml")</f>
        <v>http://m.12365auto.com/zjdy/20200221/121483.shtml</v>
      </c>
      <c r="G3740" s="2"/>
      <c r="H3740" s="2" t="s">
        <v>5387</v>
      </c>
      <c r="I3740" s="2" t="s">
        <v>19</v>
      </c>
      <c r="J3740" s="2" t="s">
        <v>12</v>
      </c>
      <c r="K3740" s="2" t="s">
        <v>5388</v>
      </c>
      <c r="L3740" s="2">
        <f t="shared" si="58"/>
        <v>53</v>
      </c>
    </row>
    <row r="3741" spans="1:12" ht="25" customHeight="1">
      <c r="A3741" s="2" t="s">
        <v>12</v>
      </c>
      <c r="B3741" s="2" t="str">
        <f>HYPERLINK("http://m.12365auto.com/zjdy/20200221/121488.shtml","领动发动机抖动属于严重问题吗？")</f>
        <v>领动发动机抖动属于严重问题吗？</v>
      </c>
      <c r="C3741" s="2" t="s">
        <v>13</v>
      </c>
      <c r="D3741" s="2" t="s">
        <v>12</v>
      </c>
      <c r="E3741" s="2"/>
      <c r="F3741" s="2" t="str">
        <f>HYPERLINK("http://m.12365auto.com/zjdy/20200221/121488.shtml","http://m.12365auto.com/zjdy/20200221/121488.shtml")</f>
        <v>http://m.12365auto.com/zjdy/20200221/121488.shtml</v>
      </c>
      <c r="G3741" s="2"/>
      <c r="H3741" s="2" t="s">
        <v>5389</v>
      </c>
      <c r="I3741" s="2" t="s">
        <v>19</v>
      </c>
      <c r="J3741" s="2" t="s">
        <v>12</v>
      </c>
      <c r="K3741" s="2" t="s">
        <v>5388</v>
      </c>
      <c r="L3741" s="2">
        <f t="shared" si="58"/>
        <v>29</v>
      </c>
    </row>
    <row r="3742" spans="1:12" ht="25" customHeight="1">
      <c r="A3742" s="2" t="s">
        <v>12</v>
      </c>
      <c r="B3742" s="2" t="str">
        <f>HYPERLINK("http://m.12365auto.com/zjdy/20200221/121486.shtml","发动机声音大无法提速是什么原因？")</f>
        <v>发动机声音大无法提速是什么原因？</v>
      </c>
      <c r="C3742" s="2" t="s">
        <v>13</v>
      </c>
      <c r="D3742" s="2" t="s">
        <v>12</v>
      </c>
      <c r="E3742" s="2"/>
      <c r="F3742" s="2" t="str">
        <f>HYPERLINK("http://m.12365auto.com/zjdy/20200221/121486.shtml","http://m.12365auto.com/zjdy/20200221/121486.shtml")</f>
        <v>http://m.12365auto.com/zjdy/20200221/121486.shtml</v>
      </c>
      <c r="G3742" s="2"/>
      <c r="H3742" s="2" t="s">
        <v>5390</v>
      </c>
      <c r="I3742" s="2" t="s">
        <v>19</v>
      </c>
      <c r="J3742" s="2" t="s">
        <v>12</v>
      </c>
      <c r="K3742" s="2" t="s">
        <v>5388</v>
      </c>
      <c r="L3742" s="2">
        <f t="shared" si="58"/>
        <v>23</v>
      </c>
    </row>
    <row r="3743" spans="1:12" ht="25" customHeight="1">
      <c r="A3743" s="2" t="s">
        <v>12</v>
      </c>
      <c r="B3743" s="2" t="str">
        <f>HYPERLINK("http://m.12365auto.com/zjdy/20200221/121487.shtml","开启ECO模式会造成发动机损伤吗？")</f>
        <v>开启ECO模式会造成发动机损伤吗？</v>
      </c>
      <c r="C3743" s="2" t="s">
        <v>13</v>
      </c>
      <c r="D3743" s="2" t="s">
        <v>12</v>
      </c>
      <c r="E3743" s="2"/>
      <c r="F3743" s="2" t="str">
        <f>HYPERLINK("http://m.12365auto.com/zjdy/20200221/121487.shtml","http://m.12365auto.com/zjdy/20200221/121487.shtml")</f>
        <v>http://m.12365auto.com/zjdy/20200221/121487.shtml</v>
      </c>
      <c r="G3743" s="2"/>
      <c r="H3743" s="2" t="s">
        <v>5391</v>
      </c>
      <c r="I3743" s="2" t="s">
        <v>19</v>
      </c>
      <c r="J3743" s="2" t="s">
        <v>12</v>
      </c>
      <c r="K3743" s="2" t="s">
        <v>5388</v>
      </c>
      <c r="L3743" s="2">
        <f t="shared" si="58"/>
        <v>19</v>
      </c>
    </row>
    <row r="3744" spans="1:12" ht="25" customHeight="1">
      <c r="A3744" s="2" t="s">
        <v>12</v>
      </c>
      <c r="B3744" s="2" t="str">
        <f>HYPERLINK("http://www.12365auto.com/zlts/20200222/448156.shtml","进口奔驰B级变速箱阀体故障导致无法加速")</f>
        <v>进口奔驰B级变速箱阀体故障导致无法加速</v>
      </c>
      <c r="C3744" s="2" t="s">
        <v>13</v>
      </c>
      <c r="D3744" s="2" t="s">
        <v>12</v>
      </c>
      <c r="E3744" s="2" t="s">
        <v>17</v>
      </c>
      <c r="F3744" s="2" t="str">
        <f>HYPERLINK("http://www.12365auto.com/zlts/20200222/448156.shtml","http://www.12365auto.com/zlts/20200222/448156.shtml")</f>
        <v>http://www.12365auto.com/zlts/20200222/448156.shtml</v>
      </c>
      <c r="G3744" s="2"/>
      <c r="H3744" s="2" t="s">
        <v>5392</v>
      </c>
      <c r="I3744" s="2" t="s">
        <v>15</v>
      </c>
      <c r="J3744" s="2" t="s">
        <v>12</v>
      </c>
      <c r="K3744" s="2" t="s">
        <v>5393</v>
      </c>
      <c r="L3744" s="2">
        <f t="shared" si="58"/>
        <v>150</v>
      </c>
    </row>
    <row r="3745" spans="1:12" ht="25" customHeight="1">
      <c r="A3745" s="2" t="s">
        <v>12</v>
      </c>
      <c r="B3745" s="2" t="str">
        <f>HYPERLINK("http://www.12365auto.com/zlts/20200222/448154.shtml","车子还不到一年，车子好多地方都发现在掉漆！")</f>
        <v>车子还不到一年，车子好多地方都发现在掉漆！</v>
      </c>
      <c r="C3745" s="2" t="s">
        <v>13</v>
      </c>
      <c r="D3745" s="2" t="s">
        <v>12</v>
      </c>
      <c r="E3745" s="2"/>
      <c r="F3745" s="2" t="str">
        <f>HYPERLINK("http://www.12365auto.com/zlts/20200222/448154.shtml","http://www.12365auto.com/zlts/20200222/448154.shtml")</f>
        <v>http://www.12365auto.com/zlts/20200222/448154.shtml</v>
      </c>
      <c r="G3745" s="2"/>
      <c r="H3745" s="2" t="s">
        <v>5395</v>
      </c>
      <c r="I3745" s="2" t="s">
        <v>15</v>
      </c>
      <c r="J3745" s="2" t="s">
        <v>12</v>
      </c>
      <c r="K3745" s="2" t="s">
        <v>5394</v>
      </c>
      <c r="L3745" s="2">
        <f t="shared" si="58"/>
        <v>86</v>
      </c>
    </row>
    <row r="3746" spans="1:12" ht="25" customHeight="1">
      <c r="A3746" s="2" t="s">
        <v>12</v>
      </c>
      <c r="B3746" s="2" t="str">
        <f>HYPERLINK("http://www.12365auto.com/zlts/20200222/448152.shtml","转向柱有间隙方向盘抖动")</f>
        <v>转向柱有间隙方向盘抖动</v>
      </c>
      <c r="C3746" s="2" t="s">
        <v>13</v>
      </c>
      <c r="D3746" s="2" t="s">
        <v>12</v>
      </c>
      <c r="E3746" s="2"/>
      <c r="F3746" s="2" t="str">
        <f>HYPERLINK("http://www.12365auto.com/zlts/20200222/448152.shtml","http://www.12365auto.com/zlts/20200222/448152.shtml")</f>
        <v>http://www.12365auto.com/zlts/20200222/448152.shtml</v>
      </c>
      <c r="G3746" s="2"/>
      <c r="H3746" s="2" t="s">
        <v>5397</v>
      </c>
      <c r="I3746" s="2" t="s">
        <v>15</v>
      </c>
      <c r="J3746" s="2" t="s">
        <v>12</v>
      </c>
      <c r="K3746" s="2" t="s">
        <v>5396</v>
      </c>
      <c r="L3746" s="2">
        <f t="shared" si="58"/>
        <v>82</v>
      </c>
    </row>
    <row r="3747" spans="1:12" ht="25" customHeight="1">
      <c r="A3747" s="2" t="s">
        <v>12</v>
      </c>
      <c r="B3747" s="2" t="str">
        <f>HYPERLINK("http://www.12365auto.com/zlts/20200222/448155.shtml","一汽丰田卡罗拉变速箱顿挫发动机故障灯亮")</f>
        <v>一汽丰田卡罗拉变速箱顿挫发动机故障灯亮</v>
      </c>
      <c r="C3747" s="2" t="s">
        <v>13</v>
      </c>
      <c r="D3747" s="2" t="s">
        <v>12</v>
      </c>
      <c r="E3747" s="2" t="s">
        <v>17</v>
      </c>
      <c r="F3747" s="2" t="str">
        <f>HYPERLINK("http://www.12365auto.com/zlts/20200222/448155.shtml","http://www.12365auto.com/zlts/20200222/448155.shtml")</f>
        <v>http://www.12365auto.com/zlts/20200222/448155.shtml</v>
      </c>
      <c r="G3747" s="2"/>
      <c r="H3747" s="2" t="s">
        <v>5398</v>
      </c>
      <c r="I3747" s="2" t="s">
        <v>19</v>
      </c>
      <c r="J3747" s="2" t="s">
        <v>12</v>
      </c>
      <c r="K3747" s="2" t="s">
        <v>5399</v>
      </c>
      <c r="L3747" s="2">
        <f t="shared" si="58"/>
        <v>150</v>
      </c>
    </row>
    <row r="3748" spans="1:12" ht="25" customHeight="1">
      <c r="A3748" s="2" t="s">
        <v>12</v>
      </c>
      <c r="B3748" s="2" t="str">
        <f>HYPERLINK("http://www.12365auto.com/zlts/20200222/448153.shtml","东风本田INSPIRE电瓶亏电希望尽快处理")</f>
        <v>东风本田INSPIRE电瓶亏电希望尽快处理</v>
      </c>
      <c r="C3748" s="2" t="s">
        <v>13</v>
      </c>
      <c r="D3748" s="2" t="s">
        <v>12</v>
      </c>
      <c r="E3748" s="2" t="s">
        <v>17</v>
      </c>
      <c r="F3748" s="2" t="str">
        <f>HYPERLINK("http://www.12365auto.com/zlts/20200222/448153.shtml","http://www.12365auto.com/zlts/20200222/448153.shtml")</f>
        <v>http://www.12365auto.com/zlts/20200222/448153.shtml</v>
      </c>
      <c r="G3748" s="2"/>
      <c r="H3748" s="2" t="s">
        <v>5400</v>
      </c>
      <c r="I3748" s="2" t="s">
        <v>19</v>
      </c>
      <c r="J3748" s="2" t="s">
        <v>12</v>
      </c>
      <c r="K3748" s="2" t="s">
        <v>5401</v>
      </c>
      <c r="L3748" s="2">
        <f t="shared" si="58"/>
        <v>150</v>
      </c>
    </row>
    <row r="3749" spans="1:12" ht="25" customHeight="1">
      <c r="A3749" s="2" t="s">
        <v>12</v>
      </c>
      <c r="B3749" s="2" t="str">
        <f>HYPERLINK("http://m.12365auto.com/zjdy/20200221/121491.shtml","大众凌渡离合器片冒烟需要更换吗？")</f>
        <v>大众凌渡离合器片冒烟需要更换吗？</v>
      </c>
      <c r="C3749" s="2" t="s">
        <v>13</v>
      </c>
      <c r="D3749" s="2" t="s">
        <v>12</v>
      </c>
      <c r="E3749" s="2"/>
      <c r="F3749" s="2" t="str">
        <f>HYPERLINK("http://m.12365auto.com/zjdy/20200221/121491.shtml","http://m.12365auto.com/zjdy/20200221/121491.shtml")</f>
        <v>http://m.12365auto.com/zjdy/20200221/121491.shtml</v>
      </c>
      <c r="G3749" s="2"/>
      <c r="H3749" s="2" t="s">
        <v>5402</v>
      </c>
      <c r="I3749" s="2" t="s">
        <v>19</v>
      </c>
      <c r="J3749" s="2" t="s">
        <v>12</v>
      </c>
      <c r="K3749" s="2" t="s">
        <v>5403</v>
      </c>
      <c r="L3749" s="2">
        <f t="shared" si="58"/>
        <v>61</v>
      </c>
    </row>
    <row r="3750" spans="1:12" ht="25" customHeight="1">
      <c r="A3750" s="2" t="s">
        <v>12</v>
      </c>
      <c r="B3750" s="2" t="str">
        <f>HYPERLINK("http://www.12365auto.com/zlts/20200222/448147.shtml","上汽荣威RX3底盘异响 玛吉斯轮胎鼓包")</f>
        <v>上汽荣威RX3底盘异响 玛吉斯轮胎鼓包</v>
      </c>
      <c r="C3750" s="2" t="s">
        <v>13</v>
      </c>
      <c r="D3750" s="2" t="s">
        <v>12</v>
      </c>
      <c r="E3750" s="2" t="s">
        <v>17</v>
      </c>
      <c r="F3750" s="2" t="str">
        <f>HYPERLINK("http://www.12365auto.com/zlts/20200222/448147.shtml","http://www.12365auto.com/zlts/20200222/448147.shtml")</f>
        <v>http://www.12365auto.com/zlts/20200222/448147.shtml</v>
      </c>
      <c r="G3750" s="2"/>
      <c r="H3750" s="2" t="s">
        <v>5404</v>
      </c>
      <c r="I3750" s="2" t="s">
        <v>15</v>
      </c>
      <c r="J3750" s="2" t="s">
        <v>12</v>
      </c>
      <c r="K3750" s="2" t="s">
        <v>5405</v>
      </c>
      <c r="L3750" s="2">
        <f t="shared" si="58"/>
        <v>150</v>
      </c>
    </row>
    <row r="3751" spans="1:12" ht="25" customHeight="1">
      <c r="A3751" s="2" t="s">
        <v>12</v>
      </c>
      <c r="B3751" s="2" t="str">
        <f>HYPERLINK("http://www.12365auto.com/zlts/20200222/448146.shtml","东风标致4008减震器漏油要求更换")</f>
        <v>东风标致4008减震器漏油要求更换</v>
      </c>
      <c r="C3751" s="2" t="s">
        <v>13</v>
      </c>
      <c r="D3751" s="2" t="s">
        <v>12</v>
      </c>
      <c r="E3751" s="2" t="s">
        <v>17</v>
      </c>
      <c r="F3751" s="2" t="str">
        <f>HYPERLINK("http://www.12365auto.com/zlts/20200222/448146.shtml","http://www.12365auto.com/zlts/20200222/448146.shtml")</f>
        <v>http://www.12365auto.com/zlts/20200222/448146.shtml</v>
      </c>
      <c r="G3751" s="2"/>
      <c r="H3751" s="2" t="s">
        <v>5406</v>
      </c>
      <c r="I3751" s="2" t="s">
        <v>19</v>
      </c>
      <c r="J3751" s="2" t="s">
        <v>12</v>
      </c>
      <c r="K3751" s="2" t="s">
        <v>5407</v>
      </c>
      <c r="L3751" s="2">
        <f t="shared" si="58"/>
        <v>150</v>
      </c>
    </row>
    <row r="3752" spans="1:12" ht="25" customHeight="1">
      <c r="A3752" s="2" t="s">
        <v>12</v>
      </c>
      <c r="B3752" s="2" t="str">
        <f>HYPERLINK("http://www.12365auto.com/zlts/20200222/448144.shtml","一汽奔腾T77发动机和胎压监测故障灯亮")</f>
        <v>一汽奔腾T77发动机和胎压监测故障灯亮</v>
      </c>
      <c r="C3752" s="2" t="s">
        <v>13</v>
      </c>
      <c r="D3752" s="2" t="s">
        <v>12</v>
      </c>
      <c r="E3752" s="2" t="s">
        <v>17</v>
      </c>
      <c r="F3752" s="2" t="str">
        <f>HYPERLINK("http://www.12365auto.com/zlts/20200222/448144.shtml","http://www.12365auto.com/zlts/20200222/448144.shtml")</f>
        <v>http://www.12365auto.com/zlts/20200222/448144.shtml</v>
      </c>
      <c r="G3752" s="2"/>
      <c r="H3752" s="2" t="s">
        <v>5408</v>
      </c>
      <c r="I3752" s="2" t="s">
        <v>15</v>
      </c>
      <c r="J3752" s="2" t="s">
        <v>12</v>
      </c>
      <c r="K3752" s="2" t="s">
        <v>5409</v>
      </c>
      <c r="L3752" s="2">
        <f t="shared" si="58"/>
        <v>150</v>
      </c>
    </row>
    <row r="3753" spans="1:12" ht="25" customHeight="1">
      <c r="A3753" s="2" t="s">
        <v>12</v>
      </c>
      <c r="B3753" s="2" t="str">
        <f>HYPERLINK("http://www.12365auto.com/zlts/20200222/448138.shtml","转向机异响！打方向就会响！")</f>
        <v>转向机异响！打方向就会响！</v>
      </c>
      <c r="C3753" s="2" t="s">
        <v>13</v>
      </c>
      <c r="D3753" s="2" t="s">
        <v>12</v>
      </c>
      <c r="E3753" s="2"/>
      <c r="F3753" s="2" t="str">
        <f>HYPERLINK("http://www.12365auto.com/zlts/20200222/448138.shtml","http://www.12365auto.com/zlts/20200222/448138.shtml")</f>
        <v>http://www.12365auto.com/zlts/20200222/448138.shtml</v>
      </c>
      <c r="G3753" s="2"/>
      <c r="H3753" s="2" t="s">
        <v>5411</v>
      </c>
      <c r="I3753" s="2" t="s">
        <v>15</v>
      </c>
      <c r="J3753" s="2" t="s">
        <v>12</v>
      </c>
      <c r="K3753" s="2" t="s">
        <v>5410</v>
      </c>
      <c r="L3753" s="2">
        <f t="shared" si="58"/>
        <v>84</v>
      </c>
    </row>
    <row r="3754" spans="1:12" ht="25" customHeight="1">
      <c r="A3754" s="2" t="s">
        <v>12</v>
      </c>
      <c r="B3754" s="2" t="str">
        <f>HYPERLINK("http://www.12365auto.com/zlts/20200222/448132.shtml","车身侧裙已经严重腐蚀透，后轮眉也绣透了")</f>
        <v>车身侧裙已经严重腐蚀透，后轮眉也绣透了</v>
      </c>
      <c r="C3754" s="2" t="s">
        <v>13</v>
      </c>
      <c r="D3754" s="2" t="s">
        <v>12</v>
      </c>
      <c r="E3754" s="2"/>
      <c r="F3754" s="2" t="str">
        <f>HYPERLINK("http://www.12365auto.com/zlts/20200222/448132.shtml","http://www.12365auto.com/zlts/20200222/448132.shtml")</f>
        <v>http://www.12365auto.com/zlts/20200222/448132.shtml</v>
      </c>
      <c r="G3754" s="2"/>
      <c r="H3754" s="2" t="s">
        <v>5413</v>
      </c>
      <c r="I3754" s="2" t="s">
        <v>15</v>
      </c>
      <c r="J3754" s="2" t="s">
        <v>12</v>
      </c>
      <c r="K3754" s="2" t="s">
        <v>5412</v>
      </c>
      <c r="L3754" s="2">
        <f t="shared" si="58"/>
        <v>85</v>
      </c>
    </row>
    <row r="3755" spans="1:12" ht="25" customHeight="1">
      <c r="A3755" s="2" t="s">
        <v>12</v>
      </c>
      <c r="B3755" s="2" t="str">
        <f>HYPERLINK("http://www.12365auto.com/zlts/20200222/448139.shtml","吉利金刚电瓶漏电解液导致线路腐蚀")</f>
        <v>吉利金刚电瓶漏电解液导致线路腐蚀</v>
      </c>
      <c r="C3755" s="2" t="s">
        <v>13</v>
      </c>
      <c r="D3755" s="2" t="s">
        <v>12</v>
      </c>
      <c r="E3755" s="2" t="s">
        <v>17</v>
      </c>
      <c r="F3755" s="2" t="str">
        <f>HYPERLINK("http://www.12365auto.com/zlts/20200222/448139.shtml","http://www.12365auto.com/zlts/20200222/448139.shtml")</f>
        <v>http://www.12365auto.com/zlts/20200222/448139.shtml</v>
      </c>
      <c r="G3755" s="2"/>
      <c r="H3755" s="2" t="s">
        <v>5414</v>
      </c>
      <c r="I3755" s="2" t="s">
        <v>19</v>
      </c>
      <c r="J3755" s="2" t="s">
        <v>12</v>
      </c>
      <c r="K3755" s="2" t="s">
        <v>5415</v>
      </c>
      <c r="L3755" s="2">
        <f t="shared" si="58"/>
        <v>150</v>
      </c>
    </row>
    <row r="3756" spans="1:12" ht="25" customHeight="1">
      <c r="A3756" s="2" t="s">
        <v>12</v>
      </c>
      <c r="B3756" s="2" t="str">
        <f>HYPERLINK("http://www.12365auto.com/zlts/20200222/448122.shtml","启东启粮宝瑞欺压消费者")</f>
        <v>启东启粮宝瑞欺压消费者</v>
      </c>
      <c r="C3756" s="2" t="s">
        <v>13</v>
      </c>
      <c r="D3756" s="2" t="s">
        <v>12</v>
      </c>
      <c r="E3756" s="2"/>
      <c r="F3756" s="2" t="str">
        <f>HYPERLINK("http://www.12365auto.com/zlts/20200222/448122.shtml","http://www.12365auto.com/zlts/20200222/448122.shtml")</f>
        <v>http://www.12365auto.com/zlts/20200222/448122.shtml</v>
      </c>
      <c r="G3756" s="2"/>
      <c r="H3756" s="2" t="s">
        <v>5417</v>
      </c>
      <c r="I3756" s="2" t="s">
        <v>15</v>
      </c>
      <c r="J3756" s="2" t="s">
        <v>12</v>
      </c>
      <c r="K3756" s="2" t="s">
        <v>5416</v>
      </c>
      <c r="L3756" s="2">
        <f t="shared" si="58"/>
        <v>95</v>
      </c>
    </row>
    <row r="3757" spans="1:12" ht="25" customHeight="1">
      <c r="A3757" s="2" t="s">
        <v>12</v>
      </c>
      <c r="B3757" s="2" t="str">
        <f>HYPERLINK("http://www.12365auto.com/zlts/20200222/448137.shtml","东风日产轩逸 底盘异响 变速箱有口哨声")</f>
        <v>东风日产轩逸 底盘异响 变速箱有口哨声</v>
      </c>
      <c r="C3757" s="2" t="s">
        <v>13</v>
      </c>
      <c r="D3757" s="2" t="s">
        <v>12</v>
      </c>
      <c r="E3757" s="2" t="s">
        <v>17</v>
      </c>
      <c r="F3757" s="2" t="str">
        <f>HYPERLINK("http://www.12365auto.com/zlts/20200222/448137.shtml","http://www.12365auto.com/zlts/20200222/448137.shtml")</f>
        <v>http://www.12365auto.com/zlts/20200222/448137.shtml</v>
      </c>
      <c r="G3757" s="2"/>
      <c r="H3757" s="2" t="s">
        <v>5418</v>
      </c>
      <c r="I3757" s="2" t="s">
        <v>19</v>
      </c>
      <c r="J3757" s="2" t="s">
        <v>12</v>
      </c>
      <c r="K3757" s="2" t="s">
        <v>5419</v>
      </c>
      <c r="L3757" s="2">
        <f t="shared" si="58"/>
        <v>150</v>
      </c>
    </row>
    <row r="3758" spans="1:12" ht="25" customHeight="1">
      <c r="A3758" s="2" t="s">
        <v>12</v>
      </c>
      <c r="B3758" s="2" t="str">
        <f>HYPERLINK("http://www.12365auto.com/zlts/20200222/448136.shtml","上汽名爵6电路系统故障车辆无法使用")</f>
        <v>上汽名爵6电路系统故障车辆无法使用</v>
      </c>
      <c r="C3758" s="2" t="s">
        <v>13</v>
      </c>
      <c r="D3758" s="2" t="s">
        <v>12</v>
      </c>
      <c r="E3758" s="2" t="s">
        <v>17</v>
      </c>
      <c r="F3758" s="2" t="str">
        <f>HYPERLINK("http://www.12365auto.com/zlts/20200222/448136.shtml","http://www.12365auto.com/zlts/20200222/448136.shtml")</f>
        <v>http://www.12365auto.com/zlts/20200222/448136.shtml</v>
      </c>
      <c r="G3758" s="2"/>
      <c r="H3758" s="2" t="s">
        <v>5420</v>
      </c>
      <c r="I3758" s="2" t="s">
        <v>19</v>
      </c>
      <c r="J3758" s="2" t="s">
        <v>12</v>
      </c>
      <c r="K3758" s="2" t="s">
        <v>5421</v>
      </c>
      <c r="L3758" s="2">
        <f t="shared" si="58"/>
        <v>150</v>
      </c>
    </row>
    <row r="3759" spans="1:12" ht="25" customHeight="1">
      <c r="A3759" s="2" t="s">
        <v>12</v>
      </c>
      <c r="B3759" s="2" t="str">
        <f>HYPERLINK("http://www.12365auto.com/zlts/20200222/448134.shtml","上汽大众帕萨特新能源动力电池续航不足")</f>
        <v>上汽大众帕萨特新能源动力电池续航不足</v>
      </c>
      <c r="C3759" s="2" t="s">
        <v>13</v>
      </c>
      <c r="D3759" s="2" t="s">
        <v>12</v>
      </c>
      <c r="E3759" s="2" t="s">
        <v>17</v>
      </c>
      <c r="F3759" s="2" t="str">
        <f>HYPERLINK("http://www.12365auto.com/zlts/20200222/448134.shtml","http://www.12365auto.com/zlts/20200222/448134.shtml")</f>
        <v>http://www.12365auto.com/zlts/20200222/448134.shtml</v>
      </c>
      <c r="G3759" s="2"/>
      <c r="H3759" s="2" t="s">
        <v>5422</v>
      </c>
      <c r="I3759" s="2" t="s">
        <v>19</v>
      </c>
      <c r="J3759" s="2" t="s">
        <v>12</v>
      </c>
      <c r="K3759" s="2" t="s">
        <v>5423</v>
      </c>
      <c r="L3759" s="2">
        <f t="shared" si="58"/>
        <v>150</v>
      </c>
    </row>
    <row r="3760" spans="1:12" ht="25" customHeight="1">
      <c r="A3760" s="2" t="s">
        <v>12</v>
      </c>
      <c r="B3760" s="2" t="str">
        <f>HYPERLINK("http://www.12365auto.com/zlts/20200222/448133.shtml","宝骏310W轮毂内侧开裂4S店拒绝索赔")</f>
        <v>宝骏310W轮毂内侧开裂4S店拒绝索赔</v>
      </c>
      <c r="C3760" s="2" t="s">
        <v>13</v>
      </c>
      <c r="D3760" s="2" t="s">
        <v>12</v>
      </c>
      <c r="E3760" s="2" t="s">
        <v>17</v>
      </c>
      <c r="F3760" s="2" t="str">
        <f>HYPERLINK("http://www.12365auto.com/zlts/20200222/448133.shtml","http://www.12365auto.com/zlts/20200222/448133.shtml")</f>
        <v>http://www.12365auto.com/zlts/20200222/448133.shtml</v>
      </c>
      <c r="G3760" s="2"/>
      <c r="H3760" s="2" t="s">
        <v>5424</v>
      </c>
      <c r="I3760" s="2" t="s">
        <v>19</v>
      </c>
      <c r="J3760" s="2" t="s">
        <v>12</v>
      </c>
      <c r="K3760" s="2" t="s">
        <v>5425</v>
      </c>
      <c r="L3760" s="2">
        <f t="shared" si="58"/>
        <v>150</v>
      </c>
    </row>
    <row r="3761" spans="1:12" ht="25" customHeight="1">
      <c r="A3761" s="2" t="s">
        <v>12</v>
      </c>
      <c r="B3761" s="2" t="str">
        <f>HYPERLINK("http://www.12365auto.com/xcdg/20200222/419267.shtml","2月26日预售 江淮嘉悦A5 EV车型定名iC5")</f>
        <v>2月26日预售 江淮嘉悦A5 EV车型定名iC5</v>
      </c>
      <c r="C3761" s="2" t="s">
        <v>13</v>
      </c>
      <c r="D3761" s="2" t="s">
        <v>12</v>
      </c>
      <c r="E3761" s="2" t="s">
        <v>245</v>
      </c>
      <c r="F3761" s="2" t="str">
        <f>HYPERLINK("http://www.12365auto.com/xcdg/20200222/419267.shtml","http://www.12365auto.com/xcdg/20200222/419267.shtml")</f>
        <v>http://www.12365auto.com/xcdg/20200222/419267.shtml</v>
      </c>
      <c r="G3761" s="2"/>
      <c r="H3761" s="2" t="s">
        <v>5426</v>
      </c>
      <c r="I3761" s="2" t="s">
        <v>19</v>
      </c>
      <c r="J3761" s="2" t="s">
        <v>12</v>
      </c>
      <c r="K3761" s="2" t="s">
        <v>5427</v>
      </c>
      <c r="L3761" s="2">
        <f t="shared" si="58"/>
        <v>150</v>
      </c>
    </row>
    <row r="3762" spans="1:12" ht="25" customHeight="1">
      <c r="A3762" s="2" t="s">
        <v>12</v>
      </c>
      <c r="B3762" s="2" t="str">
        <f>HYPERLINK("http://m.12365auto.com/xcdg/20200222/419267.shtml","2月26日预售 江淮嘉悦A5 EV车型定名iC5")</f>
        <v>2月26日预售 江淮嘉悦A5 EV车型定名iC5</v>
      </c>
      <c r="C3762" s="2" t="s">
        <v>13</v>
      </c>
      <c r="D3762" s="2" t="s">
        <v>12</v>
      </c>
      <c r="E3762" s="2"/>
      <c r="F3762" s="2" t="str">
        <f>HYPERLINK("http://m.12365auto.com/xcdg/20200222/419267.shtml","http://m.12365auto.com/xcdg/20200222/419267.shtml")</f>
        <v>http://m.12365auto.com/xcdg/20200222/419267.shtml</v>
      </c>
      <c r="G3762" s="2"/>
      <c r="H3762" s="2" t="s">
        <v>5428</v>
      </c>
      <c r="I3762" s="2" t="s">
        <v>19</v>
      </c>
      <c r="J3762" s="2" t="s">
        <v>1637</v>
      </c>
      <c r="K3762" s="2" t="s">
        <v>5427</v>
      </c>
      <c r="L3762" s="2">
        <f t="shared" si="58"/>
        <v>150</v>
      </c>
    </row>
    <row r="3763" spans="1:12" ht="25" customHeight="1">
      <c r="A3763" s="2" t="s">
        <v>12</v>
      </c>
      <c r="B3763" s="2" t="str">
        <f>HYPERLINK("http://www.12365auto.com/news/20200222/419266.shtml","广东：鼓励广深放宽汽车摇号和竞拍指标")</f>
        <v>广东：鼓励广深放宽汽车摇号和竞拍指标</v>
      </c>
      <c r="C3763" s="2" t="s">
        <v>13</v>
      </c>
      <c r="D3763" s="2" t="s">
        <v>12</v>
      </c>
      <c r="E3763" s="2" t="s">
        <v>282</v>
      </c>
      <c r="F3763" s="2" t="str">
        <f>HYPERLINK("http://www.12365auto.com/news/20200222/419266.shtml","http://www.12365auto.com/news/20200222/419266.shtml")</f>
        <v>http://www.12365auto.com/news/20200222/419266.shtml</v>
      </c>
      <c r="G3763" s="2"/>
      <c r="H3763" s="2" t="s">
        <v>5429</v>
      </c>
      <c r="I3763" s="2" t="s">
        <v>19</v>
      </c>
      <c r="J3763" s="2" t="s">
        <v>12</v>
      </c>
      <c r="K3763" s="2" t="s">
        <v>5430</v>
      </c>
      <c r="L3763" s="2">
        <f t="shared" si="58"/>
        <v>150</v>
      </c>
    </row>
    <row r="3764" spans="1:12" ht="25" customHeight="1">
      <c r="A3764" s="2" t="s">
        <v>12</v>
      </c>
      <c r="B3764" s="2" t="str">
        <f>HYPERLINK("http://m.12365auto.com/news/20200222/419266.shtml","广东：鼓励广深放宽汽车摇号和竞拍指标")</f>
        <v>广东：鼓励广深放宽汽车摇号和竞拍指标</v>
      </c>
      <c r="C3764" s="2" t="s">
        <v>13</v>
      </c>
      <c r="D3764" s="2" t="s">
        <v>12</v>
      </c>
      <c r="E3764" s="2"/>
      <c r="F3764" s="2" t="str">
        <f>HYPERLINK("http://m.12365auto.com/news/20200222/419266.shtml","http://m.12365auto.com/news/20200222/419266.shtml")</f>
        <v>http://m.12365auto.com/news/20200222/419266.shtml</v>
      </c>
      <c r="G3764" s="2"/>
      <c r="H3764" s="2" t="s">
        <v>5431</v>
      </c>
      <c r="I3764" s="2" t="s">
        <v>19</v>
      </c>
      <c r="J3764" s="2" t="s">
        <v>274</v>
      </c>
      <c r="K3764" s="2" t="s">
        <v>5430</v>
      </c>
      <c r="L3764" s="2">
        <f t="shared" si="58"/>
        <v>150</v>
      </c>
    </row>
    <row r="3765" spans="1:12" ht="25" customHeight="1">
      <c r="A3765" s="2" t="s">
        <v>12</v>
      </c>
      <c r="B3765" s="2" t="str">
        <f>HYPERLINK("http://www.12365auto.com/xcdg/20200222/419265.shtml","造型别致 北京现代菲斯塔电动版到店")</f>
        <v>造型别致 北京现代菲斯塔电动版到店</v>
      </c>
      <c r="C3765" s="2" t="s">
        <v>13</v>
      </c>
      <c r="D3765" s="2" t="s">
        <v>12</v>
      </c>
      <c r="E3765" s="2" t="s">
        <v>245</v>
      </c>
      <c r="F3765" s="2" t="str">
        <f>HYPERLINK("http://www.12365auto.com/xcdg/20200222/419265.shtml","http://www.12365auto.com/xcdg/20200222/419265.shtml")</f>
        <v>http://www.12365auto.com/xcdg/20200222/419265.shtml</v>
      </c>
      <c r="G3765" s="2"/>
      <c r="H3765" s="2" t="s">
        <v>5432</v>
      </c>
      <c r="I3765" s="2" t="s">
        <v>19</v>
      </c>
      <c r="J3765" s="2" t="s">
        <v>12</v>
      </c>
      <c r="K3765" s="2" t="s">
        <v>5433</v>
      </c>
      <c r="L3765" s="2">
        <f t="shared" si="58"/>
        <v>150</v>
      </c>
    </row>
    <row r="3766" spans="1:12" ht="25" customHeight="1">
      <c r="A3766" s="2" t="s">
        <v>12</v>
      </c>
      <c r="B3766" s="2" t="str">
        <f>HYPERLINK("http://m.12365auto.com/xcdg/20200222/419265.shtml","造型别致 北京现代菲斯塔电动版到店")</f>
        <v>造型别致 北京现代菲斯塔电动版到店</v>
      </c>
      <c r="C3766" s="2" t="s">
        <v>13</v>
      </c>
      <c r="D3766" s="2" t="s">
        <v>12</v>
      </c>
      <c r="E3766" s="2"/>
      <c r="F3766" s="2" t="str">
        <f>HYPERLINK("http://m.12365auto.com/xcdg/20200222/419265.shtml","http://m.12365auto.com/xcdg/20200222/419265.shtml")</f>
        <v>http://m.12365auto.com/xcdg/20200222/419265.shtml</v>
      </c>
      <c r="G3766" s="2"/>
      <c r="H3766" s="2" t="s">
        <v>5434</v>
      </c>
      <c r="I3766" s="2" t="s">
        <v>19</v>
      </c>
      <c r="J3766" s="2" t="s">
        <v>317</v>
      </c>
      <c r="K3766" s="2" t="s">
        <v>5433</v>
      </c>
      <c r="L3766" s="2">
        <f t="shared" si="58"/>
        <v>150</v>
      </c>
    </row>
    <row r="3767" spans="1:12" ht="25" customHeight="1">
      <c r="A3767" s="2" t="s">
        <v>12</v>
      </c>
      <c r="B3767" s="2" t="str">
        <f>HYPERLINK("http://m.12365auto.com/news/20200222/419264.shtml","提供专属云端电池 博世与华人运通合作")</f>
        <v>提供专属云端电池 博世与华人运通合作</v>
      </c>
      <c r="C3767" s="2" t="s">
        <v>13</v>
      </c>
      <c r="D3767" s="2" t="s">
        <v>12</v>
      </c>
      <c r="E3767" s="2"/>
      <c r="F3767" s="2" t="str">
        <f>HYPERLINK("http://m.12365auto.com/news/20200222/419264.shtml","http://m.12365auto.com/news/20200222/419264.shtml")</f>
        <v>http://m.12365auto.com/news/20200222/419264.shtml</v>
      </c>
      <c r="G3767" s="2"/>
      <c r="H3767" s="2" t="s">
        <v>5435</v>
      </c>
      <c r="I3767" s="2" t="s">
        <v>19</v>
      </c>
      <c r="J3767" s="2" t="s">
        <v>1643</v>
      </c>
      <c r="K3767" s="2" t="s">
        <v>5436</v>
      </c>
      <c r="L3767" s="2">
        <f t="shared" si="58"/>
        <v>150</v>
      </c>
    </row>
    <row r="3768" spans="1:12" ht="25" customHeight="1">
      <c r="A3768" s="2" t="s">
        <v>12</v>
      </c>
      <c r="B3768" s="2" t="str">
        <f>HYPERLINK("http://www.12365auto.com/news/20200222/419264.shtml","提供专属云端电池 博世与华人运通合作")</f>
        <v>提供专属云端电池 博世与华人运通合作</v>
      </c>
      <c r="C3768" s="2" t="s">
        <v>13</v>
      </c>
      <c r="D3768" s="2" t="s">
        <v>12</v>
      </c>
      <c r="E3768" s="2" t="s">
        <v>276</v>
      </c>
      <c r="F3768" s="2" t="str">
        <f>HYPERLINK("http://www.12365auto.com/news/20200222/419264.shtml","http://www.12365auto.com/news/20200222/419264.shtml")</f>
        <v>http://www.12365auto.com/news/20200222/419264.shtml</v>
      </c>
      <c r="G3768" s="2"/>
      <c r="H3768" s="2" t="s">
        <v>5437</v>
      </c>
      <c r="I3768" s="2" t="s">
        <v>15</v>
      </c>
      <c r="J3768" s="2" t="s">
        <v>12</v>
      </c>
      <c r="K3768" s="2" t="s">
        <v>5436</v>
      </c>
      <c r="L3768" s="2">
        <f t="shared" si="58"/>
        <v>150</v>
      </c>
    </row>
    <row r="3769" spans="1:12" ht="25" customHeight="1">
      <c r="A3769" s="2" t="s">
        <v>12</v>
      </c>
      <c r="B3769" s="2" t="str">
        <f>HYPERLINK("http://www.12365auto.com/zlts/20200222/448125.shtml","上汽名爵锐腾导向轴承损坏要求更换")</f>
        <v>上汽名爵锐腾导向轴承损坏要求更换</v>
      </c>
      <c r="C3769" s="2" t="s">
        <v>13</v>
      </c>
      <c r="D3769" s="2" t="s">
        <v>12</v>
      </c>
      <c r="E3769" s="2" t="s">
        <v>17</v>
      </c>
      <c r="F3769" s="2" t="str">
        <f>HYPERLINK("http://www.12365auto.com/zlts/20200222/448125.shtml","http://www.12365auto.com/zlts/20200222/448125.shtml")</f>
        <v>http://www.12365auto.com/zlts/20200222/448125.shtml</v>
      </c>
      <c r="G3769" s="2"/>
      <c r="H3769" s="2" t="s">
        <v>5438</v>
      </c>
      <c r="I3769" s="2" t="s">
        <v>19</v>
      </c>
      <c r="J3769" s="2" t="s">
        <v>12</v>
      </c>
      <c r="K3769" s="2" t="s">
        <v>5439</v>
      </c>
      <c r="L3769" s="2">
        <f t="shared" si="58"/>
        <v>150</v>
      </c>
    </row>
    <row r="3770" spans="1:12" ht="25" customHeight="1">
      <c r="A3770" s="2" t="s">
        <v>12</v>
      </c>
      <c r="B3770" s="2" t="str">
        <f>HYPERLINK("http://m.12365auto.com/xcdg/20200222/419263.shtml","新款E级等 奔驰日内瓦车展阵容曝光")</f>
        <v>新款E级等 奔驰日内瓦车展阵容曝光</v>
      </c>
      <c r="C3770" s="2" t="s">
        <v>13</v>
      </c>
      <c r="D3770" s="2" t="s">
        <v>12</v>
      </c>
      <c r="E3770" s="2"/>
      <c r="F3770" s="2" t="str">
        <f>HYPERLINK("http://m.12365auto.com/xcdg/20200222/419263.shtml","http://m.12365auto.com/xcdg/20200222/419263.shtml")</f>
        <v>http://m.12365auto.com/xcdg/20200222/419263.shtml</v>
      </c>
      <c r="G3770" s="2"/>
      <c r="H3770" s="2" t="s">
        <v>5440</v>
      </c>
      <c r="I3770" s="2" t="s">
        <v>19</v>
      </c>
      <c r="J3770" s="2" t="s">
        <v>836</v>
      </c>
      <c r="K3770" s="2" t="s">
        <v>5441</v>
      </c>
      <c r="L3770" s="2">
        <f t="shared" si="58"/>
        <v>150</v>
      </c>
    </row>
    <row r="3771" spans="1:12" ht="25" customHeight="1">
      <c r="A3771" s="2" t="s">
        <v>12</v>
      </c>
      <c r="B3771" s="2" t="str">
        <f>HYPERLINK("http://www.12365auto.com/xcdg/20200222/419263.shtml","新款E级等 奔驰日内瓦车展阵容曝光")</f>
        <v>新款E级等 奔驰日内瓦车展阵容曝光</v>
      </c>
      <c r="C3771" s="2" t="s">
        <v>13</v>
      </c>
      <c r="D3771" s="2" t="s">
        <v>12</v>
      </c>
      <c r="E3771" s="2" t="s">
        <v>216</v>
      </c>
      <c r="F3771" s="2" t="str">
        <f>HYPERLINK("http://www.12365auto.com/xcdg/20200222/419263.shtml","http://www.12365auto.com/xcdg/20200222/419263.shtml")</f>
        <v>http://www.12365auto.com/xcdg/20200222/419263.shtml</v>
      </c>
      <c r="G3771" s="2"/>
      <c r="H3771" s="2" t="s">
        <v>5442</v>
      </c>
      <c r="I3771" s="2" t="s">
        <v>15</v>
      </c>
      <c r="J3771" s="2" t="s">
        <v>12</v>
      </c>
      <c r="K3771" s="2" t="s">
        <v>5441</v>
      </c>
      <c r="L3771" s="2">
        <f t="shared" si="58"/>
        <v>150</v>
      </c>
    </row>
    <row r="3772" spans="1:12" ht="25" customHeight="1">
      <c r="A3772" s="2" t="s">
        <v>12</v>
      </c>
      <c r="B3772" s="2" t="str">
        <f>HYPERLINK("http://m.12365auto.com/news/20200222/419262.shtml","特斯拉获准为建设德国工厂砍伐森林")</f>
        <v>特斯拉获准为建设德国工厂砍伐森林</v>
      </c>
      <c r="C3772" s="2" t="s">
        <v>13</v>
      </c>
      <c r="D3772" s="2" t="s">
        <v>12</v>
      </c>
      <c r="E3772" s="2"/>
      <c r="F3772" s="2" t="str">
        <f>HYPERLINK("http://m.12365auto.com/news/20200222/419262.shtml","http://m.12365auto.com/news/20200222/419262.shtml")</f>
        <v>http://m.12365auto.com/news/20200222/419262.shtml</v>
      </c>
      <c r="G3772" s="2"/>
      <c r="H3772" s="2" t="s">
        <v>5443</v>
      </c>
      <c r="I3772" s="2" t="s">
        <v>19</v>
      </c>
      <c r="J3772" s="2" t="s">
        <v>1041</v>
      </c>
      <c r="K3772" s="2" t="s">
        <v>5444</v>
      </c>
      <c r="L3772" s="2">
        <f t="shared" si="58"/>
        <v>150</v>
      </c>
    </row>
    <row r="3773" spans="1:12" ht="25" customHeight="1">
      <c r="A3773" s="2" t="s">
        <v>12</v>
      </c>
      <c r="B3773" s="2" t="str">
        <f>HYPERLINK("http://www.12365auto.com/news/20200222/419262.shtml","特斯拉获准为建设德国工厂砍伐森林")</f>
        <v>特斯拉获准为建设德国工厂砍伐森林</v>
      </c>
      <c r="C3773" s="2" t="s">
        <v>13</v>
      </c>
      <c r="D3773" s="2" t="s">
        <v>12</v>
      </c>
      <c r="E3773" s="2" t="s">
        <v>276</v>
      </c>
      <c r="F3773" s="2" t="str">
        <f>HYPERLINK("http://www.12365auto.com/news/20200222/419262.shtml","http://www.12365auto.com/news/20200222/419262.shtml")</f>
        <v>http://www.12365auto.com/news/20200222/419262.shtml</v>
      </c>
      <c r="G3773" s="2"/>
      <c r="H3773" s="2" t="s">
        <v>5445</v>
      </c>
      <c r="I3773" s="2" t="s">
        <v>15</v>
      </c>
      <c r="J3773" s="2" t="s">
        <v>12</v>
      </c>
      <c r="K3773" s="2" t="s">
        <v>5444</v>
      </c>
      <c r="L3773" s="2">
        <f t="shared" si="58"/>
        <v>150</v>
      </c>
    </row>
    <row r="3774" spans="1:12" ht="25" customHeight="1">
      <c r="A3774" s="2" t="s">
        <v>12</v>
      </c>
      <c r="B3774" s="2" t="str">
        <f>HYPERLINK("http://m.12365auto.com/news/20200222/419261.shtml","避免处罚 梅赛德斯-奔驰2020年新计划")</f>
        <v>避免处罚 梅赛德斯-奔驰2020年新计划</v>
      </c>
      <c r="C3774" s="2" t="s">
        <v>13</v>
      </c>
      <c r="D3774" s="2" t="s">
        <v>12</v>
      </c>
      <c r="E3774" s="2"/>
      <c r="F3774" s="2" t="str">
        <f>HYPERLINK("http://m.12365auto.com/news/20200222/419261.shtml","http://m.12365auto.com/news/20200222/419261.shtml")</f>
        <v>http://m.12365auto.com/news/20200222/419261.shtml</v>
      </c>
      <c r="G3774" s="2"/>
      <c r="H3774" s="2" t="s">
        <v>5446</v>
      </c>
      <c r="I3774" s="2" t="s">
        <v>19</v>
      </c>
      <c r="J3774" s="2" t="s">
        <v>330</v>
      </c>
      <c r="K3774" s="2" t="s">
        <v>5447</v>
      </c>
      <c r="L3774" s="2">
        <f t="shared" si="58"/>
        <v>150</v>
      </c>
    </row>
    <row r="3775" spans="1:12" ht="25" customHeight="1">
      <c r="A3775" s="2" t="s">
        <v>12</v>
      </c>
      <c r="B3775" s="2" t="str">
        <f>HYPERLINK("http://www.12365auto.com/news/20200222/419261.shtml","避免处罚 梅赛德斯-奔驰2020年新计划")</f>
        <v>避免处罚 梅赛德斯-奔驰2020年新计划</v>
      </c>
      <c r="C3775" s="2" t="s">
        <v>13</v>
      </c>
      <c r="D3775" s="2" t="s">
        <v>12</v>
      </c>
      <c r="E3775" s="2" t="s">
        <v>276</v>
      </c>
      <c r="F3775" s="2" t="str">
        <f>HYPERLINK("http://www.12365auto.com/news/20200222/419261.shtml","http://www.12365auto.com/news/20200222/419261.shtml")</f>
        <v>http://www.12365auto.com/news/20200222/419261.shtml</v>
      </c>
      <c r="G3775" s="2"/>
      <c r="H3775" s="2" t="s">
        <v>5448</v>
      </c>
      <c r="I3775" s="2" t="s">
        <v>15</v>
      </c>
      <c r="J3775" s="2" t="s">
        <v>12</v>
      </c>
      <c r="K3775" s="2" t="s">
        <v>5447</v>
      </c>
      <c r="L3775" s="2">
        <f t="shared" si="58"/>
        <v>150</v>
      </c>
    </row>
    <row r="3776" spans="1:12" ht="25" customHeight="1">
      <c r="A3776" s="2" t="s">
        <v>12</v>
      </c>
      <c r="B3776" s="2" t="str">
        <f>HYPERLINK("http://www.12365auto.com/news/20200222/419260.shtml","日本成立专项小组 处理疫情对汽车业影响")</f>
        <v>日本成立专项小组 处理疫情对汽车业影响</v>
      </c>
      <c r="C3776" s="2" t="s">
        <v>13</v>
      </c>
      <c r="D3776" s="2" t="s">
        <v>12</v>
      </c>
      <c r="E3776" s="2" t="s">
        <v>282</v>
      </c>
      <c r="F3776" s="2" t="str">
        <f>HYPERLINK("http://www.12365auto.com/news/20200222/419260.shtml","http://www.12365auto.com/news/20200222/419260.shtml")</f>
        <v>http://www.12365auto.com/news/20200222/419260.shtml</v>
      </c>
      <c r="G3776" s="2"/>
      <c r="H3776" s="2" t="s">
        <v>5449</v>
      </c>
      <c r="I3776" s="2" t="s">
        <v>19</v>
      </c>
      <c r="J3776" s="2" t="s">
        <v>12</v>
      </c>
      <c r="K3776" s="2" t="s">
        <v>5450</v>
      </c>
      <c r="L3776" s="2">
        <f t="shared" si="58"/>
        <v>150</v>
      </c>
    </row>
    <row r="3777" spans="1:12" ht="25" customHeight="1">
      <c r="A3777" s="2" t="s">
        <v>12</v>
      </c>
      <c r="B3777" s="2" t="str">
        <f>HYPERLINK("http://m.12365auto.com/news/20200222/419260.shtml","日本成立专项小组 处理疫情对汽车业影响")</f>
        <v>日本成立专项小组 处理疫情对汽车业影响</v>
      </c>
      <c r="C3777" s="2" t="s">
        <v>13</v>
      </c>
      <c r="D3777" s="2" t="s">
        <v>12</v>
      </c>
      <c r="E3777" s="2"/>
      <c r="F3777" s="2" t="str">
        <f>HYPERLINK("http://m.12365auto.com/news/20200222/419260.shtml","http://m.12365auto.com/news/20200222/419260.shtml")</f>
        <v>http://m.12365auto.com/news/20200222/419260.shtml</v>
      </c>
      <c r="G3777" s="2"/>
      <c r="H3777" s="2" t="s">
        <v>5451</v>
      </c>
      <c r="I3777" s="2" t="s">
        <v>19</v>
      </c>
      <c r="J3777" s="2" t="s">
        <v>12</v>
      </c>
      <c r="K3777" s="2" t="s">
        <v>5450</v>
      </c>
      <c r="L3777" s="2">
        <f t="shared" si="58"/>
        <v>150</v>
      </c>
    </row>
    <row r="3778" spans="1:12" ht="25" customHeight="1">
      <c r="A3778" s="2" t="s">
        <v>12</v>
      </c>
      <c r="B3778" s="2" t="str">
        <f>HYPERLINK("http://www.12365auto.com/xcdg/20200222/419259.shtml","野马汽车多款新车即将上市 涵盖多个细分市场")</f>
        <v>野马汽车多款新车即将上市 涵盖多个细分市场</v>
      </c>
      <c r="C3778" s="2" t="s">
        <v>13</v>
      </c>
      <c r="D3778" s="2" t="s">
        <v>12</v>
      </c>
      <c r="E3778" s="2" t="s">
        <v>245</v>
      </c>
      <c r="F3778" s="2" t="str">
        <f>HYPERLINK("http://www.12365auto.com/xcdg/20200222/419259.shtml","http://www.12365auto.com/xcdg/20200222/419259.shtml")</f>
        <v>http://www.12365auto.com/xcdg/20200222/419259.shtml</v>
      </c>
      <c r="G3778" s="2"/>
      <c r="H3778" s="2" t="s">
        <v>5452</v>
      </c>
      <c r="I3778" s="2" t="s">
        <v>19</v>
      </c>
      <c r="J3778" s="2" t="s">
        <v>12</v>
      </c>
      <c r="K3778" s="2" t="s">
        <v>5453</v>
      </c>
      <c r="L3778" s="2">
        <f t="shared" si="58"/>
        <v>150</v>
      </c>
    </row>
    <row r="3779" spans="1:12" ht="25" customHeight="1">
      <c r="A3779" s="2" t="s">
        <v>12</v>
      </c>
      <c r="B3779" s="2" t="str">
        <f>HYPERLINK("http://m.12365auto.com/xcdg/20200222/419259.shtml","野马汽车多款新车即将上市 涵盖多个细分市场")</f>
        <v>野马汽车多款新车即将上市 涵盖多个细分市场</v>
      </c>
      <c r="C3779" s="2" t="s">
        <v>13</v>
      </c>
      <c r="D3779" s="2" t="s">
        <v>12</v>
      </c>
      <c r="E3779" s="2"/>
      <c r="F3779" s="2" t="str">
        <f>HYPERLINK("http://m.12365auto.com/xcdg/20200222/419259.shtml","http://m.12365auto.com/xcdg/20200222/419259.shtml")</f>
        <v>http://m.12365auto.com/xcdg/20200222/419259.shtml</v>
      </c>
      <c r="G3779" s="2"/>
      <c r="H3779" s="2" t="s">
        <v>5454</v>
      </c>
      <c r="I3779" s="2" t="s">
        <v>19</v>
      </c>
      <c r="J3779" s="2" t="s">
        <v>12</v>
      </c>
      <c r="K3779" s="2" t="s">
        <v>5453</v>
      </c>
      <c r="L3779" s="2">
        <f t="shared" ref="L3779:L3842" si="59">LEN(H3779)</f>
        <v>150</v>
      </c>
    </row>
    <row r="3780" spans="1:12" ht="25" customHeight="1">
      <c r="A3780" s="2" t="s">
        <v>12</v>
      </c>
      <c r="B3780" s="2" t="str">
        <f>HYPERLINK("http://www.12365auto.com/news/20200222/419258.shtml","马自达Skyactiv-X受挫 2023年前不推新车")</f>
        <v>马自达Skyactiv-X受挫 2023年前不推新车</v>
      </c>
      <c r="C3780" s="2" t="s">
        <v>13</v>
      </c>
      <c r="D3780" s="2" t="s">
        <v>12</v>
      </c>
      <c r="E3780" s="2" t="s">
        <v>276</v>
      </c>
      <c r="F3780" s="2" t="str">
        <f>HYPERLINK("http://www.12365auto.com/news/20200222/419258.shtml","http://www.12365auto.com/news/20200222/419258.shtml")</f>
        <v>http://www.12365auto.com/news/20200222/419258.shtml</v>
      </c>
      <c r="G3780" s="2"/>
      <c r="H3780" s="2" t="s">
        <v>5455</v>
      </c>
      <c r="I3780" s="2" t="s">
        <v>15</v>
      </c>
      <c r="J3780" s="2" t="s">
        <v>12</v>
      </c>
      <c r="K3780" s="2" t="s">
        <v>5456</v>
      </c>
      <c r="L3780" s="2">
        <f t="shared" si="59"/>
        <v>150</v>
      </c>
    </row>
    <row r="3781" spans="1:12" ht="25" customHeight="1">
      <c r="A3781" s="2" t="s">
        <v>12</v>
      </c>
      <c r="B3781" s="2" t="str">
        <f>HYPERLINK("http://m.12365auto.com/news/20200222/419258.shtml","马自达Skyactiv-X受挫 2023年前不推新车")</f>
        <v>马自达Skyactiv-X受挫 2023年前不推新车</v>
      </c>
      <c r="C3781" s="2" t="s">
        <v>13</v>
      </c>
      <c r="D3781" s="2" t="s">
        <v>12</v>
      </c>
      <c r="E3781" s="2"/>
      <c r="F3781" s="2" t="str">
        <f>HYPERLINK("http://m.12365auto.com/news/20200222/419258.shtml","http://m.12365auto.com/news/20200222/419258.shtml")</f>
        <v>http://m.12365auto.com/news/20200222/419258.shtml</v>
      </c>
      <c r="G3781" s="2"/>
      <c r="H3781" s="2" t="s">
        <v>5457</v>
      </c>
      <c r="I3781" s="2" t="s">
        <v>19</v>
      </c>
      <c r="J3781" s="2" t="s">
        <v>12</v>
      </c>
      <c r="K3781" s="2" t="s">
        <v>5456</v>
      </c>
      <c r="L3781" s="2">
        <f t="shared" si="59"/>
        <v>150</v>
      </c>
    </row>
    <row r="3782" spans="1:12" ht="25" customHeight="1">
      <c r="A3782" s="2" t="s">
        <v>12</v>
      </c>
      <c r="B3782" s="2" t="str">
        <f>HYPERLINK("http://www.12365auto.com/zlts/20200222/448120.shtml","上汽名爵HS电瓶亏电车辆无法正常使用")</f>
        <v>上汽名爵HS电瓶亏电车辆无法正常使用</v>
      </c>
      <c r="C3782" s="2" t="s">
        <v>13</v>
      </c>
      <c r="D3782" s="2" t="s">
        <v>12</v>
      </c>
      <c r="E3782" s="2" t="s">
        <v>17</v>
      </c>
      <c r="F3782" s="2" t="str">
        <f>HYPERLINK("http://www.12365auto.com/zlts/20200222/448120.shtml","http://www.12365auto.com/zlts/20200222/448120.shtml")</f>
        <v>http://www.12365auto.com/zlts/20200222/448120.shtml</v>
      </c>
      <c r="G3782" s="2"/>
      <c r="H3782" s="2" t="s">
        <v>5458</v>
      </c>
      <c r="I3782" s="2" t="s">
        <v>19</v>
      </c>
      <c r="J3782" s="2" t="s">
        <v>12</v>
      </c>
      <c r="K3782" s="2" t="s">
        <v>5459</v>
      </c>
      <c r="L3782" s="2">
        <f t="shared" si="59"/>
        <v>150</v>
      </c>
    </row>
    <row r="3783" spans="1:12" ht="25" customHeight="1">
      <c r="A3783" s="2" t="s">
        <v>12</v>
      </c>
      <c r="B3783" s="2" t="str">
        <f>HYPERLINK("http://m.12365auto.com/news/20200222/419257.shtml","中汽协递交“推迟实施国六排放标准”建议")</f>
        <v>中汽协递交“推迟实施国六排放标准”建议</v>
      </c>
      <c r="C3783" s="2" t="s">
        <v>13</v>
      </c>
      <c r="D3783" s="2" t="s">
        <v>12</v>
      </c>
      <c r="E3783" s="2"/>
      <c r="F3783" s="2" t="str">
        <f>HYPERLINK("http://m.12365auto.com/news/20200222/419257.shtml","http://m.12365auto.com/news/20200222/419257.shtml")</f>
        <v>http://m.12365auto.com/news/20200222/419257.shtml</v>
      </c>
      <c r="G3783" s="2"/>
      <c r="H3783" s="2" t="s">
        <v>5460</v>
      </c>
      <c r="I3783" s="2" t="s">
        <v>19</v>
      </c>
      <c r="J3783" s="2" t="s">
        <v>12</v>
      </c>
      <c r="K3783" s="2" t="s">
        <v>5459</v>
      </c>
      <c r="L3783" s="2">
        <f t="shared" si="59"/>
        <v>106</v>
      </c>
    </row>
    <row r="3784" spans="1:12" ht="25" customHeight="1">
      <c r="A3784" s="2" t="s">
        <v>12</v>
      </c>
      <c r="B3784" s="2" t="str">
        <f>HYPERLINK("http://www.12365auto.com/news/20200222/419257.shtml","中汽协递交“推迟实施国六排放标准”建议")</f>
        <v>中汽协递交“推迟实施国六排放标准”建议</v>
      </c>
      <c r="C3784" s="2" t="s">
        <v>13</v>
      </c>
      <c r="D3784" s="2" t="s">
        <v>12</v>
      </c>
      <c r="E3784" s="2" t="s">
        <v>276</v>
      </c>
      <c r="F3784" s="2" t="str">
        <f>HYPERLINK("http://www.12365auto.com/news/20200222/419257.shtml","http://www.12365auto.com/news/20200222/419257.shtml")</f>
        <v>http://www.12365auto.com/news/20200222/419257.shtml</v>
      </c>
      <c r="G3784" s="2"/>
      <c r="H3784" s="2" t="s">
        <v>5461</v>
      </c>
      <c r="I3784" s="2" t="s">
        <v>15</v>
      </c>
      <c r="J3784" s="2" t="s">
        <v>12</v>
      </c>
      <c r="K3784" s="2" t="s">
        <v>5459</v>
      </c>
      <c r="L3784" s="2">
        <f t="shared" si="59"/>
        <v>104</v>
      </c>
    </row>
    <row r="3785" spans="1:12" ht="25" customHeight="1">
      <c r="A3785" s="2" t="s">
        <v>12</v>
      </c>
      <c r="B3785" s="2" t="str">
        <f>HYPERLINK("http://www.12365auto.com/news/20200222/419256.shtml","美国消费者最关注的车 日系竟占九成")</f>
        <v>美国消费者最关注的车 日系竟占九成</v>
      </c>
      <c r="C3785" s="2" t="s">
        <v>13</v>
      </c>
      <c r="D3785" s="2" t="s">
        <v>12</v>
      </c>
      <c r="E3785" s="2" t="s">
        <v>276</v>
      </c>
      <c r="F3785" s="2" t="str">
        <f>HYPERLINK("http://www.12365auto.com/news/20200222/419256.shtml","http://www.12365auto.com/news/20200222/419256.shtml")</f>
        <v>http://www.12365auto.com/news/20200222/419256.shtml</v>
      </c>
      <c r="G3785" s="2"/>
      <c r="H3785" s="2" t="s">
        <v>5462</v>
      </c>
      <c r="I3785" s="2" t="s">
        <v>15</v>
      </c>
      <c r="J3785" s="2" t="s">
        <v>12</v>
      </c>
      <c r="K3785" s="2" t="s">
        <v>5463</v>
      </c>
      <c r="L3785" s="2">
        <f t="shared" si="59"/>
        <v>150</v>
      </c>
    </row>
    <row r="3786" spans="1:12" ht="25" customHeight="1">
      <c r="A3786" s="2" t="s">
        <v>12</v>
      </c>
      <c r="B3786" s="2" t="str">
        <f>HYPERLINK("http://m.12365auto.com/news/20200222/419256.shtml","美国消费者最关注的车 日系竟占九成")</f>
        <v>美国消费者最关注的车 日系竟占九成</v>
      </c>
      <c r="C3786" s="2" t="s">
        <v>13</v>
      </c>
      <c r="D3786" s="2" t="s">
        <v>12</v>
      </c>
      <c r="E3786" s="2"/>
      <c r="F3786" s="2" t="str">
        <f>HYPERLINK("http://m.12365auto.com/news/20200222/419256.shtml","http://m.12365auto.com/news/20200222/419256.shtml")</f>
        <v>http://m.12365auto.com/news/20200222/419256.shtml</v>
      </c>
      <c r="G3786" s="2"/>
      <c r="H3786" s="2" t="s">
        <v>5464</v>
      </c>
      <c r="I3786" s="2" t="s">
        <v>19</v>
      </c>
      <c r="J3786" s="2" t="s">
        <v>12</v>
      </c>
      <c r="K3786" s="2" t="s">
        <v>5463</v>
      </c>
      <c r="L3786" s="2">
        <f t="shared" si="59"/>
        <v>150</v>
      </c>
    </row>
    <row r="3787" spans="1:12" ht="25" customHeight="1">
      <c r="A3787" s="2" t="s">
        <v>12</v>
      </c>
      <c r="B3787" s="2" t="str">
        <f>HYPERLINK("http://m.12365auto.com/news/20200222/419255.shtml","减税/补贴/不限购 哪个最能刺激汽车消费？")</f>
        <v>减税/补贴/不限购 哪个最能刺激汽车消费？</v>
      </c>
      <c r="C3787" s="2" t="s">
        <v>13</v>
      </c>
      <c r="D3787" s="2" t="s">
        <v>12</v>
      </c>
      <c r="E3787" s="2"/>
      <c r="F3787" s="2" t="str">
        <f>HYPERLINK("http://m.12365auto.com/news/20200222/419255.shtml","http://m.12365auto.com/news/20200222/419255.shtml")</f>
        <v>http://m.12365auto.com/news/20200222/419255.shtml</v>
      </c>
      <c r="G3787" s="2"/>
      <c r="H3787" s="2" t="s">
        <v>5465</v>
      </c>
      <c r="I3787" s="2" t="s">
        <v>19</v>
      </c>
      <c r="J3787" s="2" t="s">
        <v>5466</v>
      </c>
      <c r="K3787" s="2" t="s">
        <v>5467</v>
      </c>
      <c r="L3787" s="2">
        <f t="shared" si="59"/>
        <v>150</v>
      </c>
    </row>
    <row r="3788" spans="1:12" ht="25" customHeight="1">
      <c r="A3788" s="2" t="s">
        <v>12</v>
      </c>
      <c r="B3788" s="2" t="str">
        <f>HYPERLINK("http://www.12365auto.com/news/20200222/419255.shtml","减税/补贴/不限购 哪个最能刺激汽车消费？")</f>
        <v>减税/补贴/不限购 哪个最能刺激汽车消费？</v>
      </c>
      <c r="C3788" s="2" t="s">
        <v>13</v>
      </c>
      <c r="D3788" s="2" t="s">
        <v>12</v>
      </c>
      <c r="E3788" s="2" t="s">
        <v>282</v>
      </c>
      <c r="F3788" s="2" t="str">
        <f>HYPERLINK("http://www.12365auto.com/news/20200222/419255.shtml","http://www.12365auto.com/news/20200222/419255.shtml")</f>
        <v>http://www.12365auto.com/news/20200222/419255.shtml</v>
      </c>
      <c r="G3788" s="2"/>
      <c r="H3788" s="2" t="s">
        <v>5468</v>
      </c>
      <c r="I3788" s="2" t="s">
        <v>19</v>
      </c>
      <c r="J3788" s="2" t="s">
        <v>12</v>
      </c>
      <c r="K3788" s="2" t="s">
        <v>5467</v>
      </c>
      <c r="L3788" s="2">
        <f t="shared" si="59"/>
        <v>150</v>
      </c>
    </row>
    <row r="3789" spans="1:12" ht="25" customHeight="1">
      <c r="A3789" s="2" t="s">
        <v>12</v>
      </c>
      <c r="B3789" s="2" t="str">
        <f>HYPERLINK("http://www.12365auto.com/news/20200222/419254.shtml","线上化流程 小鹏汽车数字化服务升级")</f>
        <v>线上化流程 小鹏汽车数字化服务升级</v>
      </c>
      <c r="C3789" s="2" t="s">
        <v>13</v>
      </c>
      <c r="D3789" s="2" t="s">
        <v>12</v>
      </c>
      <c r="E3789" s="2" t="s">
        <v>276</v>
      </c>
      <c r="F3789" s="2" t="str">
        <f>HYPERLINK("http://www.12365auto.com/news/20200222/419254.shtml","http://www.12365auto.com/news/20200222/419254.shtml")</f>
        <v>http://www.12365auto.com/news/20200222/419254.shtml</v>
      </c>
      <c r="G3789" s="2"/>
      <c r="H3789" s="2" t="s">
        <v>5469</v>
      </c>
      <c r="I3789" s="2" t="s">
        <v>15</v>
      </c>
      <c r="J3789" s="2" t="s">
        <v>12</v>
      </c>
      <c r="K3789" s="2" t="s">
        <v>5470</v>
      </c>
      <c r="L3789" s="2">
        <f t="shared" si="59"/>
        <v>150</v>
      </c>
    </row>
    <row r="3790" spans="1:12" ht="25" customHeight="1">
      <c r="A3790" s="2" t="s">
        <v>12</v>
      </c>
      <c r="B3790" s="2" t="str">
        <f>HYPERLINK("http://m.12365auto.com/news/20200222/419254.shtml","线上化流程 小鹏汽车数字化服务升级")</f>
        <v>线上化流程 小鹏汽车数字化服务升级</v>
      </c>
      <c r="C3790" s="2" t="s">
        <v>13</v>
      </c>
      <c r="D3790" s="2" t="s">
        <v>12</v>
      </c>
      <c r="E3790" s="2"/>
      <c r="F3790" s="2" t="str">
        <f>HYPERLINK("http://m.12365auto.com/news/20200222/419254.shtml","http://m.12365auto.com/news/20200222/419254.shtml")</f>
        <v>http://m.12365auto.com/news/20200222/419254.shtml</v>
      </c>
      <c r="G3790" s="2"/>
      <c r="H3790" s="2" t="s">
        <v>5471</v>
      </c>
      <c r="I3790" s="2" t="s">
        <v>19</v>
      </c>
      <c r="J3790" s="2" t="s">
        <v>330</v>
      </c>
      <c r="K3790" s="2" t="s">
        <v>5470</v>
      </c>
      <c r="L3790" s="2">
        <f t="shared" si="59"/>
        <v>150</v>
      </c>
    </row>
    <row r="3791" spans="1:12" ht="25" customHeight="1">
      <c r="A3791" s="2" t="s">
        <v>12</v>
      </c>
      <c r="B3791" s="2" t="str">
        <f>HYPERLINK("http://www.12365auto.com/zlts/20200222/448116.shtml","上汽大众帕萨特碰撞测试不合格存在安全隐患")</f>
        <v>上汽大众帕萨特碰撞测试不合格存在安全隐患</v>
      </c>
      <c r="C3791" s="2" t="s">
        <v>13</v>
      </c>
      <c r="D3791" s="2" t="s">
        <v>12</v>
      </c>
      <c r="E3791" s="2" t="s">
        <v>17</v>
      </c>
      <c r="F3791" s="2" t="str">
        <f>HYPERLINK("http://www.12365auto.com/zlts/20200222/448116.shtml","http://www.12365auto.com/zlts/20200222/448116.shtml")</f>
        <v>http://www.12365auto.com/zlts/20200222/448116.shtml</v>
      </c>
      <c r="G3791" s="2"/>
      <c r="H3791" s="2" t="s">
        <v>5472</v>
      </c>
      <c r="I3791" s="2" t="s">
        <v>19</v>
      </c>
      <c r="J3791" s="2" t="s">
        <v>12</v>
      </c>
      <c r="K3791" s="2" t="s">
        <v>5473</v>
      </c>
      <c r="L3791" s="2">
        <f t="shared" si="59"/>
        <v>150</v>
      </c>
    </row>
    <row r="3792" spans="1:12" ht="25" customHeight="1">
      <c r="A3792" s="2" t="s">
        <v>12</v>
      </c>
      <c r="B3792" s="2" t="str">
        <f>HYPERLINK("http://www.12365auto.com/xcdg/20200222/419253.shtml","中期改款沃尔沃S90/V90家族官图发布")</f>
        <v>中期改款沃尔沃S90/V90家族官图发布</v>
      </c>
      <c r="C3792" s="2" t="s">
        <v>13</v>
      </c>
      <c r="D3792" s="2" t="s">
        <v>12</v>
      </c>
      <c r="E3792" s="2" t="s">
        <v>216</v>
      </c>
      <c r="F3792" s="2" t="str">
        <f>HYPERLINK("http://www.12365auto.com/xcdg/20200222/419253.shtml","http://www.12365auto.com/xcdg/20200222/419253.shtml")</f>
        <v>http://www.12365auto.com/xcdg/20200222/419253.shtml</v>
      </c>
      <c r="G3792" s="2"/>
      <c r="H3792" s="2" t="s">
        <v>5474</v>
      </c>
      <c r="I3792" s="2" t="s">
        <v>15</v>
      </c>
      <c r="J3792" s="2" t="s">
        <v>12</v>
      </c>
      <c r="K3792" s="2" t="s">
        <v>5473</v>
      </c>
      <c r="L3792" s="2">
        <f t="shared" si="59"/>
        <v>150</v>
      </c>
    </row>
    <row r="3793" spans="1:12" ht="25" customHeight="1">
      <c r="A3793" s="2" t="s">
        <v>12</v>
      </c>
      <c r="B3793" s="2" t="str">
        <f>HYPERLINK("http://m.12365auto.com/xcdg/20200222/419253.shtml","中期改款沃尔沃S90/V90家族官图发布")</f>
        <v>中期改款沃尔沃S90/V90家族官图发布</v>
      </c>
      <c r="C3793" s="2" t="s">
        <v>13</v>
      </c>
      <c r="D3793" s="2" t="s">
        <v>12</v>
      </c>
      <c r="E3793" s="2"/>
      <c r="F3793" s="2" t="str">
        <f>HYPERLINK("http://m.12365auto.com/xcdg/20200222/419253.shtml","http://m.12365auto.com/xcdg/20200222/419253.shtml")</f>
        <v>http://m.12365auto.com/xcdg/20200222/419253.shtml</v>
      </c>
      <c r="G3793" s="2"/>
      <c r="H3793" s="2" t="s">
        <v>5475</v>
      </c>
      <c r="I3793" s="2" t="s">
        <v>19</v>
      </c>
      <c r="J3793" s="2" t="s">
        <v>1197</v>
      </c>
      <c r="K3793" s="2" t="s">
        <v>5473</v>
      </c>
      <c r="L3793" s="2">
        <f t="shared" si="59"/>
        <v>150</v>
      </c>
    </row>
    <row r="3794" spans="1:12" ht="25" customHeight="1">
      <c r="A3794" s="2" t="s">
        <v>12</v>
      </c>
      <c r="B3794" s="2" t="str">
        <f>HYPERLINK("http://www.12365auto.com/zlts/20200222/448117.shtml","长安逸动DT首保后发动机异响噪音大")</f>
        <v>长安逸动DT首保后发动机异响噪音大</v>
      </c>
      <c r="C3794" s="2" t="s">
        <v>13</v>
      </c>
      <c r="D3794" s="2" t="s">
        <v>12</v>
      </c>
      <c r="E3794" s="2" t="s">
        <v>17</v>
      </c>
      <c r="F3794" s="2" t="str">
        <f>HYPERLINK("http://www.12365auto.com/zlts/20200222/448117.shtml","http://www.12365auto.com/zlts/20200222/448117.shtml")</f>
        <v>http://www.12365auto.com/zlts/20200222/448117.shtml</v>
      </c>
      <c r="G3794" s="2"/>
      <c r="H3794" s="2" t="s">
        <v>5476</v>
      </c>
      <c r="I3794" s="2" t="s">
        <v>19</v>
      </c>
      <c r="J3794" s="2" t="s">
        <v>12</v>
      </c>
      <c r="K3794" s="2" t="s">
        <v>5473</v>
      </c>
      <c r="L3794" s="2">
        <f t="shared" si="59"/>
        <v>150</v>
      </c>
    </row>
    <row r="3795" spans="1:12" ht="25" customHeight="1">
      <c r="A3795" s="2" t="s">
        <v>12</v>
      </c>
      <c r="B3795" s="2" t="str">
        <f>HYPERLINK("http://www.12365auto.com/xcdg/20200222/419252.shtml","整体设计更加战斗 新款思域Type R官图发布")</f>
        <v>整体设计更加战斗 新款思域Type R官图发布</v>
      </c>
      <c r="C3795" s="2" t="s">
        <v>13</v>
      </c>
      <c r="D3795" s="2" t="s">
        <v>12</v>
      </c>
      <c r="E3795" s="2" t="s">
        <v>216</v>
      </c>
      <c r="F3795" s="2" t="str">
        <f>HYPERLINK("http://www.12365auto.com/xcdg/20200222/419252.shtml","http://www.12365auto.com/xcdg/20200222/419252.shtml")</f>
        <v>http://www.12365auto.com/xcdg/20200222/419252.shtml</v>
      </c>
      <c r="G3795" s="2"/>
      <c r="H3795" s="2" t="s">
        <v>5477</v>
      </c>
      <c r="I3795" s="2" t="s">
        <v>15</v>
      </c>
      <c r="J3795" s="2" t="s">
        <v>12</v>
      </c>
      <c r="K3795" s="2" t="s">
        <v>5478</v>
      </c>
      <c r="L3795" s="2">
        <f t="shared" si="59"/>
        <v>150</v>
      </c>
    </row>
    <row r="3796" spans="1:12" ht="25" customHeight="1">
      <c r="A3796" s="2" t="s">
        <v>12</v>
      </c>
      <c r="B3796" s="2" t="str">
        <f>HYPERLINK("http://m.12365auto.com/xcdg/20200222/419252.shtml","整体设计更加战斗 新款思域Type R官图发布")</f>
        <v>整体设计更加战斗 新款思域Type R官图发布</v>
      </c>
      <c r="C3796" s="2" t="s">
        <v>13</v>
      </c>
      <c r="D3796" s="2" t="s">
        <v>12</v>
      </c>
      <c r="E3796" s="2"/>
      <c r="F3796" s="2" t="str">
        <f>HYPERLINK("http://m.12365auto.com/xcdg/20200222/419252.shtml","http://m.12365auto.com/xcdg/20200222/419252.shtml")</f>
        <v>http://m.12365auto.com/xcdg/20200222/419252.shtml</v>
      </c>
      <c r="G3796" s="2"/>
      <c r="H3796" s="2" t="s">
        <v>5479</v>
      </c>
      <c r="I3796" s="2" t="s">
        <v>19</v>
      </c>
      <c r="J3796" s="2" t="s">
        <v>2589</v>
      </c>
      <c r="K3796" s="2" t="s">
        <v>5478</v>
      </c>
      <c r="L3796" s="2">
        <f t="shared" si="59"/>
        <v>150</v>
      </c>
    </row>
    <row r="3797" spans="1:12" ht="25" customHeight="1">
      <c r="A3797" s="2" t="s">
        <v>12</v>
      </c>
      <c r="B3797" s="2" t="str">
        <f>HYPERLINK("http://www.12365auto.com/xcdg/20200222/419251.shtml","荣威i6插混加大版动力曝光 油耗下降近三成")</f>
        <v>荣威i6插混加大版动力曝光 油耗下降近三成</v>
      </c>
      <c r="C3797" s="2" t="s">
        <v>13</v>
      </c>
      <c r="D3797" s="2" t="s">
        <v>12</v>
      </c>
      <c r="E3797" s="2" t="s">
        <v>216</v>
      </c>
      <c r="F3797" s="2" t="str">
        <f>HYPERLINK("http://www.12365auto.com/xcdg/20200222/419251.shtml","http://www.12365auto.com/xcdg/20200222/419251.shtml")</f>
        <v>http://www.12365auto.com/xcdg/20200222/419251.shtml</v>
      </c>
      <c r="G3797" s="2"/>
      <c r="H3797" s="2" t="s">
        <v>5480</v>
      </c>
      <c r="I3797" s="2" t="s">
        <v>15</v>
      </c>
      <c r="J3797" s="2" t="s">
        <v>12</v>
      </c>
      <c r="K3797" s="2" t="s">
        <v>5481</v>
      </c>
      <c r="L3797" s="2">
        <f t="shared" si="59"/>
        <v>150</v>
      </c>
    </row>
    <row r="3798" spans="1:12" ht="25" customHeight="1">
      <c r="A3798" s="2" t="s">
        <v>12</v>
      </c>
      <c r="B3798" s="2" t="str">
        <f>HYPERLINK("http://m.12365auto.com/xcdg/20200222/419251.shtml","荣威i6插混加大版动力曝光 油耗下降近三成")</f>
        <v>荣威i6插混加大版动力曝光 油耗下降近三成</v>
      </c>
      <c r="C3798" s="2" t="s">
        <v>13</v>
      </c>
      <c r="D3798" s="2" t="s">
        <v>12</v>
      </c>
      <c r="E3798" s="2"/>
      <c r="F3798" s="2" t="str">
        <f>HYPERLINK("http://m.12365auto.com/xcdg/20200222/419251.shtml","http://m.12365auto.com/xcdg/20200222/419251.shtml")</f>
        <v>http://m.12365auto.com/xcdg/20200222/419251.shtml</v>
      </c>
      <c r="G3798" s="2"/>
      <c r="H3798" s="2" t="s">
        <v>5482</v>
      </c>
      <c r="I3798" s="2" t="s">
        <v>19</v>
      </c>
      <c r="J3798" s="2" t="s">
        <v>3053</v>
      </c>
      <c r="K3798" s="2" t="s">
        <v>5481</v>
      </c>
      <c r="L3798" s="2">
        <f t="shared" si="59"/>
        <v>150</v>
      </c>
    </row>
    <row r="3799" spans="1:12" ht="25" customHeight="1">
      <c r="A3799" s="2" t="s">
        <v>12</v>
      </c>
      <c r="B3799" s="2" t="str">
        <f>HYPERLINK("http://www.12365auto.com/xcdg/20200222/419250.shtml","韩系5款新车3月发布 豪华轿车与奥迪A6L同级")</f>
        <v>韩系5款新车3月发布 豪华轿车与奥迪A6L同级</v>
      </c>
      <c r="C3799" s="2" t="s">
        <v>13</v>
      </c>
      <c r="D3799" s="2" t="s">
        <v>12</v>
      </c>
      <c r="E3799" s="2" t="s">
        <v>245</v>
      </c>
      <c r="F3799" s="2" t="str">
        <f>HYPERLINK("http://www.12365auto.com/xcdg/20200222/419250.shtml","http://www.12365auto.com/xcdg/20200222/419250.shtml")</f>
        <v>http://www.12365auto.com/xcdg/20200222/419250.shtml</v>
      </c>
      <c r="G3799" s="2"/>
      <c r="H3799" s="2" t="s">
        <v>5483</v>
      </c>
      <c r="I3799" s="2" t="s">
        <v>19</v>
      </c>
      <c r="J3799" s="2" t="s">
        <v>12</v>
      </c>
      <c r="K3799" s="2" t="s">
        <v>5484</v>
      </c>
      <c r="L3799" s="2">
        <f t="shared" si="59"/>
        <v>150</v>
      </c>
    </row>
    <row r="3800" spans="1:12" ht="25" customHeight="1">
      <c r="A3800" s="2" t="s">
        <v>12</v>
      </c>
      <c r="B3800" s="2" t="str">
        <f>HYPERLINK("http://m.12365auto.com/xcdg/20200222/419250.shtml","韩系5款新车3月发布 豪华轿车与奥迪A6L同级")</f>
        <v>韩系5款新车3月发布 豪华轿车与奥迪A6L同级</v>
      </c>
      <c r="C3800" s="2" t="s">
        <v>13</v>
      </c>
      <c r="D3800" s="2" t="s">
        <v>12</v>
      </c>
      <c r="E3800" s="2"/>
      <c r="F3800" s="2" t="str">
        <f>HYPERLINK("http://m.12365auto.com/xcdg/20200222/419250.shtml","http://m.12365auto.com/xcdg/20200222/419250.shtml")</f>
        <v>http://m.12365auto.com/xcdg/20200222/419250.shtml</v>
      </c>
      <c r="G3800" s="2"/>
      <c r="H3800" s="2" t="s">
        <v>5485</v>
      </c>
      <c r="I3800" s="2" t="s">
        <v>19</v>
      </c>
      <c r="J3800" s="2" t="s">
        <v>739</v>
      </c>
      <c r="K3800" s="2" t="s">
        <v>5484</v>
      </c>
      <c r="L3800" s="2">
        <f t="shared" si="59"/>
        <v>150</v>
      </c>
    </row>
    <row r="3801" spans="1:12" ht="25" customHeight="1">
      <c r="A3801" s="2" t="s">
        <v>12</v>
      </c>
      <c r="B3801" s="2" t="str">
        <f>HYPERLINK("http://m.12365auto.com/news/20200222/419249.shtml","荣威市占率大幅增长 Ei5旅行车跃居纯电销冠")</f>
        <v>荣威市占率大幅增长 Ei5旅行车跃居纯电销冠</v>
      </c>
      <c r="C3801" s="2" t="s">
        <v>13</v>
      </c>
      <c r="D3801" s="2" t="s">
        <v>12</v>
      </c>
      <c r="E3801" s="2"/>
      <c r="F3801" s="2" t="str">
        <f>HYPERLINK("http://m.12365auto.com/news/20200222/419249.shtml","http://m.12365auto.com/news/20200222/419249.shtml")</f>
        <v>http://m.12365auto.com/news/20200222/419249.shtml</v>
      </c>
      <c r="G3801" s="2"/>
      <c r="H3801" s="2" t="s">
        <v>5486</v>
      </c>
      <c r="I3801" s="2" t="s">
        <v>19</v>
      </c>
      <c r="J3801" s="2" t="s">
        <v>3053</v>
      </c>
      <c r="K3801" s="2" t="s">
        <v>5487</v>
      </c>
      <c r="L3801" s="2">
        <f t="shared" si="59"/>
        <v>150</v>
      </c>
    </row>
    <row r="3802" spans="1:12" ht="25" customHeight="1">
      <c r="A3802" s="2" t="s">
        <v>12</v>
      </c>
      <c r="B3802" s="2" t="str">
        <f>HYPERLINK("http://www.12365auto.com/news/20200222/419249.shtml","荣威市占率大幅增长 Ei5旅行车跃居纯电销冠")</f>
        <v>荣威市占率大幅增长 Ei5旅行车跃居纯电销冠</v>
      </c>
      <c r="C3802" s="2" t="s">
        <v>13</v>
      </c>
      <c r="D3802" s="2" t="s">
        <v>12</v>
      </c>
      <c r="E3802" s="2" t="s">
        <v>282</v>
      </c>
      <c r="F3802" s="2" t="str">
        <f>HYPERLINK("http://www.12365auto.com/news/20200222/419249.shtml","http://www.12365auto.com/news/20200222/419249.shtml")</f>
        <v>http://www.12365auto.com/news/20200222/419249.shtml</v>
      </c>
      <c r="G3802" s="2"/>
      <c r="H3802" s="2" t="s">
        <v>5488</v>
      </c>
      <c r="I3802" s="2" t="s">
        <v>19</v>
      </c>
      <c r="J3802" s="2" t="s">
        <v>12</v>
      </c>
      <c r="K3802" s="2" t="s">
        <v>5487</v>
      </c>
      <c r="L3802" s="2">
        <f t="shared" si="59"/>
        <v>150</v>
      </c>
    </row>
    <row r="3803" spans="1:12" ht="25" customHeight="1">
      <c r="A3803" s="2" t="s">
        <v>12</v>
      </c>
      <c r="B3803" s="2" t="str">
        <f>HYPERLINK("http://m.12365auto.com/xcdg/20200222/419248.shtml","宝马6款新车将亮相日内瓦 全新4系最受关注")</f>
        <v>宝马6款新车将亮相日内瓦 全新4系最受关注</v>
      </c>
      <c r="C3803" s="2" t="s">
        <v>13</v>
      </c>
      <c r="D3803" s="2" t="s">
        <v>12</v>
      </c>
      <c r="E3803" s="2"/>
      <c r="F3803" s="2" t="str">
        <f>HYPERLINK("http://m.12365auto.com/xcdg/20200222/419248.shtml","http://m.12365auto.com/xcdg/20200222/419248.shtml")</f>
        <v>http://m.12365auto.com/xcdg/20200222/419248.shtml</v>
      </c>
      <c r="G3803" s="2"/>
      <c r="H3803" s="2" t="s">
        <v>5489</v>
      </c>
      <c r="I3803" s="2" t="s">
        <v>19</v>
      </c>
      <c r="J3803" s="2" t="s">
        <v>732</v>
      </c>
      <c r="K3803" s="2" t="s">
        <v>5490</v>
      </c>
      <c r="L3803" s="2">
        <f t="shared" si="59"/>
        <v>150</v>
      </c>
    </row>
    <row r="3804" spans="1:12" ht="25" customHeight="1">
      <c r="A3804" s="2" t="s">
        <v>12</v>
      </c>
      <c r="B3804" s="2" t="str">
        <f>HYPERLINK("http://www.12365auto.com/xcdg/20200222/419248.shtml","宝马6款新车将亮相日内瓦 全新4系最受关注")</f>
        <v>宝马6款新车将亮相日内瓦 全新4系最受关注</v>
      </c>
      <c r="C3804" s="2" t="s">
        <v>13</v>
      </c>
      <c r="D3804" s="2" t="s">
        <v>12</v>
      </c>
      <c r="E3804" s="2" t="s">
        <v>245</v>
      </c>
      <c r="F3804" s="2" t="str">
        <f>HYPERLINK("http://www.12365auto.com/xcdg/20200222/419248.shtml","http://www.12365auto.com/xcdg/20200222/419248.shtml")</f>
        <v>http://www.12365auto.com/xcdg/20200222/419248.shtml</v>
      </c>
      <c r="G3804" s="2"/>
      <c r="H3804" s="2" t="s">
        <v>5491</v>
      </c>
      <c r="I3804" s="2" t="s">
        <v>19</v>
      </c>
      <c r="J3804" s="2" t="s">
        <v>12</v>
      </c>
      <c r="K3804" s="2" t="s">
        <v>5490</v>
      </c>
      <c r="L3804" s="2">
        <f t="shared" si="59"/>
        <v>150</v>
      </c>
    </row>
    <row r="3805" spans="1:12" ht="25" customHeight="1">
      <c r="A3805" s="2" t="s">
        <v>12</v>
      </c>
      <c r="B3805" s="2" t="str">
        <f>HYPERLINK("http://www.12365auto.com/xcdg/20200222/419247.shtml","宝马全新M5低伪谍照曝光 搭4.4T/下半年亮相")</f>
        <v>宝马全新M5低伪谍照曝光 搭4.4T/下半年亮相</v>
      </c>
      <c r="C3805" s="2" t="s">
        <v>13</v>
      </c>
      <c r="D3805" s="2" t="s">
        <v>12</v>
      </c>
      <c r="E3805" s="2" t="s">
        <v>224</v>
      </c>
      <c r="F3805" s="2" t="str">
        <f>HYPERLINK("http://www.12365auto.com/xcdg/20200222/419247.shtml","http://www.12365auto.com/xcdg/20200222/419247.shtml")</f>
        <v>http://www.12365auto.com/xcdg/20200222/419247.shtml</v>
      </c>
      <c r="G3805" s="2"/>
      <c r="H3805" s="2" t="s">
        <v>5492</v>
      </c>
      <c r="I3805" s="2" t="s">
        <v>15</v>
      </c>
      <c r="J3805" s="2" t="s">
        <v>12</v>
      </c>
      <c r="K3805" s="2" t="s">
        <v>5493</v>
      </c>
      <c r="L3805" s="2">
        <f t="shared" si="59"/>
        <v>150</v>
      </c>
    </row>
    <row r="3806" spans="1:12" ht="25" customHeight="1">
      <c r="A3806" s="2" t="s">
        <v>12</v>
      </c>
      <c r="B3806" s="2" t="str">
        <f>HYPERLINK("http://m.12365auto.com/xcdg/20200222/419247.shtml","宝马全新M5低伪谍照曝光 搭4.4T/下半年亮相")</f>
        <v>宝马全新M5低伪谍照曝光 搭4.4T/下半年亮相</v>
      </c>
      <c r="C3806" s="2" t="s">
        <v>13</v>
      </c>
      <c r="D3806" s="2" t="s">
        <v>12</v>
      </c>
      <c r="E3806" s="2"/>
      <c r="F3806" s="2" t="str">
        <f>HYPERLINK("http://m.12365auto.com/xcdg/20200222/419247.shtml","http://m.12365auto.com/xcdg/20200222/419247.shtml")</f>
        <v>http://m.12365auto.com/xcdg/20200222/419247.shtml</v>
      </c>
      <c r="G3806" s="2"/>
      <c r="H3806" s="2" t="s">
        <v>5494</v>
      </c>
      <c r="I3806" s="2" t="s">
        <v>19</v>
      </c>
      <c r="J3806" s="2" t="s">
        <v>222</v>
      </c>
      <c r="K3806" s="2" t="s">
        <v>5493</v>
      </c>
      <c r="L3806" s="2">
        <f t="shared" si="59"/>
        <v>150</v>
      </c>
    </row>
    <row r="3807" spans="1:12" ht="25" customHeight="1">
      <c r="A3807" s="2" t="s">
        <v>12</v>
      </c>
      <c r="B3807" s="2" t="str">
        <f>HYPERLINK("http://www.12365auto.com/xcdg/20200222/419246.shtml","奔驰全新GLE插混版实车街拍 搭2.0T/5月开售")</f>
        <v>奔驰全新GLE插混版实车街拍 搭2.0T/5月开售</v>
      </c>
      <c r="C3807" s="2" t="s">
        <v>13</v>
      </c>
      <c r="D3807" s="2" t="s">
        <v>12</v>
      </c>
      <c r="E3807" s="2" t="s">
        <v>224</v>
      </c>
      <c r="F3807" s="2" t="str">
        <f>HYPERLINK("http://www.12365auto.com/xcdg/20200222/419246.shtml","http://www.12365auto.com/xcdg/20200222/419246.shtml")</f>
        <v>http://www.12365auto.com/xcdg/20200222/419246.shtml</v>
      </c>
      <c r="G3807" s="2"/>
      <c r="H3807" s="2" t="s">
        <v>5495</v>
      </c>
      <c r="I3807" s="2" t="s">
        <v>15</v>
      </c>
      <c r="J3807" s="2" t="s">
        <v>12</v>
      </c>
      <c r="K3807" s="2" t="s">
        <v>5496</v>
      </c>
      <c r="L3807" s="2">
        <f t="shared" si="59"/>
        <v>150</v>
      </c>
    </row>
    <row r="3808" spans="1:12" ht="25" customHeight="1">
      <c r="A3808" s="2" t="s">
        <v>12</v>
      </c>
      <c r="B3808" s="2" t="str">
        <f>HYPERLINK("http://www.12365auto.com/zlts/20200222/448114.shtml","东风悦达起亚KX3傲跑挡风玻璃漏水中控黑屏")</f>
        <v>东风悦达起亚KX3傲跑挡风玻璃漏水中控黑屏</v>
      </c>
      <c r="C3808" s="2" t="s">
        <v>13</v>
      </c>
      <c r="D3808" s="2" t="s">
        <v>12</v>
      </c>
      <c r="E3808" s="2" t="s">
        <v>17</v>
      </c>
      <c r="F3808" s="2" t="str">
        <f>HYPERLINK("http://www.12365auto.com/zlts/20200222/448114.shtml","http://www.12365auto.com/zlts/20200222/448114.shtml")</f>
        <v>http://www.12365auto.com/zlts/20200222/448114.shtml</v>
      </c>
      <c r="G3808" s="2"/>
      <c r="H3808" s="2" t="s">
        <v>5497</v>
      </c>
      <c r="I3808" s="2" t="s">
        <v>19</v>
      </c>
      <c r="J3808" s="2" t="s">
        <v>12</v>
      </c>
      <c r="K3808" s="2" t="s">
        <v>5496</v>
      </c>
      <c r="L3808" s="2">
        <f t="shared" si="59"/>
        <v>150</v>
      </c>
    </row>
    <row r="3809" spans="1:12" ht="25" customHeight="1">
      <c r="A3809" s="2" t="s">
        <v>12</v>
      </c>
      <c r="B3809" s="2" t="str">
        <f>HYPERLINK("http://m.12365auto.com/xcdg/20200222/419246.shtml","奔驰全新GLE插混版实车街拍 搭2.0T/5月开售")</f>
        <v>奔驰全新GLE插混版实车街拍 搭2.0T/5月开售</v>
      </c>
      <c r="C3809" s="2" t="s">
        <v>13</v>
      </c>
      <c r="D3809" s="2" t="s">
        <v>12</v>
      </c>
      <c r="E3809" s="2"/>
      <c r="F3809" s="2" t="str">
        <f>HYPERLINK("http://m.12365auto.com/xcdg/20200222/419246.shtml","http://m.12365auto.com/xcdg/20200222/419246.shtml")</f>
        <v>http://m.12365auto.com/xcdg/20200222/419246.shtml</v>
      </c>
      <c r="G3809" s="2"/>
      <c r="H3809" s="2" t="s">
        <v>5498</v>
      </c>
      <c r="I3809" s="2" t="s">
        <v>19</v>
      </c>
      <c r="J3809" s="2" t="s">
        <v>220</v>
      </c>
      <c r="K3809" s="2" t="s">
        <v>5496</v>
      </c>
      <c r="L3809" s="2">
        <f t="shared" si="59"/>
        <v>150</v>
      </c>
    </row>
    <row r="3810" spans="1:12" ht="25" customHeight="1">
      <c r="A3810" s="2" t="s">
        <v>12</v>
      </c>
      <c r="B3810" s="2" t="str">
        <f>HYPERLINK("http://www.12365auto.com/xcdg/20200222/419245.shtml","AC Schnitzer出宝马1系套件 外观性能双升级")</f>
        <v>AC Schnitzer出宝马1系套件 外观性能双升级</v>
      </c>
      <c r="C3810" s="2" t="s">
        <v>13</v>
      </c>
      <c r="D3810" s="2" t="s">
        <v>12</v>
      </c>
      <c r="E3810" s="2" t="s">
        <v>216</v>
      </c>
      <c r="F3810" s="2" t="str">
        <f>HYPERLINK("http://www.12365auto.com/xcdg/20200222/419245.shtml","http://www.12365auto.com/xcdg/20200222/419245.shtml")</f>
        <v>http://www.12365auto.com/xcdg/20200222/419245.shtml</v>
      </c>
      <c r="G3810" s="2"/>
      <c r="H3810" s="2" t="s">
        <v>5499</v>
      </c>
      <c r="I3810" s="2" t="s">
        <v>15</v>
      </c>
      <c r="J3810" s="2" t="s">
        <v>12</v>
      </c>
      <c r="K3810" s="2" t="s">
        <v>5500</v>
      </c>
      <c r="L3810" s="2">
        <f t="shared" si="59"/>
        <v>150</v>
      </c>
    </row>
    <row r="3811" spans="1:12" ht="25" customHeight="1">
      <c r="A3811" s="2" t="s">
        <v>12</v>
      </c>
      <c r="B3811" s="2" t="str">
        <f>HYPERLINK("http://m.12365auto.com/xcdg/20200222/419245.shtml","AC Schnitzer出宝马1系套件 外观性能双升级")</f>
        <v>AC Schnitzer出宝马1系套件 外观性能双升级</v>
      </c>
      <c r="C3811" s="2" t="s">
        <v>13</v>
      </c>
      <c r="D3811" s="2" t="s">
        <v>12</v>
      </c>
      <c r="E3811" s="2"/>
      <c r="F3811" s="2" t="str">
        <f>HYPERLINK("http://m.12365auto.com/xcdg/20200222/419245.shtml","http://m.12365auto.com/xcdg/20200222/419245.shtml")</f>
        <v>http://m.12365auto.com/xcdg/20200222/419245.shtml</v>
      </c>
      <c r="G3811" s="2"/>
      <c r="H3811" s="2" t="s">
        <v>5501</v>
      </c>
      <c r="I3811" s="2" t="s">
        <v>19</v>
      </c>
      <c r="J3811" s="2" t="s">
        <v>222</v>
      </c>
      <c r="K3811" s="2" t="s">
        <v>5500</v>
      </c>
      <c r="L3811" s="2">
        <f t="shared" si="59"/>
        <v>150</v>
      </c>
    </row>
    <row r="3812" spans="1:12" ht="25" customHeight="1">
      <c r="A3812" s="2" t="s">
        <v>12</v>
      </c>
      <c r="B3812" s="2" t="str">
        <f>HYPERLINK("http://www.12365auto.com/zlts/20200222/448113.shtml","一汽丰田威驰行驶中发动机异响4S店不处理")</f>
        <v>一汽丰田威驰行驶中发动机异响4S店不处理</v>
      </c>
      <c r="C3812" s="2" t="s">
        <v>13</v>
      </c>
      <c r="D3812" s="2" t="s">
        <v>12</v>
      </c>
      <c r="E3812" s="2" t="s">
        <v>17</v>
      </c>
      <c r="F3812" s="2" t="str">
        <f>HYPERLINK("http://www.12365auto.com/zlts/20200222/448113.shtml","http://www.12365auto.com/zlts/20200222/448113.shtml")</f>
        <v>http://www.12365auto.com/zlts/20200222/448113.shtml</v>
      </c>
      <c r="G3812" s="2"/>
      <c r="H3812" s="2" t="s">
        <v>5502</v>
      </c>
      <c r="I3812" s="2" t="s">
        <v>19</v>
      </c>
      <c r="J3812" s="2" t="s">
        <v>12</v>
      </c>
      <c r="K3812" s="2" t="s">
        <v>5503</v>
      </c>
      <c r="L3812" s="2">
        <f t="shared" si="59"/>
        <v>150</v>
      </c>
    </row>
    <row r="3813" spans="1:12" ht="25" customHeight="1">
      <c r="A3813" s="2" t="s">
        <v>12</v>
      </c>
      <c r="B3813" s="2" t="str">
        <f>HYPERLINK("http://www.12365auto.com/xcdg/20200222/419244.shtml","现代菲斯塔纯电动下周上市 预计17万起售")</f>
        <v>现代菲斯塔纯电动下周上市 预计17万起售</v>
      </c>
      <c r="C3813" s="2" t="s">
        <v>13</v>
      </c>
      <c r="D3813" s="2" t="s">
        <v>12</v>
      </c>
      <c r="E3813" s="2" t="s">
        <v>216</v>
      </c>
      <c r="F3813" s="2" t="str">
        <f>HYPERLINK("http://www.12365auto.com/xcdg/20200222/419244.shtml","http://www.12365auto.com/xcdg/20200222/419244.shtml")</f>
        <v>http://www.12365auto.com/xcdg/20200222/419244.shtml</v>
      </c>
      <c r="G3813" s="2"/>
      <c r="H3813" s="2" t="s">
        <v>5504</v>
      </c>
      <c r="I3813" s="2" t="s">
        <v>15</v>
      </c>
      <c r="J3813" s="2" t="s">
        <v>12</v>
      </c>
      <c r="K3813" s="2" t="s">
        <v>5505</v>
      </c>
      <c r="L3813" s="2">
        <f t="shared" si="59"/>
        <v>150</v>
      </c>
    </row>
    <row r="3814" spans="1:12" ht="25" customHeight="1">
      <c r="A3814" s="2" t="s">
        <v>12</v>
      </c>
      <c r="B3814" s="2" t="str">
        <f>HYPERLINK("http://m.12365auto.com/xcdg/20200222/419244.shtml","现代菲斯塔纯电动下周上市 预计17万起售")</f>
        <v>现代菲斯塔纯电动下周上市 预计17万起售</v>
      </c>
      <c r="C3814" s="2" t="s">
        <v>13</v>
      </c>
      <c r="D3814" s="2" t="s">
        <v>12</v>
      </c>
      <c r="E3814" s="2"/>
      <c r="F3814" s="2" t="str">
        <f>HYPERLINK("http://m.12365auto.com/xcdg/20200222/419244.shtml","http://m.12365auto.com/xcdg/20200222/419244.shtml")</f>
        <v>http://m.12365auto.com/xcdg/20200222/419244.shtml</v>
      </c>
      <c r="G3814" s="2"/>
      <c r="H3814" s="2" t="s">
        <v>5506</v>
      </c>
      <c r="I3814" s="2" t="s">
        <v>19</v>
      </c>
      <c r="J3814" s="2" t="s">
        <v>265</v>
      </c>
      <c r="K3814" s="2" t="s">
        <v>5505</v>
      </c>
      <c r="L3814" s="2">
        <f t="shared" si="59"/>
        <v>150</v>
      </c>
    </row>
    <row r="3815" spans="1:12" ht="25" customHeight="1">
      <c r="A3815" s="2" t="s">
        <v>12</v>
      </c>
      <c r="B3815" s="2" t="str">
        <f>HYPERLINK("http://www.12365auto.com/xcdg/20200222/419243.shtml","2020年上市的9款美系SUV 想要大尺寸不能错过")</f>
        <v>2020年上市的9款美系SUV 想要大尺寸不能错过</v>
      </c>
      <c r="C3815" s="2" t="s">
        <v>13</v>
      </c>
      <c r="D3815" s="2" t="s">
        <v>12</v>
      </c>
      <c r="E3815" s="2" t="s">
        <v>216</v>
      </c>
      <c r="F3815" s="2" t="str">
        <f>HYPERLINK("http://www.12365auto.com/xcdg/20200222/419243.shtml","http://www.12365auto.com/xcdg/20200222/419243.shtml")</f>
        <v>http://www.12365auto.com/xcdg/20200222/419243.shtml</v>
      </c>
      <c r="G3815" s="2"/>
      <c r="H3815" s="2" t="s">
        <v>5507</v>
      </c>
      <c r="I3815" s="2" t="s">
        <v>15</v>
      </c>
      <c r="J3815" s="2" t="s">
        <v>12</v>
      </c>
      <c r="K3815" s="2" t="s">
        <v>5508</v>
      </c>
      <c r="L3815" s="2">
        <f t="shared" si="59"/>
        <v>150</v>
      </c>
    </row>
    <row r="3816" spans="1:12" ht="25" customHeight="1">
      <c r="A3816" s="2" t="s">
        <v>12</v>
      </c>
      <c r="B3816" s="2" t="str">
        <f>HYPERLINK("http://m.12365auto.com/xcdg/20200222/419243.shtml","2020年上市的9款美系SUV 想要大尺寸不能错过")</f>
        <v>2020年上市的9款美系SUV 想要大尺寸不能错过</v>
      </c>
      <c r="C3816" s="2" t="s">
        <v>13</v>
      </c>
      <c r="D3816" s="2" t="s">
        <v>12</v>
      </c>
      <c r="E3816" s="2"/>
      <c r="F3816" s="2" t="str">
        <f>HYPERLINK("http://m.12365auto.com/xcdg/20200222/419243.shtml","http://m.12365auto.com/xcdg/20200222/419243.shtml")</f>
        <v>http://m.12365auto.com/xcdg/20200222/419243.shtml</v>
      </c>
      <c r="G3816" s="2"/>
      <c r="H3816" s="2" t="s">
        <v>5509</v>
      </c>
      <c r="I3816" s="2" t="s">
        <v>19</v>
      </c>
      <c r="J3816" s="2" t="s">
        <v>2603</v>
      </c>
      <c r="K3816" s="2" t="s">
        <v>5508</v>
      </c>
      <c r="L3816" s="2">
        <f t="shared" si="59"/>
        <v>150</v>
      </c>
    </row>
    <row r="3817" spans="1:12" ht="25" customHeight="1">
      <c r="A3817" s="2" t="s">
        <v>12</v>
      </c>
      <c r="B3817" s="2" t="str">
        <f>HYPERLINK("http://m.12365auto.com/xcdg/20200222/419242.shtml","梅赛德斯-AMG GT 73谍照 搭4.0T/增混动系统")</f>
        <v>梅赛德斯-AMG GT 73谍照 搭4.0T/增混动系统</v>
      </c>
      <c r="C3817" s="2" t="s">
        <v>13</v>
      </c>
      <c r="D3817" s="2" t="s">
        <v>12</v>
      </c>
      <c r="E3817" s="2"/>
      <c r="F3817" s="2" t="str">
        <f>HYPERLINK("http://m.12365auto.com/xcdg/20200222/419242.shtml","http://m.12365auto.com/xcdg/20200222/419242.shtml")</f>
        <v>http://m.12365auto.com/xcdg/20200222/419242.shtml</v>
      </c>
      <c r="G3817" s="2"/>
      <c r="H3817" s="2" t="s">
        <v>5066</v>
      </c>
      <c r="I3817" s="2" t="s">
        <v>19</v>
      </c>
      <c r="J3817" s="2" t="s">
        <v>220</v>
      </c>
      <c r="K3817" s="2" t="s">
        <v>5510</v>
      </c>
      <c r="L3817" s="2">
        <f t="shared" si="59"/>
        <v>150</v>
      </c>
    </row>
    <row r="3818" spans="1:12" ht="25" customHeight="1">
      <c r="A3818" s="2" t="s">
        <v>12</v>
      </c>
      <c r="B3818" s="2" t="str">
        <f>HYPERLINK("http://www.12365auto.com/xcdg/20200222/419242.shtml","梅赛德斯-AMG GT 73谍照 搭4.0T/增混动系统")</f>
        <v>梅赛德斯-AMG GT 73谍照 搭4.0T/增混动系统</v>
      </c>
      <c r="C3818" s="2" t="s">
        <v>13</v>
      </c>
      <c r="D3818" s="2" t="s">
        <v>12</v>
      </c>
      <c r="E3818" s="2" t="s">
        <v>224</v>
      </c>
      <c r="F3818" s="2" t="str">
        <f>HYPERLINK("http://www.12365auto.com/xcdg/20200222/419242.shtml","http://www.12365auto.com/xcdg/20200222/419242.shtml")</f>
        <v>http://www.12365auto.com/xcdg/20200222/419242.shtml</v>
      </c>
      <c r="G3818" s="2"/>
      <c r="H3818" s="2" t="s">
        <v>5068</v>
      </c>
      <c r="I3818" s="2" t="s">
        <v>15</v>
      </c>
      <c r="J3818" s="2" t="s">
        <v>12</v>
      </c>
      <c r="K3818" s="2" t="s">
        <v>5510</v>
      </c>
      <c r="L3818" s="2">
        <f t="shared" si="59"/>
        <v>150</v>
      </c>
    </row>
    <row r="3819" spans="1:12" ht="25" customHeight="1">
      <c r="A3819" s="2" t="s">
        <v>12</v>
      </c>
      <c r="B3819" s="2" t="str">
        <f>HYPERLINK("http://m.12365auto.com/xcdg/20200222/419241.shtml","奔驰两款全新SUV曝光 年内上市/续航达400km")</f>
        <v>奔驰两款全新SUV曝光 年内上市/续航达400km</v>
      </c>
      <c r="C3819" s="2" t="s">
        <v>13</v>
      </c>
      <c r="D3819" s="2" t="s">
        <v>12</v>
      </c>
      <c r="E3819" s="2"/>
      <c r="F3819" s="2" t="str">
        <f>HYPERLINK("http://m.12365auto.com/xcdg/20200222/419241.shtml","http://m.12365auto.com/xcdg/20200222/419241.shtml")</f>
        <v>http://m.12365auto.com/xcdg/20200222/419241.shtml</v>
      </c>
      <c r="G3819" s="2"/>
      <c r="H3819" s="2" t="s">
        <v>5511</v>
      </c>
      <c r="I3819" s="2" t="s">
        <v>19</v>
      </c>
      <c r="J3819" s="2" t="s">
        <v>222</v>
      </c>
      <c r="K3819" s="2" t="s">
        <v>5512</v>
      </c>
      <c r="L3819" s="2">
        <f t="shared" si="59"/>
        <v>150</v>
      </c>
    </row>
    <row r="3820" spans="1:12" ht="25" customHeight="1">
      <c r="A3820" s="2" t="s">
        <v>12</v>
      </c>
      <c r="B3820" s="2" t="str">
        <f>HYPERLINK("http://www.12365auto.com/xcdg/20200222/419241.shtml","奔驰两款全新SUV曝光 年内上市/续航达400km")</f>
        <v>奔驰两款全新SUV曝光 年内上市/续航达400km</v>
      </c>
      <c r="C3820" s="2" t="s">
        <v>13</v>
      </c>
      <c r="D3820" s="2" t="s">
        <v>12</v>
      </c>
      <c r="E3820" s="2" t="s">
        <v>216</v>
      </c>
      <c r="F3820" s="2" t="str">
        <f>HYPERLINK("http://www.12365auto.com/xcdg/20200222/419241.shtml","http://www.12365auto.com/xcdg/20200222/419241.shtml")</f>
        <v>http://www.12365auto.com/xcdg/20200222/419241.shtml</v>
      </c>
      <c r="G3820" s="2"/>
      <c r="H3820" s="2" t="s">
        <v>5513</v>
      </c>
      <c r="I3820" s="2" t="s">
        <v>15</v>
      </c>
      <c r="J3820" s="2" t="s">
        <v>12</v>
      </c>
      <c r="K3820" s="2" t="s">
        <v>5512</v>
      </c>
      <c r="L3820" s="2">
        <f t="shared" si="59"/>
        <v>150</v>
      </c>
    </row>
    <row r="3821" spans="1:12" ht="25" customHeight="1">
      <c r="A3821" s="2" t="s">
        <v>12</v>
      </c>
      <c r="B3821" s="2" t="str">
        <f>HYPERLINK("http://www.12365auto.com/xcdg/20200222/419240.shtml","比亚迪新款宋MAX纯电版曝光 外观设计调整")</f>
        <v>比亚迪新款宋MAX纯电版曝光 外观设计调整</v>
      </c>
      <c r="C3821" s="2" t="s">
        <v>13</v>
      </c>
      <c r="D3821" s="2" t="s">
        <v>12</v>
      </c>
      <c r="E3821" s="2" t="s">
        <v>216</v>
      </c>
      <c r="F3821" s="2" t="str">
        <f>HYPERLINK("http://www.12365auto.com/xcdg/20200222/419240.shtml","http://www.12365auto.com/xcdg/20200222/419240.shtml")</f>
        <v>http://www.12365auto.com/xcdg/20200222/419240.shtml</v>
      </c>
      <c r="G3821" s="2"/>
      <c r="H3821" s="2" t="s">
        <v>5514</v>
      </c>
      <c r="I3821" s="2" t="s">
        <v>15</v>
      </c>
      <c r="J3821" s="2" t="s">
        <v>12</v>
      </c>
      <c r="K3821" s="2" t="s">
        <v>5515</v>
      </c>
      <c r="L3821" s="2">
        <f t="shared" si="59"/>
        <v>150</v>
      </c>
    </row>
    <row r="3822" spans="1:12" ht="25" customHeight="1">
      <c r="A3822" s="2" t="s">
        <v>12</v>
      </c>
      <c r="B3822" s="2" t="str">
        <f>HYPERLINK("http://m.12365auto.com/xcdg/20200222/419240.shtml","比亚迪新款宋MAX纯电版曝光 外观设计调整")</f>
        <v>比亚迪新款宋MAX纯电版曝光 外观设计调整</v>
      </c>
      <c r="C3822" s="2" t="s">
        <v>13</v>
      </c>
      <c r="D3822" s="2" t="s">
        <v>12</v>
      </c>
      <c r="E3822" s="2"/>
      <c r="F3822" s="2" t="str">
        <f>HYPERLINK("http://m.12365auto.com/xcdg/20200222/419240.shtml","http://m.12365auto.com/xcdg/20200222/419240.shtml")</f>
        <v>http://m.12365auto.com/xcdg/20200222/419240.shtml</v>
      </c>
      <c r="G3822" s="2"/>
      <c r="H3822" s="2" t="s">
        <v>5516</v>
      </c>
      <c r="I3822" s="2" t="s">
        <v>19</v>
      </c>
      <c r="J3822" s="2" t="s">
        <v>2928</v>
      </c>
      <c r="K3822" s="2" t="s">
        <v>5515</v>
      </c>
      <c r="L3822" s="2">
        <f t="shared" si="59"/>
        <v>150</v>
      </c>
    </row>
    <row r="3823" spans="1:12" ht="25" customHeight="1">
      <c r="A3823" s="2" t="s">
        <v>12</v>
      </c>
      <c r="B3823" s="2" t="str">
        <f>HYPERLINK("http://www.12365auto.com/news/20200222/419239.shtml","外媒：中国考虑延长电动车购车补贴期限")</f>
        <v>外媒：中国考虑延长电动车购车补贴期限</v>
      </c>
      <c r="C3823" s="2" t="s">
        <v>13</v>
      </c>
      <c r="D3823" s="2" t="s">
        <v>12</v>
      </c>
      <c r="E3823" s="2" t="s">
        <v>282</v>
      </c>
      <c r="F3823" s="2" t="str">
        <f>HYPERLINK("http://www.12365auto.com/news/20200222/419239.shtml","http://www.12365auto.com/news/20200222/419239.shtml")</f>
        <v>http://www.12365auto.com/news/20200222/419239.shtml</v>
      </c>
      <c r="G3823" s="2"/>
      <c r="H3823" s="2" t="s">
        <v>5517</v>
      </c>
      <c r="I3823" s="2" t="s">
        <v>19</v>
      </c>
      <c r="J3823" s="2" t="s">
        <v>12</v>
      </c>
      <c r="K3823" s="2" t="s">
        <v>5518</v>
      </c>
      <c r="L3823" s="2">
        <f t="shared" si="59"/>
        <v>150</v>
      </c>
    </row>
    <row r="3824" spans="1:12" ht="25" customHeight="1">
      <c r="A3824" s="2" t="s">
        <v>12</v>
      </c>
      <c r="B3824" s="2" t="str">
        <f>HYPERLINK("http://m.12365auto.com/news/20200222/419239.shtml","外媒：中国考虑延长电动车购车补贴期限")</f>
        <v>外媒：中国考虑延长电动车购车补贴期限</v>
      </c>
      <c r="C3824" s="2" t="s">
        <v>13</v>
      </c>
      <c r="D3824" s="2" t="s">
        <v>12</v>
      </c>
      <c r="E3824" s="2"/>
      <c r="F3824" s="2" t="str">
        <f>HYPERLINK("http://m.12365auto.com/news/20200222/419239.shtml","http://m.12365auto.com/news/20200222/419239.shtml")</f>
        <v>http://m.12365auto.com/news/20200222/419239.shtml</v>
      </c>
      <c r="G3824" s="2"/>
      <c r="H3824" s="2" t="s">
        <v>5519</v>
      </c>
      <c r="I3824" s="2" t="s">
        <v>19</v>
      </c>
      <c r="J3824" s="2" t="s">
        <v>1968</v>
      </c>
      <c r="K3824" s="2" t="s">
        <v>5518</v>
      </c>
      <c r="L3824" s="2">
        <f t="shared" si="59"/>
        <v>150</v>
      </c>
    </row>
    <row r="3825" spans="1:12" ht="25" customHeight="1">
      <c r="A3825" s="2" t="s">
        <v>12</v>
      </c>
      <c r="B3825" s="2" t="str">
        <f>HYPERLINK("http://www.12365auto.com/news/20200222/419238.shtml","提升效率 本田宣布调整事业运营体制")</f>
        <v>提升效率 本田宣布调整事业运营体制</v>
      </c>
      <c r="C3825" s="2" t="s">
        <v>13</v>
      </c>
      <c r="D3825" s="2" t="s">
        <v>12</v>
      </c>
      <c r="E3825" s="2" t="s">
        <v>282</v>
      </c>
      <c r="F3825" s="2" t="str">
        <f>HYPERLINK("http://www.12365auto.com/news/20200222/419238.shtml","http://www.12365auto.com/news/20200222/419238.shtml")</f>
        <v>http://www.12365auto.com/news/20200222/419238.shtml</v>
      </c>
      <c r="G3825" s="2"/>
      <c r="H3825" s="2" t="s">
        <v>5520</v>
      </c>
      <c r="I3825" s="2" t="s">
        <v>19</v>
      </c>
      <c r="J3825" s="2" t="s">
        <v>12</v>
      </c>
      <c r="K3825" s="2" t="s">
        <v>5521</v>
      </c>
      <c r="L3825" s="2">
        <f t="shared" si="59"/>
        <v>150</v>
      </c>
    </row>
    <row r="3826" spans="1:12" ht="25" customHeight="1">
      <c r="A3826" s="2" t="s">
        <v>12</v>
      </c>
      <c r="B3826" s="2" t="str">
        <f>HYPERLINK("http://m.12365auto.com/news/20200222/419238.shtml","提升效率 本田宣布调整事业运营体制")</f>
        <v>提升效率 本田宣布调整事业运营体制</v>
      </c>
      <c r="C3826" s="2" t="s">
        <v>13</v>
      </c>
      <c r="D3826" s="2" t="s">
        <v>12</v>
      </c>
      <c r="E3826" s="2"/>
      <c r="F3826" s="2" t="str">
        <f>HYPERLINK("http://m.12365auto.com/news/20200222/419238.shtml","http://m.12365auto.com/news/20200222/419238.shtml")</f>
        <v>http://m.12365auto.com/news/20200222/419238.shtml</v>
      </c>
      <c r="G3826" s="2"/>
      <c r="H3826" s="2" t="s">
        <v>5522</v>
      </c>
      <c r="I3826" s="2" t="s">
        <v>19</v>
      </c>
      <c r="J3826" s="2" t="s">
        <v>1968</v>
      </c>
      <c r="K3826" s="2" t="s">
        <v>5521</v>
      </c>
      <c r="L3826" s="2">
        <f t="shared" si="59"/>
        <v>150</v>
      </c>
    </row>
    <row r="3827" spans="1:12" ht="25" customHeight="1">
      <c r="A3827" s="2" t="s">
        <v>12</v>
      </c>
      <c r="B3827" s="2" t="str">
        <f>HYPERLINK("http://www.12365auto.com/zlts/20200222/448111.shtml","华晨宝马3系经销商不提供备用钥匙")</f>
        <v>华晨宝马3系经销商不提供备用钥匙</v>
      </c>
      <c r="C3827" s="2" t="s">
        <v>13</v>
      </c>
      <c r="D3827" s="2" t="s">
        <v>12</v>
      </c>
      <c r="E3827" s="2" t="s">
        <v>17</v>
      </c>
      <c r="F3827" s="2" t="str">
        <f>HYPERLINK("http://www.12365auto.com/zlts/20200222/448111.shtml","http://www.12365auto.com/zlts/20200222/448111.shtml")</f>
        <v>http://www.12365auto.com/zlts/20200222/448111.shtml</v>
      </c>
      <c r="G3827" s="2"/>
      <c r="H3827" s="2" t="s">
        <v>5523</v>
      </c>
      <c r="I3827" s="2" t="s">
        <v>19</v>
      </c>
      <c r="J3827" s="2" t="s">
        <v>12</v>
      </c>
      <c r="K3827" s="2" t="s">
        <v>5524</v>
      </c>
      <c r="L3827" s="2">
        <f t="shared" si="59"/>
        <v>150</v>
      </c>
    </row>
    <row r="3828" spans="1:12" ht="25" customHeight="1">
      <c r="A3828" s="2" t="s">
        <v>12</v>
      </c>
      <c r="B3828" s="2" t="str">
        <f>HYPERLINK("http://www.12365auto.com/zlts/20200222/448108.shtml","东风雪铁龙世嘉保养后4S店未添加变速箱油")</f>
        <v>东风雪铁龙世嘉保养后4S店未添加变速箱油</v>
      </c>
      <c r="C3828" s="2" t="s">
        <v>13</v>
      </c>
      <c r="D3828" s="2" t="s">
        <v>12</v>
      </c>
      <c r="E3828" s="2" t="s">
        <v>17</v>
      </c>
      <c r="F3828" s="2" t="str">
        <f>HYPERLINK("http://www.12365auto.com/zlts/20200222/448108.shtml","http://www.12365auto.com/zlts/20200222/448108.shtml")</f>
        <v>http://www.12365auto.com/zlts/20200222/448108.shtml</v>
      </c>
      <c r="G3828" s="2"/>
      <c r="H3828" s="2" t="s">
        <v>5525</v>
      </c>
      <c r="I3828" s="2" t="s">
        <v>19</v>
      </c>
      <c r="J3828" s="2" t="s">
        <v>12</v>
      </c>
      <c r="K3828" s="2" t="s">
        <v>5526</v>
      </c>
      <c r="L3828" s="2">
        <f t="shared" si="59"/>
        <v>150</v>
      </c>
    </row>
    <row r="3829" spans="1:12" ht="25" customHeight="1">
      <c r="A3829" s="2" t="s">
        <v>12</v>
      </c>
      <c r="B3829" s="2" t="str">
        <f>HYPERLINK("http://www.12365auto.com/zlts/20200222/448105.shtml","一汽丰田卡罗拉颠簸路行驶减震器异响")</f>
        <v>一汽丰田卡罗拉颠簸路行驶减震器异响</v>
      </c>
      <c r="C3829" s="2" t="s">
        <v>13</v>
      </c>
      <c r="D3829" s="2" t="s">
        <v>12</v>
      </c>
      <c r="E3829" s="2" t="s">
        <v>17</v>
      </c>
      <c r="F3829" s="2" t="str">
        <f>HYPERLINK("http://www.12365auto.com/zlts/20200222/448105.shtml","http://www.12365auto.com/zlts/20200222/448105.shtml")</f>
        <v>http://www.12365auto.com/zlts/20200222/448105.shtml</v>
      </c>
      <c r="G3829" s="2"/>
      <c r="H3829" s="2" t="s">
        <v>5527</v>
      </c>
      <c r="I3829" s="2" t="s">
        <v>19</v>
      </c>
      <c r="J3829" s="2" t="s">
        <v>12</v>
      </c>
      <c r="K3829" s="2" t="s">
        <v>5528</v>
      </c>
      <c r="L3829" s="2">
        <f t="shared" si="59"/>
        <v>150</v>
      </c>
    </row>
    <row r="3830" spans="1:12" ht="25" customHeight="1">
      <c r="A3830" s="2" t="s">
        <v>12</v>
      </c>
      <c r="B3830" s="2" t="str">
        <f>HYPERLINK("http://www.12365auto.com/zlts/20200222/448103.shtml","奇瑞艾瑞泽5发动机缸体连杆配件损坏")</f>
        <v>奇瑞艾瑞泽5发动机缸体连杆配件损坏</v>
      </c>
      <c r="C3830" s="2" t="s">
        <v>13</v>
      </c>
      <c r="D3830" s="2" t="s">
        <v>12</v>
      </c>
      <c r="E3830" s="2" t="s">
        <v>17</v>
      </c>
      <c r="F3830" s="2" t="str">
        <f>HYPERLINK("http://www.12365auto.com/zlts/20200222/448103.shtml","http://www.12365auto.com/zlts/20200222/448103.shtml")</f>
        <v>http://www.12365auto.com/zlts/20200222/448103.shtml</v>
      </c>
      <c r="G3830" s="2"/>
      <c r="H3830" s="2" t="s">
        <v>5529</v>
      </c>
      <c r="I3830" s="2" t="s">
        <v>19</v>
      </c>
      <c r="J3830" s="2" t="s">
        <v>12</v>
      </c>
      <c r="K3830" s="2" t="s">
        <v>5530</v>
      </c>
      <c r="L3830" s="2">
        <f t="shared" si="59"/>
        <v>150</v>
      </c>
    </row>
    <row r="3831" spans="1:12" ht="25" customHeight="1">
      <c r="A3831" s="2" t="s">
        <v>12</v>
      </c>
      <c r="B3831" s="2" t="str">
        <f>HYPERLINK("http://www.12365auto.com/zlts/20200222/448102.shtml","一汽丰田卡罗拉仪表盘界面自动返回")</f>
        <v>一汽丰田卡罗拉仪表盘界面自动返回</v>
      </c>
      <c r="C3831" s="2" t="s">
        <v>13</v>
      </c>
      <c r="D3831" s="2" t="s">
        <v>12</v>
      </c>
      <c r="E3831" s="2" t="s">
        <v>17</v>
      </c>
      <c r="F3831" s="2" t="str">
        <f>HYPERLINK("http://www.12365auto.com/zlts/20200222/448102.shtml","http://www.12365auto.com/zlts/20200222/448102.shtml")</f>
        <v>http://www.12365auto.com/zlts/20200222/448102.shtml</v>
      </c>
      <c r="G3831" s="2"/>
      <c r="H3831" s="2" t="s">
        <v>5531</v>
      </c>
      <c r="I3831" s="2" t="s">
        <v>19</v>
      </c>
      <c r="J3831" s="2" t="s">
        <v>12</v>
      </c>
      <c r="K3831" s="2" t="s">
        <v>5532</v>
      </c>
      <c r="L3831" s="2">
        <f t="shared" si="59"/>
        <v>150</v>
      </c>
    </row>
    <row r="3832" spans="1:12" ht="25" customHeight="1">
      <c r="A3832" s="2" t="s">
        <v>12</v>
      </c>
      <c r="B3832" s="2" t="str">
        <f>HYPERLINK("http://www.12365auto.com/xcdg/20200222/419235.shtml","智能城市电动汽车 Honda e新车图解")</f>
        <v>智能城市电动汽车 Honda e新车图解</v>
      </c>
      <c r="C3832" s="2" t="s">
        <v>13</v>
      </c>
      <c r="D3832" s="2" t="s">
        <v>12</v>
      </c>
      <c r="E3832" s="2" t="s">
        <v>216</v>
      </c>
      <c r="F3832" s="2" t="str">
        <f>HYPERLINK("http://www.12365auto.com/xcdg/20200222/419235.shtml","http://www.12365auto.com/xcdg/20200222/419235.shtml")</f>
        <v>http://www.12365auto.com/xcdg/20200222/419235.shtml</v>
      </c>
      <c r="G3832" s="2"/>
      <c r="H3832" s="2" t="s">
        <v>5533</v>
      </c>
      <c r="I3832" s="2" t="s">
        <v>15</v>
      </c>
      <c r="J3832" s="2" t="s">
        <v>12</v>
      </c>
      <c r="K3832" s="2" t="s">
        <v>5534</v>
      </c>
      <c r="L3832" s="2">
        <f t="shared" si="59"/>
        <v>150</v>
      </c>
    </row>
    <row r="3833" spans="1:12" ht="25" customHeight="1">
      <c r="A3833" s="2" t="s">
        <v>12</v>
      </c>
      <c r="B3833" s="2" t="str">
        <f>HYPERLINK("http://www.12365auto.com/news/20200222/419236.shtml","小事故酿成大悲剧 二次事故该如何避免？")</f>
        <v>小事故酿成大悲剧 二次事故该如何避免？</v>
      </c>
      <c r="C3833" s="2" t="s">
        <v>13</v>
      </c>
      <c r="D3833" s="2" t="s">
        <v>12</v>
      </c>
      <c r="E3833" s="2" t="s">
        <v>372</v>
      </c>
      <c r="F3833" s="2" t="str">
        <f>HYPERLINK("http://www.12365auto.com/news/20200222/419236.shtml","http://www.12365auto.com/news/20200222/419236.shtml")</f>
        <v>http://www.12365auto.com/news/20200222/419236.shtml</v>
      </c>
      <c r="G3833" s="2"/>
      <c r="H3833" s="2" t="s">
        <v>5535</v>
      </c>
      <c r="I3833" s="2" t="s">
        <v>15</v>
      </c>
      <c r="J3833" s="2" t="s">
        <v>12</v>
      </c>
      <c r="K3833" s="2" t="s">
        <v>5534</v>
      </c>
      <c r="L3833" s="2">
        <f t="shared" si="59"/>
        <v>150</v>
      </c>
    </row>
    <row r="3834" spans="1:12" ht="25" customHeight="1">
      <c r="A3834" s="2" t="s">
        <v>12</v>
      </c>
      <c r="B3834" s="2" t="str">
        <f>HYPERLINK("http://www.12365auto.com/dcbg/20200222/419237.shtml","新车产品力指数：哪吒U")</f>
        <v>新车产品力指数：哪吒U</v>
      </c>
      <c r="C3834" s="2" t="s">
        <v>13</v>
      </c>
      <c r="D3834" s="2" t="s">
        <v>12</v>
      </c>
      <c r="E3834" s="2" t="s">
        <v>1319</v>
      </c>
      <c r="F3834" s="2" t="str">
        <f>HYPERLINK("http://www.12365auto.com/dcbg/20200222/419237.shtml","http://www.12365auto.com/dcbg/20200222/419237.shtml")</f>
        <v>http://www.12365auto.com/dcbg/20200222/419237.shtml</v>
      </c>
      <c r="G3834" s="2"/>
      <c r="H3834" s="2" t="s">
        <v>5536</v>
      </c>
      <c r="I3834" s="2" t="s">
        <v>15</v>
      </c>
      <c r="J3834" s="2" t="s">
        <v>12</v>
      </c>
      <c r="K3834" s="2" t="s">
        <v>5534</v>
      </c>
      <c r="L3834" s="2">
        <f t="shared" si="59"/>
        <v>150</v>
      </c>
    </row>
    <row r="3835" spans="1:12" ht="25" customHeight="1">
      <c r="A3835" s="2" t="s">
        <v>12</v>
      </c>
      <c r="B3835" s="2" t="str">
        <f>HYPERLINK("http://m.12365auto.com/xcdg/20200222/419235.shtml","智能城市电动汽车 Honda e新车图解")</f>
        <v>智能城市电动汽车 Honda e新车图解</v>
      </c>
      <c r="C3835" s="2" t="s">
        <v>13</v>
      </c>
      <c r="D3835" s="2" t="s">
        <v>12</v>
      </c>
      <c r="E3835" s="2"/>
      <c r="F3835" s="2" t="str">
        <f>HYPERLINK("http://m.12365auto.com/xcdg/20200222/419235.shtml","http://m.12365auto.com/xcdg/20200222/419235.shtml")</f>
        <v>http://m.12365auto.com/xcdg/20200222/419235.shtml</v>
      </c>
      <c r="G3835" s="2"/>
      <c r="H3835" s="2" t="s">
        <v>5537</v>
      </c>
      <c r="I3835" s="2" t="s">
        <v>19</v>
      </c>
      <c r="J3835" s="2" t="s">
        <v>1230</v>
      </c>
      <c r="K3835" s="2" t="s">
        <v>5534</v>
      </c>
      <c r="L3835" s="2">
        <f t="shared" si="59"/>
        <v>150</v>
      </c>
    </row>
    <row r="3836" spans="1:12" ht="25" customHeight="1">
      <c r="A3836" s="2" t="s">
        <v>12</v>
      </c>
      <c r="B3836" s="2" t="str">
        <f>HYPERLINK("http://m.12365auto.com/news/20200222/419236.shtml","小事故酿成大悲剧 二次事故该如何避免？")</f>
        <v>小事故酿成大悲剧 二次事故该如何避免？</v>
      </c>
      <c r="C3836" s="2" t="s">
        <v>13</v>
      </c>
      <c r="D3836" s="2" t="s">
        <v>12</v>
      </c>
      <c r="E3836" s="2"/>
      <c r="F3836" s="2" t="str">
        <f>HYPERLINK("http://m.12365auto.com/news/20200222/419236.shtml","http://m.12365auto.com/news/20200222/419236.shtml")</f>
        <v>http://m.12365auto.com/news/20200222/419236.shtml</v>
      </c>
      <c r="G3836" s="2"/>
      <c r="H3836" s="2" t="s">
        <v>5538</v>
      </c>
      <c r="I3836" s="2" t="s">
        <v>19</v>
      </c>
      <c r="J3836" s="2" t="s">
        <v>369</v>
      </c>
      <c r="K3836" s="2" t="s">
        <v>5534</v>
      </c>
      <c r="L3836" s="2">
        <f t="shared" si="59"/>
        <v>150</v>
      </c>
    </row>
    <row r="3837" spans="1:12" ht="25" customHeight="1">
      <c r="A3837" s="2" t="s">
        <v>12</v>
      </c>
      <c r="B3837" s="2" t="str">
        <f>HYPERLINK("http://m.12365auto.com/dcbg/20200222/419237.shtml","新车产品力指数：哪吒U")</f>
        <v>新车产品力指数：哪吒U</v>
      </c>
      <c r="C3837" s="2" t="s">
        <v>13</v>
      </c>
      <c r="D3837" s="2" t="s">
        <v>12</v>
      </c>
      <c r="E3837" s="2"/>
      <c r="F3837" s="2" t="str">
        <f>HYPERLINK("http://m.12365auto.com/dcbg/20200222/419237.shtml","http://m.12365auto.com/dcbg/20200222/419237.shtml")</f>
        <v>http://m.12365auto.com/dcbg/20200222/419237.shtml</v>
      </c>
      <c r="G3837" s="2"/>
      <c r="H3837" s="2" t="s">
        <v>5539</v>
      </c>
      <c r="I3837" s="2" t="s">
        <v>19</v>
      </c>
      <c r="J3837" s="2" t="s">
        <v>1326</v>
      </c>
      <c r="K3837" s="2" t="s">
        <v>5534</v>
      </c>
      <c r="L3837" s="2">
        <f t="shared" si="59"/>
        <v>150</v>
      </c>
    </row>
    <row r="3838" spans="1:12" ht="25" customHeight="1">
      <c r="A3838" s="2" t="s">
        <v>12</v>
      </c>
      <c r="B3838" s="2" t="str">
        <f>HYPERLINK("http://www.12365auto.com/zlts/20200222/448099.shtml","捷途X70S发动机故障灯亮 无法提速")</f>
        <v>捷途X70S发动机故障灯亮 无法提速</v>
      </c>
      <c r="C3838" s="2" t="s">
        <v>13</v>
      </c>
      <c r="D3838" s="2" t="s">
        <v>12</v>
      </c>
      <c r="E3838" s="2" t="s">
        <v>17</v>
      </c>
      <c r="F3838" s="2" t="str">
        <f>HYPERLINK("http://www.12365auto.com/zlts/20200222/448099.shtml","http://www.12365auto.com/zlts/20200222/448099.shtml")</f>
        <v>http://www.12365auto.com/zlts/20200222/448099.shtml</v>
      </c>
      <c r="G3838" s="2"/>
      <c r="H3838" s="2" t="s">
        <v>5540</v>
      </c>
      <c r="I3838" s="2" t="s">
        <v>19</v>
      </c>
      <c r="J3838" s="2" t="s">
        <v>12</v>
      </c>
      <c r="K3838" s="2" t="s">
        <v>5541</v>
      </c>
      <c r="L3838" s="2">
        <f t="shared" si="59"/>
        <v>150</v>
      </c>
    </row>
    <row r="3839" spans="1:12" ht="25" customHeight="1">
      <c r="A3839" s="2" t="s">
        <v>12</v>
      </c>
      <c r="B3839" s="2" t="str">
        <f>HYPERLINK("http://www.12365auto.com/zlts/20200222/448097.shtml","吉利帝豪车窗装饰板卡扣断裂造成车门共振")</f>
        <v>吉利帝豪车窗装饰板卡扣断裂造成车门共振</v>
      </c>
      <c r="C3839" s="2" t="s">
        <v>13</v>
      </c>
      <c r="D3839" s="2" t="s">
        <v>12</v>
      </c>
      <c r="E3839" s="2" t="s">
        <v>17</v>
      </c>
      <c r="F3839" s="2" t="str">
        <f>HYPERLINK("http://www.12365auto.com/zlts/20200222/448097.shtml","http://www.12365auto.com/zlts/20200222/448097.shtml")</f>
        <v>http://www.12365auto.com/zlts/20200222/448097.shtml</v>
      </c>
      <c r="G3839" s="2"/>
      <c r="H3839" s="2" t="s">
        <v>5542</v>
      </c>
      <c r="I3839" s="2" t="s">
        <v>19</v>
      </c>
      <c r="J3839" s="2" t="s">
        <v>12</v>
      </c>
      <c r="K3839" s="2" t="s">
        <v>5543</v>
      </c>
      <c r="L3839" s="2">
        <f t="shared" si="59"/>
        <v>150</v>
      </c>
    </row>
    <row r="3840" spans="1:12" ht="25" customHeight="1">
      <c r="A3840" s="2" t="s">
        <v>12</v>
      </c>
      <c r="B3840" s="2" t="str">
        <f>HYPERLINK("http://www.12365auto.com/zlts/20200222/448095.shtml","广汽本田雅阁电子手刹释放时异响")</f>
        <v>广汽本田雅阁电子手刹释放时异响</v>
      </c>
      <c r="C3840" s="2" t="s">
        <v>13</v>
      </c>
      <c r="D3840" s="2" t="s">
        <v>12</v>
      </c>
      <c r="E3840" s="2" t="s">
        <v>17</v>
      </c>
      <c r="F3840" s="2" t="str">
        <f>HYPERLINK("http://www.12365auto.com/zlts/20200222/448095.shtml","http://www.12365auto.com/zlts/20200222/448095.shtml")</f>
        <v>http://www.12365auto.com/zlts/20200222/448095.shtml</v>
      </c>
      <c r="G3840" s="2"/>
      <c r="H3840" s="2" t="s">
        <v>5544</v>
      </c>
      <c r="I3840" s="2" t="s">
        <v>19</v>
      </c>
      <c r="J3840" s="2" t="s">
        <v>12</v>
      </c>
      <c r="K3840" s="2" t="s">
        <v>5545</v>
      </c>
      <c r="L3840" s="2">
        <f t="shared" si="59"/>
        <v>150</v>
      </c>
    </row>
    <row r="3841" spans="1:12" ht="25" customHeight="1">
      <c r="A3841" s="2" t="s">
        <v>12</v>
      </c>
      <c r="B3841" s="2" t="str">
        <f>HYPERLINK("http://www.12365auto.com/zlts/20200222/448093.shtml","长安逸动空挡怠速车身严重共振抖动")</f>
        <v>长安逸动空挡怠速车身严重共振抖动</v>
      </c>
      <c r="C3841" s="2" t="s">
        <v>13</v>
      </c>
      <c r="D3841" s="2" t="s">
        <v>12</v>
      </c>
      <c r="E3841" s="2" t="s">
        <v>17</v>
      </c>
      <c r="F3841" s="2" t="str">
        <f>HYPERLINK("http://www.12365auto.com/zlts/20200222/448093.shtml","http://www.12365auto.com/zlts/20200222/448093.shtml")</f>
        <v>http://www.12365auto.com/zlts/20200222/448093.shtml</v>
      </c>
      <c r="G3841" s="2"/>
      <c r="H3841" s="2" t="s">
        <v>5546</v>
      </c>
      <c r="I3841" s="2" t="s">
        <v>19</v>
      </c>
      <c r="J3841" s="2" t="s">
        <v>12</v>
      </c>
      <c r="K3841" s="2" t="s">
        <v>5547</v>
      </c>
      <c r="L3841" s="2">
        <f t="shared" si="59"/>
        <v>150</v>
      </c>
    </row>
    <row r="3842" spans="1:12" ht="25" customHeight="1">
      <c r="A3842" s="2" t="s">
        <v>12</v>
      </c>
      <c r="B3842" s="2" t="str">
        <f>HYPERLINK("http://www.12365auto.com/zlts/20200221/448091.shtml","问题基本在图里但还有其他，4S店里也检测出来问题")</f>
        <v>问题基本在图里但还有其他，4S店里也检测出来问题</v>
      </c>
      <c r="C3842" s="2" t="s">
        <v>13</v>
      </c>
      <c r="D3842" s="2" t="s">
        <v>12</v>
      </c>
      <c r="E3842" s="2"/>
      <c r="F3842" s="2" t="str">
        <f>HYPERLINK("http://www.12365auto.com/zlts/20200221/448091.shtml","http://www.12365auto.com/zlts/20200221/448091.shtml")</f>
        <v>http://www.12365auto.com/zlts/20200221/448091.shtml</v>
      </c>
      <c r="G3842" s="2"/>
      <c r="H3842" s="2" t="s">
        <v>5549</v>
      </c>
      <c r="I3842" s="2" t="s">
        <v>15</v>
      </c>
      <c r="J3842" s="2" t="s">
        <v>12</v>
      </c>
      <c r="K3842" s="2" t="s">
        <v>5548</v>
      </c>
      <c r="L3842" s="2">
        <f t="shared" si="59"/>
        <v>88</v>
      </c>
    </row>
    <row r="3843" spans="1:12" ht="25" customHeight="1">
      <c r="A3843" s="2" t="s">
        <v>12</v>
      </c>
      <c r="B3843" s="2" t="str">
        <f>HYPERLINK("http://www.12365auto.com/zlts/20200221/448090.shtml","主驾驶前后门中间柱子里面异响严重")</f>
        <v>主驾驶前后门中间柱子里面异响严重</v>
      </c>
      <c r="C3843" s="2" t="s">
        <v>13</v>
      </c>
      <c r="D3843" s="2" t="s">
        <v>12</v>
      </c>
      <c r="E3843" s="2"/>
      <c r="F3843" s="2" t="str">
        <f>HYPERLINK("http://www.12365auto.com/zlts/20200221/448090.shtml","http://www.12365auto.com/zlts/20200221/448090.shtml")</f>
        <v>http://www.12365auto.com/zlts/20200221/448090.shtml</v>
      </c>
      <c r="G3843" s="2"/>
      <c r="H3843" s="2" t="s">
        <v>5550</v>
      </c>
      <c r="I3843" s="2" t="s">
        <v>15</v>
      </c>
      <c r="J3843" s="2" t="s">
        <v>12</v>
      </c>
      <c r="K3843" s="2" t="s">
        <v>5548</v>
      </c>
      <c r="L3843" s="2">
        <f t="shared" ref="L3843:L3906" si="60">LEN(H3843)</f>
        <v>84</v>
      </c>
    </row>
    <row r="3844" spans="1:12" ht="25" customHeight="1">
      <c r="A3844" s="2" t="s">
        <v>12</v>
      </c>
      <c r="B3844" s="2" t="str">
        <f>HYPERLINK("http://www.12365auto.com/zlts/20200221/448089.shtml","北京现代途胜召回升级后变速箱顿挫")</f>
        <v>北京现代途胜召回升级后变速箱顿挫</v>
      </c>
      <c r="C3844" s="2" t="s">
        <v>13</v>
      </c>
      <c r="D3844" s="2" t="s">
        <v>12</v>
      </c>
      <c r="E3844" s="2" t="s">
        <v>17</v>
      </c>
      <c r="F3844" s="2" t="str">
        <f>HYPERLINK("http://www.12365auto.com/zlts/20200221/448089.shtml","http://www.12365auto.com/zlts/20200221/448089.shtml")</f>
        <v>http://www.12365auto.com/zlts/20200221/448089.shtml</v>
      </c>
      <c r="G3844" s="2"/>
      <c r="H3844" s="2" t="s">
        <v>5551</v>
      </c>
      <c r="I3844" s="2" t="s">
        <v>19</v>
      </c>
      <c r="J3844" s="2" t="s">
        <v>12</v>
      </c>
      <c r="K3844" s="2" t="s">
        <v>5552</v>
      </c>
      <c r="L3844" s="2">
        <f t="shared" si="60"/>
        <v>150</v>
      </c>
    </row>
    <row r="3845" spans="1:12" ht="25" customHeight="1">
      <c r="A3845" s="2" t="s">
        <v>12</v>
      </c>
      <c r="B3845" s="2" t="str">
        <f>HYPERLINK("http://www.12365auto.com/zlts/20200221/448086.shtml","宝骏730高速行驶踩离合无反应无法挂挡")</f>
        <v>宝骏730高速行驶踩离合无反应无法挂挡</v>
      </c>
      <c r="C3845" s="2" t="s">
        <v>13</v>
      </c>
      <c r="D3845" s="2" t="s">
        <v>12</v>
      </c>
      <c r="E3845" s="2" t="s">
        <v>17</v>
      </c>
      <c r="F3845" s="2" t="str">
        <f>HYPERLINK("http://www.12365auto.com/zlts/20200221/448086.shtml","http://www.12365auto.com/zlts/20200221/448086.shtml")</f>
        <v>http://www.12365auto.com/zlts/20200221/448086.shtml</v>
      </c>
      <c r="G3845" s="2"/>
      <c r="H3845" s="2" t="s">
        <v>5553</v>
      </c>
      <c r="I3845" s="2" t="s">
        <v>19</v>
      </c>
      <c r="J3845" s="2" t="s">
        <v>12</v>
      </c>
      <c r="K3845" s="2" t="s">
        <v>5554</v>
      </c>
      <c r="L3845" s="2">
        <f t="shared" si="60"/>
        <v>150</v>
      </c>
    </row>
    <row r="3846" spans="1:12" ht="25" customHeight="1">
      <c r="A3846" s="2" t="s">
        <v>12</v>
      </c>
      <c r="B3846" s="2" t="str">
        <f>HYPERLINK("http://www.12365auto.com/zlts/20200221/448084.shtml","此车电瓶及车身电器系统放电现象")</f>
        <v>此车电瓶及车身电器系统放电现象</v>
      </c>
      <c r="C3846" s="2" t="s">
        <v>13</v>
      </c>
      <c r="D3846" s="2" t="s">
        <v>12</v>
      </c>
      <c r="E3846" s="2"/>
      <c r="F3846" s="2" t="str">
        <f>HYPERLINK("http://www.12365auto.com/zlts/20200221/448084.shtml","http://www.12365auto.com/zlts/20200221/448084.shtml")</f>
        <v>http://www.12365auto.com/zlts/20200221/448084.shtml</v>
      </c>
      <c r="G3846" s="2"/>
      <c r="H3846" s="2" t="s">
        <v>5556</v>
      </c>
      <c r="I3846" s="2" t="s">
        <v>15</v>
      </c>
      <c r="J3846" s="2" t="s">
        <v>12</v>
      </c>
      <c r="K3846" s="2" t="s">
        <v>5555</v>
      </c>
      <c r="L3846" s="2">
        <f t="shared" si="60"/>
        <v>82</v>
      </c>
    </row>
    <row r="3847" spans="1:12" ht="25" customHeight="1">
      <c r="A3847" s="2" t="s">
        <v>12</v>
      </c>
      <c r="B3847" s="2" t="str">
        <f>HYPERLINK("http://www.12365auto.com/zlts/20200221/448083.shtml","一汽大众速腾发动机转速高怠速不稳")</f>
        <v>一汽大众速腾发动机转速高怠速不稳</v>
      </c>
      <c r="C3847" s="2" t="s">
        <v>13</v>
      </c>
      <c r="D3847" s="2" t="s">
        <v>12</v>
      </c>
      <c r="E3847" s="2" t="s">
        <v>17</v>
      </c>
      <c r="F3847" s="2" t="str">
        <f>HYPERLINK("http://www.12365auto.com/zlts/20200221/448083.shtml","http://www.12365auto.com/zlts/20200221/448083.shtml")</f>
        <v>http://www.12365auto.com/zlts/20200221/448083.shtml</v>
      </c>
      <c r="G3847" s="2"/>
      <c r="H3847" s="2" t="s">
        <v>5557</v>
      </c>
      <c r="I3847" s="2" t="s">
        <v>19</v>
      </c>
      <c r="J3847" s="2" t="s">
        <v>12</v>
      </c>
      <c r="K3847" s="2" t="s">
        <v>5558</v>
      </c>
      <c r="L3847" s="2">
        <f t="shared" si="60"/>
        <v>150</v>
      </c>
    </row>
    <row r="3848" spans="1:12" ht="25" customHeight="1">
      <c r="A3848" s="2" t="s">
        <v>12</v>
      </c>
      <c r="B3848" s="2" t="str">
        <f>HYPERLINK("http://bbs.12365auto.com/postcontent.aspx?tID=194889","东风风光580吃轮胎4S店无法修复")</f>
        <v>东风风光580吃轮胎4S店无法修复</v>
      </c>
      <c r="C3848" s="2" t="s">
        <v>13</v>
      </c>
      <c r="D3848" s="2" t="s">
        <v>12</v>
      </c>
      <c r="E3848" s="2" t="s">
        <v>67</v>
      </c>
      <c r="F3848" s="2" t="str">
        <f>HYPERLINK("http://bbs.12365auto.com/postcontent.aspx?tID=194889","http://bbs.12365auto.com/postcontent.aspx?tID=194889")</f>
        <v>http://bbs.12365auto.com/postcontent.aspx?tID=194889</v>
      </c>
      <c r="G3848" s="2"/>
      <c r="H3848" s="2" t="s">
        <v>5559</v>
      </c>
      <c r="I3848" s="2" t="s">
        <v>15</v>
      </c>
      <c r="J3848" s="2" t="s">
        <v>5560</v>
      </c>
      <c r="K3848" s="2" t="s">
        <v>5561</v>
      </c>
      <c r="L3848" s="2">
        <f t="shared" si="60"/>
        <v>150</v>
      </c>
    </row>
    <row r="3849" spans="1:12" ht="25" customHeight="1">
      <c r="A3849" s="2" t="s">
        <v>12</v>
      </c>
      <c r="B3849" s="2" t="str">
        <f>HYPERLINK("http://bbs.12365auto.com/postcontent.aspx?tId=194889","东风风光580吃轮胎4S店无法修复")</f>
        <v>东风风光580吃轮胎4S店无法修复</v>
      </c>
      <c r="C3849" s="2" t="s">
        <v>13</v>
      </c>
      <c r="D3849" s="2" t="s">
        <v>12</v>
      </c>
      <c r="E3849" s="2" t="s">
        <v>66</v>
      </c>
      <c r="F3849" s="2" t="str">
        <f>HYPERLINK("http://bbs.12365auto.com/postcontent.aspx?tId=194889","http://bbs.12365auto.com/postcontent.aspx?tId=194889")</f>
        <v>http://bbs.12365auto.com/postcontent.aspx?tId=194889</v>
      </c>
      <c r="G3849" s="2"/>
      <c r="H3849" s="2" t="s">
        <v>5562</v>
      </c>
      <c r="I3849" s="2" t="s">
        <v>15</v>
      </c>
      <c r="J3849" s="2" t="s">
        <v>5560</v>
      </c>
      <c r="K3849" s="2" t="s">
        <v>5561</v>
      </c>
      <c r="L3849" s="2">
        <f t="shared" si="60"/>
        <v>113</v>
      </c>
    </row>
    <row r="3850" spans="1:12" ht="25" customHeight="1">
      <c r="A3850" s="2" t="s">
        <v>12</v>
      </c>
      <c r="B3850" s="2" t="str">
        <f>HYPERLINK("http://www.12365auto.com/zlts/20200221/448079.shtml","吉利帝豪车门生锈 底盘异响4S店无法处理")</f>
        <v>吉利帝豪车门生锈 底盘异响4S店无法处理</v>
      </c>
      <c r="C3850" s="2" t="s">
        <v>13</v>
      </c>
      <c r="D3850" s="2" t="s">
        <v>12</v>
      </c>
      <c r="E3850" s="2" t="s">
        <v>17</v>
      </c>
      <c r="F3850" s="2" t="str">
        <f>HYPERLINK("http://www.12365auto.com/zlts/20200221/448079.shtml","http://www.12365auto.com/zlts/20200221/448079.shtml")</f>
        <v>http://www.12365auto.com/zlts/20200221/448079.shtml</v>
      </c>
      <c r="G3850" s="2"/>
      <c r="H3850" s="2" t="s">
        <v>5563</v>
      </c>
      <c r="I3850" s="2" t="s">
        <v>19</v>
      </c>
      <c r="J3850" s="2" t="s">
        <v>12</v>
      </c>
      <c r="K3850" s="2" t="s">
        <v>5564</v>
      </c>
      <c r="L3850" s="2">
        <f t="shared" si="60"/>
        <v>150</v>
      </c>
    </row>
    <row r="3851" spans="1:12" ht="25" customHeight="1">
      <c r="A3851" s="2" t="s">
        <v>12</v>
      </c>
      <c r="B3851" s="2" t="str">
        <f>HYPERLINK("http://www.12365auto.com/zlts/20200221/448074.shtml","上汽大众帕萨特发动机漏油 变速箱异响")</f>
        <v>上汽大众帕萨特发动机漏油 变速箱异响</v>
      </c>
      <c r="C3851" s="2" t="s">
        <v>13</v>
      </c>
      <c r="D3851" s="2" t="s">
        <v>12</v>
      </c>
      <c r="E3851" s="2" t="s">
        <v>17</v>
      </c>
      <c r="F3851" s="2" t="str">
        <f>HYPERLINK("http://www.12365auto.com/zlts/20200221/448074.shtml","http://www.12365auto.com/zlts/20200221/448074.shtml")</f>
        <v>http://www.12365auto.com/zlts/20200221/448074.shtml</v>
      </c>
      <c r="G3851" s="2"/>
      <c r="H3851" s="2" t="s">
        <v>5565</v>
      </c>
      <c r="I3851" s="2" t="s">
        <v>19</v>
      </c>
      <c r="J3851" s="2" t="s">
        <v>12</v>
      </c>
      <c r="K3851" s="2" t="s">
        <v>5566</v>
      </c>
      <c r="L3851" s="2">
        <f t="shared" si="60"/>
        <v>150</v>
      </c>
    </row>
    <row r="3852" spans="1:12" ht="25" customHeight="1">
      <c r="A3852" s="2" t="s">
        <v>12</v>
      </c>
      <c r="B3852" s="2" t="str">
        <f>HYPERLINK("http://www.12365auto.com/zlts/20200221/448068.shtml","电池没电。")</f>
        <v>电池没电。</v>
      </c>
      <c r="C3852" s="2" t="s">
        <v>13</v>
      </c>
      <c r="D3852" s="2" t="s">
        <v>12</v>
      </c>
      <c r="E3852" s="2"/>
      <c r="F3852" s="2" t="str">
        <f>HYPERLINK("http://www.12365auto.com/zlts/20200221/448068.shtml","http://www.12365auto.com/zlts/20200221/448068.shtml")</f>
        <v>http://www.12365auto.com/zlts/20200221/448068.shtml</v>
      </c>
      <c r="G3852" s="2"/>
      <c r="H3852" s="2" t="s">
        <v>5568</v>
      </c>
      <c r="I3852" s="2" t="s">
        <v>15</v>
      </c>
      <c r="J3852" s="2" t="s">
        <v>12</v>
      </c>
      <c r="K3852" s="2" t="s">
        <v>5567</v>
      </c>
      <c r="L3852" s="2">
        <f t="shared" si="60"/>
        <v>84</v>
      </c>
    </row>
    <row r="3853" spans="1:12" ht="25" customHeight="1">
      <c r="A3853" s="2" t="s">
        <v>12</v>
      </c>
      <c r="B3853" s="2" t="str">
        <f>HYPERLINK("http://www.12365auto.com/zlts/20200221/448071.shtml","广汽本田雅阁行人保护装置设计缺陷")</f>
        <v>广汽本田雅阁行人保护装置设计缺陷</v>
      </c>
      <c r="C3853" s="2" t="s">
        <v>13</v>
      </c>
      <c r="D3853" s="2" t="s">
        <v>12</v>
      </c>
      <c r="E3853" s="2" t="s">
        <v>17</v>
      </c>
      <c r="F3853" s="2" t="str">
        <f>HYPERLINK("http://www.12365auto.com/zlts/20200221/448071.shtml","http://www.12365auto.com/zlts/20200221/448071.shtml")</f>
        <v>http://www.12365auto.com/zlts/20200221/448071.shtml</v>
      </c>
      <c r="G3853" s="2"/>
      <c r="H3853" s="2" t="s">
        <v>5569</v>
      </c>
      <c r="I3853" s="2" t="s">
        <v>19</v>
      </c>
      <c r="J3853" s="2" t="s">
        <v>12</v>
      </c>
      <c r="K3853" s="2" t="s">
        <v>5570</v>
      </c>
      <c r="L3853" s="2">
        <f t="shared" si="60"/>
        <v>150</v>
      </c>
    </row>
    <row r="3854" spans="1:12" ht="25" customHeight="1">
      <c r="A3854" s="2" t="s">
        <v>12</v>
      </c>
      <c r="B3854" s="2" t="str">
        <f>HYPERLINK("http://www.12365auto.com/zlts/20200221/448070.shtml","上汽大众途观L发动机漏油要求彻底解决")</f>
        <v>上汽大众途观L发动机漏油要求彻底解决</v>
      </c>
      <c r="C3854" s="2" t="s">
        <v>13</v>
      </c>
      <c r="D3854" s="2" t="s">
        <v>12</v>
      </c>
      <c r="E3854" s="2" t="s">
        <v>17</v>
      </c>
      <c r="F3854" s="2" t="str">
        <f>HYPERLINK("http://www.12365auto.com/zlts/20200221/448070.shtml","http://www.12365auto.com/zlts/20200221/448070.shtml")</f>
        <v>http://www.12365auto.com/zlts/20200221/448070.shtml</v>
      </c>
      <c r="G3854" s="2"/>
      <c r="H3854" s="2" t="s">
        <v>5571</v>
      </c>
      <c r="I3854" s="2" t="s">
        <v>19</v>
      </c>
      <c r="J3854" s="2" t="s">
        <v>12</v>
      </c>
      <c r="K3854" s="2" t="s">
        <v>5572</v>
      </c>
      <c r="L3854" s="2">
        <f t="shared" si="60"/>
        <v>150</v>
      </c>
    </row>
    <row r="3855" spans="1:12" ht="25" customHeight="1">
      <c r="A3855" s="2" t="s">
        <v>12</v>
      </c>
      <c r="B3855" s="2" t="str">
        <f>HYPERLINK("http://bbs.12365auto.com/postcontent.aspx?tID=194887","关于帕萨特碰撞测试 我们可能都被带偏了")</f>
        <v>关于帕萨特碰撞测试 我们可能都被带偏了</v>
      </c>
      <c r="C3855" s="2" t="s">
        <v>13</v>
      </c>
      <c r="D3855" s="2" t="s">
        <v>12</v>
      </c>
      <c r="E3855" s="2" t="s">
        <v>28</v>
      </c>
      <c r="F3855" s="2" t="str">
        <f>HYPERLINK("http://bbs.12365auto.com/postcontent.aspx?tID=194887","http://bbs.12365auto.com/postcontent.aspx?tID=194887")</f>
        <v>http://bbs.12365auto.com/postcontent.aspx?tID=194887</v>
      </c>
      <c r="G3855" s="2"/>
      <c r="H3855" s="2" t="s">
        <v>5573</v>
      </c>
      <c r="I3855" s="2" t="s">
        <v>15</v>
      </c>
      <c r="J3855" s="2" t="s">
        <v>5314</v>
      </c>
      <c r="K3855" s="2" t="s">
        <v>5574</v>
      </c>
      <c r="L3855" s="2">
        <f t="shared" si="60"/>
        <v>150</v>
      </c>
    </row>
    <row r="3856" spans="1:12" ht="25" customHeight="1">
      <c r="A3856" s="2" t="s">
        <v>12</v>
      </c>
      <c r="B3856" s="2" t="str">
        <f>HYPERLINK("http://bbs.12365auto.com/postcontent.aspx?tId=194887","关于帕萨特碰撞测试 我们可能都被带偏了")</f>
        <v>关于帕萨特碰撞测试 我们可能都被带偏了</v>
      </c>
      <c r="C3856" s="2" t="s">
        <v>13</v>
      </c>
      <c r="D3856" s="2" t="s">
        <v>12</v>
      </c>
      <c r="E3856" s="2" t="s">
        <v>27</v>
      </c>
      <c r="F3856" s="2" t="str">
        <f>HYPERLINK("http://bbs.12365auto.com/postcontent.aspx?tId=194887","http://bbs.12365auto.com/postcontent.aspx?tId=194887")</f>
        <v>http://bbs.12365auto.com/postcontent.aspx?tId=194887</v>
      </c>
      <c r="G3856" s="2"/>
      <c r="H3856" s="2" t="s">
        <v>5575</v>
      </c>
      <c r="I3856" s="2" t="s">
        <v>15</v>
      </c>
      <c r="J3856" s="2" t="s">
        <v>5314</v>
      </c>
      <c r="K3856" s="2" t="s">
        <v>5574</v>
      </c>
      <c r="L3856" s="2">
        <f t="shared" si="60"/>
        <v>150</v>
      </c>
    </row>
    <row r="3857" spans="1:12" ht="25" customHeight="1">
      <c r="A3857" s="2" t="s">
        <v>12</v>
      </c>
      <c r="B3857" s="2" t="str">
        <f>HYPERLINK("http://www.12365auto.com/zlts/20200221/448067.shtml","中控台响以及中控屏幕经常出现突然黑屏现象。")</f>
        <v>中控台响以及中控屏幕经常出现突然黑屏现象。</v>
      </c>
      <c r="C3857" s="2" t="s">
        <v>13</v>
      </c>
      <c r="D3857" s="2" t="s">
        <v>12</v>
      </c>
      <c r="E3857" s="2"/>
      <c r="F3857" s="2" t="str">
        <f>HYPERLINK("http://www.12365auto.com/zlts/20200221/448067.shtml","http://www.12365auto.com/zlts/20200221/448067.shtml")</f>
        <v>http://www.12365auto.com/zlts/20200221/448067.shtml</v>
      </c>
      <c r="G3857" s="2"/>
      <c r="H3857" s="2" t="s">
        <v>5577</v>
      </c>
      <c r="I3857" s="2" t="s">
        <v>15</v>
      </c>
      <c r="J3857" s="2" t="s">
        <v>12</v>
      </c>
      <c r="K3857" s="2" t="s">
        <v>5576</v>
      </c>
      <c r="L3857" s="2">
        <f t="shared" si="60"/>
        <v>86</v>
      </c>
    </row>
    <row r="3858" spans="1:12" ht="25" customHeight="1">
      <c r="A3858" s="2" t="s">
        <v>12</v>
      </c>
      <c r="B3858" s="2" t="str">
        <f>HYPERLINK("http://bbs.12365auto.com/postcontent.aspx?tID=194885","C-NCAP测试与中保研测试的差距在哪 我总结了一下")</f>
        <v>C-NCAP测试与中保研测试的差距在哪 我总结了一下</v>
      </c>
      <c r="C3858" s="2" t="s">
        <v>13</v>
      </c>
      <c r="D3858" s="2" t="s">
        <v>12</v>
      </c>
      <c r="E3858" s="2" t="s">
        <v>1393</v>
      </c>
      <c r="F3858" s="2" t="str">
        <f>HYPERLINK("http://bbs.12365auto.com/postcontent.aspx?tID=194885","http://bbs.12365auto.com/postcontent.aspx?tID=194885")</f>
        <v>http://bbs.12365auto.com/postcontent.aspx?tID=194885</v>
      </c>
      <c r="G3858" s="2"/>
      <c r="H3858" s="2" t="s">
        <v>5578</v>
      </c>
      <c r="I3858" s="2" t="s">
        <v>15</v>
      </c>
      <c r="J3858" s="2" t="s">
        <v>5324</v>
      </c>
      <c r="K3858" s="2" t="s">
        <v>5579</v>
      </c>
      <c r="L3858" s="2">
        <f t="shared" si="60"/>
        <v>150</v>
      </c>
    </row>
    <row r="3859" spans="1:12" ht="25" customHeight="1">
      <c r="A3859" s="2" t="s">
        <v>12</v>
      </c>
      <c r="B3859" s="2" t="str">
        <f>HYPERLINK("http://bbs.12365auto.com/postcontent.aspx?tId=194885","C-NCAP测试与中保研测试的差距在哪 我总结了一下")</f>
        <v>C-NCAP测试与中保研测试的差距在哪 我总结了一下</v>
      </c>
      <c r="C3859" s="2" t="s">
        <v>13</v>
      </c>
      <c r="D3859" s="2" t="s">
        <v>12</v>
      </c>
      <c r="E3859" s="2" t="s">
        <v>1397</v>
      </c>
      <c r="F3859" s="2" t="str">
        <f>HYPERLINK("http://bbs.12365auto.com/postcontent.aspx?tId=194885","http://bbs.12365auto.com/postcontent.aspx?tId=194885")</f>
        <v>http://bbs.12365auto.com/postcontent.aspx?tId=194885</v>
      </c>
      <c r="G3859" s="2"/>
      <c r="H3859" s="2" t="s">
        <v>5580</v>
      </c>
      <c r="I3859" s="2" t="s">
        <v>15</v>
      </c>
      <c r="J3859" s="2" t="s">
        <v>5324</v>
      </c>
      <c r="K3859" s="2" t="s">
        <v>5579</v>
      </c>
      <c r="L3859" s="2">
        <f t="shared" si="60"/>
        <v>150</v>
      </c>
    </row>
    <row r="3860" spans="1:12" ht="25" customHeight="1">
      <c r="A3860" s="2" t="s">
        <v>12</v>
      </c>
      <c r="B3860" s="2" t="str">
        <f>HYPERLINK("http://www.12365auto.com/zlts/20200221/448064.shtml","高速行驶“一悠一悠”的感觉")</f>
        <v>高速行驶“一悠一悠”的感觉</v>
      </c>
      <c r="C3860" s="2" t="s">
        <v>13</v>
      </c>
      <c r="D3860" s="2" t="s">
        <v>12</v>
      </c>
      <c r="E3860" s="2"/>
      <c r="F3860" s="2" t="str">
        <f>HYPERLINK("http://www.12365auto.com/zlts/20200221/448064.shtml","http://www.12365auto.com/zlts/20200221/448064.shtml")</f>
        <v>http://www.12365auto.com/zlts/20200221/448064.shtml</v>
      </c>
      <c r="G3860" s="2"/>
      <c r="H3860" s="2" t="s">
        <v>5582</v>
      </c>
      <c r="I3860" s="2" t="s">
        <v>15</v>
      </c>
      <c r="J3860" s="2" t="s">
        <v>12</v>
      </c>
      <c r="K3860" s="2" t="s">
        <v>5581</v>
      </c>
      <c r="L3860" s="2">
        <f t="shared" si="60"/>
        <v>84</v>
      </c>
    </row>
    <row r="3861" spans="1:12" ht="25" customHeight="1">
      <c r="A3861" s="2" t="s">
        <v>12</v>
      </c>
      <c r="B3861" s="2" t="str">
        <f>HYPERLINK("http://bbs.12365auto.com/postcontent.aspx?tID=194881","希望在2020年我能和帕萨特一起走过更多更远的路")</f>
        <v>希望在2020年我能和帕萨特一起走过更多更远的路</v>
      </c>
      <c r="C3861" s="2" t="s">
        <v>13</v>
      </c>
      <c r="D3861" s="2" t="s">
        <v>12</v>
      </c>
      <c r="E3861" s="2" t="s">
        <v>1393</v>
      </c>
      <c r="F3861" s="2" t="str">
        <f>HYPERLINK("http://bbs.12365auto.com/postcontent.aspx?tID=194881","http://bbs.12365auto.com/postcontent.aspx?tID=194881")</f>
        <v>http://bbs.12365auto.com/postcontent.aspx?tID=194881</v>
      </c>
      <c r="G3861" s="2"/>
      <c r="H3861" s="2" t="s">
        <v>5583</v>
      </c>
      <c r="I3861" s="2" t="s">
        <v>15</v>
      </c>
      <c r="J3861" s="2" t="s">
        <v>5314</v>
      </c>
      <c r="K3861" s="2" t="s">
        <v>5584</v>
      </c>
      <c r="L3861" s="2">
        <f t="shared" si="60"/>
        <v>150</v>
      </c>
    </row>
    <row r="3862" spans="1:12" ht="25" customHeight="1">
      <c r="A3862" s="2" t="s">
        <v>12</v>
      </c>
      <c r="B3862" s="2" t="str">
        <f>HYPERLINK("http://bbs.12365auto.com/postcontent.aspx?tId=194881","希望在2020年我能和帕萨特一起走过更多更远的路")</f>
        <v>希望在2020年我能和帕萨特一起走过更多更远的路</v>
      </c>
      <c r="C3862" s="2" t="s">
        <v>13</v>
      </c>
      <c r="D3862" s="2" t="s">
        <v>12</v>
      </c>
      <c r="E3862" s="2" t="s">
        <v>1397</v>
      </c>
      <c r="F3862" s="2" t="str">
        <f>HYPERLINK("http://bbs.12365auto.com/postcontent.aspx?tId=194881","http://bbs.12365auto.com/postcontent.aspx?tId=194881")</f>
        <v>http://bbs.12365auto.com/postcontent.aspx?tId=194881</v>
      </c>
      <c r="G3862" s="2"/>
      <c r="H3862" s="2" t="s">
        <v>5585</v>
      </c>
      <c r="I3862" s="2" t="s">
        <v>15</v>
      </c>
      <c r="J3862" s="2" t="s">
        <v>5314</v>
      </c>
      <c r="K3862" s="2" t="s">
        <v>5584</v>
      </c>
      <c r="L3862" s="2">
        <f t="shared" si="60"/>
        <v>150</v>
      </c>
    </row>
    <row r="3863" spans="1:12" ht="25" customHeight="1">
      <c r="A3863" s="2" t="s">
        <v>12</v>
      </c>
      <c r="B3863" s="2" t="str">
        <f>HYPERLINK("http://www.12365auto.com/zlts/20200221/448065.shtml","猎豹CS10变速箱在运转时有严重异响")</f>
        <v>猎豹CS10变速箱在运转时有严重异响</v>
      </c>
      <c r="C3863" s="2" t="s">
        <v>13</v>
      </c>
      <c r="D3863" s="2" t="s">
        <v>12</v>
      </c>
      <c r="E3863" s="2" t="s">
        <v>17</v>
      </c>
      <c r="F3863" s="2" t="str">
        <f>HYPERLINK("http://www.12365auto.com/zlts/20200221/448065.shtml","http://www.12365auto.com/zlts/20200221/448065.shtml")</f>
        <v>http://www.12365auto.com/zlts/20200221/448065.shtml</v>
      </c>
      <c r="G3863" s="2"/>
      <c r="H3863" s="2" t="s">
        <v>5586</v>
      </c>
      <c r="I3863" s="2" t="s">
        <v>19</v>
      </c>
      <c r="J3863" s="2" t="s">
        <v>12</v>
      </c>
      <c r="K3863" s="2" t="s">
        <v>5587</v>
      </c>
      <c r="L3863" s="2">
        <f t="shared" si="60"/>
        <v>150</v>
      </c>
    </row>
    <row r="3864" spans="1:12" ht="25" customHeight="1">
      <c r="A3864" s="2" t="s">
        <v>12</v>
      </c>
      <c r="B3864" s="2" t="str">
        <f>HYPERLINK("http://www.12365auto.com/zlts/20200221/448062.shtml","上汽名爵3发动机异响抖动非常严重")</f>
        <v>上汽名爵3发动机异响抖动非常严重</v>
      </c>
      <c r="C3864" s="2" t="s">
        <v>13</v>
      </c>
      <c r="D3864" s="2" t="s">
        <v>12</v>
      </c>
      <c r="E3864" s="2" t="s">
        <v>17</v>
      </c>
      <c r="F3864" s="2" t="str">
        <f>HYPERLINK("http://www.12365auto.com/zlts/20200221/448062.shtml","http://www.12365auto.com/zlts/20200221/448062.shtml")</f>
        <v>http://www.12365auto.com/zlts/20200221/448062.shtml</v>
      </c>
      <c r="G3864" s="2"/>
      <c r="H3864" s="2" t="s">
        <v>5588</v>
      </c>
      <c r="I3864" s="2" t="s">
        <v>19</v>
      </c>
      <c r="J3864" s="2" t="s">
        <v>12</v>
      </c>
      <c r="K3864" s="2" t="s">
        <v>5589</v>
      </c>
      <c r="L3864" s="2">
        <f t="shared" si="60"/>
        <v>150</v>
      </c>
    </row>
    <row r="3865" spans="1:12" ht="25" customHeight="1">
      <c r="A3865" s="2" t="s">
        <v>12</v>
      </c>
      <c r="B3865" s="2" t="str">
        <f>HYPERLINK("http://bbs.12365auto.com/postcontent.aspx?tId=194876","冬天过去了 春天马上就来了")</f>
        <v>冬天过去了 春天马上就来了</v>
      </c>
      <c r="C3865" s="2" t="s">
        <v>13</v>
      </c>
      <c r="D3865" s="2" t="s">
        <v>12</v>
      </c>
      <c r="E3865" s="2" t="s">
        <v>210</v>
      </c>
      <c r="F3865" s="2" t="str">
        <f>HYPERLINK("http://bbs.12365auto.com/postcontent.aspx?tId=194876","http://bbs.12365auto.com/postcontent.aspx?tId=194876")</f>
        <v>http://bbs.12365auto.com/postcontent.aspx?tId=194876</v>
      </c>
      <c r="G3865" s="2"/>
      <c r="H3865" s="2" t="s">
        <v>5590</v>
      </c>
      <c r="I3865" s="2" t="s">
        <v>15</v>
      </c>
      <c r="J3865" s="2" t="s">
        <v>5328</v>
      </c>
      <c r="K3865" s="2" t="s">
        <v>5591</v>
      </c>
      <c r="L3865" s="2">
        <f t="shared" si="60"/>
        <v>150</v>
      </c>
    </row>
    <row r="3866" spans="1:12" ht="25" customHeight="1">
      <c r="A3866" s="2" t="s">
        <v>12</v>
      </c>
      <c r="B3866" s="2" t="str">
        <f>HYPERLINK("http://bbs.12365auto.com/postcontent.aspx?tID=194876","冬天过去了 春天马上就来了")</f>
        <v>冬天过去了 春天马上就来了</v>
      </c>
      <c r="C3866" s="2" t="s">
        <v>13</v>
      </c>
      <c r="D3866" s="2" t="s">
        <v>12</v>
      </c>
      <c r="E3866" s="2" t="s">
        <v>214</v>
      </c>
      <c r="F3866" s="2" t="str">
        <f>HYPERLINK("http://bbs.12365auto.com/postcontent.aspx?tID=194876","http://bbs.12365auto.com/postcontent.aspx?tID=194876")</f>
        <v>http://bbs.12365auto.com/postcontent.aspx?tID=194876</v>
      </c>
      <c r="G3866" s="2"/>
      <c r="H3866" s="2" t="s">
        <v>5592</v>
      </c>
      <c r="I3866" s="2" t="s">
        <v>15</v>
      </c>
      <c r="J3866" s="2" t="s">
        <v>5328</v>
      </c>
      <c r="K3866" s="2" t="s">
        <v>5591</v>
      </c>
      <c r="L3866" s="2">
        <f t="shared" si="60"/>
        <v>150</v>
      </c>
    </row>
    <row r="3867" spans="1:12" ht="25" customHeight="1">
      <c r="A3867" s="2" t="s">
        <v>12</v>
      </c>
      <c r="B3867" s="2" t="str">
        <f>HYPERLINK("http://bbs.12365auto.com/postcontent.aspx?tId=194875","情怀依旧---老款帕萨特车主感受新款大众帕萨特")</f>
        <v>情怀依旧---老款帕萨特车主感受新款大众帕萨特</v>
      </c>
      <c r="C3867" s="2" t="s">
        <v>13</v>
      </c>
      <c r="D3867" s="2" t="s">
        <v>12</v>
      </c>
      <c r="E3867" s="2" t="s">
        <v>210</v>
      </c>
      <c r="F3867" s="2" t="str">
        <f>HYPERLINK("http://bbs.12365auto.com/postcontent.aspx?tId=194875","http://bbs.12365auto.com/postcontent.aspx?tId=194875")</f>
        <v>http://bbs.12365auto.com/postcontent.aspx?tId=194875</v>
      </c>
      <c r="G3867" s="2"/>
      <c r="H3867" s="2" t="s">
        <v>5593</v>
      </c>
      <c r="I3867" s="2" t="s">
        <v>15</v>
      </c>
      <c r="J3867" s="2" t="s">
        <v>5594</v>
      </c>
      <c r="K3867" s="2" t="s">
        <v>5595</v>
      </c>
      <c r="L3867" s="2">
        <f t="shared" si="60"/>
        <v>150</v>
      </c>
    </row>
    <row r="3868" spans="1:12" ht="25" customHeight="1">
      <c r="A3868" s="2" t="s">
        <v>12</v>
      </c>
      <c r="B3868" s="2" t="str">
        <f>HYPERLINK("http://bbs.12365auto.com/postcontent.aspx?tID=194875","情怀依旧---老款帕萨特车主感受新款大众帕萨特")</f>
        <v>情怀依旧---老款帕萨特车主感受新款大众帕萨特</v>
      </c>
      <c r="C3868" s="2" t="s">
        <v>13</v>
      </c>
      <c r="D3868" s="2" t="s">
        <v>12</v>
      </c>
      <c r="E3868" s="2" t="s">
        <v>214</v>
      </c>
      <c r="F3868" s="2" t="str">
        <f>HYPERLINK("http://bbs.12365auto.com/postcontent.aspx?tID=194875","http://bbs.12365auto.com/postcontent.aspx?tID=194875")</f>
        <v>http://bbs.12365auto.com/postcontent.aspx?tID=194875</v>
      </c>
      <c r="G3868" s="2"/>
      <c r="H3868" s="2" t="s">
        <v>5596</v>
      </c>
      <c r="I3868" s="2" t="s">
        <v>15</v>
      </c>
      <c r="J3868" s="2" t="s">
        <v>5594</v>
      </c>
      <c r="K3868" s="2" t="s">
        <v>5595</v>
      </c>
      <c r="L3868" s="2">
        <f t="shared" si="60"/>
        <v>150</v>
      </c>
    </row>
    <row r="3869" spans="1:12" ht="25" customHeight="1">
      <c r="A3869" s="2" t="s">
        <v>12</v>
      </c>
      <c r="B3869" s="2" t="str">
        <f>HYPERLINK("http://bbs.12365auto.com/postcontent.aspx?tId=194864","五种驾驶模式 帕萨特PHEV带给我的不同驾驶乐趣")</f>
        <v>五种驾驶模式 帕萨特PHEV带给我的不同驾驶乐趣</v>
      </c>
      <c r="C3869" s="2" t="s">
        <v>13</v>
      </c>
      <c r="D3869" s="2" t="s">
        <v>12</v>
      </c>
      <c r="E3869" s="2" t="s">
        <v>210</v>
      </c>
      <c r="F3869" s="2" t="str">
        <f>HYPERLINK("http://bbs.12365auto.com/postcontent.aspx?tId=194864","http://bbs.12365auto.com/postcontent.aspx?tId=194864")</f>
        <v>http://bbs.12365auto.com/postcontent.aspx?tId=194864</v>
      </c>
      <c r="G3869" s="2"/>
      <c r="H3869" s="2" t="s">
        <v>5597</v>
      </c>
      <c r="I3869" s="2" t="s">
        <v>15</v>
      </c>
      <c r="J3869" s="2" t="s">
        <v>5337</v>
      </c>
      <c r="K3869" s="2" t="s">
        <v>5598</v>
      </c>
      <c r="L3869" s="2">
        <f t="shared" si="60"/>
        <v>150</v>
      </c>
    </row>
    <row r="3870" spans="1:12" ht="25" customHeight="1">
      <c r="A3870" s="2" t="s">
        <v>12</v>
      </c>
      <c r="B3870" s="2" t="str">
        <f>HYPERLINK("http://bbs.12365auto.com/postcontent.aspx?tID=194864","五种驾驶模式 帕萨特PHEV带给我的不同驾驶乐趣")</f>
        <v>五种驾驶模式 帕萨特PHEV带给我的不同驾驶乐趣</v>
      </c>
      <c r="C3870" s="2" t="s">
        <v>13</v>
      </c>
      <c r="D3870" s="2" t="s">
        <v>12</v>
      </c>
      <c r="E3870" s="2" t="s">
        <v>214</v>
      </c>
      <c r="F3870" s="2" t="str">
        <f>HYPERLINK("http://bbs.12365auto.com/postcontent.aspx?tID=194864","http://bbs.12365auto.com/postcontent.aspx?tID=194864")</f>
        <v>http://bbs.12365auto.com/postcontent.aspx?tID=194864</v>
      </c>
      <c r="G3870" s="2"/>
      <c r="H3870" s="2" t="s">
        <v>5599</v>
      </c>
      <c r="I3870" s="2" t="s">
        <v>15</v>
      </c>
      <c r="J3870" s="2" t="s">
        <v>5337</v>
      </c>
      <c r="K3870" s="2" t="s">
        <v>5598</v>
      </c>
      <c r="L3870" s="2">
        <f t="shared" si="60"/>
        <v>150</v>
      </c>
    </row>
    <row r="3871" spans="1:12" ht="25" customHeight="1">
      <c r="A3871" s="2" t="s">
        <v>12</v>
      </c>
      <c r="B3871" s="2" t="str">
        <f>HYPERLINK("http://www.12365auto.com/zlts/20200221/448059.shtml","华晨宝马X1马牌轮胎出现多处裂痕")</f>
        <v>华晨宝马X1马牌轮胎出现多处裂痕</v>
      </c>
      <c r="C3871" s="2" t="s">
        <v>13</v>
      </c>
      <c r="D3871" s="2" t="s">
        <v>12</v>
      </c>
      <c r="E3871" s="2" t="s">
        <v>17</v>
      </c>
      <c r="F3871" s="2" t="str">
        <f>HYPERLINK("http://www.12365auto.com/zlts/20200221/448059.shtml","http://www.12365auto.com/zlts/20200221/448059.shtml")</f>
        <v>http://www.12365auto.com/zlts/20200221/448059.shtml</v>
      </c>
      <c r="G3871" s="2"/>
      <c r="H3871" s="2" t="s">
        <v>5600</v>
      </c>
      <c r="I3871" s="2" t="s">
        <v>19</v>
      </c>
      <c r="J3871" s="2" t="s">
        <v>12</v>
      </c>
      <c r="K3871" s="2" t="s">
        <v>5601</v>
      </c>
      <c r="L3871" s="2">
        <f t="shared" si="60"/>
        <v>150</v>
      </c>
    </row>
    <row r="3872" spans="1:12" ht="25" customHeight="1">
      <c r="A3872" s="2" t="s">
        <v>12</v>
      </c>
      <c r="B3872" s="2" t="str">
        <f>HYPERLINK("http://m.12365auto.com/zjdy/20200221/121482.shtml","东风日产逍客加速时顿挫是什么原因？")</f>
        <v>东风日产逍客加速时顿挫是什么原因？</v>
      </c>
      <c r="C3872" s="2" t="s">
        <v>13</v>
      </c>
      <c r="D3872" s="2" t="s">
        <v>12</v>
      </c>
      <c r="E3872" s="2"/>
      <c r="F3872" s="2" t="str">
        <f>HYPERLINK("http://m.12365auto.com/zjdy/20200221/121482.shtml","http://m.12365auto.com/zjdy/20200221/121482.shtml")</f>
        <v>http://m.12365auto.com/zjdy/20200221/121482.shtml</v>
      </c>
      <c r="G3872" s="2"/>
      <c r="H3872" s="2" t="s">
        <v>5602</v>
      </c>
      <c r="I3872" s="2" t="s">
        <v>19</v>
      </c>
      <c r="J3872" s="2" t="s">
        <v>12</v>
      </c>
      <c r="K3872" s="2" t="s">
        <v>5603</v>
      </c>
      <c r="L3872" s="2">
        <f t="shared" si="60"/>
        <v>83</v>
      </c>
    </row>
    <row r="3873" spans="1:12" ht="25" customHeight="1">
      <c r="A3873" s="2" t="s">
        <v>12</v>
      </c>
      <c r="B3873" s="2" t="str">
        <f>HYPERLINK("http://www.12365auto.com/zlts/20200221/448056.shtml","一汽大众捷达凉车启动及行驶时变速箱异响")</f>
        <v>一汽大众捷达凉车启动及行驶时变速箱异响</v>
      </c>
      <c r="C3873" s="2" t="s">
        <v>13</v>
      </c>
      <c r="D3873" s="2" t="s">
        <v>12</v>
      </c>
      <c r="E3873" s="2" t="s">
        <v>17</v>
      </c>
      <c r="F3873" s="2" t="str">
        <f>HYPERLINK("http://www.12365auto.com/zlts/20200221/448056.shtml","http://www.12365auto.com/zlts/20200221/448056.shtml")</f>
        <v>http://www.12365auto.com/zlts/20200221/448056.shtml</v>
      </c>
      <c r="G3873" s="2"/>
      <c r="H3873" s="2" t="s">
        <v>5604</v>
      </c>
      <c r="I3873" s="2" t="s">
        <v>19</v>
      </c>
      <c r="J3873" s="2" t="s">
        <v>12</v>
      </c>
      <c r="K3873" s="2" t="s">
        <v>5605</v>
      </c>
      <c r="L3873" s="2">
        <f t="shared" si="60"/>
        <v>150</v>
      </c>
    </row>
    <row r="3874" spans="1:12" ht="25" customHeight="1">
      <c r="A3874" s="2" t="s">
        <v>12</v>
      </c>
      <c r="B3874" s="2" t="str">
        <f>HYPERLINK("http://bbs.12365auto.com/postcontent.aspx?tId=194863","第一款国产老解放牌汽车 手摇式点火")</f>
        <v>第一款国产老解放牌汽车 手摇式点火</v>
      </c>
      <c r="C3874" s="2" t="s">
        <v>13</v>
      </c>
      <c r="D3874" s="2" t="s">
        <v>12</v>
      </c>
      <c r="E3874" s="2" t="s">
        <v>210</v>
      </c>
      <c r="F3874" s="2" t="str">
        <f>HYPERLINK("http://bbs.12365auto.com/postcontent.aspx?tId=194863","http://bbs.12365auto.com/postcontent.aspx?tId=194863")</f>
        <v>http://bbs.12365auto.com/postcontent.aspx?tId=194863</v>
      </c>
      <c r="G3874" s="2"/>
      <c r="H3874" s="2" t="s">
        <v>5606</v>
      </c>
      <c r="I3874" s="2" t="s">
        <v>15</v>
      </c>
      <c r="J3874" s="2" t="s">
        <v>1386</v>
      </c>
      <c r="K3874" s="2" t="s">
        <v>5607</v>
      </c>
      <c r="L3874" s="2">
        <f t="shared" si="60"/>
        <v>150</v>
      </c>
    </row>
    <row r="3875" spans="1:12" ht="25" customHeight="1">
      <c r="A3875" s="2" t="s">
        <v>12</v>
      </c>
      <c r="B3875" s="2" t="str">
        <f>HYPERLINK("http://bbs.12365auto.com/postcontent.aspx?tID=194863","第一款国产老解放牌汽车 手摇式点火")</f>
        <v>第一款国产老解放牌汽车 手摇式点火</v>
      </c>
      <c r="C3875" s="2" t="s">
        <v>13</v>
      </c>
      <c r="D3875" s="2" t="s">
        <v>12</v>
      </c>
      <c r="E3875" s="2" t="s">
        <v>214</v>
      </c>
      <c r="F3875" s="2" t="str">
        <f>HYPERLINK("http://bbs.12365auto.com/postcontent.aspx?tID=194863","http://bbs.12365auto.com/postcontent.aspx?tID=194863")</f>
        <v>http://bbs.12365auto.com/postcontent.aspx?tID=194863</v>
      </c>
      <c r="G3875" s="2"/>
      <c r="H3875" s="2" t="s">
        <v>5608</v>
      </c>
      <c r="I3875" s="2" t="s">
        <v>15</v>
      </c>
      <c r="J3875" s="2" t="s">
        <v>1386</v>
      </c>
      <c r="K3875" s="2" t="s">
        <v>5607</v>
      </c>
      <c r="L3875" s="2">
        <f t="shared" si="60"/>
        <v>150</v>
      </c>
    </row>
    <row r="3876" spans="1:12" ht="25" customHeight="1">
      <c r="A3876" s="2" t="s">
        <v>12</v>
      </c>
      <c r="B3876" s="2" t="str">
        <f>HYPERLINK("http://m.12365auto.com/bbs/postcontent.aspx?tID=194863","第一款国产老解放牌汽车 手摇式点火")</f>
        <v>第一款国产老解放牌汽车 手摇式点火</v>
      </c>
      <c r="C3876" s="2" t="s">
        <v>13</v>
      </c>
      <c r="D3876" s="2" t="s">
        <v>23</v>
      </c>
      <c r="E3876" s="2"/>
      <c r="F3876" s="2" t="str">
        <f>HYPERLINK("http://m.12365auto.com/bbs/postcontent.aspx?tID=194863","http://m.12365auto.com/bbs/postcontent.aspx?tID=194863")</f>
        <v>http://m.12365auto.com/bbs/postcontent.aspx?tID=194863</v>
      </c>
      <c r="G3876" s="2"/>
      <c r="H3876" s="2" t="s">
        <v>5606</v>
      </c>
      <c r="I3876" s="2" t="s">
        <v>15</v>
      </c>
      <c r="J3876" s="2" t="s">
        <v>1386</v>
      </c>
      <c r="K3876" s="2" t="s">
        <v>5607</v>
      </c>
      <c r="L3876" s="2">
        <f t="shared" si="60"/>
        <v>150</v>
      </c>
    </row>
    <row r="3877" spans="1:12" ht="25" customHeight="1">
      <c r="A3877" s="2" t="s">
        <v>12</v>
      </c>
      <c r="B3877" s="2" t="str">
        <f>HYPERLINK("http://bbs.12365auto.com/postcontent.aspx?tId=194862","月薪三四千也无压力 这几款5万左右的车值得购买")</f>
        <v>月薪三四千也无压力 这几款5万左右的车值得购买</v>
      </c>
      <c r="C3877" s="2" t="s">
        <v>13</v>
      </c>
      <c r="D3877" s="2" t="s">
        <v>12</v>
      </c>
      <c r="E3877" s="2" t="s">
        <v>210</v>
      </c>
      <c r="F3877" s="2" t="str">
        <f>HYPERLINK("http://bbs.12365auto.com/postcontent.aspx?tId=194862","http://bbs.12365auto.com/postcontent.aspx?tId=194862")</f>
        <v>http://bbs.12365auto.com/postcontent.aspx?tId=194862</v>
      </c>
      <c r="G3877" s="2"/>
      <c r="H3877" s="2" t="s">
        <v>5609</v>
      </c>
      <c r="I3877" s="2" t="s">
        <v>15</v>
      </c>
      <c r="J3877" s="2" t="s">
        <v>1386</v>
      </c>
      <c r="K3877" s="2" t="s">
        <v>5610</v>
      </c>
      <c r="L3877" s="2">
        <f t="shared" si="60"/>
        <v>150</v>
      </c>
    </row>
    <row r="3878" spans="1:12" ht="25" customHeight="1">
      <c r="A3878" s="2" t="s">
        <v>12</v>
      </c>
      <c r="B3878" s="2" t="str">
        <f>HYPERLINK("http://bbs.12365auto.com/postcontent.aspx?tId=194861","还说韩系不行  现代领动自动挡才9万")</f>
        <v>还说韩系不行  现代领动自动挡才9万</v>
      </c>
      <c r="C3878" s="2" t="s">
        <v>13</v>
      </c>
      <c r="D3878" s="2" t="s">
        <v>12</v>
      </c>
      <c r="E3878" s="2" t="s">
        <v>210</v>
      </c>
      <c r="F3878" s="2" t="str">
        <f>HYPERLINK("http://bbs.12365auto.com/postcontent.aspx?tId=194861","http://bbs.12365auto.com/postcontent.aspx?tId=194861")</f>
        <v>http://bbs.12365auto.com/postcontent.aspx?tId=194861</v>
      </c>
      <c r="G3878" s="2"/>
      <c r="H3878" s="2" t="s">
        <v>5611</v>
      </c>
      <c r="I3878" s="2" t="s">
        <v>15</v>
      </c>
      <c r="J3878" s="2" t="s">
        <v>1386</v>
      </c>
      <c r="K3878" s="2" t="s">
        <v>5610</v>
      </c>
      <c r="L3878" s="2">
        <f t="shared" si="60"/>
        <v>150</v>
      </c>
    </row>
    <row r="3879" spans="1:12" ht="25" customHeight="1">
      <c r="A3879" s="2" t="s">
        <v>12</v>
      </c>
      <c r="B3879" s="2" t="str">
        <f>HYPERLINK("http://bbs.12365auto.com/postcontent.aspx?tID=194861","还说韩系不行  现代领动自动挡才9万")</f>
        <v>还说韩系不行  现代领动自动挡才9万</v>
      </c>
      <c r="C3879" s="2" t="s">
        <v>13</v>
      </c>
      <c r="D3879" s="2" t="s">
        <v>12</v>
      </c>
      <c r="E3879" s="2" t="s">
        <v>214</v>
      </c>
      <c r="F3879" s="2" t="str">
        <f>HYPERLINK("http://bbs.12365auto.com/postcontent.aspx?tID=194861","http://bbs.12365auto.com/postcontent.aspx?tID=194861")</f>
        <v>http://bbs.12365auto.com/postcontent.aspx?tID=194861</v>
      </c>
      <c r="G3879" s="2"/>
      <c r="H3879" s="2" t="s">
        <v>5612</v>
      </c>
      <c r="I3879" s="2" t="s">
        <v>15</v>
      </c>
      <c r="J3879" s="2" t="s">
        <v>1386</v>
      </c>
      <c r="K3879" s="2" t="s">
        <v>5610</v>
      </c>
      <c r="L3879" s="2">
        <f t="shared" si="60"/>
        <v>150</v>
      </c>
    </row>
    <row r="3880" spans="1:12" ht="25" customHeight="1">
      <c r="A3880" s="2" t="s">
        <v>12</v>
      </c>
      <c r="B3880" s="2" t="str">
        <f>HYPERLINK("http://bbs.12365auto.com/postcontent.aspx?tID=194862","月薪三四千也无压力 这几款5万左右的车值得购买")</f>
        <v>月薪三四千也无压力 这几款5万左右的车值得购买</v>
      </c>
      <c r="C3880" s="2" t="s">
        <v>13</v>
      </c>
      <c r="D3880" s="2" t="s">
        <v>12</v>
      </c>
      <c r="E3880" s="2" t="s">
        <v>214</v>
      </c>
      <c r="F3880" s="2" t="str">
        <f>HYPERLINK("http://bbs.12365auto.com/postcontent.aspx?tID=194862","http://bbs.12365auto.com/postcontent.aspx?tID=194862")</f>
        <v>http://bbs.12365auto.com/postcontent.aspx?tID=194862</v>
      </c>
      <c r="G3880" s="2"/>
      <c r="H3880" s="2" t="s">
        <v>5613</v>
      </c>
      <c r="I3880" s="2" t="s">
        <v>15</v>
      </c>
      <c r="J3880" s="2" t="s">
        <v>1386</v>
      </c>
      <c r="K3880" s="2" t="s">
        <v>5610</v>
      </c>
      <c r="L3880" s="2">
        <f t="shared" si="60"/>
        <v>150</v>
      </c>
    </row>
    <row r="3881" spans="1:12" ht="25" customHeight="1">
      <c r="A3881" s="2" t="s">
        <v>12</v>
      </c>
      <c r="B3881" s="2" t="str">
        <f>HYPERLINK("http://m.12365auto.com/bbs/postcontent.aspx?tID=194862","月薪三四千也无压力 这几款5万左右的车值得购买")</f>
        <v>月薪三四千也无压力 这几款5万左右的车值得购买</v>
      </c>
      <c r="C3881" s="2" t="s">
        <v>13</v>
      </c>
      <c r="D3881" s="2" t="s">
        <v>23</v>
      </c>
      <c r="E3881" s="2"/>
      <c r="F3881" s="2" t="str">
        <f>HYPERLINK("http://m.12365auto.com/bbs/postcontent.aspx?tID=194862","http://m.12365auto.com/bbs/postcontent.aspx?tID=194862")</f>
        <v>http://m.12365auto.com/bbs/postcontent.aspx?tID=194862</v>
      </c>
      <c r="G3881" s="2"/>
      <c r="H3881" s="2" t="s">
        <v>5609</v>
      </c>
      <c r="I3881" s="2" t="s">
        <v>15</v>
      </c>
      <c r="J3881" s="2" t="s">
        <v>1386</v>
      </c>
      <c r="K3881" s="2" t="s">
        <v>5610</v>
      </c>
      <c r="L3881" s="2">
        <f t="shared" si="60"/>
        <v>150</v>
      </c>
    </row>
    <row r="3882" spans="1:12" ht="25" customHeight="1">
      <c r="A3882" s="2" t="s">
        <v>12</v>
      </c>
      <c r="B3882" s="2" t="str">
        <f>HYPERLINK("http://m.12365auto.com/bbs/postcontent.aspx?tID=194861","还说韩系不行  现代领动自动挡才9万")</f>
        <v>还说韩系不行  现代领动自动挡才9万</v>
      </c>
      <c r="C3882" s="2" t="s">
        <v>13</v>
      </c>
      <c r="D3882" s="2" t="s">
        <v>23</v>
      </c>
      <c r="E3882" s="2"/>
      <c r="F3882" s="2" t="str">
        <f>HYPERLINK("http://m.12365auto.com/bbs/postcontent.aspx?tID=194861","http://m.12365auto.com/bbs/postcontent.aspx?tID=194861")</f>
        <v>http://m.12365auto.com/bbs/postcontent.aspx?tID=194861</v>
      </c>
      <c r="G3882" s="2"/>
      <c r="H3882" s="2" t="s">
        <v>5611</v>
      </c>
      <c r="I3882" s="2" t="s">
        <v>15</v>
      </c>
      <c r="J3882" s="2" t="s">
        <v>1386</v>
      </c>
      <c r="K3882" s="2" t="s">
        <v>5610</v>
      </c>
      <c r="L3882" s="2">
        <f t="shared" si="60"/>
        <v>150</v>
      </c>
    </row>
    <row r="3883" spans="1:12" ht="25" customHeight="1">
      <c r="A3883" s="2" t="s">
        <v>12</v>
      </c>
      <c r="B3883" s="2" t="str">
        <f>HYPERLINK("http://bbs.12365auto.com/postcontent.aspx?tID=194860","七万多可以考虑的家用车")</f>
        <v>七万多可以考虑的家用车</v>
      </c>
      <c r="C3883" s="2" t="s">
        <v>13</v>
      </c>
      <c r="D3883" s="2" t="s">
        <v>12</v>
      </c>
      <c r="E3883" s="2" t="s">
        <v>214</v>
      </c>
      <c r="F3883" s="2" t="str">
        <f>HYPERLINK("http://bbs.12365auto.com/postcontent.aspx?tID=194860","http://bbs.12365auto.com/postcontent.aspx?tID=194860")</f>
        <v>http://bbs.12365auto.com/postcontent.aspx?tID=194860</v>
      </c>
      <c r="G3883" s="2"/>
      <c r="H3883" s="2" t="s">
        <v>5614</v>
      </c>
      <c r="I3883" s="2" t="s">
        <v>15</v>
      </c>
      <c r="J3883" s="2" t="s">
        <v>1386</v>
      </c>
      <c r="K3883" s="2" t="s">
        <v>5615</v>
      </c>
      <c r="L3883" s="2">
        <f t="shared" si="60"/>
        <v>150</v>
      </c>
    </row>
    <row r="3884" spans="1:12" ht="25" customHeight="1">
      <c r="A3884" s="2" t="s">
        <v>12</v>
      </c>
      <c r="B3884" s="2" t="str">
        <f>HYPERLINK("http://bbs.12365auto.com/postcontent.aspx?tId=194860","七万多可以考虑的家用车")</f>
        <v>七万多可以考虑的家用车</v>
      </c>
      <c r="C3884" s="2" t="s">
        <v>13</v>
      </c>
      <c r="D3884" s="2" t="s">
        <v>12</v>
      </c>
      <c r="E3884" s="2" t="s">
        <v>210</v>
      </c>
      <c r="F3884" s="2" t="str">
        <f>HYPERLINK("http://bbs.12365auto.com/postcontent.aspx?tId=194860","http://bbs.12365auto.com/postcontent.aspx?tId=194860")</f>
        <v>http://bbs.12365auto.com/postcontent.aspx?tId=194860</v>
      </c>
      <c r="G3884" s="2"/>
      <c r="H3884" s="2" t="s">
        <v>5616</v>
      </c>
      <c r="I3884" s="2" t="s">
        <v>15</v>
      </c>
      <c r="J3884" s="2" t="s">
        <v>1386</v>
      </c>
      <c r="K3884" s="2" t="s">
        <v>5615</v>
      </c>
      <c r="L3884" s="2">
        <f t="shared" si="60"/>
        <v>150</v>
      </c>
    </row>
    <row r="3885" spans="1:12" ht="25" customHeight="1">
      <c r="A3885" s="2" t="s">
        <v>12</v>
      </c>
      <c r="B3885" s="2" t="str">
        <f>HYPERLINK("http://bbs.12365auto.com/postcontent.aspx?tId=194859","15万买什么车既能撩妹又拉风")</f>
        <v>15万买什么车既能撩妹又拉风</v>
      </c>
      <c r="C3885" s="2" t="s">
        <v>13</v>
      </c>
      <c r="D3885" s="2" t="s">
        <v>12</v>
      </c>
      <c r="E3885" s="2" t="s">
        <v>210</v>
      </c>
      <c r="F3885" s="2" t="str">
        <f>HYPERLINK("http://bbs.12365auto.com/postcontent.aspx?tId=194859","http://bbs.12365auto.com/postcontent.aspx?tId=194859")</f>
        <v>http://bbs.12365auto.com/postcontent.aspx?tId=194859</v>
      </c>
      <c r="G3885" s="2"/>
      <c r="H3885" s="2" t="s">
        <v>5617</v>
      </c>
      <c r="I3885" s="2" t="s">
        <v>15</v>
      </c>
      <c r="J3885" s="2" t="s">
        <v>1386</v>
      </c>
      <c r="K3885" s="2" t="s">
        <v>5615</v>
      </c>
      <c r="L3885" s="2">
        <f t="shared" si="60"/>
        <v>150</v>
      </c>
    </row>
    <row r="3886" spans="1:12" ht="25" customHeight="1">
      <c r="A3886" s="2" t="s">
        <v>12</v>
      </c>
      <c r="B3886" s="2" t="str">
        <f>HYPERLINK("http://bbs.12365auto.com/postcontent.aspx?tID=194859","15万买什么车既能撩妹又拉风")</f>
        <v>15万买什么车既能撩妹又拉风</v>
      </c>
      <c r="C3886" s="2" t="s">
        <v>13</v>
      </c>
      <c r="D3886" s="2" t="s">
        <v>12</v>
      </c>
      <c r="E3886" s="2" t="s">
        <v>214</v>
      </c>
      <c r="F3886" s="2" t="str">
        <f>HYPERLINK("http://bbs.12365auto.com/postcontent.aspx?tID=194859","http://bbs.12365auto.com/postcontent.aspx?tID=194859")</f>
        <v>http://bbs.12365auto.com/postcontent.aspx?tID=194859</v>
      </c>
      <c r="G3886" s="2"/>
      <c r="H3886" s="2" t="s">
        <v>5618</v>
      </c>
      <c r="I3886" s="2" t="s">
        <v>15</v>
      </c>
      <c r="J3886" s="2" t="s">
        <v>1386</v>
      </c>
      <c r="K3886" s="2" t="s">
        <v>5615</v>
      </c>
      <c r="L3886" s="2">
        <f t="shared" si="60"/>
        <v>150</v>
      </c>
    </row>
    <row r="3887" spans="1:12" ht="25" customHeight="1">
      <c r="A3887" s="2" t="s">
        <v>12</v>
      </c>
      <c r="B3887" s="2" t="str">
        <f>HYPERLINK("http://m.12365auto.com/bbs/postcontent.aspx?tID=194859","15万买什么车既能撩妹又拉风")</f>
        <v>15万买什么车既能撩妹又拉风</v>
      </c>
      <c r="C3887" s="2" t="s">
        <v>13</v>
      </c>
      <c r="D3887" s="2" t="s">
        <v>23</v>
      </c>
      <c r="E3887" s="2"/>
      <c r="F3887" s="2" t="str">
        <f>HYPERLINK("http://m.12365auto.com/bbs/postcontent.aspx?tID=194859","http://m.12365auto.com/bbs/postcontent.aspx?tID=194859")</f>
        <v>http://m.12365auto.com/bbs/postcontent.aspx?tID=194859</v>
      </c>
      <c r="G3887" s="2"/>
      <c r="H3887" s="2" t="s">
        <v>5617</v>
      </c>
      <c r="I3887" s="2" t="s">
        <v>15</v>
      </c>
      <c r="J3887" s="2" t="s">
        <v>1386</v>
      </c>
      <c r="K3887" s="2" t="s">
        <v>5615</v>
      </c>
      <c r="L3887" s="2">
        <f t="shared" si="60"/>
        <v>150</v>
      </c>
    </row>
    <row r="3888" spans="1:12" ht="25" customHeight="1">
      <c r="A3888" s="2" t="s">
        <v>12</v>
      </c>
      <c r="B3888" s="2" t="str">
        <f>HYPERLINK("http://m.12365auto.com/bbs/postcontent.aspx?tID=194860","七万多可以考虑的家用车")</f>
        <v>七万多可以考虑的家用车</v>
      </c>
      <c r="C3888" s="2" t="s">
        <v>13</v>
      </c>
      <c r="D3888" s="2" t="s">
        <v>23</v>
      </c>
      <c r="E3888" s="2"/>
      <c r="F3888" s="2" t="str">
        <f>HYPERLINK("http://m.12365auto.com/bbs/postcontent.aspx?tID=194860","http://m.12365auto.com/bbs/postcontent.aspx?tID=194860")</f>
        <v>http://m.12365auto.com/bbs/postcontent.aspx?tID=194860</v>
      </c>
      <c r="G3888" s="2"/>
      <c r="H3888" s="2" t="s">
        <v>5616</v>
      </c>
      <c r="I3888" s="2" t="s">
        <v>15</v>
      </c>
      <c r="J3888" s="2" t="s">
        <v>1386</v>
      </c>
      <c r="K3888" s="2" t="s">
        <v>5615</v>
      </c>
      <c r="L3888" s="2">
        <f t="shared" si="60"/>
        <v>150</v>
      </c>
    </row>
    <row r="3889" spans="1:12" ht="25" customHeight="1">
      <c r="A3889" s="2" t="s">
        <v>12</v>
      </c>
      <c r="B3889" s="2" t="str">
        <f>HYPERLINK("http://www.12365auto.com/zlts/20200221/448052.shtml","长安标致雪铁龙DS6天窗无法开启和关闭")</f>
        <v>长安标致雪铁龙DS6天窗无法开启和关闭</v>
      </c>
      <c r="C3889" s="2" t="s">
        <v>13</v>
      </c>
      <c r="D3889" s="2" t="s">
        <v>12</v>
      </c>
      <c r="E3889" s="2" t="s">
        <v>17</v>
      </c>
      <c r="F3889" s="2" t="str">
        <f>HYPERLINK("http://www.12365auto.com/zlts/20200221/448052.shtml","http://www.12365auto.com/zlts/20200221/448052.shtml")</f>
        <v>http://www.12365auto.com/zlts/20200221/448052.shtml</v>
      </c>
      <c r="G3889" s="2"/>
      <c r="H3889" s="2" t="s">
        <v>5619</v>
      </c>
      <c r="I3889" s="2" t="s">
        <v>15</v>
      </c>
      <c r="J3889" s="2" t="s">
        <v>12</v>
      </c>
      <c r="K3889" s="2" t="s">
        <v>5620</v>
      </c>
      <c r="L3889" s="2">
        <f t="shared" si="60"/>
        <v>150</v>
      </c>
    </row>
    <row r="3890" spans="1:12" ht="25" customHeight="1">
      <c r="A3890" s="2" t="s">
        <v>12</v>
      </c>
      <c r="B3890" s="2" t="str">
        <f>HYPERLINK("http://www.12365auto.com/zlts/20200221/448051.shtml","东风本田思域优科豪马轮胎无故掉渣")</f>
        <v>东风本田思域优科豪马轮胎无故掉渣</v>
      </c>
      <c r="C3890" s="2" t="s">
        <v>13</v>
      </c>
      <c r="D3890" s="2" t="s">
        <v>12</v>
      </c>
      <c r="E3890" s="2" t="s">
        <v>17</v>
      </c>
      <c r="F3890" s="2" t="str">
        <f>HYPERLINK("http://www.12365auto.com/zlts/20200221/448051.shtml","http://www.12365auto.com/zlts/20200221/448051.shtml")</f>
        <v>http://www.12365auto.com/zlts/20200221/448051.shtml</v>
      </c>
      <c r="G3890" s="2"/>
      <c r="H3890" s="2" t="s">
        <v>5621</v>
      </c>
      <c r="I3890" s="2" t="s">
        <v>19</v>
      </c>
      <c r="J3890" s="2" t="s">
        <v>12</v>
      </c>
      <c r="K3890" s="2" t="s">
        <v>5622</v>
      </c>
      <c r="L3890" s="2">
        <f t="shared" si="60"/>
        <v>150</v>
      </c>
    </row>
    <row r="3891" spans="1:12" ht="25" customHeight="1">
      <c r="A3891" s="2" t="s">
        <v>12</v>
      </c>
      <c r="B3891" s="2" t="str">
        <f>HYPERLINK("http://bbs.12365auto.com/postcontent.aspx?tId=194858","刚刚 贵阳发布这些措施 外地返岗人员补助交通费用！")</f>
        <v>刚刚 贵阳发布这些措施 外地返岗人员补助交通费用！</v>
      </c>
      <c r="C3891" s="2" t="s">
        <v>13</v>
      </c>
      <c r="D3891" s="2" t="s">
        <v>12</v>
      </c>
      <c r="E3891" s="2" t="s">
        <v>210</v>
      </c>
      <c r="F3891" s="2" t="str">
        <f>HYPERLINK("http://bbs.12365auto.com/postcontent.aspx?tId=194858","http://bbs.12365auto.com/postcontent.aspx?tId=194858")</f>
        <v>http://bbs.12365auto.com/postcontent.aspx?tId=194858</v>
      </c>
      <c r="G3891" s="2"/>
      <c r="H3891" s="2" t="s">
        <v>5623</v>
      </c>
      <c r="I3891" s="2" t="s">
        <v>15</v>
      </c>
      <c r="J3891" s="2" t="s">
        <v>1386</v>
      </c>
      <c r="K3891" s="2" t="s">
        <v>5624</v>
      </c>
      <c r="L3891" s="2">
        <f t="shared" si="60"/>
        <v>150</v>
      </c>
    </row>
    <row r="3892" spans="1:12" ht="25" customHeight="1">
      <c r="A3892" s="2" t="s">
        <v>12</v>
      </c>
      <c r="B3892" s="2" t="str">
        <f>HYPERLINK("http://m.12365auto.com/bbs/postcontent.aspx?tID=194858","刚刚 贵阳发布这些措施 外地返岗人员补助交通费用！")</f>
        <v>刚刚 贵阳发布这些措施 外地返岗人员补助交通费用！</v>
      </c>
      <c r="C3892" s="2" t="s">
        <v>13</v>
      </c>
      <c r="D3892" s="2" t="s">
        <v>23</v>
      </c>
      <c r="E3892" s="2"/>
      <c r="F3892" s="2" t="str">
        <f>HYPERLINK("http://m.12365auto.com/bbs/postcontent.aspx?tID=194858","http://m.12365auto.com/bbs/postcontent.aspx?tID=194858")</f>
        <v>http://m.12365auto.com/bbs/postcontent.aspx?tID=194858</v>
      </c>
      <c r="G3892" s="2"/>
      <c r="H3892" s="2" t="s">
        <v>5623</v>
      </c>
      <c r="I3892" s="2" t="s">
        <v>15</v>
      </c>
      <c r="J3892" s="2" t="s">
        <v>1386</v>
      </c>
      <c r="K3892" s="2" t="s">
        <v>5624</v>
      </c>
      <c r="L3892" s="2">
        <f t="shared" si="60"/>
        <v>150</v>
      </c>
    </row>
    <row r="3893" spans="1:12" ht="25" customHeight="1">
      <c r="A3893" s="2" t="s">
        <v>12</v>
      </c>
      <c r="B3893" s="2" t="str">
        <f>HYPERLINK("http://bbs.12365auto.com/postcontent.aspx?tID=194858","刚刚 贵阳发布这些措施 外地返岗人员补助交通费用！")</f>
        <v>刚刚 贵阳发布这些措施 外地返岗人员补助交通费用！</v>
      </c>
      <c r="C3893" s="2" t="s">
        <v>13</v>
      </c>
      <c r="D3893" s="2" t="s">
        <v>12</v>
      </c>
      <c r="E3893" s="2" t="s">
        <v>214</v>
      </c>
      <c r="F3893" s="2" t="str">
        <f>HYPERLINK("http://bbs.12365auto.com/postcontent.aspx?tID=194858","http://bbs.12365auto.com/postcontent.aspx?tID=194858")</f>
        <v>http://bbs.12365auto.com/postcontent.aspx?tID=194858</v>
      </c>
      <c r="G3893" s="2"/>
      <c r="H3893" s="2" t="s">
        <v>5625</v>
      </c>
      <c r="I3893" s="2" t="s">
        <v>15</v>
      </c>
      <c r="J3893" s="2" t="s">
        <v>1386</v>
      </c>
      <c r="K3893" s="2" t="s">
        <v>5624</v>
      </c>
      <c r="L3893" s="2">
        <f t="shared" si="60"/>
        <v>150</v>
      </c>
    </row>
    <row r="3894" spans="1:12" ht="25" customHeight="1">
      <c r="A3894" s="2" t="s">
        <v>12</v>
      </c>
      <c r="B3894" s="2" t="str">
        <f>HYPERLINK("http://www.12365auto.com/zlts/20200221/448046.shtml","比亚迪速锐车门迎宾踏板处生锈腐蚀严重")</f>
        <v>比亚迪速锐车门迎宾踏板处生锈腐蚀严重</v>
      </c>
      <c r="C3894" s="2" t="s">
        <v>13</v>
      </c>
      <c r="D3894" s="2" t="s">
        <v>12</v>
      </c>
      <c r="E3894" s="2" t="s">
        <v>17</v>
      </c>
      <c r="F3894" s="2" t="str">
        <f>HYPERLINK("http://www.12365auto.com/zlts/20200221/448046.shtml","http://www.12365auto.com/zlts/20200221/448046.shtml")</f>
        <v>http://www.12365auto.com/zlts/20200221/448046.shtml</v>
      </c>
      <c r="G3894" s="2"/>
      <c r="H3894" s="2" t="s">
        <v>5626</v>
      </c>
      <c r="I3894" s="2" t="s">
        <v>15</v>
      </c>
      <c r="J3894" s="2" t="s">
        <v>12</v>
      </c>
      <c r="K3894" s="2" t="s">
        <v>5627</v>
      </c>
      <c r="L3894" s="2">
        <f t="shared" si="60"/>
        <v>150</v>
      </c>
    </row>
    <row r="3895" spans="1:12" ht="25" customHeight="1">
      <c r="A3895" s="2" t="s">
        <v>12</v>
      </c>
      <c r="B3895" s="2" t="str">
        <f>HYPERLINK("http://bbs.12365auto.com/postcontent.aspx?tId=194856","阿尔法·罗密欧-Giulia用车成本 4元/公里用车成本你还买吗？")</f>
        <v>阿尔法·罗密欧-Giulia用车成本 4元/公里用车成本你还买吗？</v>
      </c>
      <c r="C3895" s="2" t="s">
        <v>13</v>
      </c>
      <c r="D3895" s="2" t="s">
        <v>12</v>
      </c>
      <c r="E3895" s="2" t="s">
        <v>210</v>
      </c>
      <c r="F3895" s="2" t="str">
        <f>HYPERLINK("http://bbs.12365auto.com/postcontent.aspx?tId=194856","http://bbs.12365auto.com/postcontent.aspx?tId=194856")</f>
        <v>http://bbs.12365auto.com/postcontent.aspx?tId=194856</v>
      </c>
      <c r="G3895" s="2"/>
      <c r="H3895" s="2" t="s">
        <v>5628</v>
      </c>
      <c r="I3895" s="2" t="s">
        <v>15</v>
      </c>
      <c r="J3895" s="2" t="s">
        <v>1386</v>
      </c>
      <c r="K3895" s="2" t="s">
        <v>5627</v>
      </c>
      <c r="L3895" s="2">
        <f t="shared" si="60"/>
        <v>150</v>
      </c>
    </row>
    <row r="3896" spans="1:12" ht="25" customHeight="1">
      <c r="A3896" s="2" t="s">
        <v>12</v>
      </c>
      <c r="B3896" s="2" t="str">
        <f>HYPERLINK("http://bbs.12365auto.com/postcontent.aspx?tID=194856","阿尔法·罗密欧-Giulia用车成本 4元/公里用车成本你还买吗？")</f>
        <v>阿尔法·罗密欧-Giulia用车成本 4元/公里用车成本你还买吗？</v>
      </c>
      <c r="C3896" s="2" t="s">
        <v>13</v>
      </c>
      <c r="D3896" s="2" t="s">
        <v>12</v>
      </c>
      <c r="E3896" s="2" t="s">
        <v>214</v>
      </c>
      <c r="F3896" s="2" t="str">
        <f>HYPERLINK("http://bbs.12365auto.com/postcontent.aspx?tID=194856","http://bbs.12365auto.com/postcontent.aspx?tID=194856")</f>
        <v>http://bbs.12365auto.com/postcontent.aspx?tID=194856</v>
      </c>
      <c r="G3896" s="2"/>
      <c r="H3896" s="2" t="s">
        <v>5629</v>
      </c>
      <c r="I3896" s="2" t="s">
        <v>15</v>
      </c>
      <c r="J3896" s="2" t="s">
        <v>1386</v>
      </c>
      <c r="K3896" s="2" t="s">
        <v>5627</v>
      </c>
      <c r="L3896" s="2">
        <f t="shared" si="60"/>
        <v>150</v>
      </c>
    </row>
    <row r="3897" spans="1:12" ht="25" customHeight="1">
      <c r="A3897" s="2" t="s">
        <v>12</v>
      </c>
      <c r="B3897" s="2" t="str">
        <f>HYPERLINK("http://m.12365auto.com/bbs/postcontent.aspx?tID=194856","阿尔法·罗密欧-Giulia用车成本 4元/公里用车成本你还买吗？")</f>
        <v>阿尔法·罗密欧-Giulia用车成本 4元/公里用车成本你还买吗？</v>
      </c>
      <c r="C3897" s="2" t="s">
        <v>13</v>
      </c>
      <c r="D3897" s="2" t="s">
        <v>23</v>
      </c>
      <c r="E3897" s="2"/>
      <c r="F3897" s="2" t="str">
        <f>HYPERLINK("http://m.12365auto.com/bbs/postcontent.aspx?tID=194856","http://m.12365auto.com/bbs/postcontent.aspx?tID=194856")</f>
        <v>http://m.12365auto.com/bbs/postcontent.aspx?tID=194856</v>
      </c>
      <c r="G3897" s="2"/>
      <c r="H3897" s="2" t="s">
        <v>5628</v>
      </c>
      <c r="I3897" s="2" t="s">
        <v>15</v>
      </c>
      <c r="J3897" s="2" t="s">
        <v>1386</v>
      </c>
      <c r="K3897" s="2" t="s">
        <v>5627</v>
      </c>
      <c r="L3897" s="2">
        <f t="shared" si="60"/>
        <v>150</v>
      </c>
    </row>
    <row r="3898" spans="1:12" ht="25" customHeight="1">
      <c r="A3898" s="2" t="s">
        <v>12</v>
      </c>
      <c r="B3898" s="2" t="str">
        <f>HYPERLINK("http://www.12365auto.com/zlts/20200221/448045.shtml","上汽大众朗逸车顶海绵布脱落存在质量问题")</f>
        <v>上汽大众朗逸车顶海绵布脱落存在质量问题</v>
      </c>
      <c r="C3898" s="2" t="s">
        <v>13</v>
      </c>
      <c r="D3898" s="2" t="s">
        <v>12</v>
      </c>
      <c r="E3898" s="2" t="s">
        <v>17</v>
      </c>
      <c r="F3898" s="2" t="str">
        <f>HYPERLINK("http://www.12365auto.com/zlts/20200221/448045.shtml","http://www.12365auto.com/zlts/20200221/448045.shtml")</f>
        <v>http://www.12365auto.com/zlts/20200221/448045.shtml</v>
      </c>
      <c r="G3898" s="2"/>
      <c r="H3898" s="2" t="s">
        <v>5630</v>
      </c>
      <c r="I3898" s="2" t="s">
        <v>19</v>
      </c>
      <c r="J3898" s="2" t="s">
        <v>12</v>
      </c>
      <c r="K3898" s="2" t="s">
        <v>5627</v>
      </c>
      <c r="L3898" s="2">
        <f t="shared" si="60"/>
        <v>150</v>
      </c>
    </row>
    <row r="3899" spans="1:12" ht="25" customHeight="1">
      <c r="A3899" s="2" t="s">
        <v>12</v>
      </c>
      <c r="B3899" s="2" t="str">
        <f>HYPERLINK("http://bbs.12365auto.com/postcontent.aspx?tID=194857","1月汽车销量跌了21.5% 上汽大众销量排第二")</f>
        <v>1月汽车销量跌了21.5% 上汽大众销量排第二</v>
      </c>
      <c r="C3899" s="2" t="s">
        <v>13</v>
      </c>
      <c r="D3899" s="2" t="s">
        <v>12</v>
      </c>
      <c r="E3899" s="2" t="s">
        <v>1393</v>
      </c>
      <c r="F3899" s="2" t="str">
        <f>HYPERLINK("http://bbs.12365auto.com/postcontent.aspx?tID=194857","http://bbs.12365auto.com/postcontent.aspx?tID=194857")</f>
        <v>http://bbs.12365auto.com/postcontent.aspx?tID=194857</v>
      </c>
      <c r="G3899" s="2"/>
      <c r="H3899" s="2" t="s">
        <v>5631</v>
      </c>
      <c r="I3899" s="2" t="s">
        <v>15</v>
      </c>
      <c r="J3899" s="2" t="s">
        <v>2294</v>
      </c>
      <c r="K3899" s="2" t="s">
        <v>5627</v>
      </c>
      <c r="L3899" s="2">
        <f t="shared" si="60"/>
        <v>150</v>
      </c>
    </row>
    <row r="3900" spans="1:12" ht="25" customHeight="1">
      <c r="A3900" s="2" t="s">
        <v>12</v>
      </c>
      <c r="B3900" s="2" t="str">
        <f>HYPERLINK("http://bbs.12365auto.com/postcontent.aspx?tId=194855","奥迪A6L/雷克萨斯ES两款车怎么选")</f>
        <v>奥迪A6L/雷克萨斯ES两款车怎么选</v>
      </c>
      <c r="C3900" s="2" t="s">
        <v>13</v>
      </c>
      <c r="D3900" s="2" t="s">
        <v>12</v>
      </c>
      <c r="E3900" s="2" t="s">
        <v>210</v>
      </c>
      <c r="F3900" s="2" t="str">
        <f>HYPERLINK("http://bbs.12365auto.com/postcontent.aspx?tId=194855","http://bbs.12365auto.com/postcontent.aspx?tId=194855")</f>
        <v>http://bbs.12365auto.com/postcontent.aspx?tId=194855</v>
      </c>
      <c r="G3900" s="2"/>
      <c r="H3900" s="2" t="s">
        <v>5632</v>
      </c>
      <c r="I3900" s="2" t="s">
        <v>15</v>
      </c>
      <c r="J3900" s="2" t="s">
        <v>5633</v>
      </c>
      <c r="K3900" s="2" t="s">
        <v>5634</v>
      </c>
      <c r="L3900" s="2">
        <f t="shared" si="60"/>
        <v>150</v>
      </c>
    </row>
    <row r="3901" spans="1:12" ht="25" customHeight="1">
      <c r="A3901" s="2" t="s">
        <v>12</v>
      </c>
      <c r="B3901" s="2" t="str">
        <f>HYPERLINK("http://bbs.12365auto.com/postcontent.aspx?tID=194855","奥迪A6L/雷克萨斯ES两款车怎么选")</f>
        <v>奥迪A6L/雷克萨斯ES两款车怎么选</v>
      </c>
      <c r="C3901" s="2" t="s">
        <v>13</v>
      </c>
      <c r="D3901" s="2" t="s">
        <v>12</v>
      </c>
      <c r="E3901" s="2" t="s">
        <v>214</v>
      </c>
      <c r="F3901" s="2" t="str">
        <f>HYPERLINK("http://bbs.12365auto.com/postcontent.aspx?tID=194855","http://bbs.12365auto.com/postcontent.aspx?tID=194855")</f>
        <v>http://bbs.12365auto.com/postcontent.aspx?tID=194855</v>
      </c>
      <c r="G3901" s="2"/>
      <c r="H3901" s="2" t="s">
        <v>5635</v>
      </c>
      <c r="I3901" s="2" t="s">
        <v>15</v>
      </c>
      <c r="J3901" s="2" t="s">
        <v>5633</v>
      </c>
      <c r="K3901" s="2" t="s">
        <v>5634</v>
      </c>
      <c r="L3901" s="2">
        <f t="shared" si="60"/>
        <v>150</v>
      </c>
    </row>
    <row r="3902" spans="1:12" ht="25" customHeight="1">
      <c r="A3902" s="2" t="s">
        <v>12</v>
      </c>
      <c r="B3902" s="2" t="str">
        <f>HYPERLINK("http://bbs.12365auto.com/postcontent.aspx?tId=194854","无需再为排碳发愁了 掌握一笨方式")</f>
        <v>无需再为排碳发愁了 掌握一笨方式</v>
      </c>
      <c r="C3902" s="2" t="s">
        <v>13</v>
      </c>
      <c r="D3902" s="2" t="s">
        <v>12</v>
      </c>
      <c r="E3902" s="2" t="s">
        <v>210</v>
      </c>
      <c r="F3902" s="2" t="str">
        <f>HYPERLINK("http://bbs.12365auto.com/postcontent.aspx?tId=194854","http://bbs.12365auto.com/postcontent.aspx?tId=194854")</f>
        <v>http://bbs.12365auto.com/postcontent.aspx?tId=194854</v>
      </c>
      <c r="G3902" s="2"/>
      <c r="H3902" s="2" t="s">
        <v>5636</v>
      </c>
      <c r="I3902" s="2" t="s">
        <v>15</v>
      </c>
      <c r="J3902" s="2" t="s">
        <v>1386</v>
      </c>
      <c r="K3902" s="2" t="s">
        <v>5637</v>
      </c>
      <c r="L3902" s="2">
        <f t="shared" si="60"/>
        <v>150</v>
      </c>
    </row>
    <row r="3903" spans="1:12" ht="25" customHeight="1">
      <c r="A3903" s="2" t="s">
        <v>12</v>
      </c>
      <c r="B3903" s="2" t="str">
        <f>HYPERLINK("http://m.12365auto.com/bbs/postcontent.aspx?tID=194854","无需再为排碳发愁了 掌握一笨方式")</f>
        <v>无需再为排碳发愁了 掌握一笨方式</v>
      </c>
      <c r="C3903" s="2" t="s">
        <v>13</v>
      </c>
      <c r="D3903" s="2" t="s">
        <v>23</v>
      </c>
      <c r="E3903" s="2"/>
      <c r="F3903" s="2" t="str">
        <f>HYPERLINK("http://m.12365auto.com/bbs/postcontent.aspx?tID=194854","http://m.12365auto.com/bbs/postcontent.aspx?tID=194854")</f>
        <v>http://m.12365auto.com/bbs/postcontent.aspx?tID=194854</v>
      </c>
      <c r="G3903" s="2"/>
      <c r="H3903" s="2" t="s">
        <v>5636</v>
      </c>
      <c r="I3903" s="2" t="s">
        <v>15</v>
      </c>
      <c r="J3903" s="2" t="s">
        <v>1386</v>
      </c>
      <c r="K3903" s="2" t="s">
        <v>5637</v>
      </c>
      <c r="L3903" s="2">
        <f t="shared" si="60"/>
        <v>150</v>
      </c>
    </row>
    <row r="3904" spans="1:12" ht="25" customHeight="1">
      <c r="A3904" s="2" t="s">
        <v>12</v>
      </c>
      <c r="B3904" s="2" t="str">
        <f>HYPERLINK("http://bbs.12365auto.com/postcontent.aspx?tID=194854","无需再为排碳发愁了 掌握一笨方式")</f>
        <v>无需再为排碳发愁了 掌握一笨方式</v>
      </c>
      <c r="C3904" s="2" t="s">
        <v>13</v>
      </c>
      <c r="D3904" s="2" t="s">
        <v>12</v>
      </c>
      <c r="E3904" s="2" t="s">
        <v>214</v>
      </c>
      <c r="F3904" s="2" t="str">
        <f>HYPERLINK("http://bbs.12365auto.com/postcontent.aspx?tID=194854","http://bbs.12365auto.com/postcontent.aspx?tID=194854")</f>
        <v>http://bbs.12365auto.com/postcontent.aspx?tID=194854</v>
      </c>
      <c r="G3904" s="2"/>
      <c r="H3904" s="2" t="s">
        <v>5638</v>
      </c>
      <c r="I3904" s="2" t="s">
        <v>15</v>
      </c>
      <c r="J3904" s="2" t="s">
        <v>1386</v>
      </c>
      <c r="K3904" s="2" t="s">
        <v>5637</v>
      </c>
      <c r="L3904" s="2">
        <f t="shared" si="60"/>
        <v>150</v>
      </c>
    </row>
    <row r="3905" spans="1:12" ht="25" customHeight="1">
      <c r="A3905" s="2" t="s">
        <v>12</v>
      </c>
      <c r="B3905" s="2" t="str">
        <f>HYPERLINK("http://bbs.12365auto.com/postcontent.aspx?tId=194853","这几款SUV才是15万以内的首选")</f>
        <v>这几款SUV才是15万以内的首选</v>
      </c>
      <c r="C3905" s="2" t="s">
        <v>13</v>
      </c>
      <c r="D3905" s="2" t="s">
        <v>12</v>
      </c>
      <c r="E3905" s="2" t="s">
        <v>27</v>
      </c>
      <c r="F3905" s="2" t="str">
        <f>HYPERLINK("http://bbs.12365auto.com/postcontent.aspx?tId=194853","http://bbs.12365auto.com/postcontent.aspx?tId=194853")</f>
        <v>http://bbs.12365auto.com/postcontent.aspx?tId=194853</v>
      </c>
      <c r="G3905" s="2"/>
      <c r="H3905" s="2" t="s">
        <v>5639</v>
      </c>
      <c r="I3905" s="2" t="s">
        <v>15</v>
      </c>
      <c r="J3905" s="2" t="s">
        <v>5640</v>
      </c>
      <c r="K3905" s="2" t="s">
        <v>5641</v>
      </c>
      <c r="L3905" s="2">
        <f t="shared" si="60"/>
        <v>150</v>
      </c>
    </row>
    <row r="3906" spans="1:12" ht="25" customHeight="1">
      <c r="A3906" s="2" t="s">
        <v>12</v>
      </c>
      <c r="B3906" s="2" t="str">
        <f>HYPERLINK("http://m.12365auto.com/bbs/postcontent.aspx?tID=194853","这几款SUV才是15万以内的首选")</f>
        <v>这几款SUV才是15万以内的首选</v>
      </c>
      <c r="C3906" s="2" t="s">
        <v>13</v>
      </c>
      <c r="D3906" s="2" t="s">
        <v>23</v>
      </c>
      <c r="E3906" s="2"/>
      <c r="F3906" s="2" t="str">
        <f>HYPERLINK("http://m.12365auto.com/bbs/postcontent.aspx?tID=194853","http://m.12365auto.com/bbs/postcontent.aspx?tID=194853")</f>
        <v>http://m.12365auto.com/bbs/postcontent.aspx?tID=194853</v>
      </c>
      <c r="G3906" s="2"/>
      <c r="H3906" s="2" t="s">
        <v>5639</v>
      </c>
      <c r="I3906" s="2" t="s">
        <v>15</v>
      </c>
      <c r="J3906" s="2" t="s">
        <v>5640</v>
      </c>
      <c r="K3906" s="2" t="s">
        <v>5641</v>
      </c>
      <c r="L3906" s="2">
        <f t="shared" si="60"/>
        <v>150</v>
      </c>
    </row>
    <row r="3907" spans="1:12" ht="25" customHeight="1">
      <c r="A3907" s="2" t="s">
        <v>12</v>
      </c>
      <c r="B3907" s="2" t="str">
        <f>HYPERLINK("http://bbs.12365auto.com/postcontent.aspx?tID=194853","这几款SUV才是15万以内的首选")</f>
        <v>这几款SUV才是15万以内的首选</v>
      </c>
      <c r="C3907" s="2" t="s">
        <v>13</v>
      </c>
      <c r="D3907" s="2" t="s">
        <v>12</v>
      </c>
      <c r="E3907" s="2" t="s">
        <v>28</v>
      </c>
      <c r="F3907" s="2" t="str">
        <f>HYPERLINK("http://bbs.12365auto.com/postcontent.aspx?tID=194853","http://bbs.12365auto.com/postcontent.aspx?tID=194853")</f>
        <v>http://bbs.12365auto.com/postcontent.aspx?tID=194853</v>
      </c>
      <c r="G3907" s="2"/>
      <c r="H3907" s="2" t="s">
        <v>5642</v>
      </c>
      <c r="I3907" s="2" t="s">
        <v>15</v>
      </c>
      <c r="J3907" s="2" t="s">
        <v>5640</v>
      </c>
      <c r="K3907" s="2" t="s">
        <v>5641</v>
      </c>
      <c r="L3907" s="2">
        <f t="shared" ref="L3907:L3970" si="61">LEN(H3907)</f>
        <v>150</v>
      </c>
    </row>
    <row r="3908" spans="1:12" ht="25" customHeight="1">
      <c r="A3908" s="2" t="s">
        <v>12</v>
      </c>
      <c r="B3908" s="2" t="str">
        <f>HYPERLINK("http://bbs.12365auto.com/postcontent.aspx?tId=194852","“地板式”油门和“悬挂式”油门有什么区别？")</f>
        <v>“地板式”油门和“悬挂式”油门有什么区别？</v>
      </c>
      <c r="C3908" s="2" t="s">
        <v>13</v>
      </c>
      <c r="D3908" s="2" t="s">
        <v>12</v>
      </c>
      <c r="E3908" s="2" t="s">
        <v>210</v>
      </c>
      <c r="F3908" s="2" t="str">
        <f>HYPERLINK("http://bbs.12365auto.com/postcontent.aspx?tId=194852","http://bbs.12365auto.com/postcontent.aspx?tId=194852")</f>
        <v>http://bbs.12365auto.com/postcontent.aspx?tId=194852</v>
      </c>
      <c r="G3908" s="2"/>
      <c r="H3908" s="2" t="s">
        <v>5643</v>
      </c>
      <c r="I3908" s="2" t="s">
        <v>15</v>
      </c>
      <c r="J3908" s="2" t="s">
        <v>1386</v>
      </c>
      <c r="K3908" s="2" t="s">
        <v>5644</v>
      </c>
      <c r="L3908" s="2">
        <f t="shared" si="61"/>
        <v>150</v>
      </c>
    </row>
    <row r="3909" spans="1:12" ht="25" customHeight="1">
      <c r="A3909" s="2" t="s">
        <v>12</v>
      </c>
      <c r="B3909" s="2" t="str">
        <f>HYPERLINK("http://bbs.12365auto.com/postcontent.aspx?tID=194851","开一年纯电车能比燃油车省出几个钱？")</f>
        <v>开一年纯电车能比燃油车省出几个钱？</v>
      </c>
      <c r="C3909" s="2" t="s">
        <v>13</v>
      </c>
      <c r="D3909" s="2" t="s">
        <v>12</v>
      </c>
      <c r="E3909" s="2" t="s">
        <v>28</v>
      </c>
      <c r="F3909" s="2" t="str">
        <f>HYPERLINK("http://bbs.12365auto.com/postcontent.aspx?tID=194851","http://bbs.12365auto.com/postcontent.aspx?tID=194851")</f>
        <v>http://bbs.12365auto.com/postcontent.aspx?tID=194851</v>
      </c>
      <c r="G3909" s="2"/>
      <c r="H3909" s="2" t="s">
        <v>5645</v>
      </c>
      <c r="I3909" s="2" t="s">
        <v>15</v>
      </c>
      <c r="J3909" s="2" t="s">
        <v>5640</v>
      </c>
      <c r="K3909" s="2" t="s">
        <v>5644</v>
      </c>
      <c r="L3909" s="2">
        <f t="shared" si="61"/>
        <v>150</v>
      </c>
    </row>
    <row r="3910" spans="1:12" ht="25" customHeight="1">
      <c r="A3910" s="2" t="s">
        <v>12</v>
      </c>
      <c r="B3910" s="2" t="str">
        <f>HYPERLINK("http://bbs.12365auto.com/postcontent.aspx?tId=194851","开一年纯电车能比燃油车省出几个钱？")</f>
        <v>开一年纯电车能比燃油车省出几个钱？</v>
      </c>
      <c r="C3910" s="2" t="s">
        <v>13</v>
      </c>
      <c r="D3910" s="2" t="s">
        <v>12</v>
      </c>
      <c r="E3910" s="2" t="s">
        <v>27</v>
      </c>
      <c r="F3910" s="2" t="str">
        <f>HYPERLINK("http://bbs.12365auto.com/postcontent.aspx?tId=194851","http://bbs.12365auto.com/postcontent.aspx?tId=194851")</f>
        <v>http://bbs.12365auto.com/postcontent.aspx?tId=194851</v>
      </c>
      <c r="G3910" s="2"/>
      <c r="H3910" s="2" t="s">
        <v>5646</v>
      </c>
      <c r="I3910" s="2" t="s">
        <v>15</v>
      </c>
      <c r="J3910" s="2" t="s">
        <v>5640</v>
      </c>
      <c r="K3910" s="2" t="s">
        <v>5644</v>
      </c>
      <c r="L3910" s="2">
        <f t="shared" si="61"/>
        <v>150</v>
      </c>
    </row>
    <row r="3911" spans="1:12" ht="25" customHeight="1">
      <c r="A3911" s="2" t="s">
        <v>12</v>
      </c>
      <c r="B3911" s="2" t="str">
        <f>HYPERLINK("http://m.12365auto.com/bbs/postcontent.aspx?tID=194851","开一年纯电车能比燃油车省出几个钱？")</f>
        <v>开一年纯电车能比燃油车省出几个钱？</v>
      </c>
      <c r="C3911" s="2" t="s">
        <v>13</v>
      </c>
      <c r="D3911" s="2" t="s">
        <v>23</v>
      </c>
      <c r="E3911" s="2"/>
      <c r="F3911" s="2" t="str">
        <f>HYPERLINK("http://m.12365auto.com/bbs/postcontent.aspx?tID=194851","http://m.12365auto.com/bbs/postcontent.aspx?tID=194851")</f>
        <v>http://m.12365auto.com/bbs/postcontent.aspx?tID=194851</v>
      </c>
      <c r="G3911" s="2"/>
      <c r="H3911" s="2" t="s">
        <v>5646</v>
      </c>
      <c r="I3911" s="2" t="s">
        <v>15</v>
      </c>
      <c r="J3911" s="2" t="s">
        <v>5640</v>
      </c>
      <c r="K3911" s="2" t="s">
        <v>5644</v>
      </c>
      <c r="L3911" s="2">
        <f t="shared" si="61"/>
        <v>150</v>
      </c>
    </row>
    <row r="3912" spans="1:12" ht="25" customHeight="1">
      <c r="A3912" s="2" t="s">
        <v>12</v>
      </c>
      <c r="B3912" s="2" t="str">
        <f>HYPERLINK("http://m.12365auto.com/bbs/postcontent.aspx?tID=194852","“地板式”油门和“悬挂式”油门有什么区别？")</f>
        <v>“地板式”油门和“悬挂式”油门有什么区别？</v>
      </c>
      <c r="C3912" s="2" t="s">
        <v>13</v>
      </c>
      <c r="D3912" s="2" t="s">
        <v>23</v>
      </c>
      <c r="E3912" s="2"/>
      <c r="F3912" s="2" t="str">
        <f>HYPERLINK("http://m.12365auto.com/bbs/postcontent.aspx?tID=194852","http://m.12365auto.com/bbs/postcontent.aspx?tID=194852")</f>
        <v>http://m.12365auto.com/bbs/postcontent.aspx?tID=194852</v>
      </c>
      <c r="G3912" s="2"/>
      <c r="H3912" s="2" t="s">
        <v>5643</v>
      </c>
      <c r="I3912" s="2" t="s">
        <v>15</v>
      </c>
      <c r="J3912" s="2" t="s">
        <v>1386</v>
      </c>
      <c r="K3912" s="2" t="s">
        <v>5644</v>
      </c>
      <c r="L3912" s="2">
        <f t="shared" si="61"/>
        <v>150</v>
      </c>
    </row>
    <row r="3913" spans="1:12" ht="25" customHeight="1">
      <c r="A3913" s="2" t="s">
        <v>12</v>
      </c>
      <c r="B3913" s="2" t="str">
        <f>HYPERLINK("http://bbs.12365auto.com/postcontent.aspx?tID=194852","“地板式”油门和“悬挂式”油门有什么区别？")</f>
        <v>“地板式”油门和“悬挂式”油门有什么区别？</v>
      </c>
      <c r="C3913" s="2" t="s">
        <v>13</v>
      </c>
      <c r="D3913" s="2" t="s">
        <v>12</v>
      </c>
      <c r="E3913" s="2" t="s">
        <v>214</v>
      </c>
      <c r="F3913" s="2" t="str">
        <f>HYPERLINK("http://bbs.12365auto.com/postcontent.aspx?tID=194852","http://bbs.12365auto.com/postcontent.aspx?tID=194852")</f>
        <v>http://bbs.12365auto.com/postcontent.aspx?tID=194852</v>
      </c>
      <c r="G3913" s="2"/>
      <c r="H3913" s="2" t="s">
        <v>5647</v>
      </c>
      <c r="I3913" s="2" t="s">
        <v>15</v>
      </c>
      <c r="J3913" s="2" t="s">
        <v>1386</v>
      </c>
      <c r="K3913" s="2" t="s">
        <v>5644</v>
      </c>
      <c r="L3913" s="2">
        <f t="shared" si="61"/>
        <v>150</v>
      </c>
    </row>
    <row r="3914" spans="1:12" ht="25" customHeight="1">
      <c r="A3914" s="2" t="s">
        <v>12</v>
      </c>
      <c r="B3914" s="2" t="str">
        <f>HYPERLINK("http://bbs.12365auto.com/postcontent.aspx?tId=194850","下一代哈弗H6？")</f>
        <v>下一代哈弗H6？</v>
      </c>
      <c r="C3914" s="2" t="s">
        <v>13</v>
      </c>
      <c r="D3914" s="2" t="s">
        <v>12</v>
      </c>
      <c r="E3914" s="2" t="s">
        <v>27</v>
      </c>
      <c r="F3914" s="2" t="str">
        <f>HYPERLINK("http://bbs.12365auto.com/postcontent.aspx?tId=194850","http://bbs.12365auto.com/postcontent.aspx?tId=194850")</f>
        <v>http://bbs.12365auto.com/postcontent.aspx?tId=194850</v>
      </c>
      <c r="G3914" s="2"/>
      <c r="H3914" s="2" t="s">
        <v>5648</v>
      </c>
      <c r="I3914" s="2" t="s">
        <v>15</v>
      </c>
      <c r="J3914" s="2" t="s">
        <v>5640</v>
      </c>
      <c r="K3914" s="2" t="s">
        <v>5649</v>
      </c>
      <c r="L3914" s="2">
        <f t="shared" si="61"/>
        <v>150</v>
      </c>
    </row>
    <row r="3915" spans="1:12" ht="25" customHeight="1">
      <c r="A3915" s="2" t="s">
        <v>12</v>
      </c>
      <c r="B3915" s="2" t="str">
        <f>HYPERLINK("http://bbs.12365auto.com/postcontent.aspx?tId=194849","不愧是本田 这车刚上市就火了")</f>
        <v>不愧是本田 这车刚上市就火了</v>
      </c>
      <c r="C3915" s="2" t="s">
        <v>13</v>
      </c>
      <c r="D3915" s="2" t="s">
        <v>12</v>
      </c>
      <c r="E3915" s="2" t="s">
        <v>27</v>
      </c>
      <c r="F3915" s="2" t="str">
        <f>HYPERLINK("http://bbs.12365auto.com/postcontent.aspx?tId=194849","http://bbs.12365auto.com/postcontent.aspx?tId=194849")</f>
        <v>http://bbs.12365auto.com/postcontent.aspx?tId=194849</v>
      </c>
      <c r="G3915" s="2"/>
      <c r="H3915" s="2" t="s">
        <v>5650</v>
      </c>
      <c r="I3915" s="2" t="s">
        <v>15</v>
      </c>
      <c r="J3915" s="2" t="s">
        <v>5640</v>
      </c>
      <c r="K3915" s="2" t="s">
        <v>5649</v>
      </c>
      <c r="L3915" s="2">
        <f t="shared" si="61"/>
        <v>150</v>
      </c>
    </row>
    <row r="3916" spans="1:12" ht="25" customHeight="1">
      <c r="A3916" s="2" t="s">
        <v>12</v>
      </c>
      <c r="B3916" s="2" t="str">
        <f>HYPERLINK("http://m.12365auto.com/bbs/postcontent.aspx?tID=194850","下一代哈弗H6？")</f>
        <v>下一代哈弗H6？</v>
      </c>
      <c r="C3916" s="2" t="s">
        <v>13</v>
      </c>
      <c r="D3916" s="2" t="s">
        <v>23</v>
      </c>
      <c r="E3916" s="2"/>
      <c r="F3916" s="2" t="str">
        <f>HYPERLINK("http://m.12365auto.com/bbs/postcontent.aspx?tID=194850","http://m.12365auto.com/bbs/postcontent.aspx?tID=194850")</f>
        <v>http://m.12365auto.com/bbs/postcontent.aspx?tID=194850</v>
      </c>
      <c r="G3916" s="2"/>
      <c r="H3916" s="2" t="s">
        <v>5648</v>
      </c>
      <c r="I3916" s="2" t="s">
        <v>15</v>
      </c>
      <c r="J3916" s="2" t="s">
        <v>5640</v>
      </c>
      <c r="K3916" s="2" t="s">
        <v>5649</v>
      </c>
      <c r="L3916" s="2">
        <f t="shared" si="61"/>
        <v>150</v>
      </c>
    </row>
    <row r="3917" spans="1:12" ht="25" customHeight="1">
      <c r="A3917" s="2" t="s">
        <v>12</v>
      </c>
      <c r="B3917" s="2" t="str">
        <f>HYPERLINK("http://m.12365auto.com/bbs/postcontent.aspx?tID=194849","不愧是本田 这车刚上市就火了")</f>
        <v>不愧是本田 这车刚上市就火了</v>
      </c>
      <c r="C3917" s="2" t="s">
        <v>13</v>
      </c>
      <c r="D3917" s="2" t="s">
        <v>23</v>
      </c>
      <c r="E3917" s="2"/>
      <c r="F3917" s="2" t="str">
        <f>HYPERLINK("http://m.12365auto.com/bbs/postcontent.aspx?tID=194849","http://m.12365auto.com/bbs/postcontent.aspx?tID=194849")</f>
        <v>http://m.12365auto.com/bbs/postcontent.aspx?tID=194849</v>
      </c>
      <c r="G3917" s="2"/>
      <c r="H3917" s="2" t="s">
        <v>5650</v>
      </c>
      <c r="I3917" s="2" t="s">
        <v>15</v>
      </c>
      <c r="J3917" s="2" t="s">
        <v>5640</v>
      </c>
      <c r="K3917" s="2" t="s">
        <v>5649</v>
      </c>
      <c r="L3917" s="2">
        <f t="shared" si="61"/>
        <v>150</v>
      </c>
    </row>
    <row r="3918" spans="1:12" ht="25" customHeight="1">
      <c r="A3918" s="2" t="s">
        <v>12</v>
      </c>
      <c r="B3918" s="2" t="str">
        <f>HYPERLINK("http://bbs.12365auto.com/postcontent.aspx?tID=194850","下一代哈弗H6？")</f>
        <v>下一代哈弗H6？</v>
      </c>
      <c r="C3918" s="2" t="s">
        <v>13</v>
      </c>
      <c r="D3918" s="2" t="s">
        <v>12</v>
      </c>
      <c r="E3918" s="2" t="s">
        <v>28</v>
      </c>
      <c r="F3918" s="2" t="str">
        <f>HYPERLINK("http://bbs.12365auto.com/postcontent.aspx?tID=194850","http://bbs.12365auto.com/postcontent.aspx?tID=194850")</f>
        <v>http://bbs.12365auto.com/postcontent.aspx?tID=194850</v>
      </c>
      <c r="G3918" s="2"/>
      <c r="H3918" s="2" t="s">
        <v>5651</v>
      </c>
      <c r="I3918" s="2" t="s">
        <v>15</v>
      </c>
      <c r="J3918" s="2" t="s">
        <v>5640</v>
      </c>
      <c r="K3918" s="2" t="s">
        <v>5649</v>
      </c>
      <c r="L3918" s="2">
        <f t="shared" si="61"/>
        <v>150</v>
      </c>
    </row>
    <row r="3919" spans="1:12" ht="25" customHeight="1">
      <c r="A3919" s="2" t="s">
        <v>12</v>
      </c>
      <c r="B3919" s="2" t="str">
        <f>HYPERLINK("http://bbs.12365auto.com/postcontent.aspx?tID=194849","不愧是本田 这车刚上市就火了")</f>
        <v>不愧是本田 这车刚上市就火了</v>
      </c>
      <c r="C3919" s="2" t="s">
        <v>13</v>
      </c>
      <c r="D3919" s="2" t="s">
        <v>12</v>
      </c>
      <c r="E3919" s="2" t="s">
        <v>28</v>
      </c>
      <c r="F3919" s="2" t="str">
        <f>HYPERLINK("http://bbs.12365auto.com/postcontent.aspx?tID=194849","http://bbs.12365auto.com/postcontent.aspx?tID=194849")</f>
        <v>http://bbs.12365auto.com/postcontent.aspx?tID=194849</v>
      </c>
      <c r="G3919" s="2"/>
      <c r="H3919" s="2" t="s">
        <v>5652</v>
      </c>
      <c r="I3919" s="2" t="s">
        <v>15</v>
      </c>
      <c r="J3919" s="2" t="s">
        <v>5640</v>
      </c>
      <c r="K3919" s="2" t="s">
        <v>5649</v>
      </c>
      <c r="L3919" s="2">
        <f t="shared" si="61"/>
        <v>150</v>
      </c>
    </row>
    <row r="3920" spans="1:12" ht="25" customHeight="1">
      <c r="A3920" s="2" t="s">
        <v>12</v>
      </c>
      <c r="B3920" s="2" t="str">
        <f>HYPERLINK("http://bbs.12365auto.com/postcontent.aspx?tId=194848","国产皮卡该不该学习特斯拉皮卡")</f>
        <v>国产皮卡该不该学习特斯拉皮卡</v>
      </c>
      <c r="C3920" s="2" t="s">
        <v>13</v>
      </c>
      <c r="D3920" s="2" t="s">
        <v>12</v>
      </c>
      <c r="E3920" s="2" t="s">
        <v>27</v>
      </c>
      <c r="F3920" s="2" t="str">
        <f>HYPERLINK("http://bbs.12365auto.com/postcontent.aspx?tId=194848","http://bbs.12365auto.com/postcontent.aspx?tId=194848")</f>
        <v>http://bbs.12365auto.com/postcontent.aspx?tId=194848</v>
      </c>
      <c r="G3920" s="2"/>
      <c r="H3920" s="2" t="s">
        <v>5653</v>
      </c>
      <c r="I3920" s="2" t="s">
        <v>15</v>
      </c>
      <c r="J3920" s="2" t="s">
        <v>5640</v>
      </c>
      <c r="K3920" s="2" t="s">
        <v>5654</v>
      </c>
      <c r="L3920" s="2">
        <f t="shared" si="61"/>
        <v>150</v>
      </c>
    </row>
    <row r="3921" spans="1:12" ht="25" customHeight="1">
      <c r="A3921" s="2" t="s">
        <v>12</v>
      </c>
      <c r="B3921" s="2" t="str">
        <f>HYPERLINK("http://m.12365auto.com/bbs/postcontent.aspx?tID=194848","国产皮卡该不该学习特斯拉皮卡")</f>
        <v>国产皮卡该不该学习特斯拉皮卡</v>
      </c>
      <c r="C3921" s="2" t="s">
        <v>13</v>
      </c>
      <c r="D3921" s="2" t="s">
        <v>23</v>
      </c>
      <c r="E3921" s="2"/>
      <c r="F3921" s="2" t="str">
        <f>HYPERLINK("http://m.12365auto.com/bbs/postcontent.aspx?tID=194848","http://m.12365auto.com/bbs/postcontent.aspx?tID=194848")</f>
        <v>http://m.12365auto.com/bbs/postcontent.aspx?tID=194848</v>
      </c>
      <c r="G3921" s="2"/>
      <c r="H3921" s="2" t="s">
        <v>5653</v>
      </c>
      <c r="I3921" s="2" t="s">
        <v>15</v>
      </c>
      <c r="J3921" s="2" t="s">
        <v>5640</v>
      </c>
      <c r="K3921" s="2" t="s">
        <v>5654</v>
      </c>
      <c r="L3921" s="2">
        <f t="shared" si="61"/>
        <v>150</v>
      </c>
    </row>
    <row r="3922" spans="1:12" ht="25" customHeight="1">
      <c r="A3922" s="2" t="s">
        <v>12</v>
      </c>
      <c r="B3922" s="2" t="str">
        <f>HYPERLINK("http://bbs.12365auto.com/postcontent.aspx?tID=194848","国产皮卡该不该学习特斯拉皮卡")</f>
        <v>国产皮卡该不该学习特斯拉皮卡</v>
      </c>
      <c r="C3922" s="2" t="s">
        <v>13</v>
      </c>
      <c r="D3922" s="2" t="s">
        <v>12</v>
      </c>
      <c r="E3922" s="2" t="s">
        <v>28</v>
      </c>
      <c r="F3922" s="2" t="str">
        <f>HYPERLINK("http://bbs.12365auto.com/postcontent.aspx?tID=194848","http://bbs.12365auto.com/postcontent.aspx?tID=194848")</f>
        <v>http://bbs.12365auto.com/postcontent.aspx?tID=194848</v>
      </c>
      <c r="G3922" s="2"/>
      <c r="H3922" s="2" t="s">
        <v>5655</v>
      </c>
      <c r="I3922" s="2" t="s">
        <v>15</v>
      </c>
      <c r="J3922" s="2" t="s">
        <v>5640</v>
      </c>
      <c r="K3922" s="2" t="s">
        <v>5654</v>
      </c>
      <c r="L3922" s="2">
        <f t="shared" si="61"/>
        <v>150</v>
      </c>
    </row>
    <row r="3923" spans="1:12" ht="25" customHeight="1">
      <c r="A3923" s="2" t="s">
        <v>12</v>
      </c>
      <c r="B3923" s="2" t="str">
        <f>HYPERLINK("http://bbs.12365auto.com/postcontent.aspx?tId=194847","静态解析红旗H9")</f>
        <v>静态解析红旗H9</v>
      </c>
      <c r="C3923" s="2" t="s">
        <v>13</v>
      </c>
      <c r="D3923" s="2" t="s">
        <v>12</v>
      </c>
      <c r="E3923" s="2" t="s">
        <v>27</v>
      </c>
      <c r="F3923" s="2" t="str">
        <f>HYPERLINK("http://bbs.12365auto.com/postcontent.aspx?tId=194847","http://bbs.12365auto.com/postcontent.aspx?tId=194847")</f>
        <v>http://bbs.12365auto.com/postcontent.aspx?tId=194847</v>
      </c>
      <c r="G3923" s="2"/>
      <c r="H3923" s="2" t="s">
        <v>5656</v>
      </c>
      <c r="I3923" s="2" t="s">
        <v>15</v>
      </c>
      <c r="J3923" s="2" t="s">
        <v>5640</v>
      </c>
      <c r="K3923" s="2" t="s">
        <v>5657</v>
      </c>
      <c r="L3923" s="2">
        <f t="shared" si="61"/>
        <v>150</v>
      </c>
    </row>
    <row r="3924" spans="1:12" ht="25" customHeight="1">
      <c r="A3924" s="2" t="s">
        <v>12</v>
      </c>
      <c r="B3924" s="2" t="str">
        <f>HYPERLINK("http://bbs.12365auto.com/postcontent.aspx?tId=194846","为何满大街出租车都用大众？")</f>
        <v>为何满大街出租车都用大众？</v>
      </c>
      <c r="C3924" s="2" t="s">
        <v>13</v>
      </c>
      <c r="D3924" s="2" t="s">
        <v>12</v>
      </c>
      <c r="E3924" s="2" t="s">
        <v>27</v>
      </c>
      <c r="F3924" s="2" t="str">
        <f>HYPERLINK("http://bbs.12365auto.com/postcontent.aspx?tId=194846","http://bbs.12365auto.com/postcontent.aspx?tId=194846")</f>
        <v>http://bbs.12365auto.com/postcontent.aspx?tId=194846</v>
      </c>
      <c r="G3924" s="2"/>
      <c r="H3924" s="2" t="s">
        <v>5658</v>
      </c>
      <c r="I3924" s="2" t="s">
        <v>15</v>
      </c>
      <c r="J3924" s="2" t="s">
        <v>5640</v>
      </c>
      <c r="K3924" s="2" t="s">
        <v>5657</v>
      </c>
      <c r="L3924" s="2">
        <f t="shared" si="61"/>
        <v>150</v>
      </c>
    </row>
    <row r="3925" spans="1:12" ht="25" customHeight="1">
      <c r="A3925" s="2" t="s">
        <v>12</v>
      </c>
      <c r="B3925" s="2" t="str">
        <f>HYPERLINK("http://m.12365auto.com/bbs/postcontent.aspx?tID=194846","为何满大街出租车都用大众？")</f>
        <v>为何满大街出租车都用大众？</v>
      </c>
      <c r="C3925" s="2" t="s">
        <v>13</v>
      </c>
      <c r="D3925" s="2" t="s">
        <v>23</v>
      </c>
      <c r="E3925" s="2"/>
      <c r="F3925" s="2" t="str">
        <f>HYPERLINK("http://m.12365auto.com/bbs/postcontent.aspx?tID=194846","http://m.12365auto.com/bbs/postcontent.aspx?tID=194846")</f>
        <v>http://m.12365auto.com/bbs/postcontent.aspx?tID=194846</v>
      </c>
      <c r="G3925" s="2"/>
      <c r="H3925" s="2" t="s">
        <v>5658</v>
      </c>
      <c r="I3925" s="2" t="s">
        <v>15</v>
      </c>
      <c r="J3925" s="2" t="s">
        <v>5640</v>
      </c>
      <c r="K3925" s="2" t="s">
        <v>5657</v>
      </c>
      <c r="L3925" s="2">
        <f t="shared" si="61"/>
        <v>150</v>
      </c>
    </row>
    <row r="3926" spans="1:12" ht="25" customHeight="1">
      <c r="A3926" s="2" t="s">
        <v>12</v>
      </c>
      <c r="B3926" s="2" t="str">
        <f>HYPERLINK("http://m.12365auto.com/bbs/postcontent.aspx?tID=194847","静态解析红旗H9")</f>
        <v>静态解析红旗H9</v>
      </c>
      <c r="C3926" s="2" t="s">
        <v>13</v>
      </c>
      <c r="D3926" s="2" t="s">
        <v>23</v>
      </c>
      <c r="E3926" s="2"/>
      <c r="F3926" s="2" t="str">
        <f>HYPERLINK("http://m.12365auto.com/bbs/postcontent.aspx?tID=194847","http://m.12365auto.com/bbs/postcontent.aspx?tID=194847")</f>
        <v>http://m.12365auto.com/bbs/postcontent.aspx?tID=194847</v>
      </c>
      <c r="G3926" s="2"/>
      <c r="H3926" s="2" t="s">
        <v>5656</v>
      </c>
      <c r="I3926" s="2" t="s">
        <v>15</v>
      </c>
      <c r="J3926" s="2" t="s">
        <v>5640</v>
      </c>
      <c r="K3926" s="2" t="s">
        <v>5657</v>
      </c>
      <c r="L3926" s="2">
        <f t="shared" si="61"/>
        <v>150</v>
      </c>
    </row>
    <row r="3927" spans="1:12" ht="25" customHeight="1">
      <c r="A3927" s="2" t="s">
        <v>12</v>
      </c>
      <c r="B3927" s="2" t="str">
        <f>HYPERLINK("http://bbs.12365auto.com/postcontent.aspx?tID=194846","为何满大街出租车都用大众？")</f>
        <v>为何满大街出租车都用大众？</v>
      </c>
      <c r="C3927" s="2" t="s">
        <v>13</v>
      </c>
      <c r="D3927" s="2" t="s">
        <v>12</v>
      </c>
      <c r="E3927" s="2" t="s">
        <v>28</v>
      </c>
      <c r="F3927" s="2" t="str">
        <f>HYPERLINK("http://bbs.12365auto.com/postcontent.aspx?tID=194846","http://bbs.12365auto.com/postcontent.aspx?tID=194846")</f>
        <v>http://bbs.12365auto.com/postcontent.aspx?tID=194846</v>
      </c>
      <c r="G3927" s="2"/>
      <c r="H3927" s="2" t="s">
        <v>5659</v>
      </c>
      <c r="I3927" s="2" t="s">
        <v>15</v>
      </c>
      <c r="J3927" s="2" t="s">
        <v>5640</v>
      </c>
      <c r="K3927" s="2" t="s">
        <v>5657</v>
      </c>
      <c r="L3927" s="2">
        <f t="shared" si="61"/>
        <v>150</v>
      </c>
    </row>
    <row r="3928" spans="1:12" ht="25" customHeight="1">
      <c r="A3928" s="2" t="s">
        <v>12</v>
      </c>
      <c r="B3928" s="2" t="str">
        <f>HYPERLINK("http://bbs.12365auto.com/postcontent.aspx?tID=194847","静态解析红旗H9")</f>
        <v>静态解析红旗H9</v>
      </c>
      <c r="C3928" s="2" t="s">
        <v>13</v>
      </c>
      <c r="D3928" s="2" t="s">
        <v>12</v>
      </c>
      <c r="E3928" s="2" t="s">
        <v>28</v>
      </c>
      <c r="F3928" s="2" t="str">
        <f>HYPERLINK("http://bbs.12365auto.com/postcontent.aspx?tID=194847","http://bbs.12365auto.com/postcontent.aspx?tID=194847")</f>
        <v>http://bbs.12365auto.com/postcontent.aspx?tID=194847</v>
      </c>
      <c r="G3928" s="2"/>
      <c r="H3928" s="2" t="s">
        <v>5660</v>
      </c>
      <c r="I3928" s="2" t="s">
        <v>15</v>
      </c>
      <c r="J3928" s="2" t="s">
        <v>5640</v>
      </c>
      <c r="K3928" s="2" t="s">
        <v>5657</v>
      </c>
      <c r="L3928" s="2">
        <f t="shared" si="61"/>
        <v>150</v>
      </c>
    </row>
    <row r="3929" spans="1:12" ht="25" customHeight="1">
      <c r="A3929" s="2" t="s">
        <v>12</v>
      </c>
      <c r="B3929" s="2" t="str">
        <f>HYPERLINK("http://bbs.12365auto.com/postcontent.aspx?tID=194843","2020款丰田凯美瑞TRD")</f>
        <v>2020款丰田凯美瑞TRD</v>
      </c>
      <c r="C3929" s="2" t="s">
        <v>13</v>
      </c>
      <c r="D3929" s="2" t="s">
        <v>12</v>
      </c>
      <c r="E3929" s="2" t="s">
        <v>28</v>
      </c>
      <c r="F3929" s="2" t="str">
        <f>HYPERLINK("http://bbs.12365auto.com/postcontent.aspx?tID=194843","http://bbs.12365auto.com/postcontent.aspx?tID=194843")</f>
        <v>http://bbs.12365auto.com/postcontent.aspx?tID=194843</v>
      </c>
      <c r="G3929" s="2"/>
      <c r="H3929" s="2" t="s">
        <v>5661</v>
      </c>
      <c r="I3929" s="2" t="s">
        <v>15</v>
      </c>
      <c r="J3929" s="2" t="s">
        <v>5640</v>
      </c>
      <c r="K3929" s="2" t="s">
        <v>5662</v>
      </c>
      <c r="L3929" s="2">
        <f t="shared" si="61"/>
        <v>150</v>
      </c>
    </row>
    <row r="3930" spans="1:12" ht="25" customHeight="1">
      <c r="A3930" s="2" t="s">
        <v>12</v>
      </c>
      <c r="B3930" s="2" t="str">
        <f>HYPERLINK("http://bbs.12365auto.com/postcontent.aspx?tId=194845","年轻人也能买得起的敞篷车")</f>
        <v>年轻人也能买得起的敞篷车</v>
      </c>
      <c r="C3930" s="2" t="s">
        <v>13</v>
      </c>
      <c r="D3930" s="2" t="s">
        <v>12</v>
      </c>
      <c r="E3930" s="2" t="s">
        <v>27</v>
      </c>
      <c r="F3930" s="2" t="str">
        <f>HYPERLINK("http://bbs.12365auto.com/postcontent.aspx?tId=194845","http://bbs.12365auto.com/postcontent.aspx?tId=194845")</f>
        <v>http://bbs.12365auto.com/postcontent.aspx?tId=194845</v>
      </c>
      <c r="G3930" s="2"/>
      <c r="H3930" s="2" t="s">
        <v>5663</v>
      </c>
      <c r="I3930" s="2" t="s">
        <v>15</v>
      </c>
      <c r="J3930" s="2" t="s">
        <v>5640</v>
      </c>
      <c r="K3930" s="2" t="s">
        <v>5662</v>
      </c>
      <c r="L3930" s="2">
        <f t="shared" si="61"/>
        <v>150</v>
      </c>
    </row>
    <row r="3931" spans="1:12" ht="25" customHeight="1">
      <c r="A3931" s="2" t="s">
        <v>12</v>
      </c>
      <c r="B3931" s="2" t="str">
        <f>HYPERLINK("http://bbs.12365auto.com/postcontent.aspx?tId=194844","丰田版大黄蜂？新Supra 2.0T版正式亮相")</f>
        <v>丰田版大黄蜂？新Supra 2.0T版正式亮相</v>
      </c>
      <c r="C3931" s="2" t="s">
        <v>13</v>
      </c>
      <c r="D3931" s="2" t="s">
        <v>12</v>
      </c>
      <c r="E3931" s="2" t="s">
        <v>27</v>
      </c>
      <c r="F3931" s="2" t="str">
        <f>HYPERLINK("http://bbs.12365auto.com/postcontent.aspx?tId=194844","http://bbs.12365auto.com/postcontent.aspx?tId=194844")</f>
        <v>http://bbs.12365auto.com/postcontent.aspx?tId=194844</v>
      </c>
      <c r="G3931" s="2"/>
      <c r="H3931" s="2" t="s">
        <v>5664</v>
      </c>
      <c r="I3931" s="2" t="s">
        <v>15</v>
      </c>
      <c r="J3931" s="2" t="s">
        <v>5640</v>
      </c>
      <c r="K3931" s="2" t="s">
        <v>5662</v>
      </c>
      <c r="L3931" s="2">
        <f t="shared" si="61"/>
        <v>150</v>
      </c>
    </row>
    <row r="3932" spans="1:12" ht="25" customHeight="1">
      <c r="A3932" s="2" t="s">
        <v>12</v>
      </c>
      <c r="B3932" s="2" t="str">
        <f>HYPERLINK("http://bbs.12365auto.com/postcontent.aspx?tId=194843","2020款丰田凯美瑞TRD")</f>
        <v>2020款丰田凯美瑞TRD</v>
      </c>
      <c r="C3932" s="2" t="s">
        <v>13</v>
      </c>
      <c r="D3932" s="2" t="s">
        <v>12</v>
      </c>
      <c r="E3932" s="2" t="s">
        <v>27</v>
      </c>
      <c r="F3932" s="2" t="str">
        <f>HYPERLINK("http://bbs.12365auto.com/postcontent.aspx?tId=194843","http://bbs.12365auto.com/postcontent.aspx?tId=194843")</f>
        <v>http://bbs.12365auto.com/postcontent.aspx?tId=194843</v>
      </c>
      <c r="G3932" s="2"/>
      <c r="H3932" s="2" t="s">
        <v>5665</v>
      </c>
      <c r="I3932" s="2" t="s">
        <v>15</v>
      </c>
      <c r="J3932" s="2" t="s">
        <v>5640</v>
      </c>
      <c r="K3932" s="2" t="s">
        <v>5662</v>
      </c>
      <c r="L3932" s="2">
        <f t="shared" si="61"/>
        <v>150</v>
      </c>
    </row>
    <row r="3933" spans="1:12" ht="25" customHeight="1">
      <c r="A3933" s="2" t="s">
        <v>12</v>
      </c>
      <c r="B3933" s="2" t="str">
        <f>HYPERLINK("http://m.12365auto.com/bbs/postcontent.aspx?tID=194845","年轻人也能买得起的敞篷车")</f>
        <v>年轻人也能买得起的敞篷车</v>
      </c>
      <c r="C3933" s="2" t="s">
        <v>13</v>
      </c>
      <c r="D3933" s="2" t="s">
        <v>23</v>
      </c>
      <c r="E3933" s="2"/>
      <c r="F3933" s="2" t="str">
        <f>HYPERLINK("http://m.12365auto.com/bbs/postcontent.aspx?tID=194845","http://m.12365auto.com/bbs/postcontent.aspx?tID=194845")</f>
        <v>http://m.12365auto.com/bbs/postcontent.aspx?tID=194845</v>
      </c>
      <c r="G3933" s="2"/>
      <c r="H3933" s="2" t="s">
        <v>5663</v>
      </c>
      <c r="I3933" s="2" t="s">
        <v>15</v>
      </c>
      <c r="J3933" s="2" t="s">
        <v>5640</v>
      </c>
      <c r="K3933" s="2" t="s">
        <v>5662</v>
      </c>
      <c r="L3933" s="2">
        <f t="shared" si="61"/>
        <v>150</v>
      </c>
    </row>
    <row r="3934" spans="1:12" ht="25" customHeight="1">
      <c r="A3934" s="2" t="s">
        <v>12</v>
      </c>
      <c r="B3934" s="2" t="str">
        <f>HYPERLINK("http://m.12365auto.com/bbs/postcontent.aspx?tID=194844","丰田版大黄蜂？新Supra 2.0T版正式亮相")</f>
        <v>丰田版大黄蜂？新Supra 2.0T版正式亮相</v>
      </c>
      <c r="C3934" s="2" t="s">
        <v>13</v>
      </c>
      <c r="D3934" s="2" t="s">
        <v>23</v>
      </c>
      <c r="E3934" s="2"/>
      <c r="F3934" s="2" t="str">
        <f>HYPERLINK("http://m.12365auto.com/bbs/postcontent.aspx?tID=194844","http://m.12365auto.com/bbs/postcontent.aspx?tID=194844")</f>
        <v>http://m.12365auto.com/bbs/postcontent.aspx?tID=194844</v>
      </c>
      <c r="G3934" s="2"/>
      <c r="H3934" s="2" t="s">
        <v>5664</v>
      </c>
      <c r="I3934" s="2" t="s">
        <v>15</v>
      </c>
      <c r="J3934" s="2" t="s">
        <v>5640</v>
      </c>
      <c r="K3934" s="2" t="s">
        <v>5662</v>
      </c>
      <c r="L3934" s="2">
        <f t="shared" si="61"/>
        <v>150</v>
      </c>
    </row>
    <row r="3935" spans="1:12" ht="25" customHeight="1">
      <c r="A3935" s="2" t="s">
        <v>12</v>
      </c>
      <c r="B3935" s="2" t="str">
        <f>HYPERLINK("http://m.12365auto.com/bbs/postcontent.aspx?tID=194843","2020款丰田凯美瑞TRD")</f>
        <v>2020款丰田凯美瑞TRD</v>
      </c>
      <c r="C3935" s="2" t="s">
        <v>13</v>
      </c>
      <c r="D3935" s="2" t="s">
        <v>23</v>
      </c>
      <c r="E3935" s="2"/>
      <c r="F3935" s="2" t="str">
        <f>HYPERLINK("http://m.12365auto.com/bbs/postcontent.aspx?tID=194843","http://m.12365auto.com/bbs/postcontent.aspx?tID=194843")</f>
        <v>http://m.12365auto.com/bbs/postcontent.aspx?tID=194843</v>
      </c>
      <c r="G3935" s="2"/>
      <c r="H3935" s="2" t="s">
        <v>5665</v>
      </c>
      <c r="I3935" s="2" t="s">
        <v>15</v>
      </c>
      <c r="J3935" s="2" t="s">
        <v>5640</v>
      </c>
      <c r="K3935" s="2" t="s">
        <v>5662</v>
      </c>
      <c r="L3935" s="2">
        <f t="shared" si="61"/>
        <v>150</v>
      </c>
    </row>
    <row r="3936" spans="1:12" ht="25" customHeight="1">
      <c r="A3936" s="2" t="s">
        <v>12</v>
      </c>
      <c r="B3936" s="2" t="str">
        <f>HYPERLINK("http://bbs.12365auto.com/postcontent.aspx?tID=194845","年轻人也能买得起的敞篷车")</f>
        <v>年轻人也能买得起的敞篷车</v>
      </c>
      <c r="C3936" s="2" t="s">
        <v>13</v>
      </c>
      <c r="D3936" s="2" t="s">
        <v>12</v>
      </c>
      <c r="E3936" s="2" t="s">
        <v>28</v>
      </c>
      <c r="F3936" s="2" t="str">
        <f>HYPERLINK("http://bbs.12365auto.com/postcontent.aspx?tID=194845","http://bbs.12365auto.com/postcontent.aspx?tID=194845")</f>
        <v>http://bbs.12365auto.com/postcontent.aspx?tID=194845</v>
      </c>
      <c r="G3936" s="2"/>
      <c r="H3936" s="2" t="s">
        <v>5666</v>
      </c>
      <c r="I3936" s="2" t="s">
        <v>15</v>
      </c>
      <c r="J3936" s="2" t="s">
        <v>5640</v>
      </c>
      <c r="K3936" s="2" t="s">
        <v>5662</v>
      </c>
      <c r="L3936" s="2">
        <f t="shared" si="61"/>
        <v>150</v>
      </c>
    </row>
    <row r="3937" spans="1:12" ht="25" customHeight="1">
      <c r="A3937" s="2" t="s">
        <v>12</v>
      </c>
      <c r="B3937" s="2" t="str">
        <f>HYPERLINK("http://bbs.12365auto.com/postcontent.aspx?tID=194844","丰田版大黄蜂？新Supra 2.0T版正式亮相")</f>
        <v>丰田版大黄蜂？新Supra 2.0T版正式亮相</v>
      </c>
      <c r="C3937" s="2" t="s">
        <v>13</v>
      </c>
      <c r="D3937" s="2" t="s">
        <v>12</v>
      </c>
      <c r="E3937" s="2" t="s">
        <v>28</v>
      </c>
      <c r="F3937" s="2" t="str">
        <f>HYPERLINK("http://bbs.12365auto.com/postcontent.aspx?tID=194844","http://bbs.12365auto.com/postcontent.aspx?tID=194844")</f>
        <v>http://bbs.12365auto.com/postcontent.aspx?tID=194844</v>
      </c>
      <c r="G3937" s="2"/>
      <c r="H3937" s="2" t="s">
        <v>5667</v>
      </c>
      <c r="I3937" s="2" t="s">
        <v>15</v>
      </c>
      <c r="J3937" s="2" t="s">
        <v>5640</v>
      </c>
      <c r="K3937" s="2" t="s">
        <v>5662</v>
      </c>
      <c r="L3937" s="2">
        <f t="shared" si="61"/>
        <v>150</v>
      </c>
    </row>
    <row r="3938" spans="1:12" ht="25" customHeight="1">
      <c r="A3938" s="2" t="s">
        <v>12</v>
      </c>
      <c r="B3938" s="2" t="str">
        <f>HYPERLINK("http://m.12365auto.com/zjdy/20200221/121481.shtml","斯柯达明锐刹车时原地转向异响为什么？")</f>
        <v>斯柯达明锐刹车时原地转向异响为什么？</v>
      </c>
      <c r="C3938" s="2" t="s">
        <v>13</v>
      </c>
      <c r="D3938" s="2" t="s">
        <v>12</v>
      </c>
      <c r="E3938" s="2"/>
      <c r="F3938" s="2" t="str">
        <f>HYPERLINK("http://m.12365auto.com/zjdy/20200221/121481.shtml","http://m.12365auto.com/zjdy/20200221/121481.shtml")</f>
        <v>http://m.12365auto.com/zjdy/20200221/121481.shtml</v>
      </c>
      <c r="G3938" s="2"/>
      <c r="H3938" s="2" t="s">
        <v>5668</v>
      </c>
      <c r="I3938" s="2" t="s">
        <v>19</v>
      </c>
      <c r="J3938" s="2" t="s">
        <v>12</v>
      </c>
      <c r="K3938" s="2" t="s">
        <v>5669</v>
      </c>
      <c r="L3938" s="2">
        <f t="shared" si="61"/>
        <v>44</v>
      </c>
    </row>
    <row r="3939" spans="1:12" ht="25" customHeight="1">
      <c r="A3939" s="2" t="s">
        <v>12</v>
      </c>
      <c r="B3939" s="2" t="str">
        <f>HYPERLINK("http://www.12365auto.com/zlts/20200221/448038.shtml","上汽MAXUS G50发动机油耗高 变速箱异响")</f>
        <v>上汽MAXUS G50发动机油耗高 变速箱异响</v>
      </c>
      <c r="C3939" s="2" t="s">
        <v>13</v>
      </c>
      <c r="D3939" s="2" t="s">
        <v>12</v>
      </c>
      <c r="E3939" s="2"/>
      <c r="F3939" s="2" t="str">
        <f>HYPERLINK("http://www.12365auto.com/zlts/20200221/448038.shtml","http://www.12365auto.com/zlts/20200221/448038.shtml")</f>
        <v>http://www.12365auto.com/zlts/20200221/448038.shtml</v>
      </c>
      <c r="G3939" s="2"/>
      <c r="H3939" s="2" t="s">
        <v>5671</v>
      </c>
      <c r="I3939" s="2" t="s">
        <v>15</v>
      </c>
      <c r="J3939" s="2" t="s">
        <v>12</v>
      </c>
      <c r="K3939" s="2" t="s">
        <v>5670</v>
      </c>
      <c r="L3939" s="2">
        <f t="shared" si="61"/>
        <v>92</v>
      </c>
    </row>
    <row r="3940" spans="1:12" ht="25" customHeight="1">
      <c r="A3940" s="2" t="s">
        <v>12</v>
      </c>
      <c r="B3940" s="2" t="str">
        <f>HYPERLINK("http://www.12365auto.com/zlts/20200221/448043.shtml","东风日产轩逸通过售后保养服务意识差")</f>
        <v>东风日产轩逸通过售后保养服务意识差</v>
      </c>
      <c r="C3940" s="2" t="s">
        <v>13</v>
      </c>
      <c r="D3940" s="2" t="s">
        <v>12</v>
      </c>
      <c r="E3940" s="2"/>
      <c r="F3940" s="2" t="str">
        <f>HYPERLINK("http://www.12365auto.com/zlts/20200221/448043.shtml","http://www.12365auto.com/zlts/20200221/448043.shtml")</f>
        <v>http://www.12365auto.com/zlts/20200221/448043.shtml</v>
      </c>
      <c r="G3940" s="2"/>
      <c r="H3940" s="2" t="s">
        <v>5673</v>
      </c>
      <c r="I3940" s="2" t="s">
        <v>15</v>
      </c>
      <c r="J3940" s="2" t="s">
        <v>12</v>
      </c>
      <c r="K3940" s="2" t="s">
        <v>5672</v>
      </c>
      <c r="L3940" s="2">
        <f t="shared" si="61"/>
        <v>84</v>
      </c>
    </row>
    <row r="3941" spans="1:12" ht="25" customHeight="1">
      <c r="A3941" s="2" t="s">
        <v>12</v>
      </c>
      <c r="B3941" s="2" t="str">
        <f>HYPERLINK("http://www.12365auto.com/zlts/20200221/448042.shtml","吉利远景变速器抖动 无法正常加速")</f>
        <v>吉利远景变速器抖动 无法正常加速</v>
      </c>
      <c r="C3941" s="2" t="s">
        <v>13</v>
      </c>
      <c r="D3941" s="2" t="s">
        <v>12</v>
      </c>
      <c r="E3941" s="2"/>
      <c r="F3941" s="2" t="str">
        <f>HYPERLINK("http://www.12365auto.com/zlts/20200221/448042.shtml","http://www.12365auto.com/zlts/20200221/448042.shtml")</f>
        <v>http://www.12365auto.com/zlts/20200221/448042.shtml</v>
      </c>
      <c r="G3941" s="2"/>
      <c r="H3941" s="2" t="s">
        <v>5675</v>
      </c>
      <c r="I3941" s="2" t="s">
        <v>15</v>
      </c>
      <c r="J3941" s="2" t="s">
        <v>12</v>
      </c>
      <c r="K3941" s="2" t="s">
        <v>5674</v>
      </c>
      <c r="L3941" s="2">
        <f t="shared" si="61"/>
        <v>80</v>
      </c>
    </row>
    <row r="3942" spans="1:12" ht="25" customHeight="1">
      <c r="A3942" s="2" t="s">
        <v>12</v>
      </c>
      <c r="B3942" s="2" t="str">
        <f>HYPERLINK("http://www.12365auto.com/zlts/20200221/448040.shtml","东风日产轩逸经销商出售问题车保险杠有喷漆")</f>
        <v>东风日产轩逸经销商出售问题车保险杠有喷漆</v>
      </c>
      <c r="C3942" s="2" t="s">
        <v>13</v>
      </c>
      <c r="D3942" s="2" t="s">
        <v>12</v>
      </c>
      <c r="E3942" s="2" t="s">
        <v>17</v>
      </c>
      <c r="F3942" s="2" t="str">
        <f>HYPERLINK("http://www.12365auto.com/zlts/20200221/448040.shtml","http://www.12365auto.com/zlts/20200221/448040.shtml")</f>
        <v>http://www.12365auto.com/zlts/20200221/448040.shtml</v>
      </c>
      <c r="G3942" s="2"/>
      <c r="H3942" s="2" t="s">
        <v>5676</v>
      </c>
      <c r="I3942" s="2" t="s">
        <v>19</v>
      </c>
      <c r="J3942" s="2" t="s">
        <v>12</v>
      </c>
      <c r="K3942" s="2" t="s">
        <v>5677</v>
      </c>
      <c r="L3942" s="2">
        <f t="shared" si="61"/>
        <v>150</v>
      </c>
    </row>
    <row r="3943" spans="1:12" ht="25" customHeight="1">
      <c r="A3943" s="2" t="s">
        <v>12</v>
      </c>
      <c r="B3943" s="2" t="str">
        <f>HYPERLINK("http://www.12365auto.com/zlts/20200221/448037.shtml","广汽本田雅阁自动驻车系统无故失灵")</f>
        <v>广汽本田雅阁自动驻车系统无故失灵</v>
      </c>
      <c r="C3943" s="2" t="s">
        <v>13</v>
      </c>
      <c r="D3943" s="2" t="s">
        <v>12</v>
      </c>
      <c r="E3943" s="2" t="s">
        <v>17</v>
      </c>
      <c r="F3943" s="2" t="str">
        <f>HYPERLINK("http://www.12365auto.com/zlts/20200221/448037.shtml","http://www.12365auto.com/zlts/20200221/448037.shtml")</f>
        <v>http://www.12365auto.com/zlts/20200221/448037.shtml</v>
      </c>
      <c r="G3943" s="2"/>
      <c r="H3943" s="2" t="s">
        <v>5678</v>
      </c>
      <c r="I3943" s="2" t="s">
        <v>19</v>
      </c>
      <c r="J3943" s="2" t="s">
        <v>12</v>
      </c>
      <c r="K3943" s="2" t="s">
        <v>5679</v>
      </c>
      <c r="L3943" s="2">
        <f t="shared" si="61"/>
        <v>150</v>
      </c>
    </row>
    <row r="3944" spans="1:12" ht="25" customHeight="1">
      <c r="A3944" s="2" t="s">
        <v>12</v>
      </c>
      <c r="B3944" s="2" t="str">
        <f>HYPERLINK("http://www.12365auto.com/zlts/20200221/448035.shtml","上汽大众凌渡天窗密封条脱落塌陷导致异响")</f>
        <v>上汽大众凌渡天窗密封条脱落塌陷导致异响</v>
      </c>
      <c r="C3944" s="2" t="s">
        <v>13</v>
      </c>
      <c r="D3944" s="2" t="s">
        <v>12</v>
      </c>
      <c r="E3944" s="2" t="s">
        <v>17</v>
      </c>
      <c r="F3944" s="2" t="str">
        <f>HYPERLINK("http://www.12365auto.com/zlts/20200221/448035.shtml","http://www.12365auto.com/zlts/20200221/448035.shtml")</f>
        <v>http://www.12365auto.com/zlts/20200221/448035.shtml</v>
      </c>
      <c r="G3944" s="2"/>
      <c r="H3944" s="2" t="s">
        <v>5680</v>
      </c>
      <c r="I3944" s="2" t="s">
        <v>19</v>
      </c>
      <c r="J3944" s="2" t="s">
        <v>12</v>
      </c>
      <c r="K3944" s="2" t="s">
        <v>5681</v>
      </c>
      <c r="L3944" s="2">
        <f t="shared" si="61"/>
        <v>150</v>
      </c>
    </row>
    <row r="3945" spans="1:12" ht="25" customHeight="1">
      <c r="A3945" s="2" t="s">
        <v>12</v>
      </c>
      <c r="B3945" s="2" t="str">
        <f>HYPERLINK("http://www.12365auto.com/zlts/20200221/448030.shtml","一汽大众高尔夫变速箱提示故障希望解决")</f>
        <v>一汽大众高尔夫变速箱提示故障希望解决</v>
      </c>
      <c r="C3945" s="2" t="s">
        <v>13</v>
      </c>
      <c r="D3945" s="2" t="s">
        <v>12</v>
      </c>
      <c r="E3945" s="2"/>
      <c r="F3945" s="2" t="str">
        <f>HYPERLINK("http://www.12365auto.com/zlts/20200221/448030.shtml","http://www.12365auto.com/zlts/20200221/448030.shtml")</f>
        <v>http://www.12365auto.com/zlts/20200221/448030.shtml</v>
      </c>
      <c r="G3945" s="2"/>
      <c r="H3945" s="2" t="s">
        <v>5683</v>
      </c>
      <c r="I3945" s="2" t="s">
        <v>15</v>
      </c>
      <c r="J3945" s="2" t="s">
        <v>12</v>
      </c>
      <c r="K3945" s="2" t="s">
        <v>5682</v>
      </c>
      <c r="L3945" s="2">
        <f t="shared" si="61"/>
        <v>82</v>
      </c>
    </row>
    <row r="3946" spans="1:12" ht="25" customHeight="1">
      <c r="A3946" s="2" t="s">
        <v>12</v>
      </c>
      <c r="B3946" s="2" t="str">
        <f>HYPERLINK("http://www.12365auto.com/zlts/20200221/448034.shtml","一汽大众捷达大灯 点烟器 空调风机同时没电")</f>
        <v>一汽大众捷达大灯 点烟器 空调风机同时没电</v>
      </c>
      <c r="C3946" s="2" t="s">
        <v>13</v>
      </c>
      <c r="D3946" s="2" t="s">
        <v>12</v>
      </c>
      <c r="E3946" s="2" t="s">
        <v>17</v>
      </c>
      <c r="F3946" s="2" t="str">
        <f>HYPERLINK("http://www.12365auto.com/zlts/20200221/448034.shtml","http://www.12365auto.com/zlts/20200221/448034.shtml")</f>
        <v>http://www.12365auto.com/zlts/20200221/448034.shtml</v>
      </c>
      <c r="G3946" s="2"/>
      <c r="H3946" s="2" t="s">
        <v>5684</v>
      </c>
      <c r="I3946" s="2" t="s">
        <v>19</v>
      </c>
      <c r="J3946" s="2" t="s">
        <v>12</v>
      </c>
      <c r="K3946" s="2" t="s">
        <v>5685</v>
      </c>
      <c r="L3946" s="2">
        <f t="shared" si="61"/>
        <v>150</v>
      </c>
    </row>
    <row r="3947" spans="1:12" ht="25" customHeight="1">
      <c r="A3947" s="2" t="s">
        <v>12</v>
      </c>
      <c r="B3947" s="2" t="str">
        <f>HYPERLINK("http://www.12365auto.com/zlts/20200221/448032.shtml","东风悦达起亚KX3傲跑玻璃压条密封不严")</f>
        <v>东风悦达起亚KX3傲跑玻璃压条密封不严</v>
      </c>
      <c r="C3947" s="2" t="s">
        <v>13</v>
      </c>
      <c r="D3947" s="2" t="s">
        <v>12</v>
      </c>
      <c r="E3947" s="2" t="s">
        <v>17</v>
      </c>
      <c r="F3947" s="2" t="str">
        <f>HYPERLINK("http://www.12365auto.com/zlts/20200221/448032.shtml","http://www.12365auto.com/zlts/20200221/448032.shtml")</f>
        <v>http://www.12365auto.com/zlts/20200221/448032.shtml</v>
      </c>
      <c r="G3947" s="2"/>
      <c r="H3947" s="2" t="s">
        <v>5686</v>
      </c>
      <c r="I3947" s="2" t="s">
        <v>19</v>
      </c>
      <c r="J3947" s="2" t="s">
        <v>12</v>
      </c>
      <c r="K3947" s="2" t="s">
        <v>5687</v>
      </c>
      <c r="L3947" s="2">
        <f t="shared" si="61"/>
        <v>150</v>
      </c>
    </row>
    <row r="3948" spans="1:12" ht="25" customHeight="1">
      <c r="A3948" s="2" t="s">
        <v>12</v>
      </c>
      <c r="B3948" s="2" t="str">
        <f>HYPERLINK("http://www.12365auto.com/zlts/20200221/448031.shtml","上汽大众朗逸车身 中控台 车门严重异响")</f>
        <v>上汽大众朗逸车身 中控台 车门严重异响</v>
      </c>
      <c r="C3948" s="2" t="s">
        <v>13</v>
      </c>
      <c r="D3948" s="2" t="s">
        <v>12</v>
      </c>
      <c r="E3948" s="2" t="s">
        <v>17</v>
      </c>
      <c r="F3948" s="2" t="str">
        <f>HYPERLINK("http://www.12365auto.com/zlts/20200221/448031.shtml","http://www.12365auto.com/zlts/20200221/448031.shtml")</f>
        <v>http://www.12365auto.com/zlts/20200221/448031.shtml</v>
      </c>
      <c r="G3948" s="2"/>
      <c r="H3948" s="2" t="s">
        <v>5688</v>
      </c>
      <c r="I3948" s="2" t="s">
        <v>15</v>
      </c>
      <c r="J3948" s="2" t="s">
        <v>12</v>
      </c>
      <c r="K3948" s="2" t="s">
        <v>5689</v>
      </c>
      <c r="L3948" s="2">
        <f t="shared" si="61"/>
        <v>150</v>
      </c>
    </row>
    <row r="3949" spans="1:12" ht="25" customHeight="1">
      <c r="A3949" s="2" t="s">
        <v>12</v>
      </c>
      <c r="B3949" s="2" t="str">
        <f>HYPERLINK("http://bbs.12365auto.com/postcontent.aspx?tID=194842","春季车辆保养小常识 你做对了吗？")</f>
        <v>春季车辆保养小常识 你做对了吗？</v>
      </c>
      <c r="C3949" s="2" t="s">
        <v>13</v>
      </c>
      <c r="D3949" s="2" t="s">
        <v>12</v>
      </c>
      <c r="E3949" s="2" t="s">
        <v>28</v>
      </c>
      <c r="F3949" s="2" t="str">
        <f>HYPERLINK("http://bbs.12365auto.com/postcontent.aspx?tID=194842","http://bbs.12365auto.com/postcontent.aspx?tID=194842")</f>
        <v>http://bbs.12365auto.com/postcontent.aspx?tID=194842</v>
      </c>
      <c r="G3949" s="2"/>
      <c r="H3949" s="2" t="s">
        <v>5690</v>
      </c>
      <c r="I3949" s="2" t="s">
        <v>15</v>
      </c>
      <c r="J3949" s="2" t="s">
        <v>1446</v>
      </c>
      <c r="K3949" s="2" t="s">
        <v>5691</v>
      </c>
      <c r="L3949" s="2">
        <f t="shared" si="61"/>
        <v>150</v>
      </c>
    </row>
    <row r="3950" spans="1:12" ht="25" customHeight="1">
      <c r="A3950" s="2" t="s">
        <v>12</v>
      </c>
      <c r="B3950" s="2" t="str">
        <f>HYPERLINK("http://m.12365auto.com/bbs/postcontent.aspx?tID=194842","春季车辆保养小常识 你做对了吗？")</f>
        <v>春季车辆保养小常识 你做对了吗？</v>
      </c>
      <c r="C3950" s="2" t="s">
        <v>13</v>
      </c>
      <c r="D3950" s="2" t="s">
        <v>23</v>
      </c>
      <c r="E3950" s="2"/>
      <c r="F3950" s="2" t="str">
        <f>HYPERLINK("http://m.12365auto.com/bbs/postcontent.aspx?tID=194842","http://m.12365auto.com/bbs/postcontent.aspx?tID=194842")</f>
        <v>http://m.12365auto.com/bbs/postcontent.aspx?tID=194842</v>
      </c>
      <c r="G3950" s="2"/>
      <c r="H3950" s="2" t="s">
        <v>5692</v>
      </c>
      <c r="I3950" s="2" t="s">
        <v>15</v>
      </c>
      <c r="J3950" s="2" t="s">
        <v>1446</v>
      </c>
      <c r="K3950" s="2" t="s">
        <v>5691</v>
      </c>
      <c r="L3950" s="2">
        <f t="shared" si="61"/>
        <v>150</v>
      </c>
    </row>
    <row r="3951" spans="1:12" ht="25" customHeight="1">
      <c r="A3951" s="2" t="s">
        <v>12</v>
      </c>
      <c r="B3951" s="2" t="str">
        <f>HYPERLINK("http://bbs.12365auto.com/postcontent.aspx?tId=194842","春季车辆保养小常识 你做对了吗？")</f>
        <v>春季车辆保养小常识 你做对了吗？</v>
      </c>
      <c r="C3951" s="2" t="s">
        <v>13</v>
      </c>
      <c r="D3951" s="2" t="s">
        <v>12</v>
      </c>
      <c r="E3951" s="2" t="s">
        <v>27</v>
      </c>
      <c r="F3951" s="2" t="str">
        <f>HYPERLINK("http://bbs.12365auto.com/postcontent.aspx?tId=194842","http://bbs.12365auto.com/postcontent.aspx?tId=194842")</f>
        <v>http://bbs.12365auto.com/postcontent.aspx?tId=194842</v>
      </c>
      <c r="G3951" s="2"/>
      <c r="H3951" s="2" t="s">
        <v>5692</v>
      </c>
      <c r="I3951" s="2" t="s">
        <v>15</v>
      </c>
      <c r="J3951" s="2" t="s">
        <v>1446</v>
      </c>
      <c r="K3951" s="2" t="s">
        <v>5691</v>
      </c>
      <c r="L3951" s="2">
        <f t="shared" si="61"/>
        <v>150</v>
      </c>
    </row>
    <row r="3952" spans="1:12" ht="25" customHeight="1">
      <c r="A3952" s="2" t="s">
        <v>12</v>
      </c>
      <c r="B3952" s="2" t="str">
        <f>HYPERLINK("http://bbs.12365auto.com/postcontent.aspx?tID=194839","受到疫情影响 深受欢迎的房车旅行又会迎来什么")</f>
        <v>受到疫情影响 深受欢迎的房车旅行又会迎来什么</v>
      </c>
      <c r="C3952" s="2" t="s">
        <v>13</v>
      </c>
      <c r="D3952" s="2" t="s">
        <v>12</v>
      </c>
      <c r="E3952" s="2" t="s">
        <v>5693</v>
      </c>
      <c r="F3952" s="2" t="str">
        <f>HYPERLINK("http://bbs.12365auto.com/postcontent.aspx?tID=194839","http://bbs.12365auto.com/postcontent.aspx?tID=194839")</f>
        <v>http://bbs.12365auto.com/postcontent.aspx?tID=194839</v>
      </c>
      <c r="G3952" s="2"/>
      <c r="H3952" s="2" t="s">
        <v>5694</v>
      </c>
      <c r="I3952" s="2" t="s">
        <v>15</v>
      </c>
      <c r="J3952" s="2" t="s">
        <v>3269</v>
      </c>
      <c r="K3952" s="2" t="s">
        <v>5695</v>
      </c>
      <c r="L3952" s="2">
        <f t="shared" si="61"/>
        <v>150</v>
      </c>
    </row>
    <row r="3953" spans="1:12" ht="25" customHeight="1">
      <c r="A3953" s="2" t="s">
        <v>12</v>
      </c>
      <c r="B3953" s="2" t="str">
        <f>HYPERLINK("http://m.12365auto.com/bbs/postcontent.aspx?tID=194839","受到疫情影响，深受欢迎的房车旅行又会迎来什么")</f>
        <v>受到疫情影响，深受欢迎的房车旅行又会迎来什么</v>
      </c>
      <c r="C3953" s="2" t="s">
        <v>13</v>
      </c>
      <c r="D3953" s="2" t="s">
        <v>23</v>
      </c>
      <c r="E3953" s="2"/>
      <c r="F3953" s="2" t="str">
        <f>HYPERLINK("http://m.12365auto.com/bbs/postcontent.aspx?tID=194839","http://m.12365auto.com/bbs/postcontent.aspx?tID=194839")</f>
        <v>http://m.12365auto.com/bbs/postcontent.aspx?tID=194839</v>
      </c>
      <c r="G3953" s="2"/>
      <c r="H3953" s="2" t="s">
        <v>5696</v>
      </c>
      <c r="I3953" s="2" t="s">
        <v>15</v>
      </c>
      <c r="J3953" s="2" t="s">
        <v>3269</v>
      </c>
      <c r="K3953" s="2" t="s">
        <v>5695</v>
      </c>
      <c r="L3953" s="2">
        <f t="shared" si="61"/>
        <v>150</v>
      </c>
    </row>
    <row r="3954" spans="1:12" ht="25" customHeight="1">
      <c r="A3954" s="2" t="s">
        <v>12</v>
      </c>
      <c r="B3954" s="2" t="str">
        <f>HYPERLINK("http://bbs.12365auto.com/postcontent.aspx?tId=194839","受到疫情影响，深受欢迎的房车旅行又会迎来什么")</f>
        <v>受到疫情影响，深受欢迎的房车旅行又会迎来什么</v>
      </c>
      <c r="C3954" s="2" t="s">
        <v>13</v>
      </c>
      <c r="D3954" s="2" t="s">
        <v>12</v>
      </c>
      <c r="E3954" s="2" t="s">
        <v>5697</v>
      </c>
      <c r="F3954" s="2" t="str">
        <f>HYPERLINK("http://bbs.12365auto.com/postcontent.aspx?tId=194839","http://bbs.12365auto.com/postcontent.aspx?tId=194839")</f>
        <v>http://bbs.12365auto.com/postcontent.aspx?tId=194839</v>
      </c>
      <c r="G3954" s="2"/>
      <c r="H3954" s="2" t="s">
        <v>5696</v>
      </c>
      <c r="I3954" s="2" t="s">
        <v>15</v>
      </c>
      <c r="J3954" s="2" t="s">
        <v>3269</v>
      </c>
      <c r="K3954" s="2" t="s">
        <v>5695</v>
      </c>
      <c r="L3954" s="2">
        <f t="shared" si="61"/>
        <v>150</v>
      </c>
    </row>
    <row r="3955" spans="1:12" ht="25" customHeight="1">
      <c r="A3955" s="2" t="s">
        <v>12</v>
      </c>
      <c r="B3955" s="2" t="str">
        <f>HYPERLINK("http://www.12365auto.com/zlts/20200221/448028.shtml","奇瑞瑞虎3动力缺失 减震漏油 天窗漏水")</f>
        <v>奇瑞瑞虎3动力缺失 减震漏油 天窗漏水</v>
      </c>
      <c r="C3955" s="2" t="s">
        <v>13</v>
      </c>
      <c r="D3955" s="2" t="s">
        <v>12</v>
      </c>
      <c r="E3955" s="2" t="s">
        <v>17</v>
      </c>
      <c r="F3955" s="2" t="str">
        <f>HYPERLINK("http://www.12365auto.com/zlts/20200221/448028.shtml","http://www.12365auto.com/zlts/20200221/448028.shtml")</f>
        <v>http://www.12365auto.com/zlts/20200221/448028.shtml</v>
      </c>
      <c r="G3955" s="2"/>
      <c r="H3955" s="2" t="s">
        <v>5698</v>
      </c>
      <c r="I3955" s="2" t="s">
        <v>19</v>
      </c>
      <c r="J3955" s="2" t="s">
        <v>12</v>
      </c>
      <c r="K3955" s="2" t="s">
        <v>5699</v>
      </c>
      <c r="L3955" s="2">
        <f t="shared" si="61"/>
        <v>150</v>
      </c>
    </row>
    <row r="3956" spans="1:12" ht="25" customHeight="1">
      <c r="A3956" s="2" t="s">
        <v>12</v>
      </c>
      <c r="B3956" s="2" t="str">
        <f>HYPERLINK("http://www.12365auto.com/zlts/20200221/448026.shtml","华晨宝马5系发电机皮带轮掉落导致皮带断掉")</f>
        <v>华晨宝马5系发电机皮带轮掉落导致皮带断掉</v>
      </c>
      <c r="C3956" s="2" t="s">
        <v>13</v>
      </c>
      <c r="D3956" s="2" t="s">
        <v>12</v>
      </c>
      <c r="E3956" s="2" t="s">
        <v>17</v>
      </c>
      <c r="F3956" s="2" t="str">
        <f>HYPERLINK("http://www.12365auto.com/zlts/20200221/448026.shtml","http://www.12365auto.com/zlts/20200221/448026.shtml")</f>
        <v>http://www.12365auto.com/zlts/20200221/448026.shtml</v>
      </c>
      <c r="G3956" s="2"/>
      <c r="H3956" s="2" t="s">
        <v>5700</v>
      </c>
      <c r="I3956" s="2" t="s">
        <v>19</v>
      </c>
      <c r="J3956" s="2" t="s">
        <v>12</v>
      </c>
      <c r="K3956" s="2" t="s">
        <v>5701</v>
      </c>
      <c r="L3956" s="2">
        <f t="shared" si="61"/>
        <v>150</v>
      </c>
    </row>
    <row r="3957" spans="1:12" ht="25" customHeight="1">
      <c r="A3957" s="2" t="s">
        <v>12</v>
      </c>
      <c r="B3957" s="2" t="str">
        <f>HYPERLINK("http://www.12365auto.com/zlts/20200221/448027.shtml","长安沃尔沃S80L行驶中突然熄火且无法启动")</f>
        <v>长安沃尔沃S80L行驶中突然熄火且无法启动</v>
      </c>
      <c r="C3957" s="2" t="s">
        <v>13</v>
      </c>
      <c r="D3957" s="2" t="s">
        <v>12</v>
      </c>
      <c r="E3957" s="2" t="s">
        <v>17</v>
      </c>
      <c r="F3957" s="2" t="str">
        <f>HYPERLINK("http://www.12365auto.com/zlts/20200221/448027.shtml","http://www.12365auto.com/zlts/20200221/448027.shtml")</f>
        <v>http://www.12365auto.com/zlts/20200221/448027.shtml</v>
      </c>
      <c r="G3957" s="2"/>
      <c r="H3957" s="2" t="s">
        <v>5702</v>
      </c>
      <c r="I3957" s="2" t="s">
        <v>19</v>
      </c>
      <c r="J3957" s="2" t="s">
        <v>12</v>
      </c>
      <c r="K3957" s="2" t="s">
        <v>5701</v>
      </c>
      <c r="L3957" s="2">
        <f t="shared" si="61"/>
        <v>150</v>
      </c>
    </row>
    <row r="3958" spans="1:12" ht="25" customHeight="1">
      <c r="A3958" s="2" t="s">
        <v>12</v>
      </c>
      <c r="B3958" s="2" t="str">
        <f>HYPERLINK("http://bbs.12365auto.com/postcontent.aspx?tID=194838","丰田版大黄蜂 新Supra 2.0T版正式亮相")</f>
        <v>丰田版大黄蜂 新Supra 2.0T版正式亮相</v>
      </c>
      <c r="C3958" s="2" t="s">
        <v>13</v>
      </c>
      <c r="D3958" s="2" t="s">
        <v>12</v>
      </c>
      <c r="E3958" s="2" t="s">
        <v>28</v>
      </c>
      <c r="F3958" s="2" t="str">
        <f>HYPERLINK("http://bbs.12365auto.com/postcontent.aspx?tID=194838","http://bbs.12365auto.com/postcontent.aspx?tID=194838")</f>
        <v>http://bbs.12365auto.com/postcontent.aspx?tID=194838</v>
      </c>
      <c r="G3958" s="2"/>
      <c r="H3958" s="2" t="s">
        <v>5703</v>
      </c>
      <c r="I3958" s="2" t="s">
        <v>15</v>
      </c>
      <c r="J3958" s="2" t="s">
        <v>5704</v>
      </c>
      <c r="K3958" s="2" t="s">
        <v>5705</v>
      </c>
      <c r="L3958" s="2">
        <f t="shared" si="61"/>
        <v>150</v>
      </c>
    </row>
    <row r="3959" spans="1:12" ht="25" customHeight="1">
      <c r="A3959" s="2" t="s">
        <v>12</v>
      </c>
      <c r="B3959" s="2" t="str">
        <f>HYPERLINK("http://m.12365auto.com/bbs/postcontent.aspx?tID=194838","丰田版大黄蜂 新Supra 2.0T版正式亮相")</f>
        <v>丰田版大黄蜂 新Supra 2.0T版正式亮相</v>
      </c>
      <c r="C3959" s="2" t="s">
        <v>13</v>
      </c>
      <c r="D3959" s="2" t="s">
        <v>23</v>
      </c>
      <c r="E3959" s="2"/>
      <c r="F3959" s="2" t="str">
        <f>HYPERLINK("http://m.12365auto.com/bbs/postcontent.aspx?tID=194838","http://m.12365auto.com/bbs/postcontent.aspx?tID=194838")</f>
        <v>http://m.12365auto.com/bbs/postcontent.aspx?tID=194838</v>
      </c>
      <c r="G3959" s="2"/>
      <c r="H3959" s="2" t="s">
        <v>5664</v>
      </c>
      <c r="I3959" s="2" t="s">
        <v>15</v>
      </c>
      <c r="J3959" s="2" t="s">
        <v>5704</v>
      </c>
      <c r="K3959" s="2" t="s">
        <v>5705</v>
      </c>
      <c r="L3959" s="2">
        <f t="shared" si="61"/>
        <v>150</v>
      </c>
    </row>
    <row r="3960" spans="1:12" ht="25" customHeight="1">
      <c r="A3960" s="2" t="s">
        <v>12</v>
      </c>
      <c r="B3960" s="2" t="str">
        <f>HYPERLINK("http://bbs.12365auto.com/postcontent.aspx?tId=194838","丰田版大黄蜂 新Supra 2.0T版正式亮相")</f>
        <v>丰田版大黄蜂 新Supra 2.0T版正式亮相</v>
      </c>
      <c r="C3960" s="2" t="s">
        <v>13</v>
      </c>
      <c r="D3960" s="2" t="s">
        <v>12</v>
      </c>
      <c r="E3960" s="2" t="s">
        <v>27</v>
      </c>
      <c r="F3960" s="2" t="str">
        <f>HYPERLINK("http://bbs.12365auto.com/postcontent.aspx?tId=194838","http://bbs.12365auto.com/postcontent.aspx?tId=194838")</f>
        <v>http://bbs.12365auto.com/postcontent.aspx?tId=194838</v>
      </c>
      <c r="G3960" s="2"/>
      <c r="H3960" s="2" t="s">
        <v>5664</v>
      </c>
      <c r="I3960" s="2" t="s">
        <v>15</v>
      </c>
      <c r="J3960" s="2" t="s">
        <v>5704</v>
      </c>
      <c r="K3960" s="2" t="s">
        <v>5705</v>
      </c>
      <c r="L3960" s="2">
        <f t="shared" si="61"/>
        <v>150</v>
      </c>
    </row>
    <row r="3961" spans="1:12" ht="25" customHeight="1">
      <c r="A3961" s="2" t="s">
        <v>12</v>
      </c>
      <c r="B3961" s="2" t="str">
        <f>HYPERLINK("http://bbs.12365auto.com/postcontent.aspx?tId=194837","提全新卡罗拉1.2T先锋版")</f>
        <v>提全新卡罗拉1.2T先锋版</v>
      </c>
      <c r="C3961" s="2" t="s">
        <v>13</v>
      </c>
      <c r="D3961" s="2" t="s">
        <v>12</v>
      </c>
      <c r="E3961" s="2" t="s">
        <v>27</v>
      </c>
      <c r="F3961" s="2" t="str">
        <f>HYPERLINK("http://bbs.12365auto.com/postcontent.aspx?tId=194837","http://bbs.12365auto.com/postcontent.aspx?tId=194837")</f>
        <v>http://bbs.12365auto.com/postcontent.aspx?tId=194837</v>
      </c>
      <c r="G3961" s="2"/>
      <c r="H3961" s="2" t="s">
        <v>5706</v>
      </c>
      <c r="I3961" s="2" t="s">
        <v>15</v>
      </c>
      <c r="J3961" s="2" t="s">
        <v>5704</v>
      </c>
      <c r="K3961" s="2" t="s">
        <v>5707</v>
      </c>
      <c r="L3961" s="2">
        <f t="shared" si="61"/>
        <v>150</v>
      </c>
    </row>
    <row r="3962" spans="1:12" ht="25" customHeight="1">
      <c r="A3962" s="2" t="s">
        <v>12</v>
      </c>
      <c r="B3962" s="2" t="str">
        <f>HYPERLINK("http://m.12365auto.com/bbs/postcontent.aspx?tID=194837&amp;i=1","提全新卡罗拉1.2T先锋版")</f>
        <v>提全新卡罗拉1.2T先锋版</v>
      </c>
      <c r="C3962" s="2" t="s">
        <v>13</v>
      </c>
      <c r="D3962" s="2" t="s">
        <v>23</v>
      </c>
      <c r="E3962" s="2"/>
      <c r="F3962" s="2" t="str">
        <f>HYPERLINK("http://m.12365auto.com/bbs/postcontent.aspx?tID=194837&amp;i=1","http://m.12365auto.com/bbs/postcontent.aspx?tID=194837&amp;i=1")</f>
        <v>http://m.12365auto.com/bbs/postcontent.aspx?tID=194837&amp;i=1</v>
      </c>
      <c r="G3962" s="2"/>
      <c r="H3962" s="2" t="s">
        <v>5706</v>
      </c>
      <c r="I3962" s="2" t="s">
        <v>15</v>
      </c>
      <c r="J3962" s="2" t="s">
        <v>5704</v>
      </c>
      <c r="K3962" s="2" t="s">
        <v>5707</v>
      </c>
      <c r="L3962" s="2">
        <f t="shared" si="61"/>
        <v>150</v>
      </c>
    </row>
    <row r="3963" spans="1:12" ht="25" customHeight="1">
      <c r="A3963" s="2" t="s">
        <v>12</v>
      </c>
      <c r="B3963" s="2" t="str">
        <f>HYPERLINK("http://bbs.12365auto.com/postcontent.aspx?tID=194837","提全新卡罗拉1.2T先锋版")</f>
        <v>提全新卡罗拉1.2T先锋版</v>
      </c>
      <c r="C3963" s="2" t="s">
        <v>13</v>
      </c>
      <c r="D3963" s="2" t="s">
        <v>12</v>
      </c>
      <c r="E3963" s="2" t="s">
        <v>28</v>
      </c>
      <c r="F3963" s="2" t="str">
        <f>HYPERLINK("http://bbs.12365auto.com/postcontent.aspx?tID=194837","http://bbs.12365auto.com/postcontent.aspx?tID=194837")</f>
        <v>http://bbs.12365auto.com/postcontent.aspx?tID=194837</v>
      </c>
      <c r="G3963" s="2"/>
      <c r="H3963" s="2" t="s">
        <v>5708</v>
      </c>
      <c r="I3963" s="2" t="s">
        <v>15</v>
      </c>
      <c r="J3963" s="2" t="s">
        <v>5704</v>
      </c>
      <c r="K3963" s="2" t="s">
        <v>5707</v>
      </c>
      <c r="L3963" s="2">
        <f t="shared" si="61"/>
        <v>150</v>
      </c>
    </row>
    <row r="3964" spans="1:12" ht="25" customHeight="1">
      <c r="A3964" s="2" t="s">
        <v>12</v>
      </c>
      <c r="B3964" s="2" t="str">
        <f>HYPERLINK("http://m.12365auto.com/bbs/postcontent.aspx?tID=194837","提全新卡罗拉1.2T先锋版")</f>
        <v>提全新卡罗拉1.2T先锋版</v>
      </c>
      <c r="C3964" s="2" t="s">
        <v>13</v>
      </c>
      <c r="D3964" s="2" t="s">
        <v>23</v>
      </c>
      <c r="E3964" s="2"/>
      <c r="F3964" s="2" t="str">
        <f>HYPERLINK("http://m.12365auto.com/bbs/postcontent.aspx?tID=194837","http://m.12365auto.com/bbs/postcontent.aspx?tID=194837")</f>
        <v>http://m.12365auto.com/bbs/postcontent.aspx?tID=194837</v>
      </c>
      <c r="G3964" s="2"/>
      <c r="H3964" s="2" t="s">
        <v>5706</v>
      </c>
      <c r="I3964" s="2" t="s">
        <v>15</v>
      </c>
      <c r="J3964" s="2" t="s">
        <v>5704</v>
      </c>
      <c r="K3964" s="2" t="s">
        <v>5707</v>
      </c>
      <c r="L3964" s="2">
        <f t="shared" si="61"/>
        <v>150</v>
      </c>
    </row>
    <row r="3965" spans="1:12" ht="25" customHeight="1">
      <c r="A3965" s="2" t="s">
        <v>12</v>
      </c>
      <c r="B3965" s="2" t="str">
        <f>HYPERLINK("http://bbs.12365auto.com/postcontent.aspx?tId=194836","方向盘酷似迈巴赫 豪华感不输红旗H9")</f>
        <v>方向盘酷似迈巴赫 豪华感不输红旗H9</v>
      </c>
      <c r="C3965" s="2" t="s">
        <v>13</v>
      </c>
      <c r="D3965" s="2" t="s">
        <v>12</v>
      </c>
      <c r="E3965" s="2" t="s">
        <v>27</v>
      </c>
      <c r="F3965" s="2" t="str">
        <f>HYPERLINK("http://bbs.12365auto.com/postcontent.aspx?tId=194836","http://bbs.12365auto.com/postcontent.aspx?tId=194836")</f>
        <v>http://bbs.12365auto.com/postcontent.aspx?tId=194836</v>
      </c>
      <c r="G3965" s="2"/>
      <c r="H3965" s="2" t="s">
        <v>5709</v>
      </c>
      <c r="I3965" s="2" t="s">
        <v>15</v>
      </c>
      <c r="J3965" s="2" t="s">
        <v>5704</v>
      </c>
      <c r="K3965" s="2" t="s">
        <v>5710</v>
      </c>
      <c r="L3965" s="2">
        <f t="shared" si="61"/>
        <v>150</v>
      </c>
    </row>
    <row r="3966" spans="1:12" ht="25" customHeight="1">
      <c r="A3966" s="2" t="s">
        <v>12</v>
      </c>
      <c r="B3966" s="2" t="str">
        <f>HYPERLINK("http://bbs.12365auto.com/postcontent.aspx?tId=194835","奥迪新款A4L外观小幅改动 预计2020年4月上市")</f>
        <v>奥迪新款A4L外观小幅改动 预计2020年4月上市</v>
      </c>
      <c r="C3966" s="2" t="s">
        <v>13</v>
      </c>
      <c r="D3966" s="2" t="s">
        <v>12</v>
      </c>
      <c r="E3966" s="2" t="s">
        <v>27</v>
      </c>
      <c r="F3966" s="2" t="str">
        <f>HYPERLINK("http://bbs.12365auto.com/postcontent.aspx?tId=194835","http://bbs.12365auto.com/postcontent.aspx?tId=194835")</f>
        <v>http://bbs.12365auto.com/postcontent.aspx?tId=194835</v>
      </c>
      <c r="G3966" s="2"/>
      <c r="H3966" s="2" t="s">
        <v>5711</v>
      </c>
      <c r="I3966" s="2" t="s">
        <v>15</v>
      </c>
      <c r="J3966" s="2" t="s">
        <v>5704</v>
      </c>
      <c r="K3966" s="2" t="s">
        <v>5710</v>
      </c>
      <c r="L3966" s="2">
        <f t="shared" si="61"/>
        <v>150</v>
      </c>
    </row>
    <row r="3967" spans="1:12" ht="25" customHeight="1">
      <c r="A3967" s="2" t="s">
        <v>12</v>
      </c>
      <c r="B3967" s="2" t="str">
        <f>HYPERLINK("http://bbs.12365auto.com/postcontent.aspx?tID=194835","奥迪新款A4L外观小幅改动 预计2020年4月上市")</f>
        <v>奥迪新款A4L外观小幅改动 预计2020年4月上市</v>
      </c>
      <c r="C3967" s="2" t="s">
        <v>13</v>
      </c>
      <c r="D3967" s="2" t="s">
        <v>12</v>
      </c>
      <c r="E3967" s="2" t="s">
        <v>28</v>
      </c>
      <c r="F3967" s="2" t="str">
        <f>HYPERLINK("http://bbs.12365auto.com/postcontent.aspx?tID=194835","http://bbs.12365auto.com/postcontent.aspx?tID=194835")</f>
        <v>http://bbs.12365auto.com/postcontent.aspx?tID=194835</v>
      </c>
      <c r="G3967" s="2"/>
      <c r="H3967" s="2" t="s">
        <v>5712</v>
      </c>
      <c r="I3967" s="2" t="s">
        <v>15</v>
      </c>
      <c r="J3967" s="2" t="s">
        <v>5704</v>
      </c>
      <c r="K3967" s="2" t="s">
        <v>5710</v>
      </c>
      <c r="L3967" s="2">
        <f t="shared" si="61"/>
        <v>150</v>
      </c>
    </row>
    <row r="3968" spans="1:12" ht="25" customHeight="1">
      <c r="A3968" s="2" t="s">
        <v>12</v>
      </c>
      <c r="B3968" s="2" t="str">
        <f>HYPERLINK("http://bbs.12365auto.com/postcontent.aspx?tID=194836","方向盘酷似迈巴赫 豪华感不输红旗H9")</f>
        <v>方向盘酷似迈巴赫 豪华感不输红旗H9</v>
      </c>
      <c r="C3968" s="2" t="s">
        <v>13</v>
      </c>
      <c r="D3968" s="2" t="s">
        <v>12</v>
      </c>
      <c r="E3968" s="2" t="s">
        <v>28</v>
      </c>
      <c r="F3968" s="2" t="str">
        <f>HYPERLINK("http://bbs.12365auto.com/postcontent.aspx?tID=194836","http://bbs.12365auto.com/postcontent.aspx?tID=194836")</f>
        <v>http://bbs.12365auto.com/postcontent.aspx?tID=194836</v>
      </c>
      <c r="G3968" s="2"/>
      <c r="H3968" s="2" t="s">
        <v>5713</v>
      </c>
      <c r="I3968" s="2" t="s">
        <v>15</v>
      </c>
      <c r="J3968" s="2" t="s">
        <v>5704</v>
      </c>
      <c r="K3968" s="2" t="s">
        <v>5710</v>
      </c>
      <c r="L3968" s="2">
        <f t="shared" si="61"/>
        <v>150</v>
      </c>
    </row>
    <row r="3969" spans="1:12" ht="25" customHeight="1">
      <c r="A3969" s="2" t="s">
        <v>12</v>
      </c>
      <c r="B3969" s="2" t="str">
        <f>HYPERLINK("http://m.12365auto.com/bbs/postcontent.aspx?tID=194835","奥迪新款A4L外观小幅改动 预计2020年4月上市")</f>
        <v>奥迪新款A4L外观小幅改动 预计2020年4月上市</v>
      </c>
      <c r="C3969" s="2" t="s">
        <v>13</v>
      </c>
      <c r="D3969" s="2" t="s">
        <v>23</v>
      </c>
      <c r="E3969" s="2"/>
      <c r="F3969" s="2" t="str">
        <f>HYPERLINK("http://m.12365auto.com/bbs/postcontent.aspx?tID=194835","http://m.12365auto.com/bbs/postcontent.aspx?tID=194835")</f>
        <v>http://m.12365auto.com/bbs/postcontent.aspx?tID=194835</v>
      </c>
      <c r="G3969" s="2"/>
      <c r="H3969" s="2" t="s">
        <v>5711</v>
      </c>
      <c r="I3969" s="2" t="s">
        <v>15</v>
      </c>
      <c r="J3969" s="2" t="s">
        <v>5704</v>
      </c>
      <c r="K3969" s="2" t="s">
        <v>5710</v>
      </c>
      <c r="L3969" s="2">
        <f t="shared" si="61"/>
        <v>150</v>
      </c>
    </row>
    <row r="3970" spans="1:12" ht="25" customHeight="1">
      <c r="A3970" s="2" t="s">
        <v>12</v>
      </c>
      <c r="B3970" s="2" t="str">
        <f>HYPERLINK("http://m.12365auto.com/bbs/postcontent.aspx?tID=194836","方向盘酷似迈巴赫 豪华感不输红旗H9")</f>
        <v>方向盘酷似迈巴赫 豪华感不输红旗H9</v>
      </c>
      <c r="C3970" s="2" t="s">
        <v>13</v>
      </c>
      <c r="D3970" s="2" t="s">
        <v>23</v>
      </c>
      <c r="E3970" s="2"/>
      <c r="F3970" s="2" t="str">
        <f>HYPERLINK("http://m.12365auto.com/bbs/postcontent.aspx?tID=194836","http://m.12365auto.com/bbs/postcontent.aspx?tID=194836")</f>
        <v>http://m.12365auto.com/bbs/postcontent.aspx?tID=194836</v>
      </c>
      <c r="G3970" s="2"/>
      <c r="H3970" s="2" t="s">
        <v>5709</v>
      </c>
      <c r="I3970" s="2" t="s">
        <v>15</v>
      </c>
      <c r="J3970" s="2" t="s">
        <v>5704</v>
      </c>
      <c r="K3970" s="2" t="s">
        <v>5710</v>
      </c>
      <c r="L3970" s="2">
        <f t="shared" si="61"/>
        <v>150</v>
      </c>
    </row>
    <row r="3971" spans="1:12" ht="25" customHeight="1">
      <c r="A3971" s="2" t="s">
        <v>12</v>
      </c>
      <c r="B3971" s="2" t="str">
        <f>HYPERLINK("http://bbs.12365auto.com/postcontent.aspx?tId=194834","全新国产起亚K5将在明年上半年上市")</f>
        <v>全新国产起亚K5将在明年上半年上市</v>
      </c>
      <c r="C3971" s="2" t="s">
        <v>13</v>
      </c>
      <c r="D3971" s="2" t="s">
        <v>12</v>
      </c>
      <c r="E3971" s="2" t="s">
        <v>27</v>
      </c>
      <c r="F3971" s="2" t="str">
        <f>HYPERLINK("http://bbs.12365auto.com/postcontent.aspx?tId=194834","http://bbs.12365auto.com/postcontent.aspx?tId=194834")</f>
        <v>http://bbs.12365auto.com/postcontent.aspx?tId=194834</v>
      </c>
      <c r="G3971" s="2"/>
      <c r="H3971" s="2" t="s">
        <v>5714</v>
      </c>
      <c r="I3971" s="2" t="s">
        <v>15</v>
      </c>
      <c r="J3971" s="2" t="s">
        <v>5704</v>
      </c>
      <c r="K3971" s="2" t="s">
        <v>5715</v>
      </c>
      <c r="L3971" s="2">
        <f t="shared" ref="L3971:L4034" si="62">LEN(H3971)</f>
        <v>150</v>
      </c>
    </row>
    <row r="3972" spans="1:12" ht="25" customHeight="1">
      <c r="A3972" s="2" t="s">
        <v>12</v>
      </c>
      <c r="B3972" s="2" t="str">
        <f>HYPERLINK("http://bbs.12365auto.com/postcontent.aspx?tID=194834","全新国产起亚K5将在明年上半年上市")</f>
        <v>全新国产起亚K5将在明年上半年上市</v>
      </c>
      <c r="C3972" s="2" t="s">
        <v>13</v>
      </c>
      <c r="D3972" s="2" t="s">
        <v>12</v>
      </c>
      <c r="E3972" s="2" t="s">
        <v>28</v>
      </c>
      <c r="F3972" s="2" t="str">
        <f>HYPERLINK("http://bbs.12365auto.com/postcontent.aspx?tID=194834","http://bbs.12365auto.com/postcontent.aspx?tID=194834")</f>
        <v>http://bbs.12365auto.com/postcontent.aspx?tID=194834</v>
      </c>
      <c r="G3972" s="2"/>
      <c r="H3972" s="2" t="s">
        <v>5716</v>
      </c>
      <c r="I3972" s="2" t="s">
        <v>15</v>
      </c>
      <c r="J3972" s="2" t="s">
        <v>5704</v>
      </c>
      <c r="K3972" s="2" t="s">
        <v>5715</v>
      </c>
      <c r="L3972" s="2">
        <f t="shared" si="62"/>
        <v>150</v>
      </c>
    </row>
    <row r="3973" spans="1:12" ht="25" customHeight="1">
      <c r="A3973" s="2" t="s">
        <v>12</v>
      </c>
      <c r="B3973" s="2" t="str">
        <f>HYPERLINK("http://m.12365auto.com/bbs/postcontent.aspx?tID=194834","全新国产起亚K5将在明年上半年上市")</f>
        <v>全新国产起亚K5将在明年上半年上市</v>
      </c>
      <c r="C3973" s="2" t="s">
        <v>13</v>
      </c>
      <c r="D3973" s="2" t="s">
        <v>23</v>
      </c>
      <c r="E3973" s="2"/>
      <c r="F3973" s="2" t="str">
        <f>HYPERLINK("http://m.12365auto.com/bbs/postcontent.aspx?tID=194834","http://m.12365auto.com/bbs/postcontent.aspx?tID=194834")</f>
        <v>http://m.12365auto.com/bbs/postcontent.aspx?tID=194834</v>
      </c>
      <c r="G3973" s="2"/>
      <c r="H3973" s="2" t="s">
        <v>5714</v>
      </c>
      <c r="I3973" s="2" t="s">
        <v>15</v>
      </c>
      <c r="J3973" s="2" t="s">
        <v>5704</v>
      </c>
      <c r="K3973" s="2" t="s">
        <v>5715</v>
      </c>
      <c r="L3973" s="2">
        <f t="shared" si="62"/>
        <v>150</v>
      </c>
    </row>
    <row r="3974" spans="1:12" ht="25" customHeight="1">
      <c r="A3974" s="2" t="s">
        <v>12</v>
      </c>
      <c r="B3974" s="2" t="str">
        <f>HYPERLINK("http://bbs.12365auto.com/postcontent.aspx?tId=194833","国产皮卡该不该学习特斯拉皮卡")</f>
        <v>国产皮卡该不该学习特斯拉皮卡</v>
      </c>
      <c r="C3974" s="2" t="s">
        <v>13</v>
      </c>
      <c r="D3974" s="2" t="s">
        <v>12</v>
      </c>
      <c r="E3974" s="2" t="s">
        <v>27</v>
      </c>
      <c r="F3974" s="2" t="str">
        <f>HYPERLINK("http://bbs.12365auto.com/postcontent.aspx?tId=194833","http://bbs.12365auto.com/postcontent.aspx?tId=194833")</f>
        <v>http://bbs.12365auto.com/postcontent.aspx?tId=194833</v>
      </c>
      <c r="G3974" s="2"/>
      <c r="H3974" s="2" t="s">
        <v>5653</v>
      </c>
      <c r="I3974" s="2" t="s">
        <v>15</v>
      </c>
      <c r="J3974" s="2" t="s">
        <v>5704</v>
      </c>
      <c r="K3974" s="2" t="s">
        <v>5717</v>
      </c>
      <c r="L3974" s="2">
        <f t="shared" si="62"/>
        <v>150</v>
      </c>
    </row>
    <row r="3975" spans="1:12" ht="25" customHeight="1">
      <c r="A3975" s="2" t="s">
        <v>12</v>
      </c>
      <c r="B3975" s="2" t="str">
        <f>HYPERLINK("http://bbs.12365auto.com/postcontent.aspx?tID=194833","国产皮卡该不该学习特斯拉皮卡")</f>
        <v>国产皮卡该不该学习特斯拉皮卡</v>
      </c>
      <c r="C3975" s="2" t="s">
        <v>13</v>
      </c>
      <c r="D3975" s="2" t="s">
        <v>12</v>
      </c>
      <c r="E3975" s="2" t="s">
        <v>28</v>
      </c>
      <c r="F3975" s="2" t="str">
        <f>HYPERLINK("http://bbs.12365auto.com/postcontent.aspx?tID=194833","http://bbs.12365auto.com/postcontent.aspx?tID=194833")</f>
        <v>http://bbs.12365auto.com/postcontent.aspx?tID=194833</v>
      </c>
      <c r="G3975" s="2"/>
      <c r="H3975" s="2" t="s">
        <v>5655</v>
      </c>
      <c r="I3975" s="2" t="s">
        <v>15</v>
      </c>
      <c r="J3975" s="2" t="s">
        <v>5704</v>
      </c>
      <c r="K3975" s="2" t="s">
        <v>5717</v>
      </c>
      <c r="L3975" s="2">
        <f t="shared" si="62"/>
        <v>150</v>
      </c>
    </row>
    <row r="3976" spans="1:12" ht="25" customHeight="1">
      <c r="A3976" s="2" t="s">
        <v>12</v>
      </c>
      <c r="B3976" s="2" t="str">
        <f>HYPERLINK("http://m.12365auto.com/bbs/postcontent.aspx?tID=194833","国产皮卡该不该学习特斯拉皮卡")</f>
        <v>国产皮卡该不该学习特斯拉皮卡</v>
      </c>
      <c r="C3976" s="2" t="s">
        <v>13</v>
      </c>
      <c r="D3976" s="2" t="s">
        <v>23</v>
      </c>
      <c r="E3976" s="2"/>
      <c r="F3976" s="2" t="str">
        <f>HYPERLINK("http://m.12365auto.com/bbs/postcontent.aspx?tID=194833","http://m.12365auto.com/bbs/postcontent.aspx?tID=194833")</f>
        <v>http://m.12365auto.com/bbs/postcontent.aspx?tID=194833</v>
      </c>
      <c r="G3976" s="2"/>
      <c r="H3976" s="2" t="s">
        <v>5653</v>
      </c>
      <c r="I3976" s="2" t="s">
        <v>15</v>
      </c>
      <c r="J3976" s="2" t="s">
        <v>5704</v>
      </c>
      <c r="K3976" s="2" t="s">
        <v>5717</v>
      </c>
      <c r="L3976" s="2">
        <f t="shared" si="62"/>
        <v>150</v>
      </c>
    </row>
    <row r="3977" spans="1:12" ht="25" customHeight="1">
      <c r="A3977" s="2" t="s">
        <v>12</v>
      </c>
      <c r="B3977" s="2" t="str">
        <f>HYPERLINK("http://bbs.12365auto.com/postcontent.aspx?tId=194832","后驱六缸 魂动设计的马自达年轻人都喜欢")</f>
        <v>后驱六缸 魂动设计的马自达年轻人都喜欢</v>
      </c>
      <c r="C3977" s="2" t="s">
        <v>13</v>
      </c>
      <c r="D3977" s="2" t="s">
        <v>12</v>
      </c>
      <c r="E3977" s="2" t="s">
        <v>27</v>
      </c>
      <c r="F3977" s="2" t="str">
        <f>HYPERLINK("http://bbs.12365auto.com/postcontent.aspx?tId=194832","http://bbs.12365auto.com/postcontent.aspx?tId=194832")</f>
        <v>http://bbs.12365auto.com/postcontent.aspx?tId=194832</v>
      </c>
      <c r="G3977" s="2"/>
      <c r="H3977" s="2" t="s">
        <v>5718</v>
      </c>
      <c r="I3977" s="2" t="s">
        <v>15</v>
      </c>
      <c r="J3977" s="2" t="s">
        <v>5704</v>
      </c>
      <c r="K3977" s="2" t="s">
        <v>5719</v>
      </c>
      <c r="L3977" s="2">
        <f t="shared" si="62"/>
        <v>150</v>
      </c>
    </row>
    <row r="3978" spans="1:12" ht="25" customHeight="1">
      <c r="A3978" s="2" t="s">
        <v>12</v>
      </c>
      <c r="B3978" s="2" t="str">
        <f>HYPERLINK("http://bbs.12365auto.com/postcontent.aspx?tId=194831","威驰用车报告 一款给普通人的普通车")</f>
        <v>威驰用车报告 一款给普通人的普通车</v>
      </c>
      <c r="C3978" s="2" t="s">
        <v>13</v>
      </c>
      <c r="D3978" s="2" t="s">
        <v>12</v>
      </c>
      <c r="E3978" s="2" t="s">
        <v>27</v>
      </c>
      <c r="F3978" s="2" t="str">
        <f>HYPERLINK("http://bbs.12365auto.com/postcontent.aspx?tId=194831","http://bbs.12365auto.com/postcontent.aspx?tId=194831")</f>
        <v>http://bbs.12365auto.com/postcontent.aspx?tId=194831</v>
      </c>
      <c r="G3978" s="2"/>
      <c r="H3978" s="2" t="s">
        <v>5720</v>
      </c>
      <c r="I3978" s="2" t="s">
        <v>15</v>
      </c>
      <c r="J3978" s="2" t="s">
        <v>5704</v>
      </c>
      <c r="K3978" s="2" t="s">
        <v>5719</v>
      </c>
      <c r="L3978" s="2">
        <f t="shared" si="62"/>
        <v>150</v>
      </c>
    </row>
    <row r="3979" spans="1:12" ht="25" customHeight="1">
      <c r="A3979" s="2" t="s">
        <v>12</v>
      </c>
      <c r="B3979" s="2" t="str">
        <f>HYPERLINK("http://bbs.12365auto.com/postcontent.aspx?tID=194832","后驱六缸 魂动设计的马自达年轻人都喜欢")</f>
        <v>后驱六缸 魂动设计的马自达年轻人都喜欢</v>
      </c>
      <c r="C3979" s="2" t="s">
        <v>13</v>
      </c>
      <c r="D3979" s="2" t="s">
        <v>12</v>
      </c>
      <c r="E3979" s="2" t="s">
        <v>28</v>
      </c>
      <c r="F3979" s="2" t="str">
        <f>HYPERLINK("http://bbs.12365auto.com/postcontent.aspx?tID=194832","http://bbs.12365auto.com/postcontent.aspx?tID=194832")</f>
        <v>http://bbs.12365auto.com/postcontent.aspx?tID=194832</v>
      </c>
      <c r="G3979" s="2"/>
      <c r="H3979" s="2" t="s">
        <v>5721</v>
      </c>
      <c r="I3979" s="2" t="s">
        <v>15</v>
      </c>
      <c r="J3979" s="2" t="s">
        <v>5704</v>
      </c>
      <c r="K3979" s="2" t="s">
        <v>5719</v>
      </c>
      <c r="L3979" s="2">
        <f t="shared" si="62"/>
        <v>150</v>
      </c>
    </row>
    <row r="3980" spans="1:12" ht="25" customHeight="1">
      <c r="A3980" s="2" t="s">
        <v>12</v>
      </c>
      <c r="B3980" s="2" t="str">
        <f>HYPERLINK("http://bbs.12365auto.com/postcontent.aspx?tID=194831","威驰用车报告 一款给普通人的普通车")</f>
        <v>威驰用车报告 一款给普通人的普通车</v>
      </c>
      <c r="C3980" s="2" t="s">
        <v>13</v>
      </c>
      <c r="D3980" s="2" t="s">
        <v>12</v>
      </c>
      <c r="E3980" s="2" t="s">
        <v>28</v>
      </c>
      <c r="F3980" s="2" t="str">
        <f>HYPERLINK("http://bbs.12365auto.com/postcontent.aspx?tID=194831","http://bbs.12365auto.com/postcontent.aspx?tID=194831")</f>
        <v>http://bbs.12365auto.com/postcontent.aspx?tID=194831</v>
      </c>
      <c r="G3980" s="2"/>
      <c r="H3980" s="2" t="s">
        <v>5722</v>
      </c>
      <c r="I3980" s="2" t="s">
        <v>15</v>
      </c>
      <c r="J3980" s="2" t="s">
        <v>5704</v>
      </c>
      <c r="K3980" s="2" t="s">
        <v>5719</v>
      </c>
      <c r="L3980" s="2">
        <f t="shared" si="62"/>
        <v>150</v>
      </c>
    </row>
    <row r="3981" spans="1:12" ht="25" customHeight="1">
      <c r="A3981" s="2" t="s">
        <v>12</v>
      </c>
      <c r="B3981" s="2" t="str">
        <f>HYPERLINK("http://m.12365auto.com/bbs/postcontent.aspx?tID=194832","后驱六缸 魂动设计的马自达年轻人都喜欢")</f>
        <v>后驱六缸 魂动设计的马自达年轻人都喜欢</v>
      </c>
      <c r="C3981" s="2" t="s">
        <v>13</v>
      </c>
      <c r="D3981" s="2" t="s">
        <v>23</v>
      </c>
      <c r="E3981" s="2"/>
      <c r="F3981" s="2" t="str">
        <f>HYPERLINK("http://m.12365auto.com/bbs/postcontent.aspx?tID=194832","http://m.12365auto.com/bbs/postcontent.aspx?tID=194832")</f>
        <v>http://m.12365auto.com/bbs/postcontent.aspx?tID=194832</v>
      </c>
      <c r="G3981" s="2"/>
      <c r="H3981" s="2" t="s">
        <v>5718</v>
      </c>
      <c r="I3981" s="2" t="s">
        <v>15</v>
      </c>
      <c r="J3981" s="2" t="s">
        <v>5704</v>
      </c>
      <c r="K3981" s="2" t="s">
        <v>5719</v>
      </c>
      <c r="L3981" s="2">
        <f t="shared" si="62"/>
        <v>150</v>
      </c>
    </row>
    <row r="3982" spans="1:12" ht="25" customHeight="1">
      <c r="A3982" s="2" t="s">
        <v>12</v>
      </c>
      <c r="B3982" s="2" t="str">
        <f>HYPERLINK("http://m.12365auto.com/bbs/postcontent.aspx?tID=194831","威驰用车报告 一款给普通人的普通车")</f>
        <v>威驰用车报告 一款给普通人的普通车</v>
      </c>
      <c r="C3982" s="2" t="s">
        <v>13</v>
      </c>
      <c r="D3982" s="2" t="s">
        <v>23</v>
      </c>
      <c r="E3982" s="2"/>
      <c r="F3982" s="2" t="str">
        <f>HYPERLINK("http://m.12365auto.com/bbs/postcontent.aspx?tID=194831","http://m.12365auto.com/bbs/postcontent.aspx?tID=194831")</f>
        <v>http://m.12365auto.com/bbs/postcontent.aspx?tID=194831</v>
      </c>
      <c r="G3982" s="2"/>
      <c r="H3982" s="2" t="s">
        <v>5720</v>
      </c>
      <c r="I3982" s="2" t="s">
        <v>15</v>
      </c>
      <c r="J3982" s="2" t="s">
        <v>5704</v>
      </c>
      <c r="K3982" s="2" t="s">
        <v>5719</v>
      </c>
      <c r="L3982" s="2">
        <f t="shared" si="62"/>
        <v>150</v>
      </c>
    </row>
    <row r="3983" spans="1:12" ht="25" customHeight="1">
      <c r="A3983" s="2" t="s">
        <v>12</v>
      </c>
      <c r="B3983" s="2" t="str">
        <f>HYPERLINK("http://www.12365auto.com/zlts/20200221/448023.shtml","上汽荣威Ei5遥控器无法解锁整车电量低")</f>
        <v>上汽荣威Ei5遥控器无法解锁整车电量低</v>
      </c>
      <c r="C3983" s="2" t="s">
        <v>13</v>
      </c>
      <c r="D3983" s="2" t="s">
        <v>12</v>
      </c>
      <c r="E3983" s="2"/>
      <c r="F3983" s="2" t="str">
        <f>HYPERLINK("http://www.12365auto.com/zlts/20200221/448023.shtml","http://www.12365auto.com/zlts/20200221/448023.shtml")</f>
        <v>http://www.12365auto.com/zlts/20200221/448023.shtml</v>
      </c>
      <c r="G3983" s="2"/>
      <c r="H3983" s="2" t="s">
        <v>5724</v>
      </c>
      <c r="I3983" s="2" t="s">
        <v>15</v>
      </c>
      <c r="J3983" s="2" t="s">
        <v>12</v>
      </c>
      <c r="K3983" s="2" t="s">
        <v>5723</v>
      </c>
      <c r="L3983" s="2">
        <f t="shared" si="62"/>
        <v>77</v>
      </c>
    </row>
    <row r="3984" spans="1:12" ht="25" customHeight="1">
      <c r="A3984" s="2" t="s">
        <v>12</v>
      </c>
      <c r="B3984" s="2" t="str">
        <f>HYPERLINK("http://www.12365auto.com/zlts/20200221/448024.shtml","一汽马自达阿特兹驾驶位B柱异响 音响电流声")</f>
        <v>一汽马自达阿特兹驾驶位B柱异响 音响电流声</v>
      </c>
      <c r="C3984" s="2" t="s">
        <v>13</v>
      </c>
      <c r="D3984" s="2" t="s">
        <v>12</v>
      </c>
      <c r="E3984" s="2" t="s">
        <v>17</v>
      </c>
      <c r="F3984" s="2" t="str">
        <f>HYPERLINK("http://www.12365auto.com/zlts/20200221/448024.shtml","http://www.12365auto.com/zlts/20200221/448024.shtml")</f>
        <v>http://www.12365auto.com/zlts/20200221/448024.shtml</v>
      </c>
      <c r="G3984" s="2"/>
      <c r="H3984" s="2" t="s">
        <v>5725</v>
      </c>
      <c r="I3984" s="2" t="s">
        <v>15</v>
      </c>
      <c r="J3984" s="2" t="s">
        <v>12</v>
      </c>
      <c r="K3984" s="2" t="s">
        <v>5726</v>
      </c>
      <c r="L3984" s="2">
        <f t="shared" si="62"/>
        <v>150</v>
      </c>
    </row>
    <row r="3985" spans="1:12" ht="25" customHeight="1">
      <c r="A3985" s="2" t="s">
        <v>12</v>
      </c>
      <c r="B3985" s="2" t="str">
        <f>HYPERLINK("http://bbs.12365auto.com/postcontent.aspx?tId=194829","吉利首台突破传统新SUV诞生 销量2020辆")</f>
        <v>吉利首台突破传统新SUV诞生 销量2020辆</v>
      </c>
      <c r="C3985" s="2" t="s">
        <v>13</v>
      </c>
      <c r="D3985" s="2" t="s">
        <v>12</v>
      </c>
      <c r="E3985" s="2" t="s">
        <v>27</v>
      </c>
      <c r="F3985" s="2" t="str">
        <f>HYPERLINK("http://bbs.12365auto.com/postcontent.aspx?tId=194829","http://bbs.12365auto.com/postcontent.aspx?tId=194829")</f>
        <v>http://bbs.12365auto.com/postcontent.aspx?tId=194829</v>
      </c>
      <c r="G3985" s="2"/>
      <c r="H3985" s="2" t="s">
        <v>5727</v>
      </c>
      <c r="I3985" s="2" t="s">
        <v>15</v>
      </c>
      <c r="J3985" s="2" t="s">
        <v>5704</v>
      </c>
      <c r="K3985" s="2" t="s">
        <v>5726</v>
      </c>
      <c r="L3985" s="2">
        <f t="shared" si="62"/>
        <v>150</v>
      </c>
    </row>
    <row r="3986" spans="1:12" ht="25" customHeight="1">
      <c r="A3986" s="2" t="s">
        <v>12</v>
      </c>
      <c r="B3986" s="2" t="str">
        <f>HYPERLINK("http://bbs.12365auto.com/postcontent.aspx?tId=194830","零跑 S01 起售价11.99万元")</f>
        <v>零跑 S01 起售价11.99万元</v>
      </c>
      <c r="C3986" s="2" t="s">
        <v>13</v>
      </c>
      <c r="D3986" s="2" t="s">
        <v>12</v>
      </c>
      <c r="E3986" s="2" t="s">
        <v>27</v>
      </c>
      <c r="F3986" s="2" t="str">
        <f>HYPERLINK("http://bbs.12365auto.com/postcontent.aspx?tId=194830","http://bbs.12365auto.com/postcontent.aspx?tId=194830")</f>
        <v>http://bbs.12365auto.com/postcontent.aspx?tId=194830</v>
      </c>
      <c r="G3986" s="2"/>
      <c r="H3986" s="2" t="s">
        <v>5728</v>
      </c>
      <c r="I3986" s="2" t="s">
        <v>15</v>
      </c>
      <c r="J3986" s="2" t="s">
        <v>5704</v>
      </c>
      <c r="K3986" s="2" t="s">
        <v>5726</v>
      </c>
      <c r="L3986" s="2">
        <f t="shared" si="62"/>
        <v>150</v>
      </c>
    </row>
    <row r="3987" spans="1:12" ht="25" customHeight="1">
      <c r="A3987" s="2" t="s">
        <v>12</v>
      </c>
      <c r="B3987" s="2" t="str">
        <f>HYPERLINK("http://bbs.12365auto.com/postcontent.aspx?tID=194830","零跑 S01 起售价11.99万元")</f>
        <v>零跑 S01 起售价11.99万元</v>
      </c>
      <c r="C3987" s="2" t="s">
        <v>13</v>
      </c>
      <c r="D3987" s="2" t="s">
        <v>12</v>
      </c>
      <c r="E3987" s="2" t="s">
        <v>28</v>
      </c>
      <c r="F3987" s="2" t="str">
        <f>HYPERLINK("http://bbs.12365auto.com/postcontent.aspx?tID=194830","http://bbs.12365auto.com/postcontent.aspx?tID=194830")</f>
        <v>http://bbs.12365auto.com/postcontent.aspx?tID=194830</v>
      </c>
      <c r="G3987" s="2"/>
      <c r="H3987" s="2" t="s">
        <v>5729</v>
      </c>
      <c r="I3987" s="2" t="s">
        <v>15</v>
      </c>
      <c r="J3987" s="2" t="s">
        <v>5704</v>
      </c>
      <c r="K3987" s="2" t="s">
        <v>5726</v>
      </c>
      <c r="L3987" s="2">
        <f t="shared" si="62"/>
        <v>150</v>
      </c>
    </row>
    <row r="3988" spans="1:12" ht="25" customHeight="1">
      <c r="A3988" s="2" t="s">
        <v>12</v>
      </c>
      <c r="B3988" s="2" t="str">
        <f>HYPERLINK("http://m.12365auto.com/bbs/postcontent.aspx?tID=194829","吉利首台突破传统新SUV诞生 销量2020辆")</f>
        <v>吉利首台突破传统新SUV诞生 销量2020辆</v>
      </c>
      <c r="C3988" s="2" t="s">
        <v>13</v>
      </c>
      <c r="D3988" s="2" t="s">
        <v>23</v>
      </c>
      <c r="E3988" s="2"/>
      <c r="F3988" s="2" t="str">
        <f>HYPERLINK("http://m.12365auto.com/bbs/postcontent.aspx?tID=194829","http://m.12365auto.com/bbs/postcontent.aspx?tID=194829")</f>
        <v>http://m.12365auto.com/bbs/postcontent.aspx?tID=194829</v>
      </c>
      <c r="G3988" s="2"/>
      <c r="H3988" s="2" t="s">
        <v>5727</v>
      </c>
      <c r="I3988" s="2" t="s">
        <v>15</v>
      </c>
      <c r="J3988" s="2" t="s">
        <v>5704</v>
      </c>
      <c r="K3988" s="2" t="s">
        <v>5726</v>
      </c>
      <c r="L3988" s="2">
        <f t="shared" si="62"/>
        <v>150</v>
      </c>
    </row>
    <row r="3989" spans="1:12" ht="25" customHeight="1">
      <c r="A3989" s="2" t="s">
        <v>12</v>
      </c>
      <c r="B3989" s="2" t="str">
        <f>HYPERLINK("http://m.12365auto.com/bbs/postcontent.aspx?tID=194830","零跑 S01 起售价11.99万元")</f>
        <v>零跑 S01 起售价11.99万元</v>
      </c>
      <c r="C3989" s="2" t="s">
        <v>13</v>
      </c>
      <c r="D3989" s="2" t="s">
        <v>23</v>
      </c>
      <c r="E3989" s="2"/>
      <c r="F3989" s="2" t="str">
        <f>HYPERLINK("http://m.12365auto.com/bbs/postcontent.aspx?tID=194830","http://m.12365auto.com/bbs/postcontent.aspx?tID=194830")</f>
        <v>http://m.12365auto.com/bbs/postcontent.aspx?tID=194830</v>
      </c>
      <c r="G3989" s="2"/>
      <c r="H3989" s="2" t="s">
        <v>5728</v>
      </c>
      <c r="I3989" s="2" t="s">
        <v>15</v>
      </c>
      <c r="J3989" s="2" t="s">
        <v>5704</v>
      </c>
      <c r="K3989" s="2" t="s">
        <v>5726</v>
      </c>
      <c r="L3989" s="2">
        <f t="shared" si="62"/>
        <v>150</v>
      </c>
    </row>
    <row r="3990" spans="1:12" ht="25" customHeight="1">
      <c r="A3990" s="2" t="s">
        <v>12</v>
      </c>
      <c r="B3990" s="2" t="str">
        <f>HYPERLINK("http://bbs.12365auto.com/postcontent.aspx?tID=194829","吉利首台突破传统新SUV诞生 销量2020辆")</f>
        <v>吉利首台突破传统新SUV诞生 销量2020辆</v>
      </c>
      <c r="C3990" s="2" t="s">
        <v>13</v>
      </c>
      <c r="D3990" s="2" t="s">
        <v>12</v>
      </c>
      <c r="E3990" s="2" t="s">
        <v>28</v>
      </c>
      <c r="F3990" s="2" t="str">
        <f>HYPERLINK("http://bbs.12365auto.com/postcontent.aspx?tID=194829","http://bbs.12365auto.com/postcontent.aspx?tID=194829")</f>
        <v>http://bbs.12365auto.com/postcontent.aspx?tID=194829</v>
      </c>
      <c r="G3990" s="2"/>
      <c r="H3990" s="2" t="s">
        <v>5730</v>
      </c>
      <c r="I3990" s="2" t="s">
        <v>15</v>
      </c>
      <c r="J3990" s="2" t="s">
        <v>5704</v>
      </c>
      <c r="K3990" s="2" t="s">
        <v>5726</v>
      </c>
      <c r="L3990" s="2">
        <f t="shared" si="62"/>
        <v>150</v>
      </c>
    </row>
    <row r="3991" spans="1:12" ht="25" customHeight="1">
      <c r="A3991" s="2" t="s">
        <v>12</v>
      </c>
      <c r="B3991" s="2" t="str">
        <f>HYPERLINK("http://m.12365auto.com/zjdy/20200221/121480.shtml","大众宝来漆面出现龟裂应该如何维权？")</f>
        <v>大众宝来漆面出现龟裂应该如何维权？</v>
      </c>
      <c r="C3991" s="2" t="s">
        <v>13</v>
      </c>
      <c r="D3991" s="2" t="s">
        <v>12</v>
      </c>
      <c r="E3991" s="2"/>
      <c r="F3991" s="2" t="str">
        <f>HYPERLINK("http://m.12365auto.com/zjdy/20200221/121480.shtml","http://m.12365auto.com/zjdy/20200221/121480.shtml")</f>
        <v>http://m.12365auto.com/zjdy/20200221/121480.shtml</v>
      </c>
      <c r="G3991" s="2"/>
      <c r="H3991" s="2" t="s">
        <v>5731</v>
      </c>
      <c r="I3991" s="2" t="s">
        <v>19</v>
      </c>
      <c r="J3991" s="2" t="s">
        <v>12</v>
      </c>
      <c r="K3991" s="2" t="s">
        <v>5732</v>
      </c>
      <c r="L3991" s="2">
        <f t="shared" si="62"/>
        <v>88</v>
      </c>
    </row>
    <row r="3992" spans="1:12" ht="25" customHeight="1">
      <c r="A3992" s="2" t="s">
        <v>12</v>
      </c>
      <c r="B3992" s="2" t="str">
        <f>HYPERLINK("http://www.12365auto.com/zlts/20200221/448021.shtml","一汽大众奥迪Q3售后申请订购配件未发货")</f>
        <v>一汽大众奥迪Q3售后申请订购配件未发货</v>
      </c>
      <c r="C3992" s="2" t="s">
        <v>13</v>
      </c>
      <c r="D3992" s="2" t="s">
        <v>12</v>
      </c>
      <c r="E3992" s="2" t="s">
        <v>17</v>
      </c>
      <c r="F3992" s="2" t="str">
        <f>HYPERLINK("http://www.12365auto.com/zlts/20200221/448021.shtml","http://www.12365auto.com/zlts/20200221/448021.shtml")</f>
        <v>http://www.12365auto.com/zlts/20200221/448021.shtml</v>
      </c>
      <c r="G3992" s="2"/>
      <c r="H3992" s="2" t="s">
        <v>5733</v>
      </c>
      <c r="I3992" s="2" t="s">
        <v>19</v>
      </c>
      <c r="J3992" s="2" t="s">
        <v>12</v>
      </c>
      <c r="K3992" s="2" t="s">
        <v>5734</v>
      </c>
      <c r="L3992" s="2">
        <f t="shared" si="62"/>
        <v>150</v>
      </c>
    </row>
    <row r="3993" spans="1:12" ht="25" customHeight="1">
      <c r="A3993" s="2" t="s">
        <v>12</v>
      </c>
      <c r="B3993" s="2" t="str">
        <f>HYPERLINK("http://m.12365auto.com/zjdy/20200221/121479.shtml","捷途X90和瑞虎8哪款车型更值得购买？")</f>
        <v>捷途X90和瑞虎8哪款车型更值得购买？</v>
      </c>
      <c r="C3993" s="2" t="s">
        <v>13</v>
      </c>
      <c r="D3993" s="2" t="s">
        <v>12</v>
      </c>
      <c r="E3993" s="2"/>
      <c r="F3993" s="2" t="str">
        <f>HYPERLINK("http://m.12365auto.com/zjdy/20200221/121479.shtml","http://m.12365auto.com/zjdy/20200221/121479.shtml")</f>
        <v>http://m.12365auto.com/zjdy/20200221/121479.shtml</v>
      </c>
      <c r="G3993" s="2"/>
      <c r="H3993" s="2" t="s">
        <v>5735</v>
      </c>
      <c r="I3993" s="2" t="s">
        <v>19</v>
      </c>
      <c r="J3993" s="2" t="s">
        <v>12</v>
      </c>
      <c r="K3993" s="2" t="s">
        <v>5736</v>
      </c>
      <c r="L3993" s="2">
        <f t="shared" si="62"/>
        <v>23</v>
      </c>
    </row>
    <row r="3994" spans="1:12" ht="25" customHeight="1">
      <c r="A3994" s="2" t="s">
        <v>12</v>
      </c>
      <c r="B3994" s="2" t="str">
        <f>HYPERLINK("http://www.12365auto.com/zlts/20200221/448019.shtml","宝马2系防冻液渗漏腐蚀发动机皮带")</f>
        <v>宝马2系防冻液渗漏腐蚀发动机皮带</v>
      </c>
      <c r="C3994" s="2" t="s">
        <v>13</v>
      </c>
      <c r="D3994" s="2" t="s">
        <v>12</v>
      </c>
      <c r="E3994" s="2"/>
      <c r="F3994" s="2" t="str">
        <f>HYPERLINK("http://www.12365auto.com/zlts/20200221/448019.shtml","http://www.12365auto.com/zlts/20200221/448019.shtml")</f>
        <v>http://www.12365auto.com/zlts/20200221/448019.shtml</v>
      </c>
      <c r="G3994" s="2"/>
      <c r="H3994" s="2" t="s">
        <v>5738</v>
      </c>
      <c r="I3994" s="2" t="s">
        <v>15</v>
      </c>
      <c r="J3994" s="2" t="s">
        <v>12</v>
      </c>
      <c r="K3994" s="2" t="s">
        <v>5737</v>
      </c>
      <c r="L3994" s="2">
        <f t="shared" si="62"/>
        <v>82</v>
      </c>
    </row>
    <row r="3995" spans="1:12" ht="25" customHeight="1">
      <c r="A3995" s="2" t="s">
        <v>12</v>
      </c>
      <c r="B3995" s="2" t="str">
        <f>HYPERLINK("http://bbs.12365auto.com/postcontent.aspx?tID=194827","1月汽车销量跌了21.5% 上汽大众销量排第二")</f>
        <v>1月汽车销量跌了21.5% 上汽大众销量排第二</v>
      </c>
      <c r="C3995" s="2" t="s">
        <v>13</v>
      </c>
      <c r="D3995" s="2" t="s">
        <v>12</v>
      </c>
      <c r="E3995" s="2" t="s">
        <v>214</v>
      </c>
      <c r="F3995" s="2" t="str">
        <f>HYPERLINK("http://bbs.12365auto.com/postcontent.aspx?tID=194827","http://bbs.12365auto.com/postcontent.aspx?tID=194827")</f>
        <v>http://bbs.12365auto.com/postcontent.aspx?tID=194827</v>
      </c>
      <c r="G3995" s="2"/>
      <c r="H3995" s="2" t="s">
        <v>5631</v>
      </c>
      <c r="I3995" s="2" t="s">
        <v>15</v>
      </c>
      <c r="J3995" s="2" t="s">
        <v>2294</v>
      </c>
      <c r="K3995" s="2" t="s">
        <v>5739</v>
      </c>
      <c r="L3995" s="2">
        <f t="shared" si="62"/>
        <v>150</v>
      </c>
    </row>
    <row r="3996" spans="1:12" ht="25" customHeight="1">
      <c r="A3996" s="2" t="s">
        <v>12</v>
      </c>
      <c r="B3996" s="2" t="str">
        <f>HYPERLINK("http://bbs.12365auto.com/postcontent.aspx?tId=194827","1月汽车销量跌了21.5%，上汽大众销量排第二")</f>
        <v>1月汽车销量跌了21.5%，上汽大众销量排第二</v>
      </c>
      <c r="C3996" s="2" t="s">
        <v>13</v>
      </c>
      <c r="D3996" s="2" t="s">
        <v>12</v>
      </c>
      <c r="E3996" s="2" t="s">
        <v>210</v>
      </c>
      <c r="F3996" s="2" t="str">
        <f>HYPERLINK("http://bbs.12365auto.com/postcontent.aspx?tId=194827","http://bbs.12365auto.com/postcontent.aspx?tId=194827")</f>
        <v>http://bbs.12365auto.com/postcontent.aspx?tId=194827</v>
      </c>
      <c r="G3996" s="2"/>
      <c r="H3996" s="2" t="s">
        <v>5740</v>
      </c>
      <c r="I3996" s="2" t="s">
        <v>15</v>
      </c>
      <c r="J3996" s="2" t="s">
        <v>2294</v>
      </c>
      <c r="K3996" s="2" t="s">
        <v>5739</v>
      </c>
      <c r="L3996" s="2">
        <f t="shared" si="62"/>
        <v>150</v>
      </c>
    </row>
    <row r="3997" spans="1:12" ht="25" customHeight="1">
      <c r="A3997" s="2" t="s">
        <v>12</v>
      </c>
      <c r="B3997" s="2" t="str">
        <f>HYPERLINK("http://bbs.12365auto.com/postcontent.aspx?tId=194825","四万公里昕动车主听说新款昕动上市了？")</f>
        <v>四万公里昕动车主听说新款昕动上市了？</v>
      </c>
      <c r="C3997" s="2" t="s">
        <v>13</v>
      </c>
      <c r="D3997" s="2" t="s">
        <v>12</v>
      </c>
      <c r="E3997" s="2" t="s">
        <v>210</v>
      </c>
      <c r="F3997" s="2" t="str">
        <f>HYPERLINK("http://bbs.12365auto.com/postcontent.aspx?tId=194825","http://bbs.12365auto.com/postcontent.aspx?tId=194825")</f>
        <v>http://bbs.12365auto.com/postcontent.aspx?tId=194825</v>
      </c>
      <c r="G3997" s="2"/>
      <c r="H3997" s="2" t="s">
        <v>5741</v>
      </c>
      <c r="I3997" s="2" t="s">
        <v>15</v>
      </c>
      <c r="J3997" s="2" t="s">
        <v>2311</v>
      </c>
      <c r="K3997" s="2" t="s">
        <v>5742</v>
      </c>
      <c r="L3997" s="2">
        <f t="shared" si="62"/>
        <v>150</v>
      </c>
    </row>
    <row r="3998" spans="1:12" ht="25" customHeight="1">
      <c r="A3998" s="2" t="s">
        <v>12</v>
      </c>
      <c r="B3998" s="2" t="str">
        <f>HYPERLINK("http://bbs.12365auto.com/postcontent.aspx?tID=194825","四万公里昕动车主听说新款昕动上市了？")</f>
        <v>四万公里昕动车主听说新款昕动上市了？</v>
      </c>
      <c r="C3998" s="2" t="s">
        <v>13</v>
      </c>
      <c r="D3998" s="2" t="s">
        <v>12</v>
      </c>
      <c r="E3998" s="2" t="s">
        <v>214</v>
      </c>
      <c r="F3998" s="2" t="str">
        <f>HYPERLINK("http://bbs.12365auto.com/postcontent.aspx?tID=194825","http://bbs.12365auto.com/postcontent.aspx?tID=194825")</f>
        <v>http://bbs.12365auto.com/postcontent.aspx?tID=194825</v>
      </c>
      <c r="G3998" s="2"/>
      <c r="H3998" s="2" t="s">
        <v>5743</v>
      </c>
      <c r="I3998" s="2" t="s">
        <v>15</v>
      </c>
      <c r="J3998" s="2" t="s">
        <v>2311</v>
      </c>
      <c r="K3998" s="2" t="s">
        <v>5742</v>
      </c>
      <c r="L3998" s="2">
        <f t="shared" si="62"/>
        <v>150</v>
      </c>
    </row>
    <row r="3999" spans="1:12" ht="25" customHeight="1">
      <c r="A3999" s="2" t="s">
        <v>12</v>
      </c>
      <c r="B3999" s="2" t="str">
        <f>HYPERLINK("http://bbs.12365auto.com/postcontent.aspx?tId=194823","昕锐昕动正式上市了，蠢蠢欲动")</f>
        <v>昕锐昕动正式上市了，蠢蠢欲动</v>
      </c>
      <c r="C3999" s="2" t="s">
        <v>13</v>
      </c>
      <c r="D3999" s="2" t="s">
        <v>12</v>
      </c>
      <c r="E3999" s="2" t="s">
        <v>27</v>
      </c>
      <c r="F3999" s="2" t="str">
        <f>HYPERLINK("http://bbs.12365auto.com/postcontent.aspx?tId=194823","http://bbs.12365auto.com/postcontent.aspx?tId=194823")</f>
        <v>http://bbs.12365auto.com/postcontent.aspx?tId=194823</v>
      </c>
      <c r="G3999" s="2"/>
      <c r="H3999" s="2" t="s">
        <v>5744</v>
      </c>
      <c r="I3999" s="2" t="s">
        <v>15</v>
      </c>
      <c r="J3999" s="2" t="s">
        <v>5745</v>
      </c>
      <c r="K3999" s="2" t="s">
        <v>5746</v>
      </c>
      <c r="L3999" s="2">
        <f t="shared" si="62"/>
        <v>150</v>
      </c>
    </row>
    <row r="4000" spans="1:12" ht="25" customHeight="1">
      <c r="A4000" s="2" t="s">
        <v>12</v>
      </c>
      <c r="B4000" s="2" t="str">
        <f>HYPERLINK("http://bbs.12365auto.com/postcontent.aspx?tID=194823","昕锐昕动正式上市了 蠢蠢欲动")</f>
        <v>昕锐昕动正式上市了 蠢蠢欲动</v>
      </c>
      <c r="C4000" s="2" t="s">
        <v>13</v>
      </c>
      <c r="D4000" s="2" t="s">
        <v>12</v>
      </c>
      <c r="E4000" s="2" t="s">
        <v>28</v>
      </c>
      <c r="F4000" s="2" t="str">
        <f>HYPERLINK("http://bbs.12365auto.com/postcontent.aspx?tID=194823","http://bbs.12365auto.com/postcontent.aspx?tID=194823")</f>
        <v>http://bbs.12365auto.com/postcontent.aspx?tID=194823</v>
      </c>
      <c r="G4000" s="2"/>
      <c r="H4000" s="2" t="s">
        <v>5747</v>
      </c>
      <c r="I4000" s="2" t="s">
        <v>15</v>
      </c>
      <c r="J4000" s="2" t="s">
        <v>5745</v>
      </c>
      <c r="K4000" s="2" t="s">
        <v>5746</v>
      </c>
      <c r="L4000" s="2">
        <f t="shared" si="62"/>
        <v>150</v>
      </c>
    </row>
    <row r="4001" spans="1:12" ht="25" customHeight="1">
      <c r="A4001" s="2" t="s">
        <v>12</v>
      </c>
      <c r="B4001" s="2" t="str">
        <f>HYPERLINK("http://www.12365auto.com/zlts/20200221/448018.shtml","上汽名爵6与护栏发生碰撞气囊未弹出")</f>
        <v>上汽名爵6与护栏发生碰撞气囊未弹出</v>
      </c>
      <c r="C4001" s="2" t="s">
        <v>13</v>
      </c>
      <c r="D4001" s="2" t="s">
        <v>12</v>
      </c>
      <c r="E4001" s="2" t="s">
        <v>17</v>
      </c>
      <c r="F4001" s="2" t="str">
        <f>HYPERLINK("http://www.12365auto.com/zlts/20200221/448018.shtml","http://www.12365auto.com/zlts/20200221/448018.shtml")</f>
        <v>http://www.12365auto.com/zlts/20200221/448018.shtml</v>
      </c>
      <c r="G4001" s="2"/>
      <c r="H4001" s="2" t="s">
        <v>5748</v>
      </c>
      <c r="I4001" s="2" t="s">
        <v>19</v>
      </c>
      <c r="J4001" s="2" t="s">
        <v>12</v>
      </c>
      <c r="K4001" s="2" t="s">
        <v>5749</v>
      </c>
      <c r="L4001" s="2">
        <f t="shared" si="62"/>
        <v>150</v>
      </c>
    </row>
    <row r="4002" spans="1:12" ht="25" customHeight="1">
      <c r="A4002" s="2" t="s">
        <v>12</v>
      </c>
      <c r="B4002" s="2" t="str">
        <f>HYPERLINK("http://www.12365auto.com/zlts/20200221/448017.shtml","吉利远景变速箱挂挡不走存在质量缺陷")</f>
        <v>吉利远景变速箱挂挡不走存在质量缺陷</v>
      </c>
      <c r="C4002" s="2" t="s">
        <v>13</v>
      </c>
      <c r="D4002" s="2" t="s">
        <v>12</v>
      </c>
      <c r="E4002" s="2" t="s">
        <v>17</v>
      </c>
      <c r="F4002" s="2" t="str">
        <f>HYPERLINK("http://www.12365auto.com/zlts/20200221/448017.shtml","http://www.12365auto.com/zlts/20200221/448017.shtml")</f>
        <v>http://www.12365auto.com/zlts/20200221/448017.shtml</v>
      </c>
      <c r="G4002" s="2"/>
      <c r="H4002" s="2" t="s">
        <v>5750</v>
      </c>
      <c r="I4002" s="2" t="s">
        <v>19</v>
      </c>
      <c r="J4002" s="2" t="s">
        <v>12</v>
      </c>
      <c r="K4002" s="2" t="s">
        <v>5751</v>
      </c>
      <c r="L4002" s="2">
        <f t="shared" si="62"/>
        <v>150</v>
      </c>
    </row>
    <row r="4003" spans="1:12" ht="25" customHeight="1">
      <c r="A4003" s="2" t="s">
        <v>12</v>
      </c>
      <c r="B4003" s="2" t="str">
        <f>HYPERLINK("http://www.12365auto.com/zlts/20200221/448015.shtml","一汽大众速腾上坡或减速时底盘异响")</f>
        <v>一汽大众速腾上坡或减速时底盘异响</v>
      </c>
      <c r="C4003" s="2" t="s">
        <v>13</v>
      </c>
      <c r="D4003" s="2" t="s">
        <v>12</v>
      </c>
      <c r="E4003" s="2" t="s">
        <v>17</v>
      </c>
      <c r="F4003" s="2" t="str">
        <f>HYPERLINK("http://www.12365auto.com/zlts/20200221/448015.shtml","http://www.12365auto.com/zlts/20200221/448015.shtml")</f>
        <v>http://www.12365auto.com/zlts/20200221/448015.shtml</v>
      </c>
      <c r="G4003" s="2"/>
      <c r="H4003" s="2" t="s">
        <v>5752</v>
      </c>
      <c r="I4003" s="2" t="s">
        <v>15</v>
      </c>
      <c r="J4003" s="2" t="s">
        <v>12</v>
      </c>
      <c r="K4003" s="2" t="s">
        <v>5753</v>
      </c>
      <c r="L4003" s="2">
        <f t="shared" si="62"/>
        <v>150</v>
      </c>
    </row>
    <row r="4004" spans="1:12" ht="25" customHeight="1">
      <c r="A4004" s="2" t="s">
        <v>12</v>
      </c>
      <c r="B4004" s="2" t="str">
        <f>HYPERLINK("http://bbs.12365auto.com/postcontent.aspx?tId=194820","夜晚开车 怎么使用远光灯和近光灯？")</f>
        <v>夜晚开车 怎么使用远光灯和近光灯？</v>
      </c>
      <c r="C4004" s="2" t="s">
        <v>13</v>
      </c>
      <c r="D4004" s="2" t="s">
        <v>12</v>
      </c>
      <c r="E4004" s="2" t="s">
        <v>27</v>
      </c>
      <c r="F4004" s="2" t="str">
        <f>HYPERLINK("http://bbs.12365auto.com/postcontent.aspx?tId=194820","http://bbs.12365auto.com/postcontent.aspx?tId=194820")</f>
        <v>http://bbs.12365auto.com/postcontent.aspx?tId=194820</v>
      </c>
      <c r="G4004" s="2"/>
      <c r="H4004" s="2" t="s">
        <v>5754</v>
      </c>
      <c r="I4004" s="2" t="s">
        <v>15</v>
      </c>
      <c r="J4004" s="2" t="s">
        <v>2459</v>
      </c>
      <c r="K4004" s="2" t="s">
        <v>5755</v>
      </c>
      <c r="L4004" s="2">
        <f t="shared" si="62"/>
        <v>150</v>
      </c>
    </row>
    <row r="4005" spans="1:12" ht="25" customHeight="1">
      <c r="A4005" s="2" t="s">
        <v>12</v>
      </c>
      <c r="B4005" s="2" t="str">
        <f>HYPERLINK("http://bbs.12365auto.com/postcontent.aspx?tId=194821","夜间行驶灯光使用知识 以及情况说明")</f>
        <v>夜间行驶灯光使用知识 以及情况说明</v>
      </c>
      <c r="C4005" s="2" t="s">
        <v>13</v>
      </c>
      <c r="D4005" s="2" t="s">
        <v>12</v>
      </c>
      <c r="E4005" s="2" t="s">
        <v>27</v>
      </c>
      <c r="F4005" s="2" t="str">
        <f>HYPERLINK("http://bbs.12365auto.com/postcontent.aspx?tId=194821","http://bbs.12365auto.com/postcontent.aspx?tId=194821")</f>
        <v>http://bbs.12365auto.com/postcontent.aspx?tId=194821</v>
      </c>
      <c r="G4005" s="2"/>
      <c r="H4005" s="2" t="s">
        <v>5756</v>
      </c>
      <c r="I4005" s="2" t="s">
        <v>15</v>
      </c>
      <c r="J4005" s="2" t="s">
        <v>2459</v>
      </c>
      <c r="K4005" s="2" t="s">
        <v>5755</v>
      </c>
      <c r="L4005" s="2">
        <f t="shared" si="62"/>
        <v>150</v>
      </c>
    </row>
    <row r="4006" spans="1:12" ht="25" customHeight="1">
      <c r="A4006" s="2" t="s">
        <v>12</v>
      </c>
      <c r="B4006" s="2" t="str">
        <f>HYPERLINK("http://bbs.12365auto.com/postcontent.aspx?tId=194819","一键启动 遥控器没电了能打着火吗？")</f>
        <v>一键启动 遥控器没电了能打着火吗？</v>
      </c>
      <c r="C4006" s="2" t="s">
        <v>13</v>
      </c>
      <c r="D4006" s="2" t="s">
        <v>12</v>
      </c>
      <c r="E4006" s="2" t="s">
        <v>27</v>
      </c>
      <c r="F4006" s="2" t="str">
        <f>HYPERLINK("http://bbs.12365auto.com/postcontent.aspx?tId=194819","http://bbs.12365auto.com/postcontent.aspx?tId=194819")</f>
        <v>http://bbs.12365auto.com/postcontent.aspx?tId=194819</v>
      </c>
      <c r="G4006" s="2"/>
      <c r="H4006" s="2" t="s">
        <v>5757</v>
      </c>
      <c r="I4006" s="2" t="s">
        <v>15</v>
      </c>
      <c r="J4006" s="2" t="s">
        <v>2459</v>
      </c>
      <c r="K4006" s="2" t="s">
        <v>5755</v>
      </c>
      <c r="L4006" s="2">
        <f t="shared" si="62"/>
        <v>150</v>
      </c>
    </row>
    <row r="4007" spans="1:12" ht="25" customHeight="1">
      <c r="A4007" s="2" t="s">
        <v>12</v>
      </c>
      <c r="B4007" s="2" t="str">
        <f>HYPERLINK("http://m.12365auto.com/bbs/postcontent.aspx?tID=194821","夜间行驶灯光使用知识 以及情况说明")</f>
        <v>夜间行驶灯光使用知识 以及情况说明</v>
      </c>
      <c r="C4007" s="2" t="s">
        <v>13</v>
      </c>
      <c r="D4007" s="2" t="s">
        <v>23</v>
      </c>
      <c r="E4007" s="2"/>
      <c r="F4007" s="2" t="str">
        <f>HYPERLINK("http://m.12365auto.com/bbs/postcontent.aspx?tID=194821","http://m.12365auto.com/bbs/postcontent.aspx?tID=194821")</f>
        <v>http://m.12365auto.com/bbs/postcontent.aspx?tID=194821</v>
      </c>
      <c r="G4007" s="2"/>
      <c r="H4007" s="2" t="s">
        <v>5756</v>
      </c>
      <c r="I4007" s="2" t="s">
        <v>15</v>
      </c>
      <c r="J4007" s="2" t="s">
        <v>2459</v>
      </c>
      <c r="K4007" s="2" t="s">
        <v>5755</v>
      </c>
      <c r="L4007" s="2">
        <f t="shared" si="62"/>
        <v>150</v>
      </c>
    </row>
    <row r="4008" spans="1:12" ht="25" customHeight="1">
      <c r="A4008" s="2" t="s">
        <v>12</v>
      </c>
      <c r="B4008" s="2" t="str">
        <f>HYPERLINK("http://m.12365auto.com/bbs/postcontent.aspx?tID=194820","夜晚开车 怎么使用远光灯和近光灯？")</f>
        <v>夜晚开车 怎么使用远光灯和近光灯？</v>
      </c>
      <c r="C4008" s="2" t="s">
        <v>13</v>
      </c>
      <c r="D4008" s="2" t="s">
        <v>23</v>
      </c>
      <c r="E4008" s="2"/>
      <c r="F4008" s="2" t="str">
        <f>HYPERLINK("http://m.12365auto.com/bbs/postcontent.aspx?tID=194820","http://m.12365auto.com/bbs/postcontent.aspx?tID=194820")</f>
        <v>http://m.12365auto.com/bbs/postcontent.aspx?tID=194820</v>
      </c>
      <c r="G4008" s="2"/>
      <c r="H4008" s="2" t="s">
        <v>5754</v>
      </c>
      <c r="I4008" s="2" t="s">
        <v>15</v>
      </c>
      <c r="J4008" s="2" t="s">
        <v>2459</v>
      </c>
      <c r="K4008" s="2" t="s">
        <v>5755</v>
      </c>
      <c r="L4008" s="2">
        <f t="shared" si="62"/>
        <v>150</v>
      </c>
    </row>
    <row r="4009" spans="1:12" ht="25" customHeight="1">
      <c r="A4009" s="2" t="s">
        <v>12</v>
      </c>
      <c r="B4009" s="2" t="str">
        <f>HYPERLINK("http://m.12365auto.com/bbs/postcontent.aspx?tID=194819","一键启动 遥控器没电了能打着火吗？")</f>
        <v>一键启动 遥控器没电了能打着火吗？</v>
      </c>
      <c r="C4009" s="2" t="s">
        <v>13</v>
      </c>
      <c r="D4009" s="2" t="s">
        <v>23</v>
      </c>
      <c r="E4009" s="2"/>
      <c r="F4009" s="2" t="str">
        <f>HYPERLINK("http://m.12365auto.com/bbs/postcontent.aspx?tID=194819","http://m.12365auto.com/bbs/postcontent.aspx?tID=194819")</f>
        <v>http://m.12365auto.com/bbs/postcontent.aspx?tID=194819</v>
      </c>
      <c r="G4009" s="2"/>
      <c r="H4009" s="2" t="s">
        <v>5757</v>
      </c>
      <c r="I4009" s="2" t="s">
        <v>15</v>
      </c>
      <c r="J4009" s="2" t="s">
        <v>2459</v>
      </c>
      <c r="K4009" s="2" t="s">
        <v>5755</v>
      </c>
      <c r="L4009" s="2">
        <f t="shared" si="62"/>
        <v>150</v>
      </c>
    </row>
    <row r="4010" spans="1:12" ht="25" customHeight="1">
      <c r="A4010" s="2" t="s">
        <v>12</v>
      </c>
      <c r="B4010" s="2" t="str">
        <f>HYPERLINK("http://www.12365auto.com/zlts/20200221/448014.shtml","吉利帝豪发动机故障灯亮 油耗偏高")</f>
        <v>吉利帝豪发动机故障灯亮 油耗偏高</v>
      </c>
      <c r="C4010" s="2" t="s">
        <v>13</v>
      </c>
      <c r="D4010" s="2" t="s">
        <v>12</v>
      </c>
      <c r="E4010" s="2" t="s">
        <v>17</v>
      </c>
      <c r="F4010" s="2" t="str">
        <f>HYPERLINK("http://www.12365auto.com/zlts/20200221/448014.shtml","http://www.12365auto.com/zlts/20200221/448014.shtml")</f>
        <v>http://www.12365auto.com/zlts/20200221/448014.shtml</v>
      </c>
      <c r="G4010" s="2"/>
      <c r="H4010" s="2" t="s">
        <v>5758</v>
      </c>
      <c r="I4010" s="2" t="s">
        <v>15</v>
      </c>
      <c r="J4010" s="2" t="s">
        <v>12</v>
      </c>
      <c r="K4010" s="2" t="s">
        <v>5755</v>
      </c>
      <c r="L4010" s="2">
        <f t="shared" si="62"/>
        <v>150</v>
      </c>
    </row>
    <row r="4011" spans="1:12" ht="25" customHeight="1">
      <c r="A4011" s="2" t="s">
        <v>12</v>
      </c>
      <c r="B4011" s="2" t="str">
        <f>HYPERLINK("http://bbs.12365auto.com/postcontent.aspx?tID=194821","夜间行驶灯光使用知识 以及情况说明")</f>
        <v>夜间行驶灯光使用知识 以及情况说明</v>
      </c>
      <c r="C4011" s="2" t="s">
        <v>13</v>
      </c>
      <c r="D4011" s="2" t="s">
        <v>12</v>
      </c>
      <c r="E4011" s="2" t="s">
        <v>28</v>
      </c>
      <c r="F4011" s="2" t="str">
        <f>HYPERLINK("http://bbs.12365auto.com/postcontent.aspx?tID=194821","http://bbs.12365auto.com/postcontent.aspx?tID=194821")</f>
        <v>http://bbs.12365auto.com/postcontent.aspx?tID=194821</v>
      </c>
      <c r="G4011" s="2"/>
      <c r="H4011" s="2" t="s">
        <v>5759</v>
      </c>
      <c r="I4011" s="2" t="s">
        <v>15</v>
      </c>
      <c r="J4011" s="2" t="s">
        <v>2459</v>
      </c>
      <c r="K4011" s="2" t="s">
        <v>5755</v>
      </c>
      <c r="L4011" s="2">
        <f t="shared" si="62"/>
        <v>150</v>
      </c>
    </row>
    <row r="4012" spans="1:12" ht="25" customHeight="1">
      <c r="A4012" s="2" t="s">
        <v>12</v>
      </c>
      <c r="B4012" s="2" t="str">
        <f>HYPERLINK("http://bbs.12365auto.com/postcontent.aspx?tID=194819","一键启动 遥控器没电了能打着火吗？")</f>
        <v>一键启动 遥控器没电了能打着火吗？</v>
      </c>
      <c r="C4012" s="2" t="s">
        <v>13</v>
      </c>
      <c r="D4012" s="2" t="s">
        <v>12</v>
      </c>
      <c r="E4012" s="2" t="s">
        <v>28</v>
      </c>
      <c r="F4012" s="2" t="str">
        <f>HYPERLINK("http://bbs.12365auto.com/postcontent.aspx?tID=194819","http://bbs.12365auto.com/postcontent.aspx?tID=194819")</f>
        <v>http://bbs.12365auto.com/postcontent.aspx?tID=194819</v>
      </c>
      <c r="G4012" s="2"/>
      <c r="H4012" s="2" t="s">
        <v>5760</v>
      </c>
      <c r="I4012" s="2" t="s">
        <v>15</v>
      </c>
      <c r="J4012" s="2" t="s">
        <v>2459</v>
      </c>
      <c r="K4012" s="2" t="s">
        <v>5755</v>
      </c>
      <c r="L4012" s="2">
        <f t="shared" si="62"/>
        <v>150</v>
      </c>
    </row>
    <row r="4013" spans="1:12" ht="25" customHeight="1">
      <c r="A4013" s="2" t="s">
        <v>12</v>
      </c>
      <c r="B4013" s="2" t="str">
        <f>HYPERLINK("http://bbs.12365auto.com/postcontent.aspx?tID=194820","夜晚开车 怎么使用远光灯和近光灯？")</f>
        <v>夜晚开车 怎么使用远光灯和近光灯？</v>
      </c>
      <c r="C4013" s="2" t="s">
        <v>13</v>
      </c>
      <c r="D4013" s="2" t="s">
        <v>12</v>
      </c>
      <c r="E4013" s="2" t="s">
        <v>28</v>
      </c>
      <c r="F4013" s="2" t="str">
        <f>HYPERLINK("http://bbs.12365auto.com/postcontent.aspx?tID=194820","http://bbs.12365auto.com/postcontent.aspx?tID=194820")</f>
        <v>http://bbs.12365auto.com/postcontent.aspx?tID=194820</v>
      </c>
      <c r="G4013" s="2"/>
      <c r="H4013" s="2" t="s">
        <v>5761</v>
      </c>
      <c r="I4013" s="2" t="s">
        <v>15</v>
      </c>
      <c r="J4013" s="2" t="s">
        <v>2459</v>
      </c>
      <c r="K4013" s="2" t="s">
        <v>5755</v>
      </c>
      <c r="L4013" s="2">
        <f t="shared" si="62"/>
        <v>150</v>
      </c>
    </row>
    <row r="4014" spans="1:12" ht="25" customHeight="1">
      <c r="A4014" s="2" t="s">
        <v>12</v>
      </c>
      <c r="B4014" s="2" t="str">
        <f>HYPERLINK("http://www.12365auto.com/zlts/20200221/448013.shtml","一汽大众探岳大灯上有白雾希望厂家处理")</f>
        <v>一汽大众探岳大灯上有白雾希望厂家处理</v>
      </c>
      <c r="C4014" s="2" t="s">
        <v>13</v>
      </c>
      <c r="D4014" s="2" t="s">
        <v>12</v>
      </c>
      <c r="E4014" s="2" t="s">
        <v>17</v>
      </c>
      <c r="F4014" s="2" t="str">
        <f>HYPERLINK("http://www.12365auto.com/zlts/20200221/448013.shtml","http://www.12365auto.com/zlts/20200221/448013.shtml")</f>
        <v>http://www.12365auto.com/zlts/20200221/448013.shtml</v>
      </c>
      <c r="G4014" s="2"/>
      <c r="H4014" s="2" t="s">
        <v>5762</v>
      </c>
      <c r="I4014" s="2" t="s">
        <v>19</v>
      </c>
      <c r="J4014" s="2" t="s">
        <v>12</v>
      </c>
      <c r="K4014" s="2" t="s">
        <v>5755</v>
      </c>
      <c r="L4014" s="2">
        <f t="shared" si="62"/>
        <v>150</v>
      </c>
    </row>
    <row r="4015" spans="1:12" ht="25" customHeight="1">
      <c r="A4015" s="2" t="s">
        <v>12</v>
      </c>
      <c r="B4015" s="2" t="str">
        <f>HYPERLINK("http://bbs.12365auto.com/postcontent.aspx?tId=194818","玻璃擦不干净？有这几个办法就够了")</f>
        <v>玻璃擦不干净？有这几个办法就够了</v>
      </c>
      <c r="C4015" s="2" t="s">
        <v>13</v>
      </c>
      <c r="D4015" s="2" t="s">
        <v>12</v>
      </c>
      <c r="E4015" s="2" t="s">
        <v>27</v>
      </c>
      <c r="F4015" s="2" t="str">
        <f>HYPERLINK("http://bbs.12365auto.com/postcontent.aspx?tId=194818","http://bbs.12365auto.com/postcontent.aspx?tId=194818")</f>
        <v>http://bbs.12365auto.com/postcontent.aspx?tId=194818</v>
      </c>
      <c r="G4015" s="2"/>
      <c r="H4015" s="2" t="s">
        <v>5763</v>
      </c>
      <c r="I4015" s="2" t="s">
        <v>15</v>
      </c>
      <c r="J4015" s="2" t="s">
        <v>2459</v>
      </c>
      <c r="K4015" s="2" t="s">
        <v>5764</v>
      </c>
      <c r="L4015" s="2">
        <f t="shared" si="62"/>
        <v>150</v>
      </c>
    </row>
    <row r="4016" spans="1:12" ht="25" customHeight="1">
      <c r="A4016" s="2" t="s">
        <v>12</v>
      </c>
      <c r="B4016" s="2" t="str">
        <f>HYPERLINK("http://m.12365auto.com/bbs/postcontent.aspx?tID=194818","玻璃擦不干净？有这几个办法就够了")</f>
        <v>玻璃擦不干净？有这几个办法就够了</v>
      </c>
      <c r="C4016" s="2" t="s">
        <v>13</v>
      </c>
      <c r="D4016" s="2" t="s">
        <v>23</v>
      </c>
      <c r="E4016" s="2"/>
      <c r="F4016" s="2" t="str">
        <f>HYPERLINK("http://m.12365auto.com/bbs/postcontent.aspx?tID=194818","http://m.12365auto.com/bbs/postcontent.aspx?tID=194818")</f>
        <v>http://m.12365auto.com/bbs/postcontent.aspx?tID=194818</v>
      </c>
      <c r="G4016" s="2"/>
      <c r="H4016" s="2" t="s">
        <v>5763</v>
      </c>
      <c r="I4016" s="2" t="s">
        <v>15</v>
      </c>
      <c r="J4016" s="2" t="s">
        <v>2459</v>
      </c>
      <c r="K4016" s="2" t="s">
        <v>5764</v>
      </c>
      <c r="L4016" s="2">
        <f t="shared" si="62"/>
        <v>150</v>
      </c>
    </row>
    <row r="4017" spans="1:12" ht="25" customHeight="1">
      <c r="A4017" s="2" t="s">
        <v>12</v>
      </c>
      <c r="B4017" s="2" t="str">
        <f>HYPERLINK("http://bbs.12365auto.com/postcontent.aspx?tID=194818","玻璃擦不干净？有这几个办法就够了")</f>
        <v>玻璃擦不干净？有这几个办法就够了</v>
      </c>
      <c r="C4017" s="2" t="s">
        <v>13</v>
      </c>
      <c r="D4017" s="2" t="s">
        <v>12</v>
      </c>
      <c r="E4017" s="2" t="s">
        <v>28</v>
      </c>
      <c r="F4017" s="2" t="str">
        <f>HYPERLINK("http://bbs.12365auto.com/postcontent.aspx?tID=194818","http://bbs.12365auto.com/postcontent.aspx?tID=194818")</f>
        <v>http://bbs.12365auto.com/postcontent.aspx?tID=194818</v>
      </c>
      <c r="G4017" s="2"/>
      <c r="H4017" s="2" t="s">
        <v>5765</v>
      </c>
      <c r="I4017" s="2" t="s">
        <v>15</v>
      </c>
      <c r="J4017" s="2" t="s">
        <v>2459</v>
      </c>
      <c r="K4017" s="2" t="s">
        <v>5764</v>
      </c>
      <c r="L4017" s="2">
        <f t="shared" si="62"/>
        <v>150</v>
      </c>
    </row>
    <row r="4018" spans="1:12" ht="25" customHeight="1">
      <c r="A4018" s="2" t="s">
        <v>12</v>
      </c>
      <c r="B4018" s="2" t="str">
        <f>HYPERLINK("http://bbs.12365auto.com/postcontent.aspx?tId=194817","为什么要注意着几点？安全行驶小方法")</f>
        <v>为什么要注意着几点？安全行驶小方法</v>
      </c>
      <c r="C4018" s="2" t="s">
        <v>13</v>
      </c>
      <c r="D4018" s="2" t="s">
        <v>12</v>
      </c>
      <c r="E4018" s="2" t="s">
        <v>27</v>
      </c>
      <c r="F4018" s="2" t="str">
        <f>HYPERLINK("http://bbs.12365auto.com/postcontent.aspx?tId=194817","http://bbs.12365auto.com/postcontent.aspx?tId=194817")</f>
        <v>http://bbs.12365auto.com/postcontent.aspx?tId=194817</v>
      </c>
      <c r="G4018" s="2"/>
      <c r="H4018" s="2" t="s">
        <v>5766</v>
      </c>
      <c r="I4018" s="2" t="s">
        <v>15</v>
      </c>
      <c r="J4018" s="2" t="s">
        <v>2459</v>
      </c>
      <c r="K4018" s="2" t="s">
        <v>5767</v>
      </c>
      <c r="L4018" s="2">
        <f t="shared" si="62"/>
        <v>150</v>
      </c>
    </row>
    <row r="4019" spans="1:12" ht="25" customHeight="1">
      <c r="A4019" s="2" t="s">
        <v>12</v>
      </c>
      <c r="B4019" s="2" t="str">
        <f>HYPERLINK("http://bbs.12365auto.com/postcontent.aspx?tId=194816","有哪些开车时误以为正确的驾车习惯？")</f>
        <v>有哪些开车时误以为正确的驾车习惯？</v>
      </c>
      <c r="C4019" s="2" t="s">
        <v>13</v>
      </c>
      <c r="D4019" s="2" t="s">
        <v>12</v>
      </c>
      <c r="E4019" s="2" t="s">
        <v>27</v>
      </c>
      <c r="F4019" s="2" t="str">
        <f>HYPERLINK("http://bbs.12365auto.com/postcontent.aspx?tId=194816","http://bbs.12365auto.com/postcontent.aspx?tId=194816")</f>
        <v>http://bbs.12365auto.com/postcontent.aspx?tId=194816</v>
      </c>
      <c r="G4019" s="2"/>
      <c r="H4019" s="2" t="s">
        <v>5768</v>
      </c>
      <c r="I4019" s="2" t="s">
        <v>15</v>
      </c>
      <c r="J4019" s="2" t="s">
        <v>2459</v>
      </c>
      <c r="K4019" s="2" t="s">
        <v>5767</v>
      </c>
      <c r="L4019" s="2">
        <f t="shared" si="62"/>
        <v>150</v>
      </c>
    </row>
    <row r="4020" spans="1:12" ht="25" customHeight="1">
      <c r="A4020" s="2" t="s">
        <v>12</v>
      </c>
      <c r="B4020" s="2" t="str">
        <f>HYPERLINK("http://m.12365auto.com/bbs/postcontent.aspx?tID=194817","为什么要注意着几点？安全行驶小方法")</f>
        <v>为什么要注意着几点？安全行驶小方法</v>
      </c>
      <c r="C4020" s="2" t="s">
        <v>13</v>
      </c>
      <c r="D4020" s="2" t="s">
        <v>23</v>
      </c>
      <c r="E4020" s="2"/>
      <c r="F4020" s="2" t="str">
        <f>HYPERLINK("http://m.12365auto.com/bbs/postcontent.aspx?tID=194817","http://m.12365auto.com/bbs/postcontent.aspx?tID=194817")</f>
        <v>http://m.12365auto.com/bbs/postcontent.aspx?tID=194817</v>
      </c>
      <c r="G4020" s="2"/>
      <c r="H4020" s="2" t="s">
        <v>5766</v>
      </c>
      <c r="I4020" s="2" t="s">
        <v>15</v>
      </c>
      <c r="J4020" s="2" t="s">
        <v>2459</v>
      </c>
      <c r="K4020" s="2" t="s">
        <v>5767</v>
      </c>
      <c r="L4020" s="2">
        <f t="shared" si="62"/>
        <v>150</v>
      </c>
    </row>
    <row r="4021" spans="1:12" ht="25" customHeight="1">
      <c r="A4021" s="2" t="s">
        <v>12</v>
      </c>
      <c r="B4021" s="2" t="str">
        <f>HYPERLINK("http://m.12365auto.com/bbs/postcontent.aspx?tID=194816","有哪些开车时误以为正确的驾车习惯？")</f>
        <v>有哪些开车时误以为正确的驾车习惯？</v>
      </c>
      <c r="C4021" s="2" t="s">
        <v>13</v>
      </c>
      <c r="D4021" s="2" t="s">
        <v>23</v>
      </c>
      <c r="E4021" s="2"/>
      <c r="F4021" s="2" t="str">
        <f>HYPERLINK("http://m.12365auto.com/bbs/postcontent.aspx?tID=194816","http://m.12365auto.com/bbs/postcontent.aspx?tID=194816")</f>
        <v>http://m.12365auto.com/bbs/postcontent.aspx?tID=194816</v>
      </c>
      <c r="G4021" s="2"/>
      <c r="H4021" s="2" t="s">
        <v>5768</v>
      </c>
      <c r="I4021" s="2" t="s">
        <v>15</v>
      </c>
      <c r="J4021" s="2" t="s">
        <v>2459</v>
      </c>
      <c r="K4021" s="2" t="s">
        <v>5767</v>
      </c>
      <c r="L4021" s="2">
        <f t="shared" si="62"/>
        <v>150</v>
      </c>
    </row>
    <row r="4022" spans="1:12" ht="25" customHeight="1">
      <c r="A4022" s="2" t="s">
        <v>12</v>
      </c>
      <c r="B4022" s="2" t="str">
        <f>HYPERLINK("http://bbs.12365auto.com/postcontent.aspx?tID=194817","为什么要注意着几点？安全行驶小方法")</f>
        <v>为什么要注意着几点？安全行驶小方法</v>
      </c>
      <c r="C4022" s="2" t="s">
        <v>13</v>
      </c>
      <c r="D4022" s="2" t="s">
        <v>12</v>
      </c>
      <c r="E4022" s="2" t="s">
        <v>28</v>
      </c>
      <c r="F4022" s="2" t="str">
        <f>HYPERLINK("http://bbs.12365auto.com/postcontent.aspx?tID=194817","http://bbs.12365auto.com/postcontent.aspx?tID=194817")</f>
        <v>http://bbs.12365auto.com/postcontent.aspx?tID=194817</v>
      </c>
      <c r="G4022" s="2"/>
      <c r="H4022" s="2" t="s">
        <v>5769</v>
      </c>
      <c r="I4022" s="2" t="s">
        <v>15</v>
      </c>
      <c r="J4022" s="2" t="s">
        <v>2459</v>
      </c>
      <c r="K4022" s="2" t="s">
        <v>5767</v>
      </c>
      <c r="L4022" s="2">
        <f t="shared" si="62"/>
        <v>150</v>
      </c>
    </row>
    <row r="4023" spans="1:12" ht="25" customHeight="1">
      <c r="A4023" s="2" t="s">
        <v>12</v>
      </c>
      <c r="B4023" s="2" t="str">
        <f>HYPERLINK("http://bbs.12365auto.com/postcontent.aspx?tID=194816","有哪些开车时误以为正确的驾车习惯？")</f>
        <v>有哪些开车时误以为正确的驾车习惯？</v>
      </c>
      <c r="C4023" s="2" t="s">
        <v>13</v>
      </c>
      <c r="D4023" s="2" t="s">
        <v>12</v>
      </c>
      <c r="E4023" s="2" t="s">
        <v>28</v>
      </c>
      <c r="F4023" s="2" t="str">
        <f>HYPERLINK("http://bbs.12365auto.com/postcontent.aspx?tID=194816","http://bbs.12365auto.com/postcontent.aspx?tID=194816")</f>
        <v>http://bbs.12365auto.com/postcontent.aspx?tID=194816</v>
      </c>
      <c r="G4023" s="2"/>
      <c r="H4023" s="2" t="s">
        <v>5770</v>
      </c>
      <c r="I4023" s="2" t="s">
        <v>15</v>
      </c>
      <c r="J4023" s="2" t="s">
        <v>2459</v>
      </c>
      <c r="K4023" s="2" t="s">
        <v>5767</v>
      </c>
      <c r="L4023" s="2">
        <f t="shared" si="62"/>
        <v>150</v>
      </c>
    </row>
    <row r="4024" spans="1:12" ht="25" customHeight="1">
      <c r="A4024" s="2" t="s">
        <v>12</v>
      </c>
      <c r="B4024" s="2" t="str">
        <f>HYPERLINK("http://www.12365auto.com/zlts/20200221/448012.shtml","上汽通用五菱荣光4S店不退还车款故意拖延")</f>
        <v>上汽通用五菱荣光4S店不退还车款故意拖延</v>
      </c>
      <c r="C4024" s="2" t="s">
        <v>13</v>
      </c>
      <c r="D4024" s="2" t="s">
        <v>12</v>
      </c>
      <c r="E4024" s="2" t="s">
        <v>17</v>
      </c>
      <c r="F4024" s="2" t="str">
        <f>HYPERLINK("http://www.12365auto.com/zlts/20200221/448012.shtml","http://www.12365auto.com/zlts/20200221/448012.shtml")</f>
        <v>http://www.12365auto.com/zlts/20200221/448012.shtml</v>
      </c>
      <c r="G4024" s="2"/>
      <c r="H4024" s="2" t="s">
        <v>5771</v>
      </c>
      <c r="I4024" s="2" t="s">
        <v>19</v>
      </c>
      <c r="J4024" s="2" t="s">
        <v>12</v>
      </c>
      <c r="K4024" s="2" t="s">
        <v>5772</v>
      </c>
      <c r="L4024" s="2">
        <f t="shared" si="62"/>
        <v>150</v>
      </c>
    </row>
    <row r="4025" spans="1:12" ht="25" customHeight="1">
      <c r="A4025" s="2" t="s">
        <v>12</v>
      </c>
      <c r="B4025" s="2" t="str">
        <f>HYPERLINK("http://m.12365auto.com/news/20200221/419233.shtml","Skyactiv-X产品受挫 近年不推出任何新车")</f>
        <v>Skyactiv-X产品受挫 近年不推出任何新车</v>
      </c>
      <c r="C4025" s="2" t="s">
        <v>13</v>
      </c>
      <c r="D4025" s="2" t="s">
        <v>12</v>
      </c>
      <c r="E4025" s="2"/>
      <c r="F4025" s="2" t="str">
        <f>HYPERLINK("http://m.12365auto.com/news/20200221/419233.shtml","http://m.12365auto.com/news/20200221/419233.shtml")</f>
        <v>http://m.12365auto.com/news/20200221/419233.shtml</v>
      </c>
      <c r="G4025" s="2"/>
      <c r="H4025" s="2" t="s">
        <v>5773</v>
      </c>
      <c r="I4025" s="2" t="s">
        <v>19</v>
      </c>
      <c r="J4025" s="2" t="s">
        <v>5774</v>
      </c>
      <c r="K4025" s="2" t="s">
        <v>5775</v>
      </c>
      <c r="L4025" s="2">
        <f t="shared" si="62"/>
        <v>150</v>
      </c>
    </row>
    <row r="4026" spans="1:12" ht="25" customHeight="1">
      <c r="A4026" s="2" t="s">
        <v>12</v>
      </c>
      <c r="B4026" s="2" t="str">
        <f>HYPERLINK("http://www.12365auto.com/news/20200221/419233.shtml","Skyactiv-X产品受挫 近年不推出任何新车")</f>
        <v>Skyactiv-X产品受挫 近年不推出任何新车</v>
      </c>
      <c r="C4026" s="2" t="s">
        <v>13</v>
      </c>
      <c r="D4026" s="2" t="s">
        <v>12</v>
      </c>
      <c r="E4026" s="2" t="s">
        <v>276</v>
      </c>
      <c r="F4026" s="2" t="str">
        <f>HYPERLINK("http://www.12365auto.com/news/20200221/419233.shtml","http://www.12365auto.com/news/20200221/419233.shtml")</f>
        <v>http://www.12365auto.com/news/20200221/419233.shtml</v>
      </c>
      <c r="G4026" s="2"/>
      <c r="H4026" s="2" t="s">
        <v>5776</v>
      </c>
      <c r="I4026" s="2" t="s">
        <v>15</v>
      </c>
      <c r="J4026" s="2" t="s">
        <v>12</v>
      </c>
      <c r="K4026" s="2" t="s">
        <v>5775</v>
      </c>
      <c r="L4026" s="2">
        <f t="shared" si="62"/>
        <v>150</v>
      </c>
    </row>
    <row r="4027" spans="1:12" ht="25" customHeight="1">
      <c r="A4027" s="2" t="s">
        <v>12</v>
      </c>
      <c r="B4027" s="2" t="str">
        <f>HYPERLINK("http://m.12365auto.com/xcdg/20200221/419232.shtml","2020日内瓦车展：奔驰中期改款E级将发布")</f>
        <v>2020日内瓦车展：奔驰中期改款E级将发布</v>
      </c>
      <c r="C4027" s="2" t="s">
        <v>13</v>
      </c>
      <c r="D4027" s="2" t="s">
        <v>12</v>
      </c>
      <c r="E4027" s="2"/>
      <c r="F4027" s="2" t="str">
        <f>HYPERLINK("http://m.12365auto.com/xcdg/20200221/419232.shtml","http://m.12365auto.com/xcdg/20200221/419232.shtml")</f>
        <v>http://m.12365auto.com/xcdg/20200221/419232.shtml</v>
      </c>
      <c r="G4027" s="2"/>
      <c r="H4027" s="2" t="s">
        <v>5777</v>
      </c>
      <c r="I4027" s="2" t="s">
        <v>19</v>
      </c>
      <c r="J4027" s="2" t="s">
        <v>5774</v>
      </c>
      <c r="K4027" s="2" t="s">
        <v>5778</v>
      </c>
      <c r="L4027" s="2">
        <f t="shared" si="62"/>
        <v>150</v>
      </c>
    </row>
    <row r="4028" spans="1:12" ht="25" customHeight="1">
      <c r="A4028" s="2" t="s">
        <v>12</v>
      </c>
      <c r="B4028" s="2" t="str">
        <f>HYPERLINK("http://www.12365auto.com/xcdg/20200221/419232.shtml","2020日内瓦车展：奔驰中期改款E级将发布")</f>
        <v>2020日内瓦车展：奔驰中期改款E级将发布</v>
      </c>
      <c r="C4028" s="2" t="s">
        <v>13</v>
      </c>
      <c r="D4028" s="2" t="s">
        <v>12</v>
      </c>
      <c r="E4028" s="2" t="s">
        <v>216</v>
      </c>
      <c r="F4028" s="2" t="str">
        <f>HYPERLINK("http://www.12365auto.com/xcdg/20200221/419232.shtml","http://www.12365auto.com/xcdg/20200221/419232.shtml")</f>
        <v>http://www.12365auto.com/xcdg/20200221/419232.shtml</v>
      </c>
      <c r="G4028" s="2"/>
      <c r="H4028" s="2" t="s">
        <v>5779</v>
      </c>
      <c r="I4028" s="2" t="s">
        <v>15</v>
      </c>
      <c r="J4028" s="2" t="s">
        <v>12</v>
      </c>
      <c r="K4028" s="2" t="s">
        <v>5778</v>
      </c>
      <c r="L4028" s="2">
        <f t="shared" si="62"/>
        <v>150</v>
      </c>
    </row>
    <row r="4029" spans="1:12" ht="25" customHeight="1">
      <c r="A4029" s="2" t="s">
        <v>12</v>
      </c>
      <c r="B4029" s="2" t="str">
        <f>HYPERLINK("http://www.12365auto.com/zlts/20200221/448011.shtml","亚太沃尔沃S60油箱加油频繁跳枪影响使用")</f>
        <v>亚太沃尔沃S60油箱加油频繁跳枪影响使用</v>
      </c>
      <c r="C4029" s="2" t="s">
        <v>13</v>
      </c>
      <c r="D4029" s="2" t="s">
        <v>12</v>
      </c>
      <c r="E4029" s="2" t="s">
        <v>17</v>
      </c>
      <c r="F4029" s="2" t="str">
        <f>HYPERLINK("http://www.12365auto.com/zlts/20200221/448011.shtml","http://www.12365auto.com/zlts/20200221/448011.shtml")</f>
        <v>http://www.12365auto.com/zlts/20200221/448011.shtml</v>
      </c>
      <c r="G4029" s="2"/>
      <c r="H4029" s="2" t="s">
        <v>5780</v>
      </c>
      <c r="I4029" s="2" t="s">
        <v>19</v>
      </c>
      <c r="J4029" s="2" t="s">
        <v>12</v>
      </c>
      <c r="K4029" s="2" t="s">
        <v>5778</v>
      </c>
      <c r="L4029" s="2">
        <f t="shared" si="62"/>
        <v>150</v>
      </c>
    </row>
    <row r="4030" spans="1:12" ht="25" customHeight="1">
      <c r="A4030" s="2" t="s">
        <v>12</v>
      </c>
      <c r="B4030" s="2" t="str">
        <f>HYPERLINK("http://m.12365auto.com/xcdg/20200221/419231.shtml","改款宝马M5谍照曝光 将于年内发布")</f>
        <v>改款宝马M5谍照曝光 将于年内发布</v>
      </c>
      <c r="C4030" s="2" t="s">
        <v>13</v>
      </c>
      <c r="D4030" s="2" t="s">
        <v>12</v>
      </c>
      <c r="E4030" s="2"/>
      <c r="F4030" s="2" t="str">
        <f>HYPERLINK("http://m.12365auto.com/xcdg/20200221/419231.shtml","http://m.12365auto.com/xcdg/20200221/419231.shtml")</f>
        <v>http://m.12365auto.com/xcdg/20200221/419231.shtml</v>
      </c>
      <c r="G4030" s="2"/>
      <c r="H4030" s="2" t="s">
        <v>5781</v>
      </c>
      <c r="I4030" s="2" t="s">
        <v>19</v>
      </c>
      <c r="J4030" s="2" t="s">
        <v>5774</v>
      </c>
      <c r="K4030" s="2" t="s">
        <v>5782</v>
      </c>
      <c r="L4030" s="2">
        <f t="shared" si="62"/>
        <v>150</v>
      </c>
    </row>
    <row r="4031" spans="1:12" ht="25" customHeight="1">
      <c r="A4031" s="2" t="s">
        <v>12</v>
      </c>
      <c r="B4031" s="2" t="str">
        <f>HYPERLINK("http://www.12365auto.com/xcdg/20200221/419231.shtml","改款宝马M5谍照曝光 将于年内发布")</f>
        <v>改款宝马M5谍照曝光 将于年内发布</v>
      </c>
      <c r="C4031" s="2" t="s">
        <v>13</v>
      </c>
      <c r="D4031" s="2" t="s">
        <v>12</v>
      </c>
      <c r="E4031" s="2" t="s">
        <v>224</v>
      </c>
      <c r="F4031" s="2" t="str">
        <f>HYPERLINK("http://www.12365auto.com/xcdg/20200221/419231.shtml","http://www.12365auto.com/xcdg/20200221/419231.shtml")</f>
        <v>http://www.12365auto.com/xcdg/20200221/419231.shtml</v>
      </c>
      <c r="G4031" s="2"/>
      <c r="H4031" s="2" t="s">
        <v>5783</v>
      </c>
      <c r="I4031" s="2" t="s">
        <v>15</v>
      </c>
      <c r="J4031" s="2" t="s">
        <v>12</v>
      </c>
      <c r="K4031" s="2" t="s">
        <v>5782</v>
      </c>
      <c r="L4031" s="2">
        <f t="shared" si="62"/>
        <v>150</v>
      </c>
    </row>
    <row r="4032" spans="1:12" ht="25" customHeight="1">
      <c r="A4032" s="2" t="s">
        <v>12</v>
      </c>
      <c r="B4032" s="2" t="str">
        <f>HYPERLINK("http://www.12365auto.com/news/20200221/419230.shtml","只追求运动纯粹 本田不打算扩大R型阵容")</f>
        <v>只追求运动纯粹 本田不打算扩大R型阵容</v>
      </c>
      <c r="C4032" s="2" t="s">
        <v>13</v>
      </c>
      <c r="D4032" s="2" t="s">
        <v>12</v>
      </c>
      <c r="E4032" s="2" t="s">
        <v>276</v>
      </c>
      <c r="F4032" s="2" t="str">
        <f>HYPERLINK("http://www.12365auto.com/news/20200221/419230.shtml","http://www.12365auto.com/news/20200221/419230.shtml")</f>
        <v>http://www.12365auto.com/news/20200221/419230.shtml</v>
      </c>
      <c r="G4032" s="2"/>
      <c r="H4032" s="2" t="s">
        <v>5784</v>
      </c>
      <c r="I4032" s="2" t="s">
        <v>15</v>
      </c>
      <c r="J4032" s="2" t="s">
        <v>12</v>
      </c>
      <c r="K4032" s="2" t="s">
        <v>5785</v>
      </c>
      <c r="L4032" s="2">
        <f t="shared" si="62"/>
        <v>150</v>
      </c>
    </row>
    <row r="4033" spans="1:12" ht="25" customHeight="1">
      <c r="A4033" s="2" t="s">
        <v>12</v>
      </c>
      <c r="B4033" s="2" t="str">
        <f>HYPERLINK("http://m.12365auto.com/news/20200221/419230.shtml","只追求运动纯粹 本田不打算扩大R型阵容")</f>
        <v>只追求运动纯粹 本田不打算扩大R型阵容</v>
      </c>
      <c r="C4033" s="2" t="s">
        <v>13</v>
      </c>
      <c r="D4033" s="2" t="s">
        <v>12</v>
      </c>
      <c r="E4033" s="2"/>
      <c r="F4033" s="2" t="str">
        <f>HYPERLINK("http://m.12365auto.com/news/20200221/419230.shtml","http://m.12365auto.com/news/20200221/419230.shtml")</f>
        <v>http://m.12365auto.com/news/20200221/419230.shtml</v>
      </c>
      <c r="G4033" s="2"/>
      <c r="H4033" s="2" t="s">
        <v>5786</v>
      </c>
      <c r="I4033" s="2" t="s">
        <v>19</v>
      </c>
      <c r="J4033" s="2" t="s">
        <v>5774</v>
      </c>
      <c r="K4033" s="2" t="s">
        <v>5785</v>
      </c>
      <c r="L4033" s="2">
        <f t="shared" si="62"/>
        <v>150</v>
      </c>
    </row>
    <row r="4034" spans="1:12" ht="25" customHeight="1">
      <c r="A4034" s="2" t="s">
        <v>12</v>
      </c>
      <c r="B4034" s="2" t="str">
        <f>HYPERLINK("http://m.12365auto.com/xcdg/20200221/419229.shtml","2020日内瓦车展：达契亚将推出首款电动车")</f>
        <v>2020日内瓦车展：达契亚将推出首款电动车</v>
      </c>
      <c r="C4034" s="2" t="s">
        <v>13</v>
      </c>
      <c r="D4034" s="2" t="s">
        <v>12</v>
      </c>
      <c r="E4034" s="2"/>
      <c r="F4034" s="2" t="str">
        <f>HYPERLINK("http://m.12365auto.com/xcdg/20200221/419229.shtml","http://m.12365auto.com/xcdg/20200221/419229.shtml")</f>
        <v>http://m.12365auto.com/xcdg/20200221/419229.shtml</v>
      </c>
      <c r="G4034" s="2"/>
      <c r="H4034" s="2" t="s">
        <v>5787</v>
      </c>
      <c r="I4034" s="2" t="s">
        <v>19</v>
      </c>
      <c r="J4034" s="2" t="s">
        <v>5774</v>
      </c>
      <c r="K4034" s="2" t="s">
        <v>5788</v>
      </c>
      <c r="L4034" s="2">
        <f t="shared" si="62"/>
        <v>150</v>
      </c>
    </row>
    <row r="4035" spans="1:12" ht="25" customHeight="1">
      <c r="A4035" s="2" t="s">
        <v>12</v>
      </c>
      <c r="B4035" s="2" t="str">
        <f>HYPERLINK("http://www.12365auto.com/xcdg/20200221/419229.shtml","2020日内瓦车展：达契亚将推出首款电动车")</f>
        <v>2020日内瓦车展：达契亚将推出首款电动车</v>
      </c>
      <c r="C4035" s="2" t="s">
        <v>13</v>
      </c>
      <c r="D4035" s="2" t="s">
        <v>12</v>
      </c>
      <c r="E4035" s="2" t="s">
        <v>216</v>
      </c>
      <c r="F4035" s="2" t="str">
        <f>HYPERLINK("http://www.12365auto.com/xcdg/20200221/419229.shtml","http://www.12365auto.com/xcdg/20200221/419229.shtml")</f>
        <v>http://www.12365auto.com/xcdg/20200221/419229.shtml</v>
      </c>
      <c r="G4035" s="2"/>
      <c r="H4035" s="2" t="s">
        <v>5789</v>
      </c>
      <c r="I4035" s="2" t="s">
        <v>15</v>
      </c>
      <c r="J4035" s="2" t="s">
        <v>12</v>
      </c>
      <c r="K4035" s="2" t="s">
        <v>5788</v>
      </c>
      <c r="L4035" s="2">
        <f t="shared" ref="L4035:L4098" si="63">LEN(H4035)</f>
        <v>150</v>
      </c>
    </row>
    <row r="4036" spans="1:12" ht="25" customHeight="1">
      <c r="A4036" s="2" t="s">
        <v>12</v>
      </c>
      <c r="B4036" s="2" t="str">
        <f>HYPERLINK("http://www.12365auto.com/zlts/20200221/448008.shtml","广汽丰田凯美瑞双侧半轴轴套漏油希望解决")</f>
        <v>广汽丰田凯美瑞双侧半轴轴套漏油希望解决</v>
      </c>
      <c r="C4036" s="2" t="s">
        <v>13</v>
      </c>
      <c r="D4036" s="2" t="s">
        <v>12</v>
      </c>
      <c r="E4036" s="2"/>
      <c r="F4036" s="2" t="str">
        <f>HYPERLINK("http://www.12365auto.com/zlts/20200221/448008.shtml","http://www.12365auto.com/zlts/20200221/448008.shtml")</f>
        <v>http://www.12365auto.com/zlts/20200221/448008.shtml</v>
      </c>
      <c r="G4036" s="2"/>
      <c r="H4036" s="2" t="s">
        <v>5791</v>
      </c>
      <c r="I4036" s="2" t="s">
        <v>15</v>
      </c>
      <c r="J4036" s="2" t="s">
        <v>12</v>
      </c>
      <c r="K4036" s="2" t="s">
        <v>5790</v>
      </c>
      <c r="L4036" s="2">
        <f t="shared" si="63"/>
        <v>81</v>
      </c>
    </row>
    <row r="4037" spans="1:12" ht="25" customHeight="1">
      <c r="A4037" s="2" t="s">
        <v>12</v>
      </c>
      <c r="B4037" s="2" t="str">
        <f>HYPERLINK("http://m.12365auto.com/xcdg/20200221/419228.shtml","王者归来 广汽丰田全新汉兰达将年底上市")</f>
        <v>王者归来 广汽丰田全新汉兰达将年底上市</v>
      </c>
      <c r="C4037" s="2" t="s">
        <v>13</v>
      </c>
      <c r="D4037" s="2" t="s">
        <v>12</v>
      </c>
      <c r="E4037" s="2"/>
      <c r="F4037" s="2" t="str">
        <f>HYPERLINK("http://m.12365auto.com/xcdg/20200221/419228.shtml","http://m.12365auto.com/xcdg/20200221/419228.shtml")</f>
        <v>http://m.12365auto.com/xcdg/20200221/419228.shtml</v>
      </c>
      <c r="G4037" s="2"/>
      <c r="H4037" s="2" t="s">
        <v>5792</v>
      </c>
      <c r="I4037" s="2" t="s">
        <v>19</v>
      </c>
      <c r="J4037" s="2" t="s">
        <v>4467</v>
      </c>
      <c r="K4037" s="2" t="s">
        <v>5793</v>
      </c>
      <c r="L4037" s="2">
        <f t="shared" si="63"/>
        <v>150</v>
      </c>
    </row>
    <row r="4038" spans="1:12" ht="25" customHeight="1">
      <c r="A4038" s="2" t="s">
        <v>12</v>
      </c>
      <c r="B4038" s="2" t="str">
        <f>HYPERLINK("http://www.12365auto.com/zlts/20200221/448009.shtml","东风日产轩逸电瓶亏电存在质量问题")</f>
        <v>东风日产轩逸电瓶亏电存在质量问题</v>
      </c>
      <c r="C4038" s="2" t="s">
        <v>13</v>
      </c>
      <c r="D4038" s="2" t="s">
        <v>12</v>
      </c>
      <c r="E4038" s="2" t="s">
        <v>17</v>
      </c>
      <c r="F4038" s="2" t="str">
        <f>HYPERLINK("http://www.12365auto.com/zlts/20200221/448009.shtml","http://www.12365auto.com/zlts/20200221/448009.shtml")</f>
        <v>http://www.12365auto.com/zlts/20200221/448009.shtml</v>
      </c>
      <c r="G4038" s="2"/>
      <c r="H4038" s="2" t="s">
        <v>5794</v>
      </c>
      <c r="I4038" s="2" t="s">
        <v>19</v>
      </c>
      <c r="J4038" s="2" t="s">
        <v>12</v>
      </c>
      <c r="K4038" s="2" t="s">
        <v>5793</v>
      </c>
      <c r="L4038" s="2">
        <f t="shared" si="63"/>
        <v>150</v>
      </c>
    </row>
    <row r="4039" spans="1:12" ht="25" customHeight="1">
      <c r="A4039" s="2" t="s">
        <v>12</v>
      </c>
      <c r="B4039" s="2" t="str">
        <f>HYPERLINK("http://www.12365auto.com/xcdg/20200221/419228.shtml","王者归来 广汽丰田全新汉兰达将年底上市")</f>
        <v>王者归来 广汽丰田全新汉兰达将年底上市</v>
      </c>
      <c r="C4039" s="2" t="s">
        <v>13</v>
      </c>
      <c r="D4039" s="2" t="s">
        <v>12</v>
      </c>
      <c r="E4039" s="2" t="s">
        <v>216</v>
      </c>
      <c r="F4039" s="2" t="str">
        <f>HYPERLINK("http://www.12365auto.com/xcdg/20200221/419228.shtml","http://www.12365auto.com/xcdg/20200221/419228.shtml")</f>
        <v>http://www.12365auto.com/xcdg/20200221/419228.shtml</v>
      </c>
      <c r="G4039" s="2"/>
      <c r="H4039" s="2" t="s">
        <v>5795</v>
      </c>
      <c r="I4039" s="2" t="s">
        <v>15</v>
      </c>
      <c r="J4039" s="2" t="s">
        <v>12</v>
      </c>
      <c r="K4039" s="2" t="s">
        <v>5793</v>
      </c>
      <c r="L4039" s="2">
        <f t="shared" si="63"/>
        <v>150</v>
      </c>
    </row>
    <row r="4040" spans="1:12" ht="25" customHeight="1">
      <c r="A4040" s="2" t="s">
        <v>12</v>
      </c>
      <c r="B4040" s="2" t="str">
        <f>HYPERLINK("http://m.12365auto.com/xcdg/20200221/419227.shtml","续航400km 雷克萨斯UX300e或二季度上市")</f>
        <v>续航400km 雷克萨斯UX300e或二季度上市</v>
      </c>
      <c r="C4040" s="2" t="s">
        <v>13</v>
      </c>
      <c r="D4040" s="2" t="s">
        <v>12</v>
      </c>
      <c r="E4040" s="2"/>
      <c r="F4040" s="2" t="str">
        <f>HYPERLINK("http://m.12365auto.com/xcdg/20200221/419227.shtml","http://m.12365auto.com/xcdg/20200221/419227.shtml")</f>
        <v>http://m.12365auto.com/xcdg/20200221/419227.shtml</v>
      </c>
      <c r="G4040" s="2"/>
      <c r="H4040" s="2" t="s">
        <v>5796</v>
      </c>
      <c r="I4040" s="2" t="s">
        <v>19</v>
      </c>
      <c r="J4040" s="2" t="s">
        <v>4467</v>
      </c>
      <c r="K4040" s="2" t="s">
        <v>5797</v>
      </c>
      <c r="L4040" s="2">
        <f t="shared" si="63"/>
        <v>150</v>
      </c>
    </row>
    <row r="4041" spans="1:12" ht="25" customHeight="1">
      <c r="A4041" s="2" t="s">
        <v>12</v>
      </c>
      <c r="B4041" s="2" t="str">
        <f>HYPERLINK("http://www.12365auto.com/xcdg/20200221/419227.shtml","续航400km 雷克萨斯UX300e或二季度上市")</f>
        <v>续航400km 雷克萨斯UX300e或二季度上市</v>
      </c>
      <c r="C4041" s="2" t="s">
        <v>13</v>
      </c>
      <c r="D4041" s="2" t="s">
        <v>12</v>
      </c>
      <c r="E4041" s="2" t="s">
        <v>216</v>
      </c>
      <c r="F4041" s="2" t="str">
        <f>HYPERLINK("http://www.12365auto.com/xcdg/20200221/419227.shtml","http://www.12365auto.com/xcdg/20200221/419227.shtml")</f>
        <v>http://www.12365auto.com/xcdg/20200221/419227.shtml</v>
      </c>
      <c r="G4041" s="2"/>
      <c r="H4041" s="2" t="s">
        <v>5798</v>
      </c>
      <c r="I4041" s="2" t="s">
        <v>15</v>
      </c>
      <c r="J4041" s="2" t="s">
        <v>12</v>
      </c>
      <c r="K4041" s="2" t="s">
        <v>5797</v>
      </c>
      <c r="L4041" s="2">
        <f t="shared" si="63"/>
        <v>150</v>
      </c>
    </row>
    <row r="4042" spans="1:12" ht="25" customHeight="1">
      <c r="A4042" s="2" t="s">
        <v>12</v>
      </c>
      <c r="B4042" s="2" t="str">
        <f>HYPERLINK("http://www.12365auto.com/parts/20200221/419226.shtml","双流道涡轮增压器 宝马升级六缸发动机")</f>
        <v>双流道涡轮增压器 宝马升级六缸发动机</v>
      </c>
      <c r="C4042" s="2" t="s">
        <v>13</v>
      </c>
      <c r="D4042" s="2" t="s">
        <v>12</v>
      </c>
      <c r="E4042" s="2" t="s">
        <v>240</v>
      </c>
      <c r="F4042" s="2" t="str">
        <f>HYPERLINK("http://www.12365auto.com/parts/20200221/419226.shtml","http://www.12365auto.com/parts/20200221/419226.shtml")</f>
        <v>http://www.12365auto.com/parts/20200221/419226.shtml</v>
      </c>
      <c r="G4042" s="2"/>
      <c r="H4042" s="2" t="s">
        <v>5799</v>
      </c>
      <c r="I4042" s="2" t="s">
        <v>15</v>
      </c>
      <c r="J4042" s="2" t="s">
        <v>12</v>
      </c>
      <c r="K4042" s="2" t="s">
        <v>5800</v>
      </c>
      <c r="L4042" s="2">
        <f t="shared" si="63"/>
        <v>150</v>
      </c>
    </row>
    <row r="4043" spans="1:12" ht="25" customHeight="1">
      <c r="A4043" s="2" t="s">
        <v>12</v>
      </c>
      <c r="B4043" s="2" t="str">
        <f>HYPERLINK("http://m.12365auto.com/parts/20200221/419226.shtml","双流道涡轮增压器 宝马升级六缸发动机")</f>
        <v>双流道涡轮增压器 宝马升级六缸发动机</v>
      </c>
      <c r="C4043" s="2" t="s">
        <v>13</v>
      </c>
      <c r="D4043" s="2" t="s">
        <v>12</v>
      </c>
      <c r="E4043" s="2"/>
      <c r="F4043" s="2" t="str">
        <f>HYPERLINK("http://m.12365auto.com/parts/20200221/419226.shtml","http://m.12365auto.com/parts/20200221/419226.shtml")</f>
        <v>http://m.12365auto.com/parts/20200221/419226.shtml</v>
      </c>
      <c r="G4043" s="2"/>
      <c r="H4043" s="2" t="s">
        <v>5801</v>
      </c>
      <c r="I4043" s="2" t="s">
        <v>19</v>
      </c>
      <c r="J4043" s="2" t="s">
        <v>238</v>
      </c>
      <c r="K4043" s="2" t="s">
        <v>5800</v>
      </c>
      <c r="L4043" s="2">
        <f t="shared" si="63"/>
        <v>150</v>
      </c>
    </row>
    <row r="4044" spans="1:12" ht="25" customHeight="1">
      <c r="A4044" s="2" t="s">
        <v>12</v>
      </c>
      <c r="B4044" s="2" t="str">
        <f>HYPERLINK("http://www.12365auto.com/news/20200221/419225.shtml","追加50万元 大陆马牌轮胎助力抗击疫情")</f>
        <v>追加50万元 大陆马牌轮胎助力抗击疫情</v>
      </c>
      <c r="C4044" s="2" t="s">
        <v>13</v>
      </c>
      <c r="D4044" s="2" t="s">
        <v>12</v>
      </c>
      <c r="E4044" s="2" t="s">
        <v>282</v>
      </c>
      <c r="F4044" s="2" t="str">
        <f>HYPERLINK("http://www.12365auto.com/news/20200221/419225.shtml","http://www.12365auto.com/news/20200221/419225.shtml")</f>
        <v>http://www.12365auto.com/news/20200221/419225.shtml</v>
      </c>
      <c r="G4044" s="2"/>
      <c r="H4044" s="2" t="s">
        <v>5802</v>
      </c>
      <c r="I4044" s="2" t="s">
        <v>19</v>
      </c>
      <c r="J4044" s="2" t="s">
        <v>12</v>
      </c>
      <c r="K4044" s="2" t="s">
        <v>5803</v>
      </c>
      <c r="L4044" s="2">
        <f t="shared" si="63"/>
        <v>150</v>
      </c>
    </row>
    <row r="4045" spans="1:12" ht="25" customHeight="1">
      <c r="A4045" s="2" t="s">
        <v>12</v>
      </c>
      <c r="B4045" s="2" t="str">
        <f>HYPERLINK("http://m.12365auto.com/news/20200221/419225.shtml","追加50万元 大陆马牌轮胎助力抗击疫情")</f>
        <v>追加50万元 大陆马牌轮胎助力抗击疫情</v>
      </c>
      <c r="C4045" s="2" t="s">
        <v>13</v>
      </c>
      <c r="D4045" s="2" t="s">
        <v>12</v>
      </c>
      <c r="E4045" s="2"/>
      <c r="F4045" s="2" t="str">
        <f>HYPERLINK("http://m.12365auto.com/news/20200221/419225.shtml","http://m.12365auto.com/news/20200221/419225.shtml")</f>
        <v>http://m.12365auto.com/news/20200221/419225.shtml</v>
      </c>
      <c r="G4045" s="2"/>
      <c r="H4045" s="2" t="s">
        <v>5804</v>
      </c>
      <c r="I4045" s="2" t="s">
        <v>19</v>
      </c>
      <c r="J4045" s="2" t="s">
        <v>238</v>
      </c>
      <c r="K4045" s="2" t="s">
        <v>5803</v>
      </c>
      <c r="L4045" s="2">
        <f t="shared" si="63"/>
        <v>150</v>
      </c>
    </row>
    <row r="4046" spans="1:12" ht="25" customHeight="1">
      <c r="A4046" s="2" t="s">
        <v>12</v>
      </c>
      <c r="B4046" s="2" t="str">
        <f>HYPERLINK("http://www.12365auto.com/news/20200221/419224.shtml","通用计划到2040年100%使用可再生能源")</f>
        <v>通用计划到2040年100%使用可再生能源</v>
      </c>
      <c r="C4046" s="2" t="s">
        <v>13</v>
      </c>
      <c r="D4046" s="2" t="s">
        <v>12</v>
      </c>
      <c r="E4046" s="2" t="s">
        <v>276</v>
      </c>
      <c r="F4046" s="2" t="str">
        <f>HYPERLINK("http://www.12365auto.com/news/20200221/419224.shtml","http://www.12365auto.com/news/20200221/419224.shtml")</f>
        <v>http://www.12365auto.com/news/20200221/419224.shtml</v>
      </c>
      <c r="G4046" s="2"/>
      <c r="H4046" s="2" t="s">
        <v>5805</v>
      </c>
      <c r="I4046" s="2" t="s">
        <v>15</v>
      </c>
      <c r="J4046" s="2" t="s">
        <v>12</v>
      </c>
      <c r="K4046" s="2" t="s">
        <v>5806</v>
      </c>
      <c r="L4046" s="2">
        <f t="shared" si="63"/>
        <v>150</v>
      </c>
    </row>
    <row r="4047" spans="1:12" ht="25" customHeight="1">
      <c r="A4047" s="2" t="s">
        <v>12</v>
      </c>
      <c r="B4047" s="2" t="str">
        <f>HYPERLINK("http://m.12365auto.com/news/20200221/419224.shtml","通用计划到2040年100%使用可再生能源")</f>
        <v>通用计划到2040年100%使用可再生能源</v>
      </c>
      <c r="C4047" s="2" t="s">
        <v>13</v>
      </c>
      <c r="D4047" s="2" t="s">
        <v>12</v>
      </c>
      <c r="E4047" s="2"/>
      <c r="F4047" s="2" t="str">
        <f>HYPERLINK("http://m.12365auto.com/news/20200221/419224.shtml","http://m.12365auto.com/news/20200221/419224.shtml")</f>
        <v>http://m.12365auto.com/news/20200221/419224.shtml</v>
      </c>
      <c r="G4047" s="2"/>
      <c r="H4047" s="2" t="s">
        <v>5807</v>
      </c>
      <c r="I4047" s="2" t="s">
        <v>19</v>
      </c>
      <c r="J4047" s="2" t="s">
        <v>286</v>
      </c>
      <c r="K4047" s="2" t="s">
        <v>5806</v>
      </c>
      <c r="L4047" s="2">
        <f t="shared" si="63"/>
        <v>150</v>
      </c>
    </row>
    <row r="4048" spans="1:12" ht="25" customHeight="1">
      <c r="A4048" s="2" t="s">
        <v>12</v>
      </c>
      <c r="B4048" s="2" t="str">
        <f>HYPERLINK("http://m.12365auto.com/bbs/postcontent.aspx?tID=194815","现在的汽车都流行这些设计 你发现了吗")</f>
        <v>现在的汽车都流行这些设计 你发现了吗</v>
      </c>
      <c r="C4048" s="2" t="s">
        <v>13</v>
      </c>
      <c r="D4048" s="2" t="s">
        <v>23</v>
      </c>
      <c r="E4048" s="2"/>
      <c r="F4048" s="2" t="str">
        <f>HYPERLINK("http://m.12365auto.com/bbs/postcontent.aspx?tID=194815","http://m.12365auto.com/bbs/postcontent.aspx?tID=194815")</f>
        <v>http://m.12365auto.com/bbs/postcontent.aspx?tID=194815</v>
      </c>
      <c r="G4048" s="2"/>
      <c r="H4048" s="2" t="s">
        <v>5808</v>
      </c>
      <c r="I4048" s="2" t="s">
        <v>15</v>
      </c>
      <c r="J4048" s="2" t="s">
        <v>1840</v>
      </c>
      <c r="K4048" s="2" t="s">
        <v>5809</v>
      </c>
      <c r="L4048" s="2">
        <f t="shared" si="63"/>
        <v>150</v>
      </c>
    </row>
    <row r="4049" spans="1:12" ht="25" customHeight="1">
      <c r="A4049" s="2" t="s">
        <v>12</v>
      </c>
      <c r="B4049" s="2" t="str">
        <f>HYPERLINK("http://m.12365auto.com/bbs/postcontent.aspx?tID=194814","用得少也要养护 你后备厢里的备胎可还好")</f>
        <v>用得少也要养护 你后备厢里的备胎可还好</v>
      </c>
      <c r="C4049" s="2" t="s">
        <v>13</v>
      </c>
      <c r="D4049" s="2" t="s">
        <v>23</v>
      </c>
      <c r="E4049" s="2"/>
      <c r="F4049" s="2" t="str">
        <f>HYPERLINK("http://m.12365auto.com/bbs/postcontent.aspx?tID=194814","http://m.12365auto.com/bbs/postcontent.aspx?tID=194814")</f>
        <v>http://m.12365auto.com/bbs/postcontent.aspx?tID=194814</v>
      </c>
      <c r="G4049" s="2"/>
      <c r="H4049" s="2" t="s">
        <v>5810</v>
      </c>
      <c r="I4049" s="2" t="s">
        <v>15</v>
      </c>
      <c r="J4049" s="2" t="s">
        <v>1840</v>
      </c>
      <c r="K4049" s="2" t="s">
        <v>5809</v>
      </c>
      <c r="L4049" s="2">
        <f t="shared" si="63"/>
        <v>150</v>
      </c>
    </row>
    <row r="4050" spans="1:12" ht="25" customHeight="1">
      <c r="A4050" s="2" t="s">
        <v>12</v>
      </c>
      <c r="B4050" s="2" t="str">
        <f>HYPERLINK("http://bbs.12365auto.com/postcontent.aspx?tID=194815","现在的汽车都流行这些设计 你发现了吗")</f>
        <v>现在的汽车都流行这些设计 你发现了吗</v>
      </c>
      <c r="C4050" s="2" t="s">
        <v>13</v>
      </c>
      <c r="D4050" s="2" t="s">
        <v>12</v>
      </c>
      <c r="E4050" s="2" t="s">
        <v>28</v>
      </c>
      <c r="F4050" s="2" t="str">
        <f>HYPERLINK("http://bbs.12365auto.com/postcontent.aspx?tID=194815","http://bbs.12365auto.com/postcontent.aspx?tID=194815")</f>
        <v>http://bbs.12365auto.com/postcontent.aspx?tID=194815</v>
      </c>
      <c r="G4050" s="2"/>
      <c r="H4050" s="2" t="s">
        <v>5811</v>
      </c>
      <c r="I4050" s="2" t="s">
        <v>15</v>
      </c>
      <c r="J4050" s="2" t="s">
        <v>1840</v>
      </c>
      <c r="K4050" s="2" t="s">
        <v>5809</v>
      </c>
      <c r="L4050" s="2">
        <f t="shared" si="63"/>
        <v>150</v>
      </c>
    </row>
    <row r="4051" spans="1:12" ht="25" customHeight="1">
      <c r="A4051" s="2" t="s">
        <v>12</v>
      </c>
      <c r="B4051" s="2" t="str">
        <f>HYPERLINK("http://bbs.12365auto.com/postcontent.aspx?tID=194814","用得少也要养护 你后备厢里的备胎可还好")</f>
        <v>用得少也要养护 你后备厢里的备胎可还好</v>
      </c>
      <c r="C4051" s="2" t="s">
        <v>13</v>
      </c>
      <c r="D4051" s="2" t="s">
        <v>12</v>
      </c>
      <c r="E4051" s="2" t="s">
        <v>28</v>
      </c>
      <c r="F4051" s="2" t="str">
        <f>HYPERLINK("http://bbs.12365auto.com/postcontent.aspx?tID=194814","http://bbs.12365auto.com/postcontent.aspx?tID=194814")</f>
        <v>http://bbs.12365auto.com/postcontent.aspx?tID=194814</v>
      </c>
      <c r="G4051" s="2"/>
      <c r="H4051" s="2" t="s">
        <v>5812</v>
      </c>
      <c r="I4051" s="2" t="s">
        <v>15</v>
      </c>
      <c r="J4051" s="2" t="s">
        <v>1840</v>
      </c>
      <c r="K4051" s="2" t="s">
        <v>5809</v>
      </c>
      <c r="L4051" s="2">
        <f t="shared" si="63"/>
        <v>150</v>
      </c>
    </row>
    <row r="4052" spans="1:12" ht="25" customHeight="1">
      <c r="A4052" s="2" t="s">
        <v>12</v>
      </c>
      <c r="B4052" s="2" t="str">
        <f>HYPERLINK("http://bbs.12365auto.com/postcontent.aspx?tId=194815","现在的汽车都流行这些设计 你发现了吗")</f>
        <v>现在的汽车都流行这些设计 你发现了吗</v>
      </c>
      <c r="C4052" s="2" t="s">
        <v>13</v>
      </c>
      <c r="D4052" s="2" t="s">
        <v>12</v>
      </c>
      <c r="E4052" s="2" t="s">
        <v>27</v>
      </c>
      <c r="F4052" s="2" t="str">
        <f>HYPERLINK("http://bbs.12365auto.com/postcontent.aspx?tId=194815","http://bbs.12365auto.com/postcontent.aspx?tId=194815")</f>
        <v>http://bbs.12365auto.com/postcontent.aspx?tId=194815</v>
      </c>
      <c r="G4052" s="2"/>
      <c r="H4052" s="2" t="s">
        <v>5808</v>
      </c>
      <c r="I4052" s="2" t="s">
        <v>15</v>
      </c>
      <c r="J4052" s="2" t="s">
        <v>1840</v>
      </c>
      <c r="K4052" s="2" t="s">
        <v>5809</v>
      </c>
      <c r="L4052" s="2">
        <f t="shared" si="63"/>
        <v>150</v>
      </c>
    </row>
    <row r="4053" spans="1:12" ht="25" customHeight="1">
      <c r="A4053" s="2" t="s">
        <v>12</v>
      </c>
      <c r="B4053" s="2" t="str">
        <f>HYPERLINK("http://bbs.12365auto.com/postcontent.aspx?tId=194814","用得少也要养护 你后备厢里的备胎可还好")</f>
        <v>用得少也要养护 你后备厢里的备胎可还好</v>
      </c>
      <c r="C4053" s="2" t="s">
        <v>13</v>
      </c>
      <c r="D4053" s="2" t="s">
        <v>12</v>
      </c>
      <c r="E4053" s="2" t="s">
        <v>27</v>
      </c>
      <c r="F4053" s="2" t="str">
        <f>HYPERLINK("http://bbs.12365auto.com/postcontent.aspx?tId=194814","http://bbs.12365auto.com/postcontent.aspx?tId=194814")</f>
        <v>http://bbs.12365auto.com/postcontent.aspx?tId=194814</v>
      </c>
      <c r="G4053" s="2"/>
      <c r="H4053" s="2" t="s">
        <v>5810</v>
      </c>
      <c r="I4053" s="2" t="s">
        <v>15</v>
      </c>
      <c r="J4053" s="2" t="s">
        <v>1840</v>
      </c>
      <c r="K4053" s="2" t="s">
        <v>5809</v>
      </c>
      <c r="L4053" s="2">
        <f t="shared" si="63"/>
        <v>150</v>
      </c>
    </row>
    <row r="4054" spans="1:12" ht="25" customHeight="1">
      <c r="A4054" s="2" t="s">
        <v>12</v>
      </c>
      <c r="B4054" s="2" t="str">
        <f>HYPERLINK("http://m.12365auto.com/bbs/postcontent.aspx?tID=194813","6AT 8AT 9AT该怎样选 哪个更省油")</f>
        <v>6AT 8AT 9AT该怎样选 哪个更省油</v>
      </c>
      <c r="C4054" s="2" t="s">
        <v>13</v>
      </c>
      <c r="D4054" s="2" t="s">
        <v>23</v>
      </c>
      <c r="E4054" s="2"/>
      <c r="F4054" s="2" t="str">
        <f>HYPERLINK("http://m.12365auto.com/bbs/postcontent.aspx?tID=194813","http://m.12365auto.com/bbs/postcontent.aspx?tID=194813")</f>
        <v>http://m.12365auto.com/bbs/postcontent.aspx?tID=194813</v>
      </c>
      <c r="G4054" s="2"/>
      <c r="H4054" s="2" t="s">
        <v>5813</v>
      </c>
      <c r="I4054" s="2" t="s">
        <v>15</v>
      </c>
      <c r="J4054" s="2" t="s">
        <v>1840</v>
      </c>
      <c r="K4054" s="2" t="s">
        <v>5814</v>
      </c>
      <c r="L4054" s="2">
        <f t="shared" si="63"/>
        <v>150</v>
      </c>
    </row>
    <row r="4055" spans="1:12" ht="25" customHeight="1">
      <c r="A4055" s="2" t="s">
        <v>12</v>
      </c>
      <c r="B4055" s="2" t="str">
        <f>HYPERLINK("http://bbs.12365auto.com/postcontent.aspx?tID=194813","6AT 8AT 9AT该怎样选 哪个更省油")</f>
        <v>6AT 8AT 9AT该怎样选 哪个更省油</v>
      </c>
      <c r="C4055" s="2" t="s">
        <v>13</v>
      </c>
      <c r="D4055" s="2" t="s">
        <v>12</v>
      </c>
      <c r="E4055" s="2" t="s">
        <v>28</v>
      </c>
      <c r="F4055" s="2" t="str">
        <f>HYPERLINK("http://bbs.12365auto.com/postcontent.aspx?tID=194813","http://bbs.12365auto.com/postcontent.aspx?tID=194813")</f>
        <v>http://bbs.12365auto.com/postcontent.aspx?tID=194813</v>
      </c>
      <c r="G4055" s="2"/>
      <c r="H4055" s="2" t="s">
        <v>5815</v>
      </c>
      <c r="I4055" s="2" t="s">
        <v>15</v>
      </c>
      <c r="J4055" s="2" t="s">
        <v>1840</v>
      </c>
      <c r="K4055" s="2" t="s">
        <v>5814</v>
      </c>
      <c r="L4055" s="2">
        <f t="shared" si="63"/>
        <v>150</v>
      </c>
    </row>
    <row r="4056" spans="1:12" ht="25" customHeight="1">
      <c r="A4056" s="2" t="s">
        <v>12</v>
      </c>
      <c r="B4056" s="2" t="str">
        <f>HYPERLINK("http://bbs.12365auto.com/postcontent.aspx?tId=194813","6AT 8AT 9AT该怎样选 哪个更省油")</f>
        <v>6AT 8AT 9AT该怎样选 哪个更省油</v>
      </c>
      <c r="C4056" s="2" t="s">
        <v>13</v>
      </c>
      <c r="D4056" s="2" t="s">
        <v>12</v>
      </c>
      <c r="E4056" s="2" t="s">
        <v>27</v>
      </c>
      <c r="F4056" s="2" t="str">
        <f>HYPERLINK("http://bbs.12365auto.com/postcontent.aspx?tId=194813","http://bbs.12365auto.com/postcontent.aspx?tId=194813")</f>
        <v>http://bbs.12365auto.com/postcontent.aspx?tId=194813</v>
      </c>
      <c r="G4056" s="2"/>
      <c r="H4056" s="2" t="s">
        <v>5813</v>
      </c>
      <c r="I4056" s="2" t="s">
        <v>15</v>
      </c>
      <c r="J4056" s="2" t="s">
        <v>1840</v>
      </c>
      <c r="K4056" s="2" t="s">
        <v>5814</v>
      </c>
      <c r="L4056" s="2">
        <f t="shared" si="63"/>
        <v>150</v>
      </c>
    </row>
    <row r="4057" spans="1:12" ht="25" customHeight="1">
      <c r="A4057" s="2" t="s">
        <v>12</v>
      </c>
      <c r="B4057" s="2" t="str">
        <f>HYPERLINK("http://m.12365auto.com/bbs/postcontent.aspx?tID=194811","为什么跑车的排气声音都这么大 是故意的吗")</f>
        <v>为什么跑车的排气声音都这么大 是故意的吗</v>
      </c>
      <c r="C4057" s="2" t="s">
        <v>13</v>
      </c>
      <c r="D4057" s="2" t="s">
        <v>23</v>
      </c>
      <c r="E4057" s="2"/>
      <c r="F4057" s="2" t="str">
        <f>HYPERLINK("http://m.12365auto.com/bbs/postcontent.aspx?tID=194811","http://m.12365auto.com/bbs/postcontent.aspx?tID=194811")</f>
        <v>http://m.12365auto.com/bbs/postcontent.aspx?tID=194811</v>
      </c>
      <c r="G4057" s="2"/>
      <c r="H4057" s="2" t="s">
        <v>5816</v>
      </c>
      <c r="I4057" s="2" t="s">
        <v>15</v>
      </c>
      <c r="J4057" s="2" t="s">
        <v>1840</v>
      </c>
      <c r="K4057" s="2" t="s">
        <v>5817</v>
      </c>
      <c r="L4057" s="2">
        <f t="shared" si="63"/>
        <v>150</v>
      </c>
    </row>
    <row r="4058" spans="1:12" ht="25" customHeight="1">
      <c r="A4058" s="2" t="s">
        <v>12</v>
      </c>
      <c r="B4058" s="2" t="str">
        <f>HYPERLINK("http://bbs.12365auto.com/postcontent.aspx?tID=194811","为什么跑车的排气声音都这么大 是故意的吗")</f>
        <v>为什么跑车的排气声音都这么大 是故意的吗</v>
      </c>
      <c r="C4058" s="2" t="s">
        <v>13</v>
      </c>
      <c r="D4058" s="2" t="s">
        <v>12</v>
      </c>
      <c r="E4058" s="2" t="s">
        <v>28</v>
      </c>
      <c r="F4058" s="2" t="str">
        <f>HYPERLINK("http://bbs.12365auto.com/postcontent.aspx?tID=194811","http://bbs.12365auto.com/postcontent.aspx?tID=194811")</f>
        <v>http://bbs.12365auto.com/postcontent.aspx?tID=194811</v>
      </c>
      <c r="G4058" s="2"/>
      <c r="H4058" s="2" t="s">
        <v>5818</v>
      </c>
      <c r="I4058" s="2" t="s">
        <v>15</v>
      </c>
      <c r="J4058" s="2" t="s">
        <v>1840</v>
      </c>
      <c r="K4058" s="2" t="s">
        <v>5817</v>
      </c>
      <c r="L4058" s="2">
        <f t="shared" si="63"/>
        <v>150</v>
      </c>
    </row>
    <row r="4059" spans="1:12" ht="25" customHeight="1">
      <c r="A4059" s="2" t="s">
        <v>12</v>
      </c>
      <c r="B4059" s="2" t="str">
        <f>HYPERLINK("http://bbs.12365auto.com/postcontent.aspx?tId=194811","为什么跑车的排气声音都这么大 是故意的吗")</f>
        <v>为什么跑车的排气声音都这么大 是故意的吗</v>
      </c>
      <c r="C4059" s="2" t="s">
        <v>13</v>
      </c>
      <c r="D4059" s="2" t="s">
        <v>12</v>
      </c>
      <c r="E4059" s="2" t="s">
        <v>27</v>
      </c>
      <c r="F4059" s="2" t="str">
        <f>HYPERLINK("http://bbs.12365auto.com/postcontent.aspx?tId=194811","http://bbs.12365auto.com/postcontent.aspx?tId=194811")</f>
        <v>http://bbs.12365auto.com/postcontent.aspx?tId=194811</v>
      </c>
      <c r="G4059" s="2"/>
      <c r="H4059" s="2" t="s">
        <v>5816</v>
      </c>
      <c r="I4059" s="2" t="s">
        <v>15</v>
      </c>
      <c r="J4059" s="2" t="s">
        <v>1840</v>
      </c>
      <c r="K4059" s="2" t="s">
        <v>5817</v>
      </c>
      <c r="L4059" s="2">
        <f t="shared" si="63"/>
        <v>150</v>
      </c>
    </row>
    <row r="4060" spans="1:12" ht="25" customHeight="1">
      <c r="A4060" s="2" t="s">
        <v>12</v>
      </c>
      <c r="B4060" s="2" t="str">
        <f>HYPERLINK("http://bbs.12365auto.com/postcontent.aspx?tID=194809","找对来源是关键 这些常见的汽车异响你须知道")</f>
        <v>找对来源是关键 这些常见的汽车异响你须知道</v>
      </c>
      <c r="C4060" s="2" t="s">
        <v>13</v>
      </c>
      <c r="D4060" s="2" t="s">
        <v>12</v>
      </c>
      <c r="E4060" s="2" t="s">
        <v>28</v>
      </c>
      <c r="F4060" s="2" t="str">
        <f>HYPERLINK("http://bbs.12365auto.com/postcontent.aspx?tID=194809","http://bbs.12365auto.com/postcontent.aspx?tID=194809")</f>
        <v>http://bbs.12365auto.com/postcontent.aspx?tID=194809</v>
      </c>
      <c r="G4060" s="2"/>
      <c r="H4060" s="2" t="s">
        <v>5819</v>
      </c>
      <c r="I4060" s="2" t="s">
        <v>15</v>
      </c>
      <c r="J4060" s="2" t="s">
        <v>1840</v>
      </c>
      <c r="K4060" s="2" t="s">
        <v>5820</v>
      </c>
      <c r="L4060" s="2">
        <f t="shared" si="63"/>
        <v>150</v>
      </c>
    </row>
    <row r="4061" spans="1:12" ht="25" customHeight="1">
      <c r="A4061" s="2" t="s">
        <v>12</v>
      </c>
      <c r="B4061" s="2" t="str">
        <f>HYPERLINK("http://bbs.12365auto.com/postcontent.aspx?tID=194810","爱车莫名抖动是怎么回事")</f>
        <v>爱车莫名抖动是怎么回事</v>
      </c>
      <c r="C4061" s="2" t="s">
        <v>13</v>
      </c>
      <c r="D4061" s="2" t="s">
        <v>12</v>
      </c>
      <c r="E4061" s="2" t="s">
        <v>28</v>
      </c>
      <c r="F4061" s="2" t="str">
        <f>HYPERLINK("http://bbs.12365auto.com/postcontent.aspx?tID=194810","http://bbs.12365auto.com/postcontent.aspx?tID=194810")</f>
        <v>http://bbs.12365auto.com/postcontent.aspx?tID=194810</v>
      </c>
      <c r="G4061" s="2"/>
      <c r="H4061" s="2" t="s">
        <v>5821</v>
      </c>
      <c r="I4061" s="2" t="s">
        <v>15</v>
      </c>
      <c r="J4061" s="2" t="s">
        <v>1840</v>
      </c>
      <c r="K4061" s="2" t="s">
        <v>5820</v>
      </c>
      <c r="L4061" s="2">
        <f t="shared" si="63"/>
        <v>150</v>
      </c>
    </row>
    <row r="4062" spans="1:12" ht="25" customHeight="1">
      <c r="A4062" s="2" t="s">
        <v>12</v>
      </c>
      <c r="B4062" s="2" t="str">
        <f>HYPERLINK("http://m.12365auto.com/news/20200221/419223.shtml","致敬医务工作者 长安马自达推暖心补贴")</f>
        <v>致敬医务工作者 长安马自达推暖心补贴</v>
      </c>
      <c r="C4062" s="2" t="s">
        <v>13</v>
      </c>
      <c r="D4062" s="2" t="s">
        <v>12</v>
      </c>
      <c r="E4062" s="2"/>
      <c r="F4062" s="2" t="str">
        <f>HYPERLINK("http://m.12365auto.com/news/20200221/419223.shtml","http://m.12365auto.com/news/20200221/419223.shtml")</f>
        <v>http://m.12365auto.com/news/20200221/419223.shtml</v>
      </c>
      <c r="G4062" s="2"/>
      <c r="H4062" s="2" t="s">
        <v>5822</v>
      </c>
      <c r="I4062" s="2" t="s">
        <v>19</v>
      </c>
      <c r="J4062" s="2" t="s">
        <v>1619</v>
      </c>
      <c r="K4062" s="2" t="s">
        <v>5820</v>
      </c>
      <c r="L4062" s="2">
        <f t="shared" si="63"/>
        <v>150</v>
      </c>
    </row>
    <row r="4063" spans="1:12" ht="25" customHeight="1">
      <c r="A4063" s="2" t="s">
        <v>12</v>
      </c>
      <c r="B4063" s="2" t="str">
        <f>HYPERLINK("http://www.12365auto.com/news/20200221/419223.shtml","致敬医务工作者 长安马自达推暖心补贴")</f>
        <v>致敬医务工作者 长安马自达推暖心补贴</v>
      </c>
      <c r="C4063" s="2" t="s">
        <v>13</v>
      </c>
      <c r="D4063" s="2" t="s">
        <v>12</v>
      </c>
      <c r="E4063" s="2" t="s">
        <v>276</v>
      </c>
      <c r="F4063" s="2" t="str">
        <f>HYPERLINK("http://www.12365auto.com/news/20200221/419223.shtml","http://www.12365auto.com/news/20200221/419223.shtml")</f>
        <v>http://www.12365auto.com/news/20200221/419223.shtml</v>
      </c>
      <c r="G4063" s="2"/>
      <c r="H4063" s="2" t="s">
        <v>5823</v>
      </c>
      <c r="I4063" s="2" t="s">
        <v>15</v>
      </c>
      <c r="J4063" s="2" t="s">
        <v>12</v>
      </c>
      <c r="K4063" s="2" t="s">
        <v>5820</v>
      </c>
      <c r="L4063" s="2">
        <f t="shared" si="63"/>
        <v>150</v>
      </c>
    </row>
    <row r="4064" spans="1:12" ht="25" customHeight="1">
      <c r="A4064" s="2" t="s">
        <v>12</v>
      </c>
      <c r="B4064" s="2" t="str">
        <f>HYPERLINK("http://bbs.12365auto.com/postcontent.aspx?tId=194810","爱车莫名抖动是怎么回事")</f>
        <v>爱车莫名抖动是怎么回事</v>
      </c>
      <c r="C4064" s="2" t="s">
        <v>13</v>
      </c>
      <c r="D4064" s="2" t="s">
        <v>12</v>
      </c>
      <c r="E4064" s="2" t="s">
        <v>27</v>
      </c>
      <c r="F4064" s="2" t="str">
        <f>HYPERLINK("http://bbs.12365auto.com/postcontent.aspx?tId=194810","http://bbs.12365auto.com/postcontent.aspx?tId=194810")</f>
        <v>http://bbs.12365auto.com/postcontent.aspx?tId=194810</v>
      </c>
      <c r="G4064" s="2"/>
      <c r="H4064" s="2" t="s">
        <v>5824</v>
      </c>
      <c r="I4064" s="2" t="s">
        <v>15</v>
      </c>
      <c r="J4064" s="2" t="s">
        <v>1840</v>
      </c>
      <c r="K4064" s="2" t="s">
        <v>5820</v>
      </c>
      <c r="L4064" s="2">
        <f t="shared" si="63"/>
        <v>150</v>
      </c>
    </row>
    <row r="4065" spans="1:12" ht="25" customHeight="1">
      <c r="A4065" s="2" t="s">
        <v>12</v>
      </c>
      <c r="B4065" s="2" t="str">
        <f>HYPERLINK("http://bbs.12365auto.com/postcontent.aspx?tId=194809","找对来源是关键 这些常见的汽车异响你须知道")</f>
        <v>找对来源是关键 这些常见的汽车异响你须知道</v>
      </c>
      <c r="C4065" s="2" t="s">
        <v>13</v>
      </c>
      <c r="D4065" s="2" t="s">
        <v>12</v>
      </c>
      <c r="E4065" s="2" t="s">
        <v>27</v>
      </c>
      <c r="F4065" s="2" t="str">
        <f>HYPERLINK("http://bbs.12365auto.com/postcontent.aspx?tId=194809","http://bbs.12365auto.com/postcontent.aspx?tId=194809")</f>
        <v>http://bbs.12365auto.com/postcontent.aspx?tId=194809</v>
      </c>
      <c r="G4065" s="2"/>
      <c r="H4065" s="2" t="s">
        <v>5825</v>
      </c>
      <c r="I4065" s="2" t="s">
        <v>15</v>
      </c>
      <c r="J4065" s="2" t="s">
        <v>1840</v>
      </c>
      <c r="K4065" s="2" t="s">
        <v>5820</v>
      </c>
      <c r="L4065" s="2">
        <f t="shared" si="63"/>
        <v>150</v>
      </c>
    </row>
    <row r="4066" spans="1:12" ht="25" customHeight="1">
      <c r="A4066" s="2" t="s">
        <v>12</v>
      </c>
      <c r="B4066" s="2" t="str">
        <f>HYPERLINK("http://bbs.12365auto.com/postcontent.aspx?tID=194808","开自动挡车的“四不准” 别只知道踩油门")</f>
        <v>开自动挡车的“四不准” 别只知道踩油门</v>
      </c>
      <c r="C4066" s="2" t="s">
        <v>13</v>
      </c>
      <c r="D4066" s="2" t="s">
        <v>12</v>
      </c>
      <c r="E4066" s="2" t="s">
        <v>28</v>
      </c>
      <c r="F4066" s="2" t="str">
        <f>HYPERLINK("http://bbs.12365auto.com/postcontent.aspx?tID=194808","http://bbs.12365auto.com/postcontent.aspx?tID=194808")</f>
        <v>http://bbs.12365auto.com/postcontent.aspx?tID=194808</v>
      </c>
      <c r="G4066" s="2"/>
      <c r="H4066" s="2" t="s">
        <v>5826</v>
      </c>
      <c r="I4066" s="2" t="s">
        <v>15</v>
      </c>
      <c r="J4066" s="2" t="s">
        <v>1840</v>
      </c>
      <c r="K4066" s="2" t="s">
        <v>5827</v>
      </c>
      <c r="L4066" s="2">
        <f t="shared" si="63"/>
        <v>150</v>
      </c>
    </row>
    <row r="4067" spans="1:12" ht="25" customHeight="1">
      <c r="A4067" s="2" t="s">
        <v>12</v>
      </c>
      <c r="B4067" s="2" t="str">
        <f>HYPERLINK("http://bbs.12365auto.com/postcontent.aspx?tId=194808","开自动挡车的“四不准” 别只知道踩油门")</f>
        <v>开自动挡车的“四不准” 别只知道踩油门</v>
      </c>
      <c r="C4067" s="2" t="s">
        <v>13</v>
      </c>
      <c r="D4067" s="2" t="s">
        <v>12</v>
      </c>
      <c r="E4067" s="2" t="s">
        <v>27</v>
      </c>
      <c r="F4067" s="2" t="str">
        <f>HYPERLINK("http://bbs.12365auto.com/postcontent.aspx?tId=194808","http://bbs.12365auto.com/postcontent.aspx?tId=194808")</f>
        <v>http://bbs.12365auto.com/postcontent.aspx?tId=194808</v>
      </c>
      <c r="G4067" s="2"/>
      <c r="H4067" s="2" t="s">
        <v>5828</v>
      </c>
      <c r="I4067" s="2" t="s">
        <v>15</v>
      </c>
      <c r="J4067" s="2" t="s">
        <v>1840</v>
      </c>
      <c r="K4067" s="2" t="s">
        <v>5827</v>
      </c>
      <c r="L4067" s="2">
        <f t="shared" si="63"/>
        <v>150</v>
      </c>
    </row>
    <row r="4068" spans="1:12" ht="25" customHeight="1">
      <c r="A4068" s="2" t="s">
        <v>12</v>
      </c>
      <c r="B4068" s="2" t="str">
        <f>HYPERLINK("http://bbs.12365auto.com/postcontent.aspx?tID=194807","清洗发动机积碳 添加剂和打吊瓶哪种方式更好")</f>
        <v>清洗发动机积碳 添加剂和打吊瓶哪种方式更好</v>
      </c>
      <c r="C4068" s="2" t="s">
        <v>13</v>
      </c>
      <c r="D4068" s="2" t="s">
        <v>12</v>
      </c>
      <c r="E4068" s="2" t="s">
        <v>28</v>
      </c>
      <c r="F4068" s="2" t="str">
        <f>HYPERLINK("http://bbs.12365auto.com/postcontent.aspx?tID=194807","http://bbs.12365auto.com/postcontent.aspx?tID=194807")</f>
        <v>http://bbs.12365auto.com/postcontent.aspx?tID=194807</v>
      </c>
      <c r="G4068" s="2"/>
      <c r="H4068" s="2" t="s">
        <v>5829</v>
      </c>
      <c r="I4068" s="2" t="s">
        <v>15</v>
      </c>
      <c r="J4068" s="2" t="s">
        <v>1840</v>
      </c>
      <c r="K4068" s="2" t="s">
        <v>5830</v>
      </c>
      <c r="L4068" s="2">
        <f t="shared" si="63"/>
        <v>150</v>
      </c>
    </row>
    <row r="4069" spans="1:12" ht="25" customHeight="1">
      <c r="A4069" s="2" t="s">
        <v>12</v>
      </c>
      <c r="B4069" s="2" t="str">
        <f>HYPERLINK("http://bbs.12365auto.com/postcontent.aspx?tId=194807","清洗发动机积碳 添加剂和打吊瓶哪种方式更好")</f>
        <v>清洗发动机积碳 添加剂和打吊瓶哪种方式更好</v>
      </c>
      <c r="C4069" s="2" t="s">
        <v>13</v>
      </c>
      <c r="D4069" s="2" t="s">
        <v>12</v>
      </c>
      <c r="E4069" s="2" t="s">
        <v>27</v>
      </c>
      <c r="F4069" s="2" t="str">
        <f>HYPERLINK("http://bbs.12365auto.com/postcontent.aspx?tId=194807","http://bbs.12365auto.com/postcontent.aspx?tId=194807")</f>
        <v>http://bbs.12365auto.com/postcontent.aspx?tId=194807</v>
      </c>
      <c r="G4069" s="2"/>
      <c r="H4069" s="2" t="s">
        <v>5831</v>
      </c>
      <c r="I4069" s="2" t="s">
        <v>15</v>
      </c>
      <c r="J4069" s="2" t="s">
        <v>1840</v>
      </c>
      <c r="K4069" s="2" t="s">
        <v>5830</v>
      </c>
      <c r="L4069" s="2">
        <f t="shared" si="63"/>
        <v>150</v>
      </c>
    </row>
    <row r="4070" spans="1:12" ht="25" customHeight="1">
      <c r="A4070" s="2" t="s">
        <v>12</v>
      </c>
      <c r="B4070" s="2" t="str">
        <f>HYPERLINK("http://www.12365auto.com/news/20200221/419222.shtml","特斯拉发布2019年财报 在华营收约208亿元")</f>
        <v>特斯拉发布2019年财报 在华营收约208亿元</v>
      </c>
      <c r="C4070" s="2" t="s">
        <v>13</v>
      </c>
      <c r="D4070" s="2" t="s">
        <v>12</v>
      </c>
      <c r="E4070" s="2" t="s">
        <v>282</v>
      </c>
      <c r="F4070" s="2" t="str">
        <f>HYPERLINK("http://www.12365auto.com/news/20200221/419222.shtml","http://www.12365auto.com/news/20200221/419222.shtml")</f>
        <v>http://www.12365auto.com/news/20200221/419222.shtml</v>
      </c>
      <c r="G4070" s="2"/>
      <c r="H4070" s="2" t="s">
        <v>5832</v>
      </c>
      <c r="I4070" s="2" t="s">
        <v>19</v>
      </c>
      <c r="J4070" s="2" t="s">
        <v>12</v>
      </c>
      <c r="K4070" s="2" t="s">
        <v>5833</v>
      </c>
      <c r="L4070" s="2">
        <f t="shared" si="63"/>
        <v>150</v>
      </c>
    </row>
    <row r="4071" spans="1:12" ht="25" customHeight="1">
      <c r="A4071" s="2" t="s">
        <v>12</v>
      </c>
      <c r="B4071" s="2" t="str">
        <f>HYPERLINK("http://bbs.12365auto.com/postcontent.aspx?tID=194805","600个口罩不翼而飞 爱车长期停放如何防盗")</f>
        <v>600个口罩不翼而飞 爱车长期停放如何防盗</v>
      </c>
      <c r="C4071" s="2" t="s">
        <v>13</v>
      </c>
      <c r="D4071" s="2" t="s">
        <v>12</v>
      </c>
      <c r="E4071" s="2" t="s">
        <v>28</v>
      </c>
      <c r="F4071" s="2" t="str">
        <f>HYPERLINK("http://bbs.12365auto.com/postcontent.aspx?tID=194805","http://bbs.12365auto.com/postcontent.aspx?tID=194805")</f>
        <v>http://bbs.12365auto.com/postcontent.aspx?tID=194805</v>
      </c>
      <c r="G4071" s="2"/>
      <c r="H4071" s="2" t="s">
        <v>5834</v>
      </c>
      <c r="I4071" s="2" t="s">
        <v>15</v>
      </c>
      <c r="J4071" s="2" t="s">
        <v>1840</v>
      </c>
      <c r="K4071" s="2" t="s">
        <v>5833</v>
      </c>
      <c r="L4071" s="2">
        <f t="shared" si="63"/>
        <v>150</v>
      </c>
    </row>
    <row r="4072" spans="1:12" ht="25" customHeight="1">
      <c r="A4072" s="2" t="s">
        <v>12</v>
      </c>
      <c r="B4072" s="2" t="str">
        <f>HYPERLINK("http://m.12365auto.com/news/20200221/419222.shtml","特斯拉发布2019年财报 在华营收约208亿元")</f>
        <v>特斯拉发布2019年财报 在华营收约208亿元</v>
      </c>
      <c r="C4072" s="2" t="s">
        <v>13</v>
      </c>
      <c r="D4072" s="2" t="s">
        <v>12</v>
      </c>
      <c r="E4072" s="2"/>
      <c r="F4072" s="2" t="str">
        <f>HYPERLINK("http://m.12365auto.com/news/20200221/419222.shtml","http://m.12365auto.com/news/20200221/419222.shtml")</f>
        <v>http://m.12365auto.com/news/20200221/419222.shtml</v>
      </c>
      <c r="G4072" s="2"/>
      <c r="H4072" s="2" t="s">
        <v>5835</v>
      </c>
      <c r="I4072" s="2" t="s">
        <v>19</v>
      </c>
      <c r="J4072" s="2" t="s">
        <v>1076</v>
      </c>
      <c r="K4072" s="2" t="s">
        <v>5833</v>
      </c>
      <c r="L4072" s="2">
        <f t="shared" si="63"/>
        <v>150</v>
      </c>
    </row>
    <row r="4073" spans="1:12" ht="25" customHeight="1">
      <c r="A4073" s="2" t="s">
        <v>12</v>
      </c>
      <c r="B4073" s="2" t="str">
        <f>HYPERLINK("http://bbs.12365auto.com/postcontent.aspx?tId=194805","600个口罩不翼而飞 爱车长期停放如何防盗")</f>
        <v>600个口罩不翼而飞 爱车长期停放如何防盗</v>
      </c>
      <c r="C4073" s="2" t="s">
        <v>13</v>
      </c>
      <c r="D4073" s="2" t="s">
        <v>12</v>
      </c>
      <c r="E4073" s="2" t="s">
        <v>27</v>
      </c>
      <c r="F4073" s="2" t="str">
        <f>HYPERLINK("http://bbs.12365auto.com/postcontent.aspx?tId=194805","http://bbs.12365auto.com/postcontent.aspx?tId=194805")</f>
        <v>http://bbs.12365auto.com/postcontent.aspx?tId=194805</v>
      </c>
      <c r="G4073" s="2"/>
      <c r="H4073" s="2" t="s">
        <v>5836</v>
      </c>
      <c r="I4073" s="2" t="s">
        <v>15</v>
      </c>
      <c r="J4073" s="2" t="s">
        <v>1840</v>
      </c>
      <c r="K4073" s="2" t="s">
        <v>5833</v>
      </c>
      <c r="L4073" s="2">
        <f t="shared" si="63"/>
        <v>150</v>
      </c>
    </row>
    <row r="4074" spans="1:12" ht="25" customHeight="1">
      <c r="A4074" s="2" t="s">
        <v>12</v>
      </c>
      <c r="B4074" s="2" t="str">
        <f>HYPERLINK("http://www.12365auto.com/xcdg/20200221/419221.shtml","科尼赛克推限量版超跑 日内瓦车展亮相")</f>
        <v>科尼赛克推限量版超跑 日内瓦车展亮相</v>
      </c>
      <c r="C4074" s="2" t="s">
        <v>13</v>
      </c>
      <c r="D4074" s="2" t="s">
        <v>12</v>
      </c>
      <c r="E4074" s="2" t="s">
        <v>216</v>
      </c>
      <c r="F4074" s="2" t="str">
        <f>HYPERLINK("http://www.12365auto.com/xcdg/20200221/419221.shtml","http://www.12365auto.com/xcdg/20200221/419221.shtml")</f>
        <v>http://www.12365auto.com/xcdg/20200221/419221.shtml</v>
      </c>
      <c r="G4074" s="2"/>
      <c r="H4074" s="2" t="s">
        <v>5837</v>
      </c>
      <c r="I4074" s="2" t="s">
        <v>15</v>
      </c>
      <c r="J4074" s="2" t="s">
        <v>12</v>
      </c>
      <c r="K4074" s="2" t="s">
        <v>5838</v>
      </c>
      <c r="L4074" s="2">
        <f t="shared" si="63"/>
        <v>150</v>
      </c>
    </row>
    <row r="4075" spans="1:12" ht="25" customHeight="1">
      <c r="A4075" s="2" t="s">
        <v>12</v>
      </c>
      <c r="B4075" s="2" t="str">
        <f>HYPERLINK("http://bbs.12365auto.com/postcontent.aspx?tID=194804","车子长时间停放怎么办 这4个问题解决了就不怕")</f>
        <v>车子长时间停放怎么办 这4个问题解决了就不怕</v>
      </c>
      <c r="C4075" s="2" t="s">
        <v>13</v>
      </c>
      <c r="D4075" s="2" t="s">
        <v>12</v>
      </c>
      <c r="E4075" s="2" t="s">
        <v>28</v>
      </c>
      <c r="F4075" s="2" t="str">
        <f>HYPERLINK("http://bbs.12365auto.com/postcontent.aspx?tID=194804","http://bbs.12365auto.com/postcontent.aspx?tID=194804")</f>
        <v>http://bbs.12365auto.com/postcontent.aspx?tID=194804</v>
      </c>
      <c r="G4075" s="2"/>
      <c r="H4075" s="2" t="s">
        <v>5839</v>
      </c>
      <c r="I4075" s="2" t="s">
        <v>15</v>
      </c>
      <c r="J4075" s="2" t="s">
        <v>1840</v>
      </c>
      <c r="K4075" s="2" t="s">
        <v>5838</v>
      </c>
      <c r="L4075" s="2">
        <f t="shared" si="63"/>
        <v>150</v>
      </c>
    </row>
    <row r="4076" spans="1:12" ht="25" customHeight="1">
      <c r="A4076" s="2" t="s">
        <v>12</v>
      </c>
      <c r="B4076" s="2" t="str">
        <f>HYPERLINK("http://m.12365auto.com/xcdg/20200221/419221.shtml","科尼赛克推限量版超跑 日内瓦车展亮相")</f>
        <v>科尼赛克推限量版超跑 日内瓦车展亮相</v>
      </c>
      <c r="C4076" s="2" t="s">
        <v>13</v>
      </c>
      <c r="D4076" s="2" t="s">
        <v>12</v>
      </c>
      <c r="E4076" s="2"/>
      <c r="F4076" s="2" t="str">
        <f>HYPERLINK("http://m.12365auto.com/xcdg/20200221/419221.shtml","http://m.12365auto.com/xcdg/20200221/419221.shtml")</f>
        <v>http://m.12365auto.com/xcdg/20200221/419221.shtml</v>
      </c>
      <c r="G4076" s="2"/>
      <c r="H4076" s="2" t="s">
        <v>5840</v>
      </c>
      <c r="I4076" s="2" t="s">
        <v>19</v>
      </c>
      <c r="J4076" s="2" t="s">
        <v>1076</v>
      </c>
      <c r="K4076" s="2" t="s">
        <v>5838</v>
      </c>
      <c r="L4076" s="2">
        <f t="shared" si="63"/>
        <v>150</v>
      </c>
    </row>
    <row r="4077" spans="1:12" ht="25" customHeight="1">
      <c r="A4077" s="2" t="s">
        <v>12</v>
      </c>
      <c r="B4077" s="2" t="str">
        <f>HYPERLINK("http://bbs.12365auto.com/postcontent.aspx?tId=194804","车子长时间停放怎么办 这4个问题解决了就不怕")</f>
        <v>车子长时间停放怎么办 这4个问题解决了就不怕</v>
      </c>
      <c r="C4077" s="2" t="s">
        <v>13</v>
      </c>
      <c r="D4077" s="2" t="s">
        <v>12</v>
      </c>
      <c r="E4077" s="2" t="s">
        <v>27</v>
      </c>
      <c r="F4077" s="2" t="str">
        <f>HYPERLINK("http://bbs.12365auto.com/postcontent.aspx?tId=194804","http://bbs.12365auto.com/postcontent.aspx?tId=194804")</f>
        <v>http://bbs.12365auto.com/postcontent.aspx?tId=194804</v>
      </c>
      <c r="G4077" s="2"/>
      <c r="H4077" s="2" t="s">
        <v>5841</v>
      </c>
      <c r="I4077" s="2" t="s">
        <v>15</v>
      </c>
      <c r="J4077" s="2" t="s">
        <v>1840</v>
      </c>
      <c r="K4077" s="2" t="s">
        <v>5838</v>
      </c>
      <c r="L4077" s="2">
        <f t="shared" si="63"/>
        <v>150</v>
      </c>
    </row>
    <row r="4078" spans="1:12" ht="25" customHeight="1">
      <c r="A4078" s="2" t="s">
        <v>12</v>
      </c>
      <c r="B4078" s="2" t="str">
        <f>HYPERLINK("http://www.12365auto.com/zlts/20200221/448007.shtml","进口宝马X3天窗漏水厂家一直未回复")</f>
        <v>进口宝马X3天窗漏水厂家一直未回复</v>
      </c>
      <c r="C4078" s="2" t="s">
        <v>13</v>
      </c>
      <c r="D4078" s="2" t="s">
        <v>12</v>
      </c>
      <c r="E4078" s="2"/>
      <c r="F4078" s="2" t="str">
        <f>HYPERLINK("http://www.12365auto.com/zlts/20200221/448007.shtml","http://www.12365auto.com/zlts/20200221/448007.shtml")</f>
        <v>http://www.12365auto.com/zlts/20200221/448007.shtml</v>
      </c>
      <c r="G4078" s="2"/>
      <c r="H4078" s="2" t="s">
        <v>5843</v>
      </c>
      <c r="I4078" s="2" t="s">
        <v>15</v>
      </c>
      <c r="J4078" s="2" t="s">
        <v>12</v>
      </c>
      <c r="K4078" s="2" t="s">
        <v>5842</v>
      </c>
      <c r="L4078" s="2">
        <f t="shared" si="63"/>
        <v>97</v>
      </c>
    </row>
    <row r="4079" spans="1:12" ht="25" customHeight="1">
      <c r="A4079" s="2" t="s">
        <v>12</v>
      </c>
      <c r="B4079" s="2" t="str">
        <f>HYPERLINK("http://m.12365auto.com/xcdg/20200221/419220.shtml","新款e-tron英国售5.99万英镑 年内入华")</f>
        <v>新款e-tron英国售5.99万英镑 年内入华</v>
      </c>
      <c r="C4079" s="2" t="s">
        <v>13</v>
      </c>
      <c r="D4079" s="2" t="s">
        <v>12</v>
      </c>
      <c r="E4079" s="2"/>
      <c r="F4079" s="2" t="str">
        <f>HYPERLINK("http://m.12365auto.com/xcdg/20200221/419220.shtml","http://m.12365auto.com/xcdg/20200221/419220.shtml")</f>
        <v>http://m.12365auto.com/xcdg/20200221/419220.shtml</v>
      </c>
      <c r="G4079" s="2"/>
      <c r="H4079" s="2" t="s">
        <v>5844</v>
      </c>
      <c r="I4079" s="2" t="s">
        <v>19</v>
      </c>
      <c r="J4079" s="2" t="s">
        <v>1076</v>
      </c>
      <c r="K4079" s="2" t="s">
        <v>5845</v>
      </c>
      <c r="L4079" s="2">
        <f t="shared" si="63"/>
        <v>150</v>
      </c>
    </row>
    <row r="4080" spans="1:12" ht="25" customHeight="1">
      <c r="A4080" s="2" t="s">
        <v>12</v>
      </c>
      <c r="B4080" s="2" t="str">
        <f>HYPERLINK("http://www.12365auto.com/xcdg/20200221/419220.shtml","新款e-tron英国售5.99万英镑 年内入华")</f>
        <v>新款e-tron英国售5.99万英镑 年内入华</v>
      </c>
      <c r="C4080" s="2" t="s">
        <v>13</v>
      </c>
      <c r="D4080" s="2" t="s">
        <v>12</v>
      </c>
      <c r="E4080" s="2" t="s">
        <v>216</v>
      </c>
      <c r="F4080" s="2" t="str">
        <f>HYPERLINK("http://www.12365auto.com/xcdg/20200221/419220.shtml","http://www.12365auto.com/xcdg/20200221/419220.shtml")</f>
        <v>http://www.12365auto.com/xcdg/20200221/419220.shtml</v>
      </c>
      <c r="G4080" s="2"/>
      <c r="H4080" s="2" t="s">
        <v>5846</v>
      </c>
      <c r="I4080" s="2" t="s">
        <v>15</v>
      </c>
      <c r="J4080" s="2" t="s">
        <v>12</v>
      </c>
      <c r="K4080" s="2" t="s">
        <v>5845</v>
      </c>
      <c r="L4080" s="2">
        <f t="shared" si="63"/>
        <v>150</v>
      </c>
    </row>
    <row r="4081" spans="1:12" ht="25" customHeight="1">
      <c r="A4081" s="2" t="s">
        <v>12</v>
      </c>
      <c r="B4081" s="2" t="s">
        <v>5847</v>
      </c>
      <c r="C4081" s="2" t="s">
        <v>13</v>
      </c>
      <c r="D4081" s="2" t="s">
        <v>12</v>
      </c>
      <c r="E4081" s="2" t="s">
        <v>276</v>
      </c>
      <c r="F4081" s="2" t="str">
        <f>HYPERLINK("http://www.12365auto.com/news/20200221/419219.shtml","http://www.12365auto.com/news/20200221/419219.shtml")</f>
        <v>http://www.12365auto.com/news/20200221/419219.shtml</v>
      </c>
      <c r="G4081" s="2"/>
      <c r="H4081" s="2" t="s">
        <v>5848</v>
      </c>
      <c r="I4081" s="2" t="s">
        <v>15</v>
      </c>
      <c r="J4081" s="2" t="s">
        <v>12</v>
      </c>
      <c r="K4081" s="2" t="s">
        <v>5849</v>
      </c>
      <c r="L4081" s="2">
        <f t="shared" si="63"/>
        <v>150</v>
      </c>
    </row>
    <row r="4082" spans="1:12" ht="25" customHeight="1">
      <c r="A4082" s="2" t="s">
        <v>12</v>
      </c>
      <c r="B4082" s="2" t="s">
        <v>5847</v>
      </c>
      <c r="C4082" s="2" t="s">
        <v>13</v>
      </c>
      <c r="D4082" s="2" t="s">
        <v>12</v>
      </c>
      <c r="E4082" s="2"/>
      <c r="F4082" s="2" t="str">
        <f>HYPERLINK("http://m.12365auto.com/news/20200221/419219.shtml","http://m.12365auto.com/news/20200221/419219.shtml")</f>
        <v>http://m.12365auto.com/news/20200221/419219.shtml</v>
      </c>
      <c r="G4082" s="2"/>
      <c r="H4082" s="2" t="s">
        <v>5850</v>
      </c>
      <c r="I4082" s="2" t="s">
        <v>19</v>
      </c>
      <c r="J4082" s="2" t="s">
        <v>1623</v>
      </c>
      <c r="K4082" s="2" t="s">
        <v>5849</v>
      </c>
      <c r="L4082" s="2">
        <f t="shared" si="63"/>
        <v>150</v>
      </c>
    </row>
    <row r="4083" spans="1:12" ht="25" customHeight="1">
      <c r="A4083" s="2" t="s">
        <v>12</v>
      </c>
      <c r="B4083" s="2" t="str">
        <f>HYPERLINK("http://www.12365auto.com/news/20200221/419218.shtml","新纪录 雷诺电动车在欧洲首度突破1万辆")</f>
        <v>新纪录 雷诺电动车在欧洲首度突破1万辆</v>
      </c>
      <c r="C4083" s="2" t="s">
        <v>13</v>
      </c>
      <c r="D4083" s="2" t="s">
        <v>12</v>
      </c>
      <c r="E4083" s="2" t="s">
        <v>276</v>
      </c>
      <c r="F4083" s="2" t="str">
        <f>HYPERLINK("http://www.12365auto.com/news/20200221/419218.shtml","http://www.12365auto.com/news/20200221/419218.shtml")</f>
        <v>http://www.12365auto.com/news/20200221/419218.shtml</v>
      </c>
      <c r="G4083" s="2"/>
      <c r="H4083" s="2" t="s">
        <v>5851</v>
      </c>
      <c r="I4083" s="2" t="s">
        <v>15</v>
      </c>
      <c r="J4083" s="2" t="s">
        <v>12</v>
      </c>
      <c r="K4083" s="2" t="s">
        <v>5852</v>
      </c>
      <c r="L4083" s="2">
        <f t="shared" si="63"/>
        <v>150</v>
      </c>
    </row>
    <row r="4084" spans="1:12" ht="25" customHeight="1">
      <c r="A4084" s="2" t="s">
        <v>12</v>
      </c>
      <c r="B4084" s="2" t="str">
        <f>HYPERLINK("http://m.12365auto.com/news/20200221/419218.shtml","新纪录 雷诺电动车在欧洲首度突破1万辆")</f>
        <v>新纪录 雷诺电动车在欧洲首度突破1万辆</v>
      </c>
      <c r="C4084" s="2" t="s">
        <v>13</v>
      </c>
      <c r="D4084" s="2" t="s">
        <v>12</v>
      </c>
      <c r="E4084" s="2"/>
      <c r="F4084" s="2" t="str">
        <f>HYPERLINK("http://m.12365auto.com/news/20200221/419218.shtml","http://m.12365auto.com/news/20200221/419218.shtml")</f>
        <v>http://m.12365auto.com/news/20200221/419218.shtml</v>
      </c>
      <c r="G4084" s="2"/>
      <c r="H4084" s="2" t="s">
        <v>5853</v>
      </c>
      <c r="I4084" s="2" t="s">
        <v>19</v>
      </c>
      <c r="J4084" s="2" t="s">
        <v>5854</v>
      </c>
      <c r="K4084" s="2" t="s">
        <v>5852</v>
      </c>
      <c r="L4084" s="2">
        <f t="shared" si="63"/>
        <v>150</v>
      </c>
    </row>
    <row r="4085" spans="1:12" ht="25" customHeight="1">
      <c r="A4085" s="2" t="s">
        <v>12</v>
      </c>
      <c r="B4085" s="2" t="str">
        <f>HYPERLINK("http://www.12365auto.com/zlts/20200221/448006.shtml","东风本田INSPIRE中控台共振异响 座椅生锈")</f>
        <v>东风本田INSPIRE中控台共振异响 座椅生锈</v>
      </c>
      <c r="C4085" s="2" t="s">
        <v>13</v>
      </c>
      <c r="D4085" s="2" t="s">
        <v>12</v>
      </c>
      <c r="E4085" s="2" t="s">
        <v>17</v>
      </c>
      <c r="F4085" s="2" t="str">
        <f>HYPERLINK("http://www.12365auto.com/zlts/20200221/448006.shtml","http://www.12365auto.com/zlts/20200221/448006.shtml")</f>
        <v>http://www.12365auto.com/zlts/20200221/448006.shtml</v>
      </c>
      <c r="G4085" s="2"/>
      <c r="H4085" s="2" t="s">
        <v>5855</v>
      </c>
      <c r="I4085" s="2" t="s">
        <v>15</v>
      </c>
      <c r="J4085" s="2" t="s">
        <v>12</v>
      </c>
      <c r="K4085" s="2" t="s">
        <v>5856</v>
      </c>
      <c r="L4085" s="2">
        <f t="shared" si="63"/>
        <v>150</v>
      </c>
    </row>
    <row r="4086" spans="1:12" ht="25" customHeight="1">
      <c r="A4086" s="2" t="s">
        <v>12</v>
      </c>
      <c r="B4086" s="2" t="str">
        <f>HYPERLINK("http://m.12365auto.com/news/20200221/419217.shtml","自带黑科技 福特Bronco申请拆卸车门专利")</f>
        <v>自带黑科技 福特Bronco申请拆卸车门专利</v>
      </c>
      <c r="C4086" s="2" t="s">
        <v>13</v>
      </c>
      <c r="D4086" s="2" t="s">
        <v>12</v>
      </c>
      <c r="E4086" s="2"/>
      <c r="F4086" s="2" t="str">
        <f>HYPERLINK("http://m.12365auto.com/news/20200221/419217.shtml","http://m.12365auto.com/news/20200221/419217.shtml")</f>
        <v>http://m.12365auto.com/news/20200221/419217.shtml</v>
      </c>
      <c r="G4086" s="2"/>
      <c r="H4086" s="2" t="s">
        <v>5857</v>
      </c>
      <c r="I4086" s="2" t="s">
        <v>19</v>
      </c>
      <c r="J4086" s="2" t="s">
        <v>1069</v>
      </c>
      <c r="K4086" s="2" t="s">
        <v>5858</v>
      </c>
      <c r="L4086" s="2">
        <f t="shared" si="63"/>
        <v>150</v>
      </c>
    </row>
    <row r="4087" spans="1:12" ht="25" customHeight="1">
      <c r="A4087" s="2" t="s">
        <v>12</v>
      </c>
      <c r="B4087" s="2" t="str">
        <f>HYPERLINK("http://www.12365auto.com/news/20200221/419217.shtml","自带黑科技 福特Bronco申请拆卸车门专利")</f>
        <v>自带黑科技 福特Bronco申请拆卸车门专利</v>
      </c>
      <c r="C4087" s="2" t="s">
        <v>13</v>
      </c>
      <c r="D4087" s="2" t="s">
        <v>12</v>
      </c>
      <c r="E4087" s="2" t="s">
        <v>276</v>
      </c>
      <c r="F4087" s="2" t="str">
        <f>HYPERLINK("http://www.12365auto.com/news/20200221/419217.shtml","http://www.12365auto.com/news/20200221/419217.shtml")</f>
        <v>http://www.12365auto.com/news/20200221/419217.shtml</v>
      </c>
      <c r="G4087" s="2"/>
      <c r="H4087" s="2" t="s">
        <v>5859</v>
      </c>
      <c r="I4087" s="2" t="s">
        <v>15</v>
      </c>
      <c r="J4087" s="2" t="s">
        <v>12</v>
      </c>
      <c r="K4087" s="2" t="s">
        <v>5858</v>
      </c>
      <c r="L4087" s="2">
        <f t="shared" si="63"/>
        <v>150</v>
      </c>
    </row>
    <row r="4088" spans="1:12" ht="25" customHeight="1">
      <c r="A4088" s="2" t="s">
        <v>12</v>
      </c>
      <c r="B4088" s="2" t="str">
        <f>HYPERLINK("http://m.12365auto.com/news/20200221/419216.shtml","J.D.Power 2020汽车可靠性排行 别克获第3")</f>
        <v>J.D.Power 2020汽车可靠性排行 别克获第3</v>
      </c>
      <c r="C4088" s="2" t="s">
        <v>13</v>
      </c>
      <c r="D4088" s="2" t="s">
        <v>12</v>
      </c>
      <c r="E4088" s="2"/>
      <c r="F4088" s="2" t="str">
        <f>HYPERLINK("http://m.12365auto.com/news/20200221/419216.shtml","http://m.12365auto.com/news/20200221/419216.shtml")</f>
        <v>http://m.12365auto.com/news/20200221/419216.shtml</v>
      </c>
      <c r="G4088" s="2"/>
      <c r="H4088" s="2" t="s">
        <v>5860</v>
      </c>
      <c r="I4088" s="2" t="s">
        <v>19</v>
      </c>
      <c r="J4088" s="2" t="s">
        <v>2660</v>
      </c>
      <c r="K4088" s="2" t="s">
        <v>5861</v>
      </c>
      <c r="L4088" s="2">
        <f t="shared" si="63"/>
        <v>150</v>
      </c>
    </row>
    <row r="4089" spans="1:12" ht="25" customHeight="1">
      <c r="A4089" s="2" t="s">
        <v>12</v>
      </c>
      <c r="B4089" s="2" t="str">
        <f>HYPERLINK("http://www.12365auto.com/news/20200221/419216.shtml","J.D.Power 2020汽车可靠性排行 别克获第3")</f>
        <v>J.D.Power 2020汽车可靠性排行 别克获第3</v>
      </c>
      <c r="C4089" s="2" t="s">
        <v>13</v>
      </c>
      <c r="D4089" s="2" t="s">
        <v>12</v>
      </c>
      <c r="E4089" s="2" t="s">
        <v>276</v>
      </c>
      <c r="F4089" s="2" t="str">
        <f>HYPERLINK("http://www.12365auto.com/news/20200221/419216.shtml","http://www.12365auto.com/news/20200221/419216.shtml")</f>
        <v>http://www.12365auto.com/news/20200221/419216.shtml</v>
      </c>
      <c r="G4089" s="2"/>
      <c r="H4089" s="2" t="s">
        <v>5862</v>
      </c>
      <c r="I4089" s="2" t="s">
        <v>15</v>
      </c>
      <c r="J4089" s="2" t="s">
        <v>12</v>
      </c>
      <c r="K4089" s="2" t="s">
        <v>5861</v>
      </c>
      <c r="L4089" s="2">
        <f t="shared" si="63"/>
        <v>150</v>
      </c>
    </row>
    <row r="4090" spans="1:12" ht="25" customHeight="1">
      <c r="A4090" s="2" t="s">
        <v>12</v>
      </c>
      <c r="B4090" s="2" t="str">
        <f>HYPERLINK("http://www.12365auto.com/news/20200221/419215.shtml","助力防控 依维柯负压防疫车陆续交付一线")</f>
        <v>助力防控 依维柯负压防疫车陆续交付一线</v>
      </c>
      <c r="C4090" s="2" t="s">
        <v>13</v>
      </c>
      <c r="D4090" s="2" t="s">
        <v>12</v>
      </c>
      <c r="E4090" s="2" t="s">
        <v>282</v>
      </c>
      <c r="F4090" s="2" t="str">
        <f>HYPERLINK("http://www.12365auto.com/news/20200221/419215.shtml","http://www.12365auto.com/news/20200221/419215.shtml")</f>
        <v>http://www.12365auto.com/news/20200221/419215.shtml</v>
      </c>
      <c r="G4090" s="2"/>
      <c r="H4090" s="2" t="s">
        <v>5863</v>
      </c>
      <c r="I4090" s="2" t="s">
        <v>19</v>
      </c>
      <c r="J4090" s="2" t="s">
        <v>12</v>
      </c>
      <c r="K4090" s="2" t="s">
        <v>5864</v>
      </c>
      <c r="L4090" s="2">
        <f t="shared" si="63"/>
        <v>150</v>
      </c>
    </row>
    <row r="4091" spans="1:12" ht="25" customHeight="1">
      <c r="A4091" s="2" t="s">
        <v>12</v>
      </c>
      <c r="B4091" s="2" t="str">
        <f>HYPERLINK("http://m.12365auto.com/news/20200221/419215.shtml","助力防控 依维柯负压防疫车陆续交付一线")</f>
        <v>助力防控 依维柯负压防疫车陆续交付一线</v>
      </c>
      <c r="C4091" s="2" t="s">
        <v>13</v>
      </c>
      <c r="D4091" s="2" t="s">
        <v>12</v>
      </c>
      <c r="E4091" s="2"/>
      <c r="F4091" s="2" t="str">
        <f>HYPERLINK("http://m.12365auto.com/news/20200221/419215.shtml","http://m.12365auto.com/news/20200221/419215.shtml")</f>
        <v>http://m.12365auto.com/news/20200221/419215.shtml</v>
      </c>
      <c r="G4091" s="2"/>
      <c r="H4091" s="2" t="s">
        <v>5865</v>
      </c>
      <c r="I4091" s="2" t="s">
        <v>19</v>
      </c>
      <c r="J4091" s="2" t="s">
        <v>230</v>
      </c>
      <c r="K4091" s="2" t="s">
        <v>5864</v>
      </c>
      <c r="L4091" s="2">
        <f t="shared" si="63"/>
        <v>150</v>
      </c>
    </row>
    <row r="4092" spans="1:12" ht="25" customHeight="1">
      <c r="A4092" s="2" t="s">
        <v>12</v>
      </c>
      <c r="B4092" s="2" t="str">
        <f>HYPERLINK("http://www.12365auto.com/zlts/20200221/448003.shtml","一汽奔腾X40发动机异响噪音大 中控台异响")</f>
        <v>一汽奔腾X40发动机异响噪音大 中控台异响</v>
      </c>
      <c r="C4092" s="2" t="s">
        <v>13</v>
      </c>
      <c r="D4092" s="2" t="s">
        <v>12</v>
      </c>
      <c r="E4092" s="2" t="s">
        <v>17</v>
      </c>
      <c r="F4092" s="2" t="str">
        <f>HYPERLINK("http://www.12365auto.com/zlts/20200221/448003.shtml","http://www.12365auto.com/zlts/20200221/448003.shtml")</f>
        <v>http://www.12365auto.com/zlts/20200221/448003.shtml</v>
      </c>
      <c r="G4092" s="2"/>
      <c r="H4092" s="2" t="s">
        <v>5866</v>
      </c>
      <c r="I4092" s="2" t="s">
        <v>19</v>
      </c>
      <c r="J4092" s="2" t="s">
        <v>12</v>
      </c>
      <c r="K4092" s="2" t="s">
        <v>5864</v>
      </c>
      <c r="L4092" s="2">
        <f t="shared" si="63"/>
        <v>150</v>
      </c>
    </row>
    <row r="4093" spans="1:12" ht="25" customHeight="1">
      <c r="A4093" s="2" t="s">
        <v>12</v>
      </c>
      <c r="B4093" s="2" t="str">
        <f>HYPERLINK("http://www.12365auto.com/zlts/20200221/448002.shtml","轮胎鼓包")</f>
        <v>轮胎鼓包</v>
      </c>
      <c r="C4093" s="2" t="s">
        <v>13</v>
      </c>
      <c r="D4093" s="2" t="s">
        <v>12</v>
      </c>
      <c r="E4093" s="2"/>
      <c r="F4093" s="2" t="str">
        <f>HYPERLINK("http://www.12365auto.com/zlts/20200221/448002.shtml","http://www.12365auto.com/zlts/20200221/448002.shtml")</f>
        <v>http://www.12365auto.com/zlts/20200221/448002.shtml</v>
      </c>
      <c r="G4093" s="2"/>
      <c r="H4093" s="2" t="s">
        <v>5868</v>
      </c>
      <c r="I4093" s="2" t="s">
        <v>15</v>
      </c>
      <c r="J4093" s="2" t="s">
        <v>12</v>
      </c>
      <c r="K4093" s="2" t="s">
        <v>5867</v>
      </c>
      <c r="L4093" s="2">
        <f t="shared" si="63"/>
        <v>84</v>
      </c>
    </row>
    <row r="4094" spans="1:12" ht="25" customHeight="1">
      <c r="A4094" s="2" t="s">
        <v>12</v>
      </c>
      <c r="B4094" s="2" t="str">
        <f>HYPERLINK("http://www.12365auto.com/xcdg/20200221/419214.shtml","宝马全新4系渲染图曝光 搭2.0T/3.0T")</f>
        <v>宝马全新4系渲染图曝光 搭2.0T/3.0T</v>
      </c>
      <c r="C4094" s="2" t="s">
        <v>13</v>
      </c>
      <c r="D4094" s="2" t="s">
        <v>12</v>
      </c>
      <c r="E4094" s="2" t="s">
        <v>216</v>
      </c>
      <c r="F4094" s="2" t="str">
        <f>HYPERLINK("http://www.12365auto.com/xcdg/20200221/419214.shtml","http://www.12365auto.com/xcdg/20200221/419214.shtml")</f>
        <v>http://www.12365auto.com/xcdg/20200221/419214.shtml</v>
      </c>
      <c r="G4094" s="2"/>
      <c r="H4094" s="2" t="s">
        <v>5869</v>
      </c>
      <c r="I4094" s="2" t="s">
        <v>15</v>
      </c>
      <c r="J4094" s="2" t="s">
        <v>12</v>
      </c>
      <c r="K4094" s="2" t="s">
        <v>5870</v>
      </c>
      <c r="L4094" s="2">
        <f t="shared" si="63"/>
        <v>150</v>
      </c>
    </row>
    <row r="4095" spans="1:12" ht="25" customHeight="1">
      <c r="A4095" s="2" t="s">
        <v>12</v>
      </c>
      <c r="B4095" s="2" t="str">
        <f>HYPERLINK("http://m.12365auto.com/xcdg/20200221/419214.shtml","宝马全新4系渲染图曝光 搭2.0T/3.0T")</f>
        <v>宝马全新4系渲染图曝光 搭2.0T/3.0T</v>
      </c>
      <c r="C4095" s="2" t="s">
        <v>13</v>
      </c>
      <c r="D4095" s="2" t="s">
        <v>12</v>
      </c>
      <c r="E4095" s="2"/>
      <c r="F4095" s="2" t="str">
        <f>HYPERLINK("http://m.12365auto.com/xcdg/20200221/419214.shtml","http://m.12365auto.com/xcdg/20200221/419214.shtml")</f>
        <v>http://m.12365auto.com/xcdg/20200221/419214.shtml</v>
      </c>
      <c r="G4095" s="2"/>
      <c r="H4095" s="2" t="s">
        <v>5871</v>
      </c>
      <c r="I4095" s="2" t="s">
        <v>19</v>
      </c>
      <c r="J4095" s="2" t="s">
        <v>220</v>
      </c>
      <c r="K4095" s="2" t="s">
        <v>5870</v>
      </c>
      <c r="L4095" s="2">
        <f t="shared" si="63"/>
        <v>150</v>
      </c>
    </row>
    <row r="4096" spans="1:12" ht="25" customHeight="1">
      <c r="A4096" s="2" t="s">
        <v>12</v>
      </c>
      <c r="B4096" s="2" t="str">
        <f>HYPERLINK("http://www.12365auto.com/xcdg/20200221/419213.shtml","下周就能买 北京现代菲斯塔纯电实车开箱")</f>
        <v>下周就能买 北京现代菲斯塔纯电实车开箱</v>
      </c>
      <c r="C4096" s="2" t="s">
        <v>13</v>
      </c>
      <c r="D4096" s="2" t="s">
        <v>12</v>
      </c>
      <c r="E4096" s="2" t="s">
        <v>216</v>
      </c>
      <c r="F4096" s="2" t="str">
        <f>HYPERLINK("http://www.12365auto.com/xcdg/20200221/419213.shtml","http://www.12365auto.com/xcdg/20200221/419213.shtml")</f>
        <v>http://www.12365auto.com/xcdg/20200221/419213.shtml</v>
      </c>
      <c r="G4096" s="2"/>
      <c r="H4096" s="2" t="s">
        <v>5872</v>
      </c>
      <c r="I4096" s="2" t="s">
        <v>15</v>
      </c>
      <c r="J4096" s="2" t="s">
        <v>12</v>
      </c>
      <c r="K4096" s="2" t="s">
        <v>5873</v>
      </c>
      <c r="L4096" s="2">
        <f t="shared" si="63"/>
        <v>150</v>
      </c>
    </row>
    <row r="4097" spans="1:12" ht="25" customHeight="1">
      <c r="A4097" s="2" t="s">
        <v>12</v>
      </c>
      <c r="B4097" s="2" t="str">
        <f>HYPERLINK("http://m.12365auto.com/xcdg/20200221/419213.shtml","下周就能买 北京现代菲斯塔纯电实车开箱")</f>
        <v>下周就能买 北京现代菲斯塔纯电实车开箱</v>
      </c>
      <c r="C4097" s="2" t="s">
        <v>13</v>
      </c>
      <c r="D4097" s="2" t="s">
        <v>12</v>
      </c>
      <c r="E4097" s="2"/>
      <c r="F4097" s="2" t="str">
        <f>HYPERLINK("http://m.12365auto.com/xcdg/20200221/419213.shtml","http://m.12365auto.com/xcdg/20200221/419213.shtml")</f>
        <v>http://m.12365auto.com/xcdg/20200221/419213.shtml</v>
      </c>
      <c r="G4097" s="2"/>
      <c r="H4097" s="2" t="s">
        <v>5874</v>
      </c>
      <c r="I4097" s="2" t="s">
        <v>19</v>
      </c>
      <c r="J4097" s="2" t="s">
        <v>5875</v>
      </c>
      <c r="K4097" s="2" t="s">
        <v>5873</v>
      </c>
      <c r="L4097" s="2">
        <f t="shared" si="63"/>
        <v>150</v>
      </c>
    </row>
    <row r="4098" spans="1:12" ht="25" customHeight="1">
      <c r="A4098" s="2" t="s">
        <v>12</v>
      </c>
      <c r="B4098" s="2" t="str">
        <f>HYPERLINK("http://www.12365auto.com/parts/20200221/419212.shtml","即将量产 海拉77GHz雷达技术获多项订单")</f>
        <v>即将量产 海拉77GHz雷达技术获多项订单</v>
      </c>
      <c r="C4098" s="2" t="s">
        <v>13</v>
      </c>
      <c r="D4098" s="2" t="s">
        <v>12</v>
      </c>
      <c r="E4098" s="2" t="s">
        <v>240</v>
      </c>
      <c r="F4098" s="2" t="str">
        <f>HYPERLINK("http://www.12365auto.com/parts/20200221/419212.shtml","http://www.12365auto.com/parts/20200221/419212.shtml")</f>
        <v>http://www.12365auto.com/parts/20200221/419212.shtml</v>
      </c>
      <c r="G4098" s="2"/>
      <c r="H4098" s="2" t="s">
        <v>5876</v>
      </c>
      <c r="I4098" s="2" t="s">
        <v>15</v>
      </c>
      <c r="J4098" s="2" t="s">
        <v>12</v>
      </c>
      <c r="K4098" s="2" t="s">
        <v>5877</v>
      </c>
      <c r="L4098" s="2">
        <f t="shared" si="63"/>
        <v>150</v>
      </c>
    </row>
    <row r="4099" spans="1:12" ht="25" customHeight="1">
      <c r="A4099" s="2" t="s">
        <v>12</v>
      </c>
      <c r="B4099" s="2" t="str">
        <f>HYPERLINK("http://m.12365auto.com/parts/20200221/419212.shtml","即将量产 海拉77GHz雷达技术获多项订单")</f>
        <v>即将量产 海拉77GHz雷达技术获多项订单</v>
      </c>
      <c r="C4099" s="2" t="s">
        <v>13</v>
      </c>
      <c r="D4099" s="2" t="s">
        <v>12</v>
      </c>
      <c r="E4099" s="2"/>
      <c r="F4099" s="2" t="str">
        <f>HYPERLINK("http://m.12365auto.com/parts/20200221/419212.shtml","http://m.12365auto.com/parts/20200221/419212.shtml")</f>
        <v>http://m.12365auto.com/parts/20200221/419212.shtml</v>
      </c>
      <c r="G4099" s="2"/>
      <c r="H4099" s="2" t="s">
        <v>5878</v>
      </c>
      <c r="I4099" s="2" t="s">
        <v>19</v>
      </c>
      <c r="J4099" s="2" t="s">
        <v>1543</v>
      </c>
      <c r="K4099" s="2" t="s">
        <v>5877</v>
      </c>
      <c r="L4099" s="2">
        <f t="shared" ref="L4099:L4162" si="64">LEN(H4099)</f>
        <v>150</v>
      </c>
    </row>
    <row r="4100" spans="1:12" ht="25" customHeight="1">
      <c r="A4100" s="2" t="s">
        <v>12</v>
      </c>
      <c r="B4100" s="2" t="str">
        <f>HYPERLINK("http://www.12365auto.com/zlts/20200221/448001.shtml","东风本田思域优科豪马轮胎起皮严重")</f>
        <v>东风本田思域优科豪马轮胎起皮严重</v>
      </c>
      <c r="C4100" s="2" t="s">
        <v>13</v>
      </c>
      <c r="D4100" s="2" t="s">
        <v>12</v>
      </c>
      <c r="E4100" s="2" t="s">
        <v>17</v>
      </c>
      <c r="F4100" s="2" t="str">
        <f>HYPERLINK("http://www.12365auto.com/zlts/20200221/448001.shtml","http://www.12365auto.com/zlts/20200221/448001.shtml")</f>
        <v>http://www.12365auto.com/zlts/20200221/448001.shtml</v>
      </c>
      <c r="G4100" s="2"/>
      <c r="H4100" s="2" t="s">
        <v>5879</v>
      </c>
      <c r="I4100" s="2" t="s">
        <v>19</v>
      </c>
      <c r="J4100" s="2" t="s">
        <v>12</v>
      </c>
      <c r="K4100" s="2" t="s">
        <v>5880</v>
      </c>
      <c r="L4100" s="2">
        <f t="shared" si="64"/>
        <v>150</v>
      </c>
    </row>
    <row r="4101" spans="1:12" ht="25" customHeight="1">
      <c r="A4101" s="2" t="s">
        <v>12</v>
      </c>
      <c r="B4101" s="2" t="str">
        <f>HYPERLINK("http://www.12365auto.com/xcdg/20200221/419211.shtml","或为DS 9 DS全新车型将于2月24日亮相")</f>
        <v>或为DS 9 DS全新车型将于2月24日亮相</v>
      </c>
      <c r="C4101" s="2" t="s">
        <v>13</v>
      </c>
      <c r="D4101" s="2" t="s">
        <v>12</v>
      </c>
      <c r="E4101" s="2" t="s">
        <v>216</v>
      </c>
      <c r="F4101" s="2" t="str">
        <f>HYPERLINK("http://www.12365auto.com/xcdg/20200221/419211.shtml","http://www.12365auto.com/xcdg/20200221/419211.shtml")</f>
        <v>http://www.12365auto.com/xcdg/20200221/419211.shtml</v>
      </c>
      <c r="G4101" s="2"/>
      <c r="H4101" s="2" t="s">
        <v>5881</v>
      </c>
      <c r="I4101" s="2" t="s">
        <v>15</v>
      </c>
      <c r="J4101" s="2" t="s">
        <v>12</v>
      </c>
      <c r="K4101" s="2" t="s">
        <v>5882</v>
      </c>
      <c r="L4101" s="2">
        <f t="shared" si="64"/>
        <v>150</v>
      </c>
    </row>
    <row r="4102" spans="1:12" ht="25" customHeight="1">
      <c r="A4102" s="2" t="s">
        <v>12</v>
      </c>
      <c r="B4102" s="2" t="str">
        <f>HYPERLINK("http://m.12365auto.com/xcdg/20200221/419211.shtml","或为DS 9 DS全新车型将于2月24日亮相")</f>
        <v>或为DS 9 DS全新车型将于2月24日亮相</v>
      </c>
      <c r="C4102" s="2" t="s">
        <v>13</v>
      </c>
      <c r="D4102" s="2" t="s">
        <v>12</v>
      </c>
      <c r="E4102" s="2"/>
      <c r="F4102" s="2" t="str">
        <f>HYPERLINK("http://m.12365auto.com/xcdg/20200221/419211.shtml","http://m.12365auto.com/xcdg/20200221/419211.shtml")</f>
        <v>http://m.12365auto.com/xcdg/20200221/419211.shtml</v>
      </c>
      <c r="G4102" s="2"/>
      <c r="H4102" s="2" t="s">
        <v>5883</v>
      </c>
      <c r="I4102" s="2" t="s">
        <v>19</v>
      </c>
      <c r="J4102" s="2" t="s">
        <v>2594</v>
      </c>
      <c r="K4102" s="2" t="s">
        <v>5882</v>
      </c>
      <c r="L4102" s="2">
        <f t="shared" si="64"/>
        <v>150</v>
      </c>
    </row>
    <row r="4103" spans="1:12" ht="25" customHeight="1">
      <c r="A4103" s="2" t="s">
        <v>12</v>
      </c>
      <c r="B4103" s="2" t="str">
        <f>HYPERLINK("http://www.12365auto.com/news/20200221/419210.shtml","首发搭载比亚迪汉 刀片电池成行业新贵")</f>
        <v>首发搭载比亚迪汉 刀片电池成行业新贵</v>
      </c>
      <c r="C4103" s="2" t="s">
        <v>13</v>
      </c>
      <c r="D4103" s="2" t="s">
        <v>12</v>
      </c>
      <c r="E4103" s="2" t="s">
        <v>282</v>
      </c>
      <c r="F4103" s="2" t="str">
        <f>HYPERLINK("http://www.12365auto.com/news/20200221/419210.shtml","http://www.12365auto.com/news/20200221/419210.shtml")</f>
        <v>http://www.12365auto.com/news/20200221/419210.shtml</v>
      </c>
      <c r="G4103" s="2"/>
      <c r="H4103" s="2" t="s">
        <v>5884</v>
      </c>
      <c r="I4103" s="2" t="s">
        <v>19</v>
      </c>
      <c r="J4103" s="2" t="s">
        <v>12</v>
      </c>
      <c r="K4103" s="2" t="s">
        <v>5885</v>
      </c>
      <c r="L4103" s="2">
        <f t="shared" si="64"/>
        <v>150</v>
      </c>
    </row>
    <row r="4104" spans="1:12" ht="25" customHeight="1">
      <c r="A4104" s="2" t="s">
        <v>12</v>
      </c>
      <c r="B4104" s="2" t="str">
        <f>HYPERLINK("http://m.12365auto.com/news/20200221/419210.shtml","首发搭载比亚迪汉 刀片电池成行业新贵")</f>
        <v>首发搭载比亚迪汉 刀片电池成行业新贵</v>
      </c>
      <c r="C4104" s="2" t="s">
        <v>13</v>
      </c>
      <c r="D4104" s="2" t="s">
        <v>12</v>
      </c>
      <c r="E4104" s="2"/>
      <c r="F4104" s="2" t="str">
        <f>HYPERLINK("http://m.12365auto.com/news/20200221/419210.shtml","http://m.12365auto.com/news/20200221/419210.shtml")</f>
        <v>http://m.12365auto.com/news/20200221/419210.shtml</v>
      </c>
      <c r="G4104" s="2"/>
      <c r="H4104" s="2" t="s">
        <v>5886</v>
      </c>
      <c r="I4104" s="2" t="s">
        <v>19</v>
      </c>
      <c r="J4104" s="2" t="s">
        <v>1643</v>
      </c>
      <c r="K4104" s="2" t="s">
        <v>5885</v>
      </c>
      <c r="L4104" s="2">
        <f t="shared" si="64"/>
        <v>150</v>
      </c>
    </row>
    <row r="4105" spans="1:12" ht="25" customHeight="1">
      <c r="A4105" s="2" t="s">
        <v>12</v>
      </c>
      <c r="B4105" s="2" t="str">
        <f>HYPERLINK("http://m.12365auto.com/xcdg/20200221/419209.shtml","日内瓦首发 Chiron Sport特别版官图")</f>
        <v>日内瓦首发 Chiron Sport特别版官图</v>
      </c>
      <c r="C4105" s="2" t="s">
        <v>13</v>
      </c>
      <c r="D4105" s="2" t="s">
        <v>12</v>
      </c>
      <c r="E4105" s="2"/>
      <c r="F4105" s="2" t="str">
        <f>HYPERLINK("http://m.12365auto.com/xcdg/20200221/419209.shtml","http://m.12365auto.com/xcdg/20200221/419209.shtml")</f>
        <v>http://m.12365auto.com/xcdg/20200221/419209.shtml</v>
      </c>
      <c r="G4105" s="2"/>
      <c r="H4105" s="2" t="s">
        <v>5887</v>
      </c>
      <c r="I4105" s="2" t="s">
        <v>19</v>
      </c>
      <c r="J4105" s="2" t="s">
        <v>295</v>
      </c>
      <c r="K4105" s="2" t="s">
        <v>5888</v>
      </c>
      <c r="L4105" s="2">
        <f t="shared" si="64"/>
        <v>150</v>
      </c>
    </row>
    <row r="4106" spans="1:12" ht="25" customHeight="1">
      <c r="A4106" s="2" t="s">
        <v>12</v>
      </c>
      <c r="B4106" s="2" t="str">
        <f>HYPERLINK("http://www.12365auto.com/xcdg/20200221/419209.shtml","日内瓦首发 Chiron Sport特别版官图")</f>
        <v>日内瓦首发 Chiron Sport特别版官图</v>
      </c>
      <c r="C4106" s="2" t="s">
        <v>13</v>
      </c>
      <c r="D4106" s="2" t="s">
        <v>12</v>
      </c>
      <c r="E4106" s="2" t="s">
        <v>216</v>
      </c>
      <c r="F4106" s="2" t="str">
        <f>HYPERLINK("http://www.12365auto.com/xcdg/20200221/419209.shtml","http://www.12365auto.com/xcdg/20200221/419209.shtml")</f>
        <v>http://www.12365auto.com/xcdg/20200221/419209.shtml</v>
      </c>
      <c r="G4106" s="2"/>
      <c r="H4106" s="2" t="s">
        <v>5889</v>
      </c>
      <c r="I4106" s="2" t="s">
        <v>15</v>
      </c>
      <c r="J4106" s="2" t="s">
        <v>12</v>
      </c>
      <c r="K4106" s="2" t="s">
        <v>5888</v>
      </c>
      <c r="L4106" s="2">
        <f t="shared" si="64"/>
        <v>150</v>
      </c>
    </row>
    <row r="4107" spans="1:12" ht="25" customHeight="1">
      <c r="A4107" s="2" t="s">
        <v>12</v>
      </c>
      <c r="B4107" s="2" t="str">
        <f>HYPERLINK("http://www.12365auto.com/zlts/20200221/448000.shtml","东风日产天籁发动机烧机油 助力泵漏油")</f>
        <v>东风日产天籁发动机烧机油 助力泵漏油</v>
      </c>
      <c r="C4107" s="2" t="s">
        <v>13</v>
      </c>
      <c r="D4107" s="2" t="s">
        <v>12</v>
      </c>
      <c r="E4107" s="2" t="s">
        <v>17</v>
      </c>
      <c r="F4107" s="2" t="str">
        <f>HYPERLINK("http://www.12365auto.com/zlts/20200221/448000.shtml","http://www.12365auto.com/zlts/20200221/448000.shtml")</f>
        <v>http://www.12365auto.com/zlts/20200221/448000.shtml</v>
      </c>
      <c r="G4107" s="2"/>
      <c r="H4107" s="2" t="s">
        <v>5890</v>
      </c>
      <c r="I4107" s="2" t="s">
        <v>15</v>
      </c>
      <c r="J4107" s="2" t="s">
        <v>12</v>
      </c>
      <c r="K4107" s="2" t="s">
        <v>5891</v>
      </c>
      <c r="L4107" s="2">
        <f t="shared" si="64"/>
        <v>150</v>
      </c>
    </row>
    <row r="4108" spans="1:12" ht="25" customHeight="1">
      <c r="A4108" s="2" t="s">
        <v>12</v>
      </c>
      <c r="B4108" s="2" t="str">
        <f>HYPERLINK("http://m.12365auto.com/news/20200221/419208.shtml","宝马计划到2022年底将减少20亿欧元支出")</f>
        <v>宝马计划到2022年底将减少20亿欧元支出</v>
      </c>
      <c r="C4108" s="2" t="s">
        <v>13</v>
      </c>
      <c r="D4108" s="2" t="s">
        <v>12</v>
      </c>
      <c r="E4108" s="2"/>
      <c r="F4108" s="2" t="str">
        <f>HYPERLINK("http://m.12365auto.com/news/20200221/419208.shtml","http://m.12365auto.com/news/20200221/419208.shtml")</f>
        <v>http://m.12365auto.com/news/20200221/419208.shtml</v>
      </c>
      <c r="G4108" s="2"/>
      <c r="H4108" s="2" t="s">
        <v>5892</v>
      </c>
      <c r="I4108" s="2" t="s">
        <v>19</v>
      </c>
      <c r="J4108" s="2" t="s">
        <v>2808</v>
      </c>
      <c r="K4108" s="2" t="s">
        <v>5891</v>
      </c>
      <c r="L4108" s="2">
        <f t="shared" si="64"/>
        <v>150</v>
      </c>
    </row>
    <row r="4109" spans="1:12" ht="25" customHeight="1">
      <c r="A4109" s="2" t="s">
        <v>12</v>
      </c>
      <c r="B4109" s="2" t="str">
        <f>HYPERLINK("http://www.12365auto.com/news/20200221/419208.shtml","宝马计划到2022年底将减少20亿欧元支出")</f>
        <v>宝马计划到2022年底将减少20亿欧元支出</v>
      </c>
      <c r="C4109" s="2" t="s">
        <v>13</v>
      </c>
      <c r="D4109" s="2" t="s">
        <v>12</v>
      </c>
      <c r="E4109" s="2" t="s">
        <v>276</v>
      </c>
      <c r="F4109" s="2" t="str">
        <f>HYPERLINK("http://www.12365auto.com/news/20200221/419208.shtml","http://www.12365auto.com/news/20200221/419208.shtml")</f>
        <v>http://www.12365auto.com/news/20200221/419208.shtml</v>
      </c>
      <c r="G4109" s="2"/>
      <c r="H4109" s="2" t="s">
        <v>5893</v>
      </c>
      <c r="I4109" s="2" t="s">
        <v>15</v>
      </c>
      <c r="J4109" s="2" t="s">
        <v>12</v>
      </c>
      <c r="K4109" s="2" t="s">
        <v>5891</v>
      </c>
      <c r="L4109" s="2">
        <f t="shared" si="64"/>
        <v>150</v>
      </c>
    </row>
    <row r="4110" spans="1:12" ht="25" customHeight="1">
      <c r="A4110" s="2" t="s">
        <v>12</v>
      </c>
      <c r="B4110" s="2" t="str">
        <f>HYPERLINK("http://www.12365auto.com/zlts/20200221/447999.shtml","郑州日产途达停车三天电瓶亏电不能启动")</f>
        <v>郑州日产途达停车三天电瓶亏电不能启动</v>
      </c>
      <c r="C4110" s="2" t="s">
        <v>13</v>
      </c>
      <c r="D4110" s="2" t="s">
        <v>12</v>
      </c>
      <c r="E4110" s="2" t="s">
        <v>17</v>
      </c>
      <c r="F4110" s="2" t="str">
        <f>HYPERLINK("http://www.12365auto.com/zlts/20200221/447999.shtml","http://www.12365auto.com/zlts/20200221/447999.shtml")</f>
        <v>http://www.12365auto.com/zlts/20200221/447999.shtml</v>
      </c>
      <c r="G4110" s="2"/>
      <c r="H4110" s="2" t="s">
        <v>5894</v>
      </c>
      <c r="I4110" s="2" t="s">
        <v>19</v>
      </c>
      <c r="J4110" s="2" t="s">
        <v>12</v>
      </c>
      <c r="K4110" s="2" t="s">
        <v>5895</v>
      </c>
      <c r="L4110" s="2">
        <f t="shared" si="64"/>
        <v>150</v>
      </c>
    </row>
    <row r="4111" spans="1:12" ht="25" customHeight="1">
      <c r="A4111" s="2" t="s">
        <v>12</v>
      </c>
      <c r="B4111" s="2" t="str">
        <f>HYPERLINK("http://www.12365auto.com/xcdg/20200221/419207.shtml","或5月亮相 玛莎拉蒂全新跑车定名为MC20")</f>
        <v>或5月亮相 玛莎拉蒂全新跑车定名为MC20</v>
      </c>
      <c r="C4111" s="2" t="s">
        <v>13</v>
      </c>
      <c r="D4111" s="2" t="s">
        <v>12</v>
      </c>
      <c r="E4111" s="2" t="s">
        <v>216</v>
      </c>
      <c r="F4111" s="2" t="str">
        <f>HYPERLINK("http://www.12365auto.com/xcdg/20200221/419207.shtml","http://www.12365auto.com/xcdg/20200221/419207.shtml")</f>
        <v>http://www.12365auto.com/xcdg/20200221/419207.shtml</v>
      </c>
      <c r="G4111" s="2"/>
      <c r="H4111" s="2" t="s">
        <v>5896</v>
      </c>
      <c r="I4111" s="2" t="s">
        <v>15</v>
      </c>
      <c r="J4111" s="2" t="s">
        <v>12</v>
      </c>
      <c r="K4111" s="2" t="s">
        <v>5895</v>
      </c>
      <c r="L4111" s="2">
        <f t="shared" si="64"/>
        <v>150</v>
      </c>
    </row>
    <row r="4112" spans="1:12" ht="25" customHeight="1">
      <c r="A4112" s="2" t="s">
        <v>12</v>
      </c>
      <c r="B4112" s="2" t="str">
        <f>HYPERLINK("http://m.12365auto.com/xcdg/20200221/419207.shtml","或5月亮相 玛莎拉蒂全新跑车定名为MC20")</f>
        <v>或5月亮相 玛莎拉蒂全新跑车定名为MC20</v>
      </c>
      <c r="C4112" s="2" t="s">
        <v>13</v>
      </c>
      <c r="D4112" s="2" t="s">
        <v>12</v>
      </c>
      <c r="E4112" s="2"/>
      <c r="F4112" s="2" t="str">
        <f>HYPERLINK("http://m.12365auto.com/xcdg/20200221/419207.shtml","http://m.12365auto.com/xcdg/20200221/419207.shtml")</f>
        <v>http://m.12365auto.com/xcdg/20200221/419207.shtml</v>
      </c>
      <c r="G4112" s="2"/>
      <c r="H4112" s="2" t="s">
        <v>5897</v>
      </c>
      <c r="I4112" s="2" t="s">
        <v>19</v>
      </c>
      <c r="J4112" s="2" t="s">
        <v>317</v>
      </c>
      <c r="K4112" s="2" t="s">
        <v>5895</v>
      </c>
      <c r="L4112" s="2">
        <f t="shared" si="64"/>
        <v>150</v>
      </c>
    </row>
    <row r="4113" spans="1:12" ht="25" customHeight="1">
      <c r="A4113" s="2" t="s">
        <v>12</v>
      </c>
      <c r="B4113" s="2" t="str">
        <f>HYPERLINK("http://www.12365auto.com/xcdg/20200221/419206.shtml","搭载1.5T 8DCT 新款现代i30动力曝光")</f>
        <v>搭载1.5T 8DCT 新款现代i30动力曝光</v>
      </c>
      <c r="C4113" s="2" t="s">
        <v>13</v>
      </c>
      <c r="D4113" s="2" t="s">
        <v>12</v>
      </c>
      <c r="E4113" s="2" t="s">
        <v>216</v>
      </c>
      <c r="F4113" s="2" t="str">
        <f>HYPERLINK("http://www.12365auto.com/xcdg/20200221/419206.shtml","http://www.12365auto.com/xcdg/20200221/419206.shtml")</f>
        <v>http://www.12365auto.com/xcdg/20200221/419206.shtml</v>
      </c>
      <c r="G4113" s="2"/>
      <c r="H4113" s="2" t="s">
        <v>5898</v>
      </c>
      <c r="I4113" s="2" t="s">
        <v>15</v>
      </c>
      <c r="J4113" s="2" t="s">
        <v>12</v>
      </c>
      <c r="K4113" s="2" t="s">
        <v>5899</v>
      </c>
      <c r="L4113" s="2">
        <f t="shared" si="64"/>
        <v>150</v>
      </c>
    </row>
    <row r="4114" spans="1:12" ht="25" customHeight="1">
      <c r="A4114" s="2" t="s">
        <v>12</v>
      </c>
      <c r="B4114" s="2" t="str">
        <f>HYPERLINK("http://m.12365auto.com/xcdg/20200221/419206.shtml","搭载1.5T 8DCT 新款现代i30动力曝光")</f>
        <v>搭载1.5T 8DCT 新款现代i30动力曝光</v>
      </c>
      <c r="C4114" s="2" t="s">
        <v>13</v>
      </c>
      <c r="D4114" s="2" t="s">
        <v>12</v>
      </c>
      <c r="E4114" s="2"/>
      <c r="F4114" s="2" t="str">
        <f>HYPERLINK("http://m.12365auto.com/xcdg/20200221/419206.shtml","http://m.12365auto.com/xcdg/20200221/419206.shtml")</f>
        <v>http://m.12365auto.com/xcdg/20200221/419206.shtml</v>
      </c>
      <c r="G4114" s="2"/>
      <c r="H4114" s="2" t="s">
        <v>5900</v>
      </c>
      <c r="I4114" s="2" t="s">
        <v>19</v>
      </c>
      <c r="J4114" s="2" t="s">
        <v>836</v>
      </c>
      <c r="K4114" s="2" t="s">
        <v>5899</v>
      </c>
      <c r="L4114" s="2">
        <f t="shared" si="64"/>
        <v>150</v>
      </c>
    </row>
    <row r="4115" spans="1:12" ht="25" customHeight="1">
      <c r="A4115" s="2" t="s">
        <v>12</v>
      </c>
      <c r="B4115" s="2" t="str">
        <f>HYPERLINK("http://www.12365auto.com/xcdg/20200221/419205.shtml","配AR赛道讲解 APEX AP-0电动超跑新信息")</f>
        <v>配AR赛道讲解 APEX AP-0电动超跑新信息</v>
      </c>
      <c r="C4115" s="2" t="s">
        <v>13</v>
      </c>
      <c r="D4115" s="2" t="s">
        <v>12</v>
      </c>
      <c r="E4115" s="2" t="s">
        <v>216</v>
      </c>
      <c r="F4115" s="2" t="str">
        <f>HYPERLINK("http://www.12365auto.com/xcdg/20200221/419205.shtml","http://www.12365auto.com/xcdg/20200221/419205.shtml")</f>
        <v>http://www.12365auto.com/xcdg/20200221/419205.shtml</v>
      </c>
      <c r="G4115" s="2"/>
      <c r="H4115" s="2" t="s">
        <v>5901</v>
      </c>
      <c r="I4115" s="2" t="s">
        <v>15</v>
      </c>
      <c r="J4115" s="2" t="s">
        <v>12</v>
      </c>
      <c r="K4115" s="2" t="s">
        <v>5902</v>
      </c>
      <c r="L4115" s="2">
        <f t="shared" si="64"/>
        <v>150</v>
      </c>
    </row>
    <row r="4116" spans="1:12" ht="25" customHeight="1">
      <c r="A4116" s="2" t="s">
        <v>12</v>
      </c>
      <c r="B4116" s="2" t="str">
        <f>HYPERLINK("http://m.12365auto.com/xcdg/20200221/419205.shtml","配AR赛道讲解 APEX AP-0电动超跑新信息")</f>
        <v>配AR赛道讲解 APEX AP-0电动超跑新信息</v>
      </c>
      <c r="C4116" s="2" t="s">
        <v>13</v>
      </c>
      <c r="D4116" s="2" t="s">
        <v>12</v>
      </c>
      <c r="E4116" s="2"/>
      <c r="F4116" s="2" t="str">
        <f>HYPERLINK("http://m.12365auto.com/xcdg/20200221/419205.shtml","http://m.12365auto.com/xcdg/20200221/419205.shtml")</f>
        <v>http://m.12365auto.com/xcdg/20200221/419205.shtml</v>
      </c>
      <c r="G4116" s="2"/>
      <c r="H4116" s="2" t="s">
        <v>5903</v>
      </c>
      <c r="I4116" s="2" t="s">
        <v>19</v>
      </c>
      <c r="J4116" s="2" t="s">
        <v>781</v>
      </c>
      <c r="K4116" s="2" t="s">
        <v>5902</v>
      </c>
      <c r="L4116" s="2">
        <f t="shared" si="64"/>
        <v>150</v>
      </c>
    </row>
    <row r="4117" spans="1:12" ht="25" customHeight="1">
      <c r="A4117" s="2" t="s">
        <v>12</v>
      </c>
      <c r="B4117" s="2" t="str">
        <f>HYPERLINK("http://www.12365auto.com/news/20200221/419204.shtml","售83.7万辆 大众集团公布1月份全球销量")</f>
        <v>售83.7万辆 大众集团公布1月份全球销量</v>
      </c>
      <c r="C4117" s="2" t="s">
        <v>13</v>
      </c>
      <c r="D4117" s="2" t="s">
        <v>12</v>
      </c>
      <c r="E4117" s="2" t="s">
        <v>276</v>
      </c>
      <c r="F4117" s="2" t="str">
        <f>HYPERLINK("http://www.12365auto.com/news/20200221/419204.shtml","http://www.12365auto.com/news/20200221/419204.shtml")</f>
        <v>http://www.12365auto.com/news/20200221/419204.shtml</v>
      </c>
      <c r="G4117" s="2"/>
      <c r="H4117" s="2" t="s">
        <v>5904</v>
      </c>
      <c r="I4117" s="2" t="s">
        <v>15</v>
      </c>
      <c r="J4117" s="2" t="s">
        <v>12</v>
      </c>
      <c r="K4117" s="2" t="s">
        <v>5905</v>
      </c>
      <c r="L4117" s="2">
        <f t="shared" si="64"/>
        <v>150</v>
      </c>
    </row>
    <row r="4118" spans="1:12" ht="25" customHeight="1">
      <c r="A4118" s="2" t="s">
        <v>12</v>
      </c>
      <c r="B4118" s="2" t="str">
        <f>HYPERLINK("http://m.12365auto.com/news/20200221/419204.shtml","售83.7万辆 大众集团公布1月份全球销量")</f>
        <v>售83.7万辆 大众集团公布1月份全球销量</v>
      </c>
      <c r="C4118" s="2" t="s">
        <v>13</v>
      </c>
      <c r="D4118" s="2" t="s">
        <v>12</v>
      </c>
      <c r="E4118" s="2"/>
      <c r="F4118" s="2" t="str">
        <f>HYPERLINK("http://m.12365auto.com/news/20200221/419204.shtml","http://m.12365auto.com/news/20200221/419204.shtml")</f>
        <v>http://m.12365auto.com/news/20200221/419204.shtml</v>
      </c>
      <c r="G4118" s="2"/>
      <c r="H4118" s="2" t="s">
        <v>5906</v>
      </c>
      <c r="I4118" s="2" t="s">
        <v>19</v>
      </c>
      <c r="J4118" s="2" t="s">
        <v>274</v>
      </c>
      <c r="K4118" s="2" t="s">
        <v>5905</v>
      </c>
      <c r="L4118" s="2">
        <f t="shared" si="64"/>
        <v>150</v>
      </c>
    </row>
    <row r="4119" spans="1:12" ht="25" customHeight="1">
      <c r="A4119" s="2" t="s">
        <v>12</v>
      </c>
      <c r="B4119" s="2" t="str">
        <f>HYPERLINK("http://www.12365auto.com/zlts/20200221/447996.shtml","长安锐程CC发动机抖动噪音大希望厂家处理")</f>
        <v>长安锐程CC发动机抖动噪音大希望厂家处理</v>
      </c>
      <c r="C4119" s="2" t="s">
        <v>13</v>
      </c>
      <c r="D4119" s="2" t="s">
        <v>12</v>
      </c>
      <c r="E4119" s="2" t="s">
        <v>17</v>
      </c>
      <c r="F4119" s="2" t="str">
        <f>HYPERLINK("http://www.12365auto.com/zlts/20200221/447996.shtml","http://www.12365auto.com/zlts/20200221/447996.shtml")</f>
        <v>http://www.12365auto.com/zlts/20200221/447996.shtml</v>
      </c>
      <c r="G4119" s="2"/>
      <c r="H4119" s="2" t="s">
        <v>5907</v>
      </c>
      <c r="I4119" s="2" t="s">
        <v>19</v>
      </c>
      <c r="J4119" s="2" t="s">
        <v>12</v>
      </c>
      <c r="K4119" s="2" t="s">
        <v>5908</v>
      </c>
      <c r="L4119" s="2">
        <f t="shared" si="64"/>
        <v>150</v>
      </c>
    </row>
    <row r="4120" spans="1:12" ht="25" customHeight="1">
      <c r="A4120" s="2" t="s">
        <v>12</v>
      </c>
      <c r="B4120" s="2" t="str">
        <f>HYPERLINK("http://www.12365auto.com/zlts/20200221/447994.shtml","上汽名爵6车窗不能升降 后视镜折叠失灵")</f>
        <v>上汽名爵6车窗不能升降 后视镜折叠失灵</v>
      </c>
      <c r="C4120" s="2" t="s">
        <v>13</v>
      </c>
      <c r="D4120" s="2" t="s">
        <v>12</v>
      </c>
      <c r="E4120" s="2" t="s">
        <v>17</v>
      </c>
      <c r="F4120" s="2" t="str">
        <f>HYPERLINK("http://www.12365auto.com/zlts/20200221/447994.shtml","http://www.12365auto.com/zlts/20200221/447994.shtml")</f>
        <v>http://www.12365auto.com/zlts/20200221/447994.shtml</v>
      </c>
      <c r="G4120" s="2"/>
      <c r="H4120" s="2" t="s">
        <v>5909</v>
      </c>
      <c r="I4120" s="2" t="s">
        <v>19</v>
      </c>
      <c r="J4120" s="2" t="s">
        <v>12</v>
      </c>
      <c r="K4120" s="2" t="s">
        <v>5910</v>
      </c>
      <c r="L4120" s="2">
        <f t="shared" si="64"/>
        <v>150</v>
      </c>
    </row>
    <row r="4121" spans="1:12" ht="25" customHeight="1">
      <c r="A4121" s="2" t="s">
        <v>12</v>
      </c>
      <c r="B4121" s="2" t="str">
        <f>HYPERLINK("http://www.12365auto.com/zlts/20200221/447990.shtml","江淮瑞风S3车内异味严重 厂家未回复")</f>
        <v>江淮瑞风S3车内异味严重 厂家未回复</v>
      </c>
      <c r="C4121" s="2" t="s">
        <v>13</v>
      </c>
      <c r="D4121" s="2" t="s">
        <v>12</v>
      </c>
      <c r="E4121" s="2" t="s">
        <v>17</v>
      </c>
      <c r="F4121" s="2" t="str">
        <f>HYPERLINK("http://www.12365auto.com/zlts/20200221/447990.shtml","http://www.12365auto.com/zlts/20200221/447990.shtml")</f>
        <v>http://www.12365auto.com/zlts/20200221/447990.shtml</v>
      </c>
      <c r="G4121" s="2"/>
      <c r="H4121" s="2" t="s">
        <v>5911</v>
      </c>
      <c r="I4121" s="2" t="s">
        <v>19</v>
      </c>
      <c r="J4121" s="2" t="s">
        <v>12</v>
      </c>
      <c r="K4121" s="2" t="s">
        <v>5912</v>
      </c>
      <c r="L4121" s="2">
        <f t="shared" si="64"/>
        <v>150</v>
      </c>
    </row>
    <row r="4122" spans="1:12" ht="25" customHeight="1">
      <c r="A4122" s="2" t="s">
        <v>12</v>
      </c>
      <c r="B4122" s="2" t="str">
        <f>HYPERLINK("http://m.12365auto.com/xcdg/20200221/419203.shtml","上汽大众Viloran二季度上市 撼动GL8？")</f>
        <v>上汽大众Viloran二季度上市 撼动GL8？</v>
      </c>
      <c r="C4122" s="2" t="s">
        <v>13</v>
      </c>
      <c r="D4122" s="2" t="s">
        <v>12</v>
      </c>
      <c r="E4122" s="2"/>
      <c r="F4122" s="2" t="str">
        <f>HYPERLINK("http://m.12365auto.com/xcdg/20200221/419203.shtml","http://m.12365auto.com/xcdg/20200221/419203.shtml")</f>
        <v>http://m.12365auto.com/xcdg/20200221/419203.shtml</v>
      </c>
      <c r="G4122" s="2"/>
      <c r="H4122" s="2" t="s">
        <v>5913</v>
      </c>
      <c r="I4122" s="2" t="s">
        <v>19</v>
      </c>
      <c r="J4122" s="2" t="s">
        <v>751</v>
      </c>
      <c r="K4122" s="2" t="s">
        <v>5914</v>
      </c>
      <c r="L4122" s="2">
        <f t="shared" si="64"/>
        <v>150</v>
      </c>
    </row>
    <row r="4123" spans="1:12" ht="25" customHeight="1">
      <c r="A4123" s="2" t="s">
        <v>12</v>
      </c>
      <c r="B4123" s="2" t="str">
        <f>HYPERLINK("http://www.12365auto.com/xcdg/20200221/419203.shtml","上汽大众Viloran二季度上市 撼动GL8？")</f>
        <v>上汽大众Viloran二季度上市 撼动GL8？</v>
      </c>
      <c r="C4123" s="2" t="s">
        <v>13</v>
      </c>
      <c r="D4123" s="2" t="s">
        <v>12</v>
      </c>
      <c r="E4123" s="2" t="s">
        <v>245</v>
      </c>
      <c r="F4123" s="2" t="str">
        <f>HYPERLINK("http://www.12365auto.com/xcdg/20200221/419203.shtml","http://www.12365auto.com/xcdg/20200221/419203.shtml")</f>
        <v>http://www.12365auto.com/xcdg/20200221/419203.shtml</v>
      </c>
      <c r="G4123" s="2"/>
      <c r="H4123" s="2" t="s">
        <v>5915</v>
      </c>
      <c r="I4123" s="2" t="s">
        <v>19</v>
      </c>
      <c r="J4123" s="2" t="s">
        <v>12</v>
      </c>
      <c r="K4123" s="2" t="s">
        <v>5914</v>
      </c>
      <c r="L4123" s="2">
        <f t="shared" si="64"/>
        <v>150</v>
      </c>
    </row>
    <row r="4124" spans="1:12" ht="25" customHeight="1">
      <c r="A4124" s="2" t="s">
        <v>12</v>
      </c>
      <c r="B4124" s="2" t="str">
        <f>HYPERLINK("http://m.12365auto.com/xcdg/20200221/419202.shtml","大众途观R谍照曝光 或搭高尔夫R发动机")</f>
        <v>大众途观R谍照曝光 或搭高尔夫R发动机</v>
      </c>
      <c r="C4124" s="2" t="s">
        <v>13</v>
      </c>
      <c r="D4124" s="2" t="s">
        <v>12</v>
      </c>
      <c r="E4124" s="2"/>
      <c r="F4124" s="2" t="str">
        <f>HYPERLINK("http://m.12365auto.com/xcdg/20200221/419202.shtml","http://m.12365auto.com/xcdg/20200221/419202.shtml")</f>
        <v>http://m.12365auto.com/xcdg/20200221/419202.shtml</v>
      </c>
      <c r="G4124" s="2"/>
      <c r="H4124" s="2" t="s">
        <v>5916</v>
      </c>
      <c r="I4124" s="2" t="s">
        <v>19</v>
      </c>
      <c r="J4124" s="2" t="s">
        <v>751</v>
      </c>
      <c r="K4124" s="2" t="s">
        <v>5917</v>
      </c>
      <c r="L4124" s="2">
        <f t="shared" si="64"/>
        <v>150</v>
      </c>
    </row>
    <row r="4125" spans="1:12" ht="25" customHeight="1">
      <c r="A4125" s="2" t="s">
        <v>12</v>
      </c>
      <c r="B4125" s="2" t="str">
        <f>HYPERLINK("http://www.12365auto.com/xcdg/20200221/419202.shtml","大众途观R谍照曝光 或搭高尔夫R发动机")</f>
        <v>大众途观R谍照曝光 或搭高尔夫R发动机</v>
      </c>
      <c r="C4125" s="2" t="s">
        <v>13</v>
      </c>
      <c r="D4125" s="2" t="s">
        <v>12</v>
      </c>
      <c r="E4125" s="2" t="s">
        <v>245</v>
      </c>
      <c r="F4125" s="2" t="str">
        <f>HYPERLINK("http://www.12365auto.com/xcdg/20200221/419202.shtml","http://www.12365auto.com/xcdg/20200221/419202.shtml")</f>
        <v>http://www.12365auto.com/xcdg/20200221/419202.shtml</v>
      </c>
      <c r="G4125" s="2"/>
      <c r="H4125" s="2" t="s">
        <v>5918</v>
      </c>
      <c r="I4125" s="2" t="s">
        <v>19</v>
      </c>
      <c r="J4125" s="2" t="s">
        <v>12</v>
      </c>
      <c r="K4125" s="2" t="s">
        <v>5917</v>
      </c>
      <c r="L4125" s="2">
        <f t="shared" si="64"/>
        <v>150</v>
      </c>
    </row>
    <row r="4126" spans="1:12" ht="25" customHeight="1">
      <c r="A4126" s="2" t="s">
        <v>12</v>
      </c>
      <c r="B4126" s="2" t="str">
        <f>HYPERLINK("http://m.12365auto.com/news/20200221/419201.shtml","大众就排气门诉讼与德国消费者保护组织")</f>
        <v>大众就排气门诉讼与德国消费者保护组织</v>
      </c>
      <c r="C4126" s="2" t="s">
        <v>13</v>
      </c>
      <c r="D4126" s="2" t="s">
        <v>12</v>
      </c>
      <c r="E4126" s="2"/>
      <c r="F4126" s="2" t="str">
        <f>HYPERLINK("http://m.12365auto.com/news/20200221/419201.shtml","http://m.12365auto.com/news/20200221/419201.shtml")</f>
        <v>http://m.12365auto.com/news/20200221/419201.shtml</v>
      </c>
      <c r="G4126" s="2"/>
      <c r="H4126" s="2" t="s">
        <v>5919</v>
      </c>
      <c r="I4126" s="2" t="s">
        <v>19</v>
      </c>
      <c r="J4126" s="2" t="s">
        <v>958</v>
      </c>
      <c r="K4126" s="2" t="s">
        <v>5920</v>
      </c>
      <c r="L4126" s="2">
        <f t="shared" si="64"/>
        <v>150</v>
      </c>
    </row>
    <row r="4127" spans="1:12" ht="25" customHeight="1">
      <c r="A4127" s="2" t="s">
        <v>12</v>
      </c>
      <c r="B4127" s="2" t="str">
        <f>HYPERLINK("http://www.12365auto.com/news/20200221/419201.shtml","大众就排气门诉讼与德国消费者保护组织")</f>
        <v>大众就排气门诉讼与德国消费者保护组织</v>
      </c>
      <c r="C4127" s="2" t="s">
        <v>13</v>
      </c>
      <c r="D4127" s="2" t="s">
        <v>12</v>
      </c>
      <c r="E4127" s="2" t="s">
        <v>276</v>
      </c>
      <c r="F4127" s="2" t="str">
        <f>HYPERLINK("http://www.12365auto.com/news/20200221/419201.shtml","http://www.12365auto.com/news/20200221/419201.shtml")</f>
        <v>http://www.12365auto.com/news/20200221/419201.shtml</v>
      </c>
      <c r="G4127" s="2"/>
      <c r="H4127" s="2" t="s">
        <v>5921</v>
      </c>
      <c r="I4127" s="2" t="s">
        <v>15</v>
      </c>
      <c r="J4127" s="2" t="s">
        <v>12</v>
      </c>
      <c r="K4127" s="2" t="s">
        <v>5920</v>
      </c>
      <c r="L4127" s="2">
        <f t="shared" si="64"/>
        <v>150</v>
      </c>
    </row>
    <row r="4128" spans="1:12" ht="25" customHeight="1">
      <c r="A4128" s="2" t="s">
        <v>12</v>
      </c>
      <c r="B4128" s="2" t="str">
        <f>HYPERLINK("http://m.12365auto.com/news/20200221/419200.shtml","捷豹路虎因受疫情影响搁置发行美元债券")</f>
        <v>捷豹路虎因受疫情影响搁置发行美元债券</v>
      </c>
      <c r="C4128" s="2" t="s">
        <v>13</v>
      </c>
      <c r="D4128" s="2" t="s">
        <v>12</v>
      </c>
      <c r="E4128" s="2"/>
      <c r="F4128" s="2" t="str">
        <f>HYPERLINK("http://m.12365auto.com/news/20200221/419200.shtml","http://m.12365auto.com/news/20200221/419200.shtml")</f>
        <v>http://m.12365auto.com/news/20200221/419200.shtml</v>
      </c>
      <c r="G4128" s="2"/>
      <c r="H4128" s="2" t="s">
        <v>5922</v>
      </c>
      <c r="I4128" s="2" t="s">
        <v>19</v>
      </c>
      <c r="J4128" s="2" t="s">
        <v>5923</v>
      </c>
      <c r="K4128" s="2" t="s">
        <v>5924</v>
      </c>
      <c r="L4128" s="2">
        <f t="shared" si="64"/>
        <v>150</v>
      </c>
    </row>
    <row r="4129" spans="1:12" ht="25" customHeight="1">
      <c r="A4129" s="2" t="s">
        <v>12</v>
      </c>
      <c r="B4129" s="2" t="str">
        <f>HYPERLINK("http://www.12365auto.com/news/20200221/419200.shtml","捷豹路虎因受疫情影响搁置发行美元债券")</f>
        <v>捷豹路虎因受疫情影响搁置发行美元债券</v>
      </c>
      <c r="C4129" s="2" t="s">
        <v>13</v>
      </c>
      <c r="D4129" s="2" t="s">
        <v>12</v>
      </c>
      <c r="E4129" s="2" t="s">
        <v>276</v>
      </c>
      <c r="F4129" s="2" t="str">
        <f>HYPERLINK("http://www.12365auto.com/news/20200221/419200.shtml","http://www.12365auto.com/news/20200221/419200.shtml")</f>
        <v>http://www.12365auto.com/news/20200221/419200.shtml</v>
      </c>
      <c r="G4129" s="2"/>
      <c r="H4129" s="2" t="s">
        <v>5925</v>
      </c>
      <c r="I4129" s="2" t="s">
        <v>15</v>
      </c>
      <c r="J4129" s="2" t="s">
        <v>12</v>
      </c>
      <c r="K4129" s="2" t="s">
        <v>5924</v>
      </c>
      <c r="L4129" s="2">
        <f t="shared" si="64"/>
        <v>150</v>
      </c>
    </row>
    <row r="4130" spans="1:12" ht="25" customHeight="1">
      <c r="A4130" s="2" t="s">
        <v>12</v>
      </c>
      <c r="B4130" s="2" t="str">
        <f>HYPERLINK("http://m.12365auto.com/zjdy/20200221/121476.shtml","哈弗H2故障灯亮车辆无法启动如何解决？")</f>
        <v>哈弗H2故障灯亮车辆无法启动如何解决？</v>
      </c>
      <c r="C4130" s="2" t="s">
        <v>13</v>
      </c>
      <c r="D4130" s="2" t="s">
        <v>12</v>
      </c>
      <c r="E4130" s="2"/>
      <c r="F4130" s="2" t="str">
        <f>HYPERLINK("http://m.12365auto.com/zjdy/20200221/121476.shtml","http://m.12365auto.com/zjdy/20200221/121476.shtml")</f>
        <v>http://m.12365auto.com/zjdy/20200221/121476.shtml</v>
      </c>
      <c r="G4130" s="2"/>
      <c r="H4130" s="2" t="s">
        <v>5926</v>
      </c>
      <c r="I4130" s="2" t="s">
        <v>19</v>
      </c>
      <c r="J4130" s="2" t="s">
        <v>12</v>
      </c>
      <c r="K4130" s="2" t="s">
        <v>5927</v>
      </c>
      <c r="L4130" s="2">
        <f t="shared" si="64"/>
        <v>42</v>
      </c>
    </row>
    <row r="4131" spans="1:12" ht="25" customHeight="1">
      <c r="A4131" s="2" t="s">
        <v>12</v>
      </c>
      <c r="B4131" s="2" t="str">
        <f>HYPERLINK("http://m.12365auto.com/xcdg/20200221/419199.shtml","如何选购健康车 高性价比自主轿车推荐")</f>
        <v>如何选购健康车 高性价比自主轿车推荐</v>
      </c>
      <c r="C4131" s="2" t="s">
        <v>13</v>
      </c>
      <c r="D4131" s="2" t="s">
        <v>12</v>
      </c>
      <c r="E4131" s="2"/>
      <c r="F4131" s="2" t="str">
        <f>HYPERLINK("http://m.12365auto.com/xcdg/20200221/419199.shtml","http://m.12365auto.com/xcdg/20200221/419199.shtml")</f>
        <v>http://m.12365auto.com/xcdg/20200221/419199.shtml</v>
      </c>
      <c r="G4131" s="2"/>
      <c r="H4131" s="2" t="s">
        <v>5928</v>
      </c>
      <c r="I4131" s="2" t="s">
        <v>19</v>
      </c>
      <c r="J4131" s="2" t="s">
        <v>1535</v>
      </c>
      <c r="K4131" s="2" t="s">
        <v>5929</v>
      </c>
      <c r="L4131" s="2">
        <f t="shared" si="64"/>
        <v>150</v>
      </c>
    </row>
    <row r="4132" spans="1:12" ht="25" customHeight="1">
      <c r="A4132" s="2" t="s">
        <v>12</v>
      </c>
      <c r="B4132" s="2" t="str">
        <f>HYPERLINK("http://www.12365auto.com/xcdg/20200221/419198.shtml","“最强”RAV4要来了 这个细分市场终于热闹了")</f>
        <v>“最强”RAV4要来了 这个细分市场终于热闹了</v>
      </c>
      <c r="C4132" s="2" t="s">
        <v>13</v>
      </c>
      <c r="D4132" s="2" t="s">
        <v>12</v>
      </c>
      <c r="E4132" s="2" t="s">
        <v>216</v>
      </c>
      <c r="F4132" s="2" t="str">
        <f>HYPERLINK("http://www.12365auto.com/xcdg/20200221/419198.shtml","http://www.12365auto.com/xcdg/20200221/419198.shtml")</f>
        <v>http://www.12365auto.com/xcdg/20200221/419198.shtml</v>
      </c>
      <c r="G4132" s="2"/>
      <c r="H4132" s="2" t="s">
        <v>5930</v>
      </c>
      <c r="I4132" s="2" t="s">
        <v>15</v>
      </c>
      <c r="J4132" s="2" t="s">
        <v>12</v>
      </c>
      <c r="K4132" s="2" t="s">
        <v>5931</v>
      </c>
      <c r="L4132" s="2">
        <f t="shared" si="64"/>
        <v>150</v>
      </c>
    </row>
    <row r="4133" spans="1:12" ht="25" customHeight="1">
      <c r="A4133" s="2" t="s">
        <v>12</v>
      </c>
      <c r="B4133" s="2" t="str">
        <f>HYPERLINK("http://m.12365auto.com/xcdg/20200221/419198.shtml","“最强”RAV4要来了 这个细分市场终于热闹了")</f>
        <v>“最强”RAV4要来了 这个细分市场终于热闹了</v>
      </c>
      <c r="C4133" s="2" t="s">
        <v>13</v>
      </c>
      <c r="D4133" s="2" t="s">
        <v>12</v>
      </c>
      <c r="E4133" s="2"/>
      <c r="F4133" s="2" t="str">
        <f>HYPERLINK("http://m.12365auto.com/xcdg/20200221/419198.shtml","http://m.12365auto.com/xcdg/20200221/419198.shtml")</f>
        <v>http://m.12365auto.com/xcdg/20200221/419198.shtml</v>
      </c>
      <c r="G4133" s="2"/>
      <c r="H4133" s="2" t="s">
        <v>5932</v>
      </c>
      <c r="I4133" s="2" t="s">
        <v>19</v>
      </c>
      <c r="J4133" s="2" t="s">
        <v>5933</v>
      </c>
      <c r="K4133" s="2" t="s">
        <v>5931</v>
      </c>
      <c r="L4133" s="2">
        <f t="shared" si="64"/>
        <v>150</v>
      </c>
    </row>
    <row r="4134" spans="1:12" ht="25" customHeight="1">
      <c r="A4134" s="2" t="s">
        <v>12</v>
      </c>
      <c r="B4134" s="2" t="str">
        <f>HYPERLINK("http://m.12365auto.com/zjdy/20200221/121477.shtml","13万元的SUV有哪些车型值比较得推荐？")</f>
        <v>13万元的SUV有哪些车型值比较得推荐？</v>
      </c>
      <c r="C4134" s="2" t="s">
        <v>13</v>
      </c>
      <c r="D4134" s="2" t="s">
        <v>12</v>
      </c>
      <c r="E4134" s="2"/>
      <c r="F4134" s="2" t="str">
        <f>HYPERLINK("http://m.12365auto.com/zjdy/20200221/121477.shtml","http://m.12365auto.com/zjdy/20200221/121477.shtml")</f>
        <v>http://m.12365auto.com/zjdy/20200221/121477.shtml</v>
      </c>
      <c r="G4134" s="2"/>
      <c r="H4134" s="2" t="s">
        <v>5934</v>
      </c>
      <c r="I4134" s="2" t="s">
        <v>19</v>
      </c>
      <c r="J4134" s="2" t="s">
        <v>12</v>
      </c>
      <c r="K4134" s="2" t="s">
        <v>5935</v>
      </c>
      <c r="L4134" s="2">
        <f t="shared" si="64"/>
        <v>22</v>
      </c>
    </row>
    <row r="4135" spans="1:12" ht="25" customHeight="1">
      <c r="A4135" s="2" t="s">
        <v>12</v>
      </c>
      <c r="B4135" s="2" t="str">
        <f>HYPERLINK("http://www.12365auto.com/zlts/20200221/447987.shtml","北京现代瑞纳车身严重生锈存在质量问题")</f>
        <v>北京现代瑞纳车身严重生锈存在质量问题</v>
      </c>
      <c r="C4135" s="2" t="s">
        <v>13</v>
      </c>
      <c r="D4135" s="2" t="s">
        <v>12</v>
      </c>
      <c r="E4135" s="2" t="s">
        <v>17</v>
      </c>
      <c r="F4135" s="2" t="str">
        <f>HYPERLINK("http://www.12365auto.com/zlts/20200221/447987.shtml","http://www.12365auto.com/zlts/20200221/447987.shtml")</f>
        <v>http://www.12365auto.com/zlts/20200221/447987.shtml</v>
      </c>
      <c r="G4135" s="2"/>
      <c r="H4135" s="2" t="s">
        <v>5936</v>
      </c>
      <c r="I4135" s="2" t="s">
        <v>19</v>
      </c>
      <c r="J4135" s="2" t="s">
        <v>12</v>
      </c>
      <c r="K4135" s="2" t="s">
        <v>5937</v>
      </c>
      <c r="L4135" s="2">
        <f t="shared" si="64"/>
        <v>150</v>
      </c>
    </row>
    <row r="4136" spans="1:12" ht="25" customHeight="1">
      <c r="A4136" s="2" t="s">
        <v>12</v>
      </c>
      <c r="B4136" s="2" t="str">
        <f>HYPERLINK("http://bbs.12365auto.com/postcontent.aspx?tID=194801","近期即将上市新车这么多，有你期待的吗？")</f>
        <v>近期即将上市新车这么多，有你期待的吗？</v>
      </c>
      <c r="C4136" s="2" t="s">
        <v>13</v>
      </c>
      <c r="D4136" s="2" t="s">
        <v>12</v>
      </c>
      <c r="E4136" s="2" t="s">
        <v>214</v>
      </c>
      <c r="F4136" s="2" t="str">
        <f>HYPERLINK("http://bbs.12365auto.com/postcontent.aspx?tID=194801","http://bbs.12365auto.com/postcontent.aspx?tID=194801")</f>
        <v>http://bbs.12365auto.com/postcontent.aspx?tID=194801</v>
      </c>
      <c r="G4136" s="2"/>
      <c r="H4136" s="2" t="s">
        <v>5938</v>
      </c>
      <c r="I4136" s="2" t="s">
        <v>15</v>
      </c>
      <c r="J4136" s="2" t="s">
        <v>1790</v>
      </c>
      <c r="K4136" s="2" t="s">
        <v>5939</v>
      </c>
      <c r="L4136" s="2">
        <f t="shared" si="64"/>
        <v>150</v>
      </c>
    </row>
    <row r="4137" spans="1:12" ht="25" customHeight="1">
      <c r="A4137" s="2" t="s">
        <v>12</v>
      </c>
      <c r="B4137" s="2" t="str">
        <f>HYPERLINK("http://bbs.12365auto.com/postcontent.aspx?tID=194800","BBA中挑一台大型豪华轿车，您会中意谁呢")</f>
        <v>BBA中挑一台大型豪华轿车，您会中意谁呢</v>
      </c>
      <c r="C4137" s="2" t="s">
        <v>13</v>
      </c>
      <c r="D4137" s="2" t="s">
        <v>12</v>
      </c>
      <c r="E4137" s="2" t="s">
        <v>214</v>
      </c>
      <c r="F4137" s="2" t="str">
        <f>HYPERLINK("http://bbs.12365auto.com/postcontent.aspx?tID=194800","http://bbs.12365auto.com/postcontent.aspx?tID=194800")</f>
        <v>http://bbs.12365auto.com/postcontent.aspx?tID=194800</v>
      </c>
      <c r="G4137" s="2"/>
      <c r="H4137" s="2" t="s">
        <v>5940</v>
      </c>
      <c r="I4137" s="2" t="s">
        <v>15</v>
      </c>
      <c r="J4137" s="2" t="s">
        <v>1790</v>
      </c>
      <c r="K4137" s="2" t="s">
        <v>5939</v>
      </c>
      <c r="L4137" s="2">
        <f t="shared" si="64"/>
        <v>150</v>
      </c>
    </row>
    <row r="4138" spans="1:12" ht="25" customHeight="1">
      <c r="A4138" s="2" t="s">
        <v>12</v>
      </c>
      <c r="B4138" s="2" t="str">
        <f>HYPERLINK("http://bbs.12365auto.com/postcontent.aspx?tId=194801","近期即将上市新车这么多，有你期待的吗？")</f>
        <v>近期即将上市新车这么多，有你期待的吗？</v>
      </c>
      <c r="C4138" s="2" t="s">
        <v>13</v>
      </c>
      <c r="D4138" s="2" t="s">
        <v>12</v>
      </c>
      <c r="E4138" s="2" t="s">
        <v>210</v>
      </c>
      <c r="F4138" s="2" t="str">
        <f>HYPERLINK("http://bbs.12365auto.com/postcontent.aspx?tId=194801","http://bbs.12365auto.com/postcontent.aspx?tId=194801")</f>
        <v>http://bbs.12365auto.com/postcontent.aspx?tId=194801</v>
      </c>
      <c r="G4138" s="2"/>
      <c r="H4138" s="2" t="s">
        <v>5941</v>
      </c>
      <c r="I4138" s="2" t="s">
        <v>15</v>
      </c>
      <c r="J4138" s="2" t="s">
        <v>1790</v>
      </c>
      <c r="K4138" s="2" t="s">
        <v>5939</v>
      </c>
      <c r="L4138" s="2">
        <f t="shared" si="64"/>
        <v>150</v>
      </c>
    </row>
    <row r="4139" spans="1:12" ht="25" customHeight="1">
      <c r="A4139" s="2" t="s">
        <v>12</v>
      </c>
      <c r="B4139" s="2" t="str">
        <f>HYPERLINK("http://bbs.12365auto.com/postcontent.aspx?tId=194800","BBA中挑一台大型豪华轿车，您会中意谁呢")</f>
        <v>BBA中挑一台大型豪华轿车，您会中意谁呢</v>
      </c>
      <c r="C4139" s="2" t="s">
        <v>13</v>
      </c>
      <c r="D4139" s="2" t="s">
        <v>12</v>
      </c>
      <c r="E4139" s="2" t="s">
        <v>210</v>
      </c>
      <c r="F4139" s="2" t="str">
        <f>HYPERLINK("http://bbs.12365auto.com/postcontent.aspx?tId=194800","http://bbs.12365auto.com/postcontent.aspx?tId=194800")</f>
        <v>http://bbs.12365auto.com/postcontent.aspx?tId=194800</v>
      </c>
      <c r="G4139" s="2"/>
      <c r="H4139" s="2" t="s">
        <v>5942</v>
      </c>
      <c r="I4139" s="2" t="s">
        <v>15</v>
      </c>
      <c r="J4139" s="2" t="s">
        <v>1790</v>
      </c>
      <c r="K4139" s="2" t="s">
        <v>5939</v>
      </c>
      <c r="L4139" s="2">
        <f t="shared" si="64"/>
        <v>150</v>
      </c>
    </row>
    <row r="4140" spans="1:12" ht="25" customHeight="1">
      <c r="A4140" s="2" t="s">
        <v>12</v>
      </c>
      <c r="B4140" s="2" t="str">
        <f>HYPERLINK("http://m.12365auto.com/bbs/postcontent.aspx?tID=194801","近期即将上市新车这么多，有你期待的吗？")</f>
        <v>近期即将上市新车这么多，有你期待的吗？</v>
      </c>
      <c r="C4140" s="2" t="s">
        <v>13</v>
      </c>
      <c r="D4140" s="2" t="s">
        <v>23</v>
      </c>
      <c r="E4140" s="2"/>
      <c r="F4140" s="2" t="str">
        <f>HYPERLINK("http://m.12365auto.com/bbs/postcontent.aspx?tID=194801","http://m.12365auto.com/bbs/postcontent.aspx?tID=194801")</f>
        <v>http://m.12365auto.com/bbs/postcontent.aspx?tID=194801</v>
      </c>
      <c r="G4140" s="2"/>
      <c r="H4140" s="2" t="s">
        <v>5941</v>
      </c>
      <c r="I4140" s="2" t="s">
        <v>15</v>
      </c>
      <c r="J4140" s="2" t="s">
        <v>1790</v>
      </c>
      <c r="K4140" s="2" t="s">
        <v>5939</v>
      </c>
      <c r="L4140" s="2">
        <f t="shared" si="64"/>
        <v>150</v>
      </c>
    </row>
    <row r="4141" spans="1:12" ht="25" customHeight="1">
      <c r="A4141" s="2" t="s">
        <v>12</v>
      </c>
      <c r="B4141" s="2" t="str">
        <f>HYPERLINK("http://m.12365auto.com/bbs/postcontent.aspx?tID=194800","BBA中挑一台大型豪华轿车，您会中意谁呢")</f>
        <v>BBA中挑一台大型豪华轿车，您会中意谁呢</v>
      </c>
      <c r="C4141" s="2" t="s">
        <v>13</v>
      </c>
      <c r="D4141" s="2" t="s">
        <v>23</v>
      </c>
      <c r="E4141" s="2"/>
      <c r="F4141" s="2" t="str">
        <f>HYPERLINK("http://m.12365auto.com/bbs/postcontent.aspx?tID=194800","http://m.12365auto.com/bbs/postcontent.aspx?tID=194800")</f>
        <v>http://m.12365auto.com/bbs/postcontent.aspx?tID=194800</v>
      </c>
      <c r="G4141" s="2"/>
      <c r="H4141" s="2" t="s">
        <v>5942</v>
      </c>
      <c r="I4141" s="2" t="s">
        <v>15</v>
      </c>
      <c r="J4141" s="2" t="s">
        <v>1790</v>
      </c>
      <c r="K4141" s="2" t="s">
        <v>5939</v>
      </c>
      <c r="L4141" s="2">
        <f t="shared" si="64"/>
        <v>150</v>
      </c>
    </row>
    <row r="4142" spans="1:12" ht="25" customHeight="1">
      <c r="A4142" s="2" t="s">
        <v>12</v>
      </c>
      <c r="B4142" s="2" t="str">
        <f>HYPERLINK("http://bbs.12365auto.com/postcontent.aspx?tID=194798","二胎家庭用车推荐：侧滑门是终极神器？")</f>
        <v>二胎家庭用车推荐：侧滑门是终极神器？</v>
      </c>
      <c r="C4142" s="2" t="s">
        <v>13</v>
      </c>
      <c r="D4142" s="2" t="s">
        <v>12</v>
      </c>
      <c r="E4142" s="2" t="s">
        <v>214</v>
      </c>
      <c r="F4142" s="2" t="str">
        <f>HYPERLINK("http://bbs.12365auto.com/postcontent.aspx?tID=194798","http://bbs.12365auto.com/postcontent.aspx?tID=194798")</f>
        <v>http://bbs.12365auto.com/postcontent.aspx?tID=194798</v>
      </c>
      <c r="G4142" s="2"/>
      <c r="H4142" s="2" t="s">
        <v>5943</v>
      </c>
      <c r="I4142" s="2" t="s">
        <v>15</v>
      </c>
      <c r="J4142" s="2" t="s">
        <v>1790</v>
      </c>
      <c r="K4142" s="2" t="s">
        <v>5944</v>
      </c>
      <c r="L4142" s="2">
        <f t="shared" si="64"/>
        <v>150</v>
      </c>
    </row>
    <row r="4143" spans="1:12" ht="25" customHeight="1">
      <c r="A4143" s="2" t="s">
        <v>12</v>
      </c>
      <c r="B4143" s="2" t="str">
        <f>HYPERLINK("http://bbs.12365auto.com/postcontent.aspx?tID=194799","这两个信号，将使2020年MPV市场进一步升温")</f>
        <v>这两个信号，将使2020年MPV市场进一步升温</v>
      </c>
      <c r="C4143" s="2" t="s">
        <v>13</v>
      </c>
      <c r="D4143" s="2" t="s">
        <v>12</v>
      </c>
      <c r="E4143" s="2" t="s">
        <v>214</v>
      </c>
      <c r="F4143" s="2" t="str">
        <f>HYPERLINK("http://bbs.12365auto.com/postcontent.aspx?tID=194799","http://bbs.12365auto.com/postcontent.aspx?tID=194799")</f>
        <v>http://bbs.12365auto.com/postcontent.aspx?tID=194799</v>
      </c>
      <c r="G4143" s="2"/>
      <c r="H4143" s="2" t="s">
        <v>5945</v>
      </c>
      <c r="I4143" s="2" t="s">
        <v>15</v>
      </c>
      <c r="J4143" s="2" t="s">
        <v>1790</v>
      </c>
      <c r="K4143" s="2" t="s">
        <v>5944</v>
      </c>
      <c r="L4143" s="2">
        <f t="shared" si="64"/>
        <v>150</v>
      </c>
    </row>
    <row r="4144" spans="1:12" ht="25" customHeight="1">
      <c r="A4144" s="2" t="s">
        <v>12</v>
      </c>
      <c r="B4144" s="2" t="str">
        <f>HYPERLINK("http://bbs.12365auto.com/postcontent.aspx?tId=194799","这两个信号，将使2020年MPV市场进一步升温")</f>
        <v>这两个信号，将使2020年MPV市场进一步升温</v>
      </c>
      <c r="C4144" s="2" t="s">
        <v>13</v>
      </c>
      <c r="D4144" s="2" t="s">
        <v>12</v>
      </c>
      <c r="E4144" s="2" t="s">
        <v>210</v>
      </c>
      <c r="F4144" s="2" t="str">
        <f>HYPERLINK("http://bbs.12365auto.com/postcontent.aspx?tId=194799","http://bbs.12365auto.com/postcontent.aspx?tId=194799")</f>
        <v>http://bbs.12365auto.com/postcontent.aspx?tId=194799</v>
      </c>
      <c r="G4144" s="2"/>
      <c r="H4144" s="2" t="s">
        <v>5946</v>
      </c>
      <c r="I4144" s="2" t="s">
        <v>15</v>
      </c>
      <c r="J4144" s="2" t="s">
        <v>1790</v>
      </c>
      <c r="K4144" s="2" t="s">
        <v>5944</v>
      </c>
      <c r="L4144" s="2">
        <f t="shared" si="64"/>
        <v>150</v>
      </c>
    </row>
    <row r="4145" spans="1:12" ht="25" customHeight="1">
      <c r="A4145" s="2" t="s">
        <v>12</v>
      </c>
      <c r="B4145" s="2" t="str">
        <f>HYPERLINK("http://bbs.12365auto.com/postcontent.aspx?tId=194798","二胎家庭用车推荐：侧滑门是终极神器？")</f>
        <v>二胎家庭用车推荐：侧滑门是终极神器？</v>
      </c>
      <c r="C4145" s="2" t="s">
        <v>13</v>
      </c>
      <c r="D4145" s="2" t="s">
        <v>12</v>
      </c>
      <c r="E4145" s="2" t="s">
        <v>210</v>
      </c>
      <c r="F4145" s="2" t="str">
        <f>HYPERLINK("http://bbs.12365auto.com/postcontent.aspx?tId=194798","http://bbs.12365auto.com/postcontent.aspx?tId=194798")</f>
        <v>http://bbs.12365auto.com/postcontent.aspx?tId=194798</v>
      </c>
      <c r="G4145" s="2"/>
      <c r="H4145" s="2" t="s">
        <v>5947</v>
      </c>
      <c r="I4145" s="2" t="s">
        <v>15</v>
      </c>
      <c r="J4145" s="2" t="s">
        <v>1790</v>
      </c>
      <c r="K4145" s="2" t="s">
        <v>5944</v>
      </c>
      <c r="L4145" s="2">
        <f t="shared" si="64"/>
        <v>150</v>
      </c>
    </row>
    <row r="4146" spans="1:12" ht="25" customHeight="1">
      <c r="A4146" s="2" t="s">
        <v>12</v>
      </c>
      <c r="B4146" s="2" t="str">
        <f>HYPERLINK("http://m.12365auto.com/bbs/postcontent.aspx?tID=194798","二胎家庭用车推荐：侧滑门是终极神器？")</f>
        <v>二胎家庭用车推荐：侧滑门是终极神器？</v>
      </c>
      <c r="C4146" s="2" t="s">
        <v>13</v>
      </c>
      <c r="D4146" s="2" t="s">
        <v>23</v>
      </c>
      <c r="E4146" s="2"/>
      <c r="F4146" s="2" t="str">
        <f>HYPERLINK("http://m.12365auto.com/bbs/postcontent.aspx?tID=194798","http://m.12365auto.com/bbs/postcontent.aspx?tID=194798")</f>
        <v>http://m.12365auto.com/bbs/postcontent.aspx?tID=194798</v>
      </c>
      <c r="G4146" s="2"/>
      <c r="H4146" s="2" t="s">
        <v>5947</v>
      </c>
      <c r="I4146" s="2" t="s">
        <v>15</v>
      </c>
      <c r="J4146" s="2" t="s">
        <v>1790</v>
      </c>
      <c r="K4146" s="2" t="s">
        <v>5944</v>
      </c>
      <c r="L4146" s="2">
        <f t="shared" si="64"/>
        <v>150</v>
      </c>
    </row>
    <row r="4147" spans="1:12" ht="25" customHeight="1">
      <c r="A4147" s="2" t="s">
        <v>12</v>
      </c>
      <c r="B4147" s="2" t="str">
        <f>HYPERLINK("http://m.12365auto.com/bbs/postcontent.aspx?tID=194799","这两个信号，将使2020年MPV市场进一步升温")</f>
        <v>这两个信号，将使2020年MPV市场进一步升温</v>
      </c>
      <c r="C4147" s="2" t="s">
        <v>13</v>
      </c>
      <c r="D4147" s="2" t="s">
        <v>23</v>
      </c>
      <c r="E4147" s="2"/>
      <c r="F4147" s="2" t="str">
        <f>HYPERLINK("http://m.12365auto.com/bbs/postcontent.aspx?tID=194799","http://m.12365auto.com/bbs/postcontent.aspx?tID=194799")</f>
        <v>http://m.12365auto.com/bbs/postcontent.aspx?tID=194799</v>
      </c>
      <c r="G4147" s="2"/>
      <c r="H4147" s="2" t="s">
        <v>5946</v>
      </c>
      <c r="I4147" s="2" t="s">
        <v>15</v>
      </c>
      <c r="J4147" s="2" t="s">
        <v>1790</v>
      </c>
      <c r="K4147" s="2" t="s">
        <v>5944</v>
      </c>
      <c r="L4147" s="2">
        <f t="shared" si="64"/>
        <v>150</v>
      </c>
    </row>
    <row r="4148" spans="1:12" ht="25" customHeight="1">
      <c r="A4148" s="2" t="s">
        <v>12</v>
      </c>
      <c r="B4148" s="2" t="str">
        <f>HYPERLINK("http://m.12365auto.com/xcdg/20200221/419197.shtml","只差1000元 传祺GS4和GS5到底怎么选？")</f>
        <v>只差1000元 传祺GS4和GS5到底怎么选？</v>
      </c>
      <c r="C4148" s="2" t="s">
        <v>13</v>
      </c>
      <c r="D4148" s="2" t="s">
        <v>12</v>
      </c>
      <c r="E4148" s="2"/>
      <c r="F4148" s="2" t="str">
        <f>HYPERLINK("http://m.12365auto.com/xcdg/20200221/419197.shtml","http://m.12365auto.com/xcdg/20200221/419197.shtml")</f>
        <v>http://m.12365auto.com/xcdg/20200221/419197.shtml</v>
      </c>
      <c r="G4148" s="2"/>
      <c r="H4148" s="2" t="s">
        <v>5948</v>
      </c>
      <c r="I4148" s="2" t="s">
        <v>19</v>
      </c>
      <c r="J4148" s="2" t="s">
        <v>3549</v>
      </c>
      <c r="K4148" s="2" t="s">
        <v>5944</v>
      </c>
      <c r="L4148" s="2">
        <f t="shared" si="64"/>
        <v>150</v>
      </c>
    </row>
    <row r="4149" spans="1:12" ht="25" customHeight="1">
      <c r="A4149" s="2" t="s">
        <v>12</v>
      </c>
      <c r="B4149" s="2" t="str">
        <f>HYPERLINK("http://bbs.12365auto.com/postcontent.aspx?tId=194796","20万元级“日美德法”四大杰出SUV大比拼")</f>
        <v>20万元级“日美德法”四大杰出SUV大比拼</v>
      </c>
      <c r="C4149" s="2" t="s">
        <v>13</v>
      </c>
      <c r="D4149" s="2" t="s">
        <v>12</v>
      </c>
      <c r="E4149" s="2" t="s">
        <v>210</v>
      </c>
      <c r="F4149" s="2" t="str">
        <f>HYPERLINK("http://bbs.12365auto.com/postcontent.aspx?tId=194796","http://bbs.12365auto.com/postcontent.aspx?tId=194796")</f>
        <v>http://bbs.12365auto.com/postcontent.aspx?tId=194796</v>
      </c>
      <c r="G4149" s="2"/>
      <c r="H4149" s="2" t="s">
        <v>5949</v>
      </c>
      <c r="I4149" s="2" t="s">
        <v>15</v>
      </c>
      <c r="J4149" s="2" t="s">
        <v>1790</v>
      </c>
      <c r="K4149" s="2" t="s">
        <v>5950</v>
      </c>
      <c r="L4149" s="2">
        <f t="shared" si="64"/>
        <v>150</v>
      </c>
    </row>
    <row r="4150" spans="1:12" ht="25" customHeight="1">
      <c r="A4150" s="2" t="s">
        <v>12</v>
      </c>
      <c r="B4150" s="2" t="str">
        <f>HYPERLINK("http://bbs.12365auto.com/postcontent.aspx?tId=194797","最值得买MPV，全年销量甩别克GL8")</f>
        <v>最值得买MPV，全年销量甩别克GL8</v>
      </c>
      <c r="C4150" s="2" t="s">
        <v>13</v>
      </c>
      <c r="D4150" s="2" t="s">
        <v>12</v>
      </c>
      <c r="E4150" s="2" t="s">
        <v>210</v>
      </c>
      <c r="F4150" s="2" t="str">
        <f>HYPERLINK("http://bbs.12365auto.com/postcontent.aspx?tId=194797","http://bbs.12365auto.com/postcontent.aspx?tId=194797")</f>
        <v>http://bbs.12365auto.com/postcontent.aspx?tId=194797</v>
      </c>
      <c r="G4150" s="2"/>
      <c r="H4150" s="2" t="s">
        <v>5951</v>
      </c>
      <c r="I4150" s="2" t="s">
        <v>15</v>
      </c>
      <c r="J4150" s="2" t="s">
        <v>1790</v>
      </c>
      <c r="K4150" s="2" t="s">
        <v>5950</v>
      </c>
      <c r="L4150" s="2">
        <f t="shared" si="64"/>
        <v>150</v>
      </c>
    </row>
    <row r="4151" spans="1:12" ht="25" customHeight="1">
      <c r="A4151" s="2" t="s">
        <v>12</v>
      </c>
      <c r="B4151" s="2" t="str">
        <f>HYPERLINK("http://m.12365auto.com/bbs/postcontent.aspx?tID=194797","最值得买MPV，全年销量甩别克GL8")</f>
        <v>最值得买MPV，全年销量甩别克GL8</v>
      </c>
      <c r="C4151" s="2" t="s">
        <v>13</v>
      </c>
      <c r="D4151" s="2" t="s">
        <v>23</v>
      </c>
      <c r="E4151" s="2"/>
      <c r="F4151" s="2" t="str">
        <f>HYPERLINK("http://m.12365auto.com/bbs/postcontent.aspx?tID=194797","http://m.12365auto.com/bbs/postcontent.aspx?tID=194797")</f>
        <v>http://m.12365auto.com/bbs/postcontent.aspx?tID=194797</v>
      </c>
      <c r="G4151" s="2"/>
      <c r="H4151" s="2" t="s">
        <v>5951</v>
      </c>
      <c r="I4151" s="2" t="s">
        <v>15</v>
      </c>
      <c r="J4151" s="2" t="s">
        <v>1790</v>
      </c>
      <c r="K4151" s="2" t="s">
        <v>5950</v>
      </c>
      <c r="L4151" s="2">
        <f t="shared" si="64"/>
        <v>150</v>
      </c>
    </row>
    <row r="4152" spans="1:12" ht="25" customHeight="1">
      <c r="A4152" s="2" t="s">
        <v>12</v>
      </c>
      <c r="B4152" s="2" t="str">
        <f>HYPERLINK("http://m.12365auto.com/bbs/postcontent.aspx?tID=194796","20万元级“日美德法”四大杰出SUV大比拼")</f>
        <v>20万元级“日美德法”四大杰出SUV大比拼</v>
      </c>
      <c r="C4152" s="2" t="s">
        <v>13</v>
      </c>
      <c r="D4152" s="2" t="s">
        <v>23</v>
      </c>
      <c r="E4152" s="2"/>
      <c r="F4152" s="2" t="str">
        <f>HYPERLINK("http://m.12365auto.com/bbs/postcontent.aspx?tID=194796","http://m.12365auto.com/bbs/postcontent.aspx?tID=194796")</f>
        <v>http://m.12365auto.com/bbs/postcontent.aspx?tID=194796</v>
      </c>
      <c r="G4152" s="2"/>
      <c r="H4152" s="2" t="s">
        <v>5949</v>
      </c>
      <c r="I4152" s="2" t="s">
        <v>15</v>
      </c>
      <c r="J4152" s="2" t="s">
        <v>1790</v>
      </c>
      <c r="K4152" s="2" t="s">
        <v>5950</v>
      </c>
      <c r="L4152" s="2">
        <f t="shared" si="64"/>
        <v>150</v>
      </c>
    </row>
    <row r="4153" spans="1:12" ht="25" customHeight="1">
      <c r="A4153" s="2" t="s">
        <v>12</v>
      </c>
      <c r="B4153" s="2" t="str">
        <f>HYPERLINK("http://bbs.12365auto.com/postcontent.aspx?tID=194796","20万元级“日美德法”四大杰出SUV大比拼")</f>
        <v>20万元级“日美德法”四大杰出SUV大比拼</v>
      </c>
      <c r="C4153" s="2" t="s">
        <v>13</v>
      </c>
      <c r="D4153" s="2" t="s">
        <v>12</v>
      </c>
      <c r="E4153" s="2" t="s">
        <v>214</v>
      </c>
      <c r="F4153" s="2" t="str">
        <f>HYPERLINK("http://bbs.12365auto.com/postcontent.aspx?tID=194796","http://bbs.12365auto.com/postcontent.aspx?tID=194796")</f>
        <v>http://bbs.12365auto.com/postcontent.aspx?tID=194796</v>
      </c>
      <c r="G4153" s="2"/>
      <c r="H4153" s="2" t="s">
        <v>5952</v>
      </c>
      <c r="I4153" s="2" t="s">
        <v>15</v>
      </c>
      <c r="J4153" s="2" t="s">
        <v>1790</v>
      </c>
      <c r="K4153" s="2" t="s">
        <v>5950</v>
      </c>
      <c r="L4153" s="2">
        <f t="shared" si="64"/>
        <v>150</v>
      </c>
    </row>
    <row r="4154" spans="1:12" ht="25" customHeight="1">
      <c r="A4154" s="2" t="s">
        <v>12</v>
      </c>
      <c r="B4154" s="2" t="str">
        <f>HYPERLINK("http://bbs.12365auto.com/postcontent.aspx?tID=194797","最值得买MPV，全年销量甩别克GL8")</f>
        <v>最值得买MPV，全年销量甩别克GL8</v>
      </c>
      <c r="C4154" s="2" t="s">
        <v>13</v>
      </c>
      <c r="D4154" s="2" t="s">
        <v>12</v>
      </c>
      <c r="E4154" s="2" t="s">
        <v>214</v>
      </c>
      <c r="F4154" s="2" t="str">
        <f>HYPERLINK("http://bbs.12365auto.com/postcontent.aspx?tID=194797","http://bbs.12365auto.com/postcontent.aspx?tID=194797")</f>
        <v>http://bbs.12365auto.com/postcontent.aspx?tID=194797</v>
      </c>
      <c r="G4154" s="2"/>
      <c r="H4154" s="2" t="s">
        <v>5953</v>
      </c>
      <c r="I4154" s="2" t="s">
        <v>15</v>
      </c>
      <c r="J4154" s="2" t="s">
        <v>1790</v>
      </c>
      <c r="K4154" s="2" t="s">
        <v>5950</v>
      </c>
      <c r="L4154" s="2">
        <f t="shared" si="64"/>
        <v>150</v>
      </c>
    </row>
    <row r="4155" spans="1:12" ht="25" customHeight="1">
      <c r="A4155" s="2" t="s">
        <v>12</v>
      </c>
      <c r="B4155" s="2" t="str">
        <f>HYPERLINK("http://bbs.12365auto.com/postcontent.aspx?tId=194794","7座SUV不香了 它出现会刺激到你吗？")</f>
        <v>7座SUV不香了 它出现会刺激到你吗？</v>
      </c>
      <c r="C4155" s="2" t="s">
        <v>13</v>
      </c>
      <c r="D4155" s="2" t="s">
        <v>12</v>
      </c>
      <c r="E4155" s="2" t="s">
        <v>210</v>
      </c>
      <c r="F4155" s="2" t="str">
        <f>HYPERLINK("http://bbs.12365auto.com/postcontent.aspx?tId=194794","http://bbs.12365auto.com/postcontent.aspx?tId=194794")</f>
        <v>http://bbs.12365auto.com/postcontent.aspx?tId=194794</v>
      </c>
      <c r="G4155" s="2"/>
      <c r="H4155" s="2" t="s">
        <v>5954</v>
      </c>
      <c r="I4155" s="2" t="s">
        <v>15</v>
      </c>
      <c r="J4155" s="2" t="s">
        <v>1790</v>
      </c>
      <c r="K4155" s="2" t="s">
        <v>5955</v>
      </c>
      <c r="L4155" s="2">
        <f t="shared" si="64"/>
        <v>150</v>
      </c>
    </row>
    <row r="4156" spans="1:12" ht="25" customHeight="1">
      <c r="A4156" s="2" t="s">
        <v>12</v>
      </c>
      <c r="B4156" s="2" t="str">
        <f>HYPERLINK("http://bbs.12365auto.com/postcontent.aspx?tId=194795","二月新车盘点，高端SUV这三款不要错过")</f>
        <v>二月新车盘点，高端SUV这三款不要错过</v>
      </c>
      <c r="C4156" s="2" t="s">
        <v>13</v>
      </c>
      <c r="D4156" s="2" t="s">
        <v>12</v>
      </c>
      <c r="E4156" s="2" t="s">
        <v>210</v>
      </c>
      <c r="F4156" s="2" t="str">
        <f>HYPERLINK("http://bbs.12365auto.com/postcontent.aspx?tId=194795","http://bbs.12365auto.com/postcontent.aspx?tId=194795")</f>
        <v>http://bbs.12365auto.com/postcontent.aspx?tId=194795</v>
      </c>
      <c r="G4156" s="2"/>
      <c r="H4156" s="2" t="s">
        <v>5956</v>
      </c>
      <c r="I4156" s="2" t="s">
        <v>15</v>
      </c>
      <c r="J4156" s="2" t="s">
        <v>1790</v>
      </c>
      <c r="K4156" s="2" t="s">
        <v>5955</v>
      </c>
      <c r="L4156" s="2">
        <f t="shared" si="64"/>
        <v>150</v>
      </c>
    </row>
    <row r="4157" spans="1:12" ht="25" customHeight="1">
      <c r="A4157" s="2" t="s">
        <v>12</v>
      </c>
      <c r="B4157" s="2" t="str">
        <f>HYPERLINK("http://m.12365auto.com/bbs/postcontent.aspx?tID=194794","7座SUV不香了 它出现会刺激到你吗？")</f>
        <v>7座SUV不香了 它出现会刺激到你吗？</v>
      </c>
      <c r="C4157" s="2" t="s">
        <v>13</v>
      </c>
      <c r="D4157" s="2" t="s">
        <v>23</v>
      </c>
      <c r="E4157" s="2"/>
      <c r="F4157" s="2" t="str">
        <f>HYPERLINK("http://m.12365auto.com/bbs/postcontent.aspx?tID=194794","http://m.12365auto.com/bbs/postcontent.aspx?tID=194794")</f>
        <v>http://m.12365auto.com/bbs/postcontent.aspx?tID=194794</v>
      </c>
      <c r="G4157" s="2"/>
      <c r="H4157" s="2" t="s">
        <v>5954</v>
      </c>
      <c r="I4157" s="2" t="s">
        <v>15</v>
      </c>
      <c r="J4157" s="2" t="s">
        <v>1790</v>
      </c>
      <c r="K4157" s="2" t="s">
        <v>5955</v>
      </c>
      <c r="L4157" s="2">
        <f t="shared" si="64"/>
        <v>150</v>
      </c>
    </row>
    <row r="4158" spans="1:12" ht="25" customHeight="1">
      <c r="A4158" s="2" t="s">
        <v>12</v>
      </c>
      <c r="B4158" s="2" t="str">
        <f>HYPERLINK("http://m.12365auto.com/bbs/postcontent.aspx?tID=194795","二月新车盘点，高端SUV这三款不要错过")</f>
        <v>二月新车盘点，高端SUV这三款不要错过</v>
      </c>
      <c r="C4158" s="2" t="s">
        <v>13</v>
      </c>
      <c r="D4158" s="2" t="s">
        <v>23</v>
      </c>
      <c r="E4158" s="2"/>
      <c r="F4158" s="2" t="str">
        <f>HYPERLINK("http://m.12365auto.com/bbs/postcontent.aspx?tID=194795","http://m.12365auto.com/bbs/postcontent.aspx?tID=194795")</f>
        <v>http://m.12365auto.com/bbs/postcontent.aspx?tID=194795</v>
      </c>
      <c r="G4158" s="2"/>
      <c r="H4158" s="2" t="s">
        <v>5956</v>
      </c>
      <c r="I4158" s="2" t="s">
        <v>15</v>
      </c>
      <c r="J4158" s="2" t="s">
        <v>1790</v>
      </c>
      <c r="K4158" s="2" t="s">
        <v>5955</v>
      </c>
      <c r="L4158" s="2">
        <f t="shared" si="64"/>
        <v>150</v>
      </c>
    </row>
    <row r="4159" spans="1:12" ht="25" customHeight="1">
      <c r="A4159" s="2" t="s">
        <v>12</v>
      </c>
      <c r="B4159" s="2" t="str">
        <f>HYPERLINK("http://m.12365auto.com/xcdg/20200221/419196.shtml","轻松解决私密出行 10万级SUV可以这么选")</f>
        <v>轻松解决私密出行 10万级SUV可以这么选</v>
      </c>
      <c r="C4159" s="2" t="s">
        <v>13</v>
      </c>
      <c r="D4159" s="2" t="s">
        <v>12</v>
      </c>
      <c r="E4159" s="2"/>
      <c r="F4159" s="2" t="str">
        <f>HYPERLINK("http://m.12365auto.com/xcdg/20200221/419196.shtml","http://m.12365auto.com/xcdg/20200221/419196.shtml")</f>
        <v>http://m.12365auto.com/xcdg/20200221/419196.shtml</v>
      </c>
      <c r="G4159" s="2"/>
      <c r="H4159" s="2" t="s">
        <v>5957</v>
      </c>
      <c r="I4159" s="2" t="s">
        <v>19</v>
      </c>
      <c r="J4159" s="2" t="s">
        <v>2760</v>
      </c>
      <c r="K4159" s="2" t="s">
        <v>5955</v>
      </c>
      <c r="L4159" s="2">
        <f t="shared" si="64"/>
        <v>150</v>
      </c>
    </row>
    <row r="4160" spans="1:12" ht="25" customHeight="1">
      <c r="A4160" s="2" t="s">
        <v>12</v>
      </c>
      <c r="B4160" s="2" t="str">
        <f>HYPERLINK("http://bbs.12365auto.com/postcontent.aspx?tID=194795","二月新车盘点，高端SUV这三款不要错过")</f>
        <v>二月新车盘点，高端SUV这三款不要错过</v>
      </c>
      <c r="C4160" s="2" t="s">
        <v>13</v>
      </c>
      <c r="D4160" s="2" t="s">
        <v>12</v>
      </c>
      <c r="E4160" s="2" t="s">
        <v>214</v>
      </c>
      <c r="F4160" s="2" t="str">
        <f>HYPERLINK("http://bbs.12365auto.com/postcontent.aspx?tID=194795","http://bbs.12365auto.com/postcontent.aspx?tID=194795")</f>
        <v>http://bbs.12365auto.com/postcontent.aspx?tID=194795</v>
      </c>
      <c r="G4160" s="2"/>
      <c r="H4160" s="2" t="s">
        <v>5958</v>
      </c>
      <c r="I4160" s="2" t="s">
        <v>15</v>
      </c>
      <c r="J4160" s="2" t="s">
        <v>1790</v>
      </c>
      <c r="K4160" s="2" t="s">
        <v>5955</v>
      </c>
      <c r="L4160" s="2">
        <f t="shared" si="64"/>
        <v>150</v>
      </c>
    </row>
    <row r="4161" spans="1:12" ht="25" customHeight="1">
      <c r="A4161" s="2" t="s">
        <v>12</v>
      </c>
      <c r="B4161" s="2" t="str">
        <f>HYPERLINK("http://bbs.12365auto.com/postcontent.aspx?tID=194794","7座SUV不香了 它出现会刺激到你吗？")</f>
        <v>7座SUV不香了 它出现会刺激到你吗？</v>
      </c>
      <c r="C4161" s="2" t="s">
        <v>13</v>
      </c>
      <c r="D4161" s="2" t="s">
        <v>12</v>
      </c>
      <c r="E4161" s="2" t="s">
        <v>214</v>
      </c>
      <c r="F4161" s="2" t="str">
        <f>HYPERLINK("http://bbs.12365auto.com/postcontent.aspx?tID=194794","http://bbs.12365auto.com/postcontent.aspx?tID=194794")</f>
        <v>http://bbs.12365auto.com/postcontent.aspx?tID=194794</v>
      </c>
      <c r="G4161" s="2"/>
      <c r="H4161" s="2" t="s">
        <v>5959</v>
      </c>
      <c r="I4161" s="2" t="s">
        <v>15</v>
      </c>
      <c r="J4161" s="2" t="s">
        <v>1790</v>
      </c>
      <c r="K4161" s="2" t="s">
        <v>5955</v>
      </c>
      <c r="L4161" s="2">
        <f t="shared" si="64"/>
        <v>150</v>
      </c>
    </row>
    <row r="4162" spans="1:12" ht="25" customHeight="1">
      <c r="A4162" s="2" t="s">
        <v>12</v>
      </c>
      <c r="B4162" s="2" t="str">
        <f>HYPERLINK("http://bbs.12365auto.com/postcontent.aspx?tID=194792","30多万SUV，舒适、省油、保值")</f>
        <v>30多万SUV，舒适、省油、保值</v>
      </c>
      <c r="C4162" s="2" t="s">
        <v>13</v>
      </c>
      <c r="D4162" s="2" t="s">
        <v>12</v>
      </c>
      <c r="E4162" s="2" t="s">
        <v>214</v>
      </c>
      <c r="F4162" s="2" t="str">
        <f>HYPERLINK("http://bbs.12365auto.com/postcontent.aspx?tID=194792","http://bbs.12365auto.com/postcontent.aspx?tID=194792")</f>
        <v>http://bbs.12365auto.com/postcontent.aspx?tID=194792</v>
      </c>
      <c r="G4162" s="2"/>
      <c r="H4162" s="2" t="s">
        <v>5960</v>
      </c>
      <c r="I4162" s="2" t="s">
        <v>15</v>
      </c>
      <c r="J4162" s="2" t="s">
        <v>1790</v>
      </c>
      <c r="K4162" s="2" t="s">
        <v>5961</v>
      </c>
      <c r="L4162" s="2">
        <f t="shared" si="64"/>
        <v>150</v>
      </c>
    </row>
    <row r="4163" spans="1:12" ht="25" customHeight="1">
      <c r="A4163" s="2" t="s">
        <v>12</v>
      </c>
      <c r="B4163" s="2" t="str">
        <f>HYPERLINK("http://bbs.12365auto.com/postcontent.aspx?tId=194793","号称“真七座”SUV，空间完胜普拉多")</f>
        <v>号称“真七座”SUV，空间完胜普拉多</v>
      </c>
      <c r="C4163" s="2" t="s">
        <v>13</v>
      </c>
      <c r="D4163" s="2" t="s">
        <v>12</v>
      </c>
      <c r="E4163" s="2" t="s">
        <v>210</v>
      </c>
      <c r="F4163" s="2" t="str">
        <f>HYPERLINK("http://bbs.12365auto.com/postcontent.aspx?tId=194793","http://bbs.12365auto.com/postcontent.aspx?tId=194793")</f>
        <v>http://bbs.12365auto.com/postcontent.aspx?tId=194793</v>
      </c>
      <c r="G4163" s="2"/>
      <c r="H4163" s="2" t="s">
        <v>5962</v>
      </c>
      <c r="I4163" s="2" t="s">
        <v>15</v>
      </c>
      <c r="J4163" s="2" t="s">
        <v>1790</v>
      </c>
      <c r="K4163" s="2" t="s">
        <v>5961</v>
      </c>
      <c r="L4163" s="2">
        <f t="shared" ref="L4163:L4226" si="65">LEN(H4163)</f>
        <v>150</v>
      </c>
    </row>
    <row r="4164" spans="1:12" ht="25" customHeight="1">
      <c r="A4164" s="2" t="s">
        <v>12</v>
      </c>
      <c r="B4164" s="2" t="str">
        <f>HYPERLINK("http://bbs.12365auto.com/postcontent.aspx?tId=194792","30多万SUV，舒适、省油、保值")</f>
        <v>30多万SUV，舒适、省油、保值</v>
      </c>
      <c r="C4164" s="2" t="s">
        <v>13</v>
      </c>
      <c r="D4164" s="2" t="s">
        <v>12</v>
      </c>
      <c r="E4164" s="2" t="s">
        <v>210</v>
      </c>
      <c r="F4164" s="2" t="str">
        <f>HYPERLINK("http://bbs.12365auto.com/postcontent.aspx?tId=194792","http://bbs.12365auto.com/postcontent.aspx?tId=194792")</f>
        <v>http://bbs.12365auto.com/postcontent.aspx?tId=194792</v>
      </c>
      <c r="G4164" s="2"/>
      <c r="H4164" s="2" t="s">
        <v>5963</v>
      </c>
      <c r="I4164" s="2" t="s">
        <v>15</v>
      </c>
      <c r="J4164" s="2" t="s">
        <v>1790</v>
      </c>
      <c r="K4164" s="2" t="s">
        <v>5961</v>
      </c>
      <c r="L4164" s="2">
        <f t="shared" si="65"/>
        <v>150</v>
      </c>
    </row>
    <row r="4165" spans="1:12" ht="25" customHeight="1">
      <c r="A4165" s="2" t="s">
        <v>12</v>
      </c>
      <c r="B4165" s="2" t="str">
        <f>HYPERLINK("http://m.12365auto.com/bbs/postcontent.aspx?tID=194793","号称“真七座”SUV，空间完胜普拉多")</f>
        <v>号称“真七座”SUV，空间完胜普拉多</v>
      </c>
      <c r="C4165" s="2" t="s">
        <v>13</v>
      </c>
      <c r="D4165" s="2" t="s">
        <v>23</v>
      </c>
      <c r="E4165" s="2"/>
      <c r="F4165" s="2" t="str">
        <f>HYPERLINK("http://m.12365auto.com/bbs/postcontent.aspx?tID=194793","http://m.12365auto.com/bbs/postcontent.aspx?tID=194793")</f>
        <v>http://m.12365auto.com/bbs/postcontent.aspx?tID=194793</v>
      </c>
      <c r="G4165" s="2"/>
      <c r="H4165" s="2" t="s">
        <v>5962</v>
      </c>
      <c r="I4165" s="2" t="s">
        <v>15</v>
      </c>
      <c r="J4165" s="2" t="s">
        <v>1790</v>
      </c>
      <c r="K4165" s="2" t="s">
        <v>5961</v>
      </c>
      <c r="L4165" s="2">
        <f t="shared" si="65"/>
        <v>150</v>
      </c>
    </row>
    <row r="4166" spans="1:12" ht="25" customHeight="1">
      <c r="A4166" s="2" t="s">
        <v>12</v>
      </c>
      <c r="B4166" s="2" t="str">
        <f>HYPERLINK("http://m.12365auto.com/bbs/postcontent.aspx?tID=194792","30多万SUV，舒适、省油、保值")</f>
        <v>30多万SUV，舒适、省油、保值</v>
      </c>
      <c r="C4166" s="2" t="s">
        <v>13</v>
      </c>
      <c r="D4166" s="2" t="s">
        <v>23</v>
      </c>
      <c r="E4166" s="2"/>
      <c r="F4166" s="2" t="str">
        <f>HYPERLINK("http://m.12365auto.com/bbs/postcontent.aspx?tID=194792","http://m.12365auto.com/bbs/postcontent.aspx?tID=194792")</f>
        <v>http://m.12365auto.com/bbs/postcontent.aspx?tID=194792</v>
      </c>
      <c r="G4166" s="2"/>
      <c r="H4166" s="2" t="s">
        <v>5963</v>
      </c>
      <c r="I4166" s="2" t="s">
        <v>15</v>
      </c>
      <c r="J4166" s="2" t="s">
        <v>1790</v>
      </c>
      <c r="K4166" s="2" t="s">
        <v>5961</v>
      </c>
      <c r="L4166" s="2">
        <f t="shared" si="65"/>
        <v>150</v>
      </c>
    </row>
    <row r="4167" spans="1:12" ht="25" customHeight="1">
      <c r="A4167" s="2" t="s">
        <v>12</v>
      </c>
      <c r="B4167" s="2" t="str">
        <f>HYPERLINK("http://bbs.12365auto.com/postcontent.aspx?tID=194793","号称“真七座”SUV，空间完胜普拉多")</f>
        <v>号称“真七座”SUV，空间完胜普拉多</v>
      </c>
      <c r="C4167" s="2" t="s">
        <v>13</v>
      </c>
      <c r="D4167" s="2" t="s">
        <v>12</v>
      </c>
      <c r="E4167" s="2" t="s">
        <v>214</v>
      </c>
      <c r="F4167" s="2" t="str">
        <f>HYPERLINK("http://bbs.12365auto.com/postcontent.aspx?tID=194793","http://bbs.12365auto.com/postcontent.aspx?tID=194793")</f>
        <v>http://bbs.12365auto.com/postcontent.aspx?tID=194793</v>
      </c>
      <c r="G4167" s="2"/>
      <c r="H4167" s="2" t="s">
        <v>5964</v>
      </c>
      <c r="I4167" s="2" t="s">
        <v>15</v>
      </c>
      <c r="J4167" s="2" t="s">
        <v>1790</v>
      </c>
      <c r="K4167" s="2" t="s">
        <v>5961</v>
      </c>
      <c r="L4167" s="2">
        <f t="shared" si="65"/>
        <v>150</v>
      </c>
    </row>
    <row r="4168" spans="1:12" ht="25" customHeight="1">
      <c r="A4168" s="2" t="s">
        <v>12</v>
      </c>
      <c r="B4168" s="2" t="str">
        <f>HYPERLINK("http://bbs.12365auto.com/postcontent.aspx?tID=194791","20万元级各车型最值得推荐的车导购")</f>
        <v>20万元级各车型最值得推荐的车导购</v>
      </c>
      <c r="C4168" s="2" t="s">
        <v>13</v>
      </c>
      <c r="D4168" s="2" t="s">
        <v>12</v>
      </c>
      <c r="E4168" s="2" t="s">
        <v>214</v>
      </c>
      <c r="F4168" s="2" t="str">
        <f>HYPERLINK("http://bbs.12365auto.com/postcontent.aspx?tID=194791","http://bbs.12365auto.com/postcontent.aspx?tID=194791")</f>
        <v>http://bbs.12365auto.com/postcontent.aspx?tID=194791</v>
      </c>
      <c r="G4168" s="2"/>
      <c r="H4168" s="2" t="s">
        <v>5965</v>
      </c>
      <c r="I4168" s="2" t="s">
        <v>15</v>
      </c>
      <c r="J4168" s="2" t="s">
        <v>1790</v>
      </c>
      <c r="K4168" s="2" t="s">
        <v>5966</v>
      </c>
      <c r="L4168" s="2">
        <f t="shared" si="65"/>
        <v>150</v>
      </c>
    </row>
    <row r="4169" spans="1:12" ht="25" customHeight="1">
      <c r="A4169" s="2" t="s">
        <v>12</v>
      </c>
      <c r="B4169" s="2" t="str">
        <f>HYPERLINK("http://bbs.12365auto.com/postcontent.aspx?tId=194791","20万元级各车型最值得推荐的车导购")</f>
        <v>20万元级各车型最值得推荐的车导购</v>
      </c>
      <c r="C4169" s="2" t="s">
        <v>13</v>
      </c>
      <c r="D4169" s="2" t="s">
        <v>12</v>
      </c>
      <c r="E4169" s="2" t="s">
        <v>210</v>
      </c>
      <c r="F4169" s="2" t="str">
        <f>HYPERLINK("http://bbs.12365auto.com/postcontent.aspx?tId=194791","http://bbs.12365auto.com/postcontent.aspx?tId=194791")</f>
        <v>http://bbs.12365auto.com/postcontent.aspx?tId=194791</v>
      </c>
      <c r="G4169" s="2"/>
      <c r="H4169" s="2" t="s">
        <v>5967</v>
      </c>
      <c r="I4169" s="2" t="s">
        <v>15</v>
      </c>
      <c r="J4169" s="2" t="s">
        <v>1790</v>
      </c>
      <c r="K4169" s="2" t="s">
        <v>5966</v>
      </c>
      <c r="L4169" s="2">
        <f t="shared" si="65"/>
        <v>150</v>
      </c>
    </row>
    <row r="4170" spans="1:12" ht="25" customHeight="1">
      <c r="A4170" s="2" t="s">
        <v>12</v>
      </c>
      <c r="B4170" s="2" t="str">
        <f>HYPERLINK("http://www.12365auto.com/xcdg/20200221/419195.shtml","不断进化的虎口 全新一代起亚K5设计解析")</f>
        <v>不断进化的虎口 全新一代起亚K5设计解析</v>
      </c>
      <c r="C4170" s="2" t="s">
        <v>13</v>
      </c>
      <c r="D4170" s="2" t="s">
        <v>12</v>
      </c>
      <c r="E4170" s="2" t="s">
        <v>216</v>
      </c>
      <c r="F4170" s="2" t="str">
        <f>HYPERLINK("http://www.12365auto.com/xcdg/20200221/419195.shtml","http://www.12365auto.com/xcdg/20200221/419195.shtml")</f>
        <v>http://www.12365auto.com/xcdg/20200221/419195.shtml</v>
      </c>
      <c r="G4170" s="2"/>
      <c r="H4170" s="2" t="s">
        <v>5968</v>
      </c>
      <c r="I4170" s="2" t="s">
        <v>15</v>
      </c>
      <c r="J4170" s="2" t="s">
        <v>12</v>
      </c>
      <c r="K4170" s="2" t="s">
        <v>5966</v>
      </c>
      <c r="L4170" s="2">
        <f t="shared" si="65"/>
        <v>106</v>
      </c>
    </row>
    <row r="4171" spans="1:12" ht="25" customHeight="1">
      <c r="A4171" s="2" t="s">
        <v>12</v>
      </c>
      <c r="B4171" s="2" t="str">
        <f>HYPERLINK("http://m.12365auto.com/xcdg/20200221/419195.shtml","不断进化的虎口 全新一代起亚K5设计解析")</f>
        <v>不断进化的虎口 全新一代起亚K5设计解析</v>
      </c>
      <c r="C4171" s="2" t="s">
        <v>13</v>
      </c>
      <c r="D4171" s="2" t="s">
        <v>12</v>
      </c>
      <c r="E4171" s="2"/>
      <c r="F4171" s="2" t="str">
        <f>HYPERLINK("http://m.12365auto.com/xcdg/20200221/419195.shtml","http://m.12365auto.com/xcdg/20200221/419195.shtml")</f>
        <v>http://m.12365auto.com/xcdg/20200221/419195.shtml</v>
      </c>
      <c r="G4171" s="2"/>
      <c r="H4171" s="2" t="s">
        <v>5969</v>
      </c>
      <c r="I4171" s="2" t="s">
        <v>19</v>
      </c>
      <c r="J4171" s="2" t="s">
        <v>5970</v>
      </c>
      <c r="K4171" s="2" t="s">
        <v>5966</v>
      </c>
      <c r="L4171" s="2">
        <f t="shared" si="65"/>
        <v>108</v>
      </c>
    </row>
    <row r="4172" spans="1:12" ht="25" customHeight="1">
      <c r="A4172" s="2" t="s">
        <v>12</v>
      </c>
      <c r="B4172" s="2" t="str">
        <f>HYPERLINK("http://www.12365auto.com/zlts/20200221/447986.shtml","东风本田思域优科豪马轮胎掉皮 底盘异响")</f>
        <v>东风本田思域优科豪马轮胎掉皮 底盘异响</v>
      </c>
      <c r="C4172" s="2" t="s">
        <v>13</v>
      </c>
      <c r="D4172" s="2" t="s">
        <v>12</v>
      </c>
      <c r="E4172" s="2" t="s">
        <v>17</v>
      </c>
      <c r="F4172" s="2" t="str">
        <f>HYPERLINK("http://www.12365auto.com/zlts/20200221/447986.shtml","http://www.12365auto.com/zlts/20200221/447986.shtml")</f>
        <v>http://www.12365auto.com/zlts/20200221/447986.shtml</v>
      </c>
      <c r="G4172" s="2"/>
      <c r="H4172" s="2" t="s">
        <v>5971</v>
      </c>
      <c r="I4172" s="2" t="s">
        <v>15</v>
      </c>
      <c r="J4172" s="2" t="s">
        <v>12</v>
      </c>
      <c r="K4172" s="2" t="s">
        <v>5972</v>
      </c>
      <c r="L4172" s="2">
        <f t="shared" si="65"/>
        <v>150</v>
      </c>
    </row>
    <row r="4173" spans="1:12" ht="25" customHeight="1">
      <c r="A4173" s="2" t="s">
        <v>12</v>
      </c>
      <c r="B4173" s="2" t="str">
        <f>HYPERLINK("http://www.12365auto.com/zlts/20200221/447984.shtml","吉利帝豪GS发动机故障灯亮 自动熄火")</f>
        <v>吉利帝豪GS发动机故障灯亮 自动熄火</v>
      </c>
      <c r="C4173" s="2" t="s">
        <v>13</v>
      </c>
      <c r="D4173" s="2" t="s">
        <v>12</v>
      </c>
      <c r="E4173" s="2" t="s">
        <v>17</v>
      </c>
      <c r="F4173" s="2" t="str">
        <f>HYPERLINK("http://www.12365auto.com/zlts/20200221/447984.shtml","http://www.12365auto.com/zlts/20200221/447984.shtml")</f>
        <v>http://www.12365auto.com/zlts/20200221/447984.shtml</v>
      </c>
      <c r="G4173" s="2"/>
      <c r="H4173" s="2" t="s">
        <v>5973</v>
      </c>
      <c r="I4173" s="2" t="s">
        <v>19</v>
      </c>
      <c r="J4173" s="2" t="s">
        <v>12</v>
      </c>
      <c r="K4173" s="2" t="s">
        <v>5974</v>
      </c>
      <c r="L4173" s="2">
        <f t="shared" si="65"/>
        <v>150</v>
      </c>
    </row>
    <row r="4174" spans="1:12" ht="25" customHeight="1">
      <c r="A4174" s="2" t="s">
        <v>12</v>
      </c>
      <c r="B4174" s="2" t="str">
        <f>HYPERLINK("http://m.12365auto.com/xcdg/20200221/419194.shtml","30万买宝马 高颜值好配置 探访宝马3系")</f>
        <v>30万买宝马 高颜值好配置 探访宝马3系</v>
      </c>
      <c r="C4174" s="2" t="s">
        <v>13</v>
      </c>
      <c r="D4174" s="2" t="s">
        <v>12</v>
      </c>
      <c r="E4174" s="2"/>
      <c r="F4174" s="2" t="str">
        <f>HYPERLINK("http://m.12365auto.com/xcdg/20200221/419194.shtml","http://m.12365auto.com/xcdg/20200221/419194.shtml")</f>
        <v>http://m.12365auto.com/xcdg/20200221/419194.shtml</v>
      </c>
      <c r="G4174" s="2"/>
      <c r="H4174" s="2" t="s">
        <v>5975</v>
      </c>
      <c r="I4174" s="2" t="s">
        <v>19</v>
      </c>
      <c r="J4174" s="2" t="s">
        <v>3500</v>
      </c>
      <c r="K4174" s="2" t="s">
        <v>5976</v>
      </c>
      <c r="L4174" s="2">
        <f t="shared" si="65"/>
        <v>150</v>
      </c>
    </row>
    <row r="4175" spans="1:12" ht="25" customHeight="1">
      <c r="A4175" s="2" t="s">
        <v>12</v>
      </c>
      <c r="B4175" s="2" t="str">
        <f>HYPERLINK("http://www.12365auto.com/xcdg/20200221/419193.shtml","本田雅阁混动版开售 搭2.0L/配投影门灯")</f>
        <v>本田雅阁混动版开售 搭2.0L/配投影门灯</v>
      </c>
      <c r="C4175" s="2" t="s">
        <v>13</v>
      </c>
      <c r="D4175" s="2" t="s">
        <v>12</v>
      </c>
      <c r="E4175" s="2" t="s">
        <v>216</v>
      </c>
      <c r="F4175" s="2" t="str">
        <f>HYPERLINK("http://www.12365auto.com/xcdg/20200221/419193.shtml","http://www.12365auto.com/xcdg/20200221/419193.shtml")</f>
        <v>http://www.12365auto.com/xcdg/20200221/419193.shtml</v>
      </c>
      <c r="G4175" s="2"/>
      <c r="H4175" s="2" t="s">
        <v>5977</v>
      </c>
      <c r="I4175" s="2" t="s">
        <v>15</v>
      </c>
      <c r="J4175" s="2" t="s">
        <v>12</v>
      </c>
      <c r="K4175" s="2" t="s">
        <v>5978</v>
      </c>
      <c r="L4175" s="2">
        <f t="shared" si="65"/>
        <v>150</v>
      </c>
    </row>
    <row r="4176" spans="1:12" ht="25" customHeight="1">
      <c r="A4176" s="2" t="s">
        <v>12</v>
      </c>
      <c r="B4176" s="2" t="str">
        <f>HYPERLINK("http://m.12365auto.com/xcdg/20200221/419193.shtml","本田雅阁混动版开售 搭2.0L/配投影门灯")</f>
        <v>本田雅阁混动版开售 搭2.0L/配投影门灯</v>
      </c>
      <c r="C4176" s="2" t="s">
        <v>13</v>
      </c>
      <c r="D4176" s="2" t="s">
        <v>12</v>
      </c>
      <c r="E4176" s="2"/>
      <c r="F4176" s="2" t="str">
        <f>HYPERLINK("http://m.12365auto.com/xcdg/20200221/419193.shtml","http://m.12365auto.com/xcdg/20200221/419193.shtml")</f>
        <v>http://m.12365auto.com/xcdg/20200221/419193.shtml</v>
      </c>
      <c r="G4176" s="2"/>
      <c r="H4176" s="2" t="s">
        <v>5979</v>
      </c>
      <c r="I4176" s="2" t="s">
        <v>19</v>
      </c>
      <c r="J4176" s="2" t="s">
        <v>220</v>
      </c>
      <c r="K4176" s="2" t="s">
        <v>5978</v>
      </c>
      <c r="L4176" s="2">
        <f t="shared" si="65"/>
        <v>150</v>
      </c>
    </row>
    <row r="4177" spans="1:12" ht="25" customHeight="1">
      <c r="A4177" s="2" t="s">
        <v>12</v>
      </c>
      <c r="B4177" s="2" t="str">
        <f>HYPERLINK("http://m.12365auto.com/xcdg/20200221/419192.shtml","大众全新高尔夫GTI低伪照 日内瓦车展亮相")</f>
        <v>大众全新高尔夫GTI低伪照 日内瓦车展亮相</v>
      </c>
      <c r="C4177" s="2" t="s">
        <v>13</v>
      </c>
      <c r="D4177" s="2" t="s">
        <v>12</v>
      </c>
      <c r="E4177" s="2"/>
      <c r="F4177" s="2" t="str">
        <f>HYPERLINK("http://m.12365auto.com/xcdg/20200221/419192.shtml","http://m.12365auto.com/xcdg/20200221/419192.shtml")</f>
        <v>http://m.12365auto.com/xcdg/20200221/419192.shtml</v>
      </c>
      <c r="G4177" s="2"/>
      <c r="H4177" s="2" t="s">
        <v>5980</v>
      </c>
      <c r="I4177" s="2" t="s">
        <v>19</v>
      </c>
      <c r="J4177" s="2" t="s">
        <v>222</v>
      </c>
      <c r="K4177" s="2" t="s">
        <v>5981</v>
      </c>
      <c r="L4177" s="2">
        <f t="shared" si="65"/>
        <v>150</v>
      </c>
    </row>
    <row r="4178" spans="1:12" ht="25" customHeight="1">
      <c r="A4178" s="2" t="s">
        <v>12</v>
      </c>
      <c r="B4178" s="2" t="str">
        <f>HYPERLINK("http://www.12365auto.com/xcdg/20200221/419192.shtml","大众全新高尔夫GTI低伪照 日内瓦车展亮相")</f>
        <v>大众全新高尔夫GTI低伪照 日内瓦车展亮相</v>
      </c>
      <c r="C4178" s="2" t="s">
        <v>13</v>
      </c>
      <c r="D4178" s="2" t="s">
        <v>12</v>
      </c>
      <c r="E4178" s="2" t="s">
        <v>224</v>
      </c>
      <c r="F4178" s="2" t="str">
        <f>HYPERLINK("http://www.12365auto.com/xcdg/20200221/419192.shtml","http://www.12365auto.com/xcdg/20200221/419192.shtml")</f>
        <v>http://www.12365auto.com/xcdg/20200221/419192.shtml</v>
      </c>
      <c r="G4178" s="2"/>
      <c r="H4178" s="2" t="s">
        <v>5982</v>
      </c>
      <c r="I4178" s="2" t="s">
        <v>15</v>
      </c>
      <c r="J4178" s="2" t="s">
        <v>12</v>
      </c>
      <c r="K4178" s="2" t="s">
        <v>5981</v>
      </c>
      <c r="L4178" s="2">
        <f t="shared" si="65"/>
        <v>150</v>
      </c>
    </row>
    <row r="4179" spans="1:12" ht="25" customHeight="1">
      <c r="A4179" s="2" t="s">
        <v>12</v>
      </c>
      <c r="B4179" s="2" t="str">
        <f>HYPERLINK("http://m.12365auto.com/news/20200221/419191.shtml","沃尔沃车型动力总成变更 取消T8外代号")</f>
        <v>沃尔沃车型动力总成变更 取消T8外代号</v>
      </c>
      <c r="C4179" s="2" t="s">
        <v>13</v>
      </c>
      <c r="D4179" s="2" t="s">
        <v>12</v>
      </c>
      <c r="E4179" s="2"/>
      <c r="F4179" s="2" t="str">
        <f>HYPERLINK("http://m.12365auto.com/news/20200221/419191.shtml","http://m.12365auto.com/news/20200221/419191.shtml")</f>
        <v>http://m.12365auto.com/news/20200221/419191.shtml</v>
      </c>
      <c r="G4179" s="2"/>
      <c r="H4179" s="2" t="s">
        <v>5983</v>
      </c>
      <c r="I4179" s="2" t="s">
        <v>19</v>
      </c>
      <c r="J4179" s="2" t="s">
        <v>222</v>
      </c>
      <c r="K4179" s="2" t="s">
        <v>5984</v>
      </c>
      <c r="L4179" s="2">
        <f t="shared" si="65"/>
        <v>150</v>
      </c>
    </row>
    <row r="4180" spans="1:12" ht="25" customHeight="1">
      <c r="A4180" s="2" t="s">
        <v>12</v>
      </c>
      <c r="B4180" s="2" t="str">
        <f>HYPERLINK("http://www.12365auto.com/news/20200221/419191.shtml","沃尔沃车型动力总成变更 取消T8外代号")</f>
        <v>沃尔沃车型动力总成变更 取消T8外代号</v>
      </c>
      <c r="C4180" s="2" t="s">
        <v>13</v>
      </c>
      <c r="D4180" s="2" t="s">
        <v>12</v>
      </c>
      <c r="E4180" s="2" t="s">
        <v>276</v>
      </c>
      <c r="F4180" s="2" t="str">
        <f>HYPERLINK("http://www.12365auto.com/news/20200221/419191.shtml","http://www.12365auto.com/news/20200221/419191.shtml")</f>
        <v>http://www.12365auto.com/news/20200221/419191.shtml</v>
      </c>
      <c r="G4180" s="2"/>
      <c r="H4180" s="2" t="s">
        <v>5985</v>
      </c>
      <c r="I4180" s="2" t="s">
        <v>15</v>
      </c>
      <c r="J4180" s="2" t="s">
        <v>12</v>
      </c>
      <c r="K4180" s="2" t="s">
        <v>5984</v>
      </c>
      <c r="L4180" s="2">
        <f t="shared" si="65"/>
        <v>150</v>
      </c>
    </row>
    <row r="4181" spans="1:12" ht="25" customHeight="1">
      <c r="A4181" s="2" t="s">
        <v>12</v>
      </c>
      <c r="B4181" s="2" t="str">
        <f>HYPERLINK("http://www.12365auto.com/zlts/20200221/447981.shtml","上汽大众帕萨特烧机油 电瓶电量不足")</f>
        <v>上汽大众帕萨特烧机油 电瓶电量不足</v>
      </c>
      <c r="C4181" s="2" t="s">
        <v>13</v>
      </c>
      <c r="D4181" s="2" t="s">
        <v>12</v>
      </c>
      <c r="E4181" s="2" t="s">
        <v>17</v>
      </c>
      <c r="F4181" s="2" t="str">
        <f>HYPERLINK("http://www.12365auto.com/zlts/20200221/447981.shtml","http://www.12365auto.com/zlts/20200221/447981.shtml")</f>
        <v>http://www.12365auto.com/zlts/20200221/447981.shtml</v>
      </c>
      <c r="G4181" s="2"/>
      <c r="H4181" s="2" t="s">
        <v>5986</v>
      </c>
      <c r="I4181" s="2" t="s">
        <v>15</v>
      </c>
      <c r="J4181" s="2" t="s">
        <v>12</v>
      </c>
      <c r="K4181" s="2" t="s">
        <v>5987</v>
      </c>
      <c r="L4181" s="2">
        <f t="shared" si="65"/>
        <v>150</v>
      </c>
    </row>
    <row r="4182" spans="1:12" ht="25" customHeight="1">
      <c r="A4182" s="2" t="s">
        <v>12</v>
      </c>
      <c r="B4182" s="2" t="str">
        <f>HYPERLINK("http://www.12365auto.com/zlts/20200221/447980.shtml","一汽大众速腾刹车时存在尖锐异响")</f>
        <v>一汽大众速腾刹车时存在尖锐异响</v>
      </c>
      <c r="C4182" s="2" t="s">
        <v>13</v>
      </c>
      <c r="D4182" s="2" t="s">
        <v>12</v>
      </c>
      <c r="E4182" s="2" t="s">
        <v>17</v>
      </c>
      <c r="F4182" s="2" t="str">
        <f>HYPERLINK("http://www.12365auto.com/zlts/20200221/447980.shtml","http://www.12365auto.com/zlts/20200221/447980.shtml")</f>
        <v>http://www.12365auto.com/zlts/20200221/447980.shtml</v>
      </c>
      <c r="G4182" s="2"/>
      <c r="H4182" s="2" t="s">
        <v>5988</v>
      </c>
      <c r="I4182" s="2" t="s">
        <v>19</v>
      </c>
      <c r="J4182" s="2" t="s">
        <v>12</v>
      </c>
      <c r="K4182" s="2" t="s">
        <v>5989</v>
      </c>
      <c r="L4182" s="2">
        <f t="shared" si="65"/>
        <v>150</v>
      </c>
    </row>
    <row r="4183" spans="1:12" ht="25" customHeight="1">
      <c r="A4183" s="2" t="s">
        <v>12</v>
      </c>
      <c r="B4183" s="2" t="str">
        <f>HYPERLINK("http://m.12365auto.com/xcdg/20200221/419190.shtml","30万/400公里 奔驰纯电SUV打得过特斯拉吗")</f>
        <v>30万/400公里 奔驰纯电SUV打得过特斯拉吗</v>
      </c>
      <c r="C4183" s="2" t="s">
        <v>13</v>
      </c>
      <c r="D4183" s="2" t="s">
        <v>12</v>
      </c>
      <c r="E4183" s="2"/>
      <c r="F4183" s="2" t="str">
        <f>HYPERLINK("http://m.12365auto.com/xcdg/20200221/419190.shtml","http://m.12365auto.com/xcdg/20200221/419190.shtml")</f>
        <v>http://m.12365auto.com/xcdg/20200221/419190.shtml</v>
      </c>
      <c r="G4183" s="2"/>
      <c r="H4183" s="2" t="s">
        <v>5990</v>
      </c>
      <c r="I4183" s="2" t="s">
        <v>19</v>
      </c>
      <c r="J4183" s="2" t="s">
        <v>5991</v>
      </c>
      <c r="K4183" s="2" t="s">
        <v>5992</v>
      </c>
      <c r="L4183" s="2">
        <f t="shared" si="65"/>
        <v>150</v>
      </c>
    </row>
    <row r="4184" spans="1:12" ht="25" customHeight="1">
      <c r="A4184" s="2" t="s">
        <v>12</v>
      </c>
      <c r="B4184" s="2" t="str">
        <f>HYPERLINK("http://www.12365auto.com/xcdg/20200221/419190.shtml","30万/400公里 奔驰纯电SUV打得过特斯拉吗")</f>
        <v>30万/400公里 奔驰纯电SUV打得过特斯拉吗</v>
      </c>
      <c r="C4184" s="2" t="s">
        <v>13</v>
      </c>
      <c r="D4184" s="2" t="s">
        <v>12</v>
      </c>
      <c r="E4184" s="2" t="s">
        <v>224</v>
      </c>
      <c r="F4184" s="2" t="str">
        <f>HYPERLINK("http://www.12365auto.com/xcdg/20200221/419190.shtml","http://www.12365auto.com/xcdg/20200221/419190.shtml")</f>
        <v>http://www.12365auto.com/xcdg/20200221/419190.shtml</v>
      </c>
      <c r="G4184" s="2"/>
      <c r="H4184" s="2" t="s">
        <v>5993</v>
      </c>
      <c r="I4184" s="2" t="s">
        <v>15</v>
      </c>
      <c r="J4184" s="2" t="s">
        <v>12</v>
      </c>
      <c r="K4184" s="2" t="s">
        <v>5992</v>
      </c>
      <c r="L4184" s="2">
        <f t="shared" si="65"/>
        <v>150</v>
      </c>
    </row>
    <row r="4185" spans="1:12" ht="25" customHeight="1">
      <c r="A4185" s="2" t="s">
        <v>12</v>
      </c>
      <c r="B4185" s="2" t="str">
        <f>HYPERLINK("http://www.12365auto.com/xcdg/20200221/419189.shtml","捷豹路虎将推出Project Vector概念车")</f>
        <v>捷豹路虎将推出Project Vector概念车</v>
      </c>
      <c r="C4185" s="2" t="s">
        <v>13</v>
      </c>
      <c r="D4185" s="2" t="s">
        <v>12</v>
      </c>
      <c r="E4185" s="2" t="s">
        <v>216</v>
      </c>
      <c r="F4185" s="2" t="str">
        <f>HYPERLINK("http://www.12365auto.com/xcdg/20200221/419189.shtml","http://www.12365auto.com/xcdg/20200221/419189.shtml")</f>
        <v>http://www.12365auto.com/xcdg/20200221/419189.shtml</v>
      </c>
      <c r="G4185" s="2"/>
      <c r="H4185" s="2" t="s">
        <v>5994</v>
      </c>
      <c r="I4185" s="2" t="s">
        <v>15</v>
      </c>
      <c r="J4185" s="2" t="s">
        <v>12</v>
      </c>
      <c r="K4185" s="2" t="s">
        <v>5995</v>
      </c>
      <c r="L4185" s="2">
        <f t="shared" si="65"/>
        <v>150</v>
      </c>
    </row>
    <row r="4186" spans="1:12" ht="25" customHeight="1">
      <c r="A4186" s="2" t="s">
        <v>12</v>
      </c>
      <c r="B4186" s="2" t="str">
        <f>HYPERLINK("http://m.12365auto.com/xcdg/20200221/419189.shtml","捷豹路虎将推出Project Vector概念车")</f>
        <v>捷豹路虎将推出Project Vector概念车</v>
      </c>
      <c r="C4186" s="2" t="s">
        <v>13</v>
      </c>
      <c r="D4186" s="2" t="s">
        <v>12</v>
      </c>
      <c r="E4186" s="2"/>
      <c r="F4186" s="2" t="str">
        <f>HYPERLINK("http://m.12365auto.com/xcdg/20200221/419189.shtml","http://m.12365auto.com/xcdg/20200221/419189.shtml")</f>
        <v>http://m.12365auto.com/xcdg/20200221/419189.shtml</v>
      </c>
      <c r="G4186" s="2"/>
      <c r="H4186" s="2" t="s">
        <v>5996</v>
      </c>
      <c r="I4186" s="2" t="s">
        <v>19</v>
      </c>
      <c r="J4186" s="2" t="s">
        <v>5997</v>
      </c>
      <c r="K4186" s="2" t="s">
        <v>5995</v>
      </c>
      <c r="L4186" s="2">
        <f t="shared" si="65"/>
        <v>150</v>
      </c>
    </row>
    <row r="4187" spans="1:12" ht="25" customHeight="1">
      <c r="A4187" s="2" t="s">
        <v>12</v>
      </c>
      <c r="B4187" s="2" t="str">
        <f>HYPERLINK("http://www.12365auto.com/zlts/20200221/447976.shtml","上汽名爵6变速箱无法提速厂家未回复")</f>
        <v>上汽名爵6变速箱无法提速厂家未回复</v>
      </c>
      <c r="C4187" s="2" t="s">
        <v>13</v>
      </c>
      <c r="D4187" s="2" t="s">
        <v>12</v>
      </c>
      <c r="E4187" s="2" t="s">
        <v>17</v>
      </c>
      <c r="F4187" s="2" t="str">
        <f>HYPERLINK("http://www.12365auto.com/zlts/20200221/447976.shtml","http://www.12365auto.com/zlts/20200221/447976.shtml")</f>
        <v>http://www.12365auto.com/zlts/20200221/447976.shtml</v>
      </c>
      <c r="G4187" s="2"/>
      <c r="H4187" s="2" t="s">
        <v>5998</v>
      </c>
      <c r="I4187" s="2" t="s">
        <v>19</v>
      </c>
      <c r="J4187" s="2" t="s">
        <v>12</v>
      </c>
      <c r="K4187" s="2" t="s">
        <v>5995</v>
      </c>
      <c r="L4187" s="2">
        <f t="shared" si="65"/>
        <v>150</v>
      </c>
    </row>
    <row r="4188" spans="1:12" ht="25" customHeight="1">
      <c r="A4188" s="2" t="s">
        <v>12</v>
      </c>
      <c r="B4188" s="2" t="str">
        <f>HYPERLINK("http://www.12365auto.com/xcdg/20200221/419188.shtml","土豪玩具 AMG G 63 Cigarette Edition官图")</f>
        <v>土豪玩具 AMG G 63 Cigarette Edition官图</v>
      </c>
      <c r="C4188" s="2" t="s">
        <v>13</v>
      </c>
      <c r="D4188" s="2" t="s">
        <v>12</v>
      </c>
      <c r="E4188" s="2" t="s">
        <v>216</v>
      </c>
      <c r="F4188" s="2" t="str">
        <f>HYPERLINK("http://www.12365auto.com/xcdg/20200221/419188.shtml","http://www.12365auto.com/xcdg/20200221/419188.shtml")</f>
        <v>http://www.12365auto.com/xcdg/20200221/419188.shtml</v>
      </c>
      <c r="G4188" s="2"/>
      <c r="H4188" s="2" t="s">
        <v>5999</v>
      </c>
      <c r="I4188" s="2" t="s">
        <v>15</v>
      </c>
      <c r="J4188" s="2" t="s">
        <v>12</v>
      </c>
      <c r="K4188" s="2" t="s">
        <v>6000</v>
      </c>
      <c r="L4188" s="2">
        <f t="shared" si="65"/>
        <v>150</v>
      </c>
    </row>
    <row r="4189" spans="1:12" ht="25" customHeight="1">
      <c r="A4189" s="2" t="s">
        <v>12</v>
      </c>
      <c r="B4189" s="2" t="str">
        <f>HYPERLINK("http://m.12365auto.com/xcdg/20200221/419188.shtml","土豪玩具 AMG G 63 Cigarette Edition官图")</f>
        <v>土豪玩具 AMG G 63 Cigarette Edition官图</v>
      </c>
      <c r="C4189" s="2" t="s">
        <v>13</v>
      </c>
      <c r="D4189" s="2" t="s">
        <v>12</v>
      </c>
      <c r="E4189" s="2"/>
      <c r="F4189" s="2" t="str">
        <f>HYPERLINK("http://m.12365auto.com/xcdg/20200221/419188.shtml","http://m.12365auto.com/xcdg/20200221/419188.shtml")</f>
        <v>http://m.12365auto.com/xcdg/20200221/419188.shtml</v>
      </c>
      <c r="G4189" s="2"/>
      <c r="H4189" s="2" t="s">
        <v>6001</v>
      </c>
      <c r="I4189" s="2" t="s">
        <v>19</v>
      </c>
      <c r="J4189" s="2" t="s">
        <v>5997</v>
      </c>
      <c r="K4189" s="2" t="s">
        <v>6000</v>
      </c>
      <c r="L4189" s="2">
        <f t="shared" si="65"/>
        <v>150</v>
      </c>
    </row>
    <row r="4190" spans="1:12" ht="25" customHeight="1">
      <c r="A4190" s="2" t="s">
        <v>12</v>
      </c>
      <c r="B4190" s="2" t="str">
        <f>HYPERLINK("http://www.12365auto.com/zlts/20200221/447975.shtml","领克01电瓶亏电导致发动机无法启动")</f>
        <v>领克01电瓶亏电导致发动机无法启动</v>
      </c>
      <c r="C4190" s="2" t="s">
        <v>13</v>
      </c>
      <c r="D4190" s="2" t="s">
        <v>12</v>
      </c>
      <c r="E4190" s="2" t="s">
        <v>17</v>
      </c>
      <c r="F4190" s="2" t="str">
        <f>HYPERLINK("http://www.12365auto.com/zlts/20200221/447975.shtml","http://www.12365auto.com/zlts/20200221/447975.shtml")</f>
        <v>http://www.12365auto.com/zlts/20200221/447975.shtml</v>
      </c>
      <c r="G4190" s="2"/>
      <c r="H4190" s="2" t="s">
        <v>6002</v>
      </c>
      <c r="I4190" s="2" t="s">
        <v>19</v>
      </c>
      <c r="J4190" s="2" t="s">
        <v>12</v>
      </c>
      <c r="K4190" s="2" t="s">
        <v>6003</v>
      </c>
      <c r="L4190" s="2">
        <f t="shared" si="65"/>
        <v>150</v>
      </c>
    </row>
    <row r="4191" spans="1:12" ht="25" customHeight="1">
      <c r="A4191" s="2" t="s">
        <v>12</v>
      </c>
      <c r="B4191" s="2" t="str">
        <f>HYPERLINK("http://www.12365auto.com/xcdg/20200221/419187.shtml","多款重磅车型更新 2020年本田在华新车展望")</f>
        <v>多款重磅车型更新 2020年本田在华新车展望</v>
      </c>
      <c r="C4191" s="2" t="s">
        <v>13</v>
      </c>
      <c r="D4191" s="2" t="s">
        <v>12</v>
      </c>
      <c r="E4191" s="2" t="s">
        <v>216</v>
      </c>
      <c r="F4191" s="2" t="str">
        <f>HYPERLINK("http://www.12365auto.com/xcdg/20200221/419187.shtml","http://www.12365auto.com/xcdg/20200221/419187.shtml")</f>
        <v>http://www.12365auto.com/xcdg/20200221/419187.shtml</v>
      </c>
      <c r="G4191" s="2"/>
      <c r="H4191" s="2" t="s">
        <v>6004</v>
      </c>
      <c r="I4191" s="2" t="s">
        <v>15</v>
      </c>
      <c r="J4191" s="2" t="s">
        <v>12</v>
      </c>
      <c r="K4191" s="2" t="s">
        <v>6005</v>
      </c>
      <c r="L4191" s="2">
        <f t="shared" si="65"/>
        <v>150</v>
      </c>
    </row>
    <row r="4192" spans="1:12" ht="25" customHeight="1">
      <c r="A4192" s="2" t="s">
        <v>12</v>
      </c>
      <c r="B4192" s="2" t="str">
        <f>HYPERLINK("http://m.12365auto.com/xcdg/20200221/419187.shtml","多款重磅车型更新 2020年本田在华新车展望")</f>
        <v>多款重磅车型更新 2020年本田在华新车展望</v>
      </c>
      <c r="C4192" s="2" t="s">
        <v>13</v>
      </c>
      <c r="D4192" s="2" t="s">
        <v>12</v>
      </c>
      <c r="E4192" s="2"/>
      <c r="F4192" s="2" t="str">
        <f>HYPERLINK("http://m.12365auto.com/xcdg/20200221/419187.shtml","http://m.12365auto.com/xcdg/20200221/419187.shtml")</f>
        <v>http://m.12365auto.com/xcdg/20200221/419187.shtml</v>
      </c>
      <c r="G4192" s="2"/>
      <c r="H4192" s="2" t="s">
        <v>6006</v>
      </c>
      <c r="I4192" s="2" t="s">
        <v>19</v>
      </c>
      <c r="J4192" s="2" t="s">
        <v>1775</v>
      </c>
      <c r="K4192" s="2" t="s">
        <v>6005</v>
      </c>
      <c r="L4192" s="2">
        <f t="shared" si="65"/>
        <v>150</v>
      </c>
    </row>
    <row r="4193" spans="1:12" ht="25" customHeight="1">
      <c r="A4193" s="2" t="s">
        <v>12</v>
      </c>
      <c r="B4193" s="2" t="str">
        <f>HYPERLINK("http://www.12365auto.com/news/20200221/419186.shtml","法国将加大对戈恩滥用雷诺资金调查")</f>
        <v>法国将加大对戈恩滥用雷诺资金调查</v>
      </c>
      <c r="C4193" s="2" t="s">
        <v>13</v>
      </c>
      <c r="D4193" s="2" t="s">
        <v>12</v>
      </c>
      <c r="E4193" s="2" t="s">
        <v>276</v>
      </c>
      <c r="F4193" s="2" t="str">
        <f>HYPERLINK("http://www.12365auto.com/news/20200221/419186.shtml","http://www.12365auto.com/news/20200221/419186.shtml")</f>
        <v>http://www.12365auto.com/news/20200221/419186.shtml</v>
      </c>
      <c r="G4193" s="2"/>
      <c r="H4193" s="2" t="s">
        <v>6007</v>
      </c>
      <c r="I4193" s="2" t="s">
        <v>15</v>
      </c>
      <c r="J4193" s="2" t="s">
        <v>12</v>
      </c>
      <c r="K4193" s="2" t="s">
        <v>6008</v>
      </c>
      <c r="L4193" s="2">
        <f t="shared" si="65"/>
        <v>150</v>
      </c>
    </row>
    <row r="4194" spans="1:12" ht="25" customHeight="1">
      <c r="A4194" s="2" t="s">
        <v>12</v>
      </c>
      <c r="B4194" s="2" t="str">
        <f>HYPERLINK("http://m.12365auto.com/news/20200221/419186.shtml","法国将加大对戈恩滥用雷诺资金调查")</f>
        <v>法国将加大对戈恩滥用雷诺资金调查</v>
      </c>
      <c r="C4194" s="2" t="s">
        <v>13</v>
      </c>
      <c r="D4194" s="2" t="s">
        <v>12</v>
      </c>
      <c r="E4194" s="2"/>
      <c r="F4194" s="2" t="str">
        <f>HYPERLINK("http://m.12365auto.com/news/20200221/419186.shtml","http://m.12365auto.com/news/20200221/419186.shtml")</f>
        <v>http://m.12365auto.com/news/20200221/419186.shtml</v>
      </c>
      <c r="G4194" s="2"/>
      <c r="H4194" s="2" t="s">
        <v>6009</v>
      </c>
      <c r="I4194" s="2" t="s">
        <v>19</v>
      </c>
      <c r="J4194" s="2" t="s">
        <v>6010</v>
      </c>
      <c r="K4194" s="2" t="s">
        <v>6008</v>
      </c>
      <c r="L4194" s="2">
        <f t="shared" si="65"/>
        <v>150</v>
      </c>
    </row>
    <row r="4195" spans="1:12" ht="25" customHeight="1">
      <c r="A4195" s="2" t="s">
        <v>12</v>
      </c>
      <c r="B4195" s="2" t="str">
        <f>HYPERLINK("http://m.12365auto.com/news/20200221/419185.shtml","大众再次推迟在土耳其建厂 年中最终决定")</f>
        <v>大众再次推迟在土耳其建厂 年中最终决定</v>
      </c>
      <c r="C4195" s="2" t="s">
        <v>13</v>
      </c>
      <c r="D4195" s="2" t="s">
        <v>12</v>
      </c>
      <c r="E4195" s="2"/>
      <c r="F4195" s="2" t="str">
        <f>HYPERLINK("http://m.12365auto.com/news/20200221/419185.shtml","http://m.12365auto.com/news/20200221/419185.shtml")</f>
        <v>http://m.12365auto.com/news/20200221/419185.shtml</v>
      </c>
      <c r="G4195" s="2"/>
      <c r="H4195" s="2" t="s">
        <v>6011</v>
      </c>
      <c r="I4195" s="2" t="s">
        <v>19</v>
      </c>
      <c r="J4195" s="2" t="s">
        <v>6010</v>
      </c>
      <c r="K4195" s="2" t="s">
        <v>6012</v>
      </c>
      <c r="L4195" s="2">
        <f t="shared" si="65"/>
        <v>150</v>
      </c>
    </row>
    <row r="4196" spans="1:12" ht="25" customHeight="1">
      <c r="A4196" s="2" t="s">
        <v>12</v>
      </c>
      <c r="B4196" s="2" t="str">
        <f>HYPERLINK("http://www.12365auto.com/news/20200221/419185.shtml","大众再次推迟在土耳其建厂 年中最终决定")</f>
        <v>大众再次推迟在土耳其建厂 年中最终决定</v>
      </c>
      <c r="C4196" s="2" t="s">
        <v>13</v>
      </c>
      <c r="D4196" s="2" t="s">
        <v>12</v>
      </c>
      <c r="E4196" s="2" t="s">
        <v>282</v>
      </c>
      <c r="F4196" s="2" t="str">
        <f>HYPERLINK("http://www.12365auto.com/news/20200221/419185.shtml","http://www.12365auto.com/news/20200221/419185.shtml")</f>
        <v>http://www.12365auto.com/news/20200221/419185.shtml</v>
      </c>
      <c r="G4196" s="2"/>
      <c r="H4196" s="2" t="s">
        <v>6013</v>
      </c>
      <c r="I4196" s="2" t="s">
        <v>19</v>
      </c>
      <c r="J4196" s="2" t="s">
        <v>12</v>
      </c>
      <c r="K4196" s="2" t="s">
        <v>6012</v>
      </c>
      <c r="L4196" s="2">
        <f t="shared" si="65"/>
        <v>150</v>
      </c>
    </row>
    <row r="4197" spans="1:12" ht="25" customHeight="1">
      <c r="A4197" s="2" t="s">
        <v>12</v>
      </c>
      <c r="B4197" s="2" t="str">
        <f>HYPERLINK("http://m.12365auto.com/news/20200221/419184.shtml","本田中国本部长水野泰秀将于4月1日退任")</f>
        <v>本田中国本部长水野泰秀将于4月1日退任</v>
      </c>
      <c r="C4197" s="2" t="s">
        <v>13</v>
      </c>
      <c r="D4197" s="2" t="s">
        <v>12</v>
      </c>
      <c r="E4197" s="2"/>
      <c r="F4197" s="2" t="str">
        <f>HYPERLINK("http://m.12365auto.com/news/20200221/419184.shtml","http://m.12365auto.com/news/20200221/419184.shtml")</f>
        <v>http://m.12365auto.com/news/20200221/419184.shtml</v>
      </c>
      <c r="G4197" s="2"/>
      <c r="H4197" s="2" t="s">
        <v>6014</v>
      </c>
      <c r="I4197" s="2" t="s">
        <v>19</v>
      </c>
      <c r="J4197" s="2" t="s">
        <v>6010</v>
      </c>
      <c r="K4197" s="2" t="s">
        <v>6015</v>
      </c>
      <c r="L4197" s="2">
        <f t="shared" si="65"/>
        <v>150</v>
      </c>
    </row>
    <row r="4198" spans="1:12" ht="25" customHeight="1">
      <c r="A4198" s="2" t="s">
        <v>12</v>
      </c>
      <c r="B4198" s="2" t="str">
        <f>HYPERLINK("http://www.12365auto.com/news/20200221/419184.shtml","本田中国本部长水野泰秀将于4月1日退任")</f>
        <v>本田中国本部长水野泰秀将于4月1日退任</v>
      </c>
      <c r="C4198" s="2" t="s">
        <v>13</v>
      </c>
      <c r="D4198" s="2" t="s">
        <v>12</v>
      </c>
      <c r="E4198" s="2" t="s">
        <v>282</v>
      </c>
      <c r="F4198" s="2" t="str">
        <f>HYPERLINK("http://www.12365auto.com/news/20200221/419184.shtml","http://www.12365auto.com/news/20200221/419184.shtml")</f>
        <v>http://www.12365auto.com/news/20200221/419184.shtml</v>
      </c>
      <c r="G4198" s="2"/>
      <c r="H4198" s="2" t="s">
        <v>6016</v>
      </c>
      <c r="I4198" s="2" t="s">
        <v>19</v>
      </c>
      <c r="J4198" s="2" t="s">
        <v>12</v>
      </c>
      <c r="K4198" s="2" t="s">
        <v>6015</v>
      </c>
      <c r="L4198" s="2">
        <f t="shared" si="65"/>
        <v>150</v>
      </c>
    </row>
    <row r="4199" spans="1:12" ht="25" customHeight="1">
      <c r="A4199" s="2" t="s">
        <v>12</v>
      </c>
      <c r="B4199" s="2" t="str">
        <f>HYPERLINK("http://www.12365auto.com/news/20200221/419183.shtml","SEC文件披露 马斯克购买13037股特斯拉股票")</f>
        <v>SEC文件披露 马斯克购买13037股特斯拉股票</v>
      </c>
      <c r="C4199" s="2" t="s">
        <v>13</v>
      </c>
      <c r="D4199" s="2" t="s">
        <v>12</v>
      </c>
      <c r="E4199" s="2" t="s">
        <v>276</v>
      </c>
      <c r="F4199" s="2" t="str">
        <f>HYPERLINK("http://www.12365auto.com/news/20200221/419183.shtml","http://www.12365auto.com/news/20200221/419183.shtml")</f>
        <v>http://www.12365auto.com/news/20200221/419183.shtml</v>
      </c>
      <c r="G4199" s="2"/>
      <c r="H4199" s="2" t="s">
        <v>6017</v>
      </c>
      <c r="I4199" s="2" t="s">
        <v>15</v>
      </c>
      <c r="J4199" s="2" t="s">
        <v>12</v>
      </c>
      <c r="K4199" s="2" t="s">
        <v>6018</v>
      </c>
      <c r="L4199" s="2">
        <f t="shared" si="65"/>
        <v>150</v>
      </c>
    </row>
    <row r="4200" spans="1:12" ht="25" customHeight="1">
      <c r="A4200" s="2" t="s">
        <v>12</v>
      </c>
      <c r="B4200" s="2" t="str">
        <f>HYPERLINK("http://m.12365auto.com/news/20200221/419183.shtml","SEC文件披露 马斯克购买13037股特斯拉股票")</f>
        <v>SEC文件披露 马斯克购买13037股特斯拉股票</v>
      </c>
      <c r="C4200" s="2" t="s">
        <v>13</v>
      </c>
      <c r="D4200" s="2" t="s">
        <v>12</v>
      </c>
      <c r="E4200" s="2"/>
      <c r="F4200" s="2" t="str">
        <f>HYPERLINK("http://m.12365auto.com/news/20200221/419183.shtml","http://m.12365auto.com/news/20200221/419183.shtml")</f>
        <v>http://m.12365auto.com/news/20200221/419183.shtml</v>
      </c>
      <c r="G4200" s="2"/>
      <c r="H4200" s="2" t="s">
        <v>6019</v>
      </c>
      <c r="I4200" s="2" t="s">
        <v>19</v>
      </c>
      <c r="J4200" s="2" t="s">
        <v>6010</v>
      </c>
      <c r="K4200" s="2" t="s">
        <v>6018</v>
      </c>
      <c r="L4200" s="2">
        <f t="shared" si="65"/>
        <v>150</v>
      </c>
    </row>
    <row r="4201" spans="1:12" ht="25" customHeight="1">
      <c r="A4201" s="2" t="s">
        <v>12</v>
      </c>
      <c r="B4201" s="2" t="str">
        <f>HYPERLINK("http://www.12365auto.com/zlts/20200221/447974.shtml","一汽大众速腾低速刹车时存在尖锐异响")</f>
        <v>一汽大众速腾低速刹车时存在尖锐异响</v>
      </c>
      <c r="C4201" s="2" t="s">
        <v>13</v>
      </c>
      <c r="D4201" s="2" t="s">
        <v>12</v>
      </c>
      <c r="E4201" s="2" t="s">
        <v>17</v>
      </c>
      <c r="F4201" s="2" t="str">
        <f>HYPERLINK("http://www.12365auto.com/zlts/20200221/447974.shtml","http://www.12365auto.com/zlts/20200221/447974.shtml")</f>
        <v>http://www.12365auto.com/zlts/20200221/447974.shtml</v>
      </c>
      <c r="G4201" s="2"/>
      <c r="H4201" s="2" t="s">
        <v>6020</v>
      </c>
      <c r="I4201" s="2" t="s">
        <v>19</v>
      </c>
      <c r="J4201" s="2" t="s">
        <v>12</v>
      </c>
      <c r="K4201" s="2" t="s">
        <v>6021</v>
      </c>
      <c r="L4201" s="2">
        <f t="shared" si="65"/>
        <v>150</v>
      </c>
    </row>
    <row r="4202" spans="1:12" ht="25" customHeight="1">
      <c r="A4202" s="2" t="s">
        <v>12</v>
      </c>
      <c r="B4202" s="2" t="str">
        <f>HYPERLINK("http://m.12365auto.com/news/20200221/419182.shtml","传中国将新能源汽车补贴延长至今年以后")</f>
        <v>传中国将新能源汽车补贴延长至今年以后</v>
      </c>
      <c r="C4202" s="2" t="s">
        <v>13</v>
      </c>
      <c r="D4202" s="2" t="s">
        <v>12</v>
      </c>
      <c r="E4202" s="2"/>
      <c r="F4202" s="2" t="str">
        <f>HYPERLINK("http://m.12365auto.com/news/20200221/419182.shtml","http://m.12365auto.com/news/20200221/419182.shtml")</f>
        <v>http://m.12365auto.com/news/20200221/419182.shtml</v>
      </c>
      <c r="G4202" s="2"/>
      <c r="H4202" s="2" t="s">
        <v>6022</v>
      </c>
      <c r="I4202" s="2" t="s">
        <v>19</v>
      </c>
      <c r="J4202" s="2" t="s">
        <v>6010</v>
      </c>
      <c r="K4202" s="2" t="s">
        <v>6023</v>
      </c>
      <c r="L4202" s="2">
        <f t="shared" si="65"/>
        <v>150</v>
      </c>
    </row>
    <row r="4203" spans="1:12" ht="25" customHeight="1">
      <c r="A4203" s="2" t="s">
        <v>12</v>
      </c>
      <c r="B4203" s="2" t="str">
        <f>HYPERLINK("http://www.12365auto.com/news/20200221/419182.shtml","传中国将新能源汽车补贴延长至今年以后")</f>
        <v>传中国将新能源汽车补贴延长至今年以后</v>
      </c>
      <c r="C4203" s="2" t="s">
        <v>13</v>
      </c>
      <c r="D4203" s="2" t="s">
        <v>12</v>
      </c>
      <c r="E4203" s="2" t="s">
        <v>276</v>
      </c>
      <c r="F4203" s="2" t="str">
        <f>HYPERLINK("http://www.12365auto.com/news/20200221/419182.shtml","http://www.12365auto.com/news/20200221/419182.shtml")</f>
        <v>http://www.12365auto.com/news/20200221/419182.shtml</v>
      </c>
      <c r="G4203" s="2"/>
      <c r="H4203" s="2" t="s">
        <v>6024</v>
      </c>
      <c r="I4203" s="2" t="s">
        <v>15</v>
      </c>
      <c r="J4203" s="2" t="s">
        <v>12</v>
      </c>
      <c r="K4203" s="2" t="s">
        <v>6023</v>
      </c>
      <c r="L4203" s="2">
        <f t="shared" si="65"/>
        <v>150</v>
      </c>
    </row>
    <row r="4204" spans="1:12" ht="25" customHeight="1">
      <c r="A4204" s="2" t="s">
        <v>12</v>
      </c>
      <c r="B4204" s="2" t="str">
        <f>HYPERLINK("http://m.12365auto.com/zjdy/20200221/121475.shtml","瑞虎3x和远景X3哪款质量更稳定油耗低？")</f>
        <v>瑞虎3x和远景X3哪款质量更稳定油耗低？</v>
      </c>
      <c r="C4204" s="2" t="s">
        <v>13</v>
      </c>
      <c r="D4204" s="2" t="s">
        <v>12</v>
      </c>
      <c r="E4204" s="2"/>
      <c r="F4204" s="2" t="str">
        <f>HYPERLINK("http://m.12365auto.com/zjdy/20200221/121475.shtml","http://m.12365auto.com/zjdy/20200221/121475.shtml")</f>
        <v>http://m.12365auto.com/zjdy/20200221/121475.shtml</v>
      </c>
      <c r="G4204" s="2"/>
      <c r="H4204" s="2" t="s">
        <v>6025</v>
      </c>
      <c r="I4204" s="2" t="s">
        <v>19</v>
      </c>
      <c r="J4204" s="2" t="s">
        <v>12</v>
      </c>
      <c r="K4204" s="2" t="s">
        <v>6026</v>
      </c>
      <c r="L4204" s="2">
        <f t="shared" si="65"/>
        <v>36</v>
      </c>
    </row>
    <row r="4205" spans="1:12" ht="25" customHeight="1">
      <c r="A4205" s="2" t="s">
        <v>12</v>
      </c>
      <c r="B4205" s="2" t="str">
        <f>HYPERLINK("http://m.12365auto.com/news/20200221/419181.shtml","大众CFO不再续签5年任期 将于明年6月离任")</f>
        <v>大众CFO不再续签5年任期 将于明年6月离任</v>
      </c>
      <c r="C4205" s="2" t="s">
        <v>13</v>
      </c>
      <c r="D4205" s="2" t="s">
        <v>12</v>
      </c>
      <c r="E4205" s="2"/>
      <c r="F4205" s="2" t="str">
        <f>HYPERLINK("http://m.12365auto.com/news/20200221/419181.shtml","http://m.12365auto.com/news/20200221/419181.shtml")</f>
        <v>http://m.12365auto.com/news/20200221/419181.shtml</v>
      </c>
      <c r="G4205" s="2"/>
      <c r="H4205" s="2" t="s">
        <v>6027</v>
      </c>
      <c r="I4205" s="2" t="s">
        <v>19</v>
      </c>
      <c r="J4205" s="2" t="s">
        <v>6010</v>
      </c>
      <c r="K4205" s="2" t="s">
        <v>6028</v>
      </c>
      <c r="L4205" s="2">
        <f t="shared" si="65"/>
        <v>150</v>
      </c>
    </row>
    <row r="4206" spans="1:12" ht="25" customHeight="1">
      <c r="A4206" s="2" t="s">
        <v>12</v>
      </c>
      <c r="B4206" s="2" t="str">
        <f>HYPERLINK("http://www.12365auto.com/news/20200221/419181.shtml","大众CFO不再续签5年任期 将于明年6月离任")</f>
        <v>大众CFO不再续签5年任期 将于明年6月离任</v>
      </c>
      <c r="C4206" s="2" t="s">
        <v>13</v>
      </c>
      <c r="D4206" s="2" t="s">
        <v>12</v>
      </c>
      <c r="E4206" s="2" t="s">
        <v>276</v>
      </c>
      <c r="F4206" s="2" t="str">
        <f>HYPERLINK("http://www.12365auto.com/news/20200221/419181.shtml","http://www.12365auto.com/news/20200221/419181.shtml")</f>
        <v>http://www.12365auto.com/news/20200221/419181.shtml</v>
      </c>
      <c r="G4206" s="2"/>
      <c r="H4206" s="2" t="s">
        <v>6029</v>
      </c>
      <c r="I4206" s="2" t="s">
        <v>15</v>
      </c>
      <c r="J4206" s="2" t="s">
        <v>12</v>
      </c>
      <c r="K4206" s="2" t="s">
        <v>6028</v>
      </c>
      <c r="L4206" s="2">
        <f t="shared" si="65"/>
        <v>150</v>
      </c>
    </row>
    <row r="4207" spans="1:12" ht="25" customHeight="1">
      <c r="A4207" s="2" t="s">
        <v>12</v>
      </c>
      <c r="B4207" s="2" t="str">
        <f>HYPERLINK("http://m.12365auto.com/news/20200221/419180.shtml","戴姆勒简化组织结构 优化产品研发等")</f>
        <v>戴姆勒简化组织结构 优化产品研发等</v>
      </c>
      <c r="C4207" s="2" t="s">
        <v>13</v>
      </c>
      <c r="D4207" s="2" t="s">
        <v>12</v>
      </c>
      <c r="E4207" s="2"/>
      <c r="F4207" s="2" t="str">
        <f>HYPERLINK("http://m.12365auto.com/news/20200221/419180.shtml","http://m.12365auto.com/news/20200221/419180.shtml")</f>
        <v>http://m.12365auto.com/news/20200221/419180.shtml</v>
      </c>
      <c r="G4207" s="2"/>
      <c r="H4207" s="2" t="s">
        <v>6030</v>
      </c>
      <c r="I4207" s="2" t="s">
        <v>19</v>
      </c>
      <c r="J4207" s="2" t="s">
        <v>6010</v>
      </c>
      <c r="K4207" s="2" t="s">
        <v>6031</v>
      </c>
      <c r="L4207" s="2">
        <f t="shared" si="65"/>
        <v>150</v>
      </c>
    </row>
    <row r="4208" spans="1:12" ht="25" customHeight="1">
      <c r="A4208" s="2" t="s">
        <v>12</v>
      </c>
      <c r="B4208" s="2" t="str">
        <f>HYPERLINK("http://www.12365auto.com/news/20200221/419180.shtml","戴姆勒简化组织结构 优化产品研发等")</f>
        <v>戴姆勒简化组织结构 优化产品研发等</v>
      </c>
      <c r="C4208" s="2" t="s">
        <v>13</v>
      </c>
      <c r="D4208" s="2" t="s">
        <v>12</v>
      </c>
      <c r="E4208" s="2" t="s">
        <v>276</v>
      </c>
      <c r="F4208" s="2" t="str">
        <f>HYPERLINK("http://www.12365auto.com/news/20200221/419180.shtml","http://www.12365auto.com/news/20200221/419180.shtml")</f>
        <v>http://www.12365auto.com/news/20200221/419180.shtml</v>
      </c>
      <c r="G4208" s="2"/>
      <c r="H4208" s="2" t="s">
        <v>6032</v>
      </c>
      <c r="I4208" s="2" t="s">
        <v>15</v>
      </c>
      <c r="J4208" s="2" t="s">
        <v>12</v>
      </c>
      <c r="K4208" s="2" t="s">
        <v>6031</v>
      </c>
      <c r="L4208" s="2">
        <f t="shared" si="65"/>
        <v>150</v>
      </c>
    </row>
    <row r="4209" spans="1:12" ht="25" customHeight="1">
      <c r="A4209" s="2" t="s">
        <v>12</v>
      </c>
      <c r="B4209" s="2" t="str">
        <f>HYPERLINK("http://m.12365auto.com/news/20200221/419179.shtml","宝马CFO：今年在欧洲平均碳排放将减少20%")</f>
        <v>宝马CFO：今年在欧洲平均碳排放将减少20%</v>
      </c>
      <c r="C4209" s="2" t="s">
        <v>13</v>
      </c>
      <c r="D4209" s="2" t="s">
        <v>12</v>
      </c>
      <c r="E4209" s="2"/>
      <c r="F4209" s="2" t="str">
        <f>HYPERLINK("http://m.12365auto.com/news/20200221/419179.shtml","http://m.12365auto.com/news/20200221/419179.shtml")</f>
        <v>http://m.12365auto.com/news/20200221/419179.shtml</v>
      </c>
      <c r="G4209" s="2"/>
      <c r="H4209" s="2" t="s">
        <v>6033</v>
      </c>
      <c r="I4209" s="2" t="s">
        <v>19</v>
      </c>
      <c r="J4209" s="2" t="s">
        <v>6010</v>
      </c>
      <c r="K4209" s="2" t="s">
        <v>6034</v>
      </c>
      <c r="L4209" s="2">
        <f t="shared" si="65"/>
        <v>150</v>
      </c>
    </row>
    <row r="4210" spans="1:12" ht="25" customHeight="1">
      <c r="A4210" s="2" t="s">
        <v>12</v>
      </c>
      <c r="B4210" s="2" t="str">
        <f>HYPERLINK("http://www.12365auto.com/news/20200221/419179.shtml","宝马CFO：今年在欧洲平均碳排放将减少20%")</f>
        <v>宝马CFO：今年在欧洲平均碳排放将减少20%</v>
      </c>
      <c r="C4210" s="2" t="s">
        <v>13</v>
      </c>
      <c r="D4210" s="2" t="s">
        <v>12</v>
      </c>
      <c r="E4210" s="2" t="s">
        <v>276</v>
      </c>
      <c r="F4210" s="2" t="str">
        <f>HYPERLINK("http://www.12365auto.com/news/20200221/419179.shtml","http://www.12365auto.com/news/20200221/419179.shtml")</f>
        <v>http://www.12365auto.com/news/20200221/419179.shtml</v>
      </c>
      <c r="G4210" s="2"/>
      <c r="H4210" s="2" t="s">
        <v>6035</v>
      </c>
      <c r="I4210" s="2" t="s">
        <v>15</v>
      </c>
      <c r="J4210" s="2" t="s">
        <v>12</v>
      </c>
      <c r="K4210" s="2" t="s">
        <v>6034</v>
      </c>
      <c r="L4210" s="2">
        <f t="shared" si="65"/>
        <v>150</v>
      </c>
    </row>
    <row r="4211" spans="1:12" ht="25" customHeight="1">
      <c r="A4211" s="2" t="s">
        <v>12</v>
      </c>
      <c r="B4211" s="2" t="str">
        <f>HYPERLINK("http://m.12365auto.com/scbg/20200221/419177.shtml","综合成绩“秒”合资 CS75 PLUS碰撞解析")</f>
        <v>综合成绩“秒”合资 CS75 PLUS碰撞解析</v>
      </c>
      <c r="C4211" s="2" t="s">
        <v>13</v>
      </c>
      <c r="D4211" s="2" t="s">
        <v>12</v>
      </c>
      <c r="E4211" s="2"/>
      <c r="F4211" s="2" t="str">
        <f>HYPERLINK("http://m.12365auto.com/scbg/20200221/419177.shtml","http://m.12365auto.com/scbg/20200221/419177.shtml")</f>
        <v>http://m.12365auto.com/scbg/20200221/419177.shtml</v>
      </c>
      <c r="G4211" s="2"/>
      <c r="H4211" s="2" t="s">
        <v>6036</v>
      </c>
      <c r="I4211" s="2" t="s">
        <v>19</v>
      </c>
      <c r="J4211" s="2" t="s">
        <v>2589</v>
      </c>
      <c r="K4211" s="2" t="s">
        <v>6037</v>
      </c>
      <c r="L4211" s="2">
        <f t="shared" si="65"/>
        <v>150</v>
      </c>
    </row>
    <row r="4212" spans="1:12" ht="25" customHeight="1">
      <c r="A4212" s="2" t="s">
        <v>12</v>
      </c>
      <c r="B4212" s="2" t="str">
        <f>HYPERLINK("http://www.12365auto.com/scbg/20200221/419177.shtml","综合成绩“秒”合资 CS75 PLUS碰撞解析")</f>
        <v>综合成绩“秒”合资 CS75 PLUS碰撞解析</v>
      </c>
      <c r="C4212" s="2" t="s">
        <v>13</v>
      </c>
      <c r="D4212" s="2" t="s">
        <v>12</v>
      </c>
      <c r="E4212" s="2" t="s">
        <v>1548</v>
      </c>
      <c r="F4212" s="2" t="str">
        <f>HYPERLINK("http://www.12365auto.com/scbg/20200221/419177.shtml","http://www.12365auto.com/scbg/20200221/419177.shtml")</f>
        <v>http://www.12365auto.com/scbg/20200221/419177.shtml</v>
      </c>
      <c r="G4212" s="2"/>
      <c r="H4212" s="2" t="s">
        <v>6038</v>
      </c>
      <c r="I4212" s="2" t="s">
        <v>15</v>
      </c>
      <c r="J4212" s="2" t="s">
        <v>12</v>
      </c>
      <c r="K4212" s="2" t="s">
        <v>6037</v>
      </c>
      <c r="L4212" s="2">
        <f t="shared" si="65"/>
        <v>150</v>
      </c>
    </row>
    <row r="4213" spans="1:12" ht="25" customHeight="1">
      <c r="A4213" s="2" t="s">
        <v>12</v>
      </c>
      <c r="B4213" s="2" t="str">
        <f>HYPERLINK("http://m.12365auto.com/topic/20200221/419178.shtml","宋广生：非常时期出租/网约车疫情防控措施")</f>
        <v>宋广生：非常时期出租/网约车疫情防控措施</v>
      </c>
      <c r="C4213" s="2" t="s">
        <v>13</v>
      </c>
      <c r="D4213" s="2" t="s">
        <v>12</v>
      </c>
      <c r="E4213" s="2"/>
      <c r="F4213" s="2" t="str">
        <f>HYPERLINK("http://m.12365auto.com/topic/20200221/419178.shtml","http://m.12365auto.com/topic/20200221/419178.shtml")</f>
        <v>http://m.12365auto.com/topic/20200221/419178.shtml</v>
      </c>
      <c r="G4213" s="2"/>
      <c r="H4213" s="2" t="s">
        <v>6039</v>
      </c>
      <c r="I4213" s="2" t="s">
        <v>19</v>
      </c>
      <c r="J4213" s="2" t="s">
        <v>12</v>
      </c>
      <c r="K4213" s="2" t="s">
        <v>6040</v>
      </c>
      <c r="L4213" s="2">
        <f t="shared" si="65"/>
        <v>150</v>
      </c>
    </row>
    <row r="4214" spans="1:12" ht="25" customHeight="1">
      <c r="A4214" s="2" t="s">
        <v>12</v>
      </c>
      <c r="B4214" s="2" t="str">
        <f>HYPERLINK("http://www.12365auto.com/zlts/20200221/447973.shtml","奇瑞瑞虎5行车电脑质量差容易损坏")</f>
        <v>奇瑞瑞虎5行车电脑质量差容易损坏</v>
      </c>
      <c r="C4214" s="2" t="s">
        <v>13</v>
      </c>
      <c r="D4214" s="2" t="s">
        <v>12</v>
      </c>
      <c r="E4214" s="2" t="s">
        <v>17</v>
      </c>
      <c r="F4214" s="2" t="str">
        <f>HYPERLINK("http://www.12365auto.com/zlts/20200221/447973.shtml","http://www.12365auto.com/zlts/20200221/447973.shtml")</f>
        <v>http://www.12365auto.com/zlts/20200221/447973.shtml</v>
      </c>
      <c r="G4214" s="2"/>
      <c r="H4214" s="2" t="s">
        <v>6041</v>
      </c>
      <c r="I4214" s="2" t="s">
        <v>15</v>
      </c>
      <c r="J4214" s="2" t="s">
        <v>12</v>
      </c>
      <c r="K4214" s="2" t="s">
        <v>6042</v>
      </c>
      <c r="L4214" s="2">
        <f t="shared" si="65"/>
        <v>150</v>
      </c>
    </row>
    <row r="4215" spans="1:12" ht="25" customHeight="1">
      <c r="A4215" s="2" t="s">
        <v>12</v>
      </c>
      <c r="B4215" s="2" t="str">
        <f>HYPERLINK("http://m.12365auto.com/xcdg/20200221/419176.shtml","林肯国产飞行家新消息 将于下半年上市")</f>
        <v>林肯国产飞行家新消息 将于下半年上市</v>
      </c>
      <c r="C4215" s="2" t="s">
        <v>13</v>
      </c>
      <c r="D4215" s="2" t="s">
        <v>12</v>
      </c>
      <c r="E4215" s="2"/>
      <c r="F4215" s="2" t="str">
        <f>HYPERLINK("http://m.12365auto.com/xcdg/20200221/419176.shtml","http://m.12365auto.com/xcdg/20200221/419176.shtml")</f>
        <v>http://m.12365auto.com/xcdg/20200221/419176.shtml</v>
      </c>
      <c r="G4215" s="2"/>
      <c r="H4215" s="2" t="s">
        <v>6043</v>
      </c>
      <c r="I4215" s="2" t="s">
        <v>19</v>
      </c>
      <c r="J4215" s="2" t="s">
        <v>751</v>
      </c>
      <c r="K4215" s="2" t="s">
        <v>6044</v>
      </c>
      <c r="L4215" s="2">
        <f t="shared" si="65"/>
        <v>150</v>
      </c>
    </row>
    <row r="4216" spans="1:12" ht="25" customHeight="1">
      <c r="A4216" s="2" t="s">
        <v>12</v>
      </c>
      <c r="B4216" s="2" t="str">
        <f>HYPERLINK("http://www.12365auto.com/xcdg/20200221/419176.shtml","林肯国产飞行家新消息 将于下半年上市")</f>
        <v>林肯国产飞行家新消息 将于下半年上市</v>
      </c>
      <c r="C4216" s="2" t="s">
        <v>13</v>
      </c>
      <c r="D4216" s="2" t="s">
        <v>12</v>
      </c>
      <c r="E4216" s="2" t="s">
        <v>216</v>
      </c>
      <c r="F4216" s="2" t="str">
        <f>HYPERLINK("http://www.12365auto.com/xcdg/20200221/419176.shtml","http://www.12365auto.com/xcdg/20200221/419176.shtml")</f>
        <v>http://www.12365auto.com/xcdg/20200221/419176.shtml</v>
      </c>
      <c r="G4216" s="2"/>
      <c r="H4216" s="2" t="s">
        <v>6045</v>
      </c>
      <c r="I4216" s="2" t="s">
        <v>15</v>
      </c>
      <c r="J4216" s="2" t="s">
        <v>12</v>
      </c>
      <c r="K4216" s="2" t="s">
        <v>6044</v>
      </c>
      <c r="L4216" s="2">
        <f t="shared" si="65"/>
        <v>150</v>
      </c>
    </row>
    <row r="4217" spans="1:12" ht="25" customHeight="1">
      <c r="A4217" s="2" t="s">
        <v>12</v>
      </c>
      <c r="B4217" s="2" t="str">
        <f>HYPERLINK("http://m.12365auto.com/xcdg/20200221/419175.shtml","长安福特探险者年内上市 对手直指途昂")</f>
        <v>长安福特探险者年内上市 对手直指途昂</v>
      </c>
      <c r="C4217" s="2" t="s">
        <v>13</v>
      </c>
      <c r="D4217" s="2" t="s">
        <v>12</v>
      </c>
      <c r="E4217" s="2"/>
      <c r="F4217" s="2" t="str">
        <f>HYPERLINK("http://m.12365auto.com/xcdg/20200221/419175.shtml","http://m.12365auto.com/xcdg/20200221/419175.shtml")</f>
        <v>http://m.12365auto.com/xcdg/20200221/419175.shtml</v>
      </c>
      <c r="G4217" s="2"/>
      <c r="H4217" s="2" t="s">
        <v>6046</v>
      </c>
      <c r="I4217" s="2" t="s">
        <v>19</v>
      </c>
      <c r="J4217" s="2" t="s">
        <v>751</v>
      </c>
      <c r="K4217" s="2" t="s">
        <v>6047</v>
      </c>
      <c r="L4217" s="2">
        <f t="shared" si="65"/>
        <v>150</v>
      </c>
    </row>
    <row r="4218" spans="1:12" ht="25" customHeight="1">
      <c r="A4218" s="2" t="s">
        <v>12</v>
      </c>
      <c r="B4218" s="2" t="str">
        <f>HYPERLINK("http://www.12365auto.com/xcdg/20200221/419175.shtml","长安福特探险者年内上市 对手直指途昂")</f>
        <v>长安福特探险者年内上市 对手直指途昂</v>
      </c>
      <c r="C4218" s="2" t="s">
        <v>13</v>
      </c>
      <c r="D4218" s="2" t="s">
        <v>12</v>
      </c>
      <c r="E4218" s="2" t="s">
        <v>216</v>
      </c>
      <c r="F4218" s="2" t="str">
        <f>HYPERLINK("http://www.12365auto.com/xcdg/20200221/419175.shtml","http://www.12365auto.com/xcdg/20200221/419175.shtml")</f>
        <v>http://www.12365auto.com/xcdg/20200221/419175.shtml</v>
      </c>
      <c r="G4218" s="2"/>
      <c r="H4218" s="2" t="s">
        <v>6048</v>
      </c>
      <c r="I4218" s="2" t="s">
        <v>15</v>
      </c>
      <c r="J4218" s="2" t="s">
        <v>12</v>
      </c>
      <c r="K4218" s="2" t="s">
        <v>6047</v>
      </c>
      <c r="L4218" s="2">
        <f t="shared" si="65"/>
        <v>150</v>
      </c>
    </row>
    <row r="4219" spans="1:12" ht="25" customHeight="1">
      <c r="A4219" s="2" t="s">
        <v>12</v>
      </c>
      <c r="B4219" s="2" t="str">
        <f>HYPERLINK("http://www.12365auto.com/zlts/20200221/447971.shtml","东风悦达起亚智跑底盘异响 行车电脑失灵")</f>
        <v>东风悦达起亚智跑底盘异响 行车电脑失灵</v>
      </c>
      <c r="C4219" s="2" t="s">
        <v>13</v>
      </c>
      <c r="D4219" s="2" t="s">
        <v>12</v>
      </c>
      <c r="E4219" s="2" t="s">
        <v>17</v>
      </c>
      <c r="F4219" s="2" t="str">
        <f>HYPERLINK("http://www.12365auto.com/zlts/20200221/447971.shtml","http://www.12365auto.com/zlts/20200221/447971.shtml")</f>
        <v>http://www.12365auto.com/zlts/20200221/447971.shtml</v>
      </c>
      <c r="G4219" s="2"/>
      <c r="H4219" s="2" t="s">
        <v>6049</v>
      </c>
      <c r="I4219" s="2" t="s">
        <v>19</v>
      </c>
      <c r="J4219" s="2" t="s">
        <v>12</v>
      </c>
      <c r="K4219" s="2" t="s">
        <v>6050</v>
      </c>
      <c r="L4219" s="2">
        <f t="shared" si="65"/>
        <v>150</v>
      </c>
    </row>
    <row r="4220" spans="1:12" ht="25" customHeight="1">
      <c r="A4220" s="2" t="s">
        <v>12</v>
      </c>
      <c r="B4220" s="2" t="str">
        <f>HYPERLINK("http://m.12365auto.com/xcdg/20200221/419174.shtml","宝马2系Gran Coupe官图 溜背外观设计")</f>
        <v>宝马2系Gran Coupe官图 溜背外观设计</v>
      </c>
      <c r="C4220" s="2" t="s">
        <v>13</v>
      </c>
      <c r="D4220" s="2" t="s">
        <v>12</v>
      </c>
      <c r="E4220" s="2"/>
      <c r="F4220" s="2" t="str">
        <f>HYPERLINK("http://m.12365auto.com/xcdg/20200221/419174.shtml","http://m.12365auto.com/xcdg/20200221/419174.shtml")</f>
        <v>http://m.12365auto.com/xcdg/20200221/419174.shtml</v>
      </c>
      <c r="G4220" s="2"/>
      <c r="H4220" s="2" t="s">
        <v>6051</v>
      </c>
      <c r="I4220" s="2" t="s">
        <v>19</v>
      </c>
      <c r="J4220" s="2" t="s">
        <v>220</v>
      </c>
      <c r="K4220" s="2" t="s">
        <v>6050</v>
      </c>
      <c r="L4220" s="2">
        <f t="shared" si="65"/>
        <v>150</v>
      </c>
    </row>
    <row r="4221" spans="1:12" ht="25" customHeight="1">
      <c r="A4221" s="2" t="s">
        <v>12</v>
      </c>
      <c r="B4221" s="2" t="str">
        <f>HYPERLINK("http://www.12365auto.com/xcdg/20200221/419174.shtml","宝马2系Gran Coupe官图 溜背外观设计")</f>
        <v>宝马2系Gran Coupe官图 溜背外观设计</v>
      </c>
      <c r="C4221" s="2" t="s">
        <v>13</v>
      </c>
      <c r="D4221" s="2" t="s">
        <v>12</v>
      </c>
      <c r="E4221" s="2" t="s">
        <v>216</v>
      </c>
      <c r="F4221" s="2" t="str">
        <f>HYPERLINK("http://www.12365auto.com/xcdg/20200221/419174.shtml","http://www.12365auto.com/xcdg/20200221/419174.shtml")</f>
        <v>http://www.12365auto.com/xcdg/20200221/419174.shtml</v>
      </c>
      <c r="G4221" s="2"/>
      <c r="H4221" s="2" t="s">
        <v>6052</v>
      </c>
      <c r="I4221" s="2" t="s">
        <v>15</v>
      </c>
      <c r="J4221" s="2" t="s">
        <v>12</v>
      </c>
      <c r="K4221" s="2" t="s">
        <v>6050</v>
      </c>
      <c r="L4221" s="2">
        <f t="shared" si="65"/>
        <v>150</v>
      </c>
    </row>
    <row r="4222" spans="1:12" ht="25" customHeight="1">
      <c r="A4222" s="2" t="s">
        <v>12</v>
      </c>
      <c r="B4222" s="2" t="str">
        <f>HYPERLINK("http://m.12365auto.com/xcdg/20200221/419173.shtml","宝马7系纯电版信息曝光 续航达700km")</f>
        <v>宝马7系纯电版信息曝光 续航达700km</v>
      </c>
      <c r="C4222" s="2" t="s">
        <v>13</v>
      </c>
      <c r="D4222" s="2" t="s">
        <v>12</v>
      </c>
      <c r="E4222" s="2"/>
      <c r="F4222" s="2" t="str">
        <f>HYPERLINK("http://m.12365auto.com/xcdg/20200221/419173.shtml","http://m.12365auto.com/xcdg/20200221/419173.shtml")</f>
        <v>http://m.12365auto.com/xcdg/20200221/419173.shtml</v>
      </c>
      <c r="G4222" s="2"/>
      <c r="H4222" s="2" t="s">
        <v>6053</v>
      </c>
      <c r="I4222" s="2" t="s">
        <v>19</v>
      </c>
      <c r="J4222" s="2" t="s">
        <v>222</v>
      </c>
      <c r="K4222" s="2" t="s">
        <v>6054</v>
      </c>
      <c r="L4222" s="2">
        <f t="shared" si="65"/>
        <v>150</v>
      </c>
    </row>
    <row r="4223" spans="1:12" ht="25" customHeight="1">
      <c r="A4223" s="2" t="s">
        <v>12</v>
      </c>
      <c r="B4223" s="2" t="str">
        <f>HYPERLINK("http://www.12365auto.com/xcdg/20200221/419173.shtml","宝马7系纯电版信息曝光 续航达700km")</f>
        <v>宝马7系纯电版信息曝光 续航达700km</v>
      </c>
      <c r="C4223" s="2" t="s">
        <v>13</v>
      </c>
      <c r="D4223" s="2" t="s">
        <v>12</v>
      </c>
      <c r="E4223" s="2" t="s">
        <v>224</v>
      </c>
      <c r="F4223" s="2" t="str">
        <f>HYPERLINK("http://www.12365auto.com/xcdg/20200221/419173.shtml","http://www.12365auto.com/xcdg/20200221/419173.shtml")</f>
        <v>http://www.12365auto.com/xcdg/20200221/419173.shtml</v>
      </c>
      <c r="G4223" s="2"/>
      <c r="H4223" s="2" t="s">
        <v>6055</v>
      </c>
      <c r="I4223" s="2" t="s">
        <v>15</v>
      </c>
      <c r="J4223" s="2" t="s">
        <v>12</v>
      </c>
      <c r="K4223" s="2" t="s">
        <v>6054</v>
      </c>
      <c r="L4223" s="2">
        <f t="shared" si="65"/>
        <v>150</v>
      </c>
    </row>
    <row r="4224" spans="1:12" ht="25" customHeight="1">
      <c r="A4224" s="2" t="s">
        <v>12</v>
      </c>
      <c r="B4224" s="2" t="str">
        <f>HYPERLINK("http://m.12365auto.com/xcdg/20200221/419172.shtml","11万买大众中型SUV  捷达VS7“开箱”解读")</f>
        <v>11万买大众中型SUV  捷达VS7“开箱”解读</v>
      </c>
      <c r="C4224" s="2" t="s">
        <v>13</v>
      </c>
      <c r="D4224" s="2" t="s">
        <v>12</v>
      </c>
      <c r="E4224" s="2"/>
      <c r="F4224" s="2" t="str">
        <f>HYPERLINK("http://m.12365auto.com/xcdg/20200221/419172.shtml","http://m.12365auto.com/xcdg/20200221/419172.shtml")</f>
        <v>http://m.12365auto.com/xcdg/20200221/419172.shtml</v>
      </c>
      <c r="G4224" s="2"/>
      <c r="H4224" s="2" t="s">
        <v>6056</v>
      </c>
      <c r="I4224" s="2" t="s">
        <v>19</v>
      </c>
      <c r="J4224" s="2" t="s">
        <v>1247</v>
      </c>
      <c r="K4224" s="2" t="s">
        <v>6057</v>
      </c>
      <c r="L4224" s="2">
        <f t="shared" si="65"/>
        <v>150</v>
      </c>
    </row>
    <row r="4225" spans="1:12" ht="25" customHeight="1">
      <c r="A4225" s="2" t="s">
        <v>12</v>
      </c>
      <c r="B4225" s="2" t="str">
        <f>HYPERLINK("http://www.12365auto.com/xcdg/20200221/419172.shtml","11万买大众中型SUV  捷达VS7“开箱”解读")</f>
        <v>11万买大众中型SUV  捷达VS7“开箱”解读</v>
      </c>
      <c r="C4225" s="2" t="s">
        <v>13</v>
      </c>
      <c r="D4225" s="2" t="s">
        <v>12</v>
      </c>
      <c r="E4225" s="2" t="s">
        <v>216</v>
      </c>
      <c r="F4225" s="2" t="str">
        <f>HYPERLINK("http://www.12365auto.com/xcdg/20200221/419172.shtml","http://www.12365auto.com/xcdg/20200221/419172.shtml")</f>
        <v>http://www.12365auto.com/xcdg/20200221/419172.shtml</v>
      </c>
      <c r="G4225" s="2"/>
      <c r="H4225" s="2" t="s">
        <v>6058</v>
      </c>
      <c r="I4225" s="2" t="s">
        <v>15</v>
      </c>
      <c r="J4225" s="2" t="s">
        <v>12</v>
      </c>
      <c r="K4225" s="2" t="s">
        <v>6057</v>
      </c>
      <c r="L4225" s="2">
        <f t="shared" si="65"/>
        <v>150</v>
      </c>
    </row>
    <row r="4226" spans="1:12" ht="25" customHeight="1">
      <c r="A4226" s="2" t="s">
        <v>12</v>
      </c>
      <c r="B4226" s="2" t="str">
        <f>HYPERLINK("http://m.12365auto.com/news/20200221/419171.shtml","全球焦虑 东风能否尽早复工引世界关注")</f>
        <v>全球焦虑 东风能否尽早复工引世界关注</v>
      </c>
      <c r="C4226" s="2" t="s">
        <v>13</v>
      </c>
      <c r="D4226" s="2" t="s">
        <v>12</v>
      </c>
      <c r="E4226" s="2"/>
      <c r="F4226" s="2" t="str">
        <f>HYPERLINK("http://m.12365auto.com/news/20200221/419171.shtml","http://m.12365auto.com/news/20200221/419171.shtml")</f>
        <v>http://m.12365auto.com/news/20200221/419171.shtml</v>
      </c>
      <c r="G4226" s="2"/>
      <c r="H4226" s="2" t="s">
        <v>6059</v>
      </c>
      <c r="I4226" s="2" t="s">
        <v>19</v>
      </c>
      <c r="J4226" s="2" t="s">
        <v>3048</v>
      </c>
      <c r="K4226" s="2" t="s">
        <v>6060</v>
      </c>
      <c r="L4226" s="2">
        <f t="shared" si="65"/>
        <v>150</v>
      </c>
    </row>
    <row r="4227" spans="1:12" ht="25" customHeight="1">
      <c r="A4227" s="2" t="s">
        <v>12</v>
      </c>
      <c r="B4227" s="2" t="str">
        <f>HYPERLINK("http://www.12365auto.com/news/20200221/419171.shtml","全球焦虑 东风能否尽早复工引世界关注")</f>
        <v>全球焦虑 东风能否尽早复工引世界关注</v>
      </c>
      <c r="C4227" s="2" t="s">
        <v>13</v>
      </c>
      <c r="D4227" s="2" t="s">
        <v>12</v>
      </c>
      <c r="E4227" s="2" t="s">
        <v>276</v>
      </c>
      <c r="F4227" s="2" t="str">
        <f>HYPERLINK("http://www.12365auto.com/news/20200221/419171.shtml","http://www.12365auto.com/news/20200221/419171.shtml")</f>
        <v>http://www.12365auto.com/news/20200221/419171.shtml</v>
      </c>
      <c r="G4227" s="2"/>
      <c r="H4227" s="2" t="s">
        <v>6061</v>
      </c>
      <c r="I4227" s="2" t="s">
        <v>15</v>
      </c>
      <c r="J4227" s="2" t="s">
        <v>12</v>
      </c>
      <c r="K4227" s="2" t="s">
        <v>6060</v>
      </c>
      <c r="L4227" s="2">
        <f t="shared" ref="L4227:L4290" si="66">LEN(H4227)</f>
        <v>150</v>
      </c>
    </row>
    <row r="4228" spans="1:12" ht="25" customHeight="1">
      <c r="A4228" s="2" t="s">
        <v>12</v>
      </c>
      <c r="B4228" s="2" t="str">
        <f>HYPERLINK("http://m.12365auto.com/xcdg/20200221/419170.shtml","广汽丰田将推4款重磅车型 全新汉兰达领衔")</f>
        <v>广汽丰田将推4款重磅车型 全新汉兰达领衔</v>
      </c>
      <c r="C4228" s="2" t="s">
        <v>13</v>
      </c>
      <c r="D4228" s="2" t="s">
        <v>12</v>
      </c>
      <c r="E4228" s="2"/>
      <c r="F4228" s="2" t="str">
        <f>HYPERLINK("http://m.12365auto.com/xcdg/20200221/419170.shtml","http://m.12365auto.com/xcdg/20200221/419170.shtml")</f>
        <v>http://m.12365auto.com/xcdg/20200221/419170.shtml</v>
      </c>
      <c r="G4228" s="2"/>
      <c r="H4228" s="2" t="s">
        <v>6062</v>
      </c>
      <c r="I4228" s="2" t="s">
        <v>19</v>
      </c>
      <c r="J4228" s="2" t="s">
        <v>2603</v>
      </c>
      <c r="K4228" s="2" t="s">
        <v>6063</v>
      </c>
      <c r="L4228" s="2">
        <f t="shared" si="66"/>
        <v>150</v>
      </c>
    </row>
    <row r="4229" spans="1:12" ht="25" customHeight="1">
      <c r="A4229" s="2" t="s">
        <v>12</v>
      </c>
      <c r="B4229" s="2" t="str">
        <f>HYPERLINK("http://www.12365auto.com/xcdg/20200221/419170.shtml","广汽丰田将推4款重磅车型 全新汉兰达领衔")</f>
        <v>广汽丰田将推4款重磅车型 全新汉兰达领衔</v>
      </c>
      <c r="C4229" s="2" t="s">
        <v>13</v>
      </c>
      <c r="D4229" s="2" t="s">
        <v>12</v>
      </c>
      <c r="E4229" s="2" t="s">
        <v>216</v>
      </c>
      <c r="F4229" s="2" t="str">
        <f>HYPERLINK("http://www.12365auto.com/xcdg/20200221/419170.shtml","http://www.12365auto.com/xcdg/20200221/419170.shtml")</f>
        <v>http://www.12365auto.com/xcdg/20200221/419170.shtml</v>
      </c>
      <c r="G4229" s="2"/>
      <c r="H4229" s="2" t="s">
        <v>6064</v>
      </c>
      <c r="I4229" s="2" t="s">
        <v>15</v>
      </c>
      <c r="J4229" s="2" t="s">
        <v>12</v>
      </c>
      <c r="K4229" s="2" t="s">
        <v>6063</v>
      </c>
      <c r="L4229" s="2">
        <f t="shared" si="66"/>
        <v>150</v>
      </c>
    </row>
    <row r="4230" spans="1:12" ht="25" customHeight="1">
      <c r="A4230" s="2" t="s">
        <v>12</v>
      </c>
      <c r="B4230" s="2" t="str">
        <f>HYPERLINK("http://m.12365auto.com/news/20200221/419169.shtml","政策释放需求 皮卡今年有望全面解禁")</f>
        <v>政策释放需求 皮卡今年有望全面解禁</v>
      </c>
      <c r="C4230" s="2" t="s">
        <v>13</v>
      </c>
      <c r="D4230" s="2" t="s">
        <v>12</v>
      </c>
      <c r="E4230" s="2"/>
      <c r="F4230" s="2" t="str">
        <f>HYPERLINK("http://m.12365auto.com/news/20200221/419169.shtml","http://m.12365auto.com/news/20200221/419169.shtml")</f>
        <v>http://m.12365auto.com/news/20200221/419169.shtml</v>
      </c>
      <c r="G4230" s="2"/>
      <c r="H4230" s="2" t="s">
        <v>6065</v>
      </c>
      <c r="I4230" s="2" t="s">
        <v>19</v>
      </c>
      <c r="J4230" s="2" t="s">
        <v>6066</v>
      </c>
      <c r="K4230" s="2" t="s">
        <v>6067</v>
      </c>
      <c r="L4230" s="2">
        <f t="shared" si="66"/>
        <v>150</v>
      </c>
    </row>
    <row r="4231" spans="1:12" ht="25" customHeight="1">
      <c r="A4231" s="2" t="s">
        <v>12</v>
      </c>
      <c r="B4231" s="2" t="str">
        <f>HYPERLINK("http://www.12365auto.com/news/20200221/419169.shtml","政策释放需求 皮卡今年有望全面解禁")</f>
        <v>政策释放需求 皮卡今年有望全面解禁</v>
      </c>
      <c r="C4231" s="2" t="s">
        <v>13</v>
      </c>
      <c r="D4231" s="2" t="s">
        <v>12</v>
      </c>
      <c r="E4231" s="2" t="s">
        <v>276</v>
      </c>
      <c r="F4231" s="2" t="str">
        <f>HYPERLINK("http://www.12365auto.com/news/20200221/419169.shtml","http://www.12365auto.com/news/20200221/419169.shtml")</f>
        <v>http://www.12365auto.com/news/20200221/419169.shtml</v>
      </c>
      <c r="G4231" s="2"/>
      <c r="H4231" s="2" t="s">
        <v>6068</v>
      </c>
      <c r="I4231" s="2" t="s">
        <v>15</v>
      </c>
      <c r="J4231" s="2" t="s">
        <v>12</v>
      </c>
      <c r="K4231" s="2" t="s">
        <v>6067</v>
      </c>
      <c r="L4231" s="2">
        <f t="shared" si="66"/>
        <v>150</v>
      </c>
    </row>
    <row r="4232" spans="1:12" ht="25" customHeight="1">
      <c r="A4232" s="2" t="s">
        <v>12</v>
      </c>
      <c r="B4232" s="2" t="str">
        <f>HYPERLINK("http://m.12365auto.com/xcdg/20200221/419168.shtml","颇有诚意的大众SUV 捷达VS7“开箱”解读")</f>
        <v>颇有诚意的大众SUV 捷达VS7“开箱”解读</v>
      </c>
      <c r="C4232" s="2" t="s">
        <v>13</v>
      </c>
      <c r="D4232" s="2" t="s">
        <v>12</v>
      </c>
      <c r="E4232" s="2"/>
      <c r="F4232" s="2" t="str">
        <f>HYPERLINK("http://m.12365auto.com/xcdg/20200221/419168.shtml","http://m.12365auto.com/xcdg/20200221/419168.shtml")</f>
        <v>http://m.12365auto.com/xcdg/20200221/419168.shtml</v>
      </c>
      <c r="G4232" s="2"/>
      <c r="H4232" s="2" t="s">
        <v>6069</v>
      </c>
      <c r="I4232" s="2" t="s">
        <v>19</v>
      </c>
      <c r="J4232" s="2" t="s">
        <v>1247</v>
      </c>
      <c r="K4232" s="2" t="s">
        <v>6070</v>
      </c>
      <c r="L4232" s="2">
        <f t="shared" si="66"/>
        <v>150</v>
      </c>
    </row>
    <row r="4233" spans="1:12" ht="25" customHeight="1">
      <c r="A4233" s="2" t="s">
        <v>12</v>
      </c>
      <c r="B4233" s="2" t="str">
        <f>HYPERLINK("http://www.12365auto.com/xcdg/20200221/419168.shtml","颇有诚意的大众SUV 捷达VS7“开箱”解读")</f>
        <v>颇有诚意的大众SUV 捷达VS7“开箱”解读</v>
      </c>
      <c r="C4233" s="2" t="s">
        <v>13</v>
      </c>
      <c r="D4233" s="2" t="s">
        <v>12</v>
      </c>
      <c r="E4233" s="2" t="s">
        <v>216</v>
      </c>
      <c r="F4233" s="2" t="str">
        <f>HYPERLINK("http://www.12365auto.com/xcdg/20200221/419168.shtml","http://www.12365auto.com/xcdg/20200221/419168.shtml")</f>
        <v>http://www.12365auto.com/xcdg/20200221/419168.shtml</v>
      </c>
      <c r="G4233" s="2"/>
      <c r="H4233" s="2" t="s">
        <v>6071</v>
      </c>
      <c r="I4233" s="2" t="s">
        <v>15</v>
      </c>
      <c r="J4233" s="2" t="s">
        <v>12</v>
      </c>
      <c r="K4233" s="2" t="s">
        <v>6070</v>
      </c>
      <c r="L4233" s="2">
        <f t="shared" si="66"/>
        <v>150</v>
      </c>
    </row>
    <row r="4234" spans="1:12" ht="25" customHeight="1">
      <c r="A4234" s="2" t="s">
        <v>12</v>
      </c>
      <c r="B4234" s="2" t="str">
        <f>HYPERLINK("http://m.12365auto.com/xcdg/20200221/419167.shtml","兰博基尼都复活SUV车型了，四门轿跑还会远吗？")</f>
        <v>兰博基尼都复活SUV车型了，四门轿跑还会远吗？</v>
      </c>
      <c r="C4234" s="2" t="s">
        <v>13</v>
      </c>
      <c r="D4234" s="2" t="s">
        <v>12</v>
      </c>
      <c r="E4234" s="2"/>
      <c r="F4234" s="2" t="str">
        <f>HYPERLINK("http://m.12365auto.com/xcdg/20200221/419167.shtml","http://m.12365auto.com/xcdg/20200221/419167.shtml")</f>
        <v>http://m.12365auto.com/xcdg/20200221/419167.shtml</v>
      </c>
      <c r="G4234" s="2"/>
      <c r="H4234" s="2" t="s">
        <v>6072</v>
      </c>
      <c r="I4234" s="2" t="s">
        <v>19</v>
      </c>
      <c r="J4234" s="2" t="s">
        <v>3058</v>
      </c>
      <c r="K4234" s="2" t="s">
        <v>6073</v>
      </c>
      <c r="L4234" s="2">
        <f t="shared" si="66"/>
        <v>150</v>
      </c>
    </row>
    <row r="4235" spans="1:12" ht="25" customHeight="1">
      <c r="A4235" s="2" t="s">
        <v>12</v>
      </c>
      <c r="B4235" s="2" t="str">
        <f>HYPERLINK("http://www.12365auto.com/xcdg/20200221/419167.shtml","兰博基尼都复活SUV车型了，四门轿跑还会远吗？")</f>
        <v>兰博基尼都复活SUV车型了，四门轿跑还会远吗？</v>
      </c>
      <c r="C4235" s="2" t="s">
        <v>13</v>
      </c>
      <c r="D4235" s="2" t="s">
        <v>12</v>
      </c>
      <c r="E4235" s="2" t="s">
        <v>216</v>
      </c>
      <c r="F4235" s="2" t="str">
        <f>HYPERLINK("http://www.12365auto.com/xcdg/20200221/419167.shtml","http://www.12365auto.com/xcdg/20200221/419167.shtml")</f>
        <v>http://www.12365auto.com/xcdg/20200221/419167.shtml</v>
      </c>
      <c r="G4235" s="2"/>
      <c r="H4235" s="2" t="s">
        <v>6074</v>
      </c>
      <c r="I4235" s="2" t="s">
        <v>15</v>
      </c>
      <c r="J4235" s="2" t="s">
        <v>12</v>
      </c>
      <c r="K4235" s="2" t="s">
        <v>6073</v>
      </c>
      <c r="L4235" s="2">
        <f t="shared" si="66"/>
        <v>150</v>
      </c>
    </row>
    <row r="4236" spans="1:12" ht="25" customHeight="1">
      <c r="A4236" s="2" t="s">
        <v>12</v>
      </c>
      <c r="B4236" s="2" t="str">
        <f>HYPERLINK("http://m.12365auto.com/xcdg/20200221/419166.shtml","重新定义中型SUV 全新索兰托“开箱”解读")</f>
        <v>重新定义中型SUV 全新索兰托“开箱”解读</v>
      </c>
      <c r="C4236" s="2" t="s">
        <v>13</v>
      </c>
      <c r="D4236" s="2" t="s">
        <v>12</v>
      </c>
      <c r="E4236" s="2"/>
      <c r="F4236" s="2" t="str">
        <f>HYPERLINK("http://m.12365auto.com/xcdg/20200221/419166.shtml","http://m.12365auto.com/xcdg/20200221/419166.shtml")</f>
        <v>http://m.12365auto.com/xcdg/20200221/419166.shtml</v>
      </c>
      <c r="G4236" s="2"/>
      <c r="H4236" s="2" t="s">
        <v>6075</v>
      </c>
      <c r="I4236" s="2" t="s">
        <v>19</v>
      </c>
      <c r="J4236" s="2" t="s">
        <v>1257</v>
      </c>
      <c r="K4236" s="2" t="s">
        <v>6076</v>
      </c>
      <c r="L4236" s="2">
        <f t="shared" si="66"/>
        <v>150</v>
      </c>
    </row>
    <row r="4237" spans="1:12" ht="25" customHeight="1">
      <c r="A4237" s="2" t="s">
        <v>12</v>
      </c>
      <c r="B4237" s="2" t="str">
        <f>HYPERLINK("http://www.12365auto.com/xcdg/20200221/419166.shtml","重新定义中型SUV 全新索兰托“开箱”解读")</f>
        <v>重新定义中型SUV 全新索兰托“开箱”解读</v>
      </c>
      <c r="C4237" s="2" t="s">
        <v>13</v>
      </c>
      <c r="D4237" s="2" t="s">
        <v>12</v>
      </c>
      <c r="E4237" s="2" t="s">
        <v>216</v>
      </c>
      <c r="F4237" s="2" t="str">
        <f>HYPERLINK("http://www.12365auto.com/xcdg/20200221/419166.shtml","http://www.12365auto.com/xcdg/20200221/419166.shtml")</f>
        <v>http://www.12365auto.com/xcdg/20200221/419166.shtml</v>
      </c>
      <c r="G4237" s="2"/>
      <c r="H4237" s="2" t="s">
        <v>6077</v>
      </c>
      <c r="I4237" s="2" t="s">
        <v>15</v>
      </c>
      <c r="J4237" s="2" t="s">
        <v>12</v>
      </c>
      <c r="K4237" s="2" t="s">
        <v>6076</v>
      </c>
      <c r="L4237" s="2">
        <f t="shared" si="66"/>
        <v>150</v>
      </c>
    </row>
    <row r="4238" spans="1:12" ht="25" customHeight="1">
      <c r="A4238" s="2" t="s">
        <v>12</v>
      </c>
      <c r="B4238" s="2" t="str">
        <f>HYPERLINK("http://www.12365auto.com/zlts/20200221/447970.shtml","广汽本田奥德赛发动机漏油 变速箱漏油")</f>
        <v>广汽本田奥德赛发动机漏油 变速箱漏油</v>
      </c>
      <c r="C4238" s="2" t="s">
        <v>13</v>
      </c>
      <c r="D4238" s="2" t="s">
        <v>12</v>
      </c>
      <c r="E4238" s="2" t="s">
        <v>17</v>
      </c>
      <c r="F4238" s="2" t="str">
        <f>HYPERLINK("http://www.12365auto.com/zlts/20200221/447970.shtml","http://www.12365auto.com/zlts/20200221/447970.shtml")</f>
        <v>http://www.12365auto.com/zlts/20200221/447970.shtml</v>
      </c>
      <c r="G4238" s="2"/>
      <c r="H4238" s="2" t="s">
        <v>6078</v>
      </c>
      <c r="I4238" s="2" t="s">
        <v>15</v>
      </c>
      <c r="J4238" s="2" t="s">
        <v>12</v>
      </c>
      <c r="K4238" s="2" t="s">
        <v>6079</v>
      </c>
      <c r="L4238" s="2">
        <f t="shared" si="66"/>
        <v>150</v>
      </c>
    </row>
    <row r="4239" spans="1:12" ht="25" customHeight="1">
      <c r="A4239" s="2" t="s">
        <v>12</v>
      </c>
      <c r="B4239" s="2" t="str">
        <f>HYPERLINK("http://www.12365auto.com/xcdg/20200221/419165.shtml","2300万起拍 布加迪限量车型了解一下？")</f>
        <v>2300万起拍 布加迪限量车型了解一下？</v>
      </c>
      <c r="C4239" s="2" t="s">
        <v>13</v>
      </c>
      <c r="D4239" s="2" t="s">
        <v>12</v>
      </c>
      <c r="E4239" s="2" t="s">
        <v>216</v>
      </c>
      <c r="F4239" s="2" t="str">
        <f>HYPERLINK("http://www.12365auto.com/xcdg/20200221/419165.shtml","http://www.12365auto.com/xcdg/20200221/419165.shtml")</f>
        <v>http://www.12365auto.com/xcdg/20200221/419165.shtml</v>
      </c>
      <c r="G4239" s="2"/>
      <c r="H4239" s="2" t="s">
        <v>6080</v>
      </c>
      <c r="I4239" s="2" t="s">
        <v>15</v>
      </c>
      <c r="J4239" s="2" t="s">
        <v>12</v>
      </c>
      <c r="K4239" s="2" t="s">
        <v>6079</v>
      </c>
      <c r="L4239" s="2">
        <f t="shared" si="66"/>
        <v>150</v>
      </c>
    </row>
    <row r="4240" spans="1:12" ht="25" customHeight="1">
      <c r="A4240" s="2" t="s">
        <v>12</v>
      </c>
      <c r="B4240" s="2" t="str">
        <f>HYPERLINK("http://www.12365auto.com/zlts/20200221/447969.shtml","上汽荣威350正时链条拉长跳齿希望厂家处理")</f>
        <v>上汽荣威350正时链条拉长跳齿希望厂家处理</v>
      </c>
      <c r="C4240" s="2" t="s">
        <v>13</v>
      </c>
      <c r="D4240" s="2" t="s">
        <v>12</v>
      </c>
      <c r="E4240" s="2" t="s">
        <v>17</v>
      </c>
      <c r="F4240" s="2" t="str">
        <f>HYPERLINK("http://www.12365auto.com/zlts/20200221/447969.shtml","http://www.12365auto.com/zlts/20200221/447969.shtml")</f>
        <v>http://www.12365auto.com/zlts/20200221/447969.shtml</v>
      </c>
      <c r="G4240" s="2"/>
      <c r="H4240" s="2" t="s">
        <v>6081</v>
      </c>
      <c r="I4240" s="2" t="s">
        <v>19</v>
      </c>
      <c r="J4240" s="2" t="s">
        <v>12</v>
      </c>
      <c r="K4240" s="2" t="s">
        <v>6079</v>
      </c>
      <c r="L4240" s="2">
        <f t="shared" si="66"/>
        <v>150</v>
      </c>
    </row>
    <row r="4241" spans="1:12" ht="25" customHeight="1">
      <c r="A4241" s="2" t="s">
        <v>12</v>
      </c>
      <c r="B4241" s="2" t="str">
        <f>HYPERLINK("http://m.12365auto.com/xcdg/20200221/419165.shtml","2300万起拍 布加迪限量车型了解一下？")</f>
        <v>2300万起拍 布加迪限量车型了解一下？</v>
      </c>
      <c r="C4241" s="2" t="s">
        <v>13</v>
      </c>
      <c r="D4241" s="2" t="s">
        <v>12</v>
      </c>
      <c r="E4241" s="2"/>
      <c r="F4241" s="2" t="str">
        <f>HYPERLINK("http://m.12365auto.com/xcdg/20200221/419165.shtml","http://m.12365auto.com/xcdg/20200221/419165.shtml")</f>
        <v>http://m.12365auto.com/xcdg/20200221/419165.shtml</v>
      </c>
      <c r="G4241" s="2"/>
      <c r="H4241" s="2" t="s">
        <v>6082</v>
      </c>
      <c r="I4241" s="2" t="s">
        <v>19</v>
      </c>
      <c r="J4241" s="2" t="s">
        <v>3058</v>
      </c>
      <c r="K4241" s="2" t="s">
        <v>6079</v>
      </c>
      <c r="L4241" s="2">
        <f t="shared" si="66"/>
        <v>150</v>
      </c>
    </row>
    <row r="4242" spans="1:12" ht="25" customHeight="1">
      <c r="A4242" s="2" t="s">
        <v>12</v>
      </c>
      <c r="B4242" s="2" t="str">
        <f>HYPERLINK("http://www.12365auto.com/news/20200221/419164.shtml","东风风光以销定产降库存 1月销量同比再降")</f>
        <v>东风风光以销定产降库存 1月销量同比再降</v>
      </c>
      <c r="C4242" s="2" t="s">
        <v>13</v>
      </c>
      <c r="D4242" s="2" t="s">
        <v>12</v>
      </c>
      <c r="E4242" s="2" t="s">
        <v>276</v>
      </c>
      <c r="F4242" s="2" t="str">
        <f>HYPERLINK("http://www.12365auto.com/news/20200221/419164.shtml","http://www.12365auto.com/news/20200221/419164.shtml")</f>
        <v>http://www.12365auto.com/news/20200221/419164.shtml</v>
      </c>
      <c r="G4242" s="2"/>
      <c r="H4242" s="2" t="s">
        <v>6083</v>
      </c>
      <c r="I4242" s="2" t="s">
        <v>15</v>
      </c>
      <c r="J4242" s="2" t="s">
        <v>12</v>
      </c>
      <c r="K4242" s="2" t="s">
        <v>6084</v>
      </c>
      <c r="L4242" s="2">
        <f t="shared" si="66"/>
        <v>150</v>
      </c>
    </row>
    <row r="4243" spans="1:12" ht="25" customHeight="1">
      <c r="A4243" s="2" t="s">
        <v>12</v>
      </c>
      <c r="B4243" s="2" t="str">
        <f>HYPERLINK("http://m.12365auto.com/news/20200221/419164.shtml","东风风光以销定产降库存 1月销量同比再降")</f>
        <v>东风风光以销定产降库存 1月销量同比再降</v>
      </c>
      <c r="C4243" s="2" t="s">
        <v>13</v>
      </c>
      <c r="D4243" s="2" t="s">
        <v>12</v>
      </c>
      <c r="E4243" s="2"/>
      <c r="F4243" s="2" t="str">
        <f>HYPERLINK("http://m.12365auto.com/news/20200221/419164.shtml","http://m.12365auto.com/news/20200221/419164.shtml")</f>
        <v>http://m.12365auto.com/news/20200221/419164.shtml</v>
      </c>
      <c r="G4243" s="2"/>
      <c r="H4243" s="2" t="s">
        <v>6085</v>
      </c>
      <c r="I4243" s="2" t="s">
        <v>19</v>
      </c>
      <c r="J4243" s="2" t="s">
        <v>6086</v>
      </c>
      <c r="K4243" s="2" t="s">
        <v>6084</v>
      </c>
      <c r="L4243" s="2">
        <f t="shared" si="66"/>
        <v>150</v>
      </c>
    </row>
    <row r="4244" spans="1:12" ht="25" customHeight="1">
      <c r="A4244" s="2" t="s">
        <v>12</v>
      </c>
      <c r="B4244" s="2" t="str">
        <f>HYPERLINK("http://m.12365auto.com/xcdg/20200221/419163.shtml","35万开走的豪华七座SUV 到店探访奔驰GLB")</f>
        <v>35万开走的豪华七座SUV 到店探访奔驰GLB</v>
      </c>
      <c r="C4244" s="2" t="s">
        <v>13</v>
      </c>
      <c r="D4244" s="2" t="s">
        <v>12</v>
      </c>
      <c r="E4244" s="2"/>
      <c r="F4244" s="2" t="str">
        <f>HYPERLINK("http://m.12365auto.com/xcdg/20200221/419163.shtml","http://m.12365auto.com/xcdg/20200221/419163.shtml")</f>
        <v>http://m.12365auto.com/xcdg/20200221/419163.shtml</v>
      </c>
      <c r="G4244" s="2"/>
      <c r="H4244" s="2" t="s">
        <v>6087</v>
      </c>
      <c r="I4244" s="2" t="s">
        <v>19</v>
      </c>
      <c r="J4244" s="2" t="s">
        <v>1247</v>
      </c>
      <c r="K4244" s="2" t="s">
        <v>6088</v>
      </c>
      <c r="L4244" s="2">
        <f t="shared" si="66"/>
        <v>150</v>
      </c>
    </row>
    <row r="4245" spans="1:12" ht="25" customHeight="1">
      <c r="A4245" s="2" t="s">
        <v>12</v>
      </c>
      <c r="B4245" s="2" t="str">
        <f>HYPERLINK("http://www.12365auto.com/news/20200221/419162.shtml","大众宝来1月销量大涨20.7% 全系优惠2万起")</f>
        <v>大众宝来1月销量大涨20.7% 全系优惠2万起</v>
      </c>
      <c r="C4245" s="2" t="s">
        <v>13</v>
      </c>
      <c r="D4245" s="2" t="s">
        <v>12</v>
      </c>
      <c r="E4245" s="2" t="s">
        <v>276</v>
      </c>
      <c r="F4245" s="2" t="str">
        <f>HYPERLINK("http://www.12365auto.com/news/20200221/419162.shtml","http://www.12365auto.com/news/20200221/419162.shtml")</f>
        <v>http://www.12365auto.com/news/20200221/419162.shtml</v>
      </c>
      <c r="G4245" s="2"/>
      <c r="H4245" s="2" t="s">
        <v>6089</v>
      </c>
      <c r="I4245" s="2" t="s">
        <v>15</v>
      </c>
      <c r="J4245" s="2" t="s">
        <v>12</v>
      </c>
      <c r="K4245" s="2" t="s">
        <v>6090</v>
      </c>
      <c r="L4245" s="2">
        <f t="shared" si="66"/>
        <v>150</v>
      </c>
    </row>
    <row r="4246" spans="1:12" ht="25" customHeight="1">
      <c r="A4246" s="2" t="s">
        <v>12</v>
      </c>
      <c r="B4246" s="2" t="str">
        <f>HYPERLINK("http://m.12365auto.com/news/20200221/419162.shtml","大众宝来1月销量大涨20.7% 全系优惠2万起")</f>
        <v>大众宝来1月销量大涨20.7% 全系优惠2万起</v>
      </c>
      <c r="C4246" s="2" t="s">
        <v>13</v>
      </c>
      <c r="D4246" s="2" t="s">
        <v>12</v>
      </c>
      <c r="E4246" s="2"/>
      <c r="F4246" s="2" t="str">
        <f>HYPERLINK("http://m.12365auto.com/news/20200221/419162.shtml","http://m.12365auto.com/news/20200221/419162.shtml")</f>
        <v>http://m.12365auto.com/news/20200221/419162.shtml</v>
      </c>
      <c r="G4246" s="2"/>
      <c r="H4246" s="2" t="s">
        <v>6091</v>
      </c>
      <c r="I4246" s="2" t="s">
        <v>19</v>
      </c>
      <c r="J4246" s="2" t="s">
        <v>732</v>
      </c>
      <c r="K4246" s="2" t="s">
        <v>6090</v>
      </c>
      <c r="L4246" s="2">
        <f t="shared" si="66"/>
        <v>150</v>
      </c>
    </row>
    <row r="4247" spans="1:12" ht="25" customHeight="1">
      <c r="A4247" s="2" t="s">
        <v>12</v>
      </c>
      <c r="B4247" s="2" t="str">
        <f>HYPERLINK("http://m.12365auto.com/zjdy/20200221/121473.shtml","英菲尼迪Q50L发动机故障灯亮是什么故障？")</f>
        <v>英菲尼迪Q50L发动机故障灯亮是什么故障？</v>
      </c>
      <c r="C4247" s="2" t="s">
        <v>13</v>
      </c>
      <c r="D4247" s="2" t="s">
        <v>12</v>
      </c>
      <c r="E4247" s="2"/>
      <c r="F4247" s="2" t="str">
        <f>HYPERLINK("http://m.12365auto.com/zjdy/20200221/121473.shtml","http://m.12365auto.com/zjdy/20200221/121473.shtml")</f>
        <v>http://m.12365auto.com/zjdy/20200221/121473.shtml</v>
      </c>
      <c r="G4247" s="2"/>
      <c r="H4247" s="2" t="s">
        <v>6092</v>
      </c>
      <c r="I4247" s="2" t="s">
        <v>19</v>
      </c>
      <c r="J4247" s="2" t="s">
        <v>12</v>
      </c>
      <c r="K4247" s="2" t="s">
        <v>6093</v>
      </c>
      <c r="L4247" s="2">
        <f t="shared" si="66"/>
        <v>98</v>
      </c>
    </row>
    <row r="4248" spans="1:12" ht="25" customHeight="1">
      <c r="A4248" s="2" t="s">
        <v>12</v>
      </c>
      <c r="B4248" s="2" t="str">
        <f>HYPERLINK("http://www.12365auto.com/news/20200221/419161.shtml","缤智1月销量超1.4万 大涨30.6% 现车充足")</f>
        <v>缤智1月销量超1.4万 大涨30.6% 现车充足</v>
      </c>
      <c r="C4248" s="2" t="s">
        <v>13</v>
      </c>
      <c r="D4248" s="2" t="s">
        <v>12</v>
      </c>
      <c r="E4248" s="2" t="s">
        <v>276</v>
      </c>
      <c r="F4248" s="2" t="str">
        <f>HYPERLINK("http://www.12365auto.com/news/20200221/419161.shtml","http://www.12365auto.com/news/20200221/419161.shtml")</f>
        <v>http://www.12365auto.com/news/20200221/419161.shtml</v>
      </c>
      <c r="G4248" s="2"/>
      <c r="H4248" s="2" t="s">
        <v>6094</v>
      </c>
      <c r="I4248" s="2" t="s">
        <v>15</v>
      </c>
      <c r="J4248" s="2" t="s">
        <v>12</v>
      </c>
      <c r="K4248" s="2" t="s">
        <v>6095</v>
      </c>
      <c r="L4248" s="2">
        <f t="shared" si="66"/>
        <v>150</v>
      </c>
    </row>
    <row r="4249" spans="1:12" ht="25" customHeight="1">
      <c r="A4249" s="2" t="s">
        <v>12</v>
      </c>
      <c r="B4249" s="2" t="str">
        <f>HYPERLINK("http://m.12365auto.com/news/20200221/419161.shtml","缤智1月销量超1.4万 大涨30.6% 现车充足")</f>
        <v>缤智1月销量超1.4万 大涨30.6% 现车充足</v>
      </c>
      <c r="C4249" s="2" t="s">
        <v>13</v>
      </c>
      <c r="D4249" s="2" t="s">
        <v>12</v>
      </c>
      <c r="E4249" s="2"/>
      <c r="F4249" s="2" t="str">
        <f>HYPERLINK("http://m.12365auto.com/news/20200221/419161.shtml","http://m.12365auto.com/news/20200221/419161.shtml")</f>
        <v>http://m.12365auto.com/news/20200221/419161.shtml</v>
      </c>
      <c r="G4249" s="2"/>
      <c r="H4249" s="2" t="s">
        <v>6096</v>
      </c>
      <c r="I4249" s="2" t="s">
        <v>19</v>
      </c>
      <c r="J4249" s="2" t="s">
        <v>265</v>
      </c>
      <c r="K4249" s="2" t="s">
        <v>6095</v>
      </c>
      <c r="L4249" s="2">
        <f t="shared" si="66"/>
        <v>150</v>
      </c>
    </row>
    <row r="4250" spans="1:12" ht="25" customHeight="1">
      <c r="A4250" s="2" t="s">
        <v>12</v>
      </c>
      <c r="B4250" s="2" t="str">
        <f>HYPERLINK("http://m.12365auto.com/xcdg/20200221/419160.shtml","不到12万办齐日系紧凑SUV 新劲炫ASX到店")</f>
        <v>不到12万办齐日系紧凑SUV 新劲炫ASX到店</v>
      </c>
      <c r="C4250" s="2" t="s">
        <v>13</v>
      </c>
      <c r="D4250" s="2" t="s">
        <v>12</v>
      </c>
      <c r="E4250" s="2"/>
      <c r="F4250" s="2" t="str">
        <f>HYPERLINK("http://m.12365auto.com/xcdg/20200221/419160.shtml","http://m.12365auto.com/xcdg/20200221/419160.shtml")</f>
        <v>http://m.12365auto.com/xcdg/20200221/419160.shtml</v>
      </c>
      <c r="G4250" s="2"/>
      <c r="H4250" s="2" t="s">
        <v>6097</v>
      </c>
      <c r="I4250" s="2" t="s">
        <v>19</v>
      </c>
      <c r="J4250" s="2" t="s">
        <v>1247</v>
      </c>
      <c r="K4250" s="2" t="s">
        <v>6098</v>
      </c>
      <c r="L4250" s="2">
        <f t="shared" si="66"/>
        <v>150</v>
      </c>
    </row>
    <row r="4251" spans="1:12" ht="25" customHeight="1">
      <c r="A4251" s="2" t="s">
        <v>12</v>
      </c>
      <c r="B4251" s="2" t="str">
        <f>HYPERLINK("http://m.12365auto.com/xcdg/20200221/419159.shtml","瑞虎5x Hero 1.5T高能版堪称良心国货")</f>
        <v>瑞虎5x Hero 1.5T高能版堪称良心国货</v>
      </c>
      <c r="C4251" s="2" t="s">
        <v>13</v>
      </c>
      <c r="D4251" s="2" t="s">
        <v>12</v>
      </c>
      <c r="E4251" s="2"/>
      <c r="F4251" s="2" t="str">
        <f>HYPERLINK("http://m.12365auto.com/xcdg/20200221/419159.shtml","http://m.12365auto.com/xcdg/20200221/419159.shtml")</f>
        <v>http://m.12365auto.com/xcdg/20200221/419159.shtml</v>
      </c>
      <c r="G4251" s="2"/>
      <c r="H4251" s="2" t="s">
        <v>6099</v>
      </c>
      <c r="I4251" s="2" t="s">
        <v>19</v>
      </c>
      <c r="J4251" s="2" t="s">
        <v>6100</v>
      </c>
      <c r="K4251" s="2" t="s">
        <v>6101</v>
      </c>
      <c r="L4251" s="2">
        <f t="shared" si="66"/>
        <v>150</v>
      </c>
    </row>
    <row r="4252" spans="1:12" ht="25" customHeight="1">
      <c r="A4252" s="2" t="s">
        <v>12</v>
      </c>
      <c r="B4252" s="2" t="str">
        <f>HYPERLINK("http://m.12365auto.com/zjdy/20200221/121472.shtml","长安福特福克斯发动机故障怎么解决？")</f>
        <v>长安福特福克斯发动机故障怎么解决？</v>
      </c>
      <c r="C4252" s="2" t="s">
        <v>13</v>
      </c>
      <c r="D4252" s="2" t="s">
        <v>12</v>
      </c>
      <c r="E4252" s="2"/>
      <c r="F4252" s="2" t="str">
        <f>HYPERLINK("http://m.12365auto.com/zjdy/20200221/121472.shtml","http://m.12365auto.com/zjdy/20200221/121472.shtml")</f>
        <v>http://m.12365auto.com/zjdy/20200221/121472.shtml</v>
      </c>
      <c r="G4252" s="2"/>
      <c r="H4252" s="2" t="s">
        <v>6102</v>
      </c>
      <c r="I4252" s="2" t="s">
        <v>19</v>
      </c>
      <c r="J4252" s="2" t="s">
        <v>12</v>
      </c>
      <c r="K4252" s="2" t="s">
        <v>6103</v>
      </c>
      <c r="L4252" s="2">
        <f t="shared" si="66"/>
        <v>60</v>
      </c>
    </row>
    <row r="4253" spans="1:12" ht="25" customHeight="1">
      <c r="A4253" s="2" t="s">
        <v>12</v>
      </c>
      <c r="B4253" s="2" t="str">
        <f>HYPERLINK("http://m.12365auto.com/xcdg/20200221/419158.shtml","9.99万就能买 威马这笔账给你算明白了")</f>
        <v>9.99万就能买 威马这笔账给你算明白了</v>
      </c>
      <c r="C4253" s="2" t="s">
        <v>13</v>
      </c>
      <c r="D4253" s="2" t="s">
        <v>12</v>
      </c>
      <c r="E4253" s="2"/>
      <c r="F4253" s="2" t="str">
        <f>HYPERLINK("http://m.12365auto.com/xcdg/20200221/419158.shtml","http://m.12365auto.com/xcdg/20200221/419158.shtml")</f>
        <v>http://m.12365auto.com/xcdg/20200221/419158.shtml</v>
      </c>
      <c r="G4253" s="2"/>
      <c r="H4253" s="2" t="s">
        <v>6104</v>
      </c>
      <c r="I4253" s="2" t="s">
        <v>19</v>
      </c>
      <c r="J4253" s="2" t="s">
        <v>2928</v>
      </c>
      <c r="K4253" s="2" t="s">
        <v>6105</v>
      </c>
      <c r="L4253" s="2">
        <f t="shared" si="66"/>
        <v>150</v>
      </c>
    </row>
    <row r="4254" spans="1:12" ht="25" customHeight="1">
      <c r="A4254" s="2" t="s">
        <v>12</v>
      </c>
      <c r="B4254" s="2" t="str">
        <f>HYPERLINK("http://m.12365auto.com/xcdg/20200221/419157.shtml","雪上芭蕾么？AMG GT 73 伪装车谍照曝光")</f>
        <v>雪上芭蕾么？AMG GT 73 伪装车谍照曝光</v>
      </c>
      <c r="C4254" s="2" t="s">
        <v>13</v>
      </c>
      <c r="D4254" s="2" t="s">
        <v>12</v>
      </c>
      <c r="E4254" s="2"/>
      <c r="F4254" s="2" t="str">
        <f>HYPERLINK("http://m.12365auto.com/xcdg/20200221/419157.shtml","http://m.12365auto.com/xcdg/20200221/419157.shtml")</f>
        <v>http://m.12365auto.com/xcdg/20200221/419157.shtml</v>
      </c>
      <c r="G4254" s="2"/>
      <c r="H4254" s="2" t="s">
        <v>6106</v>
      </c>
      <c r="I4254" s="2" t="s">
        <v>19</v>
      </c>
      <c r="J4254" s="2" t="s">
        <v>3058</v>
      </c>
      <c r="K4254" s="2" t="s">
        <v>6107</v>
      </c>
      <c r="L4254" s="2">
        <f t="shared" si="66"/>
        <v>150</v>
      </c>
    </row>
    <row r="4255" spans="1:12" ht="25" customHeight="1">
      <c r="A4255" s="2" t="s">
        <v>12</v>
      </c>
      <c r="B4255" s="2" t="str">
        <f>HYPERLINK("http://www.12365auto.com/xcdg/20200221/419157.shtml","雪上芭蕾么？AMG GT 73 伪装车谍照曝光")</f>
        <v>雪上芭蕾么？AMG GT 73 伪装车谍照曝光</v>
      </c>
      <c r="C4255" s="2" t="s">
        <v>13</v>
      </c>
      <c r="D4255" s="2" t="s">
        <v>12</v>
      </c>
      <c r="E4255" s="2" t="s">
        <v>224</v>
      </c>
      <c r="F4255" s="2" t="str">
        <f>HYPERLINK("http://www.12365auto.com/xcdg/20200221/419157.shtml","http://www.12365auto.com/xcdg/20200221/419157.shtml")</f>
        <v>http://www.12365auto.com/xcdg/20200221/419157.shtml</v>
      </c>
      <c r="G4255" s="2"/>
      <c r="H4255" s="2" t="s">
        <v>6108</v>
      </c>
      <c r="I4255" s="2" t="s">
        <v>15</v>
      </c>
      <c r="J4255" s="2" t="s">
        <v>12</v>
      </c>
      <c r="K4255" s="2" t="s">
        <v>6107</v>
      </c>
      <c r="L4255" s="2">
        <f t="shared" si="66"/>
        <v>150</v>
      </c>
    </row>
    <row r="4256" spans="1:12" ht="25" customHeight="1">
      <c r="A4256" s="2" t="s">
        <v>12</v>
      </c>
      <c r="B4256" s="2" t="str">
        <f>HYPERLINK("http://www.12365auto.com/zlts/20200221/447967.shtml","广汽丰田凯美瑞仪表台出油反光开裂发臭")</f>
        <v>广汽丰田凯美瑞仪表台出油反光开裂发臭</v>
      </c>
      <c r="C4256" s="2" t="s">
        <v>13</v>
      </c>
      <c r="D4256" s="2" t="s">
        <v>12</v>
      </c>
      <c r="E4256" s="2" t="s">
        <v>17</v>
      </c>
      <c r="F4256" s="2" t="str">
        <f>HYPERLINK("http://www.12365auto.com/zlts/20200221/447967.shtml","http://www.12365auto.com/zlts/20200221/447967.shtml")</f>
        <v>http://www.12365auto.com/zlts/20200221/447967.shtml</v>
      </c>
      <c r="G4256" s="2"/>
      <c r="H4256" s="2" t="s">
        <v>6109</v>
      </c>
      <c r="I4256" s="2" t="s">
        <v>19</v>
      </c>
      <c r="J4256" s="2" t="s">
        <v>12</v>
      </c>
      <c r="K4256" s="2" t="s">
        <v>6110</v>
      </c>
      <c r="L4256" s="2">
        <f t="shared" si="66"/>
        <v>150</v>
      </c>
    </row>
    <row r="4257" spans="1:12" ht="25" customHeight="1">
      <c r="A4257" s="2" t="s">
        <v>12</v>
      </c>
      <c r="B4257" s="2" t="str">
        <f>HYPERLINK("http://m.12365auto.com/xcdg/20200221/419156.shtml","30万级豪华轿车怎么选？ 明白人都看这8款")</f>
        <v>30万级豪华轿车怎么选？ 明白人都看这8款</v>
      </c>
      <c r="C4257" s="2" t="s">
        <v>13</v>
      </c>
      <c r="D4257" s="2" t="s">
        <v>12</v>
      </c>
      <c r="E4257" s="2"/>
      <c r="F4257" s="2" t="str">
        <f>HYPERLINK("http://m.12365auto.com/xcdg/20200221/419156.shtml","http://m.12365auto.com/xcdg/20200221/419156.shtml")</f>
        <v>http://m.12365auto.com/xcdg/20200221/419156.shtml</v>
      </c>
      <c r="G4257" s="2"/>
      <c r="H4257" s="2" t="s">
        <v>6111</v>
      </c>
      <c r="I4257" s="2" t="s">
        <v>19</v>
      </c>
      <c r="J4257" s="2" t="s">
        <v>6112</v>
      </c>
      <c r="K4257" s="2" t="s">
        <v>6113</v>
      </c>
      <c r="L4257" s="2">
        <f t="shared" si="66"/>
        <v>150</v>
      </c>
    </row>
    <row r="4258" spans="1:12" ht="25" customHeight="1">
      <c r="A4258" s="2" t="s">
        <v>12</v>
      </c>
      <c r="B4258" s="2" t="str">
        <f>HYPERLINK("http://www.12365auto.com/zlts/20200221/447966.shtml","东风悦达起亚KX CROSS底盘生锈 车身生锈")</f>
        <v>东风悦达起亚KX CROSS底盘生锈 车身生锈</v>
      </c>
      <c r="C4258" s="2" t="s">
        <v>13</v>
      </c>
      <c r="D4258" s="2" t="s">
        <v>12</v>
      </c>
      <c r="E4258" s="2" t="s">
        <v>17</v>
      </c>
      <c r="F4258" s="2" t="str">
        <f>HYPERLINK("http://www.12365auto.com/zlts/20200221/447966.shtml","http://www.12365auto.com/zlts/20200221/447966.shtml")</f>
        <v>http://www.12365auto.com/zlts/20200221/447966.shtml</v>
      </c>
      <c r="G4258" s="2"/>
      <c r="H4258" s="2" t="s">
        <v>6114</v>
      </c>
      <c r="I4258" s="2" t="s">
        <v>19</v>
      </c>
      <c r="J4258" s="2" t="s">
        <v>12</v>
      </c>
      <c r="K4258" s="2" t="s">
        <v>6115</v>
      </c>
      <c r="L4258" s="2">
        <f t="shared" si="66"/>
        <v>150</v>
      </c>
    </row>
    <row r="4259" spans="1:12" ht="25" customHeight="1">
      <c r="A4259" s="2" t="s">
        <v>12</v>
      </c>
      <c r="B4259" s="2" t="str">
        <f>HYPERLINK("http://m.12365auto.com/xcdg/20200221/419155.shtml","增配不加价 2020款XR-V怎么选最划算？")</f>
        <v>增配不加价 2020款XR-V怎么选最划算？</v>
      </c>
      <c r="C4259" s="2" t="s">
        <v>13</v>
      </c>
      <c r="D4259" s="2" t="s">
        <v>12</v>
      </c>
      <c r="E4259" s="2"/>
      <c r="F4259" s="2" t="str">
        <f>HYPERLINK("http://m.12365auto.com/xcdg/20200221/419155.shtml","http://m.12365auto.com/xcdg/20200221/419155.shtml")</f>
        <v>http://m.12365auto.com/xcdg/20200221/419155.shtml</v>
      </c>
      <c r="G4259" s="2"/>
      <c r="H4259" s="2" t="s">
        <v>6116</v>
      </c>
      <c r="I4259" s="2" t="s">
        <v>19</v>
      </c>
      <c r="J4259" s="2" t="s">
        <v>1255</v>
      </c>
      <c r="K4259" s="2" t="s">
        <v>6117</v>
      </c>
      <c r="L4259" s="2">
        <f t="shared" si="66"/>
        <v>22</v>
      </c>
    </row>
    <row r="4260" spans="1:12" ht="25" customHeight="1">
      <c r="A4260" s="2" t="s">
        <v>12</v>
      </c>
      <c r="B4260" s="2" t="str">
        <f>HYPERLINK("http://www.12365auto.com/zlts/20200221/447955.shtml","众泰T700换挡旋钮故障售后未解决问题")</f>
        <v>众泰T700换挡旋钮故障售后未解决问题</v>
      </c>
      <c r="C4260" s="2" t="s">
        <v>13</v>
      </c>
      <c r="D4260" s="2" t="s">
        <v>12</v>
      </c>
      <c r="E4260" s="2"/>
      <c r="F4260" s="2" t="str">
        <f>HYPERLINK("http://www.12365auto.com/zlts/20200221/447955.shtml","http://www.12365auto.com/zlts/20200221/447955.shtml")</f>
        <v>http://www.12365auto.com/zlts/20200221/447955.shtml</v>
      </c>
      <c r="G4260" s="2"/>
      <c r="H4260" s="2" t="s">
        <v>6119</v>
      </c>
      <c r="I4260" s="2" t="s">
        <v>15</v>
      </c>
      <c r="J4260" s="2" t="s">
        <v>12</v>
      </c>
      <c r="K4260" s="2" t="s">
        <v>6118</v>
      </c>
      <c r="L4260" s="2">
        <f t="shared" si="66"/>
        <v>85</v>
      </c>
    </row>
    <row r="4261" spans="1:12" ht="25" customHeight="1">
      <c r="A4261" s="2" t="s">
        <v>12</v>
      </c>
      <c r="B4261" s="2" t="str">
        <f>HYPERLINK("http://www.12365auto.com/xcdg/20200221/419154.shtml","韩系5款新车3月初发布 豪华轿车与A6L同级")</f>
        <v>韩系5款新车3月初发布 豪华轿车与A6L同级</v>
      </c>
      <c r="C4261" s="2" t="s">
        <v>13</v>
      </c>
      <c r="D4261" s="2" t="s">
        <v>12</v>
      </c>
      <c r="E4261" s="2" t="s">
        <v>245</v>
      </c>
      <c r="F4261" s="2" t="str">
        <f>HYPERLINK("http://www.12365auto.com/xcdg/20200221/419154.shtml","http://www.12365auto.com/xcdg/20200221/419154.shtml")</f>
        <v>http://www.12365auto.com/xcdg/20200221/419154.shtml</v>
      </c>
      <c r="G4261" s="2"/>
      <c r="H4261" s="2" t="s">
        <v>6120</v>
      </c>
      <c r="I4261" s="2" t="s">
        <v>19</v>
      </c>
      <c r="J4261" s="2" t="s">
        <v>12</v>
      </c>
      <c r="K4261" s="2" t="s">
        <v>6121</v>
      </c>
      <c r="L4261" s="2">
        <f t="shared" si="66"/>
        <v>150</v>
      </c>
    </row>
    <row r="4262" spans="1:12" ht="25" customHeight="1">
      <c r="A4262" s="2" t="s">
        <v>12</v>
      </c>
      <c r="B4262" s="2" t="str">
        <f>HYPERLINK("http://www.12365auto.com/zlts/20200221/447965.shtml","长城风骏5颗粒捕捉器堵塞无解决方案")</f>
        <v>长城风骏5颗粒捕捉器堵塞无解决方案</v>
      </c>
      <c r="C4262" s="2" t="s">
        <v>13</v>
      </c>
      <c r="D4262" s="2" t="s">
        <v>12</v>
      </c>
      <c r="E4262" s="2" t="s">
        <v>17</v>
      </c>
      <c r="F4262" s="2" t="str">
        <f>HYPERLINK("http://www.12365auto.com/zlts/20200221/447965.shtml","http://www.12365auto.com/zlts/20200221/447965.shtml")</f>
        <v>http://www.12365auto.com/zlts/20200221/447965.shtml</v>
      </c>
      <c r="G4262" s="2"/>
      <c r="H4262" s="2" t="s">
        <v>6122</v>
      </c>
      <c r="I4262" s="2" t="s">
        <v>19</v>
      </c>
      <c r="J4262" s="2" t="s">
        <v>12</v>
      </c>
      <c r="K4262" s="2" t="s">
        <v>6121</v>
      </c>
      <c r="L4262" s="2">
        <f t="shared" si="66"/>
        <v>150</v>
      </c>
    </row>
    <row r="4263" spans="1:12" ht="25" customHeight="1">
      <c r="A4263" s="2" t="s">
        <v>12</v>
      </c>
      <c r="B4263" s="2" t="str">
        <f>HYPERLINK("http://m.12365auto.com/xcdg/20200221/419154.shtml","韩系5款新车3月初发布 豪华轿车与A6L同级")</f>
        <v>韩系5款新车3月初发布 豪华轿车与A6L同级</v>
      </c>
      <c r="C4263" s="2" t="s">
        <v>13</v>
      </c>
      <c r="D4263" s="2" t="s">
        <v>12</v>
      </c>
      <c r="E4263" s="2"/>
      <c r="F4263" s="2" t="str">
        <f>HYPERLINK("http://m.12365auto.com/xcdg/20200221/419154.shtml","http://m.12365auto.com/xcdg/20200221/419154.shtml")</f>
        <v>http://m.12365auto.com/xcdg/20200221/419154.shtml</v>
      </c>
      <c r="G4263" s="2"/>
      <c r="H4263" s="2" t="s">
        <v>6123</v>
      </c>
      <c r="I4263" s="2" t="s">
        <v>19</v>
      </c>
      <c r="J4263" s="2" t="s">
        <v>739</v>
      </c>
      <c r="K4263" s="2" t="s">
        <v>6121</v>
      </c>
      <c r="L4263" s="2">
        <f t="shared" si="66"/>
        <v>150</v>
      </c>
    </row>
    <row r="4264" spans="1:12" ht="25" customHeight="1">
      <c r="A4264" s="2" t="s">
        <v>12</v>
      </c>
      <c r="B4264" s="2" t="str">
        <f>HYPERLINK("http://m.12365auto.com/xcdg/20200221/419153.shtml","最便宜的豪华轿车 有可能是奥迪A6L？")</f>
        <v>最便宜的豪华轿车 有可能是奥迪A6L？</v>
      </c>
      <c r="C4264" s="2" t="s">
        <v>13</v>
      </c>
      <c r="D4264" s="2" t="s">
        <v>12</v>
      </c>
      <c r="E4264" s="2"/>
      <c r="F4264" s="2" t="str">
        <f>HYPERLINK("http://m.12365auto.com/xcdg/20200221/419153.shtml","http://m.12365auto.com/xcdg/20200221/419153.shtml")</f>
        <v>http://m.12365auto.com/xcdg/20200221/419153.shtml</v>
      </c>
      <c r="G4264" s="2"/>
      <c r="H4264" s="2" t="s">
        <v>6124</v>
      </c>
      <c r="I4264" s="2" t="s">
        <v>19</v>
      </c>
      <c r="J4264" s="2" t="s">
        <v>1247</v>
      </c>
      <c r="K4264" s="2" t="s">
        <v>6125</v>
      </c>
      <c r="L4264" s="2">
        <f t="shared" si="66"/>
        <v>150</v>
      </c>
    </row>
    <row r="4265" spans="1:12" ht="25" customHeight="1">
      <c r="A4265" s="2" t="s">
        <v>12</v>
      </c>
      <c r="B4265" s="2" t="str">
        <f>HYPERLINK("http://www.12365auto.com/xcdg/20200221/419152.shtml","大众全新开迪官图曝光 本月底发布")</f>
        <v>大众全新开迪官图曝光 本月底发布</v>
      </c>
      <c r="C4265" s="2" t="s">
        <v>13</v>
      </c>
      <c r="D4265" s="2" t="s">
        <v>12</v>
      </c>
      <c r="E4265" s="2" t="s">
        <v>245</v>
      </c>
      <c r="F4265" s="2" t="str">
        <f>HYPERLINK("http://www.12365auto.com/xcdg/20200221/419152.shtml","http://www.12365auto.com/xcdg/20200221/419152.shtml")</f>
        <v>http://www.12365auto.com/xcdg/20200221/419152.shtml</v>
      </c>
      <c r="G4265" s="2"/>
      <c r="H4265" s="2" t="s">
        <v>6126</v>
      </c>
      <c r="I4265" s="2" t="s">
        <v>19</v>
      </c>
      <c r="J4265" s="2" t="s">
        <v>12</v>
      </c>
      <c r="K4265" s="2" t="s">
        <v>6127</v>
      </c>
      <c r="L4265" s="2">
        <f t="shared" si="66"/>
        <v>150</v>
      </c>
    </row>
    <row r="4266" spans="1:12" ht="25" customHeight="1">
      <c r="A4266" s="2" t="s">
        <v>12</v>
      </c>
      <c r="B4266" s="2" t="str">
        <f>HYPERLINK("http://m.12365auto.com/xcdg/20200221/419152.shtml","大众全新开迪官图曝光 本月底发布")</f>
        <v>大众全新开迪官图曝光 本月底发布</v>
      </c>
      <c r="C4266" s="2" t="s">
        <v>13</v>
      </c>
      <c r="D4266" s="2" t="s">
        <v>12</v>
      </c>
      <c r="E4266" s="2"/>
      <c r="F4266" s="2" t="str">
        <f>HYPERLINK("http://m.12365auto.com/xcdg/20200221/419152.shtml","http://m.12365auto.com/xcdg/20200221/419152.shtml")</f>
        <v>http://m.12365auto.com/xcdg/20200221/419152.shtml</v>
      </c>
      <c r="G4266" s="2"/>
      <c r="H4266" s="2" t="s">
        <v>6128</v>
      </c>
      <c r="I4266" s="2" t="s">
        <v>19</v>
      </c>
      <c r="J4266" s="2" t="s">
        <v>220</v>
      </c>
      <c r="K4266" s="2" t="s">
        <v>6127</v>
      </c>
      <c r="L4266" s="2">
        <f t="shared" si="66"/>
        <v>150</v>
      </c>
    </row>
    <row r="4267" spans="1:12" ht="25" customHeight="1">
      <c r="A4267" s="2" t="s">
        <v>12</v>
      </c>
      <c r="B4267" s="2" t="str">
        <f>HYPERLINK("http://m.12365auto.com/xcdg/20200221/419151.shtml","优惠后12万 如此便宜的大众SUV怎么样")</f>
        <v>优惠后12万 如此便宜的大众SUV怎么样</v>
      </c>
      <c r="C4267" s="2" t="s">
        <v>13</v>
      </c>
      <c r="D4267" s="2" t="s">
        <v>12</v>
      </c>
      <c r="E4267" s="2"/>
      <c r="F4267" s="2" t="str">
        <f>HYPERLINK("http://m.12365auto.com/xcdg/20200221/419151.shtml","http://m.12365auto.com/xcdg/20200221/419151.shtml")</f>
        <v>http://m.12365auto.com/xcdg/20200221/419151.shtml</v>
      </c>
      <c r="G4267" s="2"/>
      <c r="H4267" s="2" t="s">
        <v>6129</v>
      </c>
      <c r="I4267" s="2" t="s">
        <v>19</v>
      </c>
      <c r="J4267" s="2" t="s">
        <v>6130</v>
      </c>
      <c r="K4267" s="2" t="s">
        <v>6131</v>
      </c>
      <c r="L4267" s="2">
        <f t="shared" si="66"/>
        <v>150</v>
      </c>
    </row>
    <row r="4268" spans="1:12" ht="25" customHeight="1">
      <c r="A4268" s="2" t="s">
        <v>12</v>
      </c>
      <c r="B4268" s="2" t="str">
        <f>HYPERLINK("http://www.12365auto.com/xcdg/20200221/419150.shtml","现代全新i30谍照曝光 6月经销商开售")</f>
        <v>现代全新i30谍照曝光 6月经销商开售</v>
      </c>
      <c r="C4268" s="2" t="s">
        <v>13</v>
      </c>
      <c r="D4268" s="2" t="s">
        <v>12</v>
      </c>
      <c r="E4268" s="2" t="s">
        <v>224</v>
      </c>
      <c r="F4268" s="2" t="str">
        <f>HYPERLINK("http://www.12365auto.com/xcdg/20200221/419150.shtml","http://www.12365auto.com/xcdg/20200221/419150.shtml")</f>
        <v>http://www.12365auto.com/xcdg/20200221/419150.shtml</v>
      </c>
      <c r="G4268" s="2"/>
      <c r="H4268" s="2" t="s">
        <v>6132</v>
      </c>
      <c r="I4268" s="2" t="s">
        <v>15</v>
      </c>
      <c r="J4268" s="2" t="s">
        <v>12</v>
      </c>
      <c r="K4268" s="2" t="s">
        <v>6133</v>
      </c>
      <c r="L4268" s="2">
        <f t="shared" si="66"/>
        <v>150</v>
      </c>
    </row>
    <row r="4269" spans="1:12" ht="25" customHeight="1">
      <c r="A4269" s="2" t="s">
        <v>12</v>
      </c>
      <c r="B4269" s="2" t="str">
        <f>HYPERLINK("http://www.12365auto.com/zlts/20200221/447963.shtml","捷途X70离合器总泵漏油导致无法回位")</f>
        <v>捷途X70离合器总泵漏油导致无法回位</v>
      </c>
      <c r="C4269" s="2" t="s">
        <v>13</v>
      </c>
      <c r="D4269" s="2" t="s">
        <v>12</v>
      </c>
      <c r="E4269" s="2" t="s">
        <v>17</v>
      </c>
      <c r="F4269" s="2" t="str">
        <f>HYPERLINK("http://www.12365auto.com/zlts/20200221/447963.shtml","http://www.12365auto.com/zlts/20200221/447963.shtml")</f>
        <v>http://www.12365auto.com/zlts/20200221/447963.shtml</v>
      </c>
      <c r="G4269" s="2"/>
      <c r="H4269" s="2" t="s">
        <v>6134</v>
      </c>
      <c r="I4269" s="2" t="s">
        <v>19</v>
      </c>
      <c r="J4269" s="2" t="s">
        <v>12</v>
      </c>
      <c r="K4269" s="2" t="s">
        <v>6133</v>
      </c>
      <c r="L4269" s="2">
        <f t="shared" si="66"/>
        <v>150</v>
      </c>
    </row>
    <row r="4270" spans="1:12" ht="25" customHeight="1">
      <c r="A4270" s="2" t="s">
        <v>12</v>
      </c>
      <c r="B4270" s="2" t="str">
        <f>HYPERLINK("http://m.12365auto.com/xcdg/20200221/419150.shtml","现代全新i30谍照曝光 6月经销商开售")</f>
        <v>现代全新i30谍照曝光 6月经销商开售</v>
      </c>
      <c r="C4270" s="2" t="s">
        <v>13</v>
      </c>
      <c r="D4270" s="2" t="s">
        <v>12</v>
      </c>
      <c r="E4270" s="2"/>
      <c r="F4270" s="2" t="str">
        <f>HYPERLINK("http://m.12365auto.com/xcdg/20200221/419150.shtml","http://m.12365auto.com/xcdg/20200221/419150.shtml")</f>
        <v>http://m.12365auto.com/xcdg/20200221/419150.shtml</v>
      </c>
      <c r="G4270" s="2"/>
      <c r="H4270" s="2" t="s">
        <v>6135</v>
      </c>
      <c r="I4270" s="2" t="s">
        <v>19</v>
      </c>
      <c r="J4270" s="2" t="s">
        <v>220</v>
      </c>
      <c r="K4270" s="2" t="s">
        <v>6133</v>
      </c>
      <c r="L4270" s="2">
        <f t="shared" si="66"/>
        <v>150</v>
      </c>
    </row>
    <row r="4271" spans="1:12" ht="25" customHeight="1">
      <c r="A4271" s="2" t="s">
        <v>12</v>
      </c>
      <c r="B4271" s="2" t="str">
        <f>HYPERLINK("http://m.12365auto.com/news/20200221/419149.shtml","销量转化难 直播卖车究竟该怎么做？")</f>
        <v>销量转化难 直播卖车究竟该怎么做？</v>
      </c>
      <c r="C4271" s="2" t="s">
        <v>13</v>
      </c>
      <c r="D4271" s="2" t="s">
        <v>12</v>
      </c>
      <c r="E4271" s="2"/>
      <c r="F4271" s="2" t="str">
        <f>HYPERLINK("http://m.12365auto.com/news/20200221/419149.shtml","http://m.12365auto.com/news/20200221/419149.shtml")</f>
        <v>http://m.12365auto.com/news/20200221/419149.shtml</v>
      </c>
      <c r="G4271" s="2"/>
      <c r="H4271" s="2" t="s">
        <v>6136</v>
      </c>
      <c r="I4271" s="2" t="s">
        <v>19</v>
      </c>
      <c r="J4271" s="2" t="s">
        <v>2808</v>
      </c>
      <c r="K4271" s="2" t="s">
        <v>6137</v>
      </c>
      <c r="L4271" s="2">
        <f t="shared" si="66"/>
        <v>150</v>
      </c>
    </row>
    <row r="4272" spans="1:12" ht="25" customHeight="1">
      <c r="A4272" s="2" t="s">
        <v>12</v>
      </c>
      <c r="B4272" s="2" t="str">
        <f>HYPERLINK("http://www.12365auto.com/news/20200221/419149.shtml","销量转化难 直播卖车究竟该怎么做？")</f>
        <v>销量转化难 直播卖车究竟该怎么做？</v>
      </c>
      <c r="C4272" s="2" t="s">
        <v>13</v>
      </c>
      <c r="D4272" s="2" t="s">
        <v>12</v>
      </c>
      <c r="E4272" s="2" t="s">
        <v>282</v>
      </c>
      <c r="F4272" s="2" t="str">
        <f>HYPERLINK("http://www.12365auto.com/news/20200221/419149.shtml","http://www.12365auto.com/news/20200221/419149.shtml")</f>
        <v>http://www.12365auto.com/news/20200221/419149.shtml</v>
      </c>
      <c r="G4272" s="2"/>
      <c r="H4272" s="2" t="s">
        <v>6138</v>
      </c>
      <c r="I4272" s="2" t="s">
        <v>19</v>
      </c>
      <c r="J4272" s="2" t="s">
        <v>12</v>
      </c>
      <c r="K4272" s="2" t="s">
        <v>6137</v>
      </c>
      <c r="L4272" s="2">
        <f t="shared" si="66"/>
        <v>150</v>
      </c>
    </row>
    <row r="4273" spans="1:12" ht="25" customHeight="1">
      <c r="A4273" s="2" t="s">
        <v>12</v>
      </c>
      <c r="B4273" s="2" t="str">
        <f>HYPERLINK("http://m.12365auto.com/news/20200221/419148.shtml","“唱反调”？ 宝马为何放弃纯电动平台")</f>
        <v>“唱反调”？ 宝马为何放弃纯电动平台</v>
      </c>
      <c r="C4273" s="2" t="s">
        <v>13</v>
      </c>
      <c r="D4273" s="2" t="s">
        <v>12</v>
      </c>
      <c r="E4273" s="2"/>
      <c r="F4273" s="2" t="str">
        <f>HYPERLINK("http://m.12365auto.com/news/20200221/419148.shtml","http://m.12365auto.com/news/20200221/419148.shtml")</f>
        <v>http://m.12365auto.com/news/20200221/419148.shtml</v>
      </c>
      <c r="G4273" s="2"/>
      <c r="H4273" s="2" t="s">
        <v>6139</v>
      </c>
      <c r="I4273" s="2" t="s">
        <v>19</v>
      </c>
      <c r="J4273" s="2" t="s">
        <v>281</v>
      </c>
      <c r="K4273" s="2" t="s">
        <v>6140</v>
      </c>
      <c r="L4273" s="2">
        <f t="shared" si="66"/>
        <v>150</v>
      </c>
    </row>
    <row r="4274" spans="1:12" ht="25" customHeight="1">
      <c r="A4274" s="2" t="s">
        <v>12</v>
      </c>
      <c r="B4274" s="2" t="str">
        <f>HYPERLINK("http://www.12365auto.com/news/20200221/419148.shtml","“唱反调”？ 宝马为何放弃纯电动平台")</f>
        <v>“唱反调”？ 宝马为何放弃纯电动平台</v>
      </c>
      <c r="C4274" s="2" t="s">
        <v>13</v>
      </c>
      <c r="D4274" s="2" t="s">
        <v>12</v>
      </c>
      <c r="E4274" s="2" t="s">
        <v>282</v>
      </c>
      <c r="F4274" s="2" t="str">
        <f>HYPERLINK("http://www.12365auto.com/news/20200221/419148.shtml","http://www.12365auto.com/news/20200221/419148.shtml")</f>
        <v>http://www.12365auto.com/news/20200221/419148.shtml</v>
      </c>
      <c r="G4274" s="2"/>
      <c r="H4274" s="2" t="s">
        <v>6141</v>
      </c>
      <c r="I4274" s="2" t="s">
        <v>19</v>
      </c>
      <c r="J4274" s="2" t="s">
        <v>12</v>
      </c>
      <c r="K4274" s="2" t="s">
        <v>6140</v>
      </c>
      <c r="L4274" s="2">
        <f t="shared" si="66"/>
        <v>150</v>
      </c>
    </row>
    <row r="4275" spans="1:12" ht="25" customHeight="1">
      <c r="A4275" s="2" t="s">
        <v>12</v>
      </c>
      <c r="B4275" s="2" t="str">
        <f>HYPERLINK("http://m.12365auto.com/xcdg/20200221/419147.shtml","解读低配车 实拍吉利星越300T探星者")</f>
        <v>解读低配车 实拍吉利星越300T探星者</v>
      </c>
      <c r="C4275" s="2" t="s">
        <v>13</v>
      </c>
      <c r="D4275" s="2" t="s">
        <v>12</v>
      </c>
      <c r="E4275" s="2"/>
      <c r="F4275" s="2" t="str">
        <f>HYPERLINK("http://m.12365auto.com/xcdg/20200221/419147.shtml","http://m.12365auto.com/xcdg/20200221/419147.shtml")</f>
        <v>http://m.12365auto.com/xcdg/20200221/419147.shtml</v>
      </c>
      <c r="G4275" s="2"/>
      <c r="H4275" s="2" t="s">
        <v>6142</v>
      </c>
      <c r="I4275" s="2" t="s">
        <v>19</v>
      </c>
      <c r="J4275" s="2" t="s">
        <v>6143</v>
      </c>
      <c r="K4275" s="2" t="s">
        <v>6144</v>
      </c>
      <c r="L4275" s="2">
        <f t="shared" si="66"/>
        <v>150</v>
      </c>
    </row>
    <row r="4276" spans="1:12" ht="25" customHeight="1">
      <c r="A4276" s="2" t="s">
        <v>12</v>
      </c>
      <c r="B4276" s="2" t="str">
        <f>HYPERLINK("http://www.12365auto.com/zlts/20200221/447962.shtml","一汽大众速腾4S店乱收费 不提供发票")</f>
        <v>一汽大众速腾4S店乱收费 不提供发票</v>
      </c>
      <c r="C4276" s="2" t="s">
        <v>13</v>
      </c>
      <c r="D4276" s="2" t="s">
        <v>12</v>
      </c>
      <c r="E4276" s="2" t="s">
        <v>17</v>
      </c>
      <c r="F4276" s="2" t="str">
        <f>HYPERLINK("http://www.12365auto.com/zlts/20200221/447962.shtml","http://www.12365auto.com/zlts/20200221/447962.shtml")</f>
        <v>http://www.12365auto.com/zlts/20200221/447962.shtml</v>
      </c>
      <c r="G4276" s="2"/>
      <c r="H4276" s="2" t="s">
        <v>6145</v>
      </c>
      <c r="I4276" s="2" t="s">
        <v>15</v>
      </c>
      <c r="J4276" s="2" t="s">
        <v>12</v>
      </c>
      <c r="K4276" s="2" t="s">
        <v>6146</v>
      </c>
      <c r="L4276" s="2">
        <f t="shared" si="66"/>
        <v>150</v>
      </c>
    </row>
    <row r="4277" spans="1:12" ht="25" customHeight="1">
      <c r="A4277" s="2" t="s">
        <v>12</v>
      </c>
      <c r="B4277" s="2" t="str">
        <f>HYPERLINK("http://www.12365auto.com/zlts/20200221/447961.shtml","江淮瑞风S3发动机异响 跑偏 玻璃升降器卡顿")</f>
        <v>江淮瑞风S3发动机异响 跑偏 玻璃升降器卡顿</v>
      </c>
      <c r="C4277" s="2" t="s">
        <v>13</v>
      </c>
      <c r="D4277" s="2" t="s">
        <v>12</v>
      </c>
      <c r="E4277" s="2" t="s">
        <v>17</v>
      </c>
      <c r="F4277" s="2" t="str">
        <f>HYPERLINK("http://www.12365auto.com/zlts/20200221/447961.shtml","http://www.12365auto.com/zlts/20200221/447961.shtml")</f>
        <v>http://www.12365auto.com/zlts/20200221/447961.shtml</v>
      </c>
      <c r="G4277" s="2"/>
      <c r="H4277" s="2" t="s">
        <v>6147</v>
      </c>
      <c r="I4277" s="2" t="s">
        <v>19</v>
      </c>
      <c r="J4277" s="2" t="s">
        <v>12</v>
      </c>
      <c r="K4277" s="2" t="s">
        <v>6146</v>
      </c>
      <c r="L4277" s="2">
        <f t="shared" si="66"/>
        <v>150</v>
      </c>
    </row>
    <row r="4278" spans="1:12" ht="25" customHeight="1">
      <c r="A4278" s="2" t="s">
        <v>12</v>
      </c>
      <c r="B4278" s="2" t="str">
        <f>HYPERLINK("http://m.12365auto.com/scbg/20200221/419146.shtml","敢正面硬刚Model 3？小鹏P7技术解析")</f>
        <v>敢正面硬刚Model 3？小鹏P7技术解析</v>
      </c>
      <c r="C4278" s="2" t="s">
        <v>13</v>
      </c>
      <c r="D4278" s="2" t="s">
        <v>12</v>
      </c>
      <c r="E4278" s="2"/>
      <c r="F4278" s="2" t="str">
        <f>HYPERLINK("http://m.12365auto.com/scbg/20200221/419146.shtml","http://m.12365auto.com/scbg/20200221/419146.shtml")</f>
        <v>http://m.12365auto.com/scbg/20200221/419146.shtml</v>
      </c>
      <c r="G4278" s="2"/>
      <c r="H4278" s="2" t="s">
        <v>6148</v>
      </c>
      <c r="I4278" s="2" t="s">
        <v>19</v>
      </c>
      <c r="J4278" s="2" t="s">
        <v>6149</v>
      </c>
      <c r="K4278" s="2" t="s">
        <v>6150</v>
      </c>
      <c r="L4278" s="2">
        <f t="shared" si="66"/>
        <v>150</v>
      </c>
    </row>
    <row r="4279" spans="1:12" ht="25" customHeight="1">
      <c r="A4279" s="2" t="s">
        <v>12</v>
      </c>
      <c r="B4279" s="2" t="str">
        <f>HYPERLINK("http://www.12365auto.com/scbg/20200221/419146.shtml","敢正面硬刚Model 3？小鹏P7技术解析")</f>
        <v>敢正面硬刚Model 3？小鹏P7技术解析</v>
      </c>
      <c r="C4279" s="2" t="s">
        <v>13</v>
      </c>
      <c r="D4279" s="2" t="s">
        <v>12</v>
      </c>
      <c r="E4279" s="2" t="s">
        <v>1548</v>
      </c>
      <c r="F4279" s="2" t="str">
        <f>HYPERLINK("http://www.12365auto.com/scbg/20200221/419146.shtml","http://www.12365auto.com/scbg/20200221/419146.shtml")</f>
        <v>http://www.12365auto.com/scbg/20200221/419146.shtml</v>
      </c>
      <c r="G4279" s="2"/>
      <c r="H4279" s="2" t="s">
        <v>6151</v>
      </c>
      <c r="I4279" s="2" t="s">
        <v>15</v>
      </c>
      <c r="J4279" s="2" t="s">
        <v>12</v>
      </c>
      <c r="K4279" s="2" t="s">
        <v>6150</v>
      </c>
      <c r="L4279" s="2">
        <f t="shared" si="66"/>
        <v>150</v>
      </c>
    </row>
    <row r="4280" spans="1:12" ht="25" customHeight="1">
      <c r="A4280" s="2" t="s">
        <v>12</v>
      </c>
      <c r="B4280" s="2" t="str">
        <f>HYPERLINK("http://bbs.12365auto.com/postcontent.aspx?tId=194790","轩逸化妆镜处漏水 中控台异响")</f>
        <v>轩逸化妆镜处漏水 中控台异响</v>
      </c>
      <c r="C4280" s="2" t="s">
        <v>13</v>
      </c>
      <c r="D4280" s="2" t="s">
        <v>12</v>
      </c>
      <c r="E4280" s="2" t="s">
        <v>66</v>
      </c>
      <c r="F4280" s="2" t="str">
        <f>HYPERLINK("http://bbs.12365auto.com/postcontent.aspx?tId=194790","http://bbs.12365auto.com/postcontent.aspx?tId=194790")</f>
        <v>http://bbs.12365auto.com/postcontent.aspx?tId=194790</v>
      </c>
      <c r="G4280" s="2"/>
      <c r="H4280" s="2" t="s">
        <v>6152</v>
      </c>
      <c r="I4280" s="2" t="s">
        <v>15</v>
      </c>
      <c r="J4280" s="2" t="s">
        <v>6153</v>
      </c>
      <c r="K4280" s="2" t="s">
        <v>6154</v>
      </c>
      <c r="L4280" s="2">
        <f t="shared" si="66"/>
        <v>81</v>
      </c>
    </row>
    <row r="4281" spans="1:12" ht="25" customHeight="1">
      <c r="A4281" s="2" t="s">
        <v>12</v>
      </c>
      <c r="B4281" s="2" t="str">
        <f>HYPERLINK("http://m.12365auto.com/bbs/postcontent.aspx?tID=194790","轩逸化妆镜处漏水 中控台异响")</f>
        <v>轩逸化妆镜处漏水 中控台异响</v>
      </c>
      <c r="C4281" s="2" t="s">
        <v>13</v>
      </c>
      <c r="D4281" s="2" t="s">
        <v>23</v>
      </c>
      <c r="E4281" s="2"/>
      <c r="F4281" s="2" t="str">
        <f>HYPERLINK("http://m.12365auto.com/bbs/postcontent.aspx?tID=194790","http://m.12365auto.com/bbs/postcontent.aspx?tID=194790")</f>
        <v>http://m.12365auto.com/bbs/postcontent.aspx?tID=194790</v>
      </c>
      <c r="G4281" s="2"/>
      <c r="H4281" s="2" t="s">
        <v>6152</v>
      </c>
      <c r="I4281" s="2" t="s">
        <v>15</v>
      </c>
      <c r="J4281" s="2" t="s">
        <v>6153</v>
      </c>
      <c r="K4281" s="2" t="s">
        <v>6154</v>
      </c>
      <c r="L4281" s="2">
        <f t="shared" si="66"/>
        <v>81</v>
      </c>
    </row>
    <row r="4282" spans="1:12" ht="25" customHeight="1">
      <c r="A4282" s="2" t="s">
        <v>12</v>
      </c>
      <c r="B4282" s="2" t="str">
        <f>HYPERLINK("http://bbs.12365auto.com/postcontent.aspx?tID=194790","轩逸化妆镜处漏水 中控台异响")</f>
        <v>轩逸化妆镜处漏水 中控台异响</v>
      </c>
      <c r="C4282" s="2" t="s">
        <v>13</v>
      </c>
      <c r="D4282" s="2" t="s">
        <v>12</v>
      </c>
      <c r="E4282" s="2" t="s">
        <v>67</v>
      </c>
      <c r="F4282" s="2" t="str">
        <f>HYPERLINK("http://bbs.12365auto.com/postcontent.aspx?tID=194790","http://bbs.12365auto.com/postcontent.aspx?tID=194790")</f>
        <v>http://bbs.12365auto.com/postcontent.aspx?tID=194790</v>
      </c>
      <c r="G4282" s="2"/>
      <c r="H4282" s="2" t="s">
        <v>6155</v>
      </c>
      <c r="I4282" s="2" t="s">
        <v>15</v>
      </c>
      <c r="J4282" s="2" t="s">
        <v>6153</v>
      </c>
      <c r="K4282" s="2" t="s">
        <v>6154</v>
      </c>
      <c r="L4282" s="2">
        <f t="shared" si="66"/>
        <v>95</v>
      </c>
    </row>
    <row r="4283" spans="1:12" ht="25" customHeight="1">
      <c r="A4283" s="2" t="s">
        <v>12</v>
      </c>
      <c r="B4283" s="2" t="str">
        <f>HYPERLINK("http://bbs.12365auto.com/postcontent.aspx?tID=194787","4年前花80万买的特斯拉，现在续航多少？能卖多少？听车主怎么说")</f>
        <v>4年前花80万买的特斯拉，现在续航多少？能卖多少？听车主怎么说</v>
      </c>
      <c r="C4283" s="2" t="s">
        <v>13</v>
      </c>
      <c r="D4283" s="2" t="s">
        <v>12</v>
      </c>
      <c r="E4283" s="2" t="s">
        <v>28</v>
      </c>
      <c r="F4283" s="2" t="str">
        <f>HYPERLINK("http://bbs.12365auto.com/postcontent.aspx?tID=194787","http://bbs.12365auto.com/postcontent.aspx?tID=194787")</f>
        <v>http://bbs.12365auto.com/postcontent.aspx?tID=194787</v>
      </c>
      <c r="G4283" s="2"/>
      <c r="H4283" s="2" t="s">
        <v>3773</v>
      </c>
      <c r="I4283" s="2" t="s">
        <v>15</v>
      </c>
      <c r="J4283" s="2" t="s">
        <v>6156</v>
      </c>
      <c r="K4283" s="2" t="s">
        <v>6157</v>
      </c>
      <c r="L4283" s="2">
        <f t="shared" si="66"/>
        <v>150</v>
      </c>
    </row>
    <row r="4284" spans="1:12" ht="25" customHeight="1">
      <c r="A4284" s="2" t="s">
        <v>12</v>
      </c>
      <c r="B4284" s="2" t="str">
        <f>HYPERLINK("http://bbs.12365auto.com/postcontent.aspx?tId=194787","4年前花80万买的特斯拉，现在续航多少？能卖多少？听车主怎么说")</f>
        <v>4年前花80万买的特斯拉，现在续航多少？能卖多少？听车主怎么说</v>
      </c>
      <c r="C4284" s="2" t="s">
        <v>13</v>
      </c>
      <c r="D4284" s="2" t="s">
        <v>12</v>
      </c>
      <c r="E4284" s="2" t="s">
        <v>27</v>
      </c>
      <c r="F4284" s="2" t="str">
        <f>HYPERLINK("http://bbs.12365auto.com/postcontent.aspx?tId=194787","http://bbs.12365auto.com/postcontent.aspx?tId=194787")</f>
        <v>http://bbs.12365auto.com/postcontent.aspx?tId=194787</v>
      </c>
      <c r="G4284" s="2"/>
      <c r="H4284" s="2" t="s">
        <v>977</v>
      </c>
      <c r="I4284" s="2" t="s">
        <v>15</v>
      </c>
      <c r="J4284" s="2" t="s">
        <v>6156</v>
      </c>
      <c r="K4284" s="2" t="s">
        <v>6157</v>
      </c>
      <c r="L4284" s="2">
        <f t="shared" si="66"/>
        <v>150</v>
      </c>
    </row>
    <row r="4285" spans="1:12" ht="25" customHeight="1">
      <c r="A4285" s="2" t="s">
        <v>12</v>
      </c>
      <c r="B4285" s="2" t="str">
        <f>HYPERLINK("http://bbs.12365auto.com/postcontent.aspx?tId=194788","丰田RAV4荣放优科豪马轮胎高速爆胎")</f>
        <v>丰田RAV4荣放优科豪马轮胎高速爆胎</v>
      </c>
      <c r="C4285" s="2" t="s">
        <v>13</v>
      </c>
      <c r="D4285" s="2" t="s">
        <v>12</v>
      </c>
      <c r="E4285" s="2" t="s">
        <v>66</v>
      </c>
      <c r="F4285" s="2" t="str">
        <f>HYPERLINK("http://bbs.12365auto.com/postcontent.aspx?tId=194788","http://bbs.12365auto.com/postcontent.aspx?tId=194788")</f>
        <v>http://bbs.12365auto.com/postcontent.aspx?tId=194788</v>
      </c>
      <c r="G4285" s="2"/>
      <c r="H4285" s="2" t="s">
        <v>6158</v>
      </c>
      <c r="I4285" s="2" t="s">
        <v>15</v>
      </c>
      <c r="J4285" s="2" t="s">
        <v>6159</v>
      </c>
      <c r="K4285" s="2" t="s">
        <v>6157</v>
      </c>
      <c r="L4285" s="2">
        <f t="shared" si="66"/>
        <v>91</v>
      </c>
    </row>
    <row r="4286" spans="1:12" ht="25" customHeight="1">
      <c r="A4286" s="2" t="s">
        <v>12</v>
      </c>
      <c r="B4286" s="2" t="str">
        <f>HYPERLINK("http://bbs.12365auto.com/postcontent.aspx?tId=194789","丰田凯美瑞半轴防尘套漏油")</f>
        <v>丰田凯美瑞半轴防尘套漏油</v>
      </c>
      <c r="C4286" s="2" t="s">
        <v>13</v>
      </c>
      <c r="D4286" s="2" t="s">
        <v>12</v>
      </c>
      <c r="E4286" s="2" t="s">
        <v>66</v>
      </c>
      <c r="F4286" s="2" t="str">
        <f>HYPERLINK("http://bbs.12365auto.com/postcontent.aspx?tId=194789","http://bbs.12365auto.com/postcontent.aspx?tId=194789")</f>
        <v>http://bbs.12365auto.com/postcontent.aspx?tId=194789</v>
      </c>
      <c r="G4286" s="2"/>
      <c r="H4286" s="2" t="s">
        <v>6160</v>
      </c>
      <c r="I4286" s="2" t="s">
        <v>15</v>
      </c>
      <c r="J4286" s="2" t="s">
        <v>6161</v>
      </c>
      <c r="K4286" s="2" t="s">
        <v>6157</v>
      </c>
      <c r="L4286" s="2">
        <f t="shared" si="66"/>
        <v>27</v>
      </c>
    </row>
    <row r="4287" spans="1:12" ht="25" customHeight="1">
      <c r="A4287" s="2" t="s">
        <v>12</v>
      </c>
      <c r="B4287" s="2" t="str">
        <f>HYPERLINK("http://m.12365auto.com/xcdg/20200221/419145.shtml","推荐性能版 路虎发现运动版购车手册")</f>
        <v>推荐性能版 路虎发现运动版购车手册</v>
      </c>
      <c r="C4287" s="2" t="s">
        <v>13</v>
      </c>
      <c r="D4287" s="2" t="s">
        <v>12</v>
      </c>
      <c r="E4287" s="2"/>
      <c r="F4287" s="2" t="str">
        <f>HYPERLINK("http://m.12365auto.com/xcdg/20200221/419145.shtml","http://m.12365auto.com/xcdg/20200221/419145.shtml")</f>
        <v>http://m.12365auto.com/xcdg/20200221/419145.shtml</v>
      </c>
      <c r="G4287" s="2"/>
      <c r="H4287" s="2" t="s">
        <v>6162</v>
      </c>
      <c r="I4287" s="2" t="s">
        <v>19</v>
      </c>
      <c r="J4287" s="2" t="s">
        <v>6163</v>
      </c>
      <c r="K4287" s="2" t="s">
        <v>6157</v>
      </c>
      <c r="L4287" s="2">
        <f t="shared" si="66"/>
        <v>150</v>
      </c>
    </row>
    <row r="4288" spans="1:12" ht="25" customHeight="1">
      <c r="A4288" s="2" t="s">
        <v>12</v>
      </c>
      <c r="B4288" s="2" t="str">
        <f>HYPERLINK("http://m.12365auto.com/bbs/postcontent.aspx?tID=194789","丰田凯美瑞半轴防尘套漏油")</f>
        <v>丰田凯美瑞半轴防尘套漏油</v>
      </c>
      <c r="C4288" s="2" t="s">
        <v>13</v>
      </c>
      <c r="D4288" s="2" t="s">
        <v>23</v>
      </c>
      <c r="E4288" s="2"/>
      <c r="F4288" s="2" t="str">
        <f>HYPERLINK("http://m.12365auto.com/bbs/postcontent.aspx?tID=194789","http://m.12365auto.com/bbs/postcontent.aspx?tID=194789")</f>
        <v>http://m.12365auto.com/bbs/postcontent.aspx?tID=194789</v>
      </c>
      <c r="G4288" s="2"/>
      <c r="H4288" s="2" t="s">
        <v>6160</v>
      </c>
      <c r="I4288" s="2" t="s">
        <v>15</v>
      </c>
      <c r="J4288" s="2" t="s">
        <v>6161</v>
      </c>
      <c r="K4288" s="2" t="s">
        <v>6157</v>
      </c>
      <c r="L4288" s="2">
        <f t="shared" si="66"/>
        <v>27</v>
      </c>
    </row>
    <row r="4289" spans="1:12" ht="25" customHeight="1">
      <c r="A4289" s="2" t="s">
        <v>12</v>
      </c>
      <c r="B4289" s="2" t="str">
        <f>HYPERLINK("http://m.12365auto.com/bbs/postcontent.aspx?tID=194788","丰田RAV4荣放优科豪马轮胎高速爆胎")</f>
        <v>丰田RAV4荣放优科豪马轮胎高速爆胎</v>
      </c>
      <c r="C4289" s="2" t="s">
        <v>13</v>
      </c>
      <c r="D4289" s="2" t="s">
        <v>23</v>
      </c>
      <c r="E4289" s="2"/>
      <c r="F4289" s="2" t="str">
        <f>HYPERLINK("http://m.12365auto.com/bbs/postcontent.aspx?tID=194788","http://m.12365auto.com/bbs/postcontent.aspx?tID=194788")</f>
        <v>http://m.12365auto.com/bbs/postcontent.aspx?tID=194788</v>
      </c>
      <c r="G4289" s="2"/>
      <c r="H4289" s="2" t="s">
        <v>6158</v>
      </c>
      <c r="I4289" s="2" t="s">
        <v>15</v>
      </c>
      <c r="J4289" s="2" t="s">
        <v>6159</v>
      </c>
      <c r="K4289" s="2" t="s">
        <v>6157</v>
      </c>
      <c r="L4289" s="2">
        <f t="shared" si="66"/>
        <v>91</v>
      </c>
    </row>
    <row r="4290" spans="1:12" ht="25" customHeight="1">
      <c r="A4290" s="2" t="s">
        <v>12</v>
      </c>
      <c r="B4290" s="2" t="str">
        <f>HYPERLINK("http://m.12365auto.com/bbs/postcontent.aspx?tID=194787","4年前花80万买的特斯拉，现在续航多少？能卖多少？听车主怎么说")</f>
        <v>4年前花80万买的特斯拉，现在续航多少？能卖多少？听车主怎么说</v>
      </c>
      <c r="C4290" s="2" t="s">
        <v>13</v>
      </c>
      <c r="D4290" s="2" t="s">
        <v>23</v>
      </c>
      <c r="E4290" s="2"/>
      <c r="F4290" s="2" t="str">
        <f>HYPERLINK("http://m.12365auto.com/bbs/postcontent.aspx?tID=194787","http://m.12365auto.com/bbs/postcontent.aspx?tID=194787")</f>
        <v>http://m.12365auto.com/bbs/postcontent.aspx?tID=194787</v>
      </c>
      <c r="G4290" s="2"/>
      <c r="H4290" s="2" t="s">
        <v>977</v>
      </c>
      <c r="I4290" s="2" t="s">
        <v>15</v>
      </c>
      <c r="J4290" s="2" t="s">
        <v>6156</v>
      </c>
      <c r="K4290" s="2" t="s">
        <v>6157</v>
      </c>
      <c r="L4290" s="2">
        <f t="shared" si="66"/>
        <v>150</v>
      </c>
    </row>
    <row r="4291" spans="1:12" ht="25" customHeight="1">
      <c r="A4291" s="2" t="s">
        <v>12</v>
      </c>
      <c r="B4291" s="2" t="str">
        <f>HYPERLINK("http://bbs.12365auto.com/postcontent.aspx?tID=194789","丰田凯美瑞半轴防尘套漏油")</f>
        <v>丰田凯美瑞半轴防尘套漏油</v>
      </c>
      <c r="C4291" s="2" t="s">
        <v>13</v>
      </c>
      <c r="D4291" s="2" t="s">
        <v>12</v>
      </c>
      <c r="E4291" s="2" t="s">
        <v>67</v>
      </c>
      <c r="F4291" s="2" t="str">
        <f>HYPERLINK("http://bbs.12365auto.com/postcontent.aspx?tID=194789","http://bbs.12365auto.com/postcontent.aspx?tID=194789")</f>
        <v>http://bbs.12365auto.com/postcontent.aspx?tID=194789</v>
      </c>
      <c r="G4291" s="2"/>
      <c r="H4291" s="2" t="s">
        <v>6164</v>
      </c>
      <c r="I4291" s="2" t="s">
        <v>15</v>
      </c>
      <c r="J4291" s="2" t="s">
        <v>6161</v>
      </c>
      <c r="K4291" s="2" t="s">
        <v>6157</v>
      </c>
      <c r="L4291" s="2">
        <f t="shared" ref="L4291:L4354" si="67">LEN(H4291)</f>
        <v>39</v>
      </c>
    </row>
    <row r="4292" spans="1:12" ht="25" customHeight="1">
      <c r="A4292" s="2" t="s">
        <v>12</v>
      </c>
      <c r="B4292" s="2" t="str">
        <f>HYPERLINK("http://bbs.12365auto.com/postcontent.aspx?tID=194788","丰田RAV4荣放优科豪马轮胎高速爆胎")</f>
        <v>丰田RAV4荣放优科豪马轮胎高速爆胎</v>
      </c>
      <c r="C4292" s="2" t="s">
        <v>13</v>
      </c>
      <c r="D4292" s="2" t="s">
        <v>12</v>
      </c>
      <c r="E4292" s="2" t="s">
        <v>67</v>
      </c>
      <c r="F4292" s="2" t="str">
        <f>HYPERLINK("http://bbs.12365auto.com/postcontent.aspx?tID=194788","http://bbs.12365auto.com/postcontent.aspx?tID=194788")</f>
        <v>http://bbs.12365auto.com/postcontent.aspx?tID=194788</v>
      </c>
      <c r="G4292" s="2"/>
      <c r="H4292" s="2" t="s">
        <v>6165</v>
      </c>
      <c r="I4292" s="2" t="s">
        <v>15</v>
      </c>
      <c r="J4292" s="2" t="s">
        <v>6159</v>
      </c>
      <c r="K4292" s="2" t="s">
        <v>6157</v>
      </c>
      <c r="L4292" s="2">
        <f t="shared" si="67"/>
        <v>109</v>
      </c>
    </row>
    <row r="4293" spans="1:12" ht="25" customHeight="1">
      <c r="A4293" s="2" t="s">
        <v>12</v>
      </c>
      <c r="B4293" s="2" t="str">
        <f>HYPERLINK("http://bbs.12365auto.com/postcontent.aspx?tID=194786","都说：开不坏的丰田，修不好的大众，为何满大街出租车都用大众？")</f>
        <v>都说：开不坏的丰田，修不好的大众，为何满大街出租车都用大众？</v>
      </c>
      <c r="C4293" s="2" t="s">
        <v>13</v>
      </c>
      <c r="D4293" s="2" t="s">
        <v>12</v>
      </c>
      <c r="E4293" s="2" t="s">
        <v>28</v>
      </c>
      <c r="F4293" s="2" t="str">
        <f>HYPERLINK("http://bbs.12365auto.com/postcontent.aspx?tID=194786","http://bbs.12365auto.com/postcontent.aspx?tID=194786")</f>
        <v>http://bbs.12365auto.com/postcontent.aspx?tID=194786</v>
      </c>
      <c r="G4293" s="2"/>
      <c r="H4293" s="2" t="s">
        <v>2713</v>
      </c>
      <c r="I4293" s="2" t="s">
        <v>15</v>
      </c>
      <c r="J4293" s="2" t="s">
        <v>6156</v>
      </c>
      <c r="K4293" s="2" t="s">
        <v>6166</v>
      </c>
      <c r="L4293" s="2">
        <f t="shared" si="67"/>
        <v>150</v>
      </c>
    </row>
    <row r="4294" spans="1:12" ht="25" customHeight="1">
      <c r="A4294" s="2" t="s">
        <v>12</v>
      </c>
      <c r="B4294" s="2" t="str">
        <f>HYPERLINK("http://bbs.12365auto.com/postcontent.aspx?tID=194785","上汽MAXUS G20出现GPF满载故障码")</f>
        <v>上汽MAXUS G20出现GPF满载故障码</v>
      </c>
      <c r="C4294" s="2" t="s">
        <v>13</v>
      </c>
      <c r="D4294" s="2" t="s">
        <v>12</v>
      </c>
      <c r="E4294" s="2" t="s">
        <v>67</v>
      </c>
      <c r="F4294" s="2" t="str">
        <f>HYPERLINK("http://bbs.12365auto.com/postcontent.aspx?tID=194785","http://bbs.12365auto.com/postcontent.aspx?tID=194785")</f>
        <v>http://bbs.12365auto.com/postcontent.aspx?tID=194785</v>
      </c>
      <c r="G4294" s="2"/>
      <c r="H4294" s="2" t="s">
        <v>6167</v>
      </c>
      <c r="I4294" s="2" t="s">
        <v>15</v>
      </c>
      <c r="J4294" s="2" t="s">
        <v>6168</v>
      </c>
      <c r="K4294" s="2" t="s">
        <v>6166</v>
      </c>
      <c r="L4294" s="2">
        <f t="shared" si="67"/>
        <v>124</v>
      </c>
    </row>
    <row r="4295" spans="1:12" ht="25" customHeight="1">
      <c r="A4295" s="2" t="s">
        <v>12</v>
      </c>
      <c r="B4295" s="2" t="str">
        <f>HYPERLINK("http://bbs.12365auto.com/postcontent.aspx?tId=194786","都说：开不坏的丰田，修不好的大众，为何满大街出租车都用大众？")</f>
        <v>都说：开不坏的丰田，修不好的大众，为何满大街出租车都用大众？</v>
      </c>
      <c r="C4295" s="2" t="s">
        <v>13</v>
      </c>
      <c r="D4295" s="2" t="s">
        <v>12</v>
      </c>
      <c r="E4295" s="2" t="s">
        <v>27</v>
      </c>
      <c r="F4295" s="2" t="str">
        <f>HYPERLINK("http://bbs.12365auto.com/postcontent.aspx?tId=194786","http://bbs.12365auto.com/postcontent.aspx?tId=194786")</f>
        <v>http://bbs.12365auto.com/postcontent.aspx?tId=194786</v>
      </c>
      <c r="G4295" s="2"/>
      <c r="H4295" s="2" t="s">
        <v>2712</v>
      </c>
      <c r="I4295" s="2" t="s">
        <v>15</v>
      </c>
      <c r="J4295" s="2" t="s">
        <v>6156</v>
      </c>
      <c r="K4295" s="2" t="s">
        <v>6166</v>
      </c>
      <c r="L4295" s="2">
        <f t="shared" si="67"/>
        <v>150</v>
      </c>
    </row>
    <row r="4296" spans="1:12" ht="25" customHeight="1">
      <c r="A4296" s="2" t="s">
        <v>12</v>
      </c>
      <c r="B4296" s="2" t="str">
        <f>HYPERLINK("http://bbs.12365auto.com/postcontent.aspx?tId=194785","上汽MAXUS G20出现GPF满载故障码")</f>
        <v>上汽MAXUS G20出现GPF满载故障码</v>
      </c>
      <c r="C4296" s="2" t="s">
        <v>13</v>
      </c>
      <c r="D4296" s="2" t="s">
        <v>12</v>
      </c>
      <c r="E4296" s="2" t="s">
        <v>66</v>
      </c>
      <c r="F4296" s="2" t="str">
        <f>HYPERLINK("http://bbs.12365auto.com/postcontent.aspx?tId=194785","http://bbs.12365auto.com/postcontent.aspx?tId=194785")</f>
        <v>http://bbs.12365auto.com/postcontent.aspx?tId=194785</v>
      </c>
      <c r="G4296" s="2"/>
      <c r="H4296" s="2" t="s">
        <v>6169</v>
      </c>
      <c r="I4296" s="2" t="s">
        <v>15</v>
      </c>
      <c r="J4296" s="2" t="s">
        <v>6168</v>
      </c>
      <c r="K4296" s="2" t="s">
        <v>6166</v>
      </c>
      <c r="L4296" s="2">
        <f t="shared" si="67"/>
        <v>103</v>
      </c>
    </row>
    <row r="4297" spans="1:12" ht="25" customHeight="1">
      <c r="A4297" s="2" t="s">
        <v>12</v>
      </c>
      <c r="B4297" s="2" t="str">
        <f>HYPERLINK("http://m.12365auto.com/bbs/postcontent.aspx?tID=194786","都说：开不坏的丰田，修不好的大众，为何满大街出租车都用大众？")</f>
        <v>都说：开不坏的丰田，修不好的大众，为何满大街出租车都用大众？</v>
      </c>
      <c r="C4297" s="2" t="s">
        <v>13</v>
      </c>
      <c r="D4297" s="2" t="s">
        <v>23</v>
      </c>
      <c r="E4297" s="2"/>
      <c r="F4297" s="2" t="str">
        <f>HYPERLINK("http://m.12365auto.com/bbs/postcontent.aspx?tID=194786","http://m.12365auto.com/bbs/postcontent.aspx?tID=194786")</f>
        <v>http://m.12365auto.com/bbs/postcontent.aspx?tID=194786</v>
      </c>
      <c r="G4297" s="2"/>
      <c r="H4297" s="2" t="s">
        <v>2712</v>
      </c>
      <c r="I4297" s="2" t="s">
        <v>15</v>
      </c>
      <c r="J4297" s="2" t="s">
        <v>6156</v>
      </c>
      <c r="K4297" s="2" t="s">
        <v>6166</v>
      </c>
      <c r="L4297" s="2">
        <f t="shared" si="67"/>
        <v>150</v>
      </c>
    </row>
    <row r="4298" spans="1:12" ht="25" customHeight="1">
      <c r="A4298" s="2" t="s">
        <v>12</v>
      </c>
      <c r="B4298" s="2" t="str">
        <f>HYPERLINK("http://m.12365auto.com/bbs/postcontent.aspx?tID=194785","上汽MAXUS G20出现GPF满载故障码")</f>
        <v>上汽MAXUS G20出现GPF满载故障码</v>
      </c>
      <c r="C4298" s="2" t="s">
        <v>13</v>
      </c>
      <c r="D4298" s="2" t="s">
        <v>23</v>
      </c>
      <c r="E4298" s="2"/>
      <c r="F4298" s="2" t="str">
        <f>HYPERLINK("http://m.12365auto.com/bbs/postcontent.aspx?tID=194785","http://m.12365auto.com/bbs/postcontent.aspx?tID=194785")</f>
        <v>http://m.12365auto.com/bbs/postcontent.aspx?tID=194785</v>
      </c>
      <c r="G4298" s="2"/>
      <c r="H4298" s="2" t="s">
        <v>6169</v>
      </c>
      <c r="I4298" s="2" t="s">
        <v>15</v>
      </c>
      <c r="J4298" s="2" t="s">
        <v>6168</v>
      </c>
      <c r="K4298" s="2" t="s">
        <v>6166</v>
      </c>
      <c r="L4298" s="2">
        <f t="shared" si="67"/>
        <v>103</v>
      </c>
    </row>
    <row r="4299" spans="1:12" ht="25" customHeight="1">
      <c r="A4299" s="2" t="s">
        <v>12</v>
      </c>
      <c r="B4299" s="2" t="str">
        <f>HYPERLINK("http://bbs.12365auto.com/postcontent.aspx?tId=194784","沃尔沃：早买早享受，晚买享折扣？")</f>
        <v>沃尔沃：早买早享受，晚买享折扣？</v>
      </c>
      <c r="C4299" s="2" t="s">
        <v>13</v>
      </c>
      <c r="D4299" s="2" t="s">
        <v>12</v>
      </c>
      <c r="E4299" s="2" t="s">
        <v>27</v>
      </c>
      <c r="F4299" s="2" t="str">
        <f>HYPERLINK("http://bbs.12365auto.com/postcontent.aspx?tId=194784","http://bbs.12365auto.com/postcontent.aspx?tId=194784")</f>
        <v>http://bbs.12365auto.com/postcontent.aspx?tId=194784</v>
      </c>
      <c r="G4299" s="2"/>
      <c r="H4299" s="2" t="s">
        <v>6170</v>
      </c>
      <c r="I4299" s="2" t="s">
        <v>15</v>
      </c>
      <c r="J4299" s="2" t="s">
        <v>6156</v>
      </c>
      <c r="K4299" s="2" t="s">
        <v>6171</v>
      </c>
      <c r="L4299" s="2">
        <f t="shared" si="67"/>
        <v>150</v>
      </c>
    </row>
    <row r="4300" spans="1:12" ht="25" customHeight="1">
      <c r="A4300" s="2" t="s">
        <v>12</v>
      </c>
      <c r="B4300" s="2" t="str">
        <f>HYPERLINK("http://bbs.12365auto.com/postcontent.aspx?tId=194782","旧车不换车机不破线，加装无线充电和Carplay是什么体验？")</f>
        <v>旧车不换车机不破线，加装无线充电和Carplay是什么体验？</v>
      </c>
      <c r="C4300" s="2" t="s">
        <v>13</v>
      </c>
      <c r="D4300" s="2" t="s">
        <v>12</v>
      </c>
      <c r="E4300" s="2" t="s">
        <v>27</v>
      </c>
      <c r="F4300" s="2" t="str">
        <f>HYPERLINK("http://bbs.12365auto.com/postcontent.aspx?tId=194782","http://bbs.12365auto.com/postcontent.aspx?tId=194782")</f>
        <v>http://bbs.12365auto.com/postcontent.aspx?tId=194782</v>
      </c>
      <c r="G4300" s="2"/>
      <c r="H4300" s="2" t="s">
        <v>6172</v>
      </c>
      <c r="I4300" s="2" t="s">
        <v>15</v>
      </c>
      <c r="J4300" s="2" t="s">
        <v>6156</v>
      </c>
      <c r="K4300" s="2" t="s">
        <v>6171</v>
      </c>
      <c r="L4300" s="2">
        <f t="shared" si="67"/>
        <v>150</v>
      </c>
    </row>
    <row r="4301" spans="1:12" ht="25" customHeight="1">
      <c r="A4301" s="2" t="s">
        <v>12</v>
      </c>
      <c r="B4301" s="2" t="str">
        <f>HYPERLINK("http://bbs.12365auto.com/postcontent.aspx?tId=194783","东风本田思域优科豪马轮胎掉皮")</f>
        <v>东风本田思域优科豪马轮胎掉皮</v>
      </c>
      <c r="C4301" s="2" t="s">
        <v>13</v>
      </c>
      <c r="D4301" s="2" t="s">
        <v>12</v>
      </c>
      <c r="E4301" s="2" t="s">
        <v>66</v>
      </c>
      <c r="F4301" s="2" t="str">
        <f>HYPERLINK("http://bbs.12365auto.com/postcontent.aspx?tId=194783","http://bbs.12365auto.com/postcontent.aspx?tId=194783")</f>
        <v>http://bbs.12365auto.com/postcontent.aspx?tId=194783</v>
      </c>
      <c r="G4301" s="2"/>
      <c r="H4301" s="2" t="s">
        <v>6173</v>
      </c>
      <c r="I4301" s="2" t="s">
        <v>15</v>
      </c>
      <c r="J4301" s="2" t="s">
        <v>6174</v>
      </c>
      <c r="K4301" s="2" t="s">
        <v>6171</v>
      </c>
      <c r="L4301" s="2">
        <f t="shared" si="67"/>
        <v>34</v>
      </c>
    </row>
    <row r="4302" spans="1:12" ht="25" customHeight="1">
      <c r="A4302" s="2" t="s">
        <v>12</v>
      </c>
      <c r="B4302" s="2" t="str">
        <f>HYPERLINK("http://bbs.12365auto.com/postcontent.aspx?tId=194781","雪铁龙DS6发动机抖动 加速无力")</f>
        <v>雪铁龙DS6发动机抖动 加速无力</v>
      </c>
      <c r="C4302" s="2" t="s">
        <v>13</v>
      </c>
      <c r="D4302" s="2" t="s">
        <v>12</v>
      </c>
      <c r="E4302" s="2" t="s">
        <v>66</v>
      </c>
      <c r="F4302" s="2" t="str">
        <f>HYPERLINK("http://bbs.12365auto.com/postcontent.aspx?tId=194781","http://bbs.12365auto.com/postcontent.aspx?tId=194781")</f>
        <v>http://bbs.12365auto.com/postcontent.aspx?tId=194781</v>
      </c>
      <c r="G4302" s="2"/>
      <c r="H4302" s="2" t="s">
        <v>6175</v>
      </c>
      <c r="I4302" s="2" t="s">
        <v>15</v>
      </c>
      <c r="J4302" s="2" t="s">
        <v>6176</v>
      </c>
      <c r="K4302" s="2" t="s">
        <v>6171</v>
      </c>
      <c r="L4302" s="2">
        <f t="shared" si="67"/>
        <v>59</v>
      </c>
    </row>
    <row r="4303" spans="1:12" ht="25" customHeight="1">
      <c r="A4303" s="2" t="s">
        <v>12</v>
      </c>
      <c r="B4303" s="2" t="str">
        <f>HYPERLINK("http://bbs.12365auto.com/postcontent.aspx?tID=194784","沃尔沃：早买早享受，晚买享折扣？")</f>
        <v>沃尔沃：早买早享受，晚买享折扣？</v>
      </c>
      <c r="C4303" s="2" t="s">
        <v>13</v>
      </c>
      <c r="D4303" s="2" t="s">
        <v>12</v>
      </c>
      <c r="E4303" s="2" t="s">
        <v>28</v>
      </c>
      <c r="F4303" s="2" t="str">
        <f>HYPERLINK("http://bbs.12365auto.com/postcontent.aspx?tID=194784","http://bbs.12365auto.com/postcontent.aspx?tID=194784")</f>
        <v>http://bbs.12365auto.com/postcontent.aspx?tID=194784</v>
      </c>
      <c r="G4303" s="2"/>
      <c r="H4303" s="2" t="s">
        <v>6177</v>
      </c>
      <c r="I4303" s="2" t="s">
        <v>15</v>
      </c>
      <c r="J4303" s="2" t="s">
        <v>6156</v>
      </c>
      <c r="K4303" s="2" t="s">
        <v>6171</v>
      </c>
      <c r="L4303" s="2">
        <f t="shared" si="67"/>
        <v>150</v>
      </c>
    </row>
    <row r="4304" spans="1:12" ht="25" customHeight="1">
      <c r="A4304" s="2" t="s">
        <v>12</v>
      </c>
      <c r="B4304" s="2" t="str">
        <f>HYPERLINK("http://bbs.12365auto.com/postcontent.aspx?tID=194783","东风本田思域优科豪马轮胎掉皮")</f>
        <v>东风本田思域优科豪马轮胎掉皮</v>
      </c>
      <c r="C4304" s="2" t="s">
        <v>13</v>
      </c>
      <c r="D4304" s="2" t="s">
        <v>12</v>
      </c>
      <c r="E4304" s="2" t="s">
        <v>67</v>
      </c>
      <c r="F4304" s="2" t="str">
        <f>HYPERLINK("http://bbs.12365auto.com/postcontent.aspx?tID=194783","http://bbs.12365auto.com/postcontent.aspx?tID=194783")</f>
        <v>http://bbs.12365auto.com/postcontent.aspx?tID=194783</v>
      </c>
      <c r="G4304" s="2"/>
      <c r="H4304" s="2" t="s">
        <v>6178</v>
      </c>
      <c r="I4304" s="2" t="s">
        <v>15</v>
      </c>
      <c r="J4304" s="2" t="s">
        <v>6174</v>
      </c>
      <c r="K4304" s="2" t="s">
        <v>6171</v>
      </c>
      <c r="L4304" s="2">
        <f t="shared" si="67"/>
        <v>48</v>
      </c>
    </row>
    <row r="4305" spans="1:12" ht="25" customHeight="1">
      <c r="A4305" s="2" t="s">
        <v>12</v>
      </c>
      <c r="B4305" s="2" t="str">
        <f>HYPERLINK("http://bbs.12365auto.com/postcontent.aspx?tID=194782","旧车不换车机不破线，加装无线充电和Carplay是什么体验？")</f>
        <v>旧车不换车机不破线，加装无线充电和Carplay是什么体验？</v>
      </c>
      <c r="C4305" s="2" t="s">
        <v>13</v>
      </c>
      <c r="D4305" s="2" t="s">
        <v>12</v>
      </c>
      <c r="E4305" s="2" t="s">
        <v>28</v>
      </c>
      <c r="F4305" s="2" t="str">
        <f>HYPERLINK("http://bbs.12365auto.com/postcontent.aspx?tID=194782","http://bbs.12365auto.com/postcontent.aspx?tID=194782")</f>
        <v>http://bbs.12365auto.com/postcontent.aspx?tID=194782</v>
      </c>
      <c r="G4305" s="2"/>
      <c r="H4305" s="2" t="s">
        <v>6179</v>
      </c>
      <c r="I4305" s="2" t="s">
        <v>15</v>
      </c>
      <c r="J4305" s="2" t="s">
        <v>6156</v>
      </c>
      <c r="K4305" s="2" t="s">
        <v>6171</v>
      </c>
      <c r="L4305" s="2">
        <f t="shared" si="67"/>
        <v>150</v>
      </c>
    </row>
    <row r="4306" spans="1:12" ht="25" customHeight="1">
      <c r="A4306" s="2" t="s">
        <v>12</v>
      </c>
      <c r="B4306" s="2" t="str">
        <f>HYPERLINK("http://bbs.12365auto.com/postcontent.aspx?tID=194781","雪铁龙DS6发动机抖动 加速无力")</f>
        <v>雪铁龙DS6发动机抖动 加速无力</v>
      </c>
      <c r="C4306" s="2" t="s">
        <v>13</v>
      </c>
      <c r="D4306" s="2" t="s">
        <v>12</v>
      </c>
      <c r="E4306" s="2" t="s">
        <v>67</v>
      </c>
      <c r="F4306" s="2" t="str">
        <f>HYPERLINK("http://bbs.12365auto.com/postcontent.aspx?tID=194781","http://bbs.12365auto.com/postcontent.aspx?tID=194781")</f>
        <v>http://bbs.12365auto.com/postcontent.aspx?tID=194781</v>
      </c>
      <c r="G4306" s="2"/>
      <c r="H4306" s="2" t="s">
        <v>6180</v>
      </c>
      <c r="I4306" s="2" t="s">
        <v>15</v>
      </c>
      <c r="J4306" s="2" t="s">
        <v>6176</v>
      </c>
      <c r="K4306" s="2" t="s">
        <v>6171</v>
      </c>
      <c r="L4306" s="2">
        <f t="shared" si="67"/>
        <v>75</v>
      </c>
    </row>
    <row r="4307" spans="1:12" ht="25" customHeight="1">
      <c r="A4307" s="2" t="s">
        <v>12</v>
      </c>
      <c r="B4307" s="2" t="str">
        <f>HYPERLINK("http://m.12365auto.com/bbs/postcontent.aspx?tID=194781&amp;i=1","雪铁龙DS6发动机抖动 加速无力")</f>
        <v>雪铁龙DS6发动机抖动 加速无力</v>
      </c>
      <c r="C4307" s="2" t="s">
        <v>13</v>
      </c>
      <c r="D4307" s="2" t="s">
        <v>23</v>
      </c>
      <c r="E4307" s="2"/>
      <c r="F4307" s="2" t="str">
        <f>HYPERLINK("http://m.12365auto.com/bbs/postcontent.aspx?tID=194781&amp;i=1","http://m.12365auto.com/bbs/postcontent.aspx?tID=194781&amp;i=1")</f>
        <v>http://m.12365auto.com/bbs/postcontent.aspx?tID=194781&amp;i=1</v>
      </c>
      <c r="G4307" s="2"/>
      <c r="H4307" s="2" t="s">
        <v>6175</v>
      </c>
      <c r="I4307" s="2" t="s">
        <v>15</v>
      </c>
      <c r="J4307" s="2" t="s">
        <v>6176</v>
      </c>
      <c r="K4307" s="2" t="s">
        <v>6171</v>
      </c>
      <c r="L4307" s="2">
        <f t="shared" si="67"/>
        <v>59</v>
      </c>
    </row>
    <row r="4308" spans="1:12" ht="25" customHeight="1">
      <c r="A4308" s="2" t="s">
        <v>12</v>
      </c>
      <c r="B4308" s="2" t="str">
        <f>HYPERLINK("http://m.12365auto.com/bbs/postcontent.aspx?tID=194784","沃尔沃：早买早享受，晚买享折扣？")</f>
        <v>沃尔沃：早买早享受，晚买享折扣？</v>
      </c>
      <c r="C4308" s="2" t="s">
        <v>13</v>
      </c>
      <c r="D4308" s="2" t="s">
        <v>23</v>
      </c>
      <c r="E4308" s="2"/>
      <c r="F4308" s="2" t="str">
        <f>HYPERLINK("http://m.12365auto.com/bbs/postcontent.aspx?tID=194784","http://m.12365auto.com/bbs/postcontent.aspx?tID=194784")</f>
        <v>http://m.12365auto.com/bbs/postcontent.aspx?tID=194784</v>
      </c>
      <c r="G4308" s="2"/>
      <c r="H4308" s="2" t="s">
        <v>6170</v>
      </c>
      <c r="I4308" s="2" t="s">
        <v>15</v>
      </c>
      <c r="J4308" s="2" t="s">
        <v>6156</v>
      </c>
      <c r="K4308" s="2" t="s">
        <v>6171</v>
      </c>
      <c r="L4308" s="2">
        <f t="shared" si="67"/>
        <v>150</v>
      </c>
    </row>
    <row r="4309" spans="1:12" ht="25" customHeight="1">
      <c r="A4309" s="2" t="s">
        <v>12</v>
      </c>
      <c r="B4309" s="2" t="str">
        <f>HYPERLINK("http://m.12365auto.com/bbs/postcontent.aspx?tID=194782","旧车不换车机不破线，加装无线充电和Carplay是什么体验？")</f>
        <v>旧车不换车机不破线，加装无线充电和Carplay是什么体验？</v>
      </c>
      <c r="C4309" s="2" t="s">
        <v>13</v>
      </c>
      <c r="D4309" s="2" t="s">
        <v>23</v>
      </c>
      <c r="E4309" s="2"/>
      <c r="F4309" s="2" t="str">
        <f>HYPERLINK("http://m.12365auto.com/bbs/postcontent.aspx?tID=194782","http://m.12365auto.com/bbs/postcontent.aspx?tID=194782")</f>
        <v>http://m.12365auto.com/bbs/postcontent.aspx?tID=194782</v>
      </c>
      <c r="G4309" s="2"/>
      <c r="H4309" s="2" t="s">
        <v>6172</v>
      </c>
      <c r="I4309" s="2" t="s">
        <v>15</v>
      </c>
      <c r="J4309" s="2" t="s">
        <v>6156</v>
      </c>
      <c r="K4309" s="2" t="s">
        <v>6171</v>
      </c>
      <c r="L4309" s="2">
        <f t="shared" si="67"/>
        <v>150</v>
      </c>
    </row>
    <row r="4310" spans="1:12" ht="25" customHeight="1">
      <c r="A4310" s="2" t="s">
        <v>12</v>
      </c>
      <c r="B4310" s="2" t="str">
        <f>HYPERLINK("http://m.12365auto.com/bbs/postcontent.aspx?tID=194781","雪铁龙DS6发动机抖动 加速无力")</f>
        <v>雪铁龙DS6发动机抖动 加速无力</v>
      </c>
      <c r="C4310" s="2" t="s">
        <v>13</v>
      </c>
      <c r="D4310" s="2" t="s">
        <v>23</v>
      </c>
      <c r="E4310" s="2"/>
      <c r="F4310" s="2" t="str">
        <f>HYPERLINK("http://m.12365auto.com/bbs/postcontent.aspx?tID=194781","http://m.12365auto.com/bbs/postcontent.aspx?tID=194781")</f>
        <v>http://m.12365auto.com/bbs/postcontent.aspx?tID=194781</v>
      </c>
      <c r="G4310" s="2"/>
      <c r="H4310" s="2" t="s">
        <v>6175</v>
      </c>
      <c r="I4310" s="2" t="s">
        <v>15</v>
      </c>
      <c r="J4310" s="2" t="s">
        <v>6176</v>
      </c>
      <c r="K4310" s="2" t="s">
        <v>6171</v>
      </c>
      <c r="L4310" s="2">
        <f t="shared" si="67"/>
        <v>59</v>
      </c>
    </row>
    <row r="4311" spans="1:12" ht="25" customHeight="1">
      <c r="A4311" s="2" t="s">
        <v>12</v>
      </c>
      <c r="B4311" s="2" t="str">
        <f>HYPERLINK("http://m.12365auto.com/bbs/postcontent.aspx?tID=194783","东风本田思域优科豪马轮胎掉皮")</f>
        <v>东风本田思域优科豪马轮胎掉皮</v>
      </c>
      <c r="C4311" s="2" t="s">
        <v>13</v>
      </c>
      <c r="D4311" s="2" t="s">
        <v>23</v>
      </c>
      <c r="E4311" s="2"/>
      <c r="F4311" s="2" t="str">
        <f>HYPERLINK("http://m.12365auto.com/bbs/postcontent.aspx?tID=194783","http://m.12365auto.com/bbs/postcontent.aspx?tID=194783")</f>
        <v>http://m.12365auto.com/bbs/postcontent.aspx?tID=194783</v>
      </c>
      <c r="G4311" s="2"/>
      <c r="H4311" s="2" t="s">
        <v>6173</v>
      </c>
      <c r="I4311" s="2" t="s">
        <v>15</v>
      </c>
      <c r="J4311" s="2" t="s">
        <v>6174</v>
      </c>
      <c r="K4311" s="2" t="s">
        <v>6171</v>
      </c>
      <c r="L4311" s="2">
        <f t="shared" si="67"/>
        <v>34</v>
      </c>
    </row>
    <row r="4312" spans="1:12" ht="25" customHeight="1">
      <c r="A4312" s="2" t="s">
        <v>12</v>
      </c>
      <c r="B4312" s="2" t="str">
        <f>HYPERLINK("http://bbs.12365auto.com/postcontent.aspx?tId=194780","日产全新奇骏曝光，整车大了一圈，内饰终于不“土”了")</f>
        <v>日产全新奇骏曝光，整车大了一圈，内饰终于不“土”了</v>
      </c>
      <c r="C4312" s="2" t="s">
        <v>13</v>
      </c>
      <c r="D4312" s="2" t="s">
        <v>12</v>
      </c>
      <c r="E4312" s="2" t="s">
        <v>27</v>
      </c>
      <c r="F4312" s="2" t="str">
        <f>HYPERLINK("http://bbs.12365auto.com/postcontent.aspx?tId=194780","http://bbs.12365auto.com/postcontent.aspx?tId=194780")</f>
        <v>http://bbs.12365auto.com/postcontent.aspx?tId=194780</v>
      </c>
      <c r="G4312" s="2"/>
      <c r="H4312" s="2" t="s">
        <v>6181</v>
      </c>
      <c r="I4312" s="2" t="s">
        <v>15</v>
      </c>
      <c r="J4312" s="2" t="s">
        <v>6156</v>
      </c>
      <c r="K4312" s="2" t="s">
        <v>6182</v>
      </c>
      <c r="L4312" s="2">
        <f t="shared" si="67"/>
        <v>150</v>
      </c>
    </row>
    <row r="4313" spans="1:12" ht="25" customHeight="1">
      <c r="A4313" s="2" t="s">
        <v>12</v>
      </c>
      <c r="B4313" s="2" t="str">
        <f>HYPERLINK("http://bbs.12365auto.com/postcontent.aspx?tId=194779","现代ix35电瓶频繁亏电 疑似漏电")</f>
        <v>现代ix35电瓶频繁亏电 疑似漏电</v>
      </c>
      <c r="C4313" s="2" t="s">
        <v>13</v>
      </c>
      <c r="D4313" s="2" t="s">
        <v>12</v>
      </c>
      <c r="E4313" s="2" t="s">
        <v>66</v>
      </c>
      <c r="F4313" s="2" t="str">
        <f>HYPERLINK("http://bbs.12365auto.com/postcontent.aspx?tId=194779","http://bbs.12365auto.com/postcontent.aspx?tId=194779")</f>
        <v>http://bbs.12365auto.com/postcontent.aspx?tId=194779</v>
      </c>
      <c r="G4313" s="2"/>
      <c r="H4313" s="2" t="s">
        <v>6183</v>
      </c>
      <c r="I4313" s="2" t="s">
        <v>15</v>
      </c>
      <c r="J4313" s="2" t="s">
        <v>6184</v>
      </c>
      <c r="K4313" s="2" t="s">
        <v>6182</v>
      </c>
      <c r="L4313" s="2">
        <f t="shared" si="67"/>
        <v>150</v>
      </c>
    </row>
    <row r="4314" spans="1:12" ht="25" customHeight="1">
      <c r="A4314" s="2" t="s">
        <v>12</v>
      </c>
      <c r="B4314" s="2" t="str">
        <f>HYPERLINK("http://bbs.12365auto.com/postcontent.aspx?tID=194780","日产全新奇骏曝光，整车大了一圈，内饰终于不“土”了")</f>
        <v>日产全新奇骏曝光，整车大了一圈，内饰终于不“土”了</v>
      </c>
      <c r="C4314" s="2" t="s">
        <v>13</v>
      </c>
      <c r="D4314" s="2" t="s">
        <v>12</v>
      </c>
      <c r="E4314" s="2" t="s">
        <v>28</v>
      </c>
      <c r="F4314" s="2" t="str">
        <f>HYPERLINK("http://bbs.12365auto.com/postcontent.aspx?tID=194780","http://bbs.12365auto.com/postcontent.aspx?tID=194780")</f>
        <v>http://bbs.12365auto.com/postcontent.aspx?tID=194780</v>
      </c>
      <c r="G4314" s="2"/>
      <c r="H4314" s="2" t="s">
        <v>6185</v>
      </c>
      <c r="I4314" s="2" t="s">
        <v>15</v>
      </c>
      <c r="J4314" s="2" t="s">
        <v>6156</v>
      </c>
      <c r="K4314" s="2" t="s">
        <v>6182</v>
      </c>
      <c r="L4314" s="2">
        <f t="shared" si="67"/>
        <v>150</v>
      </c>
    </row>
    <row r="4315" spans="1:12" ht="25" customHeight="1">
      <c r="A4315" s="2" t="s">
        <v>12</v>
      </c>
      <c r="B4315" s="2" t="str">
        <f>HYPERLINK("http://bbs.12365auto.com/postcontent.aspx?tID=194779","现代ix35电瓶频繁亏电 疑似漏电")</f>
        <v>现代ix35电瓶频繁亏电 疑似漏电</v>
      </c>
      <c r="C4315" s="2" t="s">
        <v>13</v>
      </c>
      <c r="D4315" s="2" t="s">
        <v>12</v>
      </c>
      <c r="E4315" s="2" t="s">
        <v>67</v>
      </c>
      <c r="F4315" s="2" t="str">
        <f>HYPERLINK("http://bbs.12365auto.com/postcontent.aspx?tID=194779","http://bbs.12365auto.com/postcontent.aspx?tID=194779")</f>
        <v>http://bbs.12365auto.com/postcontent.aspx?tID=194779</v>
      </c>
      <c r="G4315" s="2"/>
      <c r="H4315" s="2" t="s">
        <v>6186</v>
      </c>
      <c r="I4315" s="2" t="s">
        <v>15</v>
      </c>
      <c r="J4315" s="2" t="s">
        <v>6184</v>
      </c>
      <c r="K4315" s="2" t="s">
        <v>6182</v>
      </c>
      <c r="L4315" s="2">
        <f t="shared" si="67"/>
        <v>150</v>
      </c>
    </row>
    <row r="4316" spans="1:12" ht="25" customHeight="1">
      <c r="A4316" s="2" t="s">
        <v>12</v>
      </c>
      <c r="B4316" s="2" t="str">
        <f>HYPERLINK("http://m.12365auto.com/zjdy/20200221/121471.shtml","长安逸动双离合变速箱质量怎么样？")</f>
        <v>长安逸动双离合变速箱质量怎么样？</v>
      </c>
      <c r="C4316" s="2" t="s">
        <v>13</v>
      </c>
      <c r="D4316" s="2" t="s">
        <v>12</v>
      </c>
      <c r="E4316" s="2"/>
      <c r="F4316" s="2" t="str">
        <f>HYPERLINK("http://m.12365auto.com/zjdy/20200221/121471.shtml","http://m.12365auto.com/zjdy/20200221/121471.shtml")</f>
        <v>http://m.12365auto.com/zjdy/20200221/121471.shtml</v>
      </c>
      <c r="G4316" s="2"/>
      <c r="H4316" s="2" t="s">
        <v>6187</v>
      </c>
      <c r="I4316" s="2" t="s">
        <v>19</v>
      </c>
      <c r="J4316" s="2" t="s">
        <v>12</v>
      </c>
      <c r="K4316" s="2" t="s">
        <v>6188</v>
      </c>
      <c r="L4316" s="2">
        <f t="shared" si="67"/>
        <v>28</v>
      </c>
    </row>
    <row r="4317" spans="1:12" ht="25" customHeight="1">
      <c r="A4317" s="2" t="s">
        <v>12</v>
      </c>
      <c r="B4317" s="2" t="str">
        <f>HYPERLINK("http://bbs.12365auto.com/postcontent.aspx?tID=194776","再也不用魔改 15万直接能买到本田“法拉域”了")</f>
        <v>再也不用魔改 15万直接能买到本田“法拉域”了</v>
      </c>
      <c r="C4317" s="2" t="s">
        <v>13</v>
      </c>
      <c r="D4317" s="2" t="s">
        <v>12</v>
      </c>
      <c r="E4317" s="2" t="s">
        <v>28</v>
      </c>
      <c r="F4317" s="2" t="str">
        <f>HYPERLINK("http://bbs.12365auto.com/postcontent.aspx?tID=194776","http://bbs.12365auto.com/postcontent.aspx?tID=194776")</f>
        <v>http://bbs.12365auto.com/postcontent.aspx?tID=194776</v>
      </c>
      <c r="G4317" s="2"/>
      <c r="H4317" s="2" t="s">
        <v>6189</v>
      </c>
      <c r="I4317" s="2" t="s">
        <v>15</v>
      </c>
      <c r="J4317" s="2" t="s">
        <v>6156</v>
      </c>
      <c r="K4317" s="2" t="s">
        <v>6190</v>
      </c>
      <c r="L4317" s="2">
        <f t="shared" si="67"/>
        <v>150</v>
      </c>
    </row>
    <row r="4318" spans="1:12" ht="25" customHeight="1">
      <c r="A4318" s="2" t="s">
        <v>12</v>
      </c>
      <c r="B4318" s="2" t="str">
        <f>HYPERLINK("http://bbs.12365auto.com/postcontent.aspx?tId=194778","落地十五万左右的别克君威，20T精英型，超值")</f>
        <v>落地十五万左右的别克君威，20T精英型，超值</v>
      </c>
      <c r="C4318" s="2" t="s">
        <v>13</v>
      </c>
      <c r="D4318" s="2" t="s">
        <v>12</v>
      </c>
      <c r="E4318" s="2" t="s">
        <v>27</v>
      </c>
      <c r="F4318" s="2" t="str">
        <f>HYPERLINK("http://bbs.12365auto.com/postcontent.aspx?tId=194778","http://bbs.12365auto.com/postcontent.aspx?tId=194778")</f>
        <v>http://bbs.12365auto.com/postcontent.aspx?tId=194778</v>
      </c>
      <c r="G4318" s="2"/>
      <c r="H4318" s="2" t="s">
        <v>6191</v>
      </c>
      <c r="I4318" s="2" t="s">
        <v>15</v>
      </c>
      <c r="J4318" s="2" t="s">
        <v>6156</v>
      </c>
      <c r="K4318" s="2" t="s">
        <v>6190</v>
      </c>
      <c r="L4318" s="2">
        <f t="shared" si="67"/>
        <v>150</v>
      </c>
    </row>
    <row r="4319" spans="1:12" ht="25" customHeight="1">
      <c r="A4319" s="2" t="s">
        <v>12</v>
      </c>
      <c r="B4319" s="2" t="str">
        <f>HYPERLINK("http://bbs.12365auto.com/postcontent.aspx?tId=194776","再也不用魔改 15万直接能买到本田“法拉域”了")</f>
        <v>再也不用魔改 15万直接能买到本田“法拉域”了</v>
      </c>
      <c r="C4319" s="2" t="s">
        <v>13</v>
      </c>
      <c r="D4319" s="2" t="s">
        <v>12</v>
      </c>
      <c r="E4319" s="2" t="s">
        <v>27</v>
      </c>
      <c r="F4319" s="2" t="str">
        <f>HYPERLINK("http://bbs.12365auto.com/postcontent.aspx?tId=194776","http://bbs.12365auto.com/postcontent.aspx?tId=194776")</f>
        <v>http://bbs.12365auto.com/postcontent.aspx?tId=194776</v>
      </c>
      <c r="G4319" s="2"/>
      <c r="H4319" s="2" t="s">
        <v>6192</v>
      </c>
      <c r="I4319" s="2" t="s">
        <v>15</v>
      </c>
      <c r="J4319" s="2" t="s">
        <v>6156</v>
      </c>
      <c r="K4319" s="2" t="s">
        <v>6190</v>
      </c>
      <c r="L4319" s="2">
        <f t="shared" si="67"/>
        <v>150</v>
      </c>
    </row>
    <row r="4320" spans="1:12" ht="25" customHeight="1">
      <c r="A4320" s="2" t="s">
        <v>12</v>
      </c>
      <c r="B4320" s="2" t="str">
        <f>HYPERLINK("http://bbs.12365auto.com/postcontent.aspx?tId=194777","Yeti空调异味非常严重")</f>
        <v>Yeti空调异味非常严重</v>
      </c>
      <c r="C4320" s="2" t="s">
        <v>13</v>
      </c>
      <c r="D4320" s="2" t="s">
        <v>12</v>
      </c>
      <c r="E4320" s="2" t="s">
        <v>66</v>
      </c>
      <c r="F4320" s="2" t="str">
        <f>HYPERLINK("http://bbs.12365auto.com/postcontent.aspx?tId=194777","http://bbs.12365auto.com/postcontent.aspx?tId=194777")</f>
        <v>http://bbs.12365auto.com/postcontent.aspx?tId=194777</v>
      </c>
      <c r="G4320" s="2"/>
      <c r="H4320" s="2" t="s">
        <v>6193</v>
      </c>
      <c r="I4320" s="2" t="s">
        <v>15</v>
      </c>
      <c r="J4320" s="2" t="s">
        <v>6194</v>
      </c>
      <c r="K4320" s="2" t="s">
        <v>6190</v>
      </c>
      <c r="L4320" s="2">
        <f t="shared" si="67"/>
        <v>150</v>
      </c>
    </row>
    <row r="4321" spans="1:12" ht="25" customHeight="1">
      <c r="A4321" s="2" t="s">
        <v>12</v>
      </c>
      <c r="B4321" s="2" t="str">
        <f>HYPERLINK("http://m.12365auto.com/xcdg/20200221/419144.shtml","实用有面子 新车开箱一汽-大众迈腾GTE")</f>
        <v>实用有面子 新车开箱一汽-大众迈腾GTE</v>
      </c>
      <c r="C4321" s="2" t="s">
        <v>13</v>
      </c>
      <c r="D4321" s="2" t="s">
        <v>12</v>
      </c>
      <c r="E4321" s="2"/>
      <c r="F4321" s="2" t="str">
        <f>HYPERLINK("http://m.12365auto.com/xcdg/20200221/419144.shtml","http://m.12365auto.com/xcdg/20200221/419144.shtml")</f>
        <v>http://m.12365auto.com/xcdg/20200221/419144.shtml</v>
      </c>
      <c r="G4321" s="2"/>
      <c r="H4321" s="2" t="s">
        <v>6195</v>
      </c>
      <c r="I4321" s="2" t="s">
        <v>19</v>
      </c>
      <c r="J4321" s="2" t="s">
        <v>855</v>
      </c>
      <c r="K4321" s="2" t="s">
        <v>6190</v>
      </c>
      <c r="L4321" s="2">
        <f t="shared" si="67"/>
        <v>150</v>
      </c>
    </row>
    <row r="4322" spans="1:12" ht="25" customHeight="1">
      <c r="A4322" s="2" t="s">
        <v>12</v>
      </c>
      <c r="B4322" s="2" t="str">
        <f>HYPERLINK("http://bbs.12365auto.com/postcontent.aspx?tID=194778","落地十五万左右的别克君威，20T精英型，超值")</f>
        <v>落地十五万左右的别克君威，20T精英型，超值</v>
      </c>
      <c r="C4322" s="2" t="s">
        <v>13</v>
      </c>
      <c r="D4322" s="2" t="s">
        <v>12</v>
      </c>
      <c r="E4322" s="2" t="s">
        <v>28</v>
      </c>
      <c r="F4322" s="2" t="str">
        <f>HYPERLINK("http://bbs.12365auto.com/postcontent.aspx?tID=194778","http://bbs.12365auto.com/postcontent.aspx?tID=194778")</f>
        <v>http://bbs.12365auto.com/postcontent.aspx?tID=194778</v>
      </c>
      <c r="G4322" s="2"/>
      <c r="H4322" s="2" t="s">
        <v>6196</v>
      </c>
      <c r="I4322" s="2" t="s">
        <v>15</v>
      </c>
      <c r="J4322" s="2" t="s">
        <v>6156</v>
      </c>
      <c r="K4322" s="2" t="s">
        <v>6190</v>
      </c>
      <c r="L4322" s="2">
        <f t="shared" si="67"/>
        <v>150</v>
      </c>
    </row>
    <row r="4323" spans="1:12" ht="25" customHeight="1">
      <c r="A4323" s="2" t="s">
        <v>12</v>
      </c>
      <c r="B4323" s="2" t="str">
        <f>HYPERLINK("http://bbs.12365auto.com/postcontent.aspx?tID=194777","Yeti空调异味非常严重")</f>
        <v>Yeti空调异味非常严重</v>
      </c>
      <c r="C4323" s="2" t="s">
        <v>13</v>
      </c>
      <c r="D4323" s="2" t="s">
        <v>12</v>
      </c>
      <c r="E4323" s="2" t="s">
        <v>67</v>
      </c>
      <c r="F4323" s="2" t="str">
        <f>HYPERLINK("http://bbs.12365auto.com/postcontent.aspx?tID=194777","http://bbs.12365auto.com/postcontent.aspx?tID=194777")</f>
        <v>http://bbs.12365auto.com/postcontent.aspx?tID=194777</v>
      </c>
      <c r="G4323" s="2"/>
      <c r="H4323" s="2" t="s">
        <v>6197</v>
      </c>
      <c r="I4323" s="2" t="s">
        <v>15</v>
      </c>
      <c r="J4323" s="2" t="s">
        <v>6194</v>
      </c>
      <c r="K4323" s="2" t="s">
        <v>6190</v>
      </c>
      <c r="L4323" s="2">
        <f t="shared" si="67"/>
        <v>150</v>
      </c>
    </row>
    <row r="4324" spans="1:12" ht="25" customHeight="1">
      <c r="A4324" s="2" t="s">
        <v>12</v>
      </c>
      <c r="B4324" s="2" t="str">
        <f>HYPERLINK("http://bbs.12365auto.com/postcontent.aspx?tId=194774","颜值不输雅阁、凯美瑞，性价比更是合资前列，这3款中级车要火")</f>
        <v>颜值不输雅阁、凯美瑞，性价比更是合资前列，这3款中级车要火</v>
      </c>
      <c r="C4324" s="2" t="s">
        <v>13</v>
      </c>
      <c r="D4324" s="2" t="s">
        <v>12</v>
      </c>
      <c r="E4324" s="2" t="s">
        <v>27</v>
      </c>
      <c r="F4324" s="2" t="str">
        <f>HYPERLINK("http://bbs.12365auto.com/postcontent.aspx?tId=194774","http://bbs.12365auto.com/postcontent.aspx?tId=194774")</f>
        <v>http://bbs.12365auto.com/postcontent.aspx?tId=194774</v>
      </c>
      <c r="G4324" s="2"/>
      <c r="H4324" s="2" t="s">
        <v>6198</v>
      </c>
      <c r="I4324" s="2" t="s">
        <v>15</v>
      </c>
      <c r="J4324" s="2" t="s">
        <v>6156</v>
      </c>
      <c r="K4324" s="2" t="s">
        <v>6199</v>
      </c>
      <c r="L4324" s="2">
        <f t="shared" si="67"/>
        <v>150</v>
      </c>
    </row>
    <row r="4325" spans="1:12" ht="25" customHeight="1">
      <c r="A4325" s="2" t="s">
        <v>12</v>
      </c>
      <c r="B4325" s="2" t="str">
        <f>HYPERLINK("http://bbs.12365auto.com/postcontent.aspx?tId=194775","全新奥迪A4就要来了！颜值不输A6，是时候放弃奔驰C级了")</f>
        <v>全新奥迪A4就要来了！颜值不输A6，是时候放弃奔驰C级了</v>
      </c>
      <c r="C4325" s="2" t="s">
        <v>13</v>
      </c>
      <c r="D4325" s="2" t="s">
        <v>12</v>
      </c>
      <c r="E4325" s="2" t="s">
        <v>27</v>
      </c>
      <c r="F4325" s="2" t="str">
        <f>HYPERLINK("http://bbs.12365auto.com/postcontent.aspx?tId=194775","http://bbs.12365auto.com/postcontent.aspx?tId=194775")</f>
        <v>http://bbs.12365auto.com/postcontent.aspx?tId=194775</v>
      </c>
      <c r="G4325" s="2"/>
      <c r="H4325" s="2" t="s">
        <v>6200</v>
      </c>
      <c r="I4325" s="2" t="s">
        <v>15</v>
      </c>
      <c r="J4325" s="2" t="s">
        <v>6156</v>
      </c>
      <c r="K4325" s="2" t="s">
        <v>6199</v>
      </c>
      <c r="L4325" s="2">
        <f t="shared" si="67"/>
        <v>150</v>
      </c>
    </row>
    <row r="4326" spans="1:12" ht="25" customHeight="1">
      <c r="A4326" s="2" t="s">
        <v>12</v>
      </c>
      <c r="B4326" s="2" t="str">
        <f>HYPERLINK("http://bbs.12365auto.com/postcontent.aspx?tID=194774","颜值不输雅阁、凯美瑞，性价比更是合资前列，这3款中级车要火")</f>
        <v>颜值不输雅阁、凯美瑞，性价比更是合资前列，这3款中级车要火</v>
      </c>
      <c r="C4326" s="2" t="s">
        <v>13</v>
      </c>
      <c r="D4326" s="2" t="s">
        <v>12</v>
      </c>
      <c r="E4326" s="2" t="s">
        <v>28</v>
      </c>
      <c r="F4326" s="2" t="str">
        <f>HYPERLINK("http://bbs.12365auto.com/postcontent.aspx?tID=194774","http://bbs.12365auto.com/postcontent.aspx?tID=194774")</f>
        <v>http://bbs.12365auto.com/postcontent.aspx?tID=194774</v>
      </c>
      <c r="G4326" s="2"/>
      <c r="H4326" s="2" t="s">
        <v>6201</v>
      </c>
      <c r="I4326" s="2" t="s">
        <v>15</v>
      </c>
      <c r="J4326" s="2" t="s">
        <v>6156</v>
      </c>
      <c r="K4326" s="2" t="s">
        <v>6199</v>
      </c>
      <c r="L4326" s="2">
        <f t="shared" si="67"/>
        <v>150</v>
      </c>
    </row>
    <row r="4327" spans="1:12" ht="25" customHeight="1">
      <c r="A4327" s="2" t="s">
        <v>12</v>
      </c>
      <c r="B4327" s="2" t="str">
        <f>HYPERLINK("http://bbs.12365auto.com/postcontent.aspx?tID=194775","全新奥迪A4就要来了！颜值不输A6，是时候放弃奔驰C级了")</f>
        <v>全新奥迪A4就要来了！颜值不输A6，是时候放弃奔驰C级了</v>
      </c>
      <c r="C4327" s="2" t="s">
        <v>13</v>
      </c>
      <c r="D4327" s="2" t="s">
        <v>12</v>
      </c>
      <c r="E4327" s="2" t="s">
        <v>28</v>
      </c>
      <c r="F4327" s="2" t="str">
        <f>HYPERLINK("http://bbs.12365auto.com/postcontent.aspx?tID=194775","http://bbs.12365auto.com/postcontent.aspx?tID=194775")</f>
        <v>http://bbs.12365auto.com/postcontent.aspx?tID=194775</v>
      </c>
      <c r="G4327" s="2"/>
      <c r="H4327" s="2" t="s">
        <v>6202</v>
      </c>
      <c r="I4327" s="2" t="s">
        <v>15</v>
      </c>
      <c r="J4327" s="2" t="s">
        <v>6156</v>
      </c>
      <c r="K4327" s="2" t="s">
        <v>6199</v>
      </c>
      <c r="L4327" s="2">
        <f t="shared" si="67"/>
        <v>150</v>
      </c>
    </row>
    <row r="4328" spans="1:12" ht="25" customHeight="1">
      <c r="A4328" s="2" t="s">
        <v>12</v>
      </c>
      <c r="B4328" s="2" t="str">
        <f>HYPERLINK("http://bbs.12365auto.com/postcontent.aspx?tId=194773","10-15万预算，同是大众SUV的探影和途铠，你选谁？")</f>
        <v>10-15万预算，同是大众SUV的探影和途铠，你选谁？</v>
      </c>
      <c r="C4328" s="2" t="s">
        <v>13</v>
      </c>
      <c r="D4328" s="2" t="s">
        <v>12</v>
      </c>
      <c r="E4328" s="2" t="s">
        <v>27</v>
      </c>
      <c r="F4328" s="2" t="str">
        <f>HYPERLINK("http://bbs.12365auto.com/postcontent.aspx?tId=194773","http://bbs.12365auto.com/postcontent.aspx?tId=194773")</f>
        <v>http://bbs.12365auto.com/postcontent.aspx?tId=194773</v>
      </c>
      <c r="G4328" s="2"/>
      <c r="H4328" s="2" t="s">
        <v>634</v>
      </c>
      <c r="I4328" s="2" t="s">
        <v>15</v>
      </c>
      <c r="J4328" s="2" t="s">
        <v>6156</v>
      </c>
      <c r="K4328" s="2" t="s">
        <v>6203</v>
      </c>
      <c r="L4328" s="2">
        <f t="shared" si="67"/>
        <v>150</v>
      </c>
    </row>
    <row r="4329" spans="1:12" ht="25" customHeight="1">
      <c r="A4329" s="2" t="s">
        <v>12</v>
      </c>
      <c r="B4329" s="2" t="str">
        <f>HYPERLINK("http://bbs.12365auto.com/postcontent.aspx?tId=194772","华晨宝马5系发动机抖动")</f>
        <v>华晨宝马5系发动机抖动</v>
      </c>
      <c r="C4329" s="2" t="s">
        <v>13</v>
      </c>
      <c r="D4329" s="2" t="s">
        <v>12</v>
      </c>
      <c r="E4329" s="2" t="s">
        <v>66</v>
      </c>
      <c r="F4329" s="2" t="str">
        <f>HYPERLINK("http://bbs.12365auto.com/postcontent.aspx?tId=194772","http://bbs.12365auto.com/postcontent.aspx?tId=194772")</f>
        <v>http://bbs.12365auto.com/postcontent.aspx?tId=194772</v>
      </c>
      <c r="G4329" s="2"/>
      <c r="H4329" s="2" t="s">
        <v>6204</v>
      </c>
      <c r="I4329" s="2" t="s">
        <v>15</v>
      </c>
      <c r="J4329" s="2" t="s">
        <v>6205</v>
      </c>
      <c r="K4329" s="2" t="s">
        <v>6203</v>
      </c>
      <c r="L4329" s="2">
        <f t="shared" si="67"/>
        <v>150</v>
      </c>
    </row>
    <row r="4330" spans="1:12" ht="25" customHeight="1">
      <c r="A4330" s="2" t="s">
        <v>12</v>
      </c>
      <c r="B4330" s="2" t="str">
        <f>HYPERLINK("http://bbs.12365auto.com/postcontent.aspx?tId=194771","名爵6电瓶亏电导致车辆无法启动")</f>
        <v>名爵6电瓶亏电导致车辆无法启动</v>
      </c>
      <c r="C4330" s="2" t="s">
        <v>13</v>
      </c>
      <c r="D4330" s="2" t="s">
        <v>12</v>
      </c>
      <c r="E4330" s="2" t="s">
        <v>66</v>
      </c>
      <c r="F4330" s="2" t="str">
        <f>HYPERLINK("http://bbs.12365auto.com/postcontent.aspx?tId=194771","http://bbs.12365auto.com/postcontent.aspx?tId=194771")</f>
        <v>http://bbs.12365auto.com/postcontent.aspx?tId=194771</v>
      </c>
      <c r="G4330" s="2"/>
      <c r="H4330" s="2" t="s">
        <v>6206</v>
      </c>
      <c r="I4330" s="2" t="s">
        <v>15</v>
      </c>
      <c r="J4330" s="2" t="s">
        <v>6207</v>
      </c>
      <c r="K4330" s="2" t="s">
        <v>6203</v>
      </c>
      <c r="L4330" s="2">
        <f t="shared" si="67"/>
        <v>56</v>
      </c>
    </row>
    <row r="4331" spans="1:12" ht="25" customHeight="1">
      <c r="A4331" s="2" t="s">
        <v>12</v>
      </c>
      <c r="B4331" s="2" t="str">
        <f>HYPERLINK("http://m.12365auto.com/news/20200221/419143.shtml","正式交付使用 五菱推出智能移动测温车")</f>
        <v>正式交付使用 五菱推出智能移动测温车</v>
      </c>
      <c r="C4331" s="2" t="s">
        <v>13</v>
      </c>
      <c r="D4331" s="2" t="s">
        <v>12</v>
      </c>
      <c r="E4331" s="2"/>
      <c r="F4331" s="2" t="str">
        <f>HYPERLINK("http://m.12365auto.com/news/20200221/419143.shtml","http://m.12365auto.com/news/20200221/419143.shtml")</f>
        <v>http://m.12365auto.com/news/20200221/419143.shtml</v>
      </c>
      <c r="G4331" s="2"/>
      <c r="H4331" s="2" t="s">
        <v>6208</v>
      </c>
      <c r="I4331" s="2" t="s">
        <v>19</v>
      </c>
      <c r="J4331" s="2" t="s">
        <v>2560</v>
      </c>
      <c r="K4331" s="2" t="s">
        <v>6203</v>
      </c>
      <c r="L4331" s="2">
        <f t="shared" si="67"/>
        <v>150</v>
      </c>
    </row>
    <row r="4332" spans="1:12" ht="25" customHeight="1">
      <c r="A4332" s="2" t="s">
        <v>12</v>
      </c>
      <c r="B4332" s="2" t="str">
        <f>HYPERLINK("http://www.12365auto.com/news/20200221/419143.shtml","正式交付使用 五菱推出智能移动测温车")</f>
        <v>正式交付使用 五菱推出智能移动测温车</v>
      </c>
      <c r="C4332" s="2" t="s">
        <v>13</v>
      </c>
      <c r="D4332" s="2" t="s">
        <v>12</v>
      </c>
      <c r="E4332" s="2" t="s">
        <v>276</v>
      </c>
      <c r="F4332" s="2" t="str">
        <f>HYPERLINK("http://www.12365auto.com/news/20200221/419143.shtml","http://www.12365auto.com/news/20200221/419143.shtml")</f>
        <v>http://www.12365auto.com/news/20200221/419143.shtml</v>
      </c>
      <c r="G4332" s="2"/>
      <c r="H4332" s="2" t="s">
        <v>6209</v>
      </c>
      <c r="I4332" s="2" t="s">
        <v>15</v>
      </c>
      <c r="J4332" s="2" t="s">
        <v>12</v>
      </c>
      <c r="K4332" s="2" t="s">
        <v>6203</v>
      </c>
      <c r="L4332" s="2">
        <f t="shared" si="67"/>
        <v>150</v>
      </c>
    </row>
    <row r="4333" spans="1:12" ht="25" customHeight="1">
      <c r="A4333" s="2" t="s">
        <v>12</v>
      </c>
      <c r="B4333" s="2" t="str">
        <f>HYPERLINK("http://bbs.12365auto.com/postcontent.aspx?tID=194771","名爵6电瓶亏电导致车辆无法启动")</f>
        <v>名爵6电瓶亏电导致车辆无法启动</v>
      </c>
      <c r="C4333" s="2" t="s">
        <v>13</v>
      </c>
      <c r="D4333" s="2" t="s">
        <v>12</v>
      </c>
      <c r="E4333" s="2" t="s">
        <v>67</v>
      </c>
      <c r="F4333" s="2" t="str">
        <f>HYPERLINK("http://bbs.12365auto.com/postcontent.aspx?tID=194771","http://bbs.12365auto.com/postcontent.aspx?tID=194771")</f>
        <v>http://bbs.12365auto.com/postcontent.aspx?tID=194771</v>
      </c>
      <c r="G4333" s="2"/>
      <c r="H4333" s="2" t="s">
        <v>6210</v>
      </c>
      <c r="I4333" s="2" t="s">
        <v>15</v>
      </c>
      <c r="J4333" s="2" t="s">
        <v>6207</v>
      </c>
      <c r="K4333" s="2" t="s">
        <v>6203</v>
      </c>
      <c r="L4333" s="2">
        <f t="shared" si="67"/>
        <v>71</v>
      </c>
    </row>
    <row r="4334" spans="1:12" ht="25" customHeight="1">
      <c r="A4334" s="2" t="s">
        <v>12</v>
      </c>
      <c r="B4334" s="2" t="str">
        <f>HYPERLINK("http://bbs.12365auto.com/postcontent.aspx?tID=194773","10-15万预算，同是大众SUV的探影和途铠，你选谁？")</f>
        <v>10-15万预算，同是大众SUV的探影和途铠，你选谁？</v>
      </c>
      <c r="C4334" s="2" t="s">
        <v>13</v>
      </c>
      <c r="D4334" s="2" t="s">
        <v>12</v>
      </c>
      <c r="E4334" s="2" t="s">
        <v>28</v>
      </c>
      <c r="F4334" s="2" t="str">
        <f>HYPERLINK("http://bbs.12365auto.com/postcontent.aspx?tID=194773","http://bbs.12365auto.com/postcontent.aspx?tID=194773")</f>
        <v>http://bbs.12365auto.com/postcontent.aspx?tID=194773</v>
      </c>
      <c r="G4334" s="2"/>
      <c r="H4334" s="2" t="s">
        <v>6211</v>
      </c>
      <c r="I4334" s="2" t="s">
        <v>15</v>
      </c>
      <c r="J4334" s="2" t="s">
        <v>6156</v>
      </c>
      <c r="K4334" s="2" t="s">
        <v>6203</v>
      </c>
      <c r="L4334" s="2">
        <f t="shared" si="67"/>
        <v>150</v>
      </c>
    </row>
    <row r="4335" spans="1:12" ht="25" customHeight="1">
      <c r="A4335" s="2" t="s">
        <v>12</v>
      </c>
      <c r="B4335" s="2" t="str">
        <f>HYPERLINK("http://bbs.12365auto.com/postcontent.aspx?tID=194772","华晨宝马5系发动机抖动")</f>
        <v>华晨宝马5系发动机抖动</v>
      </c>
      <c r="C4335" s="2" t="s">
        <v>13</v>
      </c>
      <c r="D4335" s="2" t="s">
        <v>12</v>
      </c>
      <c r="E4335" s="2" t="s">
        <v>67</v>
      </c>
      <c r="F4335" s="2" t="str">
        <f>HYPERLINK("http://bbs.12365auto.com/postcontent.aspx?tID=194772","http://bbs.12365auto.com/postcontent.aspx?tID=194772")</f>
        <v>http://bbs.12365auto.com/postcontent.aspx?tID=194772</v>
      </c>
      <c r="G4335" s="2"/>
      <c r="H4335" s="2" t="s">
        <v>6212</v>
      </c>
      <c r="I4335" s="2" t="s">
        <v>15</v>
      </c>
      <c r="J4335" s="2" t="s">
        <v>6205</v>
      </c>
      <c r="K4335" s="2" t="s">
        <v>6203</v>
      </c>
      <c r="L4335" s="2">
        <f t="shared" si="67"/>
        <v>150</v>
      </c>
    </row>
    <row r="4336" spans="1:12" ht="25" customHeight="1">
      <c r="A4336" s="2" t="s">
        <v>12</v>
      </c>
      <c r="B4336" s="2" t="str">
        <f>HYPERLINK("http://bbs.12365auto.com/postcontent.aspx?tId=194770","汽车刹车片该什么时候换？老司机：用这几个方法去判断")</f>
        <v>汽车刹车片该什么时候换？老司机：用这几个方法去判断</v>
      </c>
      <c r="C4336" s="2" t="s">
        <v>13</v>
      </c>
      <c r="D4336" s="2" t="s">
        <v>12</v>
      </c>
      <c r="E4336" s="2" t="s">
        <v>27</v>
      </c>
      <c r="F4336" s="2" t="str">
        <f>HYPERLINK("http://bbs.12365auto.com/postcontent.aspx?tId=194770","http://bbs.12365auto.com/postcontent.aspx?tId=194770")</f>
        <v>http://bbs.12365auto.com/postcontent.aspx?tId=194770</v>
      </c>
      <c r="G4336" s="2"/>
      <c r="H4336" s="2" t="s">
        <v>6213</v>
      </c>
      <c r="I4336" s="2" t="s">
        <v>15</v>
      </c>
      <c r="J4336" s="2" t="s">
        <v>6156</v>
      </c>
      <c r="K4336" s="2" t="s">
        <v>6214</v>
      </c>
      <c r="L4336" s="2">
        <f t="shared" si="67"/>
        <v>150</v>
      </c>
    </row>
    <row r="4337" spans="1:12" ht="25" customHeight="1">
      <c r="A4337" s="2" t="s">
        <v>12</v>
      </c>
      <c r="B4337" s="2" t="str">
        <f>HYPERLINK("http://bbs.12365auto.com/postcontent.aspx?tID=194770","汽车刹车片该什么时候换？老司机：用这几个方法去判断")</f>
        <v>汽车刹车片该什么时候换？老司机：用这几个方法去判断</v>
      </c>
      <c r="C4337" s="2" t="s">
        <v>13</v>
      </c>
      <c r="D4337" s="2" t="s">
        <v>12</v>
      </c>
      <c r="E4337" s="2" t="s">
        <v>28</v>
      </c>
      <c r="F4337" s="2" t="str">
        <f>HYPERLINK("http://bbs.12365auto.com/postcontent.aspx?tID=194770","http://bbs.12365auto.com/postcontent.aspx?tID=194770")</f>
        <v>http://bbs.12365auto.com/postcontent.aspx?tID=194770</v>
      </c>
      <c r="G4337" s="2"/>
      <c r="H4337" s="2" t="s">
        <v>6215</v>
      </c>
      <c r="I4337" s="2" t="s">
        <v>15</v>
      </c>
      <c r="J4337" s="2" t="s">
        <v>6156</v>
      </c>
      <c r="K4337" s="2" t="s">
        <v>6214</v>
      </c>
      <c r="L4337" s="2">
        <f t="shared" si="67"/>
        <v>150</v>
      </c>
    </row>
    <row r="4338" spans="1:12" ht="25" customHeight="1">
      <c r="A4338" s="2" t="s">
        <v>12</v>
      </c>
      <c r="B4338" s="2" t="str">
        <f>HYPERLINK("http://m.12365auto.com/xcdg/20200221/419142.shtml","新技术泄密 特斯拉将推更长续航Model S")</f>
        <v>新技术泄密 特斯拉将推更长续航Model S</v>
      </c>
      <c r="C4338" s="2" t="s">
        <v>13</v>
      </c>
      <c r="D4338" s="2" t="s">
        <v>12</v>
      </c>
      <c r="E4338" s="2"/>
      <c r="F4338" s="2" t="str">
        <f>HYPERLINK("http://m.12365auto.com/xcdg/20200221/419142.shtml","http://m.12365auto.com/xcdg/20200221/419142.shtml")</f>
        <v>http://m.12365auto.com/xcdg/20200221/419142.shtml</v>
      </c>
      <c r="G4338" s="2"/>
      <c r="H4338" s="2" t="s">
        <v>6216</v>
      </c>
      <c r="I4338" s="2" t="s">
        <v>19</v>
      </c>
      <c r="J4338" s="2" t="s">
        <v>1543</v>
      </c>
      <c r="K4338" s="2" t="s">
        <v>6217</v>
      </c>
      <c r="L4338" s="2">
        <f t="shared" si="67"/>
        <v>150</v>
      </c>
    </row>
    <row r="4339" spans="1:12" ht="25" customHeight="1">
      <c r="A4339" s="2" t="s">
        <v>12</v>
      </c>
      <c r="B4339" s="2" t="str">
        <f>HYPERLINK("http://www.12365auto.com/xcdg/20200221/419142.shtml","新技术泄密 特斯拉将推更长续航Model S")</f>
        <v>新技术泄密 特斯拉将推更长续航Model S</v>
      </c>
      <c r="C4339" s="2" t="s">
        <v>13</v>
      </c>
      <c r="D4339" s="2" t="s">
        <v>12</v>
      </c>
      <c r="E4339" s="2" t="s">
        <v>216</v>
      </c>
      <c r="F4339" s="2" t="str">
        <f>HYPERLINK("http://www.12365auto.com/xcdg/20200221/419142.shtml","http://www.12365auto.com/xcdg/20200221/419142.shtml")</f>
        <v>http://www.12365auto.com/xcdg/20200221/419142.shtml</v>
      </c>
      <c r="G4339" s="2"/>
      <c r="H4339" s="2" t="s">
        <v>6218</v>
      </c>
      <c r="I4339" s="2" t="s">
        <v>15</v>
      </c>
      <c r="J4339" s="2" t="s">
        <v>12</v>
      </c>
      <c r="K4339" s="2" t="s">
        <v>6217</v>
      </c>
      <c r="L4339" s="2">
        <f t="shared" si="67"/>
        <v>150</v>
      </c>
    </row>
    <row r="4340" spans="1:12" ht="25" customHeight="1">
      <c r="A4340" s="2" t="s">
        <v>12</v>
      </c>
      <c r="B4340" s="2" t="str">
        <f>HYPERLINK("http://www.12365auto.com/zlts/20200221/447960.shtml","一汽大众捷达点火开关设计缺陷 部分电器断电")</f>
        <v>一汽大众捷达点火开关设计缺陷 部分电器断电</v>
      </c>
      <c r="C4340" s="2" t="s">
        <v>13</v>
      </c>
      <c r="D4340" s="2" t="s">
        <v>12</v>
      </c>
      <c r="E4340" s="2" t="s">
        <v>17</v>
      </c>
      <c r="F4340" s="2" t="str">
        <f>HYPERLINK("http://www.12365auto.com/zlts/20200221/447960.shtml","http://www.12365auto.com/zlts/20200221/447960.shtml")</f>
        <v>http://www.12365auto.com/zlts/20200221/447960.shtml</v>
      </c>
      <c r="G4340" s="2"/>
      <c r="H4340" s="2" t="s">
        <v>6219</v>
      </c>
      <c r="I4340" s="2" t="s">
        <v>19</v>
      </c>
      <c r="J4340" s="2" t="s">
        <v>12</v>
      </c>
      <c r="K4340" s="2" t="s">
        <v>6220</v>
      </c>
      <c r="L4340" s="2">
        <f t="shared" si="67"/>
        <v>150</v>
      </c>
    </row>
    <row r="4341" spans="1:12" ht="25" customHeight="1">
      <c r="A4341" s="2" t="s">
        <v>12</v>
      </c>
      <c r="B4341" s="2" t="str">
        <f>HYPERLINK("http://m.12365auto.com/news/20200221/419141.shtml","商务部：鼓励各地增加传统汽车限购指标")</f>
        <v>商务部：鼓励各地增加传统汽车限购指标</v>
      </c>
      <c r="C4341" s="2" t="s">
        <v>13</v>
      </c>
      <c r="D4341" s="2" t="s">
        <v>12</v>
      </c>
      <c r="E4341" s="2"/>
      <c r="F4341" s="2" t="str">
        <f>HYPERLINK("http://m.12365auto.com/news/20200221/419141.shtml","http://m.12365auto.com/news/20200221/419141.shtml")</f>
        <v>http://m.12365auto.com/news/20200221/419141.shtml</v>
      </c>
      <c r="G4341" s="2"/>
      <c r="H4341" s="2" t="s">
        <v>6221</v>
      </c>
      <c r="I4341" s="2" t="s">
        <v>19</v>
      </c>
      <c r="J4341" s="2" t="s">
        <v>274</v>
      </c>
      <c r="K4341" s="2" t="s">
        <v>6222</v>
      </c>
      <c r="L4341" s="2">
        <f t="shared" si="67"/>
        <v>150</v>
      </c>
    </row>
    <row r="4342" spans="1:12" ht="25" customHeight="1">
      <c r="A4342" s="2" t="s">
        <v>12</v>
      </c>
      <c r="B4342" s="2" t="str">
        <f>HYPERLINK("http://www.12365auto.com/news/20200221/419141.shtml","商务部：鼓励各地增加传统汽车限购指标")</f>
        <v>商务部：鼓励各地增加传统汽车限购指标</v>
      </c>
      <c r="C4342" s="2" t="s">
        <v>13</v>
      </c>
      <c r="D4342" s="2" t="s">
        <v>12</v>
      </c>
      <c r="E4342" s="2" t="s">
        <v>276</v>
      </c>
      <c r="F4342" s="2" t="str">
        <f>HYPERLINK("http://www.12365auto.com/news/20200221/419141.shtml","http://www.12365auto.com/news/20200221/419141.shtml")</f>
        <v>http://www.12365auto.com/news/20200221/419141.shtml</v>
      </c>
      <c r="G4342" s="2"/>
      <c r="H4342" s="2" t="s">
        <v>6223</v>
      </c>
      <c r="I4342" s="2" t="s">
        <v>15</v>
      </c>
      <c r="J4342" s="2" t="s">
        <v>12</v>
      </c>
      <c r="K4342" s="2" t="s">
        <v>6222</v>
      </c>
      <c r="L4342" s="2">
        <f t="shared" si="67"/>
        <v>150</v>
      </c>
    </row>
    <row r="4343" spans="1:12" ht="25" customHeight="1">
      <c r="A4343" s="2" t="s">
        <v>12</v>
      </c>
      <c r="B4343" s="2" t="str">
        <f>HYPERLINK("http://m.12365auto.com/news/20200221/419140.shtml","每周1万辆 特斯拉柏林工厂产能预测出炉")</f>
        <v>每周1万辆 特斯拉柏林工厂产能预测出炉</v>
      </c>
      <c r="C4343" s="2" t="s">
        <v>13</v>
      </c>
      <c r="D4343" s="2" t="s">
        <v>12</v>
      </c>
      <c r="E4343" s="2"/>
      <c r="F4343" s="2" t="str">
        <f>HYPERLINK("http://m.12365auto.com/news/20200221/419140.shtml","http://m.12365auto.com/news/20200221/419140.shtml")</f>
        <v>http://m.12365auto.com/news/20200221/419140.shtml</v>
      </c>
      <c r="G4343" s="2"/>
      <c r="H4343" s="2" t="s">
        <v>6224</v>
      </c>
      <c r="I4343" s="2" t="s">
        <v>19</v>
      </c>
      <c r="J4343" s="2" t="s">
        <v>1543</v>
      </c>
      <c r="K4343" s="2" t="s">
        <v>6225</v>
      </c>
      <c r="L4343" s="2">
        <f t="shared" si="67"/>
        <v>150</v>
      </c>
    </row>
    <row r="4344" spans="1:12" ht="25" customHeight="1">
      <c r="A4344" s="2" t="s">
        <v>12</v>
      </c>
      <c r="B4344" s="2" t="str">
        <f>HYPERLINK("http://www.12365auto.com/news/20200221/419140.shtml","每周1万辆 特斯拉柏林工厂产能预测出炉")</f>
        <v>每周1万辆 特斯拉柏林工厂产能预测出炉</v>
      </c>
      <c r="C4344" s="2" t="s">
        <v>13</v>
      </c>
      <c r="D4344" s="2" t="s">
        <v>12</v>
      </c>
      <c r="E4344" s="2" t="s">
        <v>276</v>
      </c>
      <c r="F4344" s="2" t="str">
        <f>HYPERLINK("http://www.12365auto.com/news/20200221/419140.shtml","http://www.12365auto.com/news/20200221/419140.shtml")</f>
        <v>http://www.12365auto.com/news/20200221/419140.shtml</v>
      </c>
      <c r="G4344" s="2"/>
      <c r="H4344" s="2" t="s">
        <v>6226</v>
      </c>
      <c r="I4344" s="2" t="s">
        <v>15</v>
      </c>
      <c r="J4344" s="2" t="s">
        <v>12</v>
      </c>
      <c r="K4344" s="2" t="s">
        <v>6225</v>
      </c>
      <c r="L4344" s="2">
        <f t="shared" si="67"/>
        <v>150</v>
      </c>
    </row>
    <row r="4345" spans="1:12" ht="25" customHeight="1">
      <c r="A4345" s="2" t="s">
        <v>12</v>
      </c>
      <c r="B4345" s="2" t="str">
        <f>HYPERLINK("http://m.12365auto.com/news/20200221/419139.shtml","线上渠道 奇瑞新能源推疫情关怀政策")</f>
        <v>线上渠道 奇瑞新能源推疫情关怀政策</v>
      </c>
      <c r="C4345" s="2" t="s">
        <v>13</v>
      </c>
      <c r="D4345" s="2" t="s">
        <v>12</v>
      </c>
      <c r="E4345" s="2"/>
      <c r="F4345" s="2" t="str">
        <f>HYPERLINK("http://m.12365auto.com/news/20200221/419139.shtml","http://m.12365auto.com/news/20200221/419139.shtml")</f>
        <v>http://m.12365auto.com/news/20200221/419139.shtml</v>
      </c>
      <c r="G4345" s="2"/>
      <c r="H4345" s="2" t="s">
        <v>6227</v>
      </c>
      <c r="I4345" s="2" t="s">
        <v>19</v>
      </c>
      <c r="J4345" s="2" t="s">
        <v>317</v>
      </c>
      <c r="K4345" s="2" t="s">
        <v>6228</v>
      </c>
      <c r="L4345" s="2">
        <f t="shared" si="67"/>
        <v>150</v>
      </c>
    </row>
    <row r="4346" spans="1:12" ht="25" customHeight="1">
      <c r="A4346" s="2" t="s">
        <v>12</v>
      </c>
      <c r="B4346" s="2" t="str">
        <f>HYPERLINK("http://www.12365auto.com/news/20200221/419139.shtml","线上渠道 奇瑞新能源推疫情关怀政策")</f>
        <v>线上渠道 奇瑞新能源推疫情关怀政策</v>
      </c>
      <c r="C4346" s="2" t="s">
        <v>13</v>
      </c>
      <c r="D4346" s="2" t="s">
        <v>12</v>
      </c>
      <c r="E4346" s="2" t="s">
        <v>276</v>
      </c>
      <c r="F4346" s="2" t="str">
        <f>HYPERLINK("http://www.12365auto.com/news/20200221/419139.shtml","http://www.12365auto.com/news/20200221/419139.shtml")</f>
        <v>http://www.12365auto.com/news/20200221/419139.shtml</v>
      </c>
      <c r="G4346" s="2"/>
      <c r="H4346" s="2" t="s">
        <v>6229</v>
      </c>
      <c r="I4346" s="2" t="s">
        <v>15</v>
      </c>
      <c r="J4346" s="2" t="s">
        <v>12</v>
      </c>
      <c r="K4346" s="2" t="s">
        <v>6228</v>
      </c>
      <c r="L4346" s="2">
        <f t="shared" si="67"/>
        <v>150</v>
      </c>
    </row>
    <row r="4347" spans="1:12" ht="25" customHeight="1">
      <c r="A4347" s="2" t="s">
        <v>12</v>
      </c>
      <c r="B4347" s="2" t="str">
        <f>HYPERLINK("http://m.12365auto.com/xcdg/20200221/419137.shtml","采用VR6发动机 大众Arteon R谍照曝光")</f>
        <v>采用VR6发动机 大众Arteon R谍照曝光</v>
      </c>
      <c r="C4347" s="2" t="s">
        <v>13</v>
      </c>
      <c r="D4347" s="2" t="s">
        <v>12</v>
      </c>
      <c r="E4347" s="2"/>
      <c r="F4347" s="2" t="str">
        <f>HYPERLINK("http://m.12365auto.com/xcdg/20200221/419137.shtml","http://m.12365auto.com/xcdg/20200221/419137.shtml")</f>
        <v>http://m.12365auto.com/xcdg/20200221/419137.shtml</v>
      </c>
      <c r="G4347" s="2"/>
      <c r="H4347" s="2" t="s">
        <v>6230</v>
      </c>
      <c r="I4347" s="2" t="s">
        <v>19</v>
      </c>
      <c r="J4347" s="2" t="s">
        <v>1637</v>
      </c>
      <c r="K4347" s="2" t="s">
        <v>6231</v>
      </c>
      <c r="L4347" s="2">
        <f t="shared" si="67"/>
        <v>150</v>
      </c>
    </row>
    <row r="4348" spans="1:12" ht="25" customHeight="1">
      <c r="A4348" s="2" t="s">
        <v>12</v>
      </c>
      <c r="B4348" s="2" t="str">
        <f>HYPERLINK("http://www.12365auto.com/xcdg/20200221/419137.shtml","采用VR6发动机 大众Arteon R谍照曝光")</f>
        <v>采用VR6发动机 大众Arteon R谍照曝光</v>
      </c>
      <c r="C4348" s="2" t="s">
        <v>13</v>
      </c>
      <c r="D4348" s="2" t="s">
        <v>12</v>
      </c>
      <c r="E4348" s="2" t="s">
        <v>224</v>
      </c>
      <c r="F4348" s="2" t="str">
        <f>HYPERLINK("http://www.12365auto.com/xcdg/20200221/419137.shtml","http://www.12365auto.com/xcdg/20200221/419137.shtml")</f>
        <v>http://www.12365auto.com/xcdg/20200221/419137.shtml</v>
      </c>
      <c r="G4348" s="2"/>
      <c r="H4348" s="2" t="s">
        <v>6232</v>
      </c>
      <c r="I4348" s="2" t="s">
        <v>15</v>
      </c>
      <c r="J4348" s="2" t="s">
        <v>12</v>
      </c>
      <c r="K4348" s="2" t="s">
        <v>6231</v>
      </c>
      <c r="L4348" s="2">
        <f t="shared" si="67"/>
        <v>150</v>
      </c>
    </row>
    <row r="4349" spans="1:12" ht="25" customHeight="1">
      <c r="A4349" s="2" t="s">
        <v>12</v>
      </c>
      <c r="B4349" s="2" t="str">
        <f>HYPERLINK("http://www.12365auto.com/zlts/20200221/447958.shtml","一汽大众宝来发动机烧机油 座椅骨架生锈")</f>
        <v>一汽大众宝来发动机烧机油 座椅骨架生锈</v>
      </c>
      <c r="C4349" s="2" t="s">
        <v>13</v>
      </c>
      <c r="D4349" s="2" t="s">
        <v>12</v>
      </c>
      <c r="E4349" s="2" t="s">
        <v>17</v>
      </c>
      <c r="F4349" s="2" t="str">
        <f>HYPERLINK("http://www.12365auto.com/zlts/20200221/447958.shtml","http://www.12365auto.com/zlts/20200221/447958.shtml")</f>
        <v>http://www.12365auto.com/zlts/20200221/447958.shtml</v>
      </c>
      <c r="G4349" s="2"/>
      <c r="H4349" s="2" t="s">
        <v>6233</v>
      </c>
      <c r="I4349" s="2" t="s">
        <v>19</v>
      </c>
      <c r="J4349" s="2" t="s">
        <v>12</v>
      </c>
      <c r="K4349" s="2" t="s">
        <v>6234</v>
      </c>
      <c r="L4349" s="2">
        <f t="shared" si="67"/>
        <v>150</v>
      </c>
    </row>
    <row r="4350" spans="1:12" ht="25" customHeight="1">
      <c r="A4350" s="2" t="s">
        <v>12</v>
      </c>
      <c r="B4350" s="2" t="str">
        <f>HYPERLINK("http://bbs.12365auto.com/postcontent.aspx?tID=194769","既生瑜何生亮！简谈焕驰与大众Polo,比试之后一目了然")</f>
        <v>既生瑜何生亮！简谈焕驰与大众Polo,比试之后一目了然</v>
      </c>
      <c r="C4350" s="2" t="s">
        <v>13</v>
      </c>
      <c r="D4350" s="2" t="s">
        <v>12</v>
      </c>
      <c r="E4350" s="2" t="s">
        <v>28</v>
      </c>
      <c r="F4350" s="2" t="str">
        <f>HYPERLINK("http://bbs.12365auto.com/postcontent.aspx?tID=194769","http://bbs.12365auto.com/postcontent.aspx?tID=194769")</f>
        <v>http://bbs.12365auto.com/postcontent.aspx?tID=194769</v>
      </c>
      <c r="G4350" s="2"/>
      <c r="H4350" s="2" t="s">
        <v>6235</v>
      </c>
      <c r="I4350" s="2" t="s">
        <v>15</v>
      </c>
      <c r="J4350" s="2" t="s">
        <v>6236</v>
      </c>
      <c r="K4350" s="2" t="s">
        <v>6234</v>
      </c>
      <c r="L4350" s="2">
        <f t="shared" si="67"/>
        <v>150</v>
      </c>
    </row>
    <row r="4351" spans="1:12" ht="25" customHeight="1">
      <c r="A4351" s="2" t="s">
        <v>12</v>
      </c>
      <c r="B4351" s="2" t="str">
        <f>HYPERLINK("http://bbs.12365auto.com/postcontent.aspx?tId=194769","既生瑜何生亮！简谈焕驰与大众Polo,比试之后一目了然")</f>
        <v>既生瑜何生亮！简谈焕驰与大众Polo,比试之后一目了然</v>
      </c>
      <c r="C4351" s="2" t="s">
        <v>13</v>
      </c>
      <c r="D4351" s="2" t="s">
        <v>12</v>
      </c>
      <c r="E4351" s="2" t="s">
        <v>27</v>
      </c>
      <c r="F4351" s="2" t="str">
        <f>HYPERLINK("http://bbs.12365auto.com/postcontent.aspx?tId=194769","http://bbs.12365auto.com/postcontent.aspx?tId=194769")</f>
        <v>http://bbs.12365auto.com/postcontent.aspx?tId=194769</v>
      </c>
      <c r="G4351" s="2"/>
      <c r="H4351" s="2" t="s">
        <v>6237</v>
      </c>
      <c r="I4351" s="2" t="s">
        <v>15</v>
      </c>
      <c r="J4351" s="2" t="s">
        <v>6236</v>
      </c>
      <c r="K4351" s="2" t="s">
        <v>6234</v>
      </c>
      <c r="L4351" s="2">
        <f t="shared" si="67"/>
        <v>150</v>
      </c>
    </row>
    <row r="4352" spans="1:12" ht="25" customHeight="1">
      <c r="A4352" s="2" t="s">
        <v>12</v>
      </c>
      <c r="B4352" s="2" t="str">
        <f>HYPERLINK("http://m.12365auto.com/bbs/postcontent.aspx?tID=194769","既生瑜何生亮！简谈焕驰与大众Polo,比试之后一目了然")</f>
        <v>既生瑜何生亮！简谈焕驰与大众Polo,比试之后一目了然</v>
      </c>
      <c r="C4352" s="2" t="s">
        <v>13</v>
      </c>
      <c r="D4352" s="2" t="s">
        <v>23</v>
      </c>
      <c r="E4352" s="2"/>
      <c r="F4352" s="2" t="str">
        <f>HYPERLINK("http://m.12365auto.com/bbs/postcontent.aspx?tID=194769","http://m.12365auto.com/bbs/postcontent.aspx?tID=194769")</f>
        <v>http://m.12365auto.com/bbs/postcontent.aspx?tID=194769</v>
      </c>
      <c r="G4352" s="2"/>
      <c r="H4352" s="2" t="s">
        <v>6237</v>
      </c>
      <c r="I4352" s="2" t="s">
        <v>15</v>
      </c>
      <c r="J4352" s="2" t="s">
        <v>6236</v>
      </c>
      <c r="K4352" s="2" t="s">
        <v>6234</v>
      </c>
      <c r="L4352" s="2">
        <f t="shared" si="67"/>
        <v>150</v>
      </c>
    </row>
    <row r="4353" spans="1:12" ht="25" customHeight="1">
      <c r="A4353" s="2" t="s">
        <v>12</v>
      </c>
      <c r="B4353" s="2" t="str">
        <f>HYPERLINK("http://m.12365auto.com/news/20200221/419136.shtml","新增口罩生产线 采埃孚再次紧急出手")</f>
        <v>新增口罩生产线 采埃孚再次紧急出手</v>
      </c>
      <c r="C4353" s="2" t="s">
        <v>13</v>
      </c>
      <c r="D4353" s="2" t="s">
        <v>12</v>
      </c>
      <c r="E4353" s="2"/>
      <c r="F4353" s="2" t="str">
        <f>HYPERLINK("http://m.12365auto.com/news/20200221/419136.shtml","http://m.12365auto.com/news/20200221/419136.shtml")</f>
        <v>http://m.12365auto.com/news/20200221/419136.shtml</v>
      </c>
      <c r="G4353" s="2"/>
      <c r="H4353" s="2" t="s">
        <v>6238</v>
      </c>
      <c r="I4353" s="2" t="s">
        <v>19</v>
      </c>
      <c r="J4353" s="2" t="s">
        <v>1653</v>
      </c>
      <c r="K4353" s="2" t="s">
        <v>6234</v>
      </c>
      <c r="L4353" s="2">
        <f t="shared" si="67"/>
        <v>150</v>
      </c>
    </row>
    <row r="4354" spans="1:12" ht="25" customHeight="1">
      <c r="A4354" s="2" t="s">
        <v>12</v>
      </c>
      <c r="B4354" s="2" t="str">
        <f>HYPERLINK("http://www.12365auto.com/news/20200221/419136.shtml","新增口罩生产线 采埃孚再次紧急出手")</f>
        <v>新增口罩生产线 采埃孚再次紧急出手</v>
      </c>
      <c r="C4354" s="2" t="s">
        <v>13</v>
      </c>
      <c r="D4354" s="2" t="s">
        <v>12</v>
      </c>
      <c r="E4354" s="2" t="s">
        <v>276</v>
      </c>
      <c r="F4354" s="2" t="str">
        <f>HYPERLINK("http://www.12365auto.com/news/20200221/419136.shtml","http://www.12365auto.com/news/20200221/419136.shtml")</f>
        <v>http://www.12365auto.com/news/20200221/419136.shtml</v>
      </c>
      <c r="G4354" s="2"/>
      <c r="H4354" s="2" t="s">
        <v>6239</v>
      </c>
      <c r="I4354" s="2" t="s">
        <v>15</v>
      </c>
      <c r="J4354" s="2" t="s">
        <v>12</v>
      </c>
      <c r="K4354" s="2" t="s">
        <v>6234</v>
      </c>
      <c r="L4354" s="2">
        <f t="shared" si="67"/>
        <v>150</v>
      </c>
    </row>
    <row r="4355" spans="1:12" ht="25" customHeight="1">
      <c r="A4355" s="2" t="s">
        <v>12</v>
      </c>
      <c r="B4355" s="2" t="str">
        <f>HYPERLINK("http://bbs.12365auto.com/postcontent.aspx?tID=194767","加快国产，造型/科技全方位进化，奔驰GLA竞争力分析奔驰")</f>
        <v>加快国产，造型/科技全方位进化，奔驰GLA竞争力分析奔驰</v>
      </c>
      <c r="C4355" s="2" t="s">
        <v>13</v>
      </c>
      <c r="D4355" s="2" t="s">
        <v>12</v>
      </c>
      <c r="E4355" s="2" t="s">
        <v>28</v>
      </c>
      <c r="F4355" s="2" t="str">
        <f>HYPERLINK("http://bbs.12365auto.com/postcontent.aspx?tID=194767","http://bbs.12365auto.com/postcontent.aspx?tID=194767")</f>
        <v>http://bbs.12365auto.com/postcontent.aspx?tID=194767</v>
      </c>
      <c r="G4355" s="2"/>
      <c r="H4355" s="2" t="s">
        <v>6240</v>
      </c>
      <c r="I4355" s="2" t="s">
        <v>15</v>
      </c>
      <c r="J4355" s="2" t="s">
        <v>6236</v>
      </c>
      <c r="K4355" s="2" t="s">
        <v>6241</v>
      </c>
      <c r="L4355" s="2">
        <f t="shared" ref="L4355:L4418" si="68">LEN(H4355)</f>
        <v>150</v>
      </c>
    </row>
    <row r="4356" spans="1:12" ht="25" customHeight="1">
      <c r="A4356" s="2" t="s">
        <v>12</v>
      </c>
      <c r="B4356" s="2" t="str">
        <f>HYPERLINK("http://bbs.12365auto.com/postcontent.aspx?tID=194768","斯巴鲁翼豹e-Boxer发布，2.0L混动+四驱")</f>
        <v>斯巴鲁翼豹e-Boxer发布，2.0L混动+四驱</v>
      </c>
      <c r="C4356" s="2" t="s">
        <v>13</v>
      </c>
      <c r="D4356" s="2" t="s">
        <v>12</v>
      </c>
      <c r="E4356" s="2" t="s">
        <v>28</v>
      </c>
      <c r="F4356" s="2" t="str">
        <f>HYPERLINK("http://bbs.12365auto.com/postcontent.aspx?tID=194768","http://bbs.12365auto.com/postcontent.aspx?tID=194768")</f>
        <v>http://bbs.12365auto.com/postcontent.aspx?tID=194768</v>
      </c>
      <c r="G4356" s="2"/>
      <c r="H4356" s="2" t="s">
        <v>6242</v>
      </c>
      <c r="I4356" s="2" t="s">
        <v>15</v>
      </c>
      <c r="J4356" s="2" t="s">
        <v>6236</v>
      </c>
      <c r="K4356" s="2" t="s">
        <v>6241</v>
      </c>
      <c r="L4356" s="2">
        <f t="shared" si="68"/>
        <v>150</v>
      </c>
    </row>
    <row r="4357" spans="1:12" ht="25" customHeight="1">
      <c r="A4357" s="2" t="s">
        <v>12</v>
      </c>
      <c r="B4357" s="2" t="str">
        <f>HYPERLINK("http://www.12365auto.com/zlts/20200221/447957.shtml","上汽大众帕萨特新能源4S店不退完整订金")</f>
        <v>上汽大众帕萨特新能源4S店不退完整订金</v>
      </c>
      <c r="C4357" s="2" t="s">
        <v>13</v>
      </c>
      <c r="D4357" s="2" t="s">
        <v>12</v>
      </c>
      <c r="E4357" s="2" t="s">
        <v>17</v>
      </c>
      <c r="F4357" s="2" t="str">
        <f>HYPERLINK("http://www.12365auto.com/zlts/20200221/447957.shtml","http://www.12365auto.com/zlts/20200221/447957.shtml")</f>
        <v>http://www.12365auto.com/zlts/20200221/447957.shtml</v>
      </c>
      <c r="G4357" s="2"/>
      <c r="H4357" s="2" t="s">
        <v>6243</v>
      </c>
      <c r="I4357" s="2" t="s">
        <v>15</v>
      </c>
      <c r="J4357" s="2" t="s">
        <v>12</v>
      </c>
      <c r="K4357" s="2" t="s">
        <v>6241</v>
      </c>
      <c r="L4357" s="2">
        <f t="shared" si="68"/>
        <v>150</v>
      </c>
    </row>
    <row r="4358" spans="1:12" ht="25" customHeight="1">
      <c r="A4358" s="2" t="s">
        <v>12</v>
      </c>
      <c r="B4358" s="2" t="str">
        <f>HYPERLINK("http://bbs.12365auto.com/postcontent.aspx?tId=194767","加快国产，造型/科技全方位进化，奔驰GLA竞争力分析奔驰")</f>
        <v>加快国产，造型/科技全方位进化，奔驰GLA竞争力分析奔驰</v>
      </c>
      <c r="C4358" s="2" t="s">
        <v>13</v>
      </c>
      <c r="D4358" s="2" t="s">
        <v>12</v>
      </c>
      <c r="E4358" s="2" t="s">
        <v>27</v>
      </c>
      <c r="F4358" s="2" t="str">
        <f>HYPERLINK("http://bbs.12365auto.com/postcontent.aspx?tId=194767","http://bbs.12365auto.com/postcontent.aspx?tId=194767")</f>
        <v>http://bbs.12365auto.com/postcontent.aspx?tId=194767</v>
      </c>
      <c r="G4358" s="2"/>
      <c r="H4358" s="2" t="s">
        <v>6244</v>
      </c>
      <c r="I4358" s="2" t="s">
        <v>15</v>
      </c>
      <c r="J4358" s="2" t="s">
        <v>6236</v>
      </c>
      <c r="K4358" s="2" t="s">
        <v>6241</v>
      </c>
      <c r="L4358" s="2">
        <f t="shared" si="68"/>
        <v>150</v>
      </c>
    </row>
    <row r="4359" spans="1:12" ht="25" customHeight="1">
      <c r="A4359" s="2" t="s">
        <v>12</v>
      </c>
      <c r="B4359" s="2" t="str">
        <f>HYPERLINK("http://bbs.12365auto.com/postcontent.aspx?tId=194768","斯巴鲁翼豹e-Boxer发布，2.0L混动+四驱")</f>
        <v>斯巴鲁翼豹e-Boxer发布，2.0L混动+四驱</v>
      </c>
      <c r="C4359" s="2" t="s">
        <v>13</v>
      </c>
      <c r="D4359" s="2" t="s">
        <v>12</v>
      </c>
      <c r="E4359" s="2" t="s">
        <v>27</v>
      </c>
      <c r="F4359" s="2" t="str">
        <f>HYPERLINK("http://bbs.12365auto.com/postcontent.aspx?tId=194768","http://bbs.12365auto.com/postcontent.aspx?tId=194768")</f>
        <v>http://bbs.12365auto.com/postcontent.aspx?tId=194768</v>
      </c>
      <c r="G4359" s="2"/>
      <c r="H4359" s="2" t="s">
        <v>6245</v>
      </c>
      <c r="I4359" s="2" t="s">
        <v>15</v>
      </c>
      <c r="J4359" s="2" t="s">
        <v>6236</v>
      </c>
      <c r="K4359" s="2" t="s">
        <v>6241</v>
      </c>
      <c r="L4359" s="2">
        <f t="shared" si="68"/>
        <v>150</v>
      </c>
    </row>
    <row r="4360" spans="1:12" ht="25" customHeight="1">
      <c r="A4360" s="2" t="s">
        <v>12</v>
      </c>
      <c r="B4360" s="2" t="str">
        <f>HYPERLINK("http://m.12365auto.com/bbs/postcontent.aspx?tID=194767","加快国产，造型/科技全方位进化，奔驰GLA竞争力分析奔驰")</f>
        <v>加快国产，造型/科技全方位进化，奔驰GLA竞争力分析奔驰</v>
      </c>
      <c r="C4360" s="2" t="s">
        <v>13</v>
      </c>
      <c r="D4360" s="2" t="s">
        <v>23</v>
      </c>
      <c r="E4360" s="2"/>
      <c r="F4360" s="2" t="str">
        <f>HYPERLINK("http://m.12365auto.com/bbs/postcontent.aspx?tID=194767","http://m.12365auto.com/bbs/postcontent.aspx?tID=194767")</f>
        <v>http://m.12365auto.com/bbs/postcontent.aspx?tID=194767</v>
      </c>
      <c r="G4360" s="2"/>
      <c r="H4360" s="2" t="s">
        <v>6244</v>
      </c>
      <c r="I4360" s="2" t="s">
        <v>15</v>
      </c>
      <c r="J4360" s="2" t="s">
        <v>6236</v>
      </c>
      <c r="K4360" s="2" t="s">
        <v>6241</v>
      </c>
      <c r="L4360" s="2">
        <f t="shared" si="68"/>
        <v>150</v>
      </c>
    </row>
    <row r="4361" spans="1:12" ht="25" customHeight="1">
      <c r="A4361" s="2" t="s">
        <v>12</v>
      </c>
      <c r="B4361" s="2" t="str">
        <f>HYPERLINK("http://m.12365auto.com/bbs/postcontent.aspx?tID=194768","斯巴鲁翼豹e-Boxer发布，2.0L混动+四驱")</f>
        <v>斯巴鲁翼豹e-Boxer发布，2.0L混动+四驱</v>
      </c>
      <c r="C4361" s="2" t="s">
        <v>13</v>
      </c>
      <c r="D4361" s="2" t="s">
        <v>23</v>
      </c>
      <c r="E4361" s="2"/>
      <c r="F4361" s="2" t="str">
        <f>HYPERLINK("http://m.12365auto.com/bbs/postcontent.aspx?tID=194768","http://m.12365auto.com/bbs/postcontent.aspx?tID=194768")</f>
        <v>http://m.12365auto.com/bbs/postcontent.aspx?tID=194768</v>
      </c>
      <c r="G4361" s="2"/>
      <c r="H4361" s="2" t="s">
        <v>6245</v>
      </c>
      <c r="I4361" s="2" t="s">
        <v>15</v>
      </c>
      <c r="J4361" s="2" t="s">
        <v>6236</v>
      </c>
      <c r="K4361" s="2" t="s">
        <v>6241</v>
      </c>
      <c r="L4361" s="2">
        <f t="shared" si="68"/>
        <v>150</v>
      </c>
    </row>
    <row r="4362" spans="1:12" ht="25" customHeight="1">
      <c r="A4362" s="2" t="s">
        <v>12</v>
      </c>
      <c r="B4362" s="2" t="str">
        <f>HYPERLINK("http://m.12365auto.com/news/20200221/419135.shtml","特斯拉皮卡Cybertruck预订单已超50万辆")</f>
        <v>特斯拉皮卡Cybertruck预订单已超50万辆</v>
      </c>
      <c r="C4362" s="2" t="s">
        <v>13</v>
      </c>
      <c r="D4362" s="2" t="s">
        <v>12</v>
      </c>
      <c r="E4362" s="2"/>
      <c r="F4362" s="2" t="str">
        <f>HYPERLINK("http://m.12365auto.com/news/20200221/419135.shtml","http://m.12365auto.com/news/20200221/419135.shtml")</f>
        <v>http://m.12365auto.com/news/20200221/419135.shtml</v>
      </c>
      <c r="G4362" s="2"/>
      <c r="H4362" s="2" t="s">
        <v>6246</v>
      </c>
      <c r="I4362" s="2" t="s">
        <v>19</v>
      </c>
      <c r="J4362" s="2" t="s">
        <v>274</v>
      </c>
      <c r="K4362" s="2" t="s">
        <v>6241</v>
      </c>
      <c r="L4362" s="2">
        <f t="shared" si="68"/>
        <v>150</v>
      </c>
    </row>
    <row r="4363" spans="1:12" ht="25" customHeight="1">
      <c r="A4363" s="2" t="s">
        <v>12</v>
      </c>
      <c r="B4363" s="2" t="str">
        <f>HYPERLINK("http://www.12365auto.com/news/20200221/419135.shtml","特斯拉皮卡Cybertruck预订单已超50万辆")</f>
        <v>特斯拉皮卡Cybertruck预订单已超50万辆</v>
      </c>
      <c r="C4363" s="2" t="s">
        <v>13</v>
      </c>
      <c r="D4363" s="2" t="s">
        <v>12</v>
      </c>
      <c r="E4363" s="2" t="s">
        <v>276</v>
      </c>
      <c r="F4363" s="2" t="str">
        <f>HYPERLINK("http://www.12365auto.com/news/20200221/419135.shtml","http://www.12365auto.com/news/20200221/419135.shtml")</f>
        <v>http://www.12365auto.com/news/20200221/419135.shtml</v>
      </c>
      <c r="G4363" s="2"/>
      <c r="H4363" s="2" t="s">
        <v>6247</v>
      </c>
      <c r="I4363" s="2" t="s">
        <v>15</v>
      </c>
      <c r="J4363" s="2" t="s">
        <v>12</v>
      </c>
      <c r="K4363" s="2" t="s">
        <v>6241</v>
      </c>
      <c r="L4363" s="2">
        <f t="shared" si="68"/>
        <v>150</v>
      </c>
    </row>
    <row r="4364" spans="1:12" ht="25" customHeight="1">
      <c r="A4364" s="2" t="s">
        <v>12</v>
      </c>
      <c r="B4364" s="2" t="str">
        <f>HYPERLINK("http://bbs.12365auto.com/postcontent.aspx?tID=194766","小型纯电SUV市场再迎猛将，别克VELITE7申报图曝光")</f>
        <v>小型纯电SUV市场再迎猛将，别克VELITE7申报图曝光</v>
      </c>
      <c r="C4364" s="2" t="s">
        <v>13</v>
      </c>
      <c r="D4364" s="2" t="s">
        <v>12</v>
      </c>
      <c r="E4364" s="2" t="s">
        <v>28</v>
      </c>
      <c r="F4364" s="2" t="str">
        <f>HYPERLINK("http://bbs.12365auto.com/postcontent.aspx?tID=194766","http://bbs.12365auto.com/postcontent.aspx?tID=194766")</f>
        <v>http://bbs.12365auto.com/postcontent.aspx?tID=194766</v>
      </c>
      <c r="G4364" s="2"/>
      <c r="H4364" s="2" t="s">
        <v>6248</v>
      </c>
      <c r="I4364" s="2" t="s">
        <v>15</v>
      </c>
      <c r="J4364" s="2" t="s">
        <v>6236</v>
      </c>
      <c r="K4364" s="2" t="s">
        <v>6249</v>
      </c>
      <c r="L4364" s="2">
        <f t="shared" si="68"/>
        <v>150</v>
      </c>
    </row>
    <row r="4365" spans="1:12" ht="25" customHeight="1">
      <c r="A4365" s="2" t="s">
        <v>12</v>
      </c>
      <c r="B4365" s="2" t="str">
        <f>HYPERLINK("http://bbs.12365auto.com/postcontent.aspx?tID=194765","目标紧凑级，家用玩乐选谁好，20万元合资SUV推荐")</f>
        <v>目标紧凑级，家用玩乐选谁好，20万元合资SUV推荐</v>
      </c>
      <c r="C4365" s="2" t="s">
        <v>13</v>
      </c>
      <c r="D4365" s="2" t="s">
        <v>12</v>
      </c>
      <c r="E4365" s="2" t="s">
        <v>28</v>
      </c>
      <c r="F4365" s="2" t="str">
        <f>HYPERLINK("http://bbs.12365auto.com/postcontent.aspx?tID=194765","http://bbs.12365auto.com/postcontent.aspx?tID=194765")</f>
        <v>http://bbs.12365auto.com/postcontent.aspx?tID=194765</v>
      </c>
      <c r="G4365" s="2"/>
      <c r="H4365" s="2" t="s">
        <v>6250</v>
      </c>
      <c r="I4365" s="2" t="s">
        <v>15</v>
      </c>
      <c r="J4365" s="2" t="s">
        <v>6236</v>
      </c>
      <c r="K4365" s="2" t="s">
        <v>6249</v>
      </c>
      <c r="L4365" s="2">
        <f t="shared" si="68"/>
        <v>150</v>
      </c>
    </row>
    <row r="4366" spans="1:12" ht="25" customHeight="1">
      <c r="A4366" s="2" t="s">
        <v>12</v>
      </c>
      <c r="B4366" s="2" t="str">
        <f>HYPERLINK("http://bbs.12365auto.com/postcontent.aspx?tId=194765","目标紧凑级，家用玩乐选谁好，20万元合资SUV推荐")</f>
        <v>目标紧凑级，家用玩乐选谁好，20万元合资SUV推荐</v>
      </c>
      <c r="C4366" s="2" t="s">
        <v>13</v>
      </c>
      <c r="D4366" s="2" t="s">
        <v>12</v>
      </c>
      <c r="E4366" s="2" t="s">
        <v>27</v>
      </c>
      <c r="F4366" s="2" t="str">
        <f>HYPERLINK("http://bbs.12365auto.com/postcontent.aspx?tId=194765","http://bbs.12365auto.com/postcontent.aspx?tId=194765")</f>
        <v>http://bbs.12365auto.com/postcontent.aspx?tId=194765</v>
      </c>
      <c r="G4366" s="2"/>
      <c r="H4366" s="2" t="s">
        <v>6251</v>
      </c>
      <c r="I4366" s="2" t="s">
        <v>15</v>
      </c>
      <c r="J4366" s="2" t="s">
        <v>6236</v>
      </c>
      <c r="K4366" s="2" t="s">
        <v>6249</v>
      </c>
      <c r="L4366" s="2">
        <f t="shared" si="68"/>
        <v>150</v>
      </c>
    </row>
    <row r="4367" spans="1:12" ht="25" customHeight="1">
      <c r="A4367" s="2" t="s">
        <v>12</v>
      </c>
      <c r="B4367" s="2" t="str">
        <f>HYPERLINK("http://bbs.12365auto.com/postcontent.aspx?tId=194766","小型纯电SUV市场再迎猛将，别克VELITE7申报图曝光")</f>
        <v>小型纯电SUV市场再迎猛将，别克VELITE7申报图曝光</v>
      </c>
      <c r="C4367" s="2" t="s">
        <v>13</v>
      </c>
      <c r="D4367" s="2" t="s">
        <v>12</v>
      </c>
      <c r="E4367" s="2" t="s">
        <v>27</v>
      </c>
      <c r="F4367" s="2" t="str">
        <f>HYPERLINK("http://bbs.12365auto.com/postcontent.aspx?tId=194766","http://bbs.12365auto.com/postcontent.aspx?tId=194766")</f>
        <v>http://bbs.12365auto.com/postcontent.aspx?tId=194766</v>
      </c>
      <c r="G4367" s="2"/>
      <c r="H4367" s="2" t="s">
        <v>6252</v>
      </c>
      <c r="I4367" s="2" t="s">
        <v>15</v>
      </c>
      <c r="J4367" s="2" t="s">
        <v>6236</v>
      </c>
      <c r="K4367" s="2" t="s">
        <v>6249</v>
      </c>
      <c r="L4367" s="2">
        <f t="shared" si="68"/>
        <v>150</v>
      </c>
    </row>
    <row r="4368" spans="1:12" ht="25" customHeight="1">
      <c r="A4368" s="2" t="s">
        <v>12</v>
      </c>
      <c r="B4368" s="2" t="str">
        <f>HYPERLINK("http://m.12365auto.com/bbs/postcontent.aspx?tID=194766","小型纯电SUV市场再迎猛将，别克VELITE7申报图曝光")</f>
        <v>小型纯电SUV市场再迎猛将，别克VELITE7申报图曝光</v>
      </c>
      <c r="C4368" s="2" t="s">
        <v>13</v>
      </c>
      <c r="D4368" s="2" t="s">
        <v>23</v>
      </c>
      <c r="E4368" s="2"/>
      <c r="F4368" s="2" t="str">
        <f>HYPERLINK("http://m.12365auto.com/bbs/postcontent.aspx?tID=194766","http://m.12365auto.com/bbs/postcontent.aspx?tID=194766")</f>
        <v>http://m.12365auto.com/bbs/postcontent.aspx?tID=194766</v>
      </c>
      <c r="G4368" s="2"/>
      <c r="H4368" s="2" t="s">
        <v>6252</v>
      </c>
      <c r="I4368" s="2" t="s">
        <v>15</v>
      </c>
      <c r="J4368" s="2" t="s">
        <v>6236</v>
      </c>
      <c r="K4368" s="2" t="s">
        <v>6249</v>
      </c>
      <c r="L4368" s="2">
        <f t="shared" si="68"/>
        <v>150</v>
      </c>
    </row>
    <row r="4369" spans="1:12" ht="25" customHeight="1">
      <c r="A4369" s="2" t="s">
        <v>12</v>
      </c>
      <c r="B4369" s="2" t="str">
        <f>HYPERLINK("http://m.12365auto.com/bbs/postcontent.aspx?tID=194765","目标紧凑级，家用玩乐选谁好，20万元合资SUV推荐")</f>
        <v>目标紧凑级，家用玩乐选谁好，20万元合资SUV推荐</v>
      </c>
      <c r="C4369" s="2" t="s">
        <v>13</v>
      </c>
      <c r="D4369" s="2" t="s">
        <v>23</v>
      </c>
      <c r="E4369" s="2"/>
      <c r="F4369" s="2" t="str">
        <f>HYPERLINK("http://m.12365auto.com/bbs/postcontent.aspx?tID=194765","http://m.12365auto.com/bbs/postcontent.aspx?tID=194765")</f>
        <v>http://m.12365auto.com/bbs/postcontent.aspx?tID=194765</v>
      </c>
      <c r="G4369" s="2"/>
      <c r="H4369" s="2" t="s">
        <v>6251</v>
      </c>
      <c r="I4369" s="2" t="s">
        <v>15</v>
      </c>
      <c r="J4369" s="2" t="s">
        <v>6236</v>
      </c>
      <c r="K4369" s="2" t="s">
        <v>6249</v>
      </c>
      <c r="L4369" s="2">
        <f t="shared" si="68"/>
        <v>150</v>
      </c>
    </row>
    <row r="4370" spans="1:12" ht="25" customHeight="1">
      <c r="A4370" s="2" t="s">
        <v>12</v>
      </c>
      <c r="B4370" s="2" t="str">
        <f>HYPERLINK("http://m.12365auto.com/parts/20200221/419134.shtml","更节能 现代/起亚推出智能互联换挡系统")</f>
        <v>更节能 现代/起亚推出智能互联换挡系统</v>
      </c>
      <c r="C4370" s="2" t="s">
        <v>13</v>
      </c>
      <c r="D4370" s="2" t="s">
        <v>12</v>
      </c>
      <c r="E4370" s="2"/>
      <c r="F4370" s="2" t="str">
        <f>HYPERLINK("http://m.12365auto.com/parts/20200221/419134.shtml","http://m.12365auto.com/parts/20200221/419134.shtml")</f>
        <v>http://m.12365auto.com/parts/20200221/419134.shtml</v>
      </c>
      <c r="G4370" s="2"/>
      <c r="H4370" s="2" t="s">
        <v>6253</v>
      </c>
      <c r="I4370" s="2" t="s">
        <v>19</v>
      </c>
      <c r="J4370" s="2" t="s">
        <v>2560</v>
      </c>
      <c r="K4370" s="2" t="s">
        <v>6249</v>
      </c>
      <c r="L4370" s="2">
        <f t="shared" si="68"/>
        <v>150</v>
      </c>
    </row>
    <row r="4371" spans="1:12" ht="25" customHeight="1">
      <c r="A4371" s="2" t="s">
        <v>12</v>
      </c>
      <c r="B4371" s="2" t="str">
        <f>HYPERLINK("http://www.12365auto.com/parts/20200221/419134.shtml","更节能 现代/起亚推出智能互联换挡系统")</f>
        <v>更节能 现代/起亚推出智能互联换挡系统</v>
      </c>
      <c r="C4371" s="2" t="s">
        <v>13</v>
      </c>
      <c r="D4371" s="2" t="s">
        <v>12</v>
      </c>
      <c r="E4371" s="2" t="s">
        <v>240</v>
      </c>
      <c r="F4371" s="2" t="str">
        <f>HYPERLINK("http://www.12365auto.com/parts/20200221/419134.shtml","http://www.12365auto.com/parts/20200221/419134.shtml")</f>
        <v>http://www.12365auto.com/parts/20200221/419134.shtml</v>
      </c>
      <c r="G4371" s="2"/>
      <c r="H4371" s="2" t="s">
        <v>6254</v>
      </c>
      <c r="I4371" s="2" t="s">
        <v>15</v>
      </c>
      <c r="J4371" s="2" t="s">
        <v>12</v>
      </c>
      <c r="K4371" s="2" t="s">
        <v>6249</v>
      </c>
      <c r="L4371" s="2">
        <f t="shared" si="68"/>
        <v>150</v>
      </c>
    </row>
    <row r="4372" spans="1:12" ht="25" customHeight="1">
      <c r="A4372" s="2" t="s">
        <v>12</v>
      </c>
      <c r="B4372" s="2" t="str">
        <f>HYPERLINK("http://bbs.12365auto.com/postcontent.aspx?tID=194764","10万的本田混动来了，A级车空间之王披上混动，卡罗拉急了")</f>
        <v>10万的本田混动来了，A级车空间之王披上混动，卡罗拉急了</v>
      </c>
      <c r="C4372" s="2" t="s">
        <v>13</v>
      </c>
      <c r="D4372" s="2" t="s">
        <v>12</v>
      </c>
      <c r="E4372" s="2" t="s">
        <v>28</v>
      </c>
      <c r="F4372" s="2" t="str">
        <f>HYPERLINK("http://bbs.12365auto.com/postcontent.aspx?tID=194764","http://bbs.12365auto.com/postcontent.aspx?tID=194764")</f>
        <v>http://bbs.12365auto.com/postcontent.aspx?tID=194764</v>
      </c>
      <c r="G4372" s="2"/>
      <c r="H4372" s="2" t="s">
        <v>6255</v>
      </c>
      <c r="I4372" s="2" t="s">
        <v>15</v>
      </c>
      <c r="J4372" s="2" t="s">
        <v>6236</v>
      </c>
      <c r="K4372" s="2" t="s">
        <v>6256</v>
      </c>
      <c r="L4372" s="2">
        <f t="shared" si="68"/>
        <v>150</v>
      </c>
    </row>
    <row r="4373" spans="1:12" ht="25" customHeight="1">
      <c r="A4373" s="2" t="s">
        <v>12</v>
      </c>
      <c r="B4373" s="2" t="str">
        <f>HYPERLINK("http://bbs.12365auto.com/postcontent.aspx?tId=194764","10万的本田混动来了，A级车空间之王披上混动，卡罗拉急了")</f>
        <v>10万的本田混动来了，A级车空间之王披上混动，卡罗拉急了</v>
      </c>
      <c r="C4373" s="2" t="s">
        <v>13</v>
      </c>
      <c r="D4373" s="2" t="s">
        <v>12</v>
      </c>
      <c r="E4373" s="2" t="s">
        <v>27</v>
      </c>
      <c r="F4373" s="2" t="str">
        <f>HYPERLINK("http://bbs.12365auto.com/postcontent.aspx?tId=194764","http://bbs.12365auto.com/postcontent.aspx?tId=194764")</f>
        <v>http://bbs.12365auto.com/postcontent.aspx?tId=194764</v>
      </c>
      <c r="G4373" s="2"/>
      <c r="H4373" s="2" t="s">
        <v>6257</v>
      </c>
      <c r="I4373" s="2" t="s">
        <v>15</v>
      </c>
      <c r="J4373" s="2" t="s">
        <v>6236</v>
      </c>
      <c r="K4373" s="2" t="s">
        <v>6256</v>
      </c>
      <c r="L4373" s="2">
        <f t="shared" si="68"/>
        <v>150</v>
      </c>
    </row>
    <row r="4374" spans="1:12" ht="25" customHeight="1">
      <c r="A4374" s="2" t="s">
        <v>12</v>
      </c>
      <c r="B4374" s="2" t="str">
        <f>HYPERLINK("http://m.12365auto.com/bbs/postcontent.aspx?tID=194764","10万的本田混动来了，A级车空间之王披上混动，卡罗拉急了")</f>
        <v>10万的本田混动来了，A级车空间之王披上混动，卡罗拉急了</v>
      </c>
      <c r="C4374" s="2" t="s">
        <v>13</v>
      </c>
      <c r="D4374" s="2" t="s">
        <v>23</v>
      </c>
      <c r="E4374" s="2"/>
      <c r="F4374" s="2" t="str">
        <f>HYPERLINK("http://m.12365auto.com/bbs/postcontent.aspx?tID=194764","http://m.12365auto.com/bbs/postcontent.aspx?tID=194764")</f>
        <v>http://m.12365auto.com/bbs/postcontent.aspx?tID=194764</v>
      </c>
      <c r="G4374" s="2"/>
      <c r="H4374" s="2" t="s">
        <v>6257</v>
      </c>
      <c r="I4374" s="2" t="s">
        <v>15</v>
      </c>
      <c r="J4374" s="2" t="s">
        <v>6236</v>
      </c>
      <c r="K4374" s="2" t="s">
        <v>6256</v>
      </c>
      <c r="L4374" s="2">
        <f t="shared" si="68"/>
        <v>150</v>
      </c>
    </row>
    <row r="4375" spans="1:12" ht="25" customHeight="1">
      <c r="A4375" s="2" t="s">
        <v>12</v>
      </c>
      <c r="B4375" s="2" t="str">
        <f>HYPERLINK("http://bbs.12365auto.com/postcontent.aspx?tID=194762","被高估的国产Model 3？实测只能开350公里")</f>
        <v>被高估的国产Model 3？实测只能开350公里</v>
      </c>
      <c r="C4375" s="2" t="s">
        <v>13</v>
      </c>
      <c r="D4375" s="2" t="s">
        <v>12</v>
      </c>
      <c r="E4375" s="2" t="s">
        <v>28</v>
      </c>
      <c r="F4375" s="2" t="str">
        <f>HYPERLINK("http://bbs.12365auto.com/postcontent.aspx?tID=194762","http://bbs.12365auto.com/postcontent.aspx?tID=194762")</f>
        <v>http://bbs.12365auto.com/postcontent.aspx?tID=194762</v>
      </c>
      <c r="G4375" s="2"/>
      <c r="H4375" s="2" t="s">
        <v>6258</v>
      </c>
      <c r="I4375" s="2" t="s">
        <v>15</v>
      </c>
      <c r="J4375" s="2" t="s">
        <v>6236</v>
      </c>
      <c r="K4375" s="2" t="s">
        <v>6259</v>
      </c>
      <c r="L4375" s="2">
        <f t="shared" si="68"/>
        <v>150</v>
      </c>
    </row>
    <row r="4376" spans="1:12" ht="25" customHeight="1">
      <c r="A4376" s="2" t="s">
        <v>12</v>
      </c>
      <c r="B4376" s="2" t="str">
        <f>HYPERLINK("http://bbs.12365auto.com/postcontent.aspx?tID=194763","问鼎2019年销量王，看似没特点的朗逸，其实很适合消费者")</f>
        <v>问鼎2019年销量王，看似没特点的朗逸，其实很适合消费者</v>
      </c>
      <c r="C4376" s="2" t="s">
        <v>13</v>
      </c>
      <c r="D4376" s="2" t="s">
        <v>12</v>
      </c>
      <c r="E4376" s="2" t="s">
        <v>28</v>
      </c>
      <c r="F4376" s="2" t="str">
        <f>HYPERLINK("http://bbs.12365auto.com/postcontent.aspx?tID=194763","http://bbs.12365auto.com/postcontent.aspx?tID=194763")</f>
        <v>http://bbs.12365auto.com/postcontent.aspx?tID=194763</v>
      </c>
      <c r="G4376" s="2"/>
      <c r="H4376" s="2" t="s">
        <v>6260</v>
      </c>
      <c r="I4376" s="2" t="s">
        <v>15</v>
      </c>
      <c r="J4376" s="2" t="s">
        <v>6236</v>
      </c>
      <c r="K4376" s="2" t="s">
        <v>6259</v>
      </c>
      <c r="L4376" s="2">
        <f t="shared" si="68"/>
        <v>150</v>
      </c>
    </row>
    <row r="4377" spans="1:12" ht="25" customHeight="1">
      <c r="A4377" s="2" t="s">
        <v>12</v>
      </c>
      <c r="B4377" s="2" t="str">
        <f>HYPERLINK("http://bbs.12365auto.com/postcontent.aspx?tId=194762","被高估的国产Model 3？实测只能开350公里")</f>
        <v>被高估的国产Model 3？实测只能开350公里</v>
      </c>
      <c r="C4377" s="2" t="s">
        <v>13</v>
      </c>
      <c r="D4377" s="2" t="s">
        <v>12</v>
      </c>
      <c r="E4377" s="2" t="s">
        <v>27</v>
      </c>
      <c r="F4377" s="2" t="str">
        <f>HYPERLINK("http://bbs.12365auto.com/postcontent.aspx?tId=194762","http://bbs.12365auto.com/postcontent.aspx?tId=194762")</f>
        <v>http://bbs.12365auto.com/postcontent.aspx?tId=194762</v>
      </c>
      <c r="G4377" s="2"/>
      <c r="H4377" s="2" t="s">
        <v>6261</v>
      </c>
      <c r="I4377" s="2" t="s">
        <v>15</v>
      </c>
      <c r="J4377" s="2" t="s">
        <v>6236</v>
      </c>
      <c r="K4377" s="2" t="s">
        <v>6259</v>
      </c>
      <c r="L4377" s="2">
        <f t="shared" si="68"/>
        <v>150</v>
      </c>
    </row>
    <row r="4378" spans="1:12" ht="25" customHeight="1">
      <c r="A4378" s="2" t="s">
        <v>12</v>
      </c>
      <c r="B4378" s="2" t="str">
        <f>HYPERLINK("http://bbs.12365auto.com/postcontent.aspx?tId=194763","问鼎2019年销量王，看似没特点的朗逸，其实很适合消费者")</f>
        <v>问鼎2019年销量王，看似没特点的朗逸，其实很适合消费者</v>
      </c>
      <c r="C4378" s="2" t="s">
        <v>13</v>
      </c>
      <c r="D4378" s="2" t="s">
        <v>12</v>
      </c>
      <c r="E4378" s="2" t="s">
        <v>27</v>
      </c>
      <c r="F4378" s="2" t="str">
        <f>HYPERLINK("http://bbs.12365auto.com/postcontent.aspx?tId=194763","http://bbs.12365auto.com/postcontent.aspx?tId=194763")</f>
        <v>http://bbs.12365auto.com/postcontent.aspx?tId=194763</v>
      </c>
      <c r="G4378" s="2"/>
      <c r="H4378" s="2" t="s">
        <v>6262</v>
      </c>
      <c r="I4378" s="2" t="s">
        <v>15</v>
      </c>
      <c r="J4378" s="2" t="s">
        <v>6236</v>
      </c>
      <c r="K4378" s="2" t="s">
        <v>6259</v>
      </c>
      <c r="L4378" s="2">
        <f t="shared" si="68"/>
        <v>150</v>
      </c>
    </row>
    <row r="4379" spans="1:12" ht="25" customHeight="1">
      <c r="A4379" s="2" t="s">
        <v>12</v>
      </c>
      <c r="B4379" s="2" t="str">
        <f>HYPERLINK("http://m.12365auto.com/bbs/postcontent.aspx?tID=194762","被高估的国产Model 3？实测只能开350公里")</f>
        <v>被高估的国产Model 3？实测只能开350公里</v>
      </c>
      <c r="C4379" s="2" t="s">
        <v>13</v>
      </c>
      <c r="D4379" s="2" t="s">
        <v>23</v>
      </c>
      <c r="E4379" s="2"/>
      <c r="F4379" s="2" t="str">
        <f>HYPERLINK("http://m.12365auto.com/bbs/postcontent.aspx?tID=194762","http://m.12365auto.com/bbs/postcontent.aspx?tID=194762")</f>
        <v>http://m.12365auto.com/bbs/postcontent.aspx?tID=194762</v>
      </c>
      <c r="G4379" s="2"/>
      <c r="H4379" s="2" t="s">
        <v>6261</v>
      </c>
      <c r="I4379" s="2" t="s">
        <v>15</v>
      </c>
      <c r="J4379" s="2" t="s">
        <v>6236</v>
      </c>
      <c r="K4379" s="2" t="s">
        <v>6259</v>
      </c>
      <c r="L4379" s="2">
        <f t="shared" si="68"/>
        <v>150</v>
      </c>
    </row>
    <row r="4380" spans="1:12" ht="25" customHeight="1">
      <c r="A4380" s="2" t="s">
        <v>12</v>
      </c>
      <c r="B4380" s="2" t="str">
        <f>HYPERLINK("http://m.12365auto.com/bbs/postcontent.aspx?tID=194763","问鼎2019年销量王，看似没特点的朗逸，其实很适合消费者")</f>
        <v>问鼎2019年销量王，看似没特点的朗逸，其实很适合消费者</v>
      </c>
      <c r="C4380" s="2" t="s">
        <v>13</v>
      </c>
      <c r="D4380" s="2" t="s">
        <v>23</v>
      </c>
      <c r="E4380" s="2"/>
      <c r="F4380" s="2" t="str">
        <f>HYPERLINK("http://m.12365auto.com/bbs/postcontent.aspx?tID=194763","http://m.12365auto.com/bbs/postcontent.aspx?tID=194763")</f>
        <v>http://m.12365auto.com/bbs/postcontent.aspx?tID=194763</v>
      </c>
      <c r="G4380" s="2"/>
      <c r="H4380" s="2" t="s">
        <v>6262</v>
      </c>
      <c r="I4380" s="2" t="s">
        <v>15</v>
      </c>
      <c r="J4380" s="2" t="s">
        <v>6236</v>
      </c>
      <c r="K4380" s="2" t="s">
        <v>6259</v>
      </c>
      <c r="L4380" s="2">
        <f t="shared" si="68"/>
        <v>150</v>
      </c>
    </row>
    <row r="4381" spans="1:12" ht="25" customHeight="1">
      <c r="A4381" s="2" t="s">
        <v>12</v>
      </c>
      <c r="B4381" s="2" t="str">
        <f>HYPERLINK("http://m.12365auto.com/parts/20200221/419132.shtml","极星发布人机交互未来理念 如何更智能")</f>
        <v>极星发布人机交互未来理念 如何更智能</v>
      </c>
      <c r="C4381" s="2" t="s">
        <v>13</v>
      </c>
      <c r="D4381" s="2" t="s">
        <v>12</v>
      </c>
      <c r="E4381" s="2"/>
      <c r="F4381" s="2" t="str">
        <f>HYPERLINK("http://m.12365auto.com/parts/20200221/419132.shtml","http://m.12365auto.com/parts/20200221/419132.shtml")</f>
        <v>http://m.12365auto.com/parts/20200221/419132.shtml</v>
      </c>
      <c r="G4381" s="2"/>
      <c r="H4381" s="2" t="s">
        <v>6263</v>
      </c>
      <c r="I4381" s="2" t="s">
        <v>19</v>
      </c>
      <c r="J4381" s="2" t="s">
        <v>6264</v>
      </c>
      <c r="K4381" s="2" t="s">
        <v>6259</v>
      </c>
      <c r="L4381" s="2">
        <f t="shared" si="68"/>
        <v>150</v>
      </c>
    </row>
    <row r="4382" spans="1:12" ht="25" customHeight="1">
      <c r="A4382" s="2" t="s">
        <v>12</v>
      </c>
      <c r="B4382" s="2" t="str">
        <f>HYPERLINK("http://www.12365auto.com/parts/20200221/419132.shtml","极星发布人机交互未来理念 如何更智能")</f>
        <v>极星发布人机交互未来理念 如何更智能</v>
      </c>
      <c r="C4382" s="2" t="s">
        <v>13</v>
      </c>
      <c r="D4382" s="2" t="s">
        <v>12</v>
      </c>
      <c r="E4382" s="2" t="s">
        <v>240</v>
      </c>
      <c r="F4382" s="2" t="str">
        <f>HYPERLINK("http://www.12365auto.com/parts/20200221/419132.shtml","http://www.12365auto.com/parts/20200221/419132.shtml")</f>
        <v>http://www.12365auto.com/parts/20200221/419132.shtml</v>
      </c>
      <c r="G4382" s="2"/>
      <c r="H4382" s="2" t="s">
        <v>6265</v>
      </c>
      <c r="I4382" s="2" t="s">
        <v>15</v>
      </c>
      <c r="J4382" s="2" t="s">
        <v>12</v>
      </c>
      <c r="K4382" s="2" t="s">
        <v>6259</v>
      </c>
      <c r="L4382" s="2">
        <f t="shared" si="68"/>
        <v>150</v>
      </c>
    </row>
    <row r="4383" spans="1:12" ht="25" customHeight="1">
      <c r="A4383" s="2" t="s">
        <v>12</v>
      </c>
      <c r="B4383" s="2" t="str">
        <f>HYPERLINK("http://bbs.12365auto.com/postcontent.aspx?tID=194760","“抗疫”持续承压，汽车业亟待政策部门“救市良药”")</f>
        <v>“抗疫”持续承压，汽车业亟待政策部门“救市良药”</v>
      </c>
      <c r="C4383" s="2" t="s">
        <v>13</v>
      </c>
      <c r="D4383" s="2" t="s">
        <v>12</v>
      </c>
      <c r="E4383" s="2" t="s">
        <v>28</v>
      </c>
      <c r="F4383" s="2" t="str">
        <f>HYPERLINK("http://bbs.12365auto.com/postcontent.aspx?tID=194760","http://bbs.12365auto.com/postcontent.aspx?tID=194760")</f>
        <v>http://bbs.12365auto.com/postcontent.aspx?tID=194760</v>
      </c>
      <c r="G4383" s="2"/>
      <c r="H4383" s="2" t="s">
        <v>6266</v>
      </c>
      <c r="I4383" s="2" t="s">
        <v>15</v>
      </c>
      <c r="J4383" s="2" t="s">
        <v>6236</v>
      </c>
      <c r="K4383" s="2" t="s">
        <v>6267</v>
      </c>
      <c r="L4383" s="2">
        <f t="shared" si="68"/>
        <v>150</v>
      </c>
    </row>
    <row r="4384" spans="1:12" ht="25" customHeight="1">
      <c r="A4384" s="2" t="s">
        <v>12</v>
      </c>
      <c r="B4384" s="2" t="str">
        <f>HYPERLINK("http://bbs.12365auto.com/postcontent.aspx?tID=194761","一汽-大众CC Shooting Brake中国首发")</f>
        <v>一汽-大众CC Shooting Brake中国首发</v>
      </c>
      <c r="C4384" s="2" t="s">
        <v>13</v>
      </c>
      <c r="D4384" s="2" t="s">
        <v>12</v>
      </c>
      <c r="E4384" s="2" t="s">
        <v>28</v>
      </c>
      <c r="F4384" s="2" t="str">
        <f>HYPERLINK("http://bbs.12365auto.com/postcontent.aspx?tID=194761","http://bbs.12365auto.com/postcontent.aspx?tID=194761")</f>
        <v>http://bbs.12365auto.com/postcontent.aspx?tID=194761</v>
      </c>
      <c r="G4384" s="2"/>
      <c r="H4384" s="2" t="s">
        <v>6268</v>
      </c>
      <c r="I4384" s="2" t="s">
        <v>15</v>
      </c>
      <c r="J4384" s="2" t="s">
        <v>6236</v>
      </c>
      <c r="K4384" s="2" t="s">
        <v>6267</v>
      </c>
      <c r="L4384" s="2">
        <f t="shared" si="68"/>
        <v>150</v>
      </c>
    </row>
    <row r="4385" spans="1:12" ht="25" customHeight="1">
      <c r="A4385" s="2" t="s">
        <v>12</v>
      </c>
      <c r="B4385" s="2" t="str">
        <f>HYPERLINK("http://bbs.12365auto.com/postcontent.aspx?tID=194759","奥迪痛失30年冠军！销量哑火，今年靠这些新车反超奔驰宝马")</f>
        <v>奥迪痛失30年冠军！销量哑火，今年靠这些新车反超奔驰宝马</v>
      </c>
      <c r="C4385" s="2" t="s">
        <v>13</v>
      </c>
      <c r="D4385" s="2" t="s">
        <v>12</v>
      </c>
      <c r="E4385" s="2" t="s">
        <v>28</v>
      </c>
      <c r="F4385" s="2" t="str">
        <f>HYPERLINK("http://bbs.12365auto.com/postcontent.aspx?tID=194759","http://bbs.12365auto.com/postcontent.aspx?tID=194759")</f>
        <v>http://bbs.12365auto.com/postcontent.aspx?tID=194759</v>
      </c>
      <c r="G4385" s="2"/>
      <c r="H4385" s="2" t="s">
        <v>6269</v>
      </c>
      <c r="I4385" s="2" t="s">
        <v>15</v>
      </c>
      <c r="J4385" s="2" t="s">
        <v>6236</v>
      </c>
      <c r="K4385" s="2" t="s">
        <v>6267</v>
      </c>
      <c r="L4385" s="2">
        <f t="shared" si="68"/>
        <v>150</v>
      </c>
    </row>
    <row r="4386" spans="1:12" ht="25" customHeight="1">
      <c r="A4386" s="2" t="s">
        <v>12</v>
      </c>
      <c r="B4386" s="2" t="str">
        <f>HYPERLINK("http://bbs.12365auto.com/postcontent.aspx?tId=194760","“抗疫”持续承压，汽车业亟待政策部门“救市良药”")</f>
        <v>“抗疫”持续承压，汽车业亟待政策部门“救市良药”</v>
      </c>
      <c r="C4386" s="2" t="s">
        <v>13</v>
      </c>
      <c r="D4386" s="2" t="s">
        <v>12</v>
      </c>
      <c r="E4386" s="2" t="s">
        <v>27</v>
      </c>
      <c r="F4386" s="2" t="str">
        <f>HYPERLINK("http://bbs.12365auto.com/postcontent.aspx?tId=194760","http://bbs.12365auto.com/postcontent.aspx?tId=194760")</f>
        <v>http://bbs.12365auto.com/postcontent.aspx?tId=194760</v>
      </c>
      <c r="G4386" s="2"/>
      <c r="H4386" s="2" t="s">
        <v>6270</v>
      </c>
      <c r="I4386" s="2" t="s">
        <v>15</v>
      </c>
      <c r="J4386" s="2" t="s">
        <v>6236</v>
      </c>
      <c r="K4386" s="2" t="s">
        <v>6267</v>
      </c>
      <c r="L4386" s="2">
        <f t="shared" si="68"/>
        <v>150</v>
      </c>
    </row>
    <row r="4387" spans="1:12" ht="25" customHeight="1">
      <c r="A4387" s="2" t="s">
        <v>12</v>
      </c>
      <c r="B4387" s="2" t="str">
        <f>HYPERLINK("http://bbs.12365auto.com/postcontent.aspx?tId=194759","奥迪痛失30年冠军！销量哑火，今年靠这些新车反超奔驰宝马")</f>
        <v>奥迪痛失30年冠军！销量哑火，今年靠这些新车反超奔驰宝马</v>
      </c>
      <c r="C4387" s="2" t="s">
        <v>13</v>
      </c>
      <c r="D4387" s="2" t="s">
        <v>12</v>
      </c>
      <c r="E4387" s="2" t="s">
        <v>27</v>
      </c>
      <c r="F4387" s="2" t="str">
        <f>HYPERLINK("http://bbs.12365auto.com/postcontent.aspx?tId=194759","http://bbs.12365auto.com/postcontent.aspx?tId=194759")</f>
        <v>http://bbs.12365auto.com/postcontent.aspx?tId=194759</v>
      </c>
      <c r="G4387" s="2"/>
      <c r="H4387" s="2" t="s">
        <v>6271</v>
      </c>
      <c r="I4387" s="2" t="s">
        <v>15</v>
      </c>
      <c r="J4387" s="2" t="s">
        <v>6236</v>
      </c>
      <c r="K4387" s="2" t="s">
        <v>6267</v>
      </c>
      <c r="L4387" s="2">
        <f t="shared" si="68"/>
        <v>150</v>
      </c>
    </row>
    <row r="4388" spans="1:12" ht="25" customHeight="1">
      <c r="A4388" s="2" t="s">
        <v>12</v>
      </c>
      <c r="B4388" s="2" t="str">
        <f>HYPERLINK("http://bbs.12365auto.com/postcontent.aspx?tId=194761","一汽-大众CC Shooting Brake中国首发")</f>
        <v>一汽-大众CC Shooting Brake中国首发</v>
      </c>
      <c r="C4388" s="2" t="s">
        <v>13</v>
      </c>
      <c r="D4388" s="2" t="s">
        <v>12</v>
      </c>
      <c r="E4388" s="2" t="s">
        <v>27</v>
      </c>
      <c r="F4388" s="2" t="str">
        <f>HYPERLINK("http://bbs.12365auto.com/postcontent.aspx?tId=194761","http://bbs.12365auto.com/postcontent.aspx?tId=194761")</f>
        <v>http://bbs.12365auto.com/postcontent.aspx?tId=194761</v>
      </c>
      <c r="G4388" s="2"/>
      <c r="H4388" s="2" t="s">
        <v>6272</v>
      </c>
      <c r="I4388" s="2" t="s">
        <v>15</v>
      </c>
      <c r="J4388" s="2" t="s">
        <v>6236</v>
      </c>
      <c r="K4388" s="2" t="s">
        <v>6267</v>
      </c>
      <c r="L4388" s="2">
        <f t="shared" si="68"/>
        <v>150</v>
      </c>
    </row>
    <row r="4389" spans="1:12" ht="25" customHeight="1">
      <c r="A4389" s="2" t="s">
        <v>12</v>
      </c>
      <c r="B4389" s="2" t="str">
        <f>HYPERLINK("http://m.12365auto.com/bbs/postcontent.aspx?tID=194760","“抗疫”持续承压，汽车业亟待政策部门“救市良药”")</f>
        <v>“抗疫”持续承压，汽车业亟待政策部门“救市良药”</v>
      </c>
      <c r="C4389" s="2" t="s">
        <v>13</v>
      </c>
      <c r="D4389" s="2" t="s">
        <v>23</v>
      </c>
      <c r="E4389" s="2"/>
      <c r="F4389" s="2" t="str">
        <f>HYPERLINK("http://m.12365auto.com/bbs/postcontent.aspx?tID=194760","http://m.12365auto.com/bbs/postcontent.aspx?tID=194760")</f>
        <v>http://m.12365auto.com/bbs/postcontent.aspx?tID=194760</v>
      </c>
      <c r="G4389" s="2"/>
      <c r="H4389" s="2" t="s">
        <v>6270</v>
      </c>
      <c r="I4389" s="2" t="s">
        <v>15</v>
      </c>
      <c r="J4389" s="2" t="s">
        <v>6236</v>
      </c>
      <c r="K4389" s="2" t="s">
        <v>6267</v>
      </c>
      <c r="L4389" s="2">
        <f t="shared" si="68"/>
        <v>150</v>
      </c>
    </row>
    <row r="4390" spans="1:12" ht="25" customHeight="1">
      <c r="A4390" s="2" t="s">
        <v>12</v>
      </c>
      <c r="B4390" s="2" t="str">
        <f>HYPERLINK("http://m.12365auto.com/bbs/postcontent.aspx?tID=194761","一汽-大众CC Shooting Brake中国首发")</f>
        <v>一汽-大众CC Shooting Brake中国首发</v>
      </c>
      <c r="C4390" s="2" t="s">
        <v>13</v>
      </c>
      <c r="D4390" s="2" t="s">
        <v>23</v>
      </c>
      <c r="E4390" s="2"/>
      <c r="F4390" s="2" t="str">
        <f>HYPERLINK("http://m.12365auto.com/bbs/postcontent.aspx?tID=194761","http://m.12365auto.com/bbs/postcontent.aspx?tID=194761")</f>
        <v>http://m.12365auto.com/bbs/postcontent.aspx?tID=194761</v>
      </c>
      <c r="G4390" s="2"/>
      <c r="H4390" s="2" t="s">
        <v>6272</v>
      </c>
      <c r="I4390" s="2" t="s">
        <v>15</v>
      </c>
      <c r="J4390" s="2" t="s">
        <v>6236</v>
      </c>
      <c r="K4390" s="2" t="s">
        <v>6267</v>
      </c>
      <c r="L4390" s="2">
        <f t="shared" si="68"/>
        <v>150</v>
      </c>
    </row>
    <row r="4391" spans="1:12" ht="25" customHeight="1">
      <c r="A4391" s="2" t="s">
        <v>12</v>
      </c>
      <c r="B4391" s="2" t="str">
        <f>HYPERLINK("http://m.12365auto.com/scbg/20200221/419131.shtml","首次尝试电驱领域 场地试驾雪佛兰畅巡")</f>
        <v>首次尝试电驱领域 场地试驾雪佛兰畅巡</v>
      </c>
      <c r="C4391" s="2" t="s">
        <v>13</v>
      </c>
      <c r="D4391" s="2" t="s">
        <v>12</v>
      </c>
      <c r="E4391" s="2"/>
      <c r="F4391" s="2" t="str">
        <f>HYPERLINK("http://m.12365auto.com/scbg/20200221/419131.shtml","http://m.12365auto.com/scbg/20200221/419131.shtml")</f>
        <v>http://m.12365auto.com/scbg/20200221/419131.shtml</v>
      </c>
      <c r="G4391" s="2"/>
      <c r="H4391" s="2" t="s">
        <v>6273</v>
      </c>
      <c r="I4391" s="2" t="s">
        <v>19</v>
      </c>
      <c r="J4391" s="2" t="s">
        <v>6143</v>
      </c>
      <c r="K4391" s="2" t="s">
        <v>6267</v>
      </c>
      <c r="L4391" s="2">
        <f t="shared" si="68"/>
        <v>150</v>
      </c>
    </row>
    <row r="4392" spans="1:12" ht="25" customHeight="1">
      <c r="A4392" s="2" t="s">
        <v>12</v>
      </c>
      <c r="B4392" s="2" t="str">
        <f>HYPERLINK("http://www.12365auto.com/scbg/20200221/419131.shtml","首次尝试电驱领域 场地试驾雪佛兰畅巡")</f>
        <v>首次尝试电驱领域 场地试驾雪佛兰畅巡</v>
      </c>
      <c r="C4392" s="2" t="s">
        <v>13</v>
      </c>
      <c r="D4392" s="2" t="s">
        <v>12</v>
      </c>
      <c r="E4392" s="2" t="s">
        <v>1548</v>
      </c>
      <c r="F4392" s="2" t="str">
        <f>HYPERLINK("http://www.12365auto.com/scbg/20200221/419131.shtml","http://www.12365auto.com/scbg/20200221/419131.shtml")</f>
        <v>http://www.12365auto.com/scbg/20200221/419131.shtml</v>
      </c>
      <c r="G4392" s="2"/>
      <c r="H4392" s="2" t="s">
        <v>6274</v>
      </c>
      <c r="I4392" s="2" t="s">
        <v>15</v>
      </c>
      <c r="J4392" s="2" t="s">
        <v>12</v>
      </c>
      <c r="K4392" s="2" t="s">
        <v>6267</v>
      </c>
      <c r="L4392" s="2">
        <f t="shared" si="68"/>
        <v>150</v>
      </c>
    </row>
    <row r="4393" spans="1:12" ht="25" customHeight="1">
      <c r="A4393" s="2" t="s">
        <v>12</v>
      </c>
      <c r="B4393" s="2" t="str">
        <f>HYPERLINK("http://www.12365auto.com/xcdg/20200221/419129.shtml","研发全新电池 特斯拉将提升Model S续航里程")</f>
        <v>研发全新电池 特斯拉将提升Model S续航里程</v>
      </c>
      <c r="C4393" s="2" t="s">
        <v>13</v>
      </c>
      <c r="D4393" s="2" t="s">
        <v>12</v>
      </c>
      <c r="E4393" s="2" t="s">
        <v>245</v>
      </c>
      <c r="F4393" s="2" t="str">
        <f>HYPERLINK("http://www.12365auto.com/xcdg/20200221/419129.shtml","http://www.12365auto.com/xcdg/20200221/419129.shtml")</f>
        <v>http://www.12365auto.com/xcdg/20200221/419129.shtml</v>
      </c>
      <c r="G4393" s="2"/>
      <c r="H4393" s="2" t="s">
        <v>6275</v>
      </c>
      <c r="I4393" s="2" t="s">
        <v>19</v>
      </c>
      <c r="J4393" s="2" t="s">
        <v>12</v>
      </c>
      <c r="K4393" s="2" t="s">
        <v>6276</v>
      </c>
      <c r="L4393" s="2">
        <f t="shared" si="68"/>
        <v>150</v>
      </c>
    </row>
    <row r="4394" spans="1:12" ht="25" customHeight="1">
      <c r="A4394" s="2" t="s">
        <v>12</v>
      </c>
      <c r="B4394" s="2" t="str">
        <f>HYPERLINK("http://www.12365auto.com/xcdg/20200221/419130.shtml","搭载混动系统 AMG GT 73 PHEV谍照曝光")</f>
        <v>搭载混动系统 AMG GT 73 PHEV谍照曝光</v>
      </c>
      <c r="C4394" s="2" t="s">
        <v>13</v>
      </c>
      <c r="D4394" s="2" t="s">
        <v>12</v>
      </c>
      <c r="E4394" s="2" t="s">
        <v>224</v>
      </c>
      <c r="F4394" s="2" t="str">
        <f>HYPERLINK("http://www.12365auto.com/xcdg/20200221/419130.shtml","http://www.12365auto.com/xcdg/20200221/419130.shtml")</f>
        <v>http://www.12365auto.com/xcdg/20200221/419130.shtml</v>
      </c>
      <c r="G4394" s="2"/>
      <c r="H4394" s="2" t="s">
        <v>6277</v>
      </c>
      <c r="I4394" s="2" t="s">
        <v>15</v>
      </c>
      <c r="J4394" s="2" t="s">
        <v>12</v>
      </c>
      <c r="K4394" s="2" t="s">
        <v>6276</v>
      </c>
      <c r="L4394" s="2">
        <f t="shared" si="68"/>
        <v>150</v>
      </c>
    </row>
    <row r="4395" spans="1:12" ht="25" customHeight="1">
      <c r="A4395" s="2" t="s">
        <v>12</v>
      </c>
      <c r="B4395" s="2" t="str">
        <f>HYPERLINK("http://www.12365auto.com/zlts/20200221/447953.shtml","宝骏730车漆脱落 方向抖动 发动机故障灯亮")</f>
        <v>宝骏730车漆脱落 方向抖动 发动机故障灯亮</v>
      </c>
      <c r="C4395" s="2" t="s">
        <v>13</v>
      </c>
      <c r="D4395" s="2" t="s">
        <v>12</v>
      </c>
      <c r="E4395" s="2"/>
      <c r="F4395" s="2" t="str">
        <f>HYPERLINK("http://www.12365auto.com/zlts/20200221/447953.shtml","http://www.12365auto.com/zlts/20200221/447953.shtml")</f>
        <v>http://www.12365auto.com/zlts/20200221/447953.shtml</v>
      </c>
      <c r="G4395" s="2"/>
      <c r="H4395" s="2" t="s">
        <v>6279</v>
      </c>
      <c r="I4395" s="2" t="s">
        <v>15</v>
      </c>
      <c r="J4395" s="2" t="s">
        <v>12</v>
      </c>
      <c r="K4395" s="2" t="s">
        <v>6278</v>
      </c>
      <c r="L4395" s="2">
        <f t="shared" si="68"/>
        <v>88</v>
      </c>
    </row>
    <row r="4396" spans="1:12" ht="25" customHeight="1">
      <c r="A4396" s="2" t="s">
        <v>12</v>
      </c>
      <c r="B4396" s="2" t="str">
        <f>HYPERLINK("http://www.12365auto.com/zlts/20200221/447954.shtml","一汽大众宝来冷车起步倒车时刹车异响")</f>
        <v>一汽大众宝来冷车起步倒车时刹车异响</v>
      </c>
      <c r="C4396" s="2" t="s">
        <v>13</v>
      </c>
      <c r="D4396" s="2" t="s">
        <v>12</v>
      </c>
      <c r="E4396" s="2" t="s">
        <v>17</v>
      </c>
      <c r="F4396" s="2" t="str">
        <f>HYPERLINK("http://www.12365auto.com/zlts/20200221/447954.shtml","http://www.12365auto.com/zlts/20200221/447954.shtml")</f>
        <v>http://www.12365auto.com/zlts/20200221/447954.shtml</v>
      </c>
      <c r="G4396" s="2"/>
      <c r="H4396" s="2" t="s">
        <v>6280</v>
      </c>
      <c r="I4396" s="2" t="s">
        <v>15</v>
      </c>
      <c r="J4396" s="2" t="s">
        <v>12</v>
      </c>
      <c r="K4396" s="2" t="s">
        <v>6281</v>
      </c>
      <c r="L4396" s="2">
        <f t="shared" si="68"/>
        <v>150</v>
      </c>
    </row>
    <row r="4397" spans="1:12" ht="25" customHeight="1">
      <c r="A4397" s="2" t="s">
        <v>12</v>
      </c>
      <c r="B4397" s="2" t="str">
        <f>HYPERLINK("http://bbs.12365auto.com/postcontent.aspx?tID=194758","这3款国产精品SUV值得推荐")</f>
        <v>这3款国产精品SUV值得推荐</v>
      </c>
      <c r="C4397" s="2" t="s">
        <v>13</v>
      </c>
      <c r="D4397" s="2" t="s">
        <v>12</v>
      </c>
      <c r="E4397" s="2" t="s">
        <v>28</v>
      </c>
      <c r="F4397" s="2" t="str">
        <f>HYPERLINK("http://bbs.12365auto.com/postcontent.aspx?tID=194758","http://bbs.12365auto.com/postcontent.aspx?tID=194758")</f>
        <v>http://bbs.12365auto.com/postcontent.aspx?tID=194758</v>
      </c>
      <c r="G4397" s="2"/>
      <c r="H4397" s="2" t="s">
        <v>6282</v>
      </c>
      <c r="I4397" s="2" t="s">
        <v>15</v>
      </c>
      <c r="J4397" s="2" t="s">
        <v>3089</v>
      </c>
      <c r="K4397" s="2" t="s">
        <v>6283</v>
      </c>
      <c r="L4397" s="2">
        <f t="shared" si="68"/>
        <v>150</v>
      </c>
    </row>
    <row r="4398" spans="1:12" ht="25" customHeight="1">
      <c r="A4398" s="2" t="s">
        <v>12</v>
      </c>
      <c r="B4398" s="2" t="str">
        <f>HYPERLINK("http://bbs.12365auto.com/postcontent.aspx?tId=194758","这3款国产精品SUV值得推荐")</f>
        <v>这3款国产精品SUV值得推荐</v>
      </c>
      <c r="C4398" s="2" t="s">
        <v>13</v>
      </c>
      <c r="D4398" s="2" t="s">
        <v>12</v>
      </c>
      <c r="E4398" s="2" t="s">
        <v>27</v>
      </c>
      <c r="F4398" s="2" t="str">
        <f>HYPERLINK("http://bbs.12365auto.com/postcontent.aspx?tId=194758","http://bbs.12365auto.com/postcontent.aspx?tId=194758")</f>
        <v>http://bbs.12365auto.com/postcontent.aspx?tId=194758</v>
      </c>
      <c r="G4398" s="2"/>
      <c r="H4398" s="2" t="s">
        <v>6284</v>
      </c>
      <c r="I4398" s="2" t="s">
        <v>15</v>
      </c>
      <c r="J4398" s="2" t="s">
        <v>3089</v>
      </c>
      <c r="K4398" s="2" t="s">
        <v>6283</v>
      </c>
      <c r="L4398" s="2">
        <f t="shared" si="68"/>
        <v>150</v>
      </c>
    </row>
    <row r="4399" spans="1:12" ht="25" customHeight="1">
      <c r="A4399" s="2" t="s">
        <v>12</v>
      </c>
      <c r="B4399" s="2" t="str">
        <f>HYPERLINK("http://m.12365auto.com/bbs/postcontent.aspx?tID=194758","这3款国产精品SUV值得推荐")</f>
        <v>这3款国产精品SUV值得推荐</v>
      </c>
      <c r="C4399" s="2" t="s">
        <v>13</v>
      </c>
      <c r="D4399" s="2" t="s">
        <v>23</v>
      </c>
      <c r="E4399" s="2"/>
      <c r="F4399" s="2" t="str">
        <f>HYPERLINK("http://m.12365auto.com/bbs/postcontent.aspx?tID=194758","http://m.12365auto.com/bbs/postcontent.aspx?tID=194758")</f>
        <v>http://m.12365auto.com/bbs/postcontent.aspx?tID=194758</v>
      </c>
      <c r="G4399" s="2"/>
      <c r="H4399" s="2" t="s">
        <v>6284</v>
      </c>
      <c r="I4399" s="2" t="s">
        <v>15</v>
      </c>
      <c r="J4399" s="2" t="s">
        <v>3089</v>
      </c>
      <c r="K4399" s="2" t="s">
        <v>6283</v>
      </c>
      <c r="L4399" s="2">
        <f t="shared" si="68"/>
        <v>150</v>
      </c>
    </row>
    <row r="4400" spans="1:12" ht="25" customHeight="1">
      <c r="A4400" s="2" t="s">
        <v>12</v>
      </c>
      <c r="B4400" s="2" t="str">
        <f>HYPERLINK("http://bbs.12365auto.com/postcontent.aspx?tID=194757","国产全新奥迪Q3值不值得买？")</f>
        <v>国产全新奥迪Q3值不值得买？</v>
      </c>
      <c r="C4400" s="2" t="s">
        <v>13</v>
      </c>
      <c r="D4400" s="2" t="s">
        <v>12</v>
      </c>
      <c r="E4400" s="2" t="s">
        <v>28</v>
      </c>
      <c r="F4400" s="2" t="str">
        <f>HYPERLINK("http://bbs.12365auto.com/postcontent.aspx?tID=194757","http://bbs.12365auto.com/postcontent.aspx?tID=194757")</f>
        <v>http://bbs.12365auto.com/postcontent.aspx?tID=194757</v>
      </c>
      <c r="G4400" s="2"/>
      <c r="H4400" s="2" t="s">
        <v>6285</v>
      </c>
      <c r="I4400" s="2" t="s">
        <v>15</v>
      </c>
      <c r="J4400" s="2" t="s">
        <v>3089</v>
      </c>
      <c r="K4400" s="2" t="s">
        <v>6286</v>
      </c>
      <c r="L4400" s="2">
        <f t="shared" si="68"/>
        <v>150</v>
      </c>
    </row>
    <row r="4401" spans="1:12" ht="25" customHeight="1">
      <c r="A4401" s="2" t="s">
        <v>12</v>
      </c>
      <c r="B4401" s="2" t="str">
        <f>HYPERLINK("http://bbs.12365auto.com/postcontent.aspx?tId=194757","国产全新奥迪Q3值不值得买？")</f>
        <v>国产全新奥迪Q3值不值得买？</v>
      </c>
      <c r="C4401" s="2" t="s">
        <v>13</v>
      </c>
      <c r="D4401" s="2" t="s">
        <v>12</v>
      </c>
      <c r="E4401" s="2" t="s">
        <v>27</v>
      </c>
      <c r="F4401" s="2" t="str">
        <f>HYPERLINK("http://bbs.12365auto.com/postcontent.aspx?tId=194757","http://bbs.12365auto.com/postcontent.aspx?tId=194757")</f>
        <v>http://bbs.12365auto.com/postcontent.aspx?tId=194757</v>
      </c>
      <c r="G4401" s="2"/>
      <c r="H4401" s="2" t="s">
        <v>6287</v>
      </c>
      <c r="I4401" s="2" t="s">
        <v>15</v>
      </c>
      <c r="J4401" s="2" t="s">
        <v>3089</v>
      </c>
      <c r="K4401" s="2" t="s">
        <v>6286</v>
      </c>
      <c r="L4401" s="2">
        <f t="shared" si="68"/>
        <v>150</v>
      </c>
    </row>
    <row r="4402" spans="1:12" ht="25" customHeight="1">
      <c r="A4402" s="2" t="s">
        <v>12</v>
      </c>
      <c r="B4402" s="2" t="str">
        <f>HYPERLINK("http://m.12365auto.com/bbs/postcontent.aspx?tID=194757","国产全新奥迪Q3值不值得买？")</f>
        <v>国产全新奥迪Q3值不值得买？</v>
      </c>
      <c r="C4402" s="2" t="s">
        <v>13</v>
      </c>
      <c r="D4402" s="2" t="s">
        <v>23</v>
      </c>
      <c r="E4402" s="2"/>
      <c r="F4402" s="2" t="str">
        <f>HYPERLINK("http://m.12365auto.com/bbs/postcontent.aspx?tID=194757","http://m.12365auto.com/bbs/postcontent.aspx?tID=194757")</f>
        <v>http://m.12365auto.com/bbs/postcontent.aspx?tID=194757</v>
      </c>
      <c r="G4402" s="2"/>
      <c r="H4402" s="2" t="s">
        <v>6287</v>
      </c>
      <c r="I4402" s="2" t="s">
        <v>15</v>
      </c>
      <c r="J4402" s="2" t="s">
        <v>3089</v>
      </c>
      <c r="K4402" s="2" t="s">
        <v>6286</v>
      </c>
      <c r="L4402" s="2">
        <f t="shared" si="68"/>
        <v>150</v>
      </c>
    </row>
    <row r="4403" spans="1:12" ht="25" customHeight="1">
      <c r="A4403" s="2" t="s">
        <v>12</v>
      </c>
      <c r="B4403" s="2" t="str">
        <f>HYPERLINK("http://bbs.12365auto.com/postcontent.aspx?tID=194756","3款热门中型纯电SUV推荐")</f>
        <v>3款热门中型纯电SUV推荐</v>
      </c>
      <c r="C4403" s="2" t="s">
        <v>13</v>
      </c>
      <c r="D4403" s="2" t="s">
        <v>12</v>
      </c>
      <c r="E4403" s="2" t="s">
        <v>28</v>
      </c>
      <c r="F4403" s="2" t="str">
        <f>HYPERLINK("http://bbs.12365auto.com/postcontent.aspx?tID=194756","http://bbs.12365auto.com/postcontent.aspx?tID=194756")</f>
        <v>http://bbs.12365auto.com/postcontent.aspx?tID=194756</v>
      </c>
      <c r="G4403" s="2"/>
      <c r="H4403" s="2" t="s">
        <v>6288</v>
      </c>
      <c r="I4403" s="2" t="s">
        <v>15</v>
      </c>
      <c r="J4403" s="2" t="s">
        <v>3089</v>
      </c>
      <c r="K4403" s="2" t="s">
        <v>6289</v>
      </c>
      <c r="L4403" s="2">
        <f t="shared" si="68"/>
        <v>150</v>
      </c>
    </row>
    <row r="4404" spans="1:12" ht="25" customHeight="1">
      <c r="A4404" s="2" t="s">
        <v>12</v>
      </c>
      <c r="B4404" s="2" t="str">
        <f>HYPERLINK("http://bbs.12365auto.com/postcontent.aspx?tId=194756","3款热门中型纯电SUV推荐")</f>
        <v>3款热门中型纯电SUV推荐</v>
      </c>
      <c r="C4404" s="2" t="s">
        <v>13</v>
      </c>
      <c r="D4404" s="2" t="s">
        <v>12</v>
      </c>
      <c r="E4404" s="2" t="s">
        <v>27</v>
      </c>
      <c r="F4404" s="2" t="str">
        <f>HYPERLINK("http://bbs.12365auto.com/postcontent.aspx?tId=194756","http://bbs.12365auto.com/postcontent.aspx?tId=194756")</f>
        <v>http://bbs.12365auto.com/postcontent.aspx?tId=194756</v>
      </c>
      <c r="G4404" s="2"/>
      <c r="H4404" s="2" t="s">
        <v>6290</v>
      </c>
      <c r="I4404" s="2" t="s">
        <v>15</v>
      </c>
      <c r="J4404" s="2" t="s">
        <v>3089</v>
      </c>
      <c r="K4404" s="2" t="s">
        <v>6289</v>
      </c>
      <c r="L4404" s="2">
        <f t="shared" si="68"/>
        <v>150</v>
      </c>
    </row>
    <row r="4405" spans="1:12" ht="25" customHeight="1">
      <c r="A4405" s="2" t="s">
        <v>12</v>
      </c>
      <c r="B4405" s="2" t="str">
        <f>HYPERLINK("http://m.12365auto.com/bbs/postcontent.aspx?tID=194756","3款热门中型纯电SUV推荐")</f>
        <v>3款热门中型纯电SUV推荐</v>
      </c>
      <c r="C4405" s="2" t="s">
        <v>13</v>
      </c>
      <c r="D4405" s="2" t="s">
        <v>23</v>
      </c>
      <c r="E4405" s="2"/>
      <c r="F4405" s="2" t="str">
        <f>HYPERLINK("http://m.12365auto.com/bbs/postcontent.aspx?tID=194756","http://m.12365auto.com/bbs/postcontent.aspx?tID=194756")</f>
        <v>http://m.12365auto.com/bbs/postcontent.aspx?tID=194756</v>
      </c>
      <c r="G4405" s="2"/>
      <c r="H4405" s="2" t="s">
        <v>6290</v>
      </c>
      <c r="I4405" s="2" t="s">
        <v>15</v>
      </c>
      <c r="J4405" s="2" t="s">
        <v>3089</v>
      </c>
      <c r="K4405" s="2" t="s">
        <v>6289</v>
      </c>
      <c r="L4405" s="2">
        <f t="shared" si="68"/>
        <v>150</v>
      </c>
    </row>
    <row r="4406" spans="1:12" ht="25" customHeight="1">
      <c r="A4406" s="2" t="s">
        <v>12</v>
      </c>
      <c r="B4406" s="2" t="str">
        <f>HYPERLINK("http://m.12365auto.com/xcdg/20200221/419133.shtml","全新大众高尔夫GTI预热图曝光 设计更加激进")</f>
        <v>全新大众高尔夫GTI预热图曝光 设计更加激进</v>
      </c>
      <c r="C4406" s="2" t="s">
        <v>13</v>
      </c>
      <c r="D4406" s="2" t="s">
        <v>12</v>
      </c>
      <c r="E4406" s="2"/>
      <c r="F4406" s="2" t="str">
        <f>HYPERLINK("http://m.12365auto.com/xcdg/20200221/419133.shtml","http://m.12365auto.com/xcdg/20200221/419133.shtml")</f>
        <v>http://m.12365auto.com/xcdg/20200221/419133.shtml</v>
      </c>
      <c r="G4406" s="2"/>
      <c r="H4406" s="2" t="s">
        <v>6291</v>
      </c>
      <c r="I4406" s="2" t="s">
        <v>19</v>
      </c>
      <c r="J4406" s="2" t="s">
        <v>1241</v>
      </c>
      <c r="K4406" s="2" t="s">
        <v>6289</v>
      </c>
      <c r="L4406" s="2">
        <f t="shared" si="68"/>
        <v>150</v>
      </c>
    </row>
    <row r="4407" spans="1:12" ht="25" customHeight="1">
      <c r="A4407" s="2" t="s">
        <v>12</v>
      </c>
      <c r="B4407" s="2" t="str">
        <f>HYPERLINK("http://www.12365auto.com/xcdg/20200221/419133.shtml","全新大众高尔夫GTI预热图曝光 设计更加激进")</f>
        <v>全新大众高尔夫GTI预热图曝光 设计更加激进</v>
      </c>
      <c r="C4407" s="2" t="s">
        <v>13</v>
      </c>
      <c r="D4407" s="2" t="s">
        <v>12</v>
      </c>
      <c r="E4407" s="2" t="s">
        <v>245</v>
      </c>
      <c r="F4407" s="2" t="str">
        <f>HYPERLINK("http://www.12365auto.com/xcdg/20200221/419133.shtml","http://www.12365auto.com/xcdg/20200221/419133.shtml")</f>
        <v>http://www.12365auto.com/xcdg/20200221/419133.shtml</v>
      </c>
      <c r="G4407" s="2"/>
      <c r="H4407" s="2" t="s">
        <v>6292</v>
      </c>
      <c r="I4407" s="2" t="s">
        <v>19</v>
      </c>
      <c r="J4407" s="2" t="s">
        <v>12</v>
      </c>
      <c r="K4407" s="2" t="s">
        <v>6289</v>
      </c>
      <c r="L4407" s="2">
        <f t="shared" si="68"/>
        <v>150</v>
      </c>
    </row>
    <row r="4408" spans="1:12" ht="25" customHeight="1">
      <c r="A4408" s="2" t="s">
        <v>12</v>
      </c>
      <c r="B4408" s="2" t="str">
        <f>HYPERLINK("http://bbs.12365auto.com/postcontent.aspx?tID=194755","2020款长安CS75值不值得买")</f>
        <v>2020款长安CS75值不值得买</v>
      </c>
      <c r="C4408" s="2" t="s">
        <v>13</v>
      </c>
      <c r="D4408" s="2" t="s">
        <v>12</v>
      </c>
      <c r="E4408" s="2" t="s">
        <v>28</v>
      </c>
      <c r="F4408" s="2" t="str">
        <f>HYPERLINK("http://bbs.12365auto.com/postcontent.aspx?tID=194755","http://bbs.12365auto.com/postcontent.aspx?tID=194755")</f>
        <v>http://bbs.12365auto.com/postcontent.aspx?tID=194755</v>
      </c>
      <c r="G4408" s="2"/>
      <c r="H4408" s="2" t="s">
        <v>6293</v>
      </c>
      <c r="I4408" s="2" t="s">
        <v>15</v>
      </c>
      <c r="J4408" s="2" t="s">
        <v>3089</v>
      </c>
      <c r="K4408" s="2" t="s">
        <v>6294</v>
      </c>
      <c r="L4408" s="2">
        <f t="shared" si="68"/>
        <v>150</v>
      </c>
    </row>
    <row r="4409" spans="1:12" ht="25" customHeight="1">
      <c r="A4409" s="2" t="s">
        <v>12</v>
      </c>
      <c r="B4409" s="2" t="str">
        <f>HYPERLINK("http://bbs.12365auto.com/postcontent.aspx?tId=194755","2020款长安CS75值不值得买")</f>
        <v>2020款长安CS75值不值得买</v>
      </c>
      <c r="C4409" s="2" t="s">
        <v>13</v>
      </c>
      <c r="D4409" s="2" t="s">
        <v>12</v>
      </c>
      <c r="E4409" s="2" t="s">
        <v>27</v>
      </c>
      <c r="F4409" s="2" t="str">
        <f>HYPERLINK("http://bbs.12365auto.com/postcontent.aspx?tId=194755","http://bbs.12365auto.com/postcontent.aspx?tId=194755")</f>
        <v>http://bbs.12365auto.com/postcontent.aspx?tId=194755</v>
      </c>
      <c r="G4409" s="2"/>
      <c r="H4409" s="2" t="s">
        <v>6295</v>
      </c>
      <c r="I4409" s="2" t="s">
        <v>15</v>
      </c>
      <c r="J4409" s="2" t="s">
        <v>3089</v>
      </c>
      <c r="K4409" s="2" t="s">
        <v>6294</v>
      </c>
      <c r="L4409" s="2">
        <f t="shared" si="68"/>
        <v>150</v>
      </c>
    </row>
    <row r="4410" spans="1:12" ht="25" customHeight="1">
      <c r="A4410" s="2" t="s">
        <v>12</v>
      </c>
      <c r="B4410" s="2" t="str">
        <f>HYPERLINK("http://m.12365auto.com/bbs/postcontent.aspx?tID=194755","2020款长安CS75值不值得买")</f>
        <v>2020款长安CS75值不值得买</v>
      </c>
      <c r="C4410" s="2" t="s">
        <v>13</v>
      </c>
      <c r="D4410" s="2" t="s">
        <v>23</v>
      </c>
      <c r="E4410" s="2"/>
      <c r="F4410" s="2" t="str">
        <f>HYPERLINK("http://m.12365auto.com/bbs/postcontent.aspx?tID=194755","http://m.12365auto.com/bbs/postcontent.aspx?tID=194755")</f>
        <v>http://m.12365auto.com/bbs/postcontent.aspx?tID=194755</v>
      </c>
      <c r="G4410" s="2"/>
      <c r="H4410" s="2" t="s">
        <v>6295</v>
      </c>
      <c r="I4410" s="2" t="s">
        <v>15</v>
      </c>
      <c r="J4410" s="2" t="s">
        <v>3089</v>
      </c>
      <c r="K4410" s="2" t="s">
        <v>6294</v>
      </c>
      <c r="L4410" s="2">
        <f t="shared" si="68"/>
        <v>150</v>
      </c>
    </row>
    <row r="4411" spans="1:12" ht="25" customHeight="1">
      <c r="A4411" s="2" t="s">
        <v>12</v>
      </c>
      <c r="B4411" s="2" t="str">
        <f>HYPERLINK("http://www.12365auto.com/xcdg/20200221/419138.shtml","斯柯达产品计划曝光 Octavia将推多款新车")</f>
        <v>斯柯达产品计划曝光 Octavia将推多款新车</v>
      </c>
      <c r="C4411" s="2" t="s">
        <v>13</v>
      </c>
      <c r="D4411" s="2" t="s">
        <v>12</v>
      </c>
      <c r="E4411" s="2" t="s">
        <v>245</v>
      </c>
      <c r="F4411" s="2" t="str">
        <f>HYPERLINK("http://www.12365auto.com/xcdg/20200221/419138.shtml","http://www.12365auto.com/xcdg/20200221/419138.shtml")</f>
        <v>http://www.12365auto.com/xcdg/20200221/419138.shtml</v>
      </c>
      <c r="G4411" s="2"/>
      <c r="H4411" s="2" t="s">
        <v>6296</v>
      </c>
      <c r="I4411" s="2" t="s">
        <v>19</v>
      </c>
      <c r="J4411" s="2" t="s">
        <v>12</v>
      </c>
      <c r="K4411" s="2" t="s">
        <v>6294</v>
      </c>
      <c r="L4411" s="2">
        <f t="shared" si="68"/>
        <v>150</v>
      </c>
    </row>
    <row r="4412" spans="1:12" ht="25" customHeight="1">
      <c r="A4412" s="2" t="s">
        <v>12</v>
      </c>
      <c r="B4412" s="2" t="str">
        <f>HYPERLINK("http://www.12365auto.com/xcdg/20200221/419128.shtml","性格迥异 本田思域TYPE R增两款新车型")</f>
        <v>性格迥异 本田思域TYPE R增两款新车型</v>
      </c>
      <c r="C4412" s="2" t="s">
        <v>13</v>
      </c>
      <c r="D4412" s="2" t="s">
        <v>12</v>
      </c>
      <c r="E4412" s="2" t="s">
        <v>216</v>
      </c>
      <c r="F4412" s="2" t="str">
        <f>HYPERLINK("http://www.12365auto.com/xcdg/20200221/419128.shtml","http://www.12365auto.com/xcdg/20200221/419128.shtml")</f>
        <v>http://www.12365auto.com/xcdg/20200221/419128.shtml</v>
      </c>
      <c r="G4412" s="2"/>
      <c r="H4412" s="2" t="s">
        <v>6297</v>
      </c>
      <c r="I4412" s="2" t="s">
        <v>15</v>
      </c>
      <c r="J4412" s="2" t="s">
        <v>12</v>
      </c>
      <c r="K4412" s="2" t="s">
        <v>6298</v>
      </c>
      <c r="L4412" s="2">
        <f t="shared" si="68"/>
        <v>150</v>
      </c>
    </row>
    <row r="4413" spans="1:12" ht="25" customHeight="1">
      <c r="A4413" s="2" t="s">
        <v>12</v>
      </c>
      <c r="B4413" s="2" t="str">
        <f>HYPERLINK("http://m.12365auto.com/xcdg/20200221/419128.shtml","性格迥异 本田思域TYPE R增两款新车型")</f>
        <v>性格迥异 本田思域TYPE R增两款新车型</v>
      </c>
      <c r="C4413" s="2" t="s">
        <v>13</v>
      </c>
      <c r="D4413" s="2" t="s">
        <v>12</v>
      </c>
      <c r="E4413" s="2"/>
      <c r="F4413" s="2" t="str">
        <f>HYPERLINK("http://m.12365auto.com/xcdg/20200221/419128.shtml","http://m.12365auto.com/xcdg/20200221/419128.shtml")</f>
        <v>http://m.12365auto.com/xcdg/20200221/419128.shtml</v>
      </c>
      <c r="G4413" s="2"/>
      <c r="H4413" s="2" t="s">
        <v>6299</v>
      </c>
      <c r="I4413" s="2" t="s">
        <v>19</v>
      </c>
      <c r="J4413" s="2" t="s">
        <v>1230</v>
      </c>
      <c r="K4413" s="2" t="s">
        <v>6298</v>
      </c>
      <c r="L4413" s="2">
        <f t="shared" si="68"/>
        <v>150</v>
      </c>
    </row>
    <row r="4414" spans="1:12" ht="25" customHeight="1">
      <c r="A4414" s="2" t="s">
        <v>12</v>
      </c>
      <c r="B4414" s="2" t="str">
        <f>HYPERLINK("http://m.12365auto.com/zjdy/20200221/121470.shtml","2016款别克君越添加汽油是哪种型号？")</f>
        <v>2016款别克君越添加汽油是哪种型号？</v>
      </c>
      <c r="C4414" s="2" t="s">
        <v>13</v>
      </c>
      <c r="D4414" s="2" t="s">
        <v>12</v>
      </c>
      <c r="E4414" s="2"/>
      <c r="F4414" s="2" t="str">
        <f>HYPERLINK("http://m.12365auto.com/zjdy/20200221/121470.shtml","http://m.12365auto.com/zjdy/20200221/121470.shtml")</f>
        <v>http://m.12365auto.com/zjdy/20200221/121470.shtml</v>
      </c>
      <c r="G4414" s="2"/>
      <c r="H4414" s="2" t="s">
        <v>6300</v>
      </c>
      <c r="I4414" s="2" t="s">
        <v>19</v>
      </c>
      <c r="J4414" s="2" t="s">
        <v>12</v>
      </c>
      <c r="K4414" s="2" t="s">
        <v>6301</v>
      </c>
      <c r="L4414" s="2">
        <f t="shared" si="68"/>
        <v>28</v>
      </c>
    </row>
    <row r="4415" spans="1:12" ht="25" customHeight="1">
      <c r="A4415" s="2" t="s">
        <v>12</v>
      </c>
      <c r="B4415" s="2" t="str">
        <f>HYPERLINK("http://www.12365auto.com/zlts/20200221/447952.shtml","广汽菲亚特致悦节温器漏水 变速箱漏油失效")</f>
        <v>广汽菲亚特致悦节温器漏水 变速箱漏油失效</v>
      </c>
      <c r="C4415" s="2" t="s">
        <v>13</v>
      </c>
      <c r="D4415" s="2" t="s">
        <v>12</v>
      </c>
      <c r="E4415" s="2" t="s">
        <v>17</v>
      </c>
      <c r="F4415" s="2" t="str">
        <f>HYPERLINK("http://www.12365auto.com/zlts/20200221/447952.shtml","http://www.12365auto.com/zlts/20200221/447952.shtml")</f>
        <v>http://www.12365auto.com/zlts/20200221/447952.shtml</v>
      </c>
      <c r="G4415" s="2"/>
      <c r="H4415" s="2" t="s">
        <v>6302</v>
      </c>
      <c r="I4415" s="2" t="s">
        <v>19</v>
      </c>
      <c r="J4415" s="2" t="s">
        <v>12</v>
      </c>
      <c r="K4415" s="2" t="s">
        <v>6303</v>
      </c>
      <c r="L4415" s="2">
        <f t="shared" si="68"/>
        <v>150</v>
      </c>
    </row>
    <row r="4416" spans="1:12" ht="25" customHeight="1">
      <c r="A4416" s="2" t="s">
        <v>12</v>
      </c>
      <c r="B4416" s="2" t="str">
        <f>HYPERLINK("http://bbs.12365auto.com/postcontent.aspx?tId=194754","飞轮生锈可以免费解决am？")</f>
        <v>飞轮生锈可以免费解决am？</v>
      </c>
      <c r="C4416" s="2" t="s">
        <v>13</v>
      </c>
      <c r="D4416" s="2" t="s">
        <v>12</v>
      </c>
      <c r="E4416" s="2" t="s">
        <v>66</v>
      </c>
      <c r="F4416" s="2" t="str">
        <f>HYPERLINK("http://bbs.12365auto.com/postcontent.aspx?tId=194754","http://bbs.12365auto.com/postcontent.aspx?tId=194754")</f>
        <v>http://bbs.12365auto.com/postcontent.aspx?tId=194754</v>
      </c>
      <c r="G4416" s="2"/>
      <c r="H4416" s="2" t="s">
        <v>6304</v>
      </c>
      <c r="I4416" s="2" t="s">
        <v>15</v>
      </c>
      <c r="J4416" s="2" t="s">
        <v>6305</v>
      </c>
      <c r="K4416" s="2" t="s">
        <v>6306</v>
      </c>
      <c r="L4416" s="2">
        <f t="shared" si="68"/>
        <v>119</v>
      </c>
    </row>
    <row r="4417" spans="1:12" ht="25" customHeight="1">
      <c r="A4417" s="2" t="s">
        <v>12</v>
      </c>
      <c r="B4417" s="2" t="str">
        <f>HYPERLINK("http://bbs.12365auto.com/postcontent.aspx?tId=194753","发动机报警加速无力怎么才能解决？")</f>
        <v>发动机报警加速无力怎么才能解决？</v>
      </c>
      <c r="C4417" s="2" t="s">
        <v>13</v>
      </c>
      <c r="D4417" s="2" t="s">
        <v>12</v>
      </c>
      <c r="E4417" s="2" t="s">
        <v>66</v>
      </c>
      <c r="F4417" s="2" t="str">
        <f>HYPERLINK("http://bbs.12365auto.com/postcontent.aspx?tId=194753","http://bbs.12365auto.com/postcontent.aspx?tId=194753")</f>
        <v>http://bbs.12365auto.com/postcontent.aspx?tId=194753</v>
      </c>
      <c r="G4417" s="2"/>
      <c r="H4417" s="2" t="s">
        <v>6307</v>
      </c>
      <c r="I4417" s="2" t="s">
        <v>15</v>
      </c>
      <c r="J4417" s="2" t="s">
        <v>6308</v>
      </c>
      <c r="K4417" s="2" t="s">
        <v>6306</v>
      </c>
      <c r="L4417" s="2">
        <f t="shared" si="68"/>
        <v>150</v>
      </c>
    </row>
    <row r="4418" spans="1:12" ht="25" customHeight="1">
      <c r="A4418" s="2" t="s">
        <v>12</v>
      </c>
      <c r="B4418" s="2" t="str">
        <f>HYPERLINK("http://m.12365auto.com/bbs/postcontent.aspx?tID=194753","发动机报警加速无力怎么才能解决？")</f>
        <v>发动机报警加速无力怎么才能解决？</v>
      </c>
      <c r="C4418" s="2" t="s">
        <v>13</v>
      </c>
      <c r="D4418" s="2" t="s">
        <v>23</v>
      </c>
      <c r="E4418" s="2"/>
      <c r="F4418" s="2" t="str">
        <f>HYPERLINK("http://m.12365auto.com/bbs/postcontent.aspx?tID=194753","http://m.12365auto.com/bbs/postcontent.aspx?tID=194753")</f>
        <v>http://m.12365auto.com/bbs/postcontent.aspx?tID=194753</v>
      </c>
      <c r="G4418" s="2"/>
      <c r="H4418" s="2" t="s">
        <v>6307</v>
      </c>
      <c r="I4418" s="2" t="s">
        <v>15</v>
      </c>
      <c r="J4418" s="2" t="s">
        <v>6308</v>
      </c>
      <c r="K4418" s="2" t="s">
        <v>6306</v>
      </c>
      <c r="L4418" s="2">
        <f t="shared" si="68"/>
        <v>150</v>
      </c>
    </row>
    <row r="4419" spans="1:12" ht="25" customHeight="1">
      <c r="A4419" s="2" t="s">
        <v>12</v>
      </c>
      <c r="B4419" s="2" t="str">
        <f>HYPERLINK("http://m.12365auto.com/bbs/postcontent.aspx?tID=194754","飞轮生锈可以免费解决am？")</f>
        <v>飞轮生锈可以免费解决am？</v>
      </c>
      <c r="C4419" s="2" t="s">
        <v>13</v>
      </c>
      <c r="D4419" s="2" t="s">
        <v>23</v>
      </c>
      <c r="E4419" s="2"/>
      <c r="F4419" s="2" t="str">
        <f>HYPERLINK("http://m.12365auto.com/bbs/postcontent.aspx?tID=194754","http://m.12365auto.com/bbs/postcontent.aspx?tID=194754")</f>
        <v>http://m.12365auto.com/bbs/postcontent.aspx?tID=194754</v>
      </c>
      <c r="G4419" s="2"/>
      <c r="H4419" s="2" t="s">
        <v>6304</v>
      </c>
      <c r="I4419" s="2" t="s">
        <v>15</v>
      </c>
      <c r="J4419" s="2" t="s">
        <v>6305</v>
      </c>
      <c r="K4419" s="2" t="s">
        <v>6306</v>
      </c>
      <c r="L4419" s="2">
        <f t="shared" ref="L4419:L4482" si="69">LEN(H4419)</f>
        <v>119</v>
      </c>
    </row>
    <row r="4420" spans="1:12" ht="25" customHeight="1">
      <c r="A4420" s="2" t="s">
        <v>12</v>
      </c>
      <c r="B4420" s="2" t="str">
        <f>HYPERLINK("http://bbs.12365auto.com/postcontent.aspx?tID=194754","飞轮生锈可以免费解决am？")</f>
        <v>飞轮生锈可以免费解决am？</v>
      </c>
      <c r="C4420" s="2" t="s">
        <v>13</v>
      </c>
      <c r="D4420" s="2" t="s">
        <v>12</v>
      </c>
      <c r="E4420" s="2" t="s">
        <v>67</v>
      </c>
      <c r="F4420" s="2" t="str">
        <f>HYPERLINK("http://bbs.12365auto.com/postcontent.aspx?tID=194754","http://bbs.12365auto.com/postcontent.aspx?tID=194754")</f>
        <v>http://bbs.12365auto.com/postcontent.aspx?tID=194754</v>
      </c>
      <c r="G4420" s="2"/>
      <c r="H4420" s="2" t="s">
        <v>6309</v>
      </c>
      <c r="I4420" s="2" t="s">
        <v>15</v>
      </c>
      <c r="J4420" s="2" t="s">
        <v>6305</v>
      </c>
      <c r="K4420" s="2" t="s">
        <v>6306</v>
      </c>
      <c r="L4420" s="2">
        <f t="shared" si="69"/>
        <v>132</v>
      </c>
    </row>
    <row r="4421" spans="1:12" ht="25" customHeight="1">
      <c r="A4421" s="2" t="s">
        <v>12</v>
      </c>
      <c r="B4421" s="2" t="str">
        <f>HYPERLINK("http://bbs.12365auto.com/postcontent.aspx?tID=194753","发动机报警加速无力怎么才能解决？")</f>
        <v>发动机报警加速无力怎么才能解决？</v>
      </c>
      <c r="C4421" s="2" t="s">
        <v>13</v>
      </c>
      <c r="D4421" s="2" t="s">
        <v>12</v>
      </c>
      <c r="E4421" s="2" t="s">
        <v>67</v>
      </c>
      <c r="F4421" s="2" t="str">
        <f>HYPERLINK("http://bbs.12365auto.com/postcontent.aspx?tID=194753","http://bbs.12365auto.com/postcontent.aspx?tID=194753")</f>
        <v>http://bbs.12365auto.com/postcontent.aspx?tID=194753</v>
      </c>
      <c r="G4421" s="2"/>
      <c r="H4421" s="2" t="s">
        <v>6310</v>
      </c>
      <c r="I4421" s="2" t="s">
        <v>15</v>
      </c>
      <c r="J4421" s="2" t="s">
        <v>6308</v>
      </c>
      <c r="K4421" s="2" t="s">
        <v>6306</v>
      </c>
      <c r="L4421" s="2">
        <f t="shared" si="69"/>
        <v>150</v>
      </c>
    </row>
    <row r="4422" spans="1:12" ht="25" customHeight="1">
      <c r="A4422" s="2" t="s">
        <v>12</v>
      </c>
      <c r="B4422" s="2" t="str">
        <f>HYPERLINK("http://bbs.12365auto.com/postcontent.aspx?tID=194752","名爵的电瓶质量为什么这么差劲？")</f>
        <v>名爵的电瓶质量为什么这么差劲？</v>
      </c>
      <c r="C4422" s="2" t="s">
        <v>13</v>
      </c>
      <c r="D4422" s="2" t="s">
        <v>12</v>
      </c>
      <c r="E4422" s="2" t="s">
        <v>67</v>
      </c>
      <c r="F4422" s="2" t="str">
        <f>HYPERLINK("http://bbs.12365auto.com/postcontent.aspx?tID=194752","http://bbs.12365auto.com/postcontent.aspx?tID=194752")</f>
        <v>http://bbs.12365auto.com/postcontent.aspx?tID=194752</v>
      </c>
      <c r="G4422" s="2"/>
      <c r="H4422" s="2" t="s">
        <v>6311</v>
      </c>
      <c r="I4422" s="2" t="s">
        <v>15</v>
      </c>
      <c r="J4422" s="2" t="s">
        <v>6312</v>
      </c>
      <c r="K4422" s="2" t="s">
        <v>6313</v>
      </c>
      <c r="L4422" s="2">
        <f t="shared" si="69"/>
        <v>78</v>
      </c>
    </row>
    <row r="4423" spans="1:12" ht="25" customHeight="1">
      <c r="A4423" s="2" t="s">
        <v>12</v>
      </c>
      <c r="B4423" s="2" t="str">
        <f>HYPERLINK("http://bbs.12365auto.com/postcontent.aspx?tId=194752","名爵的电瓶质量为什么这么差劲？")</f>
        <v>名爵的电瓶质量为什么这么差劲？</v>
      </c>
      <c r="C4423" s="2" t="s">
        <v>13</v>
      </c>
      <c r="D4423" s="2" t="s">
        <v>12</v>
      </c>
      <c r="E4423" s="2" t="s">
        <v>66</v>
      </c>
      <c r="F4423" s="2" t="str">
        <f>HYPERLINK("http://bbs.12365auto.com/postcontent.aspx?tId=194752","http://bbs.12365auto.com/postcontent.aspx?tId=194752")</f>
        <v>http://bbs.12365auto.com/postcontent.aspx?tId=194752</v>
      </c>
      <c r="G4423" s="2"/>
      <c r="H4423" s="2" t="s">
        <v>6314</v>
      </c>
      <c r="I4423" s="2" t="s">
        <v>15</v>
      </c>
      <c r="J4423" s="2" t="s">
        <v>6312</v>
      </c>
      <c r="K4423" s="2" t="s">
        <v>6313</v>
      </c>
      <c r="L4423" s="2">
        <f t="shared" si="69"/>
        <v>63</v>
      </c>
    </row>
    <row r="4424" spans="1:12" ht="25" customHeight="1">
      <c r="A4424" s="2" t="s">
        <v>12</v>
      </c>
      <c r="B4424" s="2" t="str">
        <f>HYPERLINK("http://bbs.12365auto.com/postcontent.aspx?tId=194751","轮毂内侧开裂是不是质量问题？")</f>
        <v>轮毂内侧开裂是不是质量问题？</v>
      </c>
      <c r="C4424" s="2" t="s">
        <v>13</v>
      </c>
      <c r="D4424" s="2" t="s">
        <v>12</v>
      </c>
      <c r="E4424" s="2" t="s">
        <v>66</v>
      </c>
      <c r="F4424" s="2" t="str">
        <f>HYPERLINK("http://bbs.12365auto.com/postcontent.aspx?tId=194751","http://bbs.12365auto.com/postcontent.aspx?tId=194751")</f>
        <v>http://bbs.12365auto.com/postcontent.aspx?tId=194751</v>
      </c>
      <c r="G4424" s="2"/>
      <c r="H4424" s="2" t="s">
        <v>6315</v>
      </c>
      <c r="I4424" s="2" t="s">
        <v>15</v>
      </c>
      <c r="J4424" s="2" t="s">
        <v>6316</v>
      </c>
      <c r="K4424" s="2" t="s">
        <v>6313</v>
      </c>
      <c r="L4424" s="2">
        <f t="shared" si="69"/>
        <v>72</v>
      </c>
    </row>
    <row r="4425" spans="1:12" ht="25" customHeight="1">
      <c r="A4425" s="2" t="s">
        <v>12</v>
      </c>
      <c r="B4425" s="2" t="str">
        <f>HYPERLINK("http://m.12365auto.com/bbs/postcontent.aspx?tID=194752","名爵的电瓶质量为什么这么差劲？")</f>
        <v>名爵的电瓶质量为什么这么差劲？</v>
      </c>
      <c r="C4425" s="2" t="s">
        <v>13</v>
      </c>
      <c r="D4425" s="2" t="s">
        <v>23</v>
      </c>
      <c r="E4425" s="2"/>
      <c r="F4425" s="2" t="str">
        <f>HYPERLINK("http://m.12365auto.com/bbs/postcontent.aspx?tID=194752","http://m.12365auto.com/bbs/postcontent.aspx?tID=194752")</f>
        <v>http://m.12365auto.com/bbs/postcontent.aspx?tID=194752</v>
      </c>
      <c r="G4425" s="2"/>
      <c r="H4425" s="2" t="s">
        <v>6314</v>
      </c>
      <c r="I4425" s="2" t="s">
        <v>15</v>
      </c>
      <c r="J4425" s="2" t="s">
        <v>6312</v>
      </c>
      <c r="K4425" s="2" t="s">
        <v>6313</v>
      </c>
      <c r="L4425" s="2">
        <f t="shared" si="69"/>
        <v>63</v>
      </c>
    </row>
    <row r="4426" spans="1:12" ht="25" customHeight="1">
      <c r="A4426" s="2" t="s">
        <v>12</v>
      </c>
      <c r="B4426" s="2" t="str">
        <f>HYPERLINK("http://m.12365auto.com/bbs/postcontent.aspx?tID=194751","轮毂内侧开裂是不是质量问题？")</f>
        <v>轮毂内侧开裂是不是质量问题？</v>
      </c>
      <c r="C4426" s="2" t="s">
        <v>13</v>
      </c>
      <c r="D4426" s="2" t="s">
        <v>23</v>
      </c>
      <c r="E4426" s="2"/>
      <c r="F4426" s="2" t="str">
        <f>HYPERLINK("http://m.12365auto.com/bbs/postcontent.aspx?tID=194751","http://m.12365auto.com/bbs/postcontent.aspx?tID=194751")</f>
        <v>http://m.12365auto.com/bbs/postcontent.aspx?tID=194751</v>
      </c>
      <c r="G4426" s="2"/>
      <c r="H4426" s="2" t="s">
        <v>6315</v>
      </c>
      <c r="I4426" s="2" t="s">
        <v>15</v>
      </c>
      <c r="J4426" s="2" t="s">
        <v>6316</v>
      </c>
      <c r="K4426" s="2" t="s">
        <v>6313</v>
      </c>
      <c r="L4426" s="2">
        <f t="shared" si="69"/>
        <v>72</v>
      </c>
    </row>
    <row r="4427" spans="1:12" ht="25" customHeight="1">
      <c r="A4427" s="2" t="s">
        <v>12</v>
      </c>
      <c r="B4427" s="2" t="str">
        <f>HYPERLINK("http://bbs.12365auto.com/postcontent.aspx?tID=194751","轮毂内侧开裂是不是质量问题？")</f>
        <v>轮毂内侧开裂是不是质量问题？</v>
      </c>
      <c r="C4427" s="2" t="s">
        <v>13</v>
      </c>
      <c r="D4427" s="2" t="s">
        <v>12</v>
      </c>
      <c r="E4427" s="2" t="s">
        <v>67</v>
      </c>
      <c r="F4427" s="2" t="str">
        <f>HYPERLINK("http://bbs.12365auto.com/postcontent.aspx?tID=194751","http://bbs.12365auto.com/postcontent.aspx?tID=194751")</f>
        <v>http://bbs.12365auto.com/postcontent.aspx?tID=194751</v>
      </c>
      <c r="G4427" s="2"/>
      <c r="H4427" s="2" t="s">
        <v>6317</v>
      </c>
      <c r="I4427" s="2" t="s">
        <v>15</v>
      </c>
      <c r="J4427" s="2" t="s">
        <v>6316</v>
      </c>
      <c r="K4427" s="2" t="s">
        <v>6313</v>
      </c>
      <c r="L4427" s="2">
        <f t="shared" si="69"/>
        <v>86</v>
      </c>
    </row>
    <row r="4428" spans="1:12" ht="25" customHeight="1">
      <c r="A4428" s="2" t="s">
        <v>12</v>
      </c>
      <c r="B4428" s="2" t="str">
        <f>HYPERLINK("http://bbs.12365auto.com/postcontent.aspx?tId=194750","发动机机油异常消耗怎么才能解决？")</f>
        <v>发动机机油异常消耗怎么才能解决？</v>
      </c>
      <c r="C4428" s="2" t="s">
        <v>13</v>
      </c>
      <c r="D4428" s="2" t="s">
        <v>12</v>
      </c>
      <c r="E4428" s="2" t="s">
        <v>66</v>
      </c>
      <c r="F4428" s="2" t="str">
        <f>HYPERLINK("http://bbs.12365auto.com/postcontent.aspx?tId=194750","http://bbs.12365auto.com/postcontent.aspx?tId=194750")</f>
        <v>http://bbs.12365auto.com/postcontent.aspx?tId=194750</v>
      </c>
      <c r="G4428" s="2"/>
      <c r="H4428" s="2" t="s">
        <v>6318</v>
      </c>
      <c r="I4428" s="2" t="s">
        <v>15</v>
      </c>
      <c r="J4428" s="2" t="s">
        <v>6319</v>
      </c>
      <c r="K4428" s="2" t="s">
        <v>6320</v>
      </c>
      <c r="L4428" s="2">
        <f t="shared" si="69"/>
        <v>64</v>
      </c>
    </row>
    <row r="4429" spans="1:12" ht="25" customHeight="1">
      <c r="A4429" s="2" t="s">
        <v>12</v>
      </c>
      <c r="B4429" s="2" t="str">
        <f>HYPERLINK("http://m.12365auto.com/bbs/postcontent.aspx?tID=194750","发动机机油异常消耗怎么才能解决？")</f>
        <v>发动机机油异常消耗怎么才能解决？</v>
      </c>
      <c r="C4429" s="2" t="s">
        <v>13</v>
      </c>
      <c r="D4429" s="2" t="s">
        <v>23</v>
      </c>
      <c r="E4429" s="2"/>
      <c r="F4429" s="2" t="str">
        <f>HYPERLINK("http://m.12365auto.com/bbs/postcontent.aspx?tID=194750","http://m.12365auto.com/bbs/postcontent.aspx?tID=194750")</f>
        <v>http://m.12365auto.com/bbs/postcontent.aspx?tID=194750</v>
      </c>
      <c r="G4429" s="2"/>
      <c r="H4429" s="2" t="s">
        <v>6318</v>
      </c>
      <c r="I4429" s="2" t="s">
        <v>15</v>
      </c>
      <c r="J4429" s="2" t="s">
        <v>6319</v>
      </c>
      <c r="K4429" s="2" t="s">
        <v>6320</v>
      </c>
      <c r="L4429" s="2">
        <f t="shared" si="69"/>
        <v>64</v>
      </c>
    </row>
    <row r="4430" spans="1:12" ht="25" customHeight="1">
      <c r="A4430" s="2" t="s">
        <v>12</v>
      </c>
      <c r="B4430" s="2" t="str">
        <f>HYPERLINK("http://bbs.12365auto.com/postcontent.aspx?tID=194750","发动机机油异常消耗怎么才能解决？")</f>
        <v>发动机机油异常消耗怎么才能解决？</v>
      </c>
      <c r="C4430" s="2" t="s">
        <v>13</v>
      </c>
      <c r="D4430" s="2" t="s">
        <v>12</v>
      </c>
      <c r="E4430" s="2" t="s">
        <v>67</v>
      </c>
      <c r="F4430" s="2" t="str">
        <f>HYPERLINK("http://bbs.12365auto.com/postcontent.aspx?tID=194750","http://bbs.12365auto.com/postcontent.aspx?tID=194750")</f>
        <v>http://bbs.12365auto.com/postcontent.aspx?tID=194750</v>
      </c>
      <c r="G4430" s="2"/>
      <c r="H4430" s="2" t="s">
        <v>6321</v>
      </c>
      <c r="I4430" s="2" t="s">
        <v>15</v>
      </c>
      <c r="J4430" s="2" t="s">
        <v>6319</v>
      </c>
      <c r="K4430" s="2" t="s">
        <v>6320</v>
      </c>
      <c r="L4430" s="2">
        <f t="shared" si="69"/>
        <v>80</v>
      </c>
    </row>
    <row r="4431" spans="1:12" ht="25" customHeight="1">
      <c r="A4431" s="2" t="s">
        <v>12</v>
      </c>
      <c r="B4431" s="2" t="str">
        <f>HYPERLINK("http://bbs.12365auto.com/postcontent.aspx?tId=194749","OBD无法连接怎么才能解决？")</f>
        <v>OBD无法连接怎么才能解决？</v>
      </c>
      <c r="C4431" s="2" t="s">
        <v>13</v>
      </c>
      <c r="D4431" s="2" t="s">
        <v>12</v>
      </c>
      <c r="E4431" s="2" t="s">
        <v>66</v>
      </c>
      <c r="F4431" s="2" t="str">
        <f>HYPERLINK("http://bbs.12365auto.com/postcontent.aspx?tId=194749","http://bbs.12365auto.com/postcontent.aspx?tId=194749")</f>
        <v>http://bbs.12365auto.com/postcontent.aspx?tId=194749</v>
      </c>
      <c r="G4431" s="2"/>
      <c r="H4431" s="2" t="s">
        <v>6322</v>
      </c>
      <c r="I4431" s="2" t="s">
        <v>15</v>
      </c>
      <c r="J4431" s="2" t="s">
        <v>6323</v>
      </c>
      <c r="K4431" s="2" t="s">
        <v>6324</v>
      </c>
      <c r="L4431" s="2">
        <f t="shared" si="69"/>
        <v>34</v>
      </c>
    </row>
    <row r="4432" spans="1:12" ht="25" customHeight="1">
      <c r="A4432" s="2" t="s">
        <v>12</v>
      </c>
      <c r="B4432" s="2" t="str">
        <f>HYPERLINK("http://bbs.12365auto.com/postcontent.aspx?tId=194748","变速箱故障是宝马的通病吗？")</f>
        <v>变速箱故障是宝马的通病吗？</v>
      </c>
      <c r="C4432" s="2" t="s">
        <v>13</v>
      </c>
      <c r="D4432" s="2" t="s">
        <v>12</v>
      </c>
      <c r="E4432" s="2" t="s">
        <v>66</v>
      </c>
      <c r="F4432" s="2" t="str">
        <f>HYPERLINK("http://bbs.12365auto.com/postcontent.aspx?tId=194748","http://bbs.12365auto.com/postcontent.aspx?tId=194748")</f>
        <v>http://bbs.12365auto.com/postcontent.aspx?tId=194748</v>
      </c>
      <c r="G4432" s="2"/>
      <c r="H4432" s="2" t="s">
        <v>6325</v>
      </c>
      <c r="I4432" s="2" t="s">
        <v>15</v>
      </c>
      <c r="J4432" s="2" t="s">
        <v>6326</v>
      </c>
      <c r="K4432" s="2" t="s">
        <v>6324</v>
      </c>
      <c r="L4432" s="2">
        <f t="shared" si="69"/>
        <v>78</v>
      </c>
    </row>
    <row r="4433" spans="1:12" ht="25" customHeight="1">
      <c r="A4433" s="2" t="s">
        <v>12</v>
      </c>
      <c r="B4433" s="2" t="str">
        <f>HYPERLINK("http://m.12365auto.com/bbs/postcontent.aspx?tID=194748","变速箱故障是宝马的通病吗？")</f>
        <v>变速箱故障是宝马的通病吗？</v>
      </c>
      <c r="C4433" s="2" t="s">
        <v>13</v>
      </c>
      <c r="D4433" s="2" t="s">
        <v>23</v>
      </c>
      <c r="E4433" s="2"/>
      <c r="F4433" s="2" t="str">
        <f>HYPERLINK("http://m.12365auto.com/bbs/postcontent.aspx?tID=194748","http://m.12365auto.com/bbs/postcontent.aspx?tID=194748")</f>
        <v>http://m.12365auto.com/bbs/postcontent.aspx?tID=194748</v>
      </c>
      <c r="G4433" s="2"/>
      <c r="H4433" s="2" t="s">
        <v>6325</v>
      </c>
      <c r="I4433" s="2" t="s">
        <v>15</v>
      </c>
      <c r="J4433" s="2" t="s">
        <v>6326</v>
      </c>
      <c r="K4433" s="2" t="s">
        <v>6324</v>
      </c>
      <c r="L4433" s="2">
        <f t="shared" si="69"/>
        <v>78</v>
      </c>
    </row>
    <row r="4434" spans="1:12" ht="25" customHeight="1">
      <c r="A4434" s="2" t="s">
        <v>12</v>
      </c>
      <c r="B4434" s="2" t="str">
        <f>HYPERLINK("http://m.12365auto.com/bbs/postcontent.aspx?tID=194749","OBD无法连接怎么才能解决？")</f>
        <v>OBD无法连接怎么才能解决？</v>
      </c>
      <c r="C4434" s="2" t="s">
        <v>13</v>
      </c>
      <c r="D4434" s="2" t="s">
        <v>23</v>
      </c>
      <c r="E4434" s="2"/>
      <c r="F4434" s="2" t="str">
        <f>HYPERLINK("http://m.12365auto.com/bbs/postcontent.aspx?tID=194749","http://m.12365auto.com/bbs/postcontent.aspx?tID=194749")</f>
        <v>http://m.12365auto.com/bbs/postcontent.aspx?tID=194749</v>
      </c>
      <c r="G4434" s="2"/>
      <c r="H4434" s="2" t="s">
        <v>6322</v>
      </c>
      <c r="I4434" s="2" t="s">
        <v>15</v>
      </c>
      <c r="J4434" s="2" t="s">
        <v>6323</v>
      </c>
      <c r="K4434" s="2" t="s">
        <v>6324</v>
      </c>
      <c r="L4434" s="2">
        <f t="shared" si="69"/>
        <v>34</v>
      </c>
    </row>
    <row r="4435" spans="1:12" ht="25" customHeight="1">
      <c r="A4435" s="2" t="s">
        <v>12</v>
      </c>
      <c r="B4435" s="2" t="str">
        <f>HYPERLINK("http://bbs.12365auto.com/postcontent.aspx?tID=194748","变速箱故障是宝马的通病吗？")</f>
        <v>变速箱故障是宝马的通病吗？</v>
      </c>
      <c r="C4435" s="2" t="s">
        <v>13</v>
      </c>
      <c r="D4435" s="2" t="s">
        <v>12</v>
      </c>
      <c r="E4435" s="2" t="s">
        <v>67</v>
      </c>
      <c r="F4435" s="2" t="str">
        <f>HYPERLINK("http://bbs.12365auto.com/postcontent.aspx?tID=194748","http://bbs.12365auto.com/postcontent.aspx?tID=194748")</f>
        <v>http://bbs.12365auto.com/postcontent.aspx?tID=194748</v>
      </c>
      <c r="G4435" s="2"/>
      <c r="H4435" s="2" t="s">
        <v>6327</v>
      </c>
      <c r="I4435" s="2" t="s">
        <v>15</v>
      </c>
      <c r="J4435" s="2" t="s">
        <v>6326</v>
      </c>
      <c r="K4435" s="2" t="s">
        <v>6324</v>
      </c>
      <c r="L4435" s="2">
        <f t="shared" si="69"/>
        <v>91</v>
      </c>
    </row>
    <row r="4436" spans="1:12" ht="25" customHeight="1">
      <c r="A4436" s="2" t="s">
        <v>12</v>
      </c>
      <c r="B4436" s="2" t="str">
        <f>HYPERLINK("http://bbs.12365auto.com/postcontent.aspx?tID=194749","OBD无法连接怎么才能解决？")</f>
        <v>OBD无法连接怎么才能解决？</v>
      </c>
      <c r="C4436" s="2" t="s">
        <v>13</v>
      </c>
      <c r="D4436" s="2" t="s">
        <v>12</v>
      </c>
      <c r="E4436" s="2" t="s">
        <v>67</v>
      </c>
      <c r="F4436" s="2" t="str">
        <f>HYPERLINK("http://bbs.12365auto.com/postcontent.aspx?tID=194749","http://bbs.12365auto.com/postcontent.aspx?tID=194749")</f>
        <v>http://bbs.12365auto.com/postcontent.aspx?tID=194749</v>
      </c>
      <c r="G4436" s="2"/>
      <c r="H4436" s="2" t="s">
        <v>6328</v>
      </c>
      <c r="I4436" s="2" t="s">
        <v>15</v>
      </c>
      <c r="J4436" s="2" t="s">
        <v>6323</v>
      </c>
      <c r="K4436" s="2" t="s">
        <v>6324</v>
      </c>
      <c r="L4436" s="2">
        <f t="shared" si="69"/>
        <v>48</v>
      </c>
    </row>
    <row r="4437" spans="1:12" ht="25" customHeight="1">
      <c r="A4437" s="2" t="s">
        <v>12</v>
      </c>
      <c r="B4437" s="2" t="str">
        <f>HYPERLINK("http://bbs.12365auto.com/postcontent.aspx?tId=194747","A柱偷工减料帕萨塔还有销量吗？")</f>
        <v>A柱偷工减料帕萨塔还有销量吗？</v>
      </c>
      <c r="C4437" s="2" t="s">
        <v>13</v>
      </c>
      <c r="D4437" s="2" t="s">
        <v>12</v>
      </c>
      <c r="E4437" s="2" t="s">
        <v>66</v>
      </c>
      <c r="F4437" s="2" t="str">
        <f>HYPERLINK("http://bbs.12365auto.com/postcontent.aspx?tId=194747","http://bbs.12365auto.com/postcontent.aspx?tId=194747")</f>
        <v>http://bbs.12365auto.com/postcontent.aspx?tId=194747</v>
      </c>
      <c r="G4437" s="2"/>
      <c r="H4437" s="2" t="s">
        <v>6329</v>
      </c>
      <c r="I4437" s="2" t="s">
        <v>15</v>
      </c>
      <c r="J4437" s="2" t="s">
        <v>6330</v>
      </c>
      <c r="K4437" s="2" t="s">
        <v>6331</v>
      </c>
      <c r="L4437" s="2">
        <f t="shared" si="69"/>
        <v>150</v>
      </c>
    </row>
    <row r="4438" spans="1:12" ht="25" customHeight="1">
      <c r="A4438" s="2" t="s">
        <v>12</v>
      </c>
      <c r="B4438" s="2" t="str">
        <f>HYPERLINK("http://m.12365auto.com/bbs/postcontent.aspx?tID=194747","A柱偷工减料帕萨塔还有销量吗？")</f>
        <v>A柱偷工减料帕萨塔还有销量吗？</v>
      </c>
      <c r="C4438" s="2" t="s">
        <v>13</v>
      </c>
      <c r="D4438" s="2" t="s">
        <v>23</v>
      </c>
      <c r="E4438" s="2"/>
      <c r="F4438" s="2" t="str">
        <f>HYPERLINK("http://m.12365auto.com/bbs/postcontent.aspx?tID=194747","http://m.12365auto.com/bbs/postcontent.aspx?tID=194747")</f>
        <v>http://m.12365auto.com/bbs/postcontent.aspx?tID=194747</v>
      </c>
      <c r="G4438" s="2"/>
      <c r="H4438" s="2" t="s">
        <v>6329</v>
      </c>
      <c r="I4438" s="2" t="s">
        <v>15</v>
      </c>
      <c r="J4438" s="2" t="s">
        <v>6330</v>
      </c>
      <c r="K4438" s="2" t="s">
        <v>6331</v>
      </c>
      <c r="L4438" s="2">
        <f t="shared" si="69"/>
        <v>150</v>
      </c>
    </row>
    <row r="4439" spans="1:12" ht="25" customHeight="1">
      <c r="A4439" s="2" t="s">
        <v>12</v>
      </c>
      <c r="B4439" s="2" t="str">
        <f>HYPERLINK("http://bbs.12365auto.com/postcontent.aspx?tID=194747","A柱偷工减料帕萨塔还有销量吗？")</f>
        <v>A柱偷工减料帕萨塔还有销量吗？</v>
      </c>
      <c r="C4439" s="2" t="s">
        <v>13</v>
      </c>
      <c r="D4439" s="2" t="s">
        <v>12</v>
      </c>
      <c r="E4439" s="2" t="s">
        <v>67</v>
      </c>
      <c r="F4439" s="2" t="str">
        <f>HYPERLINK("http://bbs.12365auto.com/postcontent.aspx?tID=194747","http://bbs.12365auto.com/postcontent.aspx?tID=194747")</f>
        <v>http://bbs.12365auto.com/postcontent.aspx?tID=194747</v>
      </c>
      <c r="G4439" s="2"/>
      <c r="H4439" s="2" t="s">
        <v>6332</v>
      </c>
      <c r="I4439" s="2" t="s">
        <v>15</v>
      </c>
      <c r="J4439" s="2" t="s">
        <v>6330</v>
      </c>
      <c r="K4439" s="2" t="s">
        <v>6331</v>
      </c>
      <c r="L4439" s="2">
        <f t="shared" si="69"/>
        <v>150</v>
      </c>
    </row>
    <row r="4440" spans="1:12" ht="25" customHeight="1">
      <c r="A4440" s="2" t="s">
        <v>12</v>
      </c>
      <c r="B4440" s="2" t="str">
        <f>HYPERLINK("http://bbs.12365auto.com/postcontent.aspx?tId=194746","奇骏冒黑烟是不是共性问题？")</f>
        <v>奇骏冒黑烟是不是共性问题？</v>
      </c>
      <c r="C4440" s="2" t="s">
        <v>13</v>
      </c>
      <c r="D4440" s="2" t="s">
        <v>12</v>
      </c>
      <c r="E4440" s="2" t="s">
        <v>66</v>
      </c>
      <c r="F4440" s="2" t="str">
        <f>HYPERLINK("http://bbs.12365auto.com/postcontent.aspx?tId=194746","http://bbs.12365auto.com/postcontent.aspx?tId=194746")</f>
        <v>http://bbs.12365auto.com/postcontent.aspx?tId=194746</v>
      </c>
      <c r="G4440" s="2"/>
      <c r="H4440" s="2" t="s">
        <v>6333</v>
      </c>
      <c r="I4440" s="2" t="s">
        <v>15</v>
      </c>
      <c r="J4440" s="2" t="s">
        <v>6334</v>
      </c>
      <c r="K4440" s="2" t="s">
        <v>6335</v>
      </c>
      <c r="L4440" s="2">
        <f t="shared" si="69"/>
        <v>73</v>
      </c>
    </row>
    <row r="4441" spans="1:12" ht="25" customHeight="1">
      <c r="A4441" s="2" t="s">
        <v>12</v>
      </c>
      <c r="B4441" s="2" t="str">
        <f>HYPERLINK("http://m.12365auto.com/bbs/postcontent.aspx?tID=194746","奇骏冒黑烟是不是共性问题？")</f>
        <v>奇骏冒黑烟是不是共性问题？</v>
      </c>
      <c r="C4441" s="2" t="s">
        <v>13</v>
      </c>
      <c r="D4441" s="2" t="s">
        <v>23</v>
      </c>
      <c r="E4441" s="2"/>
      <c r="F4441" s="2" t="str">
        <f>HYPERLINK("http://m.12365auto.com/bbs/postcontent.aspx?tID=194746","http://m.12365auto.com/bbs/postcontent.aspx?tID=194746")</f>
        <v>http://m.12365auto.com/bbs/postcontent.aspx?tID=194746</v>
      </c>
      <c r="G4441" s="2"/>
      <c r="H4441" s="2" t="s">
        <v>6333</v>
      </c>
      <c r="I4441" s="2" t="s">
        <v>15</v>
      </c>
      <c r="J4441" s="2" t="s">
        <v>6334</v>
      </c>
      <c r="K4441" s="2" t="s">
        <v>6335</v>
      </c>
      <c r="L4441" s="2">
        <f t="shared" si="69"/>
        <v>73</v>
      </c>
    </row>
    <row r="4442" spans="1:12" ht="25" customHeight="1">
      <c r="A4442" s="2" t="s">
        <v>12</v>
      </c>
      <c r="B4442" s="2" t="str">
        <f>HYPERLINK("http://bbs.12365auto.com/postcontent.aspx?tID=194746","奇骏冒黑烟是不是共性问题？")</f>
        <v>奇骏冒黑烟是不是共性问题？</v>
      </c>
      <c r="C4442" s="2" t="s">
        <v>13</v>
      </c>
      <c r="D4442" s="2" t="s">
        <v>12</v>
      </c>
      <c r="E4442" s="2" t="s">
        <v>67</v>
      </c>
      <c r="F4442" s="2" t="str">
        <f>HYPERLINK("http://bbs.12365auto.com/postcontent.aspx?tID=194746","http://bbs.12365auto.com/postcontent.aspx?tID=194746")</f>
        <v>http://bbs.12365auto.com/postcontent.aspx?tID=194746</v>
      </c>
      <c r="G4442" s="2"/>
      <c r="H4442" s="2" t="s">
        <v>6336</v>
      </c>
      <c r="I4442" s="2" t="s">
        <v>15</v>
      </c>
      <c r="J4442" s="2" t="s">
        <v>6334</v>
      </c>
      <c r="K4442" s="2" t="s">
        <v>6335</v>
      </c>
      <c r="L4442" s="2">
        <f t="shared" si="69"/>
        <v>86</v>
      </c>
    </row>
    <row r="4443" spans="1:12" ht="25" customHeight="1">
      <c r="A4443" s="2" t="s">
        <v>12</v>
      </c>
      <c r="B4443" s="2" t="str">
        <f>HYPERLINK("http://bbs.12365auto.com/postcontent.aspx?tId=194744","发动机漏防冻液电瓶亏电是众泰的通病吗？")</f>
        <v>发动机漏防冻液电瓶亏电是众泰的通病吗？</v>
      </c>
      <c r="C4443" s="2" t="s">
        <v>13</v>
      </c>
      <c r="D4443" s="2" t="s">
        <v>12</v>
      </c>
      <c r="E4443" s="2" t="s">
        <v>66</v>
      </c>
      <c r="F4443" s="2" t="str">
        <f>HYPERLINK("http://bbs.12365auto.com/postcontent.aspx?tId=194744","http://bbs.12365auto.com/postcontent.aspx?tId=194744")</f>
        <v>http://bbs.12365auto.com/postcontent.aspx?tId=194744</v>
      </c>
      <c r="G4443" s="2"/>
      <c r="H4443" s="2" t="s">
        <v>6337</v>
      </c>
      <c r="I4443" s="2" t="s">
        <v>15</v>
      </c>
      <c r="J4443" s="2" t="s">
        <v>6338</v>
      </c>
      <c r="K4443" s="2" t="s">
        <v>6339</v>
      </c>
      <c r="L4443" s="2">
        <f t="shared" si="69"/>
        <v>120</v>
      </c>
    </row>
    <row r="4444" spans="1:12" ht="25" customHeight="1">
      <c r="A4444" s="2" t="s">
        <v>12</v>
      </c>
      <c r="B4444" s="2" t="str">
        <f>HYPERLINK("http://bbs.12365auto.com/postcontent.aspx?tId=194745","哈弗烧机油问题确实是比较多的怎么办？")</f>
        <v>哈弗烧机油问题确实是比较多的怎么办？</v>
      </c>
      <c r="C4444" s="2" t="s">
        <v>13</v>
      </c>
      <c r="D4444" s="2" t="s">
        <v>12</v>
      </c>
      <c r="E4444" s="2" t="s">
        <v>66</v>
      </c>
      <c r="F4444" s="2" t="str">
        <f>HYPERLINK("http://bbs.12365auto.com/postcontent.aspx?tId=194745","http://bbs.12365auto.com/postcontent.aspx?tId=194745")</f>
        <v>http://bbs.12365auto.com/postcontent.aspx?tId=194745</v>
      </c>
      <c r="G4444" s="2"/>
      <c r="H4444" s="2" t="s">
        <v>6340</v>
      </c>
      <c r="I4444" s="2" t="s">
        <v>15</v>
      </c>
      <c r="J4444" s="2" t="s">
        <v>6341</v>
      </c>
      <c r="K4444" s="2" t="s">
        <v>6339</v>
      </c>
      <c r="L4444" s="2">
        <f t="shared" si="69"/>
        <v>150</v>
      </c>
    </row>
    <row r="4445" spans="1:12" ht="25" customHeight="1">
      <c r="A4445" s="2" t="s">
        <v>12</v>
      </c>
      <c r="B4445" s="2" t="str">
        <f>HYPERLINK("http://m.12365auto.com/bbs/postcontent.aspx?tID=194745&amp;i=1","哈弗烧机油问题确实是比较多的怎么办？")</f>
        <v>哈弗烧机油问题确实是比较多的怎么办？</v>
      </c>
      <c r="C4445" s="2" t="s">
        <v>13</v>
      </c>
      <c r="D4445" s="2" t="s">
        <v>23</v>
      </c>
      <c r="E4445" s="2"/>
      <c r="F4445" s="2" t="str">
        <f>HYPERLINK("http://m.12365auto.com/bbs/postcontent.aspx?tID=194745&amp;i=1","http://m.12365auto.com/bbs/postcontent.aspx?tID=194745&amp;i=1")</f>
        <v>http://m.12365auto.com/bbs/postcontent.aspx?tID=194745&amp;i=1</v>
      </c>
      <c r="G4445" s="2"/>
      <c r="H4445" s="2" t="s">
        <v>6340</v>
      </c>
      <c r="I4445" s="2" t="s">
        <v>15</v>
      </c>
      <c r="J4445" s="2" t="s">
        <v>6341</v>
      </c>
      <c r="K4445" s="2" t="s">
        <v>6339</v>
      </c>
      <c r="L4445" s="2">
        <f t="shared" si="69"/>
        <v>150</v>
      </c>
    </row>
    <row r="4446" spans="1:12" ht="25" customHeight="1">
      <c r="A4446" s="2" t="s">
        <v>12</v>
      </c>
      <c r="B4446" s="2" t="str">
        <f>HYPERLINK("http://m.12365auto.com/bbs/postcontent.aspx?tID=194745","哈弗烧机油问题确实是比较多的怎么办？")</f>
        <v>哈弗烧机油问题确实是比较多的怎么办？</v>
      </c>
      <c r="C4446" s="2" t="s">
        <v>13</v>
      </c>
      <c r="D4446" s="2" t="s">
        <v>23</v>
      </c>
      <c r="E4446" s="2"/>
      <c r="F4446" s="2" t="str">
        <f>HYPERLINK("http://m.12365auto.com/bbs/postcontent.aspx?tID=194745","http://m.12365auto.com/bbs/postcontent.aspx?tID=194745")</f>
        <v>http://m.12365auto.com/bbs/postcontent.aspx?tID=194745</v>
      </c>
      <c r="G4446" s="2"/>
      <c r="H4446" s="2" t="s">
        <v>6340</v>
      </c>
      <c r="I4446" s="2" t="s">
        <v>15</v>
      </c>
      <c r="J4446" s="2" t="s">
        <v>6341</v>
      </c>
      <c r="K4446" s="2" t="s">
        <v>6339</v>
      </c>
      <c r="L4446" s="2">
        <f t="shared" si="69"/>
        <v>150</v>
      </c>
    </row>
    <row r="4447" spans="1:12" ht="25" customHeight="1">
      <c r="A4447" s="2" t="s">
        <v>12</v>
      </c>
      <c r="B4447" s="2" t="str">
        <f>HYPERLINK("http://bbs.12365auto.com/postcontent.aspx?tID=194745","哈弗烧机油问题确实是比较多的怎么办？")</f>
        <v>哈弗烧机油问题确实是比较多的怎么办？</v>
      </c>
      <c r="C4447" s="2" t="s">
        <v>13</v>
      </c>
      <c r="D4447" s="2" t="s">
        <v>12</v>
      </c>
      <c r="E4447" s="2" t="s">
        <v>67</v>
      </c>
      <c r="F4447" s="2" t="str">
        <f>HYPERLINK("http://bbs.12365auto.com/postcontent.aspx?tID=194745","http://bbs.12365auto.com/postcontent.aspx?tID=194745")</f>
        <v>http://bbs.12365auto.com/postcontent.aspx?tID=194745</v>
      </c>
      <c r="G4447" s="2"/>
      <c r="H4447" s="2" t="s">
        <v>6342</v>
      </c>
      <c r="I4447" s="2" t="s">
        <v>15</v>
      </c>
      <c r="J4447" s="2" t="s">
        <v>6341</v>
      </c>
      <c r="K4447" s="2" t="s">
        <v>6339</v>
      </c>
      <c r="L4447" s="2">
        <f t="shared" si="69"/>
        <v>150</v>
      </c>
    </row>
    <row r="4448" spans="1:12" ht="25" customHeight="1">
      <c r="A4448" s="2" t="s">
        <v>12</v>
      </c>
      <c r="B4448" s="2" t="str">
        <f>HYPERLINK("http://bbs.12365auto.com/postcontent.aspx?tID=194744","发动机漏防冻液电瓶亏电是众泰的通病吗？")</f>
        <v>发动机漏防冻液电瓶亏电是众泰的通病吗？</v>
      </c>
      <c r="C4448" s="2" t="s">
        <v>13</v>
      </c>
      <c r="D4448" s="2" t="s">
        <v>12</v>
      </c>
      <c r="E4448" s="2" t="s">
        <v>67</v>
      </c>
      <c r="F4448" s="2" t="str">
        <f>HYPERLINK("http://bbs.12365auto.com/postcontent.aspx?tID=194744","http://bbs.12365auto.com/postcontent.aspx?tID=194744")</f>
        <v>http://bbs.12365auto.com/postcontent.aspx?tID=194744</v>
      </c>
      <c r="G4448" s="2"/>
      <c r="H4448" s="2" t="s">
        <v>6343</v>
      </c>
      <c r="I4448" s="2" t="s">
        <v>15</v>
      </c>
      <c r="J4448" s="2" t="s">
        <v>6338</v>
      </c>
      <c r="K4448" s="2" t="s">
        <v>6339</v>
      </c>
      <c r="L4448" s="2">
        <f t="shared" si="69"/>
        <v>139</v>
      </c>
    </row>
    <row r="4449" spans="1:12" ht="25" customHeight="1">
      <c r="A4449" s="2" t="s">
        <v>12</v>
      </c>
      <c r="B4449" s="2" t="str">
        <f>HYPERLINK("http://bbs.12365auto.com/postcontent.aspx?tId=194743","北汽幻速S6变速箱故障灯报警 质保在么哪里！")</f>
        <v>北汽幻速S6变速箱故障灯报警 质保在么哪里！</v>
      </c>
      <c r="C4449" s="2" t="s">
        <v>13</v>
      </c>
      <c r="D4449" s="2" t="s">
        <v>12</v>
      </c>
      <c r="E4449" s="2" t="s">
        <v>66</v>
      </c>
      <c r="F4449" s="2" t="str">
        <f>HYPERLINK("http://bbs.12365auto.com/postcontent.aspx?tId=194743","http://bbs.12365auto.com/postcontent.aspx?tId=194743")</f>
        <v>http://bbs.12365auto.com/postcontent.aspx?tId=194743</v>
      </c>
      <c r="G4449" s="2"/>
      <c r="H4449" s="2" t="s">
        <v>6344</v>
      </c>
      <c r="I4449" s="2" t="s">
        <v>15</v>
      </c>
      <c r="J4449" s="2" t="s">
        <v>6345</v>
      </c>
      <c r="K4449" s="2" t="s">
        <v>6346</v>
      </c>
      <c r="L4449" s="2">
        <f t="shared" si="69"/>
        <v>150</v>
      </c>
    </row>
    <row r="4450" spans="1:12" ht="25" customHeight="1">
      <c r="A4450" s="2" t="s">
        <v>12</v>
      </c>
      <c r="B4450" s="2" t="str">
        <f>HYPERLINK("http://bbs.12365auto.com/postcontent.aspx?tID=194743","北汽幻速S6变速箱故障灯报警 质保在么哪里！")</f>
        <v>北汽幻速S6变速箱故障灯报警 质保在么哪里！</v>
      </c>
      <c r="C4450" s="2" t="s">
        <v>13</v>
      </c>
      <c r="D4450" s="2" t="s">
        <v>12</v>
      </c>
      <c r="E4450" s="2" t="s">
        <v>67</v>
      </c>
      <c r="F4450" s="2" t="str">
        <f>HYPERLINK("http://bbs.12365auto.com/postcontent.aspx?tID=194743","http://bbs.12365auto.com/postcontent.aspx?tID=194743")</f>
        <v>http://bbs.12365auto.com/postcontent.aspx?tID=194743</v>
      </c>
      <c r="G4450" s="2"/>
      <c r="H4450" s="2" t="s">
        <v>6347</v>
      </c>
      <c r="I4450" s="2" t="s">
        <v>15</v>
      </c>
      <c r="J4450" s="2" t="s">
        <v>6345</v>
      </c>
      <c r="K4450" s="2" t="s">
        <v>6346</v>
      </c>
      <c r="L4450" s="2">
        <f t="shared" si="69"/>
        <v>150</v>
      </c>
    </row>
    <row r="4451" spans="1:12" ht="25" customHeight="1">
      <c r="A4451" s="2" t="s">
        <v>12</v>
      </c>
      <c r="B4451" s="2" t="str">
        <f>HYPERLINK("http://bbs.12365auto.com/postcontent.aspx?tId=194742","艾瑞泽5行驶中发动机异响厂家不解决啊！")</f>
        <v>艾瑞泽5行驶中发动机异响厂家不解决啊！</v>
      </c>
      <c r="C4451" s="2" t="s">
        <v>13</v>
      </c>
      <c r="D4451" s="2" t="s">
        <v>12</v>
      </c>
      <c r="E4451" s="2" t="s">
        <v>66</v>
      </c>
      <c r="F4451" s="2" t="str">
        <f>HYPERLINK("http://bbs.12365auto.com/postcontent.aspx?tId=194742","http://bbs.12365auto.com/postcontent.aspx?tId=194742")</f>
        <v>http://bbs.12365auto.com/postcontent.aspx?tId=194742</v>
      </c>
      <c r="G4451" s="2"/>
      <c r="H4451" s="2" t="s">
        <v>6348</v>
      </c>
      <c r="I4451" s="2" t="s">
        <v>15</v>
      </c>
      <c r="J4451" s="2" t="s">
        <v>6349</v>
      </c>
      <c r="K4451" s="2" t="s">
        <v>6350</v>
      </c>
      <c r="L4451" s="2">
        <f t="shared" si="69"/>
        <v>127</v>
      </c>
    </row>
    <row r="4452" spans="1:12" ht="25" customHeight="1">
      <c r="A4452" s="2" t="s">
        <v>12</v>
      </c>
      <c r="B4452" s="2" t="str">
        <f>HYPERLINK("http://www.12365auto.com/zlts/20200221/447951.shtml","东风本田思域优科豪马轮胎掉皮 刹车异响")</f>
        <v>东风本田思域优科豪马轮胎掉皮 刹车异响</v>
      </c>
      <c r="C4452" s="2" t="s">
        <v>13</v>
      </c>
      <c r="D4452" s="2" t="s">
        <v>12</v>
      </c>
      <c r="E4452" s="2" t="s">
        <v>17</v>
      </c>
      <c r="F4452" s="2" t="str">
        <f>HYPERLINK("http://www.12365auto.com/zlts/20200221/447951.shtml","http://www.12365auto.com/zlts/20200221/447951.shtml")</f>
        <v>http://www.12365auto.com/zlts/20200221/447951.shtml</v>
      </c>
      <c r="G4452" s="2"/>
      <c r="H4452" s="2" t="s">
        <v>6351</v>
      </c>
      <c r="I4452" s="2" t="s">
        <v>19</v>
      </c>
      <c r="J4452" s="2" t="s">
        <v>12</v>
      </c>
      <c r="K4452" s="2" t="s">
        <v>6350</v>
      </c>
      <c r="L4452" s="2">
        <f t="shared" si="69"/>
        <v>150</v>
      </c>
    </row>
    <row r="4453" spans="1:12" ht="25" customHeight="1">
      <c r="A4453" s="2" t="s">
        <v>12</v>
      </c>
      <c r="B4453" s="2" t="str">
        <f>HYPERLINK("http://bbs.12365auto.com/postcontent.aspx?tID=194742","艾瑞泽5行驶中发动机异响厂家不解决啊！")</f>
        <v>艾瑞泽5行驶中发动机异响厂家不解决啊！</v>
      </c>
      <c r="C4453" s="2" t="s">
        <v>13</v>
      </c>
      <c r="D4453" s="2" t="s">
        <v>12</v>
      </c>
      <c r="E4453" s="2" t="s">
        <v>67</v>
      </c>
      <c r="F4453" s="2" t="str">
        <f>HYPERLINK("http://bbs.12365auto.com/postcontent.aspx?tID=194742","http://bbs.12365auto.com/postcontent.aspx?tID=194742")</f>
        <v>http://bbs.12365auto.com/postcontent.aspx?tID=194742</v>
      </c>
      <c r="G4453" s="2"/>
      <c r="H4453" s="2" t="s">
        <v>6352</v>
      </c>
      <c r="I4453" s="2" t="s">
        <v>15</v>
      </c>
      <c r="J4453" s="2" t="s">
        <v>6349</v>
      </c>
      <c r="K4453" s="2" t="s">
        <v>6350</v>
      </c>
      <c r="L4453" s="2">
        <f t="shared" si="69"/>
        <v>150</v>
      </c>
    </row>
    <row r="4454" spans="1:12" ht="25" customHeight="1">
      <c r="A4454" s="2" t="s">
        <v>12</v>
      </c>
      <c r="B4454" s="2" t="str">
        <f>HYPERLINK("http://bbs.12365auto.com/postcontent.aspx?tId=194741","探岳变速箱和发动机异响 还上坡无力")</f>
        <v>探岳变速箱和发动机异响 还上坡无力</v>
      </c>
      <c r="C4454" s="2" t="s">
        <v>13</v>
      </c>
      <c r="D4454" s="2" t="s">
        <v>12</v>
      </c>
      <c r="E4454" s="2" t="s">
        <v>66</v>
      </c>
      <c r="F4454" s="2" t="str">
        <f>HYPERLINK("http://bbs.12365auto.com/postcontent.aspx?tId=194741","http://bbs.12365auto.com/postcontent.aspx?tId=194741")</f>
        <v>http://bbs.12365auto.com/postcontent.aspx?tId=194741</v>
      </c>
      <c r="G4454" s="2"/>
      <c r="H4454" s="2" t="s">
        <v>6353</v>
      </c>
      <c r="I4454" s="2" t="s">
        <v>15</v>
      </c>
      <c r="J4454" s="2" t="s">
        <v>2162</v>
      </c>
      <c r="K4454" s="2" t="s">
        <v>6354</v>
      </c>
      <c r="L4454" s="2">
        <f t="shared" si="69"/>
        <v>42</v>
      </c>
    </row>
    <row r="4455" spans="1:12" ht="25" customHeight="1">
      <c r="A4455" s="2" t="s">
        <v>12</v>
      </c>
      <c r="B4455" s="2" t="str">
        <f>HYPERLINK("http://bbs.12365auto.com/postcontent.aspx?tID=194741","探岳变速箱和发动机异响 还上坡无力")</f>
        <v>探岳变速箱和发动机异响 还上坡无力</v>
      </c>
      <c r="C4455" s="2" t="s">
        <v>13</v>
      </c>
      <c r="D4455" s="2" t="s">
        <v>12</v>
      </c>
      <c r="E4455" s="2" t="s">
        <v>67</v>
      </c>
      <c r="F4455" s="2" t="str">
        <f>HYPERLINK("http://bbs.12365auto.com/postcontent.aspx?tID=194741","http://bbs.12365auto.com/postcontent.aspx?tID=194741")</f>
        <v>http://bbs.12365auto.com/postcontent.aspx?tID=194741</v>
      </c>
      <c r="G4455" s="2"/>
      <c r="H4455" s="2" t="s">
        <v>6355</v>
      </c>
      <c r="I4455" s="2" t="s">
        <v>15</v>
      </c>
      <c r="J4455" s="2" t="s">
        <v>2162</v>
      </c>
      <c r="K4455" s="2" t="s">
        <v>6354</v>
      </c>
      <c r="L4455" s="2">
        <f t="shared" si="69"/>
        <v>67</v>
      </c>
    </row>
    <row r="4456" spans="1:12" ht="25" customHeight="1">
      <c r="A4456" s="2" t="s">
        <v>12</v>
      </c>
      <c r="B4456" s="2" t="str">
        <f>HYPERLINK("http://www.12365auto.com/xcdg/20200221/419127.shtml","三种车身形式 标致Landtrek皮卡官图发布")</f>
        <v>三种车身形式 标致Landtrek皮卡官图发布</v>
      </c>
      <c r="C4456" s="2" t="s">
        <v>13</v>
      </c>
      <c r="D4456" s="2" t="s">
        <v>12</v>
      </c>
      <c r="E4456" s="2" t="s">
        <v>245</v>
      </c>
      <c r="F4456" s="2" t="str">
        <f>HYPERLINK("http://www.12365auto.com/xcdg/20200221/419127.shtml","http://www.12365auto.com/xcdg/20200221/419127.shtml")</f>
        <v>http://www.12365auto.com/xcdg/20200221/419127.shtml</v>
      </c>
      <c r="G4456" s="2"/>
      <c r="H4456" s="2" t="s">
        <v>6356</v>
      </c>
      <c r="I4456" s="2" t="s">
        <v>19</v>
      </c>
      <c r="J4456" s="2" t="s">
        <v>12</v>
      </c>
      <c r="K4456" s="2" t="s">
        <v>6357</v>
      </c>
      <c r="L4456" s="2">
        <f t="shared" si="69"/>
        <v>150</v>
      </c>
    </row>
    <row r="4457" spans="1:12" ht="25" customHeight="1">
      <c r="A4457" s="2" t="s">
        <v>12</v>
      </c>
      <c r="B4457" s="2" t="str">
        <f>HYPERLINK("http://bbs.12365auto.com/postcontent.aspx?tId=194740","大众奥迪Q3高压油泵异响")</f>
        <v>大众奥迪Q3高压油泵异响</v>
      </c>
      <c r="C4457" s="2" t="s">
        <v>13</v>
      </c>
      <c r="D4457" s="2" t="s">
        <v>12</v>
      </c>
      <c r="E4457" s="2" t="s">
        <v>66</v>
      </c>
      <c r="F4457" s="2" t="str">
        <f>HYPERLINK("http://bbs.12365auto.com/postcontent.aspx?tId=194740","http://bbs.12365auto.com/postcontent.aspx?tId=194740")</f>
        <v>http://bbs.12365auto.com/postcontent.aspx?tId=194740</v>
      </c>
      <c r="G4457" s="2"/>
      <c r="H4457" s="2" t="s">
        <v>6358</v>
      </c>
      <c r="I4457" s="2" t="s">
        <v>15</v>
      </c>
      <c r="J4457" s="2" t="s">
        <v>3959</v>
      </c>
      <c r="K4457" s="2" t="s">
        <v>6359</v>
      </c>
      <c r="L4457" s="2">
        <f t="shared" si="69"/>
        <v>150</v>
      </c>
    </row>
    <row r="4458" spans="1:12" ht="25" customHeight="1">
      <c r="A4458" s="2" t="s">
        <v>12</v>
      </c>
      <c r="B4458" s="2" t="str">
        <f>HYPERLINK("http://bbs.12365auto.com/postcontent.aspx?tId=194739","名爵ZS中控触摸屏黑屏")</f>
        <v>名爵ZS中控触摸屏黑屏</v>
      </c>
      <c r="C4458" s="2" t="s">
        <v>13</v>
      </c>
      <c r="D4458" s="2" t="s">
        <v>12</v>
      </c>
      <c r="E4458" s="2" t="s">
        <v>66</v>
      </c>
      <c r="F4458" s="2" t="str">
        <f>HYPERLINK("http://bbs.12365auto.com/postcontent.aspx?tId=194739","http://bbs.12365auto.com/postcontent.aspx?tId=194739")</f>
        <v>http://bbs.12365auto.com/postcontent.aspx?tId=194739</v>
      </c>
      <c r="G4458" s="2"/>
      <c r="H4458" s="2" t="s">
        <v>6360</v>
      </c>
      <c r="I4458" s="2" t="s">
        <v>15</v>
      </c>
      <c r="J4458" s="2" t="s">
        <v>3963</v>
      </c>
      <c r="K4458" s="2" t="s">
        <v>6359</v>
      </c>
      <c r="L4458" s="2">
        <f t="shared" si="69"/>
        <v>40</v>
      </c>
    </row>
    <row r="4459" spans="1:12" ht="25" customHeight="1">
      <c r="A4459" s="2" t="s">
        <v>12</v>
      </c>
      <c r="B4459" s="2" t="str">
        <f>HYPERLINK("http://bbs.12365auto.com/postcontent.aspx?tID=194739","名爵ZS中控触摸屏黑屏")</f>
        <v>名爵ZS中控触摸屏黑屏</v>
      </c>
      <c r="C4459" s="2" t="s">
        <v>13</v>
      </c>
      <c r="D4459" s="2" t="s">
        <v>12</v>
      </c>
      <c r="E4459" s="2" t="s">
        <v>67</v>
      </c>
      <c r="F4459" s="2" t="str">
        <f>HYPERLINK("http://bbs.12365auto.com/postcontent.aspx?tID=194739","http://bbs.12365auto.com/postcontent.aspx?tID=194739")</f>
        <v>http://bbs.12365auto.com/postcontent.aspx?tID=194739</v>
      </c>
      <c r="G4459" s="2"/>
      <c r="H4459" s="2" t="s">
        <v>6361</v>
      </c>
      <c r="I4459" s="2" t="s">
        <v>15</v>
      </c>
      <c r="J4459" s="2" t="s">
        <v>3963</v>
      </c>
      <c r="K4459" s="2" t="s">
        <v>6359</v>
      </c>
      <c r="L4459" s="2">
        <f t="shared" si="69"/>
        <v>63</v>
      </c>
    </row>
    <row r="4460" spans="1:12" ht="25" customHeight="1">
      <c r="A4460" s="2" t="s">
        <v>12</v>
      </c>
      <c r="B4460" s="2" t="str">
        <f>HYPERLINK("http://bbs.12365auto.com/postcontent.aspx?tID=194740","大众奥迪Q3高压油泵异响")</f>
        <v>大众奥迪Q3高压油泵异响</v>
      </c>
      <c r="C4460" s="2" t="s">
        <v>13</v>
      </c>
      <c r="D4460" s="2" t="s">
        <v>12</v>
      </c>
      <c r="E4460" s="2" t="s">
        <v>67</v>
      </c>
      <c r="F4460" s="2" t="str">
        <f>HYPERLINK("http://bbs.12365auto.com/postcontent.aspx?tID=194740","http://bbs.12365auto.com/postcontent.aspx?tID=194740")</f>
        <v>http://bbs.12365auto.com/postcontent.aspx?tID=194740</v>
      </c>
      <c r="G4460" s="2"/>
      <c r="H4460" s="2" t="s">
        <v>6362</v>
      </c>
      <c r="I4460" s="2" t="s">
        <v>15</v>
      </c>
      <c r="J4460" s="2" t="s">
        <v>3959</v>
      </c>
      <c r="K4460" s="2" t="s">
        <v>6359</v>
      </c>
      <c r="L4460" s="2">
        <f t="shared" si="69"/>
        <v>150</v>
      </c>
    </row>
    <row r="4461" spans="1:12" ht="25" customHeight="1">
      <c r="A4461" s="2" t="s">
        <v>12</v>
      </c>
      <c r="B4461" s="2" t="str">
        <f>HYPERLINK("http://bbs.12365auto.com/postcontent.aspx?tId=194738","领克03使用的固特异轮胎开裂质量不怎么样！")</f>
        <v>领克03使用的固特异轮胎开裂质量不怎么样！</v>
      </c>
      <c r="C4461" s="2" t="s">
        <v>13</v>
      </c>
      <c r="D4461" s="2" t="s">
        <v>12</v>
      </c>
      <c r="E4461" s="2" t="s">
        <v>66</v>
      </c>
      <c r="F4461" s="2" t="str">
        <f>HYPERLINK("http://bbs.12365auto.com/postcontent.aspx?tId=194738","http://bbs.12365auto.com/postcontent.aspx?tId=194738")</f>
        <v>http://bbs.12365auto.com/postcontent.aspx?tId=194738</v>
      </c>
      <c r="G4461" s="2"/>
      <c r="H4461" s="2" t="s">
        <v>6363</v>
      </c>
      <c r="I4461" s="2" t="s">
        <v>15</v>
      </c>
      <c r="J4461" s="2" t="s">
        <v>3966</v>
      </c>
      <c r="K4461" s="2" t="s">
        <v>6364</v>
      </c>
      <c r="L4461" s="2">
        <f t="shared" si="69"/>
        <v>39</v>
      </c>
    </row>
    <row r="4462" spans="1:12" ht="25" customHeight="1">
      <c r="A4462" s="2" t="s">
        <v>12</v>
      </c>
      <c r="B4462" s="2" t="str">
        <f>HYPERLINK("http://bbs.12365auto.com/postcontent.aspx?tId=194737","大众帕萨特A柱碰撞测试不合格 厂家怎么说")</f>
        <v>大众帕萨特A柱碰撞测试不合格 厂家怎么说</v>
      </c>
      <c r="C4462" s="2" t="s">
        <v>13</v>
      </c>
      <c r="D4462" s="2" t="s">
        <v>12</v>
      </c>
      <c r="E4462" s="2" t="s">
        <v>66</v>
      </c>
      <c r="F4462" s="2" t="str">
        <f>HYPERLINK("http://bbs.12365auto.com/postcontent.aspx?tId=194737","http://bbs.12365auto.com/postcontent.aspx?tId=194737")</f>
        <v>http://bbs.12365auto.com/postcontent.aspx?tId=194737</v>
      </c>
      <c r="G4462" s="2"/>
      <c r="H4462" s="2" t="s">
        <v>6329</v>
      </c>
      <c r="I4462" s="2" t="s">
        <v>15</v>
      </c>
      <c r="J4462" s="2" t="s">
        <v>3970</v>
      </c>
      <c r="K4462" s="2" t="s">
        <v>6365</v>
      </c>
      <c r="L4462" s="2">
        <f t="shared" si="69"/>
        <v>150</v>
      </c>
    </row>
    <row r="4463" spans="1:12" ht="25" customHeight="1">
      <c r="A4463" s="2" t="s">
        <v>12</v>
      </c>
      <c r="B4463" s="2" t="str">
        <f>HYPERLINK("http://bbs.12365auto.com/postcontent.aspx?tID=194737","大众帕萨特A柱碰撞测试不合格 厂家怎么说")</f>
        <v>大众帕萨特A柱碰撞测试不合格 厂家怎么说</v>
      </c>
      <c r="C4463" s="2" t="s">
        <v>13</v>
      </c>
      <c r="D4463" s="2" t="s">
        <v>12</v>
      </c>
      <c r="E4463" s="2" t="s">
        <v>67</v>
      </c>
      <c r="F4463" s="2" t="str">
        <f>HYPERLINK("http://bbs.12365auto.com/postcontent.aspx?tID=194737","http://bbs.12365auto.com/postcontent.aspx?tID=194737")</f>
        <v>http://bbs.12365auto.com/postcontent.aspx?tID=194737</v>
      </c>
      <c r="G4463" s="2"/>
      <c r="H4463" s="2" t="s">
        <v>6366</v>
      </c>
      <c r="I4463" s="2" t="s">
        <v>15</v>
      </c>
      <c r="J4463" s="2" t="s">
        <v>3970</v>
      </c>
      <c r="K4463" s="2" t="s">
        <v>6365</v>
      </c>
      <c r="L4463" s="2">
        <f t="shared" si="69"/>
        <v>150</v>
      </c>
    </row>
    <row r="4464" spans="1:12" ht="25" customHeight="1">
      <c r="A4464" s="2" t="s">
        <v>12</v>
      </c>
      <c r="B4464" s="2" t="str">
        <f>HYPERLINK("http://bbs.12365auto.com/postcontent.aspx?tId=194736","菲亚特菲翔蓝牙连接异常这还怎么用啊！")</f>
        <v>菲亚特菲翔蓝牙连接异常这还怎么用啊！</v>
      </c>
      <c r="C4464" s="2" t="s">
        <v>13</v>
      </c>
      <c r="D4464" s="2" t="s">
        <v>12</v>
      </c>
      <c r="E4464" s="2" t="s">
        <v>66</v>
      </c>
      <c r="F4464" s="2" t="str">
        <f>HYPERLINK("http://bbs.12365auto.com/postcontent.aspx?tId=194736","http://bbs.12365auto.com/postcontent.aspx?tId=194736")</f>
        <v>http://bbs.12365auto.com/postcontent.aspx?tId=194736</v>
      </c>
      <c r="G4464" s="2"/>
      <c r="H4464" s="2" t="s">
        <v>6367</v>
      </c>
      <c r="I4464" s="2" t="s">
        <v>15</v>
      </c>
      <c r="J4464" s="2" t="s">
        <v>3977</v>
      </c>
      <c r="K4464" s="2" t="s">
        <v>6368</v>
      </c>
      <c r="L4464" s="2">
        <f t="shared" si="69"/>
        <v>150</v>
      </c>
    </row>
    <row r="4465" spans="1:12" ht="25" customHeight="1">
      <c r="A4465" s="2" t="s">
        <v>12</v>
      </c>
      <c r="B4465" s="2" t="str">
        <f>HYPERLINK("http://bbs.12365auto.com/postcontent.aspx?tID=194736","菲亚特菲翔蓝牙连接异常这还怎么用啊！")</f>
        <v>菲亚特菲翔蓝牙连接异常这还怎么用啊！</v>
      </c>
      <c r="C4465" s="2" t="s">
        <v>13</v>
      </c>
      <c r="D4465" s="2" t="s">
        <v>12</v>
      </c>
      <c r="E4465" s="2" t="s">
        <v>67</v>
      </c>
      <c r="F4465" s="2" t="str">
        <f>HYPERLINK("http://bbs.12365auto.com/postcontent.aspx?tID=194736","http://bbs.12365auto.com/postcontent.aspx?tID=194736")</f>
        <v>http://bbs.12365auto.com/postcontent.aspx?tID=194736</v>
      </c>
      <c r="G4465" s="2"/>
      <c r="H4465" s="2" t="s">
        <v>6369</v>
      </c>
      <c r="I4465" s="2" t="s">
        <v>15</v>
      </c>
      <c r="J4465" s="2" t="s">
        <v>3977</v>
      </c>
      <c r="K4465" s="2" t="s">
        <v>6368</v>
      </c>
      <c r="L4465" s="2">
        <f t="shared" si="69"/>
        <v>150</v>
      </c>
    </row>
    <row r="4466" spans="1:12" ht="25" customHeight="1">
      <c r="A4466" s="2" t="s">
        <v>12</v>
      </c>
      <c r="B4466" s="2" t="str">
        <f>HYPERLINK("http://bbs.12365auto.com/postcontent.aspx?tID=194734","大众速腾两后锦湖轮胎不规则磨损")</f>
        <v>大众速腾两后锦湖轮胎不规则磨损</v>
      </c>
      <c r="C4466" s="2" t="s">
        <v>13</v>
      </c>
      <c r="D4466" s="2" t="s">
        <v>12</v>
      </c>
      <c r="E4466" s="2" t="s">
        <v>67</v>
      </c>
      <c r="F4466" s="2" t="str">
        <f>HYPERLINK("http://bbs.12365auto.com/postcontent.aspx?tID=194734","http://bbs.12365auto.com/postcontent.aspx?tID=194734")</f>
        <v>http://bbs.12365auto.com/postcontent.aspx?tID=194734</v>
      </c>
      <c r="G4466" s="2"/>
      <c r="H4466" s="2" t="s">
        <v>6370</v>
      </c>
      <c r="I4466" s="2" t="s">
        <v>15</v>
      </c>
      <c r="J4466" s="2" t="s">
        <v>3985</v>
      </c>
      <c r="K4466" s="2" t="s">
        <v>6371</v>
      </c>
      <c r="L4466" s="2">
        <f t="shared" si="69"/>
        <v>150</v>
      </c>
    </row>
    <row r="4467" spans="1:12" ht="25" customHeight="1">
      <c r="A4467" s="2" t="s">
        <v>12</v>
      </c>
      <c r="B4467" s="2" t="str">
        <f>HYPERLINK("http://bbs.12365auto.com/postcontent.aspx?tId=194734","大众速腾两后锦湖轮胎不规则磨损")</f>
        <v>大众速腾两后锦湖轮胎不规则磨损</v>
      </c>
      <c r="C4467" s="2" t="s">
        <v>13</v>
      </c>
      <c r="D4467" s="2" t="s">
        <v>12</v>
      </c>
      <c r="E4467" s="2" t="s">
        <v>66</v>
      </c>
      <c r="F4467" s="2" t="str">
        <f>HYPERLINK("http://bbs.12365auto.com/postcontent.aspx?tId=194734","http://bbs.12365auto.com/postcontent.aspx?tId=194734")</f>
        <v>http://bbs.12365auto.com/postcontent.aspx?tId=194734</v>
      </c>
      <c r="G4467" s="2"/>
      <c r="H4467" s="2" t="s">
        <v>6372</v>
      </c>
      <c r="I4467" s="2" t="s">
        <v>15</v>
      </c>
      <c r="J4467" s="2" t="s">
        <v>3985</v>
      </c>
      <c r="K4467" s="2" t="s">
        <v>6371</v>
      </c>
      <c r="L4467" s="2">
        <f t="shared" si="69"/>
        <v>150</v>
      </c>
    </row>
    <row r="4468" spans="1:12" ht="25" customHeight="1">
      <c r="A4468" s="2" t="s">
        <v>12</v>
      </c>
      <c r="B4468" s="2" t="str">
        <f>HYPERLINK("http://bbs.12365auto.com/postcontent.aspx?tId=194735","看图 睿骋胎压监测故障灯亮")</f>
        <v>看图 睿骋胎压监测故障灯亮</v>
      </c>
      <c r="C4468" s="2" t="s">
        <v>13</v>
      </c>
      <c r="D4468" s="2" t="s">
        <v>12</v>
      </c>
      <c r="E4468" s="2" t="s">
        <v>66</v>
      </c>
      <c r="F4468" s="2" t="str">
        <f>HYPERLINK("http://bbs.12365auto.com/postcontent.aspx?tId=194735","http://bbs.12365auto.com/postcontent.aspx?tId=194735")</f>
        <v>http://bbs.12365auto.com/postcontent.aspx?tId=194735</v>
      </c>
      <c r="G4468" s="2"/>
      <c r="H4468" s="2" t="s">
        <v>6373</v>
      </c>
      <c r="I4468" s="2" t="s">
        <v>15</v>
      </c>
      <c r="J4468" s="2" t="s">
        <v>3981</v>
      </c>
      <c r="K4468" s="2" t="s">
        <v>6371</v>
      </c>
      <c r="L4468" s="2">
        <f t="shared" si="69"/>
        <v>61</v>
      </c>
    </row>
    <row r="4469" spans="1:12" ht="25" customHeight="1">
      <c r="A4469" s="2" t="s">
        <v>12</v>
      </c>
      <c r="B4469" s="2" t="str">
        <f>HYPERLINK("http://bbs.12365auto.com/postcontent.aspx?tID=194735","看图 睿骋胎压监测故障灯亮")</f>
        <v>看图 睿骋胎压监测故障灯亮</v>
      </c>
      <c r="C4469" s="2" t="s">
        <v>13</v>
      </c>
      <c r="D4469" s="2" t="s">
        <v>12</v>
      </c>
      <c r="E4469" s="2" t="s">
        <v>67</v>
      </c>
      <c r="F4469" s="2" t="str">
        <f>HYPERLINK("http://bbs.12365auto.com/postcontent.aspx?tID=194735","http://bbs.12365auto.com/postcontent.aspx?tID=194735")</f>
        <v>http://bbs.12365auto.com/postcontent.aspx?tID=194735</v>
      </c>
      <c r="G4469" s="2"/>
      <c r="H4469" s="2" t="s">
        <v>6374</v>
      </c>
      <c r="I4469" s="2" t="s">
        <v>15</v>
      </c>
      <c r="J4469" s="2" t="s">
        <v>3981</v>
      </c>
      <c r="K4469" s="2" t="s">
        <v>6371</v>
      </c>
      <c r="L4469" s="2">
        <f t="shared" si="69"/>
        <v>74</v>
      </c>
    </row>
    <row r="4470" spans="1:12" ht="25" customHeight="1">
      <c r="A4470" s="2" t="s">
        <v>12</v>
      </c>
      <c r="B4470" s="2" t="str">
        <f>HYPERLINK("http://www.12365auto.com/zlts/20200221/447950.shtml","在五千公里第一次出现发动机曲轴油封漏油")</f>
        <v>在五千公里第一次出现发动机曲轴油封漏油</v>
      </c>
      <c r="C4470" s="2" t="s">
        <v>13</v>
      </c>
      <c r="D4470" s="2" t="s">
        <v>12</v>
      </c>
      <c r="E4470" s="2"/>
      <c r="F4470" s="2" t="str">
        <f>HYPERLINK("http://www.12365auto.com/zlts/20200221/447950.shtml","http://www.12365auto.com/zlts/20200221/447950.shtml")</f>
        <v>http://www.12365auto.com/zlts/20200221/447950.shtml</v>
      </c>
      <c r="G4470" s="2"/>
      <c r="H4470" s="2" t="s">
        <v>6376</v>
      </c>
      <c r="I4470" s="2" t="s">
        <v>15</v>
      </c>
      <c r="J4470" s="2" t="s">
        <v>12</v>
      </c>
      <c r="K4470" s="2" t="s">
        <v>6375</v>
      </c>
      <c r="L4470" s="2">
        <f t="shared" si="69"/>
        <v>87</v>
      </c>
    </row>
    <row r="4471" spans="1:12" ht="25" customHeight="1">
      <c r="A4471" s="2" t="s">
        <v>12</v>
      </c>
      <c r="B4471" s="2" t="str">
        <f>HYPERLINK("http://m.12365auto.com/zjdy/20200220/121468.shtml","2010年大众宝来P1388故障码什么意思？")</f>
        <v>2010年大众宝来P1388故障码什么意思？</v>
      </c>
      <c r="C4471" s="2" t="s">
        <v>13</v>
      </c>
      <c r="D4471" s="2" t="s">
        <v>12</v>
      </c>
      <c r="E4471" s="2"/>
      <c r="F4471" s="2" t="str">
        <f>HYPERLINK("http://m.12365auto.com/zjdy/20200220/121468.shtml","http://m.12365auto.com/zjdy/20200220/121468.shtml")</f>
        <v>http://m.12365auto.com/zjdy/20200220/121468.shtml</v>
      </c>
      <c r="G4471" s="2"/>
      <c r="H4471" s="2" t="s">
        <v>6377</v>
      </c>
      <c r="I4471" s="2" t="s">
        <v>19</v>
      </c>
      <c r="J4471" s="2" t="s">
        <v>12</v>
      </c>
      <c r="K4471" s="2" t="s">
        <v>6378</v>
      </c>
      <c r="L4471" s="2">
        <f t="shared" si="69"/>
        <v>22</v>
      </c>
    </row>
    <row r="4472" spans="1:12" ht="25" customHeight="1">
      <c r="A4472" s="2" t="s">
        <v>12</v>
      </c>
      <c r="B4472" s="2" t="str">
        <f>HYPERLINK("http://m.12365auto.com/xcdg/20200221/419126.shtml","全新Cupra Leon官图曝光 或今年年底发布")</f>
        <v>全新Cupra Leon官图曝光 或今年年底发布</v>
      </c>
      <c r="C4472" s="2" t="s">
        <v>13</v>
      </c>
      <c r="D4472" s="2" t="s">
        <v>12</v>
      </c>
      <c r="E4472" s="2"/>
      <c r="F4472" s="2" t="str">
        <f>HYPERLINK("http://m.12365auto.com/xcdg/20200221/419126.shtml","http://m.12365auto.com/xcdg/20200221/419126.shtml")</f>
        <v>http://m.12365auto.com/xcdg/20200221/419126.shtml</v>
      </c>
      <c r="G4472" s="2"/>
      <c r="H4472" s="2" t="s">
        <v>6379</v>
      </c>
      <c r="I4472" s="2" t="s">
        <v>19</v>
      </c>
      <c r="J4472" s="2" t="s">
        <v>1305</v>
      </c>
      <c r="K4472" s="2" t="s">
        <v>6380</v>
      </c>
      <c r="L4472" s="2">
        <f t="shared" si="69"/>
        <v>150</v>
      </c>
    </row>
    <row r="4473" spans="1:12" ht="25" customHeight="1">
      <c r="A4473" s="2" t="s">
        <v>12</v>
      </c>
      <c r="B4473" s="2" t="str">
        <f>HYPERLINK("http://www.12365auto.com/xcdg/20200221/419126.shtml","全新Cupra Leon官图曝光 或今年年底发布")</f>
        <v>全新Cupra Leon官图曝光 或今年年底发布</v>
      </c>
      <c r="C4473" s="2" t="s">
        <v>13</v>
      </c>
      <c r="D4473" s="2" t="s">
        <v>12</v>
      </c>
      <c r="E4473" s="2" t="s">
        <v>245</v>
      </c>
      <c r="F4473" s="2" t="str">
        <f>HYPERLINK("http://www.12365auto.com/xcdg/20200221/419126.shtml","http://www.12365auto.com/xcdg/20200221/419126.shtml")</f>
        <v>http://www.12365auto.com/xcdg/20200221/419126.shtml</v>
      </c>
      <c r="G4473" s="2"/>
      <c r="H4473" s="2" t="s">
        <v>6381</v>
      </c>
      <c r="I4473" s="2" t="s">
        <v>19</v>
      </c>
      <c r="J4473" s="2" t="s">
        <v>12</v>
      </c>
      <c r="K4473" s="2" t="s">
        <v>6380</v>
      </c>
      <c r="L4473" s="2">
        <f t="shared" si="69"/>
        <v>150</v>
      </c>
    </row>
    <row r="4474" spans="1:12" ht="25" customHeight="1">
      <c r="A4474" s="2" t="s">
        <v>12</v>
      </c>
      <c r="B4474" s="2" t="str">
        <f>HYPERLINK("http://m.12365auto.com/zjdy/20200221/121469.shtml","购买的新车出现车门不好关的情况怎么办？")</f>
        <v>购买的新车出现车门不好关的情况怎么办？</v>
      </c>
      <c r="C4474" s="2" t="s">
        <v>13</v>
      </c>
      <c r="D4474" s="2" t="s">
        <v>12</v>
      </c>
      <c r="E4474" s="2"/>
      <c r="F4474" s="2" t="str">
        <f>HYPERLINK("http://m.12365auto.com/zjdy/20200221/121469.shtml","http://m.12365auto.com/zjdy/20200221/121469.shtml")</f>
        <v>http://m.12365auto.com/zjdy/20200221/121469.shtml</v>
      </c>
      <c r="G4474" s="2"/>
      <c r="H4474" s="2" t="s">
        <v>6382</v>
      </c>
      <c r="I4474" s="2" t="s">
        <v>19</v>
      </c>
      <c r="J4474" s="2" t="s">
        <v>12</v>
      </c>
      <c r="K4474" s="2" t="s">
        <v>6383</v>
      </c>
      <c r="L4474" s="2">
        <f t="shared" si="69"/>
        <v>28</v>
      </c>
    </row>
    <row r="4475" spans="1:12" ht="25" customHeight="1">
      <c r="A4475" s="2" t="s">
        <v>12</v>
      </c>
      <c r="B4475" s="2" t="str">
        <f>HYPERLINK("http://m.12365auto.com/zjdy/20200220/121467.shtml","骏派D60使用的是什么品牌发动机？")</f>
        <v>骏派D60使用的是什么品牌发动机？</v>
      </c>
      <c r="C4475" s="2" t="s">
        <v>13</v>
      </c>
      <c r="D4475" s="2" t="s">
        <v>12</v>
      </c>
      <c r="E4475" s="2"/>
      <c r="F4475" s="2" t="str">
        <f>HYPERLINK("http://m.12365auto.com/zjdy/20200220/121467.shtml","http://m.12365auto.com/zjdy/20200220/121467.shtml")</f>
        <v>http://m.12365auto.com/zjdy/20200220/121467.shtml</v>
      </c>
      <c r="G4475" s="2"/>
      <c r="H4475" s="2" t="s">
        <v>6384</v>
      </c>
      <c r="I4475" s="2" t="s">
        <v>19</v>
      </c>
      <c r="J4475" s="2" t="s">
        <v>12</v>
      </c>
      <c r="K4475" s="2" t="s">
        <v>6385</v>
      </c>
      <c r="L4475" s="2">
        <f t="shared" si="69"/>
        <v>17</v>
      </c>
    </row>
    <row r="4476" spans="1:12" ht="25" customHeight="1">
      <c r="A4476" s="2" t="s">
        <v>12</v>
      </c>
      <c r="B4476" s="2" t="str">
        <f>HYPERLINK("http://m.12365auto.com/zjdy/20200220/121464.shtml","玻璃胶掉落在漆面上应该如何去除？")</f>
        <v>玻璃胶掉落在漆面上应该如何去除？</v>
      </c>
      <c r="C4476" s="2" t="s">
        <v>13</v>
      </c>
      <c r="D4476" s="2" t="s">
        <v>12</v>
      </c>
      <c r="E4476" s="2"/>
      <c r="F4476" s="2" t="str">
        <f>HYPERLINK("http://m.12365auto.com/zjdy/20200220/121464.shtml","http://m.12365auto.com/zjdy/20200220/121464.shtml")</f>
        <v>http://m.12365auto.com/zjdy/20200220/121464.shtml</v>
      </c>
      <c r="G4476" s="2"/>
      <c r="H4476" s="2" t="s">
        <v>6386</v>
      </c>
      <c r="I4476" s="2" t="s">
        <v>19</v>
      </c>
      <c r="J4476" s="2" t="s">
        <v>12</v>
      </c>
      <c r="K4476" s="2" t="s">
        <v>6387</v>
      </c>
      <c r="L4476" s="2">
        <f t="shared" si="69"/>
        <v>54</v>
      </c>
    </row>
    <row r="4477" spans="1:12" ht="25" customHeight="1">
      <c r="A4477" s="2" t="s">
        <v>12</v>
      </c>
      <c r="B4477" s="2" t="str">
        <f>HYPERLINK("http://m.12365auto.com/zjdy/20200220/121466.shtml","五菱宏光S3是否存在严重的内饰气味问题？")</f>
        <v>五菱宏光S3是否存在严重的内饰气味问题？</v>
      </c>
      <c r="C4477" s="2" t="s">
        <v>13</v>
      </c>
      <c r="D4477" s="2" t="s">
        <v>12</v>
      </c>
      <c r="E4477" s="2"/>
      <c r="F4477" s="2" t="str">
        <f>HYPERLINK("http://m.12365auto.com/zjdy/20200220/121466.shtml","http://m.12365auto.com/zjdy/20200220/121466.shtml")</f>
        <v>http://m.12365auto.com/zjdy/20200220/121466.shtml</v>
      </c>
      <c r="G4477" s="2"/>
      <c r="H4477" s="2" t="s">
        <v>6388</v>
      </c>
      <c r="I4477" s="2" t="s">
        <v>19</v>
      </c>
      <c r="J4477" s="2" t="s">
        <v>12</v>
      </c>
      <c r="K4477" s="2" t="s">
        <v>6387</v>
      </c>
      <c r="L4477" s="2">
        <f t="shared" si="69"/>
        <v>29</v>
      </c>
    </row>
    <row r="4478" spans="1:12" ht="25" customHeight="1">
      <c r="A4478" s="2" t="s">
        <v>12</v>
      </c>
      <c r="B4478" s="2" t="str">
        <f>HYPERLINK("http://m.12365auto.com/zjdy/20200220/121465.shtml","伊兰特加速时抖动是什么原因导致的？")</f>
        <v>伊兰特加速时抖动是什么原因导致的？</v>
      </c>
      <c r="C4478" s="2" t="s">
        <v>13</v>
      </c>
      <c r="D4478" s="2" t="s">
        <v>12</v>
      </c>
      <c r="E4478" s="2"/>
      <c r="F4478" s="2" t="str">
        <f>HYPERLINK("http://m.12365auto.com/zjdy/20200220/121465.shtml","http://m.12365auto.com/zjdy/20200220/121465.shtml")</f>
        <v>http://m.12365auto.com/zjdy/20200220/121465.shtml</v>
      </c>
      <c r="G4478" s="2"/>
      <c r="H4478" s="2" t="s">
        <v>6389</v>
      </c>
      <c r="I4478" s="2" t="s">
        <v>19</v>
      </c>
      <c r="J4478" s="2" t="s">
        <v>12</v>
      </c>
      <c r="K4478" s="2" t="s">
        <v>6387</v>
      </c>
      <c r="L4478" s="2">
        <f t="shared" si="69"/>
        <v>33</v>
      </c>
    </row>
    <row r="4479" spans="1:12" ht="25" customHeight="1">
      <c r="A4479" s="2" t="s">
        <v>12</v>
      </c>
      <c r="B4479" s="2" t="str">
        <f>HYPERLINK("http://m.12365auto.com/zjdy/20200220/121462.shtml","艾瑞泽7e仪表提示有故障码应该怎么办？")</f>
        <v>艾瑞泽7e仪表提示有故障码应该怎么办？</v>
      </c>
      <c r="C4479" s="2" t="s">
        <v>13</v>
      </c>
      <c r="D4479" s="2" t="s">
        <v>12</v>
      </c>
      <c r="E4479" s="2"/>
      <c r="F4479" s="2" t="str">
        <f>HYPERLINK("http://m.12365auto.com/zjdy/20200220/121462.shtml","http://m.12365auto.com/zjdy/20200220/121462.shtml")</f>
        <v>http://m.12365auto.com/zjdy/20200220/121462.shtml</v>
      </c>
      <c r="G4479" s="2"/>
      <c r="H4479" s="2" t="s">
        <v>6390</v>
      </c>
      <c r="I4479" s="2" t="s">
        <v>19</v>
      </c>
      <c r="J4479" s="2" t="s">
        <v>12</v>
      </c>
      <c r="K4479" s="2" t="s">
        <v>6391</v>
      </c>
      <c r="L4479" s="2">
        <f t="shared" si="69"/>
        <v>57</v>
      </c>
    </row>
    <row r="4480" spans="1:12" ht="25" customHeight="1">
      <c r="A4480" s="2" t="s">
        <v>12</v>
      </c>
      <c r="B4480" s="2" t="str">
        <f>HYPERLINK("http://m.12365auto.com/zjdy/20200220/121461.shtml","通过售后更换变速箱油后顿挫该怎么办？")</f>
        <v>通过售后更换变速箱油后顿挫该怎么办？</v>
      </c>
      <c r="C4480" s="2" t="s">
        <v>13</v>
      </c>
      <c r="D4480" s="2" t="s">
        <v>12</v>
      </c>
      <c r="E4480" s="2"/>
      <c r="F4480" s="2" t="str">
        <f>HYPERLINK("http://m.12365auto.com/zjdy/20200220/121461.shtml","http://m.12365auto.com/zjdy/20200220/121461.shtml")</f>
        <v>http://m.12365auto.com/zjdy/20200220/121461.shtml</v>
      </c>
      <c r="G4480" s="2"/>
      <c r="H4480" s="2" t="s">
        <v>6392</v>
      </c>
      <c r="I4480" s="2" t="s">
        <v>19</v>
      </c>
      <c r="J4480" s="2" t="s">
        <v>12</v>
      </c>
      <c r="K4480" s="2" t="s">
        <v>6393</v>
      </c>
      <c r="L4480" s="2">
        <f t="shared" si="69"/>
        <v>93</v>
      </c>
    </row>
    <row r="4481" spans="1:12" ht="25" customHeight="1">
      <c r="A4481" s="2" t="s">
        <v>12</v>
      </c>
      <c r="B4481" s="2" t="str">
        <f>HYPERLINK("http://www.12365auto.com/dcbg/20200221/419125.shtml","2019年度国内轮胎投诉分析报告")</f>
        <v>2019年度国内轮胎投诉分析报告</v>
      </c>
      <c r="C4481" s="2" t="s">
        <v>13</v>
      </c>
      <c r="D4481" s="2" t="s">
        <v>12</v>
      </c>
      <c r="E4481" s="2" t="s">
        <v>1319</v>
      </c>
      <c r="F4481" s="2" t="str">
        <f>HYPERLINK("http://www.12365auto.com/dcbg/20200221/419125.shtml","http://www.12365auto.com/dcbg/20200221/419125.shtml")</f>
        <v>http://www.12365auto.com/dcbg/20200221/419125.shtml</v>
      </c>
      <c r="G4481" s="2"/>
      <c r="H4481" s="2" t="s">
        <v>6394</v>
      </c>
      <c r="I4481" s="2" t="s">
        <v>15</v>
      </c>
      <c r="J4481" s="2" t="s">
        <v>12</v>
      </c>
      <c r="K4481" s="2" t="s">
        <v>6395</v>
      </c>
      <c r="L4481" s="2">
        <f t="shared" si="69"/>
        <v>150</v>
      </c>
    </row>
    <row r="4482" spans="1:12" ht="25" customHeight="1">
      <c r="A4482" s="2" t="s">
        <v>12</v>
      </c>
      <c r="B4482" s="2" t="str">
        <f>HYPERLINK("http://www.12365auto.com/xcdg/20200221/419124.shtml","简单方式享受乐趣 奥迪RS5新车图解")</f>
        <v>简单方式享受乐趣 奥迪RS5新车图解</v>
      </c>
      <c r="C4482" s="2" t="s">
        <v>13</v>
      </c>
      <c r="D4482" s="2" t="s">
        <v>12</v>
      </c>
      <c r="E4482" s="2" t="s">
        <v>216</v>
      </c>
      <c r="F4482" s="2" t="str">
        <f>HYPERLINK("http://www.12365auto.com/xcdg/20200221/419124.shtml","http://www.12365auto.com/xcdg/20200221/419124.shtml")</f>
        <v>http://www.12365auto.com/xcdg/20200221/419124.shtml</v>
      </c>
      <c r="G4482" s="2"/>
      <c r="H4482" s="2" t="s">
        <v>6396</v>
      </c>
      <c r="I4482" s="2" t="s">
        <v>15</v>
      </c>
      <c r="J4482" s="2" t="s">
        <v>12</v>
      </c>
      <c r="K4482" s="2" t="s">
        <v>6395</v>
      </c>
      <c r="L4482" s="2">
        <f t="shared" si="69"/>
        <v>150</v>
      </c>
    </row>
    <row r="4483" spans="1:12" ht="25" customHeight="1">
      <c r="A4483" s="2" t="s">
        <v>12</v>
      </c>
      <c r="B4483" s="2" t="str">
        <f>HYPERLINK("http://m.12365auto.com/xcdg/20200221/419124.shtml","简单方式享受乐趣 奥迪RS5新车图解")</f>
        <v>简单方式享受乐趣 奥迪RS5新车图解</v>
      </c>
      <c r="C4483" s="2" t="s">
        <v>13</v>
      </c>
      <c r="D4483" s="2" t="s">
        <v>12</v>
      </c>
      <c r="E4483" s="2"/>
      <c r="F4483" s="2" t="str">
        <f>HYPERLINK("http://m.12365auto.com/xcdg/20200221/419124.shtml","http://m.12365auto.com/xcdg/20200221/419124.shtml")</f>
        <v>http://m.12365auto.com/xcdg/20200221/419124.shtml</v>
      </c>
      <c r="G4483" s="2"/>
      <c r="H4483" s="2" t="s">
        <v>6397</v>
      </c>
      <c r="I4483" s="2" t="s">
        <v>19</v>
      </c>
      <c r="J4483" s="2" t="s">
        <v>371</v>
      </c>
      <c r="K4483" s="2" t="s">
        <v>6395</v>
      </c>
      <c r="L4483" s="2">
        <f t="shared" ref="L4483:L4546" si="70">LEN(H4483)</f>
        <v>150</v>
      </c>
    </row>
    <row r="4484" spans="1:12" ht="25" customHeight="1">
      <c r="A4484" s="2" t="s">
        <v>12</v>
      </c>
      <c r="B4484" s="2" t="str">
        <f>HYPERLINK("http://m.12365auto.com/dcbg/20200221/419125.shtml","2019年度国内轮胎投诉分析报告")</f>
        <v>2019年度国内轮胎投诉分析报告</v>
      </c>
      <c r="C4484" s="2" t="s">
        <v>13</v>
      </c>
      <c r="D4484" s="2" t="s">
        <v>12</v>
      </c>
      <c r="E4484" s="2"/>
      <c r="F4484" s="2" t="str">
        <f>HYPERLINK("http://m.12365auto.com/dcbg/20200221/419125.shtml","http://m.12365auto.com/dcbg/20200221/419125.shtml")</f>
        <v>http://m.12365auto.com/dcbg/20200221/419125.shtml</v>
      </c>
      <c r="G4484" s="2"/>
      <c r="H4484" s="2" t="s">
        <v>6398</v>
      </c>
      <c r="I4484" s="2" t="s">
        <v>19</v>
      </c>
      <c r="J4484" s="2" t="s">
        <v>1322</v>
      </c>
      <c r="K4484" s="2" t="s">
        <v>6395</v>
      </c>
      <c r="L4484" s="2">
        <f t="shared" si="70"/>
        <v>150</v>
      </c>
    </row>
    <row r="4485" spans="1:12" ht="25" customHeight="1">
      <c r="A4485" s="2" t="s">
        <v>12</v>
      </c>
      <c r="B4485" s="2" t="str">
        <f>HYPERLINK("http://m.12365auto.com/zjdy/20200220/121459.shtml","荣威360高速行驶中方向盘卡顿怎么办？")</f>
        <v>荣威360高速行驶中方向盘卡顿怎么办？</v>
      </c>
      <c r="C4485" s="2" t="s">
        <v>13</v>
      </c>
      <c r="D4485" s="2" t="s">
        <v>12</v>
      </c>
      <c r="E4485" s="2"/>
      <c r="F4485" s="2" t="str">
        <f>HYPERLINK("http://m.12365auto.com/zjdy/20200220/121459.shtml","http://m.12365auto.com/zjdy/20200220/121459.shtml")</f>
        <v>http://m.12365auto.com/zjdy/20200220/121459.shtml</v>
      </c>
      <c r="G4485" s="2"/>
      <c r="H4485" s="2" t="s">
        <v>6399</v>
      </c>
      <c r="I4485" s="2" t="s">
        <v>19</v>
      </c>
      <c r="J4485" s="2" t="s">
        <v>12</v>
      </c>
      <c r="K4485" s="2" t="s">
        <v>6400</v>
      </c>
      <c r="L4485" s="2">
        <f t="shared" si="70"/>
        <v>22</v>
      </c>
    </row>
    <row r="4486" spans="1:12" ht="25" customHeight="1">
      <c r="A4486" s="2" t="s">
        <v>12</v>
      </c>
      <c r="B4486" s="2" t="str">
        <f>HYPERLINK("http://m.12365auto.com/zjdy/20200220/121460.shtml","车辆电瓶不蓄电容易出现亏电怎么办？")</f>
        <v>车辆电瓶不蓄电容易出现亏电怎么办？</v>
      </c>
      <c r="C4486" s="2" t="s">
        <v>13</v>
      </c>
      <c r="D4486" s="2" t="s">
        <v>12</v>
      </c>
      <c r="E4486" s="2"/>
      <c r="F4486" s="2" t="str">
        <f>HYPERLINK("http://m.12365auto.com/zjdy/20200220/121460.shtml","http://m.12365auto.com/zjdy/20200220/121460.shtml")</f>
        <v>http://m.12365auto.com/zjdy/20200220/121460.shtml</v>
      </c>
      <c r="G4486" s="2"/>
      <c r="H4486" s="2" t="s">
        <v>6401</v>
      </c>
      <c r="I4486" s="2" t="s">
        <v>19</v>
      </c>
      <c r="J4486" s="2" t="s">
        <v>12</v>
      </c>
      <c r="K4486" s="2" t="s">
        <v>6400</v>
      </c>
      <c r="L4486" s="2">
        <f t="shared" si="70"/>
        <v>23</v>
      </c>
    </row>
    <row r="4487" spans="1:12" ht="25" customHeight="1">
      <c r="A4487" s="2" t="s">
        <v>12</v>
      </c>
      <c r="B4487" s="2" t="str">
        <f>HYPERLINK("http://m.12365auto.com/zjdy/20200220/121458.shtml","朗逸1.4T车型保养使用的什么机油？")</f>
        <v>朗逸1.4T车型保养使用的什么机油？</v>
      </c>
      <c r="C4487" s="2" t="s">
        <v>13</v>
      </c>
      <c r="D4487" s="2" t="s">
        <v>12</v>
      </c>
      <c r="E4487" s="2"/>
      <c r="F4487" s="2" t="str">
        <f>HYPERLINK("http://m.12365auto.com/zjdy/20200220/121458.shtml","http://m.12365auto.com/zjdy/20200220/121458.shtml")</f>
        <v>http://m.12365auto.com/zjdy/20200220/121458.shtml</v>
      </c>
      <c r="G4487" s="2"/>
      <c r="H4487" s="2" t="s">
        <v>6402</v>
      </c>
      <c r="I4487" s="2" t="s">
        <v>19</v>
      </c>
      <c r="J4487" s="2" t="s">
        <v>12</v>
      </c>
      <c r="K4487" s="2" t="s">
        <v>6403</v>
      </c>
      <c r="L4487" s="2">
        <f t="shared" si="70"/>
        <v>23</v>
      </c>
    </row>
    <row r="4488" spans="1:12" ht="25" customHeight="1">
      <c r="A4488" s="2" t="s">
        <v>12</v>
      </c>
      <c r="B4488" s="2" t="str">
        <f>HYPERLINK("http://bbs.12365auto.com/postcontent.aspx?tId=194733","打开空调暖风会增加汽车油耗吗？")</f>
        <v>打开空调暖风会增加汽车油耗吗？</v>
      </c>
      <c r="C4488" s="2" t="s">
        <v>13</v>
      </c>
      <c r="D4488" s="2" t="s">
        <v>12</v>
      </c>
      <c r="E4488" s="2" t="s">
        <v>1397</v>
      </c>
      <c r="F4488" s="2" t="str">
        <f>HYPERLINK("http://bbs.12365auto.com/postcontent.aspx?tId=194733","http://bbs.12365auto.com/postcontent.aspx?tId=194733")</f>
        <v>http://bbs.12365auto.com/postcontent.aspx?tId=194733</v>
      </c>
      <c r="G4488" s="2"/>
      <c r="H4488" s="2" t="s">
        <v>6404</v>
      </c>
      <c r="I4488" s="2" t="s">
        <v>15</v>
      </c>
      <c r="J4488" s="2" t="s">
        <v>2201</v>
      </c>
      <c r="K4488" s="2" t="s">
        <v>6405</v>
      </c>
      <c r="L4488" s="2">
        <f t="shared" si="70"/>
        <v>150</v>
      </c>
    </row>
    <row r="4489" spans="1:12" ht="25" customHeight="1">
      <c r="A4489" s="2" t="s">
        <v>12</v>
      </c>
      <c r="B4489" s="2" t="str">
        <f>HYPERLINK("http://bbs.12365auto.com/postcontent.aspx?tID=194733","打开空调暖风会增加汽车油耗吗？")</f>
        <v>打开空调暖风会增加汽车油耗吗？</v>
      </c>
      <c r="C4489" s="2" t="s">
        <v>13</v>
      </c>
      <c r="D4489" s="2" t="s">
        <v>12</v>
      </c>
      <c r="E4489" s="2" t="s">
        <v>1393</v>
      </c>
      <c r="F4489" s="2" t="str">
        <f>HYPERLINK("http://bbs.12365auto.com/postcontent.aspx?tID=194733","http://bbs.12365auto.com/postcontent.aspx?tID=194733")</f>
        <v>http://bbs.12365auto.com/postcontent.aspx?tID=194733</v>
      </c>
      <c r="G4489" s="2"/>
      <c r="H4489" s="2" t="s">
        <v>6406</v>
      </c>
      <c r="I4489" s="2" t="s">
        <v>15</v>
      </c>
      <c r="J4489" s="2" t="s">
        <v>2201</v>
      </c>
      <c r="K4489" s="2" t="s">
        <v>6405</v>
      </c>
      <c r="L4489" s="2">
        <f t="shared" si="70"/>
        <v>150</v>
      </c>
    </row>
    <row r="4490" spans="1:12" ht="25" customHeight="1">
      <c r="A4490" s="2" t="s">
        <v>12</v>
      </c>
      <c r="B4490" s="2" t="str">
        <f>HYPERLINK("http://m.12365auto.com/bbs/postcontent.aspx?tID=194733","打开空调暖风会增加汽车油耗吗？")</f>
        <v>打开空调暖风会增加汽车油耗吗？</v>
      </c>
      <c r="C4490" s="2" t="s">
        <v>13</v>
      </c>
      <c r="D4490" s="2" t="s">
        <v>23</v>
      </c>
      <c r="E4490" s="2"/>
      <c r="F4490" s="2" t="str">
        <f>HYPERLINK("http://m.12365auto.com/bbs/postcontent.aspx?tID=194733","http://m.12365auto.com/bbs/postcontent.aspx?tID=194733")</f>
        <v>http://m.12365auto.com/bbs/postcontent.aspx?tID=194733</v>
      </c>
      <c r="G4490" s="2"/>
      <c r="H4490" s="2" t="s">
        <v>6404</v>
      </c>
      <c r="I4490" s="2" t="s">
        <v>15</v>
      </c>
      <c r="J4490" s="2" t="s">
        <v>2201</v>
      </c>
      <c r="K4490" s="2" t="s">
        <v>6405</v>
      </c>
      <c r="L4490" s="2">
        <f t="shared" si="70"/>
        <v>150</v>
      </c>
    </row>
    <row r="4491" spans="1:12" ht="25" customHeight="1">
      <c r="A4491" s="2" t="s">
        <v>12</v>
      </c>
      <c r="B4491" s="2" t="str">
        <f>HYPERLINK("http://www.12365auto.com/zlts/20200220/447944.shtml","上汽名爵6电瓶亏电导致车辆无法启动")</f>
        <v>上汽名爵6电瓶亏电导致车辆无法启动</v>
      </c>
      <c r="C4491" s="2" t="s">
        <v>13</v>
      </c>
      <c r="D4491" s="2" t="s">
        <v>12</v>
      </c>
      <c r="E4491" s="2" t="s">
        <v>17</v>
      </c>
      <c r="F4491" s="2" t="str">
        <f>HYPERLINK("http://www.12365auto.com/zlts/20200220/447944.shtml","http://www.12365auto.com/zlts/20200220/447944.shtml")</f>
        <v>http://www.12365auto.com/zlts/20200220/447944.shtml</v>
      </c>
      <c r="G4491" s="2"/>
      <c r="H4491" s="2" t="s">
        <v>6407</v>
      </c>
      <c r="I4491" s="2" t="s">
        <v>19</v>
      </c>
      <c r="J4491" s="2" t="s">
        <v>12</v>
      </c>
      <c r="K4491" s="2" t="s">
        <v>6408</v>
      </c>
      <c r="L4491" s="2">
        <f t="shared" si="70"/>
        <v>150</v>
      </c>
    </row>
    <row r="4492" spans="1:12" ht="25" customHeight="1">
      <c r="A4492" s="2" t="s">
        <v>12</v>
      </c>
      <c r="B4492" s="2" t="str">
        <f>HYPERLINK("http://www.12365auto.com/zlts/20200220/447943.shtml","发动机抖动")</f>
        <v>发动机抖动</v>
      </c>
      <c r="C4492" s="2" t="s">
        <v>13</v>
      </c>
      <c r="D4492" s="2" t="s">
        <v>12</v>
      </c>
      <c r="E4492" s="2"/>
      <c r="F4492" s="2" t="str">
        <f>HYPERLINK("http://www.12365auto.com/zlts/20200220/447943.shtml","http://www.12365auto.com/zlts/20200220/447943.shtml")</f>
        <v>http://www.12365auto.com/zlts/20200220/447943.shtml</v>
      </c>
      <c r="G4492" s="2"/>
      <c r="H4492" s="2" t="s">
        <v>6410</v>
      </c>
      <c r="I4492" s="2" t="s">
        <v>15</v>
      </c>
      <c r="J4492" s="2" t="s">
        <v>12</v>
      </c>
      <c r="K4492" s="2" t="s">
        <v>6409</v>
      </c>
      <c r="L4492" s="2">
        <f t="shared" si="70"/>
        <v>83</v>
      </c>
    </row>
    <row r="4493" spans="1:12" ht="25" customHeight="1">
      <c r="A4493" s="2" t="s">
        <v>12</v>
      </c>
      <c r="B4493" s="2" t="str">
        <f>HYPERLINK("http://www.12365auto.com/zlts/20200220/447935.shtml","在行车途中突然亮灯，档位锁在3档")</f>
        <v>在行车途中突然亮灯，档位锁在3档</v>
      </c>
      <c r="C4493" s="2" t="s">
        <v>13</v>
      </c>
      <c r="D4493" s="2" t="s">
        <v>12</v>
      </c>
      <c r="E4493" s="2"/>
      <c r="F4493" s="2" t="str">
        <f>HYPERLINK("http://www.12365auto.com/zlts/20200220/447935.shtml","http://www.12365auto.com/zlts/20200220/447935.shtml")</f>
        <v>http://www.12365auto.com/zlts/20200220/447935.shtml</v>
      </c>
      <c r="G4493" s="2"/>
      <c r="H4493" s="2" t="s">
        <v>6412</v>
      </c>
      <c r="I4493" s="2" t="s">
        <v>15</v>
      </c>
      <c r="J4493" s="2" t="s">
        <v>12</v>
      </c>
      <c r="K4493" s="2" t="s">
        <v>6411</v>
      </c>
      <c r="L4493" s="2">
        <f t="shared" si="70"/>
        <v>80</v>
      </c>
    </row>
    <row r="4494" spans="1:12" ht="25" customHeight="1">
      <c r="A4494" s="2" t="s">
        <v>12</v>
      </c>
      <c r="B4494" s="2" t="str">
        <f>HYPERLINK("http://www.12365auto.com/zlts/20200220/447942.shtml","斯柯达Yeti空调异味非常严重要求解决")</f>
        <v>斯柯达Yeti空调异味非常严重要求解决</v>
      </c>
      <c r="C4494" s="2" t="s">
        <v>13</v>
      </c>
      <c r="D4494" s="2" t="s">
        <v>12</v>
      </c>
      <c r="E4494" s="2" t="s">
        <v>17</v>
      </c>
      <c r="F4494" s="2" t="str">
        <f>HYPERLINK("http://www.12365auto.com/zlts/20200220/447942.shtml","http://www.12365auto.com/zlts/20200220/447942.shtml")</f>
        <v>http://www.12365auto.com/zlts/20200220/447942.shtml</v>
      </c>
      <c r="G4494" s="2"/>
      <c r="H4494" s="2" t="s">
        <v>6413</v>
      </c>
      <c r="I4494" s="2" t="s">
        <v>19</v>
      </c>
      <c r="J4494" s="2" t="s">
        <v>12</v>
      </c>
      <c r="K4494" s="2" t="s">
        <v>6414</v>
      </c>
      <c r="L4494" s="2">
        <f t="shared" si="70"/>
        <v>150</v>
      </c>
    </row>
    <row r="4495" spans="1:12" ht="25" customHeight="1">
      <c r="A4495" s="2" t="s">
        <v>12</v>
      </c>
      <c r="B4495" s="2" t="str">
        <f>HYPERLINK("http://www.12365auto.com/zlts/20200220/447941.shtml","众泰T700方向盘卡顿 变速箱顿挫 刹车抖动")</f>
        <v>众泰T700方向盘卡顿 变速箱顿挫 刹车抖动</v>
      </c>
      <c r="C4495" s="2" t="s">
        <v>13</v>
      </c>
      <c r="D4495" s="2" t="s">
        <v>12</v>
      </c>
      <c r="E4495" s="2" t="s">
        <v>17</v>
      </c>
      <c r="F4495" s="2" t="str">
        <f>HYPERLINK("http://www.12365auto.com/zlts/20200220/447941.shtml","http://www.12365auto.com/zlts/20200220/447941.shtml")</f>
        <v>http://www.12365auto.com/zlts/20200220/447941.shtml</v>
      </c>
      <c r="G4495" s="2"/>
      <c r="H4495" s="2" t="s">
        <v>6415</v>
      </c>
      <c r="I4495" s="2" t="s">
        <v>19</v>
      </c>
      <c r="J4495" s="2" t="s">
        <v>12</v>
      </c>
      <c r="K4495" s="2" t="s">
        <v>6416</v>
      </c>
      <c r="L4495" s="2">
        <f t="shared" si="70"/>
        <v>150</v>
      </c>
    </row>
    <row r="4496" spans="1:12" ht="25" customHeight="1">
      <c r="A4496" s="2" t="s">
        <v>12</v>
      </c>
      <c r="B4496" s="2" t="str">
        <f>HYPERLINK("http://www.12365auto.com/zlts/20200220/447939.shtml","上汽名爵6变速箱异响顿挫升级程序后动力弱")</f>
        <v>上汽名爵6变速箱异响顿挫升级程序后动力弱</v>
      </c>
      <c r="C4496" s="2" t="s">
        <v>13</v>
      </c>
      <c r="D4496" s="2" t="s">
        <v>12</v>
      </c>
      <c r="E4496" s="2" t="s">
        <v>17</v>
      </c>
      <c r="F4496" s="2" t="str">
        <f>HYPERLINK("http://www.12365auto.com/zlts/20200220/447939.shtml","http://www.12365auto.com/zlts/20200220/447939.shtml")</f>
        <v>http://www.12365auto.com/zlts/20200220/447939.shtml</v>
      </c>
      <c r="G4496" s="2"/>
      <c r="H4496" s="2" t="s">
        <v>6417</v>
      </c>
      <c r="I4496" s="2" t="s">
        <v>19</v>
      </c>
      <c r="J4496" s="2" t="s">
        <v>12</v>
      </c>
      <c r="K4496" s="2" t="s">
        <v>6418</v>
      </c>
      <c r="L4496" s="2">
        <f t="shared" si="70"/>
        <v>150</v>
      </c>
    </row>
    <row r="4497" spans="1:12" ht="25" customHeight="1">
      <c r="A4497" s="2" t="s">
        <v>12</v>
      </c>
      <c r="B4497" s="2" t="str">
        <f>HYPERLINK("http://www.12365auto.com/zlts/20200220/447938.shtml","众泰T700发动机漏防冻液 电瓶亏电")</f>
        <v>众泰T700发动机漏防冻液 电瓶亏电</v>
      </c>
      <c r="C4497" s="2" t="s">
        <v>13</v>
      </c>
      <c r="D4497" s="2" t="s">
        <v>12</v>
      </c>
      <c r="E4497" s="2" t="s">
        <v>17</v>
      </c>
      <c r="F4497" s="2" t="str">
        <f>HYPERLINK("http://www.12365auto.com/zlts/20200220/447938.shtml","http://www.12365auto.com/zlts/20200220/447938.shtml")</f>
        <v>http://www.12365auto.com/zlts/20200220/447938.shtml</v>
      </c>
      <c r="G4497" s="2"/>
      <c r="H4497" s="2" t="s">
        <v>6419</v>
      </c>
      <c r="I4497" s="2" t="s">
        <v>19</v>
      </c>
      <c r="J4497" s="2" t="s">
        <v>12</v>
      </c>
      <c r="K4497" s="2" t="s">
        <v>6418</v>
      </c>
      <c r="L4497" s="2">
        <f t="shared" si="70"/>
        <v>150</v>
      </c>
    </row>
    <row r="4498" spans="1:12" ht="25" customHeight="1">
      <c r="A4498" s="2" t="s">
        <v>12</v>
      </c>
      <c r="B4498" s="2" t="str">
        <f>HYPERLINK("http://www.12365auto.com/zlts/20200220/447936.shtml","东风本田思域正常使用优科豪马轮胎掉皮")</f>
        <v>东风本田思域正常使用优科豪马轮胎掉皮</v>
      </c>
      <c r="C4498" s="2" t="s">
        <v>13</v>
      </c>
      <c r="D4498" s="2" t="s">
        <v>12</v>
      </c>
      <c r="E4498" s="2" t="s">
        <v>17</v>
      </c>
      <c r="F4498" s="2" t="str">
        <f>HYPERLINK("http://www.12365auto.com/zlts/20200220/447936.shtml","http://www.12365auto.com/zlts/20200220/447936.shtml")</f>
        <v>http://www.12365auto.com/zlts/20200220/447936.shtml</v>
      </c>
      <c r="G4498" s="2"/>
      <c r="H4498" s="2" t="s">
        <v>6420</v>
      </c>
      <c r="I4498" s="2" t="s">
        <v>19</v>
      </c>
      <c r="J4498" s="2" t="s">
        <v>12</v>
      </c>
      <c r="K4498" s="2" t="s">
        <v>6421</v>
      </c>
      <c r="L4498" s="2">
        <f t="shared" si="70"/>
        <v>150</v>
      </c>
    </row>
    <row r="4499" spans="1:12" ht="25" customHeight="1">
      <c r="A4499" s="2" t="s">
        <v>12</v>
      </c>
      <c r="B4499" s="2" t="str">
        <f>HYPERLINK("http://www.12365auto.com/zlts/20200220/447929.shtml","开了一个多月没刮没碰，突然起了一个包")</f>
        <v>开了一个多月没刮没碰，突然起了一个包</v>
      </c>
      <c r="C4499" s="2" t="s">
        <v>13</v>
      </c>
      <c r="D4499" s="2" t="s">
        <v>12</v>
      </c>
      <c r="E4499" s="2"/>
      <c r="F4499" s="2" t="str">
        <f>HYPERLINK("http://www.12365auto.com/zlts/20200220/447929.shtml","http://www.12365auto.com/zlts/20200220/447929.shtml")</f>
        <v>http://www.12365auto.com/zlts/20200220/447929.shtml</v>
      </c>
      <c r="G4499" s="2"/>
      <c r="H4499" s="2" t="s">
        <v>6423</v>
      </c>
      <c r="I4499" s="2" t="s">
        <v>15</v>
      </c>
      <c r="J4499" s="2" t="s">
        <v>12</v>
      </c>
      <c r="K4499" s="2" t="s">
        <v>6422</v>
      </c>
      <c r="L4499" s="2">
        <f t="shared" si="70"/>
        <v>86</v>
      </c>
    </row>
    <row r="4500" spans="1:12" ht="25" customHeight="1">
      <c r="A4500" s="2" t="s">
        <v>12</v>
      </c>
      <c r="B4500" s="2" t="str">
        <f>HYPERLINK("http://www.12365auto.com/zlts/20200220/447933.shtml","哈弗H9发动机烧机油厂家拒绝保修")</f>
        <v>哈弗H9发动机烧机油厂家拒绝保修</v>
      </c>
      <c r="C4500" s="2" t="s">
        <v>13</v>
      </c>
      <c r="D4500" s="2" t="s">
        <v>12</v>
      </c>
      <c r="E4500" s="2" t="s">
        <v>17</v>
      </c>
      <c r="F4500" s="2" t="str">
        <f>HYPERLINK("http://www.12365auto.com/zlts/20200220/447933.shtml","http://www.12365auto.com/zlts/20200220/447933.shtml")</f>
        <v>http://www.12365auto.com/zlts/20200220/447933.shtml</v>
      </c>
      <c r="G4500" s="2"/>
      <c r="H4500" s="2" t="s">
        <v>6424</v>
      </c>
      <c r="I4500" s="2" t="s">
        <v>19</v>
      </c>
      <c r="J4500" s="2" t="s">
        <v>12</v>
      </c>
      <c r="K4500" s="2" t="s">
        <v>6425</v>
      </c>
      <c r="L4500" s="2">
        <f t="shared" si="70"/>
        <v>150</v>
      </c>
    </row>
    <row r="4501" spans="1:12" ht="25" customHeight="1">
      <c r="A4501" s="2" t="s">
        <v>12</v>
      </c>
      <c r="B4501" s="2" t="str">
        <f>HYPERLINK("http://www.12365auto.com/zlts/20200220/447931.shtml","挂挡踩油门不走")</f>
        <v>挂挡踩油门不走</v>
      </c>
      <c r="C4501" s="2" t="s">
        <v>13</v>
      </c>
      <c r="D4501" s="2" t="s">
        <v>12</v>
      </c>
      <c r="E4501" s="2"/>
      <c r="F4501" s="2" t="str">
        <f>HYPERLINK("http://www.12365auto.com/zlts/20200220/447931.shtml","http://www.12365auto.com/zlts/20200220/447931.shtml")</f>
        <v>http://www.12365auto.com/zlts/20200220/447931.shtml</v>
      </c>
      <c r="G4501" s="2"/>
      <c r="H4501" s="2" t="s">
        <v>6427</v>
      </c>
      <c r="I4501" s="2" t="s">
        <v>15</v>
      </c>
      <c r="J4501" s="2" t="s">
        <v>12</v>
      </c>
      <c r="K4501" s="2" t="s">
        <v>6426</v>
      </c>
      <c r="L4501" s="2">
        <f t="shared" si="70"/>
        <v>84</v>
      </c>
    </row>
    <row r="4502" spans="1:12" ht="25" customHeight="1">
      <c r="A4502" s="2" t="s">
        <v>12</v>
      </c>
      <c r="B4502" s="2" t="str">
        <f>HYPERLINK("http://www.12365auto.com/zlts/20200220/447930.shtml","东风日产奇骏冷启动冒黑烟 转向及刹车异响")</f>
        <v>东风日产奇骏冷启动冒黑烟 转向及刹车异响</v>
      </c>
      <c r="C4502" s="2" t="s">
        <v>13</v>
      </c>
      <c r="D4502" s="2" t="s">
        <v>12</v>
      </c>
      <c r="E4502" s="2" t="s">
        <v>17</v>
      </c>
      <c r="F4502" s="2" t="str">
        <f>HYPERLINK("http://www.12365auto.com/zlts/20200220/447930.shtml","http://www.12365auto.com/zlts/20200220/447930.shtml")</f>
        <v>http://www.12365auto.com/zlts/20200220/447930.shtml</v>
      </c>
      <c r="G4502" s="2"/>
      <c r="H4502" s="2" t="s">
        <v>6428</v>
      </c>
      <c r="I4502" s="2" t="s">
        <v>19</v>
      </c>
      <c r="J4502" s="2" t="s">
        <v>12</v>
      </c>
      <c r="K4502" s="2" t="s">
        <v>6429</v>
      </c>
      <c r="L4502" s="2">
        <f t="shared" si="70"/>
        <v>150</v>
      </c>
    </row>
    <row r="4503" spans="1:12" ht="25" customHeight="1">
      <c r="A4503" s="2" t="s">
        <v>12</v>
      </c>
      <c r="B4503" s="2" t="str">
        <f>HYPERLINK("http://www.12365auto.com/zlts/20200220/447924.shtml","东风标致308S发动机抖动熄火存在质量问题")</f>
        <v>东风标致308S发动机抖动熄火存在质量问题</v>
      </c>
      <c r="C4503" s="2" t="s">
        <v>13</v>
      </c>
      <c r="D4503" s="2" t="s">
        <v>12</v>
      </c>
      <c r="E4503" s="2" t="s">
        <v>17</v>
      </c>
      <c r="F4503" s="2" t="str">
        <f>HYPERLINK("http://www.12365auto.com/zlts/20200220/447924.shtml","http://www.12365auto.com/zlts/20200220/447924.shtml")</f>
        <v>http://www.12365auto.com/zlts/20200220/447924.shtml</v>
      </c>
      <c r="G4503" s="2"/>
      <c r="H4503" s="2" t="s">
        <v>6430</v>
      </c>
      <c r="I4503" s="2" t="s">
        <v>19</v>
      </c>
      <c r="J4503" s="2" t="s">
        <v>12</v>
      </c>
      <c r="K4503" s="2" t="s">
        <v>6431</v>
      </c>
      <c r="L4503" s="2">
        <f t="shared" si="70"/>
        <v>150</v>
      </c>
    </row>
    <row r="4504" spans="1:12" ht="25" customHeight="1">
      <c r="A4504" s="2" t="s">
        <v>12</v>
      </c>
      <c r="B4504" s="2" t="str">
        <f>HYPERLINK("http://www.12365auto.com/zlts/20200220/447925.shtml","一汽丰田皇冠保质期内方向机异响严重")</f>
        <v>一汽丰田皇冠保质期内方向机异响严重</v>
      </c>
      <c r="C4504" s="2" t="s">
        <v>13</v>
      </c>
      <c r="D4504" s="2" t="s">
        <v>12</v>
      </c>
      <c r="E4504" s="2" t="s">
        <v>17</v>
      </c>
      <c r="F4504" s="2" t="str">
        <f>HYPERLINK("http://www.12365auto.com/zlts/20200220/447925.shtml","http://www.12365auto.com/zlts/20200220/447925.shtml")</f>
        <v>http://www.12365auto.com/zlts/20200220/447925.shtml</v>
      </c>
      <c r="G4504" s="2"/>
      <c r="H4504" s="2" t="s">
        <v>6432</v>
      </c>
      <c r="I4504" s="2" t="s">
        <v>19</v>
      </c>
      <c r="J4504" s="2" t="s">
        <v>12</v>
      </c>
      <c r="K4504" s="2" t="s">
        <v>6431</v>
      </c>
      <c r="L4504" s="2">
        <f t="shared" si="70"/>
        <v>150</v>
      </c>
    </row>
    <row r="4505" spans="1:12" ht="25" customHeight="1">
      <c r="A4505" s="2" t="s">
        <v>12</v>
      </c>
      <c r="B4505" s="2" t="str">
        <f>HYPERLINK("http://bbs.12365auto.com/postcontent.aspx?tID=194732","帕萨特 一辆值得拥有的好车")</f>
        <v>帕萨特 一辆值得拥有的好车</v>
      </c>
      <c r="C4505" s="2" t="s">
        <v>13</v>
      </c>
      <c r="D4505" s="2" t="s">
        <v>12</v>
      </c>
      <c r="E4505" s="2" t="s">
        <v>1393</v>
      </c>
      <c r="F4505" s="2" t="str">
        <f>HYPERLINK("http://bbs.12365auto.com/postcontent.aspx?tID=194732","http://bbs.12365auto.com/postcontent.aspx?tID=194732")</f>
        <v>http://bbs.12365auto.com/postcontent.aspx?tID=194732</v>
      </c>
      <c r="G4505" s="2"/>
      <c r="H4505" s="2" t="s">
        <v>6433</v>
      </c>
      <c r="I4505" s="2" t="s">
        <v>15</v>
      </c>
      <c r="J4505" s="2" t="s">
        <v>6434</v>
      </c>
      <c r="K4505" s="2" t="s">
        <v>6435</v>
      </c>
      <c r="L4505" s="2">
        <f t="shared" si="70"/>
        <v>150</v>
      </c>
    </row>
    <row r="4506" spans="1:12" ht="25" customHeight="1">
      <c r="A4506" s="2" t="s">
        <v>12</v>
      </c>
      <c r="B4506" s="2" t="str">
        <f>HYPERLINK("http://bbs.12365auto.com/postcontent.aspx?tID=194730","2015款汉兰达群发故障：曲轴后油封漏油")</f>
        <v>2015款汉兰达群发故障：曲轴后油封漏油</v>
      </c>
      <c r="C4506" s="2" t="s">
        <v>13</v>
      </c>
      <c r="D4506" s="2" t="s">
        <v>12</v>
      </c>
      <c r="E4506" s="2" t="s">
        <v>67</v>
      </c>
      <c r="F4506" s="2" t="str">
        <f>HYPERLINK("http://bbs.12365auto.com/postcontent.aspx?tID=194730","http://bbs.12365auto.com/postcontent.aspx?tID=194730")</f>
        <v>http://bbs.12365auto.com/postcontent.aspx?tID=194730</v>
      </c>
      <c r="G4506" s="2"/>
      <c r="H4506" s="2" t="s">
        <v>6436</v>
      </c>
      <c r="I4506" s="2" t="s">
        <v>15</v>
      </c>
      <c r="J4506" s="2" t="s">
        <v>6437</v>
      </c>
      <c r="K4506" s="2" t="s">
        <v>6438</v>
      </c>
      <c r="L4506" s="2">
        <f t="shared" si="70"/>
        <v>150</v>
      </c>
    </row>
    <row r="4507" spans="1:12" ht="25" customHeight="1">
      <c r="A4507" s="2" t="s">
        <v>12</v>
      </c>
      <c r="B4507" s="2" t="str">
        <f>HYPERLINK("http://bbs.12365auto.com/postcontent.aspx?tID=194729","为返程做准备 开着小帕去备货")</f>
        <v>为返程做准备 开着小帕去备货</v>
      </c>
      <c r="C4507" s="2" t="s">
        <v>13</v>
      </c>
      <c r="D4507" s="2" t="s">
        <v>12</v>
      </c>
      <c r="E4507" s="2" t="s">
        <v>28</v>
      </c>
      <c r="F4507" s="2" t="str">
        <f>HYPERLINK("http://bbs.12365auto.com/postcontent.aspx?tID=194729","http://bbs.12365auto.com/postcontent.aspx?tID=194729")</f>
        <v>http://bbs.12365auto.com/postcontent.aspx?tID=194729</v>
      </c>
      <c r="G4507" s="2"/>
      <c r="H4507" s="2" t="s">
        <v>6439</v>
      </c>
      <c r="I4507" s="2" t="s">
        <v>15</v>
      </c>
      <c r="J4507" s="2" t="s">
        <v>5745</v>
      </c>
      <c r="K4507" s="2" t="s">
        <v>6440</v>
      </c>
      <c r="L4507" s="2">
        <f t="shared" si="70"/>
        <v>150</v>
      </c>
    </row>
    <row r="4508" spans="1:12" ht="25" customHeight="1">
      <c r="A4508" s="2" t="s">
        <v>12</v>
      </c>
      <c r="B4508" s="2" t="str">
        <f>HYPERLINK("http://bbs.12365auto.com/postcontent.aspx?tID=194727","西装暴徒 —— 试驾哥们的新款帕萨特")</f>
        <v>西装暴徒 —— 试驾哥们的新款帕萨特</v>
      </c>
      <c r="C4508" s="2" t="s">
        <v>13</v>
      </c>
      <c r="D4508" s="2" t="s">
        <v>12</v>
      </c>
      <c r="E4508" s="2" t="s">
        <v>1393</v>
      </c>
      <c r="F4508" s="2" t="str">
        <f>HYPERLINK("http://bbs.12365auto.com/postcontent.aspx?tID=194727","http://bbs.12365auto.com/postcontent.aspx?tID=194727")</f>
        <v>http://bbs.12365auto.com/postcontent.aspx?tID=194727</v>
      </c>
      <c r="G4508" s="2"/>
      <c r="H4508" s="2" t="s">
        <v>6441</v>
      </c>
      <c r="I4508" s="2" t="s">
        <v>15</v>
      </c>
      <c r="J4508" s="2" t="s">
        <v>2821</v>
      </c>
      <c r="K4508" s="2" t="s">
        <v>6442</v>
      </c>
      <c r="L4508" s="2">
        <f t="shared" si="70"/>
        <v>150</v>
      </c>
    </row>
    <row r="4509" spans="1:12" ht="25" customHeight="1">
      <c r="A4509" s="2" t="s">
        <v>12</v>
      </c>
      <c r="B4509" s="2" t="str">
        <f>HYPERLINK("http://www.12365auto.com/zlts/20200220/447921.shtml","北京现代悦动发动机启动困难影响正常使用")</f>
        <v>北京现代悦动发动机启动困难影响正常使用</v>
      </c>
      <c r="C4509" s="2" t="s">
        <v>13</v>
      </c>
      <c r="D4509" s="2" t="s">
        <v>12</v>
      </c>
      <c r="E4509" s="2" t="s">
        <v>17</v>
      </c>
      <c r="F4509" s="2" t="str">
        <f>HYPERLINK("http://www.12365auto.com/zlts/20200220/447921.shtml","http://www.12365auto.com/zlts/20200220/447921.shtml")</f>
        <v>http://www.12365auto.com/zlts/20200220/447921.shtml</v>
      </c>
      <c r="G4509" s="2"/>
      <c r="H4509" s="2" t="s">
        <v>6443</v>
      </c>
      <c r="I4509" s="2" t="s">
        <v>19</v>
      </c>
      <c r="J4509" s="2" t="s">
        <v>12</v>
      </c>
      <c r="K4509" s="2" t="s">
        <v>6444</v>
      </c>
      <c r="L4509" s="2">
        <f t="shared" si="70"/>
        <v>150</v>
      </c>
    </row>
    <row r="4510" spans="1:12" ht="25" customHeight="1">
      <c r="A4510" s="2" t="s">
        <v>12</v>
      </c>
      <c r="B4510" s="2" t="str">
        <f>HYPERLINK("http://www.12365auto.com/zlts/20200220/447918.shtml","雷克萨斯ES发动机舱渗入泥沙存在设计缺陷")</f>
        <v>雷克萨斯ES发动机舱渗入泥沙存在设计缺陷</v>
      </c>
      <c r="C4510" s="2" t="s">
        <v>13</v>
      </c>
      <c r="D4510" s="2" t="s">
        <v>12</v>
      </c>
      <c r="E4510" s="2" t="s">
        <v>17</v>
      </c>
      <c r="F4510" s="2" t="str">
        <f>HYPERLINK("http://www.12365auto.com/zlts/20200220/447918.shtml","http://www.12365auto.com/zlts/20200220/447918.shtml")</f>
        <v>http://www.12365auto.com/zlts/20200220/447918.shtml</v>
      </c>
      <c r="G4510" s="2"/>
      <c r="H4510" s="2" t="s">
        <v>6445</v>
      </c>
      <c r="I4510" s="2" t="s">
        <v>19</v>
      </c>
      <c r="J4510" s="2" t="s">
        <v>12</v>
      </c>
      <c r="K4510" s="2" t="s">
        <v>6446</v>
      </c>
      <c r="L4510" s="2">
        <f t="shared" si="70"/>
        <v>150</v>
      </c>
    </row>
    <row r="4511" spans="1:12" ht="25" customHeight="1">
      <c r="A4511" s="2" t="s">
        <v>12</v>
      </c>
      <c r="B4511" s="2" t="str">
        <f>HYPERLINK("http://www.12365auto.com/zlts/20200220/447916.shtml","广汽本田飞度发动机启动困难严重影响使用")</f>
        <v>广汽本田飞度发动机启动困难严重影响使用</v>
      </c>
      <c r="C4511" s="2" t="s">
        <v>13</v>
      </c>
      <c r="D4511" s="2" t="s">
        <v>12</v>
      </c>
      <c r="E4511" s="2"/>
      <c r="F4511" s="2" t="str">
        <f>HYPERLINK("http://www.12365auto.com/zlts/20200220/447916.shtml","http://www.12365auto.com/zlts/20200220/447916.shtml")</f>
        <v>http://www.12365auto.com/zlts/20200220/447916.shtml</v>
      </c>
      <c r="G4511" s="2"/>
      <c r="H4511" s="2" t="s">
        <v>6448</v>
      </c>
      <c r="I4511" s="2" t="s">
        <v>15</v>
      </c>
      <c r="J4511" s="2" t="s">
        <v>12</v>
      </c>
      <c r="K4511" s="2" t="s">
        <v>6447</v>
      </c>
      <c r="L4511" s="2">
        <f t="shared" si="70"/>
        <v>83</v>
      </c>
    </row>
    <row r="4512" spans="1:12" ht="25" customHeight="1">
      <c r="A4512" s="2" t="s">
        <v>12</v>
      </c>
      <c r="B4512" s="2" t="str">
        <f>HYPERLINK("http://bbs.12365auto.com/postcontent.aspx?tID=194726","还没尝试过房车自驾游？那就看看这两款四驱越野房车")</f>
        <v>还没尝试过房车自驾游？那就看看这两款四驱越野房车</v>
      </c>
      <c r="C4512" s="2" t="s">
        <v>13</v>
      </c>
      <c r="D4512" s="2" t="s">
        <v>12</v>
      </c>
      <c r="E4512" s="2" t="s">
        <v>5693</v>
      </c>
      <c r="F4512" s="2" t="str">
        <f>HYPERLINK("http://bbs.12365auto.com/postcontent.aspx?tID=194726","http://bbs.12365auto.com/postcontent.aspx?tID=194726")</f>
        <v>http://bbs.12365auto.com/postcontent.aspx?tID=194726</v>
      </c>
      <c r="G4512" s="2"/>
      <c r="H4512" s="2" t="s">
        <v>6449</v>
      </c>
      <c r="I4512" s="2" t="s">
        <v>15</v>
      </c>
      <c r="J4512" s="2" t="s">
        <v>3269</v>
      </c>
      <c r="K4512" s="2" t="s">
        <v>6450</v>
      </c>
      <c r="L4512" s="2">
        <f t="shared" si="70"/>
        <v>150</v>
      </c>
    </row>
    <row r="4513" spans="1:12" ht="25" customHeight="1">
      <c r="A4513" s="2" t="s">
        <v>12</v>
      </c>
      <c r="B4513" s="2" t="str">
        <f>HYPERLINK("http://www.12365auto.com/zlts/20200220/447915.shtml","吉利帝豪车身不同部位生锈希望厂家处理")</f>
        <v>吉利帝豪车身不同部位生锈希望厂家处理</v>
      </c>
      <c r="C4513" s="2" t="s">
        <v>13</v>
      </c>
      <c r="D4513" s="2" t="s">
        <v>12</v>
      </c>
      <c r="E4513" s="2" t="s">
        <v>17</v>
      </c>
      <c r="F4513" s="2" t="str">
        <f>HYPERLINK("http://www.12365auto.com/zlts/20200220/447915.shtml","http://www.12365auto.com/zlts/20200220/447915.shtml")</f>
        <v>http://www.12365auto.com/zlts/20200220/447915.shtml</v>
      </c>
      <c r="G4513" s="2"/>
      <c r="H4513" s="2" t="s">
        <v>6451</v>
      </c>
      <c r="I4513" s="2" t="s">
        <v>19</v>
      </c>
      <c r="J4513" s="2" t="s">
        <v>12</v>
      </c>
      <c r="K4513" s="2" t="s">
        <v>6452</v>
      </c>
      <c r="L4513" s="2">
        <f t="shared" si="70"/>
        <v>150</v>
      </c>
    </row>
    <row r="4514" spans="1:12" ht="25" customHeight="1">
      <c r="A4514" s="2" t="s">
        <v>12</v>
      </c>
      <c r="B4514" s="2" t="str">
        <f>HYPERLINK("http://www.12365auto.com/zlts/20200220/447914.shtml","江铃驭胜S350左前车门下方车漆鼓包生锈")</f>
        <v>江铃驭胜S350左前车门下方车漆鼓包生锈</v>
      </c>
      <c r="C4514" s="2" t="s">
        <v>13</v>
      </c>
      <c r="D4514" s="2" t="s">
        <v>12</v>
      </c>
      <c r="E4514" s="2" t="s">
        <v>17</v>
      </c>
      <c r="F4514" s="2" t="str">
        <f>HYPERLINK("http://www.12365auto.com/zlts/20200220/447914.shtml","http://www.12365auto.com/zlts/20200220/447914.shtml")</f>
        <v>http://www.12365auto.com/zlts/20200220/447914.shtml</v>
      </c>
      <c r="G4514" s="2"/>
      <c r="H4514" s="2" t="s">
        <v>6453</v>
      </c>
      <c r="I4514" s="2" t="s">
        <v>19</v>
      </c>
      <c r="J4514" s="2" t="s">
        <v>12</v>
      </c>
      <c r="K4514" s="2" t="s">
        <v>6454</v>
      </c>
      <c r="L4514" s="2">
        <f t="shared" si="70"/>
        <v>150</v>
      </c>
    </row>
    <row r="4515" spans="1:12" ht="25" customHeight="1">
      <c r="A4515" s="2" t="s">
        <v>12</v>
      </c>
      <c r="B4515" s="2" t="str">
        <f>HYPERLINK("http://www.12365auto.com/zlts/20200220/447913.shtml","宝骏730水箱漏水 过颠簸路面后减震器异响")</f>
        <v>宝骏730水箱漏水 过颠簸路面后减震器异响</v>
      </c>
      <c r="C4515" s="2" t="s">
        <v>13</v>
      </c>
      <c r="D4515" s="2" t="s">
        <v>12</v>
      </c>
      <c r="E4515" s="2" t="s">
        <v>17</v>
      </c>
      <c r="F4515" s="2" t="str">
        <f>HYPERLINK("http://www.12365auto.com/zlts/20200220/447913.shtml","http://www.12365auto.com/zlts/20200220/447913.shtml")</f>
        <v>http://www.12365auto.com/zlts/20200220/447913.shtml</v>
      </c>
      <c r="G4515" s="2"/>
      <c r="H4515" s="2" t="s">
        <v>6455</v>
      </c>
      <c r="I4515" s="2" t="s">
        <v>19</v>
      </c>
      <c r="J4515" s="2" t="s">
        <v>12</v>
      </c>
      <c r="K4515" s="2" t="s">
        <v>6456</v>
      </c>
      <c r="L4515" s="2">
        <f t="shared" si="70"/>
        <v>150</v>
      </c>
    </row>
    <row r="4516" spans="1:12" ht="25" customHeight="1">
      <c r="A4516" s="2" t="s">
        <v>12</v>
      </c>
      <c r="B4516" s="2" t="str">
        <f>HYPERLINK("http://m.12365auto.com/zjdy/20200220/121457.shtml","怎么样正确测量发动机机油的液位？")</f>
        <v>怎么样正确测量发动机机油的液位？</v>
      </c>
      <c r="C4516" s="2" t="s">
        <v>13</v>
      </c>
      <c r="D4516" s="2" t="s">
        <v>12</v>
      </c>
      <c r="E4516" s="2"/>
      <c r="F4516" s="2" t="str">
        <f>HYPERLINK("http://m.12365auto.com/zjdy/20200220/121457.shtml","http://m.12365auto.com/zjdy/20200220/121457.shtml")</f>
        <v>http://m.12365auto.com/zjdy/20200220/121457.shtml</v>
      </c>
      <c r="G4516" s="2"/>
      <c r="H4516" s="2" t="s">
        <v>6457</v>
      </c>
      <c r="I4516" s="2" t="s">
        <v>19</v>
      </c>
      <c r="J4516" s="2" t="s">
        <v>12</v>
      </c>
      <c r="K4516" s="2" t="s">
        <v>6458</v>
      </c>
      <c r="L4516" s="2">
        <f t="shared" si="70"/>
        <v>16</v>
      </c>
    </row>
    <row r="4517" spans="1:12" ht="25" customHeight="1">
      <c r="A4517" s="2" t="s">
        <v>12</v>
      </c>
      <c r="B4517" s="2" t="str">
        <f>HYPERLINK("http://m.12365auto.com/bbs/postcontent.aspx?tID=194725","三大件都一样，20万就能买亚洲龙，为啥要花30万买雷克萨斯ES呢？")</f>
        <v>三大件都一样，20万就能买亚洲龙，为啥要花30万买雷克萨斯ES呢？</v>
      </c>
      <c r="C4517" s="2" t="s">
        <v>13</v>
      </c>
      <c r="D4517" s="2" t="s">
        <v>23</v>
      </c>
      <c r="E4517" s="2"/>
      <c r="F4517" s="2" t="str">
        <f>HYPERLINK("http://m.12365auto.com/bbs/postcontent.aspx?tID=194725","http://m.12365auto.com/bbs/postcontent.aspx?tID=194725")</f>
        <v>http://m.12365auto.com/bbs/postcontent.aspx?tID=194725</v>
      </c>
      <c r="G4517" s="2"/>
      <c r="H4517" s="2" t="s">
        <v>6459</v>
      </c>
      <c r="I4517" s="2" t="s">
        <v>15</v>
      </c>
      <c r="J4517" s="2" t="s">
        <v>1960</v>
      </c>
      <c r="K4517" s="2" t="s">
        <v>6460</v>
      </c>
      <c r="L4517" s="2">
        <f t="shared" si="70"/>
        <v>150</v>
      </c>
    </row>
    <row r="4518" spans="1:12" ht="25" customHeight="1">
      <c r="A4518" s="2" t="s">
        <v>12</v>
      </c>
      <c r="B4518" s="2" t="str">
        <f>HYPERLINK("http://bbs.12365auto.com/postcontent.aspx?tId=194725","三大件都一样，20万就能买亚洲龙，为啥要花30万买雷克萨斯ES呢？")</f>
        <v>三大件都一样，20万就能买亚洲龙，为啥要花30万买雷克萨斯ES呢？</v>
      </c>
      <c r="C4518" s="2" t="s">
        <v>13</v>
      </c>
      <c r="D4518" s="2" t="s">
        <v>12</v>
      </c>
      <c r="E4518" s="2" t="s">
        <v>27</v>
      </c>
      <c r="F4518" s="2" t="str">
        <f>HYPERLINK("http://bbs.12365auto.com/postcontent.aspx?tId=194725","http://bbs.12365auto.com/postcontent.aspx?tId=194725")</f>
        <v>http://bbs.12365auto.com/postcontent.aspx?tId=194725</v>
      </c>
      <c r="G4518" s="2"/>
      <c r="H4518" s="2" t="s">
        <v>6459</v>
      </c>
      <c r="I4518" s="2" t="s">
        <v>15</v>
      </c>
      <c r="J4518" s="2" t="s">
        <v>1960</v>
      </c>
      <c r="K4518" s="2" t="s">
        <v>6460</v>
      </c>
      <c r="L4518" s="2">
        <f t="shared" si="70"/>
        <v>150</v>
      </c>
    </row>
    <row r="4519" spans="1:12" ht="25" customHeight="1">
      <c r="A4519" s="2" t="s">
        <v>12</v>
      </c>
      <c r="B4519" s="2" t="str">
        <f>HYPERLINK("http://bbs.12365auto.com/postcontent.aspx?tID=194725","20万就能买亚洲龙 为啥要花30万买雷克萨斯ES呢？")</f>
        <v>20万就能买亚洲龙 为啥要花30万买雷克萨斯ES呢？</v>
      </c>
      <c r="C4519" s="2" t="s">
        <v>13</v>
      </c>
      <c r="D4519" s="2" t="s">
        <v>12</v>
      </c>
      <c r="E4519" s="2" t="s">
        <v>28</v>
      </c>
      <c r="F4519" s="2" t="str">
        <f>HYPERLINK("http://bbs.12365auto.com/postcontent.aspx?tID=194725","http://bbs.12365auto.com/postcontent.aspx?tID=194725")</f>
        <v>http://bbs.12365auto.com/postcontent.aspx?tID=194725</v>
      </c>
      <c r="G4519" s="2"/>
      <c r="H4519" s="2" t="s">
        <v>6461</v>
      </c>
      <c r="I4519" s="2" t="s">
        <v>15</v>
      </c>
      <c r="J4519" s="2" t="s">
        <v>1960</v>
      </c>
      <c r="K4519" s="2" t="s">
        <v>6460</v>
      </c>
      <c r="L4519" s="2">
        <f t="shared" si="70"/>
        <v>150</v>
      </c>
    </row>
    <row r="4520" spans="1:12" ht="25" customHeight="1">
      <c r="A4520" s="2" t="s">
        <v>12</v>
      </c>
      <c r="B4520" s="2" t="str">
        <f>HYPERLINK("http://bbs.12365auto.com/postcontent.aspx?tID=194724","有它买啥GL8？整车进口标配V6 比埃尔法豪华")</f>
        <v>有它买啥GL8？整车进口标配V6 比埃尔法豪华</v>
      </c>
      <c r="C4520" s="2" t="s">
        <v>13</v>
      </c>
      <c r="D4520" s="2" t="s">
        <v>12</v>
      </c>
      <c r="E4520" s="2" t="s">
        <v>28</v>
      </c>
      <c r="F4520" s="2" t="str">
        <f>HYPERLINK("http://bbs.12365auto.com/postcontent.aspx?tID=194724","http://bbs.12365auto.com/postcontent.aspx?tID=194724")</f>
        <v>http://bbs.12365auto.com/postcontent.aspx?tID=194724</v>
      </c>
      <c r="G4520" s="2"/>
      <c r="H4520" s="2" t="s">
        <v>6462</v>
      </c>
      <c r="I4520" s="2" t="s">
        <v>15</v>
      </c>
      <c r="J4520" s="2" t="s">
        <v>1960</v>
      </c>
      <c r="K4520" s="2" t="s">
        <v>6463</v>
      </c>
      <c r="L4520" s="2">
        <f t="shared" si="70"/>
        <v>150</v>
      </c>
    </row>
    <row r="4521" spans="1:12" ht="25" customHeight="1">
      <c r="A4521" s="2" t="s">
        <v>12</v>
      </c>
      <c r="B4521" s="2" t="str">
        <f>HYPERLINK("http://m.12365auto.com/bbs/postcontent.aspx?tID=194724","有它买啥GL8？整车进口标配V6，长5米2大7座，比埃尔法豪华")</f>
        <v>有它买啥GL8？整车进口标配V6，长5米2大7座，比埃尔法豪华</v>
      </c>
      <c r="C4521" s="2" t="s">
        <v>13</v>
      </c>
      <c r="D4521" s="2" t="s">
        <v>23</v>
      </c>
      <c r="E4521" s="2"/>
      <c r="F4521" s="2" t="str">
        <f>HYPERLINK("http://m.12365auto.com/bbs/postcontent.aspx?tID=194724","http://m.12365auto.com/bbs/postcontent.aspx?tID=194724")</f>
        <v>http://m.12365auto.com/bbs/postcontent.aspx?tID=194724</v>
      </c>
      <c r="G4521" s="2"/>
      <c r="H4521" s="2" t="s">
        <v>6464</v>
      </c>
      <c r="I4521" s="2" t="s">
        <v>15</v>
      </c>
      <c r="J4521" s="2" t="s">
        <v>1960</v>
      </c>
      <c r="K4521" s="2" t="s">
        <v>6463</v>
      </c>
      <c r="L4521" s="2">
        <f t="shared" si="70"/>
        <v>150</v>
      </c>
    </row>
    <row r="4522" spans="1:12" ht="25" customHeight="1">
      <c r="A4522" s="2" t="s">
        <v>12</v>
      </c>
      <c r="B4522" s="2" t="str">
        <f>HYPERLINK("http://bbs.12365auto.com/postcontent.aspx?tId=194724","有它买啥GL8？整车进口标配V6，长5米2大7座，比埃尔法豪华")</f>
        <v>有它买啥GL8？整车进口标配V6，长5米2大7座，比埃尔法豪华</v>
      </c>
      <c r="C4522" s="2" t="s">
        <v>13</v>
      </c>
      <c r="D4522" s="2" t="s">
        <v>12</v>
      </c>
      <c r="E4522" s="2" t="s">
        <v>27</v>
      </c>
      <c r="F4522" s="2" t="str">
        <f>HYPERLINK("http://bbs.12365auto.com/postcontent.aspx?tId=194724","http://bbs.12365auto.com/postcontent.aspx?tId=194724")</f>
        <v>http://bbs.12365auto.com/postcontent.aspx?tId=194724</v>
      </c>
      <c r="G4522" s="2"/>
      <c r="H4522" s="2" t="s">
        <v>6464</v>
      </c>
      <c r="I4522" s="2" t="s">
        <v>15</v>
      </c>
      <c r="J4522" s="2" t="s">
        <v>1960</v>
      </c>
      <c r="K4522" s="2" t="s">
        <v>6463</v>
      </c>
      <c r="L4522" s="2">
        <f t="shared" si="70"/>
        <v>150</v>
      </c>
    </row>
    <row r="4523" spans="1:12" ht="25" customHeight="1">
      <c r="A4523" s="2" t="s">
        <v>12</v>
      </c>
      <c r="B4523" s="2" t="str">
        <f>HYPERLINK("http://bbs.12365auto.com/postcontent.aspx?tID=194723","长安PLUS系列再添新成员 长安逸动PLUS正式发布")</f>
        <v>长安PLUS系列再添新成员 长安逸动PLUS正式发布</v>
      </c>
      <c r="C4523" s="2" t="s">
        <v>13</v>
      </c>
      <c r="D4523" s="2" t="s">
        <v>12</v>
      </c>
      <c r="E4523" s="2" t="s">
        <v>28</v>
      </c>
      <c r="F4523" s="2" t="str">
        <f>HYPERLINK("http://bbs.12365auto.com/postcontent.aspx?tID=194723","http://bbs.12365auto.com/postcontent.aspx?tID=194723")</f>
        <v>http://bbs.12365auto.com/postcontent.aspx?tID=194723</v>
      </c>
      <c r="G4523" s="2"/>
      <c r="H4523" s="2" t="s">
        <v>6465</v>
      </c>
      <c r="I4523" s="2" t="s">
        <v>15</v>
      </c>
      <c r="J4523" s="2" t="s">
        <v>1960</v>
      </c>
      <c r="K4523" s="2" t="s">
        <v>6466</v>
      </c>
      <c r="L4523" s="2">
        <f t="shared" si="70"/>
        <v>150</v>
      </c>
    </row>
    <row r="4524" spans="1:12" ht="25" customHeight="1">
      <c r="A4524" s="2" t="s">
        <v>12</v>
      </c>
      <c r="B4524" s="2" t="str">
        <f>HYPERLINK("http://bbs.12365auto.com/postcontent.aspx?tID=194722","20万内无敌手？这台国产性能小钢炮究竟香不香")</f>
        <v>20万内无敌手？这台国产性能小钢炮究竟香不香</v>
      </c>
      <c r="C4524" s="2" t="s">
        <v>13</v>
      </c>
      <c r="D4524" s="2" t="s">
        <v>12</v>
      </c>
      <c r="E4524" s="2" t="s">
        <v>28</v>
      </c>
      <c r="F4524" s="2" t="str">
        <f>HYPERLINK("http://bbs.12365auto.com/postcontent.aspx?tID=194722","http://bbs.12365auto.com/postcontent.aspx?tID=194722")</f>
        <v>http://bbs.12365auto.com/postcontent.aspx?tID=194722</v>
      </c>
      <c r="G4524" s="2"/>
      <c r="H4524" s="2" t="s">
        <v>6467</v>
      </c>
      <c r="I4524" s="2" t="s">
        <v>15</v>
      </c>
      <c r="J4524" s="2" t="s">
        <v>1960</v>
      </c>
      <c r="K4524" s="2" t="s">
        <v>6466</v>
      </c>
      <c r="L4524" s="2">
        <f t="shared" si="70"/>
        <v>150</v>
      </c>
    </row>
    <row r="4525" spans="1:12" ht="25" customHeight="1">
      <c r="A4525" s="2" t="s">
        <v>12</v>
      </c>
      <c r="B4525" s="2" t="str">
        <f>HYPERLINK("http://m.12365auto.com/bbs/postcontent.aspx?tID=194723","长安PLUS系列再添新成员，长安逸动PLUS正式发布。")</f>
        <v>长安PLUS系列再添新成员，长安逸动PLUS正式发布。</v>
      </c>
      <c r="C4525" s="2" t="s">
        <v>13</v>
      </c>
      <c r="D4525" s="2" t="s">
        <v>23</v>
      </c>
      <c r="E4525" s="2"/>
      <c r="F4525" s="2" t="str">
        <f>HYPERLINK("http://m.12365auto.com/bbs/postcontent.aspx?tID=194723","http://m.12365auto.com/bbs/postcontent.aspx?tID=194723")</f>
        <v>http://m.12365auto.com/bbs/postcontent.aspx?tID=194723</v>
      </c>
      <c r="G4525" s="2"/>
      <c r="H4525" s="2" t="s">
        <v>6468</v>
      </c>
      <c r="I4525" s="2" t="s">
        <v>15</v>
      </c>
      <c r="J4525" s="2" t="s">
        <v>1960</v>
      </c>
      <c r="K4525" s="2" t="s">
        <v>6466</v>
      </c>
      <c r="L4525" s="2">
        <f t="shared" si="70"/>
        <v>150</v>
      </c>
    </row>
    <row r="4526" spans="1:12" ht="25" customHeight="1">
      <c r="A4526" s="2" t="s">
        <v>12</v>
      </c>
      <c r="B4526" s="2" t="str">
        <f>HYPERLINK("http://m.12365auto.com/bbs/postcontent.aspx?tID=194722","20万内无敌手？这台国产性能小钢炮究竟香不香")</f>
        <v>20万内无敌手？这台国产性能小钢炮究竟香不香</v>
      </c>
      <c r="C4526" s="2" t="s">
        <v>13</v>
      </c>
      <c r="D4526" s="2" t="s">
        <v>23</v>
      </c>
      <c r="E4526" s="2"/>
      <c r="F4526" s="2" t="str">
        <f>HYPERLINK("http://m.12365auto.com/bbs/postcontent.aspx?tID=194722","http://m.12365auto.com/bbs/postcontent.aspx?tID=194722")</f>
        <v>http://m.12365auto.com/bbs/postcontent.aspx?tID=194722</v>
      </c>
      <c r="G4526" s="2"/>
      <c r="H4526" s="2" t="s">
        <v>6469</v>
      </c>
      <c r="I4526" s="2" t="s">
        <v>15</v>
      </c>
      <c r="J4526" s="2" t="s">
        <v>1960</v>
      </c>
      <c r="K4526" s="2" t="s">
        <v>6466</v>
      </c>
      <c r="L4526" s="2">
        <f t="shared" si="70"/>
        <v>150</v>
      </c>
    </row>
    <row r="4527" spans="1:12" ht="25" customHeight="1">
      <c r="A4527" s="2" t="s">
        <v>12</v>
      </c>
      <c r="B4527" s="2" t="str">
        <f>HYPERLINK("http://bbs.12365auto.com/postcontent.aspx?tId=194723","长安PLUS系列再添新成员，长安逸动PLUS正式发布。")</f>
        <v>长安PLUS系列再添新成员，长安逸动PLUS正式发布。</v>
      </c>
      <c r="C4527" s="2" t="s">
        <v>13</v>
      </c>
      <c r="D4527" s="2" t="s">
        <v>12</v>
      </c>
      <c r="E4527" s="2" t="s">
        <v>27</v>
      </c>
      <c r="F4527" s="2" t="str">
        <f>HYPERLINK("http://bbs.12365auto.com/postcontent.aspx?tId=194723","http://bbs.12365auto.com/postcontent.aspx?tId=194723")</f>
        <v>http://bbs.12365auto.com/postcontent.aspx?tId=194723</v>
      </c>
      <c r="G4527" s="2"/>
      <c r="H4527" s="2" t="s">
        <v>6468</v>
      </c>
      <c r="I4527" s="2" t="s">
        <v>15</v>
      </c>
      <c r="J4527" s="2" t="s">
        <v>1960</v>
      </c>
      <c r="K4527" s="2" t="s">
        <v>6466</v>
      </c>
      <c r="L4527" s="2">
        <f t="shared" si="70"/>
        <v>150</v>
      </c>
    </row>
    <row r="4528" spans="1:12" ht="25" customHeight="1">
      <c r="A4528" s="2" t="s">
        <v>12</v>
      </c>
      <c r="B4528" s="2" t="str">
        <f>HYPERLINK("http://bbs.12365auto.com/postcontent.aspx?tId=194722","20万内无敌手？这台国产性能小钢炮究竟香不香")</f>
        <v>20万内无敌手？这台国产性能小钢炮究竟香不香</v>
      </c>
      <c r="C4528" s="2" t="s">
        <v>13</v>
      </c>
      <c r="D4528" s="2" t="s">
        <v>12</v>
      </c>
      <c r="E4528" s="2" t="s">
        <v>27</v>
      </c>
      <c r="F4528" s="2" t="str">
        <f>HYPERLINK("http://bbs.12365auto.com/postcontent.aspx?tId=194722","http://bbs.12365auto.com/postcontent.aspx?tId=194722")</f>
        <v>http://bbs.12365auto.com/postcontent.aspx?tId=194722</v>
      </c>
      <c r="G4528" s="2"/>
      <c r="H4528" s="2" t="s">
        <v>6469</v>
      </c>
      <c r="I4528" s="2" t="s">
        <v>15</v>
      </c>
      <c r="J4528" s="2" t="s">
        <v>1960</v>
      </c>
      <c r="K4528" s="2" t="s">
        <v>6466</v>
      </c>
      <c r="L4528" s="2">
        <f t="shared" si="70"/>
        <v>150</v>
      </c>
    </row>
    <row r="4529" spans="1:12" ht="25" customHeight="1">
      <c r="A4529" s="2" t="s">
        <v>12</v>
      </c>
      <c r="B4529" s="2" t="str">
        <f>HYPERLINK("http://m.12365auto.com/bbs/postcontent.aspx?tID=194721","仅需25万奔驰E 260L开回家，空间舒适有牌面儿，商务沉稳")</f>
        <v>仅需25万奔驰E 260L开回家，空间舒适有牌面儿，商务沉稳</v>
      </c>
      <c r="C4529" s="2" t="s">
        <v>13</v>
      </c>
      <c r="D4529" s="2" t="s">
        <v>23</v>
      </c>
      <c r="E4529" s="2"/>
      <c r="F4529" s="2" t="str">
        <f>HYPERLINK("http://m.12365auto.com/bbs/postcontent.aspx?tID=194721","http://m.12365auto.com/bbs/postcontent.aspx?tID=194721")</f>
        <v>http://m.12365auto.com/bbs/postcontent.aspx?tID=194721</v>
      </c>
      <c r="G4529" s="2"/>
      <c r="H4529" s="2" t="s">
        <v>6470</v>
      </c>
      <c r="I4529" s="2" t="s">
        <v>15</v>
      </c>
      <c r="J4529" s="2" t="s">
        <v>1960</v>
      </c>
      <c r="K4529" s="2" t="s">
        <v>6471</v>
      </c>
      <c r="L4529" s="2">
        <f t="shared" si="70"/>
        <v>150</v>
      </c>
    </row>
    <row r="4530" spans="1:12" ht="25" customHeight="1">
      <c r="A4530" s="2" t="s">
        <v>12</v>
      </c>
      <c r="B4530" s="2" t="str">
        <f>HYPERLINK("http://bbs.12365auto.com/postcontent.aspx?tId=194721","仅需25万奔驰E 260L开回家，空间舒适有牌面儿，商务沉稳")</f>
        <v>仅需25万奔驰E 260L开回家，空间舒适有牌面儿，商务沉稳</v>
      </c>
      <c r="C4530" s="2" t="s">
        <v>13</v>
      </c>
      <c r="D4530" s="2" t="s">
        <v>12</v>
      </c>
      <c r="E4530" s="2" t="s">
        <v>27</v>
      </c>
      <c r="F4530" s="2" t="str">
        <f>HYPERLINK("http://bbs.12365auto.com/postcontent.aspx?tId=194721","http://bbs.12365auto.com/postcontent.aspx?tId=194721")</f>
        <v>http://bbs.12365auto.com/postcontent.aspx?tId=194721</v>
      </c>
      <c r="G4530" s="2"/>
      <c r="H4530" s="2" t="s">
        <v>6470</v>
      </c>
      <c r="I4530" s="2" t="s">
        <v>15</v>
      </c>
      <c r="J4530" s="2" t="s">
        <v>1960</v>
      </c>
      <c r="K4530" s="2" t="s">
        <v>6471</v>
      </c>
      <c r="L4530" s="2">
        <f t="shared" si="70"/>
        <v>150</v>
      </c>
    </row>
    <row r="4531" spans="1:12" ht="25" customHeight="1">
      <c r="A4531" s="2" t="s">
        <v>12</v>
      </c>
      <c r="B4531" s="2" t="str">
        <f>HYPERLINK("http://bbs.12365auto.com/postcontent.aspx?tID=194721","仅需25万奔驰E 260L开回家 空间舒适有牌面儿")</f>
        <v>仅需25万奔驰E 260L开回家 空间舒适有牌面儿</v>
      </c>
      <c r="C4531" s="2" t="s">
        <v>13</v>
      </c>
      <c r="D4531" s="2" t="s">
        <v>12</v>
      </c>
      <c r="E4531" s="2" t="s">
        <v>28</v>
      </c>
      <c r="F4531" s="2" t="str">
        <f>HYPERLINK("http://bbs.12365auto.com/postcontent.aspx?tID=194721","http://bbs.12365auto.com/postcontent.aspx?tID=194721")</f>
        <v>http://bbs.12365auto.com/postcontent.aspx?tID=194721</v>
      </c>
      <c r="G4531" s="2"/>
      <c r="H4531" s="2" t="s">
        <v>6472</v>
      </c>
      <c r="I4531" s="2" t="s">
        <v>15</v>
      </c>
      <c r="J4531" s="2" t="s">
        <v>1960</v>
      </c>
      <c r="K4531" s="2" t="s">
        <v>6471</v>
      </c>
      <c r="L4531" s="2">
        <f t="shared" si="70"/>
        <v>150</v>
      </c>
    </row>
    <row r="4532" spans="1:12" ht="25" customHeight="1">
      <c r="A4532" s="2" t="s">
        <v>12</v>
      </c>
      <c r="B4532" s="2" t="str">
        <f>HYPERLINK("http://www.12365auto.com/zlts/20200220/447909.shtml","广汽本田雅阁高速行驶中打方向盘时卡顿")</f>
        <v>广汽本田雅阁高速行驶中打方向盘时卡顿</v>
      </c>
      <c r="C4532" s="2" t="s">
        <v>13</v>
      </c>
      <c r="D4532" s="2" t="s">
        <v>12</v>
      </c>
      <c r="E4532" s="2" t="s">
        <v>17</v>
      </c>
      <c r="F4532" s="2" t="str">
        <f>HYPERLINK("http://www.12365auto.com/zlts/20200220/447909.shtml","http://www.12365auto.com/zlts/20200220/447909.shtml")</f>
        <v>http://www.12365auto.com/zlts/20200220/447909.shtml</v>
      </c>
      <c r="G4532" s="2"/>
      <c r="H4532" s="2" t="s">
        <v>6473</v>
      </c>
      <c r="I4532" s="2" t="s">
        <v>19</v>
      </c>
      <c r="J4532" s="2" t="s">
        <v>12</v>
      </c>
      <c r="K4532" s="2" t="s">
        <v>6474</v>
      </c>
      <c r="L4532" s="2">
        <f t="shared" si="70"/>
        <v>150</v>
      </c>
    </row>
    <row r="4533" spans="1:12" ht="25" customHeight="1">
      <c r="A4533" s="2" t="s">
        <v>12</v>
      </c>
      <c r="B4533" s="2" t="str">
        <f>HYPERLINK("http://m.12365auto.com/bbs/postcontent.aspx?tID=194720","15万买什么车既能撩妹又拉风？这3款高颜值紧凑型轿车你不可错过")</f>
        <v>15万买什么车既能撩妹又拉风？这3款高颜值紧凑型轿车你不可错过</v>
      </c>
      <c r="C4533" s="2" t="s">
        <v>13</v>
      </c>
      <c r="D4533" s="2" t="s">
        <v>23</v>
      </c>
      <c r="E4533" s="2"/>
      <c r="F4533" s="2" t="str">
        <f>HYPERLINK("http://m.12365auto.com/bbs/postcontent.aspx?tID=194720","http://m.12365auto.com/bbs/postcontent.aspx?tID=194720")</f>
        <v>http://m.12365auto.com/bbs/postcontent.aspx?tID=194720</v>
      </c>
      <c r="G4533" s="2"/>
      <c r="H4533" s="2" t="s">
        <v>5617</v>
      </c>
      <c r="I4533" s="2" t="s">
        <v>15</v>
      </c>
      <c r="J4533" s="2" t="s">
        <v>1960</v>
      </c>
      <c r="K4533" s="2" t="s">
        <v>6474</v>
      </c>
      <c r="L4533" s="2">
        <f t="shared" si="70"/>
        <v>150</v>
      </c>
    </row>
    <row r="4534" spans="1:12" ht="25" customHeight="1">
      <c r="A4534" s="2" t="s">
        <v>12</v>
      </c>
      <c r="B4534" s="2" t="str">
        <f>HYPERLINK("http://m.12365auto.com/bbs/postcontent.aspx?tID=194719","最便宜的3系来了，宝马320和330同时上市")</f>
        <v>最便宜的3系来了，宝马320和330同时上市</v>
      </c>
      <c r="C4534" s="2" t="s">
        <v>13</v>
      </c>
      <c r="D4534" s="2" t="s">
        <v>23</v>
      </c>
      <c r="E4534" s="2"/>
      <c r="F4534" s="2" t="str">
        <f>HYPERLINK("http://m.12365auto.com/bbs/postcontent.aspx?tID=194719","http://m.12365auto.com/bbs/postcontent.aspx?tID=194719")</f>
        <v>http://m.12365auto.com/bbs/postcontent.aspx?tID=194719</v>
      </c>
      <c r="G4534" s="2"/>
      <c r="H4534" s="2" t="s">
        <v>6475</v>
      </c>
      <c r="I4534" s="2" t="s">
        <v>15</v>
      </c>
      <c r="J4534" s="2" t="s">
        <v>1960</v>
      </c>
      <c r="K4534" s="2" t="s">
        <v>6474</v>
      </c>
      <c r="L4534" s="2">
        <f t="shared" si="70"/>
        <v>150</v>
      </c>
    </row>
    <row r="4535" spans="1:12" ht="25" customHeight="1">
      <c r="A4535" s="2" t="s">
        <v>12</v>
      </c>
      <c r="B4535" s="2" t="str">
        <f>HYPERLINK("http://bbs.12365auto.com/postcontent.aspx?tId=194719","最便宜的3系来了，宝马320和330同时上市")</f>
        <v>最便宜的3系来了，宝马320和330同时上市</v>
      </c>
      <c r="C4535" s="2" t="s">
        <v>13</v>
      </c>
      <c r="D4535" s="2" t="s">
        <v>12</v>
      </c>
      <c r="E4535" s="2" t="s">
        <v>27</v>
      </c>
      <c r="F4535" s="2" t="str">
        <f>HYPERLINK("http://bbs.12365auto.com/postcontent.aspx?tId=194719","http://bbs.12365auto.com/postcontent.aspx?tId=194719")</f>
        <v>http://bbs.12365auto.com/postcontent.aspx?tId=194719</v>
      </c>
      <c r="G4535" s="2"/>
      <c r="H4535" s="2" t="s">
        <v>6475</v>
      </c>
      <c r="I4535" s="2" t="s">
        <v>15</v>
      </c>
      <c r="J4535" s="2" t="s">
        <v>1960</v>
      </c>
      <c r="K4535" s="2" t="s">
        <v>6474</v>
      </c>
      <c r="L4535" s="2">
        <f t="shared" si="70"/>
        <v>150</v>
      </c>
    </row>
    <row r="4536" spans="1:12" ht="25" customHeight="1">
      <c r="A4536" s="2" t="s">
        <v>12</v>
      </c>
      <c r="B4536" s="2" t="str">
        <f>HYPERLINK("http://bbs.12365auto.com/postcontent.aspx?tId=194720","15万买什么车既能撩妹又拉风？这3款高颜值紧凑型轿车你不可错过")</f>
        <v>15万买什么车既能撩妹又拉风？这3款高颜值紧凑型轿车你不可错过</v>
      </c>
      <c r="C4536" s="2" t="s">
        <v>13</v>
      </c>
      <c r="D4536" s="2" t="s">
        <v>12</v>
      </c>
      <c r="E4536" s="2" t="s">
        <v>27</v>
      </c>
      <c r="F4536" s="2" t="str">
        <f>HYPERLINK("http://bbs.12365auto.com/postcontent.aspx?tId=194720","http://bbs.12365auto.com/postcontent.aspx?tId=194720")</f>
        <v>http://bbs.12365auto.com/postcontent.aspx?tId=194720</v>
      </c>
      <c r="G4536" s="2"/>
      <c r="H4536" s="2" t="s">
        <v>5617</v>
      </c>
      <c r="I4536" s="2" t="s">
        <v>15</v>
      </c>
      <c r="J4536" s="2" t="s">
        <v>1960</v>
      </c>
      <c r="K4536" s="2" t="s">
        <v>6474</v>
      </c>
      <c r="L4536" s="2">
        <f t="shared" si="70"/>
        <v>150</v>
      </c>
    </row>
    <row r="4537" spans="1:12" ht="25" customHeight="1">
      <c r="A4537" s="2" t="s">
        <v>12</v>
      </c>
      <c r="B4537" s="2" t="str">
        <f>HYPERLINK("http://bbs.12365auto.com/postcontent.aspx?tID=194719","最便宜的3系来了 宝马320和330同时上市")</f>
        <v>最便宜的3系来了 宝马320和330同时上市</v>
      </c>
      <c r="C4537" s="2" t="s">
        <v>13</v>
      </c>
      <c r="D4537" s="2" t="s">
        <v>12</v>
      </c>
      <c r="E4537" s="2" t="s">
        <v>28</v>
      </c>
      <c r="F4537" s="2" t="str">
        <f>HYPERLINK("http://bbs.12365auto.com/postcontent.aspx?tID=194719","http://bbs.12365auto.com/postcontent.aspx?tID=194719")</f>
        <v>http://bbs.12365auto.com/postcontent.aspx?tID=194719</v>
      </c>
      <c r="G4537" s="2"/>
      <c r="H4537" s="2" t="s">
        <v>6476</v>
      </c>
      <c r="I4537" s="2" t="s">
        <v>15</v>
      </c>
      <c r="J4537" s="2" t="s">
        <v>1960</v>
      </c>
      <c r="K4537" s="2" t="s">
        <v>6474</v>
      </c>
      <c r="L4537" s="2">
        <f t="shared" si="70"/>
        <v>150</v>
      </c>
    </row>
    <row r="4538" spans="1:12" ht="25" customHeight="1">
      <c r="A4538" s="2" t="s">
        <v>12</v>
      </c>
      <c r="B4538" s="2" t="str">
        <f>HYPERLINK("http://bbs.12365auto.com/postcontent.aspx?tID=194720","既撩妹又拉风？这3款高颜值紧凑型轿车你不可错过")</f>
        <v>既撩妹又拉风？这3款高颜值紧凑型轿车你不可错过</v>
      </c>
      <c r="C4538" s="2" t="s">
        <v>13</v>
      </c>
      <c r="D4538" s="2" t="s">
        <v>12</v>
      </c>
      <c r="E4538" s="2" t="s">
        <v>28</v>
      </c>
      <c r="F4538" s="2" t="str">
        <f>HYPERLINK("http://bbs.12365auto.com/postcontent.aspx?tID=194720","http://bbs.12365auto.com/postcontent.aspx?tID=194720")</f>
        <v>http://bbs.12365auto.com/postcontent.aspx?tID=194720</v>
      </c>
      <c r="G4538" s="2"/>
      <c r="H4538" s="2" t="s">
        <v>6477</v>
      </c>
      <c r="I4538" s="2" t="s">
        <v>15</v>
      </c>
      <c r="J4538" s="2" t="s">
        <v>1960</v>
      </c>
      <c r="K4538" s="2" t="s">
        <v>6474</v>
      </c>
      <c r="L4538" s="2">
        <f t="shared" si="70"/>
        <v>150</v>
      </c>
    </row>
    <row r="4539" spans="1:12" ht="25" customHeight="1">
      <c r="A4539" s="2" t="s">
        <v>12</v>
      </c>
      <c r="B4539" s="2" t="str">
        <f>HYPERLINK("http://m.12365auto.com/bbs/postcontent.aspx?tID=194718","最便宜的豪华7座SUV 这三款最低30万就可购买")</f>
        <v>最便宜的豪华7座SUV 这三款最低30万就可购买</v>
      </c>
      <c r="C4539" s="2" t="s">
        <v>13</v>
      </c>
      <c r="D4539" s="2" t="s">
        <v>23</v>
      </c>
      <c r="E4539" s="2"/>
      <c r="F4539" s="2" t="str">
        <f>HYPERLINK("http://m.12365auto.com/bbs/postcontent.aspx?tID=194718","http://m.12365auto.com/bbs/postcontent.aspx?tID=194718")</f>
        <v>http://m.12365auto.com/bbs/postcontent.aspx?tID=194718</v>
      </c>
      <c r="G4539" s="2"/>
      <c r="H4539" s="2" t="s">
        <v>6478</v>
      </c>
      <c r="I4539" s="2" t="s">
        <v>15</v>
      </c>
      <c r="J4539" s="2" t="s">
        <v>1960</v>
      </c>
      <c r="K4539" s="2" t="s">
        <v>6479</v>
      </c>
      <c r="L4539" s="2">
        <f t="shared" si="70"/>
        <v>150</v>
      </c>
    </row>
    <row r="4540" spans="1:12" ht="25" customHeight="1">
      <c r="A4540" s="2" t="s">
        <v>12</v>
      </c>
      <c r="B4540" s="2" t="str">
        <f>HYPERLINK("http://bbs.12365auto.com/postcontent.aspx?tId=194718","最便宜的豪华7座SUV 这三款最低30万就可购买")</f>
        <v>最便宜的豪华7座SUV 这三款最低30万就可购买</v>
      </c>
      <c r="C4540" s="2" t="s">
        <v>13</v>
      </c>
      <c r="D4540" s="2" t="s">
        <v>12</v>
      </c>
      <c r="E4540" s="2" t="s">
        <v>27</v>
      </c>
      <c r="F4540" s="2" t="str">
        <f>HYPERLINK("http://bbs.12365auto.com/postcontent.aspx?tId=194718","http://bbs.12365auto.com/postcontent.aspx?tId=194718")</f>
        <v>http://bbs.12365auto.com/postcontent.aspx?tId=194718</v>
      </c>
      <c r="G4540" s="2"/>
      <c r="H4540" s="2" t="s">
        <v>6478</v>
      </c>
      <c r="I4540" s="2" t="s">
        <v>15</v>
      </c>
      <c r="J4540" s="2" t="s">
        <v>1960</v>
      </c>
      <c r="K4540" s="2" t="s">
        <v>6479</v>
      </c>
      <c r="L4540" s="2">
        <f t="shared" si="70"/>
        <v>150</v>
      </c>
    </row>
    <row r="4541" spans="1:12" ht="25" customHeight="1">
      <c r="A4541" s="2" t="s">
        <v>12</v>
      </c>
      <c r="B4541" s="2" t="str">
        <f>HYPERLINK("http://bbs.12365auto.com/postcontent.aspx?tID=194718","最便宜的豪华7座SUV 这三款最低30万就可购买")</f>
        <v>最便宜的豪华7座SUV 这三款最低30万就可购买</v>
      </c>
      <c r="C4541" s="2" t="s">
        <v>13</v>
      </c>
      <c r="D4541" s="2" t="s">
        <v>12</v>
      </c>
      <c r="E4541" s="2" t="s">
        <v>28</v>
      </c>
      <c r="F4541" s="2" t="str">
        <f>HYPERLINK("http://bbs.12365auto.com/postcontent.aspx?tID=194718","http://bbs.12365auto.com/postcontent.aspx?tID=194718")</f>
        <v>http://bbs.12365auto.com/postcontent.aspx?tID=194718</v>
      </c>
      <c r="G4541" s="2"/>
      <c r="H4541" s="2" t="s">
        <v>6480</v>
      </c>
      <c r="I4541" s="2" t="s">
        <v>15</v>
      </c>
      <c r="J4541" s="2" t="s">
        <v>1960</v>
      </c>
      <c r="K4541" s="2" t="s">
        <v>6479</v>
      </c>
      <c r="L4541" s="2">
        <f t="shared" si="70"/>
        <v>150</v>
      </c>
    </row>
    <row r="4542" spans="1:12" ht="25" customHeight="1">
      <c r="A4542" s="2" t="s">
        <v>12</v>
      </c>
      <c r="B4542" s="2" t="str">
        <f>HYPERLINK("http://www.12365auto.com/zlts/20200220/447908.shtml","吉利EC8仪表盘显示模糊  叶子板生锈")</f>
        <v>吉利EC8仪表盘显示模糊  叶子板生锈</v>
      </c>
      <c r="C4542" s="2" t="s">
        <v>13</v>
      </c>
      <c r="D4542" s="2" t="s">
        <v>12</v>
      </c>
      <c r="E4542" s="2" t="s">
        <v>17</v>
      </c>
      <c r="F4542" s="2" t="str">
        <f>HYPERLINK("http://www.12365auto.com/zlts/20200220/447908.shtml","http://www.12365auto.com/zlts/20200220/447908.shtml")</f>
        <v>http://www.12365auto.com/zlts/20200220/447908.shtml</v>
      </c>
      <c r="G4542" s="2"/>
      <c r="H4542" s="2" t="s">
        <v>6481</v>
      </c>
      <c r="I4542" s="2" t="s">
        <v>15</v>
      </c>
      <c r="J4542" s="2" t="s">
        <v>12</v>
      </c>
      <c r="K4542" s="2" t="s">
        <v>6482</v>
      </c>
      <c r="L4542" s="2">
        <f t="shared" si="70"/>
        <v>150</v>
      </c>
    </row>
    <row r="4543" spans="1:12" ht="25" customHeight="1">
      <c r="A4543" s="2" t="s">
        <v>12</v>
      </c>
      <c r="B4543" s="2" t="str">
        <f>HYPERLINK("http://bbs.12365auto.com/postcontent.aspx?tId=194717","全新2020款本田e电动车")</f>
        <v>全新2020款本田e电动车</v>
      </c>
      <c r="C4543" s="2" t="s">
        <v>13</v>
      </c>
      <c r="D4543" s="2" t="s">
        <v>12</v>
      </c>
      <c r="E4543" s="2" t="s">
        <v>27</v>
      </c>
      <c r="F4543" s="2" t="str">
        <f>HYPERLINK("http://bbs.12365auto.com/postcontent.aspx?tId=194717","http://bbs.12365auto.com/postcontent.aspx?tId=194717")</f>
        <v>http://bbs.12365auto.com/postcontent.aspx?tId=194717</v>
      </c>
      <c r="G4543" s="2"/>
      <c r="H4543" s="2" t="s">
        <v>6483</v>
      </c>
      <c r="I4543" s="2" t="s">
        <v>15</v>
      </c>
      <c r="J4543" s="2" t="s">
        <v>1113</v>
      </c>
      <c r="K4543" s="2" t="s">
        <v>6484</v>
      </c>
      <c r="L4543" s="2">
        <f t="shared" si="70"/>
        <v>119</v>
      </c>
    </row>
    <row r="4544" spans="1:12" ht="25" customHeight="1">
      <c r="A4544" s="2" t="s">
        <v>12</v>
      </c>
      <c r="B4544" s="2" t="str">
        <f>HYPERLINK("http://bbs.12365auto.com/postcontent.aspx?tId=194716","雷诺发布两款混动车型")</f>
        <v>雷诺发布两款混动车型</v>
      </c>
      <c r="C4544" s="2" t="s">
        <v>13</v>
      </c>
      <c r="D4544" s="2" t="s">
        <v>12</v>
      </c>
      <c r="E4544" s="2" t="s">
        <v>27</v>
      </c>
      <c r="F4544" s="2" t="str">
        <f>HYPERLINK("http://bbs.12365auto.com/postcontent.aspx?tId=194716","http://bbs.12365auto.com/postcontent.aspx?tId=194716")</f>
        <v>http://bbs.12365auto.com/postcontent.aspx?tId=194716</v>
      </c>
      <c r="G4544" s="2"/>
      <c r="H4544" s="2" t="s">
        <v>6485</v>
      </c>
      <c r="I4544" s="2" t="s">
        <v>15</v>
      </c>
      <c r="J4544" s="2" t="s">
        <v>1113</v>
      </c>
      <c r="K4544" s="2" t="s">
        <v>6484</v>
      </c>
      <c r="L4544" s="2">
        <f t="shared" si="70"/>
        <v>150</v>
      </c>
    </row>
    <row r="4545" spans="1:12" ht="25" customHeight="1">
      <c r="A4545" s="2" t="s">
        <v>12</v>
      </c>
      <c r="B4545" s="2" t="str">
        <f>HYPERLINK("http://m.12365auto.com/bbs/postcontent.aspx?tID=194717","全新2020款本田e电动车")</f>
        <v>全新2020款本田e电动车</v>
      </c>
      <c r="C4545" s="2" t="s">
        <v>13</v>
      </c>
      <c r="D4545" s="2" t="s">
        <v>23</v>
      </c>
      <c r="E4545" s="2"/>
      <c r="F4545" s="2" t="str">
        <f>HYPERLINK("http://m.12365auto.com/bbs/postcontent.aspx?tID=194717","http://m.12365auto.com/bbs/postcontent.aspx?tID=194717")</f>
        <v>http://m.12365auto.com/bbs/postcontent.aspx?tID=194717</v>
      </c>
      <c r="G4545" s="2"/>
      <c r="H4545" s="2" t="s">
        <v>6483</v>
      </c>
      <c r="I4545" s="2" t="s">
        <v>15</v>
      </c>
      <c r="J4545" s="2" t="s">
        <v>1113</v>
      </c>
      <c r="K4545" s="2" t="s">
        <v>6484</v>
      </c>
      <c r="L4545" s="2">
        <f t="shared" si="70"/>
        <v>119</v>
      </c>
    </row>
    <row r="4546" spans="1:12" ht="25" customHeight="1">
      <c r="A4546" s="2" t="s">
        <v>12</v>
      </c>
      <c r="B4546" s="2" t="str">
        <f>HYPERLINK("http://m.12365auto.com/bbs/postcontent.aspx?tID=194716","雷诺发布两款混动车型")</f>
        <v>雷诺发布两款混动车型</v>
      </c>
      <c r="C4546" s="2" t="s">
        <v>13</v>
      </c>
      <c r="D4546" s="2" t="s">
        <v>23</v>
      </c>
      <c r="E4546" s="2"/>
      <c r="F4546" s="2" t="str">
        <f>HYPERLINK("http://m.12365auto.com/bbs/postcontent.aspx?tID=194716","http://m.12365auto.com/bbs/postcontent.aspx?tID=194716")</f>
        <v>http://m.12365auto.com/bbs/postcontent.aspx?tID=194716</v>
      </c>
      <c r="G4546" s="2"/>
      <c r="H4546" s="2" t="s">
        <v>6485</v>
      </c>
      <c r="I4546" s="2" t="s">
        <v>15</v>
      </c>
      <c r="J4546" s="2" t="s">
        <v>1113</v>
      </c>
      <c r="K4546" s="2" t="s">
        <v>6484</v>
      </c>
      <c r="L4546" s="2">
        <f t="shared" si="70"/>
        <v>150</v>
      </c>
    </row>
    <row r="4547" spans="1:12" ht="25" customHeight="1">
      <c r="A4547" s="2" t="s">
        <v>12</v>
      </c>
      <c r="B4547" s="2" t="str">
        <f>HYPERLINK("http://bbs.12365auto.com/postcontent.aspx?tID=194716","雷诺发布两款混动车型")</f>
        <v>雷诺发布两款混动车型</v>
      </c>
      <c r="C4547" s="2" t="s">
        <v>13</v>
      </c>
      <c r="D4547" s="2" t="s">
        <v>12</v>
      </c>
      <c r="E4547" s="2" t="s">
        <v>28</v>
      </c>
      <c r="F4547" s="2" t="str">
        <f>HYPERLINK("http://bbs.12365auto.com/postcontent.aspx?tID=194716","http://bbs.12365auto.com/postcontent.aspx?tID=194716")</f>
        <v>http://bbs.12365auto.com/postcontent.aspx?tID=194716</v>
      </c>
      <c r="G4547" s="2"/>
      <c r="H4547" s="2" t="s">
        <v>6486</v>
      </c>
      <c r="I4547" s="2" t="s">
        <v>15</v>
      </c>
      <c r="J4547" s="2" t="s">
        <v>1113</v>
      </c>
      <c r="K4547" s="2" t="s">
        <v>6484</v>
      </c>
      <c r="L4547" s="2">
        <f t="shared" ref="L4547:L4610" si="71">LEN(H4547)</f>
        <v>150</v>
      </c>
    </row>
    <row r="4548" spans="1:12" ht="25" customHeight="1">
      <c r="A4548" s="2" t="s">
        <v>12</v>
      </c>
      <c r="B4548" s="2" t="str">
        <f>HYPERLINK("http://bbs.12365auto.com/postcontent.aspx?tID=194717","全新2020款本田e电动车")</f>
        <v>全新2020款本田e电动车</v>
      </c>
      <c r="C4548" s="2" t="s">
        <v>13</v>
      </c>
      <c r="D4548" s="2" t="s">
        <v>12</v>
      </c>
      <c r="E4548" s="2" t="s">
        <v>28</v>
      </c>
      <c r="F4548" s="2" t="str">
        <f>HYPERLINK("http://bbs.12365auto.com/postcontent.aspx?tID=194717","http://bbs.12365auto.com/postcontent.aspx?tID=194717")</f>
        <v>http://bbs.12365auto.com/postcontent.aspx?tID=194717</v>
      </c>
      <c r="G4548" s="2"/>
      <c r="H4548" s="2" t="s">
        <v>6487</v>
      </c>
      <c r="I4548" s="2" t="s">
        <v>15</v>
      </c>
      <c r="J4548" s="2" t="s">
        <v>1113</v>
      </c>
      <c r="K4548" s="2" t="s">
        <v>6484</v>
      </c>
      <c r="L4548" s="2">
        <f t="shared" si="71"/>
        <v>132</v>
      </c>
    </row>
    <row r="4549" spans="1:12" ht="25" customHeight="1">
      <c r="A4549" s="2" t="s">
        <v>12</v>
      </c>
      <c r="B4549" s="2" t="str">
        <f>HYPERLINK("http://bbs.12365auto.com/postcontent.aspx?tId=194715","奥迪新款A4L外观小幅改动，预计2020年4月上市")</f>
        <v>奥迪新款A4L外观小幅改动，预计2020年4月上市</v>
      </c>
      <c r="C4549" s="2" t="s">
        <v>13</v>
      </c>
      <c r="D4549" s="2" t="s">
        <v>12</v>
      </c>
      <c r="E4549" s="2" t="s">
        <v>27</v>
      </c>
      <c r="F4549" s="2" t="str">
        <f>HYPERLINK("http://bbs.12365auto.com/postcontent.aspx?tId=194715","http://bbs.12365auto.com/postcontent.aspx?tId=194715")</f>
        <v>http://bbs.12365auto.com/postcontent.aspx?tId=194715</v>
      </c>
      <c r="G4549" s="2"/>
      <c r="H4549" s="2" t="s">
        <v>5711</v>
      </c>
      <c r="I4549" s="2" t="s">
        <v>15</v>
      </c>
      <c r="J4549" s="2" t="s">
        <v>6488</v>
      </c>
      <c r="K4549" s="2" t="s">
        <v>6489</v>
      </c>
      <c r="L4549" s="2">
        <f t="shared" si="71"/>
        <v>150</v>
      </c>
    </row>
    <row r="4550" spans="1:12" ht="25" customHeight="1">
      <c r="A4550" s="2" t="s">
        <v>12</v>
      </c>
      <c r="B4550" s="2" t="str">
        <f>HYPERLINK("http://bbs.12365auto.com/postcontent.aspx?tId=194714","马自达为什么就是“不行”？")</f>
        <v>马自达为什么就是“不行”？</v>
      </c>
      <c r="C4550" s="2" t="s">
        <v>13</v>
      </c>
      <c r="D4550" s="2" t="s">
        <v>12</v>
      </c>
      <c r="E4550" s="2" t="s">
        <v>27</v>
      </c>
      <c r="F4550" s="2" t="str">
        <f>HYPERLINK("http://bbs.12365auto.com/postcontent.aspx?tId=194714","http://bbs.12365auto.com/postcontent.aspx?tId=194714")</f>
        <v>http://bbs.12365auto.com/postcontent.aspx?tId=194714</v>
      </c>
      <c r="G4550" s="2"/>
      <c r="H4550" s="2" t="s">
        <v>6490</v>
      </c>
      <c r="I4550" s="2" t="s">
        <v>15</v>
      </c>
      <c r="J4550" s="2" t="s">
        <v>1113</v>
      </c>
      <c r="K4550" s="2" t="s">
        <v>6489</v>
      </c>
      <c r="L4550" s="2">
        <f t="shared" si="71"/>
        <v>150</v>
      </c>
    </row>
    <row r="4551" spans="1:12" ht="25" customHeight="1">
      <c r="A4551" s="2" t="s">
        <v>12</v>
      </c>
      <c r="B4551" s="2" t="str">
        <f>HYPERLINK("http://m.12365auto.com/bbs/postcontent.aspx?tID=194714","马自达为什么就是“不行”？")</f>
        <v>马自达为什么就是“不行”？</v>
      </c>
      <c r="C4551" s="2" t="s">
        <v>13</v>
      </c>
      <c r="D4551" s="2" t="s">
        <v>23</v>
      </c>
      <c r="E4551" s="2"/>
      <c r="F4551" s="2" t="str">
        <f>HYPERLINK("http://m.12365auto.com/bbs/postcontent.aspx?tID=194714","http://m.12365auto.com/bbs/postcontent.aspx?tID=194714")</f>
        <v>http://m.12365auto.com/bbs/postcontent.aspx?tID=194714</v>
      </c>
      <c r="G4551" s="2"/>
      <c r="H4551" s="2" t="s">
        <v>6490</v>
      </c>
      <c r="I4551" s="2" t="s">
        <v>15</v>
      </c>
      <c r="J4551" s="2" t="s">
        <v>1113</v>
      </c>
      <c r="K4551" s="2" t="s">
        <v>6489</v>
      </c>
      <c r="L4551" s="2">
        <f t="shared" si="71"/>
        <v>150</v>
      </c>
    </row>
    <row r="4552" spans="1:12" ht="25" customHeight="1">
      <c r="A4552" s="2" t="s">
        <v>12</v>
      </c>
      <c r="B4552" s="2" t="str">
        <f>HYPERLINK("http://bbs.12365auto.com/postcontent.aspx?tID=194715","奥迪新款A4L外观小幅改动 预计2020年4月上市")</f>
        <v>奥迪新款A4L外观小幅改动 预计2020年4月上市</v>
      </c>
      <c r="C4552" s="2" t="s">
        <v>13</v>
      </c>
      <c r="D4552" s="2" t="s">
        <v>12</v>
      </c>
      <c r="E4552" s="2" t="s">
        <v>28</v>
      </c>
      <c r="F4552" s="2" t="str">
        <f>HYPERLINK("http://bbs.12365auto.com/postcontent.aspx?tID=194715","http://bbs.12365auto.com/postcontent.aspx?tID=194715")</f>
        <v>http://bbs.12365auto.com/postcontent.aspx?tID=194715</v>
      </c>
      <c r="G4552" s="2"/>
      <c r="H4552" s="2" t="s">
        <v>5712</v>
      </c>
      <c r="I4552" s="2" t="s">
        <v>15</v>
      </c>
      <c r="J4552" s="2" t="s">
        <v>6488</v>
      </c>
      <c r="K4552" s="2" t="s">
        <v>6489</v>
      </c>
      <c r="L4552" s="2">
        <f t="shared" si="71"/>
        <v>150</v>
      </c>
    </row>
    <row r="4553" spans="1:12" ht="25" customHeight="1">
      <c r="A4553" s="2" t="s">
        <v>12</v>
      </c>
      <c r="B4553" s="2" t="str">
        <f>HYPERLINK("http://bbs.12365auto.com/postcontent.aspx?tID=194714","马自达为什么就是“不行”？")</f>
        <v>马自达为什么就是“不行”？</v>
      </c>
      <c r="C4553" s="2" t="s">
        <v>13</v>
      </c>
      <c r="D4553" s="2" t="s">
        <v>12</v>
      </c>
      <c r="E4553" s="2" t="s">
        <v>28</v>
      </c>
      <c r="F4553" s="2" t="str">
        <f>HYPERLINK("http://bbs.12365auto.com/postcontent.aspx?tID=194714","http://bbs.12365auto.com/postcontent.aspx?tID=194714")</f>
        <v>http://bbs.12365auto.com/postcontent.aspx?tID=194714</v>
      </c>
      <c r="G4553" s="2"/>
      <c r="H4553" s="2" t="s">
        <v>6491</v>
      </c>
      <c r="I4553" s="2" t="s">
        <v>15</v>
      </c>
      <c r="J4553" s="2" t="s">
        <v>1113</v>
      </c>
      <c r="K4553" s="2" t="s">
        <v>6489</v>
      </c>
      <c r="L4553" s="2">
        <f t="shared" si="71"/>
        <v>150</v>
      </c>
    </row>
    <row r="4554" spans="1:12" ht="25" customHeight="1">
      <c r="A4554" s="2" t="s">
        <v>12</v>
      </c>
      <c r="B4554" s="2" t="str">
        <f>HYPERLINK("http://m.12365auto.com/zjdy/20200220/121456.shtml","速腾发动机故障可以要求更换发动机吗？")</f>
        <v>速腾发动机故障可以要求更换发动机吗？</v>
      </c>
      <c r="C4554" s="2" t="s">
        <v>13</v>
      </c>
      <c r="D4554" s="2" t="s">
        <v>12</v>
      </c>
      <c r="E4554" s="2"/>
      <c r="F4554" s="2" t="str">
        <f>HYPERLINK("http://m.12365auto.com/zjdy/20200220/121456.shtml","http://m.12365auto.com/zjdy/20200220/121456.shtml")</f>
        <v>http://m.12365auto.com/zjdy/20200220/121456.shtml</v>
      </c>
      <c r="G4554" s="2"/>
      <c r="H4554" s="2" t="s">
        <v>6492</v>
      </c>
      <c r="I4554" s="2" t="s">
        <v>19</v>
      </c>
      <c r="J4554" s="2" t="s">
        <v>12</v>
      </c>
      <c r="K4554" s="2" t="s">
        <v>6493</v>
      </c>
      <c r="L4554" s="2">
        <f t="shared" si="71"/>
        <v>24</v>
      </c>
    </row>
    <row r="4555" spans="1:12" ht="25" customHeight="1">
      <c r="A4555" s="2" t="s">
        <v>12</v>
      </c>
      <c r="B4555" s="2" t="str">
        <f>HYPERLINK("http://bbs.12365auto.com/postcontent.aspx?tId=194713","新奥迪A1美颜而来")</f>
        <v>新奥迪A1美颜而来</v>
      </c>
      <c r="C4555" s="2" t="s">
        <v>13</v>
      </c>
      <c r="D4555" s="2" t="s">
        <v>12</v>
      </c>
      <c r="E4555" s="2" t="s">
        <v>27</v>
      </c>
      <c r="F4555" s="2" t="str">
        <f>HYPERLINK("http://bbs.12365auto.com/postcontent.aspx?tId=194713","http://bbs.12365auto.com/postcontent.aspx?tId=194713")</f>
        <v>http://bbs.12365auto.com/postcontent.aspx?tId=194713</v>
      </c>
      <c r="G4555" s="2"/>
      <c r="H4555" s="2" t="s">
        <v>6494</v>
      </c>
      <c r="I4555" s="2" t="s">
        <v>15</v>
      </c>
      <c r="J4555" s="2" t="s">
        <v>1113</v>
      </c>
      <c r="K4555" s="2" t="s">
        <v>6495</v>
      </c>
      <c r="L4555" s="2">
        <f t="shared" si="71"/>
        <v>150</v>
      </c>
    </row>
    <row r="4556" spans="1:12" ht="25" customHeight="1">
      <c r="A4556" s="2" t="s">
        <v>12</v>
      </c>
      <c r="B4556" s="2" t="str">
        <f>HYPERLINK("http://bbs.12365auto.com/postcontent.aspx?tId=194712","三缸机的战役 我们消费者赢了")</f>
        <v>三缸机的战役 我们消费者赢了</v>
      </c>
      <c r="C4556" s="2" t="s">
        <v>13</v>
      </c>
      <c r="D4556" s="2" t="s">
        <v>12</v>
      </c>
      <c r="E4556" s="2" t="s">
        <v>27</v>
      </c>
      <c r="F4556" s="2" t="str">
        <f>HYPERLINK("http://bbs.12365auto.com/postcontent.aspx?tId=194712","http://bbs.12365auto.com/postcontent.aspx?tId=194712")</f>
        <v>http://bbs.12365auto.com/postcontent.aspx?tId=194712</v>
      </c>
      <c r="G4556" s="2"/>
      <c r="H4556" s="2" t="s">
        <v>2973</v>
      </c>
      <c r="I4556" s="2" t="s">
        <v>15</v>
      </c>
      <c r="J4556" s="2" t="s">
        <v>1113</v>
      </c>
      <c r="K4556" s="2" t="s">
        <v>6495</v>
      </c>
      <c r="L4556" s="2">
        <f t="shared" si="71"/>
        <v>150</v>
      </c>
    </row>
    <row r="4557" spans="1:12" ht="25" customHeight="1">
      <c r="A4557" s="2" t="s">
        <v>12</v>
      </c>
      <c r="B4557" s="2" t="str">
        <f>HYPERLINK("http://m.12365auto.com/bbs/postcontent.aspx?tID=194713","新奥迪A1美颜而来")</f>
        <v>新奥迪A1美颜而来</v>
      </c>
      <c r="C4557" s="2" t="s">
        <v>13</v>
      </c>
      <c r="D4557" s="2" t="s">
        <v>23</v>
      </c>
      <c r="E4557" s="2"/>
      <c r="F4557" s="2" t="str">
        <f>HYPERLINK("http://m.12365auto.com/bbs/postcontent.aspx?tID=194713","http://m.12365auto.com/bbs/postcontent.aspx?tID=194713")</f>
        <v>http://m.12365auto.com/bbs/postcontent.aspx?tID=194713</v>
      </c>
      <c r="G4557" s="2"/>
      <c r="H4557" s="2" t="s">
        <v>6494</v>
      </c>
      <c r="I4557" s="2" t="s">
        <v>15</v>
      </c>
      <c r="J4557" s="2" t="s">
        <v>1113</v>
      </c>
      <c r="K4557" s="2" t="s">
        <v>6495</v>
      </c>
      <c r="L4557" s="2">
        <f t="shared" si="71"/>
        <v>150</v>
      </c>
    </row>
    <row r="4558" spans="1:12" ht="25" customHeight="1">
      <c r="A4558" s="2" t="s">
        <v>12</v>
      </c>
      <c r="B4558" s="2" t="str">
        <f>HYPERLINK("http://m.12365auto.com/bbs/postcontent.aspx?tID=194712","三缸机的战役 我们消费者赢了")</f>
        <v>三缸机的战役 我们消费者赢了</v>
      </c>
      <c r="C4558" s="2" t="s">
        <v>13</v>
      </c>
      <c r="D4558" s="2" t="s">
        <v>23</v>
      </c>
      <c r="E4558" s="2"/>
      <c r="F4558" s="2" t="str">
        <f>HYPERLINK("http://m.12365auto.com/bbs/postcontent.aspx?tID=194712","http://m.12365auto.com/bbs/postcontent.aspx?tID=194712")</f>
        <v>http://m.12365auto.com/bbs/postcontent.aspx?tID=194712</v>
      </c>
      <c r="G4558" s="2"/>
      <c r="H4558" s="2" t="s">
        <v>2973</v>
      </c>
      <c r="I4558" s="2" t="s">
        <v>15</v>
      </c>
      <c r="J4558" s="2" t="s">
        <v>1113</v>
      </c>
      <c r="K4558" s="2" t="s">
        <v>6495</v>
      </c>
      <c r="L4558" s="2">
        <f t="shared" si="71"/>
        <v>150</v>
      </c>
    </row>
    <row r="4559" spans="1:12" ht="25" customHeight="1">
      <c r="A4559" s="2" t="s">
        <v>12</v>
      </c>
      <c r="B4559" s="2" t="str">
        <f>HYPERLINK("http://bbs.12365auto.com/postcontent.aspx?tID=194712","三缸机的战役 我们消费者赢了")</f>
        <v>三缸机的战役 我们消费者赢了</v>
      </c>
      <c r="C4559" s="2" t="s">
        <v>13</v>
      </c>
      <c r="D4559" s="2" t="s">
        <v>12</v>
      </c>
      <c r="E4559" s="2" t="s">
        <v>28</v>
      </c>
      <c r="F4559" s="2" t="str">
        <f>HYPERLINK("http://bbs.12365auto.com/postcontent.aspx?tID=194712","http://bbs.12365auto.com/postcontent.aspx?tID=194712")</f>
        <v>http://bbs.12365auto.com/postcontent.aspx?tID=194712</v>
      </c>
      <c r="G4559" s="2"/>
      <c r="H4559" s="2" t="s">
        <v>6496</v>
      </c>
      <c r="I4559" s="2" t="s">
        <v>15</v>
      </c>
      <c r="J4559" s="2" t="s">
        <v>1113</v>
      </c>
      <c r="K4559" s="2" t="s">
        <v>6495</v>
      </c>
      <c r="L4559" s="2">
        <f t="shared" si="71"/>
        <v>150</v>
      </c>
    </row>
    <row r="4560" spans="1:12" ht="25" customHeight="1">
      <c r="A4560" s="2" t="s">
        <v>12</v>
      </c>
      <c r="B4560" s="2" t="str">
        <f>HYPERLINK("http://bbs.12365auto.com/postcontent.aspx?tID=194713","新奥迪A1美颜而来")</f>
        <v>新奥迪A1美颜而来</v>
      </c>
      <c r="C4560" s="2" t="s">
        <v>13</v>
      </c>
      <c r="D4560" s="2" t="s">
        <v>12</v>
      </c>
      <c r="E4560" s="2" t="s">
        <v>28</v>
      </c>
      <c r="F4560" s="2" t="str">
        <f>HYPERLINK("http://bbs.12365auto.com/postcontent.aspx?tID=194713","http://bbs.12365auto.com/postcontent.aspx?tID=194713")</f>
        <v>http://bbs.12365auto.com/postcontent.aspx?tID=194713</v>
      </c>
      <c r="G4560" s="2"/>
      <c r="H4560" s="2" t="s">
        <v>6497</v>
      </c>
      <c r="I4560" s="2" t="s">
        <v>15</v>
      </c>
      <c r="J4560" s="2" t="s">
        <v>1113</v>
      </c>
      <c r="K4560" s="2" t="s">
        <v>6495</v>
      </c>
      <c r="L4560" s="2">
        <f t="shared" si="71"/>
        <v>150</v>
      </c>
    </row>
    <row r="4561" spans="1:12" ht="25" customHeight="1">
      <c r="A4561" s="2" t="s">
        <v>12</v>
      </c>
      <c r="B4561" s="2" t="str">
        <f>HYPERLINK("http://bbs.12365auto.com/postcontent.aspx?tId=194711","捷豹XEL最低已跌至19万内，年轻人可以入手了")</f>
        <v>捷豹XEL最低已跌至19万内，年轻人可以入手了</v>
      </c>
      <c r="C4561" s="2" t="s">
        <v>13</v>
      </c>
      <c r="D4561" s="2" t="s">
        <v>12</v>
      </c>
      <c r="E4561" s="2" t="s">
        <v>27</v>
      </c>
      <c r="F4561" s="2" t="str">
        <f>HYPERLINK("http://bbs.12365auto.com/postcontent.aspx?tId=194711","http://bbs.12365auto.com/postcontent.aspx?tId=194711")</f>
        <v>http://bbs.12365auto.com/postcontent.aspx?tId=194711</v>
      </c>
      <c r="G4561" s="2"/>
      <c r="H4561" s="2" t="s">
        <v>6498</v>
      </c>
      <c r="I4561" s="2" t="s">
        <v>15</v>
      </c>
      <c r="J4561" s="2" t="s">
        <v>6488</v>
      </c>
      <c r="K4561" s="2" t="s">
        <v>6499</v>
      </c>
      <c r="L4561" s="2">
        <f t="shared" si="71"/>
        <v>150</v>
      </c>
    </row>
    <row r="4562" spans="1:12" ht="25" customHeight="1">
      <c r="A4562" s="2" t="s">
        <v>12</v>
      </c>
      <c r="B4562" s="2" t="str">
        <f>HYPERLINK("http://bbs.12365auto.com/postcontent.aspx?tId=194710","你的车表面上光鲜亮丽配置高，“暗地里”却这样省成本")</f>
        <v>你的车表面上光鲜亮丽配置高，“暗地里”却这样省成本</v>
      </c>
      <c r="C4562" s="2" t="s">
        <v>13</v>
      </c>
      <c r="D4562" s="2" t="s">
        <v>12</v>
      </c>
      <c r="E4562" s="2" t="s">
        <v>27</v>
      </c>
      <c r="F4562" s="2" t="str">
        <f>HYPERLINK("http://bbs.12365auto.com/postcontent.aspx?tId=194710","http://bbs.12365auto.com/postcontent.aspx?tId=194710")</f>
        <v>http://bbs.12365auto.com/postcontent.aspx?tId=194710</v>
      </c>
      <c r="G4562" s="2"/>
      <c r="H4562" s="2" t="s">
        <v>6500</v>
      </c>
      <c r="I4562" s="2" t="s">
        <v>15</v>
      </c>
      <c r="J4562" s="2" t="s">
        <v>1113</v>
      </c>
      <c r="K4562" s="2" t="s">
        <v>6499</v>
      </c>
      <c r="L4562" s="2">
        <f t="shared" si="71"/>
        <v>150</v>
      </c>
    </row>
    <row r="4563" spans="1:12" ht="25" customHeight="1">
      <c r="A4563" s="2" t="s">
        <v>12</v>
      </c>
      <c r="B4563" s="2" t="str">
        <f>HYPERLINK("http://m.12365auto.com/bbs/postcontent.aspx?tID=194710","你的车表面上光鲜亮丽配置高，“暗地里”却这样省成本")</f>
        <v>你的车表面上光鲜亮丽配置高，“暗地里”却这样省成本</v>
      </c>
      <c r="C4563" s="2" t="s">
        <v>13</v>
      </c>
      <c r="D4563" s="2" t="s">
        <v>23</v>
      </c>
      <c r="E4563" s="2"/>
      <c r="F4563" s="2" t="str">
        <f>HYPERLINK("http://m.12365auto.com/bbs/postcontent.aspx?tID=194710","http://m.12365auto.com/bbs/postcontent.aspx?tID=194710")</f>
        <v>http://m.12365auto.com/bbs/postcontent.aspx?tID=194710</v>
      </c>
      <c r="G4563" s="2"/>
      <c r="H4563" s="2" t="s">
        <v>6500</v>
      </c>
      <c r="I4563" s="2" t="s">
        <v>15</v>
      </c>
      <c r="J4563" s="2" t="s">
        <v>1113</v>
      </c>
      <c r="K4563" s="2" t="s">
        <v>6499</v>
      </c>
      <c r="L4563" s="2">
        <f t="shared" si="71"/>
        <v>150</v>
      </c>
    </row>
    <row r="4564" spans="1:12" ht="25" customHeight="1">
      <c r="A4564" s="2" t="s">
        <v>12</v>
      </c>
      <c r="B4564" s="2" t="str">
        <f>HYPERLINK("http://bbs.12365auto.com/postcontent.aspx?tID=194711","捷豹XEL最低已跌至19万内 年轻人可以入手了")</f>
        <v>捷豹XEL最低已跌至19万内 年轻人可以入手了</v>
      </c>
      <c r="C4564" s="2" t="s">
        <v>13</v>
      </c>
      <c r="D4564" s="2" t="s">
        <v>12</v>
      </c>
      <c r="E4564" s="2" t="s">
        <v>28</v>
      </c>
      <c r="F4564" s="2" t="str">
        <f>HYPERLINK("http://bbs.12365auto.com/postcontent.aspx?tID=194711","http://bbs.12365auto.com/postcontent.aspx?tID=194711")</f>
        <v>http://bbs.12365auto.com/postcontent.aspx?tID=194711</v>
      </c>
      <c r="G4564" s="2"/>
      <c r="H4564" s="2" t="s">
        <v>6501</v>
      </c>
      <c r="I4564" s="2" t="s">
        <v>15</v>
      </c>
      <c r="J4564" s="2" t="s">
        <v>6488</v>
      </c>
      <c r="K4564" s="2" t="s">
        <v>6499</v>
      </c>
      <c r="L4564" s="2">
        <f t="shared" si="71"/>
        <v>150</v>
      </c>
    </row>
    <row r="4565" spans="1:12" ht="25" customHeight="1">
      <c r="A4565" s="2" t="s">
        <v>12</v>
      </c>
      <c r="B4565" s="2" t="str">
        <f>HYPERLINK("http://bbs.12365auto.com/postcontent.aspx?tID=194710","你的车表面上光鲜亮丽 “暗地里”却这样省成本")</f>
        <v>你的车表面上光鲜亮丽 “暗地里”却这样省成本</v>
      </c>
      <c r="C4565" s="2" t="s">
        <v>13</v>
      </c>
      <c r="D4565" s="2" t="s">
        <v>12</v>
      </c>
      <c r="E4565" s="2" t="s">
        <v>28</v>
      </c>
      <c r="F4565" s="2" t="str">
        <f>HYPERLINK("http://bbs.12365auto.com/postcontent.aspx?tID=194710","http://bbs.12365auto.com/postcontent.aspx?tID=194710")</f>
        <v>http://bbs.12365auto.com/postcontent.aspx?tID=194710</v>
      </c>
      <c r="G4565" s="2"/>
      <c r="H4565" s="2" t="s">
        <v>6502</v>
      </c>
      <c r="I4565" s="2" t="s">
        <v>15</v>
      </c>
      <c r="J4565" s="2" t="s">
        <v>1113</v>
      </c>
      <c r="K4565" s="2" t="s">
        <v>6499</v>
      </c>
      <c r="L4565" s="2">
        <f t="shared" si="71"/>
        <v>150</v>
      </c>
    </row>
    <row r="4566" spans="1:12" ht="25" customHeight="1">
      <c r="A4566" s="2" t="s">
        <v>12</v>
      </c>
      <c r="B4566" s="2" t="str">
        <f>HYPERLINK("http://bbs.12365auto.com/postcontent.aspx?tId=194709","Jeep版“吉姆尼”曝光")</f>
        <v>Jeep版“吉姆尼”曝光</v>
      </c>
      <c r="C4566" s="2" t="s">
        <v>13</v>
      </c>
      <c r="D4566" s="2" t="s">
        <v>12</v>
      </c>
      <c r="E4566" s="2" t="s">
        <v>27</v>
      </c>
      <c r="F4566" s="2" t="str">
        <f>HYPERLINK("http://bbs.12365auto.com/postcontent.aspx?tId=194709","http://bbs.12365auto.com/postcontent.aspx?tId=194709")</f>
        <v>http://bbs.12365auto.com/postcontent.aspx?tId=194709</v>
      </c>
      <c r="G4566" s="2"/>
      <c r="H4566" s="2" t="s">
        <v>6503</v>
      </c>
      <c r="I4566" s="2" t="s">
        <v>15</v>
      </c>
      <c r="J4566" s="2" t="s">
        <v>1113</v>
      </c>
      <c r="K4566" s="2" t="s">
        <v>6504</v>
      </c>
      <c r="L4566" s="2">
        <f t="shared" si="71"/>
        <v>150</v>
      </c>
    </row>
    <row r="4567" spans="1:12" ht="25" customHeight="1">
      <c r="A4567" s="2" t="s">
        <v>12</v>
      </c>
      <c r="B4567" s="2" t="str">
        <f>HYPERLINK("http://bbs.12365auto.com/postcontent.aspx?tId=194708","全新一代宝马4系量产实车照")</f>
        <v>全新一代宝马4系量产实车照</v>
      </c>
      <c r="C4567" s="2" t="s">
        <v>13</v>
      </c>
      <c r="D4567" s="2" t="s">
        <v>12</v>
      </c>
      <c r="E4567" s="2" t="s">
        <v>27</v>
      </c>
      <c r="F4567" s="2" t="str">
        <f>HYPERLINK("http://bbs.12365auto.com/postcontent.aspx?tId=194708","http://bbs.12365auto.com/postcontent.aspx?tId=194708")</f>
        <v>http://bbs.12365auto.com/postcontent.aspx?tId=194708</v>
      </c>
      <c r="G4567" s="2"/>
      <c r="H4567" s="2" t="s">
        <v>6505</v>
      </c>
      <c r="I4567" s="2" t="s">
        <v>15</v>
      </c>
      <c r="J4567" s="2" t="s">
        <v>1113</v>
      </c>
      <c r="K4567" s="2" t="s">
        <v>6504</v>
      </c>
      <c r="L4567" s="2">
        <f t="shared" si="71"/>
        <v>150</v>
      </c>
    </row>
    <row r="4568" spans="1:12" ht="25" customHeight="1">
      <c r="A4568" s="2" t="s">
        <v>12</v>
      </c>
      <c r="B4568" s="2" t="str">
        <f>HYPERLINK("http://bbs.12365auto.com/postcontent.aspx?tID=194709","Jeep版“吉姆尼”曝光")</f>
        <v>Jeep版“吉姆尼”曝光</v>
      </c>
      <c r="C4568" s="2" t="s">
        <v>13</v>
      </c>
      <c r="D4568" s="2" t="s">
        <v>12</v>
      </c>
      <c r="E4568" s="2" t="s">
        <v>28</v>
      </c>
      <c r="F4568" s="2" t="str">
        <f>HYPERLINK("http://bbs.12365auto.com/postcontent.aspx?tID=194709","http://bbs.12365auto.com/postcontent.aspx?tID=194709")</f>
        <v>http://bbs.12365auto.com/postcontent.aspx?tID=194709</v>
      </c>
      <c r="G4568" s="2"/>
      <c r="H4568" s="2" t="s">
        <v>6506</v>
      </c>
      <c r="I4568" s="2" t="s">
        <v>15</v>
      </c>
      <c r="J4568" s="2" t="s">
        <v>1113</v>
      </c>
      <c r="K4568" s="2" t="s">
        <v>6504</v>
      </c>
      <c r="L4568" s="2">
        <f t="shared" si="71"/>
        <v>150</v>
      </c>
    </row>
    <row r="4569" spans="1:12" ht="25" customHeight="1">
      <c r="A4569" s="2" t="s">
        <v>12</v>
      </c>
      <c r="B4569" s="2" t="str">
        <f>HYPERLINK("http://m.12365auto.com/bbs/postcontent.aspx?tID=194709","Jeep版“吉姆尼”曝光")</f>
        <v>Jeep版“吉姆尼”曝光</v>
      </c>
      <c r="C4569" s="2" t="s">
        <v>13</v>
      </c>
      <c r="D4569" s="2" t="s">
        <v>23</v>
      </c>
      <c r="E4569" s="2"/>
      <c r="F4569" s="2" t="str">
        <f>HYPERLINK("http://m.12365auto.com/bbs/postcontent.aspx?tID=194709","http://m.12365auto.com/bbs/postcontent.aspx?tID=194709")</f>
        <v>http://m.12365auto.com/bbs/postcontent.aspx?tID=194709</v>
      </c>
      <c r="G4569" s="2"/>
      <c r="H4569" s="2" t="s">
        <v>6503</v>
      </c>
      <c r="I4569" s="2" t="s">
        <v>15</v>
      </c>
      <c r="J4569" s="2" t="s">
        <v>1113</v>
      </c>
      <c r="K4569" s="2" t="s">
        <v>6504</v>
      </c>
      <c r="L4569" s="2">
        <f t="shared" si="71"/>
        <v>150</v>
      </c>
    </row>
    <row r="4570" spans="1:12" ht="25" customHeight="1">
      <c r="A4570" s="2" t="s">
        <v>12</v>
      </c>
      <c r="B4570" s="2" t="str">
        <f>HYPERLINK("http://m.12365auto.com/bbs/postcontent.aspx?tID=194708","全新一代宝马4系量产实车照")</f>
        <v>全新一代宝马4系量产实车照</v>
      </c>
      <c r="C4570" s="2" t="s">
        <v>13</v>
      </c>
      <c r="D4570" s="2" t="s">
        <v>23</v>
      </c>
      <c r="E4570" s="2"/>
      <c r="F4570" s="2" t="str">
        <f>HYPERLINK("http://m.12365auto.com/bbs/postcontent.aspx?tID=194708","http://m.12365auto.com/bbs/postcontent.aspx?tID=194708")</f>
        <v>http://m.12365auto.com/bbs/postcontent.aspx?tID=194708</v>
      </c>
      <c r="G4570" s="2"/>
      <c r="H4570" s="2" t="s">
        <v>6505</v>
      </c>
      <c r="I4570" s="2" t="s">
        <v>15</v>
      </c>
      <c r="J4570" s="2" t="s">
        <v>1113</v>
      </c>
      <c r="K4570" s="2" t="s">
        <v>6504</v>
      </c>
      <c r="L4570" s="2">
        <f t="shared" si="71"/>
        <v>150</v>
      </c>
    </row>
    <row r="4571" spans="1:12" ht="25" customHeight="1">
      <c r="A4571" s="2" t="s">
        <v>12</v>
      </c>
      <c r="B4571" s="2" t="str">
        <f>HYPERLINK("http://bbs.12365auto.com/postcontent.aspx?tID=194708","全新一代宝马4系量产实车照")</f>
        <v>全新一代宝马4系量产实车照</v>
      </c>
      <c r="C4571" s="2" t="s">
        <v>13</v>
      </c>
      <c r="D4571" s="2" t="s">
        <v>12</v>
      </c>
      <c r="E4571" s="2" t="s">
        <v>28</v>
      </c>
      <c r="F4571" s="2" t="str">
        <f>HYPERLINK("http://bbs.12365auto.com/postcontent.aspx?tID=194708","http://bbs.12365auto.com/postcontent.aspx?tID=194708")</f>
        <v>http://bbs.12365auto.com/postcontent.aspx?tID=194708</v>
      </c>
      <c r="G4571" s="2"/>
      <c r="H4571" s="2" t="s">
        <v>6507</v>
      </c>
      <c r="I4571" s="2" t="s">
        <v>15</v>
      </c>
      <c r="J4571" s="2" t="s">
        <v>1113</v>
      </c>
      <c r="K4571" s="2" t="s">
        <v>6504</v>
      </c>
      <c r="L4571" s="2">
        <f t="shared" si="71"/>
        <v>150</v>
      </c>
    </row>
    <row r="4572" spans="1:12" ht="25" customHeight="1">
      <c r="A4572" s="2" t="s">
        <v>12</v>
      </c>
      <c r="B4572" s="2" t="str">
        <f>HYPERLINK("http://www.12365auto.com/zlts/20200220/447907.shtml","吉利帝豪挂挡车辆无法加速希望处理")</f>
        <v>吉利帝豪挂挡车辆无法加速希望处理</v>
      </c>
      <c r="C4572" s="2" t="s">
        <v>13</v>
      </c>
      <c r="D4572" s="2" t="s">
        <v>12</v>
      </c>
      <c r="E4572" s="2" t="s">
        <v>17</v>
      </c>
      <c r="F4572" s="2" t="str">
        <f>HYPERLINK("http://www.12365auto.com/zlts/20200220/447907.shtml","http://www.12365auto.com/zlts/20200220/447907.shtml")</f>
        <v>http://www.12365auto.com/zlts/20200220/447907.shtml</v>
      </c>
      <c r="G4572" s="2"/>
      <c r="H4572" s="2" t="s">
        <v>6508</v>
      </c>
      <c r="I4572" s="2" t="s">
        <v>19</v>
      </c>
      <c r="J4572" s="2" t="s">
        <v>12</v>
      </c>
      <c r="K4572" s="2" t="s">
        <v>6509</v>
      </c>
      <c r="L4572" s="2">
        <f t="shared" si="71"/>
        <v>150</v>
      </c>
    </row>
    <row r="4573" spans="1:12" ht="25" customHeight="1">
      <c r="A4573" s="2" t="s">
        <v>12</v>
      </c>
      <c r="B4573" s="2" t="str">
        <f>HYPERLINK("http://bbs.12365auto.com/postcontent.aspx?tID=194707","改装千万别碰这些地方")</f>
        <v>改装千万别碰这些地方</v>
      </c>
      <c r="C4573" s="2" t="s">
        <v>13</v>
      </c>
      <c r="D4573" s="2" t="s">
        <v>12</v>
      </c>
      <c r="E4573" s="2" t="s">
        <v>28</v>
      </c>
      <c r="F4573" s="2" t="str">
        <f>HYPERLINK("http://bbs.12365auto.com/postcontent.aspx?tID=194707","http://bbs.12365auto.com/postcontent.aspx?tID=194707")</f>
        <v>http://bbs.12365auto.com/postcontent.aspx?tID=194707</v>
      </c>
      <c r="G4573" s="2"/>
      <c r="H4573" s="2" t="s">
        <v>6510</v>
      </c>
      <c r="I4573" s="2" t="s">
        <v>15</v>
      </c>
      <c r="J4573" s="2" t="s">
        <v>1113</v>
      </c>
      <c r="K4573" s="2" t="s">
        <v>6509</v>
      </c>
      <c r="L4573" s="2">
        <f t="shared" si="71"/>
        <v>150</v>
      </c>
    </row>
    <row r="4574" spans="1:12" ht="25" customHeight="1">
      <c r="A4574" s="2" t="s">
        <v>12</v>
      </c>
      <c r="B4574" s="2" t="str">
        <f>HYPERLINK("http://bbs.12365auto.com/postcontent.aspx?tId=194707","改装千万别碰这些地方")</f>
        <v>改装千万别碰这些地方</v>
      </c>
      <c r="C4574" s="2" t="s">
        <v>13</v>
      </c>
      <c r="D4574" s="2" t="s">
        <v>12</v>
      </c>
      <c r="E4574" s="2" t="s">
        <v>27</v>
      </c>
      <c r="F4574" s="2" t="str">
        <f>HYPERLINK("http://bbs.12365auto.com/postcontent.aspx?tId=194707","http://bbs.12365auto.com/postcontent.aspx?tId=194707")</f>
        <v>http://bbs.12365auto.com/postcontent.aspx?tId=194707</v>
      </c>
      <c r="G4574" s="2"/>
      <c r="H4574" s="2" t="s">
        <v>6511</v>
      </c>
      <c r="I4574" s="2" t="s">
        <v>15</v>
      </c>
      <c r="J4574" s="2" t="s">
        <v>1113</v>
      </c>
      <c r="K4574" s="2" t="s">
        <v>6509</v>
      </c>
      <c r="L4574" s="2">
        <f t="shared" si="71"/>
        <v>150</v>
      </c>
    </row>
    <row r="4575" spans="1:12" ht="25" customHeight="1">
      <c r="A4575" s="2" t="s">
        <v>12</v>
      </c>
      <c r="B4575" s="2" t="str">
        <f>HYPERLINK("http://m.12365auto.com/bbs/postcontent.aspx?tID=194707","改装千万别碰这些地方")</f>
        <v>改装千万别碰这些地方</v>
      </c>
      <c r="C4575" s="2" t="s">
        <v>13</v>
      </c>
      <c r="D4575" s="2" t="s">
        <v>23</v>
      </c>
      <c r="E4575" s="2"/>
      <c r="F4575" s="2" t="str">
        <f>HYPERLINK("http://m.12365auto.com/bbs/postcontent.aspx?tID=194707","http://m.12365auto.com/bbs/postcontent.aspx?tID=194707")</f>
        <v>http://m.12365auto.com/bbs/postcontent.aspx?tID=194707</v>
      </c>
      <c r="G4575" s="2"/>
      <c r="H4575" s="2" t="s">
        <v>6511</v>
      </c>
      <c r="I4575" s="2" t="s">
        <v>15</v>
      </c>
      <c r="J4575" s="2" t="s">
        <v>1113</v>
      </c>
      <c r="K4575" s="2" t="s">
        <v>6509</v>
      </c>
      <c r="L4575" s="2">
        <f t="shared" si="71"/>
        <v>150</v>
      </c>
    </row>
    <row r="4576" spans="1:12" ht="25" customHeight="1">
      <c r="A4576" s="2" t="s">
        <v>12</v>
      </c>
      <c r="B4576" s="2" t="str">
        <f>HYPERLINK("http://www.12365auto.com/zlts/20200220/447900.shtml","宝骏730胎压监测疑似减配希望免费加装")</f>
        <v>宝骏730胎压监测疑似减配希望免费加装</v>
      </c>
      <c r="C4576" s="2" t="s">
        <v>13</v>
      </c>
      <c r="D4576" s="2" t="s">
        <v>12</v>
      </c>
      <c r="E4576" s="2"/>
      <c r="F4576" s="2" t="str">
        <f>HYPERLINK("http://www.12365auto.com/zlts/20200220/447900.shtml","http://www.12365auto.com/zlts/20200220/447900.shtml")</f>
        <v>http://www.12365auto.com/zlts/20200220/447900.shtml</v>
      </c>
      <c r="G4576" s="2"/>
      <c r="H4576" s="2" t="s">
        <v>6513</v>
      </c>
      <c r="I4576" s="2" t="s">
        <v>15</v>
      </c>
      <c r="J4576" s="2" t="s">
        <v>12</v>
      </c>
      <c r="K4576" s="2" t="s">
        <v>6512</v>
      </c>
      <c r="L4576" s="2">
        <f t="shared" si="71"/>
        <v>93</v>
      </c>
    </row>
    <row r="4577" spans="1:12" ht="25" customHeight="1">
      <c r="A4577" s="2" t="s">
        <v>12</v>
      </c>
      <c r="B4577" s="2" t="str">
        <f>HYPERLINK("http://bbs.12365auto.com/postcontent.aspx?tId=194706","奥迪新款A4L外观小幅改动 预计2020年4月上市")</f>
        <v>奥迪新款A4L外观小幅改动 预计2020年4月上市</v>
      </c>
      <c r="C4577" s="2" t="s">
        <v>13</v>
      </c>
      <c r="D4577" s="2" t="s">
        <v>12</v>
      </c>
      <c r="E4577" s="2" t="s">
        <v>27</v>
      </c>
      <c r="F4577" s="2" t="str">
        <f>HYPERLINK("http://bbs.12365auto.com/postcontent.aspx?tId=194706","http://bbs.12365auto.com/postcontent.aspx?tId=194706")</f>
        <v>http://bbs.12365auto.com/postcontent.aspx?tId=194706</v>
      </c>
      <c r="G4577" s="2"/>
      <c r="H4577" s="2" t="s">
        <v>5711</v>
      </c>
      <c r="I4577" s="2" t="s">
        <v>15</v>
      </c>
      <c r="J4577" s="2" t="s">
        <v>1113</v>
      </c>
      <c r="K4577" s="2" t="s">
        <v>6514</v>
      </c>
      <c r="L4577" s="2">
        <f t="shared" si="71"/>
        <v>150</v>
      </c>
    </row>
    <row r="4578" spans="1:12" ht="25" customHeight="1">
      <c r="A4578" s="2" t="s">
        <v>12</v>
      </c>
      <c r="B4578" s="2" t="str">
        <f>HYPERLINK("http://m.12365auto.com/bbs/postcontent.aspx?tID=194706","奥迪新款A4L外观小幅改动 预计2020年4月上市")</f>
        <v>奥迪新款A4L外观小幅改动 预计2020年4月上市</v>
      </c>
      <c r="C4578" s="2" t="s">
        <v>13</v>
      </c>
      <c r="D4578" s="2" t="s">
        <v>23</v>
      </c>
      <c r="E4578" s="2"/>
      <c r="F4578" s="2" t="str">
        <f>HYPERLINK("http://m.12365auto.com/bbs/postcontent.aspx?tID=194706","http://m.12365auto.com/bbs/postcontent.aspx?tID=194706")</f>
        <v>http://m.12365auto.com/bbs/postcontent.aspx?tID=194706</v>
      </c>
      <c r="G4578" s="2"/>
      <c r="H4578" s="2" t="s">
        <v>5711</v>
      </c>
      <c r="I4578" s="2" t="s">
        <v>15</v>
      </c>
      <c r="J4578" s="2" t="s">
        <v>1113</v>
      </c>
      <c r="K4578" s="2" t="s">
        <v>6514</v>
      </c>
      <c r="L4578" s="2">
        <f t="shared" si="71"/>
        <v>150</v>
      </c>
    </row>
    <row r="4579" spans="1:12" ht="25" customHeight="1">
      <c r="A4579" s="2" t="s">
        <v>12</v>
      </c>
      <c r="B4579" s="2" t="str">
        <f>HYPERLINK("http://bbs.12365auto.com/postcontent.aspx?tID=194706","奥迪新款A4L外观小幅改动 预计2020年4月上市")</f>
        <v>奥迪新款A4L外观小幅改动 预计2020年4月上市</v>
      </c>
      <c r="C4579" s="2" t="s">
        <v>13</v>
      </c>
      <c r="D4579" s="2" t="s">
        <v>12</v>
      </c>
      <c r="E4579" s="2" t="s">
        <v>28</v>
      </c>
      <c r="F4579" s="2" t="str">
        <f>HYPERLINK("http://bbs.12365auto.com/postcontent.aspx?tID=194706","http://bbs.12365auto.com/postcontent.aspx?tID=194706")</f>
        <v>http://bbs.12365auto.com/postcontent.aspx?tID=194706</v>
      </c>
      <c r="G4579" s="2"/>
      <c r="H4579" s="2" t="s">
        <v>5712</v>
      </c>
      <c r="I4579" s="2" t="s">
        <v>15</v>
      </c>
      <c r="J4579" s="2" t="s">
        <v>1113</v>
      </c>
      <c r="K4579" s="2" t="s">
        <v>6514</v>
      </c>
      <c r="L4579" s="2">
        <f t="shared" si="71"/>
        <v>150</v>
      </c>
    </row>
    <row r="4580" spans="1:12" ht="25" customHeight="1">
      <c r="A4580" s="2" t="s">
        <v>12</v>
      </c>
      <c r="B4580" s="2" t="str">
        <f>HYPERLINK("http://www.12365auto.com/zlts/20200220/447906.shtml","上汽大众途岳多次出现车辆无法启动")</f>
        <v>上汽大众途岳多次出现车辆无法启动</v>
      </c>
      <c r="C4580" s="2" t="s">
        <v>13</v>
      </c>
      <c r="D4580" s="2" t="s">
        <v>12</v>
      </c>
      <c r="E4580" s="2" t="s">
        <v>17</v>
      </c>
      <c r="F4580" s="2" t="str">
        <f>HYPERLINK("http://www.12365auto.com/zlts/20200220/447906.shtml","http://www.12365auto.com/zlts/20200220/447906.shtml")</f>
        <v>http://www.12365auto.com/zlts/20200220/447906.shtml</v>
      </c>
      <c r="G4580" s="2"/>
      <c r="H4580" s="2" t="s">
        <v>6515</v>
      </c>
      <c r="I4580" s="2" t="s">
        <v>19</v>
      </c>
      <c r="J4580" s="2" t="s">
        <v>12</v>
      </c>
      <c r="K4580" s="2" t="s">
        <v>6516</v>
      </c>
      <c r="L4580" s="2">
        <f t="shared" si="71"/>
        <v>150</v>
      </c>
    </row>
    <row r="4581" spans="1:12" ht="25" customHeight="1">
      <c r="A4581" s="2" t="s">
        <v>12</v>
      </c>
      <c r="B4581" s="2" t="str">
        <f>HYPERLINK("http://www.12365auto.com/zlts/20200220/447898.shtml","别克英朗高速行驶中转向出现卡滞")</f>
        <v>别克英朗高速行驶中转向出现卡滞</v>
      </c>
      <c r="C4581" s="2" t="s">
        <v>13</v>
      </c>
      <c r="D4581" s="2" t="s">
        <v>12</v>
      </c>
      <c r="E4581" s="2"/>
      <c r="F4581" s="2" t="str">
        <f>HYPERLINK("http://www.12365auto.com/zlts/20200220/447898.shtml","http://www.12365auto.com/zlts/20200220/447898.shtml")</f>
        <v>http://www.12365auto.com/zlts/20200220/447898.shtml</v>
      </c>
      <c r="G4581" s="2"/>
      <c r="H4581" s="2" t="s">
        <v>6518</v>
      </c>
      <c r="I4581" s="2" t="s">
        <v>15</v>
      </c>
      <c r="J4581" s="2" t="s">
        <v>12</v>
      </c>
      <c r="K4581" s="2" t="s">
        <v>6517</v>
      </c>
      <c r="L4581" s="2">
        <f t="shared" si="71"/>
        <v>81</v>
      </c>
    </row>
    <row r="4582" spans="1:12" ht="25" customHeight="1">
      <c r="A4582" s="2" t="s">
        <v>12</v>
      </c>
      <c r="B4582" s="2" t="str">
        <f>HYPERLINK("http://www.12365auto.com/zlts/20200220/447904.shtml","吉利远景S1发动机抖动 车身异响")</f>
        <v>吉利远景S1发动机抖动 车身异响</v>
      </c>
      <c r="C4582" s="2" t="s">
        <v>13</v>
      </c>
      <c r="D4582" s="2" t="s">
        <v>12</v>
      </c>
      <c r="E4582" s="2" t="s">
        <v>17</v>
      </c>
      <c r="F4582" s="2" t="str">
        <f>HYPERLINK("http://www.12365auto.com/zlts/20200220/447904.shtml","http://www.12365auto.com/zlts/20200220/447904.shtml")</f>
        <v>http://www.12365auto.com/zlts/20200220/447904.shtml</v>
      </c>
      <c r="G4582" s="2"/>
      <c r="H4582" s="2" t="s">
        <v>6519</v>
      </c>
      <c r="I4582" s="2" t="s">
        <v>19</v>
      </c>
      <c r="J4582" s="2" t="s">
        <v>12</v>
      </c>
      <c r="K4582" s="2" t="s">
        <v>6520</v>
      </c>
      <c r="L4582" s="2">
        <f t="shared" si="71"/>
        <v>150</v>
      </c>
    </row>
    <row r="4583" spans="1:12" ht="25" customHeight="1">
      <c r="A4583" s="2" t="s">
        <v>12</v>
      </c>
      <c r="B4583" s="2" t="str">
        <f>HYPERLINK("http://www.12365auto.com/zlts/20200220/447903.shtml","吉利星越影音系统播放时有杂音 转向失灵")</f>
        <v>吉利星越影音系统播放时有杂音 转向失灵</v>
      </c>
      <c r="C4583" s="2" t="s">
        <v>13</v>
      </c>
      <c r="D4583" s="2" t="s">
        <v>12</v>
      </c>
      <c r="E4583" s="2" t="s">
        <v>17</v>
      </c>
      <c r="F4583" s="2" t="str">
        <f>HYPERLINK("http://www.12365auto.com/zlts/20200220/447903.shtml","http://www.12365auto.com/zlts/20200220/447903.shtml")</f>
        <v>http://www.12365auto.com/zlts/20200220/447903.shtml</v>
      </c>
      <c r="G4583" s="2"/>
      <c r="H4583" s="2" t="s">
        <v>6521</v>
      </c>
      <c r="I4583" s="2" t="s">
        <v>19</v>
      </c>
      <c r="J4583" s="2" t="s">
        <v>12</v>
      </c>
      <c r="K4583" s="2" t="s">
        <v>6522</v>
      </c>
      <c r="L4583" s="2">
        <f t="shared" si="71"/>
        <v>150</v>
      </c>
    </row>
    <row r="4584" spans="1:12" ht="25" customHeight="1">
      <c r="A4584" s="2" t="s">
        <v>12</v>
      </c>
      <c r="B4584" s="2" t="str">
        <f>HYPERLINK("http://www.12365auto.com/zlts/20200220/447902.shtml","华晨宝马3系发动机冷却液水管断裂")</f>
        <v>华晨宝马3系发动机冷却液水管断裂</v>
      </c>
      <c r="C4584" s="2" t="s">
        <v>13</v>
      </c>
      <c r="D4584" s="2" t="s">
        <v>12</v>
      </c>
      <c r="E4584" s="2" t="s">
        <v>17</v>
      </c>
      <c r="F4584" s="2" t="str">
        <f>HYPERLINK("http://www.12365auto.com/zlts/20200220/447902.shtml","http://www.12365auto.com/zlts/20200220/447902.shtml")</f>
        <v>http://www.12365auto.com/zlts/20200220/447902.shtml</v>
      </c>
      <c r="G4584" s="2"/>
      <c r="H4584" s="2" t="s">
        <v>6523</v>
      </c>
      <c r="I4584" s="2" t="s">
        <v>15</v>
      </c>
      <c r="J4584" s="2" t="s">
        <v>12</v>
      </c>
      <c r="K4584" s="2" t="s">
        <v>6524</v>
      </c>
      <c r="L4584" s="2">
        <f t="shared" si="71"/>
        <v>150</v>
      </c>
    </row>
    <row r="4585" spans="1:12" ht="25" customHeight="1">
      <c r="A4585" s="2" t="s">
        <v>12</v>
      </c>
      <c r="B4585" s="2" t="str">
        <f>HYPERLINK("http://m.12365auto.com/zjdy/20200220/121454.shtml","君威混动与博瑞MHEV哪个更好一些？")</f>
        <v>君威混动与博瑞MHEV哪个更好一些？</v>
      </c>
      <c r="C4585" s="2" t="s">
        <v>13</v>
      </c>
      <c r="D4585" s="2" t="s">
        <v>12</v>
      </c>
      <c r="E4585" s="2"/>
      <c r="F4585" s="2" t="str">
        <f>HYPERLINK("http://m.12365auto.com/zjdy/20200220/121454.shtml","http://m.12365auto.com/zjdy/20200220/121454.shtml")</f>
        <v>http://m.12365auto.com/zjdy/20200220/121454.shtml</v>
      </c>
      <c r="G4585" s="2"/>
      <c r="H4585" s="2" t="s">
        <v>6525</v>
      </c>
      <c r="I4585" s="2" t="s">
        <v>19</v>
      </c>
      <c r="J4585" s="2" t="s">
        <v>12</v>
      </c>
      <c r="K4585" s="2" t="s">
        <v>6526</v>
      </c>
      <c r="L4585" s="2">
        <f t="shared" si="71"/>
        <v>23</v>
      </c>
    </row>
    <row r="4586" spans="1:12" ht="25" customHeight="1">
      <c r="A4586" s="2" t="s">
        <v>12</v>
      </c>
      <c r="B4586" s="2" t="str">
        <f>HYPERLINK("http://m.12365auto.com/zjdy/20200220/121455.shtml","思铂睿混动这车能加装主动安全配置吗？")</f>
        <v>思铂睿混动这车能加装主动安全配置吗？</v>
      </c>
      <c r="C4586" s="2" t="s">
        <v>13</v>
      </c>
      <c r="D4586" s="2" t="s">
        <v>12</v>
      </c>
      <c r="E4586" s="2"/>
      <c r="F4586" s="2" t="str">
        <f>HYPERLINK("http://m.12365auto.com/zjdy/20200220/121455.shtml","http://m.12365auto.com/zjdy/20200220/121455.shtml")</f>
        <v>http://m.12365auto.com/zjdy/20200220/121455.shtml</v>
      </c>
      <c r="G4586" s="2"/>
      <c r="H4586" s="2" t="s">
        <v>6527</v>
      </c>
      <c r="I4586" s="2" t="s">
        <v>19</v>
      </c>
      <c r="J4586" s="2" t="s">
        <v>12</v>
      </c>
      <c r="K4586" s="2" t="s">
        <v>6528</v>
      </c>
      <c r="L4586" s="2">
        <f t="shared" si="71"/>
        <v>24</v>
      </c>
    </row>
    <row r="4587" spans="1:12" ht="25" customHeight="1">
      <c r="A4587" s="2" t="s">
        <v>12</v>
      </c>
      <c r="B4587" s="2" t="str">
        <f>HYPERLINK("http://www.12365auto.com/zlts/20200220/447901.shtml","奇瑞艾瑞泽5车门漆面鼓包 车门生锈")</f>
        <v>奇瑞艾瑞泽5车门漆面鼓包 车门生锈</v>
      </c>
      <c r="C4587" s="2" t="s">
        <v>13</v>
      </c>
      <c r="D4587" s="2" t="s">
        <v>12</v>
      </c>
      <c r="E4587" s="2" t="s">
        <v>17</v>
      </c>
      <c r="F4587" s="2" t="str">
        <f>HYPERLINK("http://www.12365auto.com/zlts/20200220/447901.shtml","http://www.12365auto.com/zlts/20200220/447901.shtml")</f>
        <v>http://www.12365auto.com/zlts/20200220/447901.shtml</v>
      </c>
      <c r="G4587" s="2"/>
      <c r="H4587" s="2" t="s">
        <v>6529</v>
      </c>
      <c r="I4587" s="2" t="s">
        <v>19</v>
      </c>
      <c r="J4587" s="2" t="s">
        <v>12</v>
      </c>
      <c r="K4587" s="2" t="s">
        <v>6530</v>
      </c>
      <c r="L4587" s="2">
        <f t="shared" si="71"/>
        <v>150</v>
      </c>
    </row>
    <row r="4588" spans="1:12" ht="25" customHeight="1">
      <c r="A4588" s="2" t="s">
        <v>12</v>
      </c>
      <c r="B4588" s="2" t="str">
        <f>HYPERLINK("http://www.12365auto.com/zlts/20200220/447897.shtml","吉利博越车机系统无法升级希望处理")</f>
        <v>吉利博越车机系统无法升级希望处理</v>
      </c>
      <c r="C4588" s="2" t="s">
        <v>13</v>
      </c>
      <c r="D4588" s="2" t="s">
        <v>12</v>
      </c>
      <c r="E4588" s="2" t="s">
        <v>17</v>
      </c>
      <c r="F4588" s="2" t="str">
        <f>HYPERLINK("http://www.12365auto.com/zlts/20200220/447897.shtml","http://www.12365auto.com/zlts/20200220/447897.shtml")</f>
        <v>http://www.12365auto.com/zlts/20200220/447897.shtml</v>
      </c>
      <c r="G4588" s="2"/>
      <c r="H4588" s="2" t="s">
        <v>6531</v>
      </c>
      <c r="I4588" s="2" t="s">
        <v>15</v>
      </c>
      <c r="J4588" s="2" t="s">
        <v>12</v>
      </c>
      <c r="K4588" s="2" t="s">
        <v>6532</v>
      </c>
      <c r="L4588" s="2">
        <f t="shared" si="71"/>
        <v>150</v>
      </c>
    </row>
    <row r="4589" spans="1:12" ht="25" customHeight="1">
      <c r="A4589" s="2" t="s">
        <v>12</v>
      </c>
      <c r="B4589" s="2" t="str">
        <f>HYPERLINK("http://www.12365auto.com/zlts/20200220/447894.shtml","上汽大众朗逸发动机漏油 维修未解决")</f>
        <v>上汽大众朗逸发动机漏油 维修未解决</v>
      </c>
      <c r="C4589" s="2" t="s">
        <v>13</v>
      </c>
      <c r="D4589" s="2" t="s">
        <v>12</v>
      </c>
      <c r="E4589" s="2" t="s">
        <v>17</v>
      </c>
      <c r="F4589" s="2" t="str">
        <f>HYPERLINK("http://www.12365auto.com/zlts/20200220/447894.shtml","http://www.12365auto.com/zlts/20200220/447894.shtml")</f>
        <v>http://www.12365auto.com/zlts/20200220/447894.shtml</v>
      </c>
      <c r="G4589" s="2"/>
      <c r="H4589" s="2" t="s">
        <v>6533</v>
      </c>
      <c r="I4589" s="2" t="s">
        <v>19</v>
      </c>
      <c r="J4589" s="2" t="s">
        <v>12</v>
      </c>
      <c r="K4589" s="2" t="s">
        <v>6534</v>
      </c>
      <c r="L4589" s="2">
        <f t="shared" si="71"/>
        <v>150</v>
      </c>
    </row>
    <row r="4590" spans="1:12" ht="25" customHeight="1">
      <c r="A4590" s="2" t="s">
        <v>12</v>
      </c>
      <c r="B4590" s="2" t="str">
        <f>HYPERLINK("http://m.12365auto.com/bbs/postcontent.aspx?tID=194705","小编侃车第152期：汽车也要“戴口罩”！多家车企加速研发“健康车”")</f>
        <v>小编侃车第152期：汽车也要“戴口罩”！多家车企加速研发“健康车”</v>
      </c>
      <c r="C4590" s="2" t="s">
        <v>13</v>
      </c>
      <c r="D4590" s="2" t="s">
        <v>23</v>
      </c>
      <c r="E4590" s="2"/>
      <c r="F4590" s="2" t="str">
        <f>HYPERLINK("http://m.12365auto.com/bbs/postcontent.aspx?tID=194705","http://m.12365auto.com/bbs/postcontent.aspx?tID=194705")</f>
        <v>http://m.12365auto.com/bbs/postcontent.aspx?tID=194705</v>
      </c>
      <c r="G4590" s="2"/>
      <c r="H4590" s="2" t="s">
        <v>6535</v>
      </c>
      <c r="I4590" s="2" t="s">
        <v>15</v>
      </c>
      <c r="J4590" s="2" t="s">
        <v>1900</v>
      </c>
      <c r="K4590" s="2" t="s">
        <v>6536</v>
      </c>
      <c r="L4590" s="2">
        <f t="shared" si="71"/>
        <v>150</v>
      </c>
    </row>
    <row r="4591" spans="1:12" ht="25" customHeight="1">
      <c r="A4591" s="2" t="s">
        <v>12</v>
      </c>
      <c r="B4591" s="2" t="str">
        <f>HYPERLINK("http://bbs.12365auto.com/postcontent.aspx?tID=194705","小编侃车第152期：汽车也要“戴口罩”！多家车企加速研发“健康车”")</f>
        <v>小编侃车第152期：汽车也要“戴口罩”！多家车企加速研发“健康车”</v>
      </c>
      <c r="C4591" s="2" t="s">
        <v>13</v>
      </c>
      <c r="D4591" s="2" t="s">
        <v>12</v>
      </c>
      <c r="E4591" s="2" t="s">
        <v>214</v>
      </c>
      <c r="F4591" s="2" t="str">
        <f>HYPERLINK("http://bbs.12365auto.com/postcontent.aspx?tID=194705","http://bbs.12365auto.com/postcontent.aspx?tID=194705")</f>
        <v>http://bbs.12365auto.com/postcontent.aspx?tID=194705</v>
      </c>
      <c r="G4591" s="2"/>
      <c r="H4591" s="2" t="s">
        <v>6537</v>
      </c>
      <c r="I4591" s="2" t="s">
        <v>15</v>
      </c>
      <c r="J4591" s="2" t="s">
        <v>1900</v>
      </c>
      <c r="K4591" s="2" t="s">
        <v>6536</v>
      </c>
      <c r="L4591" s="2">
        <f t="shared" si="71"/>
        <v>150</v>
      </c>
    </row>
    <row r="4592" spans="1:12" ht="25" customHeight="1">
      <c r="A4592" s="2" t="s">
        <v>12</v>
      </c>
      <c r="B4592" s="2" t="str">
        <f>HYPERLINK("http://bbs.12365auto.com/postcontent.aspx?tId=194705","小编侃车第152期：汽车也要“戴口罩”！多家车企加速研发“健康车”")</f>
        <v>小编侃车第152期：汽车也要“戴口罩”！多家车企加速研发“健康车”</v>
      </c>
      <c r="C4592" s="2" t="s">
        <v>13</v>
      </c>
      <c r="D4592" s="2" t="s">
        <v>12</v>
      </c>
      <c r="E4592" s="2" t="s">
        <v>210</v>
      </c>
      <c r="F4592" s="2" t="str">
        <f>HYPERLINK("http://bbs.12365auto.com/postcontent.aspx?tId=194705","http://bbs.12365auto.com/postcontent.aspx?tId=194705")</f>
        <v>http://bbs.12365auto.com/postcontent.aspx?tId=194705</v>
      </c>
      <c r="G4592" s="2"/>
      <c r="H4592" s="2" t="s">
        <v>6535</v>
      </c>
      <c r="I4592" s="2" t="s">
        <v>15</v>
      </c>
      <c r="J4592" s="2" t="s">
        <v>1900</v>
      </c>
      <c r="K4592" s="2" t="s">
        <v>6536</v>
      </c>
      <c r="L4592" s="2">
        <f t="shared" si="71"/>
        <v>150</v>
      </c>
    </row>
    <row r="4593" spans="1:12" ht="25" customHeight="1">
      <c r="A4593" s="2" t="s">
        <v>12</v>
      </c>
      <c r="B4593" s="2" t="str">
        <f>HYPERLINK("http://www.12365auto.com/zlts/20200220/447893.shtml","东风日产轩逸冷车时变速箱异响热车时消失")</f>
        <v>东风日产轩逸冷车时变速箱异响热车时消失</v>
      </c>
      <c r="C4593" s="2" t="s">
        <v>13</v>
      </c>
      <c r="D4593" s="2" t="s">
        <v>12</v>
      </c>
      <c r="E4593" s="2" t="s">
        <v>17</v>
      </c>
      <c r="F4593" s="2" t="str">
        <f>HYPERLINK("http://www.12365auto.com/zlts/20200220/447893.shtml","http://www.12365auto.com/zlts/20200220/447893.shtml")</f>
        <v>http://www.12365auto.com/zlts/20200220/447893.shtml</v>
      </c>
      <c r="G4593" s="2"/>
      <c r="H4593" s="2" t="s">
        <v>6538</v>
      </c>
      <c r="I4593" s="2" t="s">
        <v>15</v>
      </c>
      <c r="J4593" s="2" t="s">
        <v>12</v>
      </c>
      <c r="K4593" s="2" t="s">
        <v>6539</v>
      </c>
      <c r="L4593" s="2">
        <f t="shared" si="71"/>
        <v>150</v>
      </c>
    </row>
    <row r="4594" spans="1:12" ht="25" customHeight="1">
      <c r="A4594" s="2" t="s">
        <v>12</v>
      </c>
      <c r="B4594" s="2" t="str">
        <f>HYPERLINK("http://m.12365auto.com/zjdy/20200220/121452.shtml","车辆的制动液储存罐能起到什么作用？")</f>
        <v>车辆的制动液储存罐能起到什么作用？</v>
      </c>
      <c r="C4594" s="2" t="s">
        <v>13</v>
      </c>
      <c r="D4594" s="2" t="s">
        <v>12</v>
      </c>
      <c r="E4594" s="2"/>
      <c r="F4594" s="2" t="str">
        <f>HYPERLINK("http://m.12365auto.com/zjdy/20200220/121452.shtml","http://m.12365auto.com/zjdy/20200220/121452.shtml")</f>
        <v>http://m.12365auto.com/zjdy/20200220/121452.shtml</v>
      </c>
      <c r="G4594" s="2"/>
      <c r="H4594" s="2" t="s">
        <v>6540</v>
      </c>
      <c r="I4594" s="2" t="s">
        <v>19</v>
      </c>
      <c r="J4594" s="2" t="s">
        <v>12</v>
      </c>
      <c r="K4594" s="2" t="s">
        <v>6541</v>
      </c>
      <c r="L4594" s="2">
        <f t="shared" si="71"/>
        <v>44</v>
      </c>
    </row>
    <row r="4595" spans="1:12" ht="25" customHeight="1">
      <c r="A4595" s="2" t="s">
        <v>12</v>
      </c>
      <c r="B4595" s="2" t="str">
        <f>HYPERLINK("http://www.12365auto.com/zlts/20200220/447892.shtml","比亚迪F3行驶时变速箱异响 两侧裙边生锈")</f>
        <v>比亚迪F3行驶时变速箱异响 两侧裙边生锈</v>
      </c>
      <c r="C4595" s="2" t="s">
        <v>13</v>
      </c>
      <c r="D4595" s="2" t="s">
        <v>12</v>
      </c>
      <c r="E4595" s="2" t="s">
        <v>17</v>
      </c>
      <c r="F4595" s="2" t="str">
        <f>HYPERLINK("http://www.12365auto.com/zlts/20200220/447892.shtml","http://www.12365auto.com/zlts/20200220/447892.shtml")</f>
        <v>http://www.12365auto.com/zlts/20200220/447892.shtml</v>
      </c>
      <c r="G4595" s="2"/>
      <c r="H4595" s="2" t="s">
        <v>6542</v>
      </c>
      <c r="I4595" s="2" t="s">
        <v>19</v>
      </c>
      <c r="J4595" s="2" t="s">
        <v>12</v>
      </c>
      <c r="K4595" s="2" t="s">
        <v>6543</v>
      </c>
      <c r="L4595" s="2">
        <f t="shared" si="71"/>
        <v>150</v>
      </c>
    </row>
    <row r="4596" spans="1:12" ht="25" customHeight="1">
      <c r="A4596" s="2" t="s">
        <v>12</v>
      </c>
      <c r="B4596" s="2" t="str">
        <f>HYPERLINK("http://m.12365auto.com/bbs/postcontent.aspx?tID=194702","昂克赛拉发动机故障灯亮了质量真次呀")</f>
        <v>昂克赛拉发动机故障灯亮了质量真次呀</v>
      </c>
      <c r="C4596" s="2" t="s">
        <v>13</v>
      </c>
      <c r="D4596" s="2" t="s">
        <v>23</v>
      </c>
      <c r="E4596" s="2"/>
      <c r="F4596" s="2" t="str">
        <f>HYPERLINK("http://m.12365auto.com/bbs/postcontent.aspx?tID=194702","http://m.12365auto.com/bbs/postcontent.aspx?tID=194702")</f>
        <v>http://m.12365auto.com/bbs/postcontent.aspx?tID=194702</v>
      </c>
      <c r="G4596" s="2"/>
      <c r="H4596" s="2" t="s">
        <v>6544</v>
      </c>
      <c r="I4596" s="2" t="s">
        <v>15</v>
      </c>
      <c r="J4596" s="2" t="s">
        <v>4119</v>
      </c>
      <c r="K4596" s="2" t="s">
        <v>6545</v>
      </c>
      <c r="L4596" s="2">
        <f t="shared" si="71"/>
        <v>91</v>
      </c>
    </row>
    <row r="4597" spans="1:12" ht="25" customHeight="1">
      <c r="A4597" s="2" t="s">
        <v>12</v>
      </c>
      <c r="B4597" s="2" t="str">
        <f>HYPERLINK("http://bbs.12365auto.com/postcontent.aspx?tID=194702","昂克赛拉发动机故障灯亮了质量真次呀")</f>
        <v>昂克赛拉发动机故障灯亮了质量真次呀</v>
      </c>
      <c r="C4597" s="2" t="s">
        <v>13</v>
      </c>
      <c r="D4597" s="2" t="s">
        <v>12</v>
      </c>
      <c r="E4597" s="2" t="s">
        <v>67</v>
      </c>
      <c r="F4597" s="2" t="str">
        <f>HYPERLINK("http://bbs.12365auto.com/postcontent.aspx?tID=194702","http://bbs.12365auto.com/postcontent.aspx?tID=194702")</f>
        <v>http://bbs.12365auto.com/postcontent.aspx?tID=194702</v>
      </c>
      <c r="G4597" s="2"/>
      <c r="H4597" s="2" t="s">
        <v>6546</v>
      </c>
      <c r="I4597" s="2" t="s">
        <v>15</v>
      </c>
      <c r="J4597" s="2" t="s">
        <v>4119</v>
      </c>
      <c r="K4597" s="2" t="s">
        <v>6545</v>
      </c>
      <c r="L4597" s="2">
        <f t="shared" si="71"/>
        <v>108</v>
      </c>
    </row>
    <row r="4598" spans="1:12" ht="25" customHeight="1">
      <c r="A4598" s="2" t="s">
        <v>12</v>
      </c>
      <c r="B4598" s="2" t="str">
        <f>HYPERLINK("http://bbs.12365auto.com/postcontent.aspx?tId=194702","昂克赛拉发动机故障灯亮了质量真次呀")</f>
        <v>昂克赛拉发动机故障灯亮了质量真次呀</v>
      </c>
      <c r="C4598" s="2" t="s">
        <v>13</v>
      </c>
      <c r="D4598" s="2" t="s">
        <v>12</v>
      </c>
      <c r="E4598" s="2" t="s">
        <v>66</v>
      </c>
      <c r="F4598" s="2" t="str">
        <f>HYPERLINK("http://bbs.12365auto.com/postcontent.aspx?tId=194702","http://bbs.12365auto.com/postcontent.aspx?tId=194702")</f>
        <v>http://bbs.12365auto.com/postcontent.aspx?tId=194702</v>
      </c>
      <c r="G4598" s="2"/>
      <c r="H4598" s="2" t="s">
        <v>6544</v>
      </c>
      <c r="I4598" s="2" t="s">
        <v>15</v>
      </c>
      <c r="J4598" s="2" t="s">
        <v>4119</v>
      </c>
      <c r="K4598" s="2" t="s">
        <v>6545</v>
      </c>
      <c r="L4598" s="2">
        <f t="shared" si="71"/>
        <v>91</v>
      </c>
    </row>
    <row r="4599" spans="1:12" ht="25" customHeight="1">
      <c r="A4599" s="2" t="s">
        <v>12</v>
      </c>
      <c r="B4599" s="2" t="str">
        <f>HYPERLINK("http://m.12365auto.com/bbs/postcontent.aspx?tID=194701","RAV4荣放发动机异响车上各种异响")</f>
        <v>RAV4荣放发动机异响车上各种异响</v>
      </c>
      <c r="C4599" s="2" t="s">
        <v>13</v>
      </c>
      <c r="D4599" s="2" t="s">
        <v>23</v>
      </c>
      <c r="E4599" s="2"/>
      <c r="F4599" s="2" t="str">
        <f>HYPERLINK("http://m.12365auto.com/bbs/postcontent.aspx?tID=194701","http://m.12365auto.com/bbs/postcontent.aspx?tID=194701")</f>
        <v>http://m.12365auto.com/bbs/postcontent.aspx?tID=194701</v>
      </c>
      <c r="G4599" s="2"/>
      <c r="H4599" s="2" t="s">
        <v>6547</v>
      </c>
      <c r="I4599" s="2" t="s">
        <v>15</v>
      </c>
      <c r="J4599" s="2" t="s">
        <v>4123</v>
      </c>
      <c r="K4599" s="2" t="s">
        <v>6548</v>
      </c>
      <c r="L4599" s="2">
        <f t="shared" si="71"/>
        <v>63</v>
      </c>
    </row>
    <row r="4600" spans="1:12" ht="25" customHeight="1">
      <c r="A4600" s="2" t="s">
        <v>12</v>
      </c>
      <c r="B4600" s="2" t="str">
        <f>HYPERLINK("http://bbs.12365auto.com/postcontent.aspx?tID=194701","RAV4荣放发动机异响车上各种异响")</f>
        <v>RAV4荣放发动机异响车上各种异响</v>
      </c>
      <c r="C4600" s="2" t="s">
        <v>13</v>
      </c>
      <c r="D4600" s="2" t="s">
        <v>12</v>
      </c>
      <c r="E4600" s="2" t="s">
        <v>67</v>
      </c>
      <c r="F4600" s="2" t="str">
        <f>HYPERLINK("http://bbs.12365auto.com/postcontent.aspx?tID=194701","http://bbs.12365auto.com/postcontent.aspx?tID=194701")</f>
        <v>http://bbs.12365auto.com/postcontent.aspx?tID=194701</v>
      </c>
      <c r="G4600" s="2"/>
      <c r="H4600" s="2" t="s">
        <v>6549</v>
      </c>
      <c r="I4600" s="2" t="s">
        <v>15</v>
      </c>
      <c r="J4600" s="2" t="s">
        <v>4123</v>
      </c>
      <c r="K4600" s="2" t="s">
        <v>6548</v>
      </c>
      <c r="L4600" s="2">
        <f t="shared" si="71"/>
        <v>80</v>
      </c>
    </row>
    <row r="4601" spans="1:12" ht="25" customHeight="1">
      <c r="A4601" s="2" t="s">
        <v>12</v>
      </c>
      <c r="B4601" s="2" t="str">
        <f>HYPERLINK("http://bbs.12365auto.com/postcontent.aspx?tId=194701","RAV4荣放发动机异响车上各种异响")</f>
        <v>RAV4荣放发动机异响车上各种异响</v>
      </c>
      <c r="C4601" s="2" t="s">
        <v>13</v>
      </c>
      <c r="D4601" s="2" t="s">
        <v>12</v>
      </c>
      <c r="E4601" s="2" t="s">
        <v>66</v>
      </c>
      <c r="F4601" s="2" t="str">
        <f>HYPERLINK("http://bbs.12365auto.com/postcontent.aspx?tId=194701","http://bbs.12365auto.com/postcontent.aspx?tId=194701")</f>
        <v>http://bbs.12365auto.com/postcontent.aspx?tId=194701</v>
      </c>
      <c r="G4601" s="2"/>
      <c r="H4601" s="2" t="s">
        <v>6547</v>
      </c>
      <c r="I4601" s="2" t="s">
        <v>15</v>
      </c>
      <c r="J4601" s="2" t="s">
        <v>4123</v>
      </c>
      <c r="K4601" s="2" t="s">
        <v>6548</v>
      </c>
      <c r="L4601" s="2">
        <f t="shared" si="71"/>
        <v>63</v>
      </c>
    </row>
    <row r="4602" spans="1:12" ht="25" customHeight="1">
      <c r="A4602" s="2" t="s">
        <v>12</v>
      </c>
      <c r="B4602" s="2" t="str">
        <f>HYPERLINK("http://m.12365auto.com/bbs/postcontent.aspx?tID=194700","众泰Z500质保内出现的质量问题不予索赔")</f>
        <v>众泰Z500质保内出现的质量问题不予索赔</v>
      </c>
      <c r="C4602" s="2" t="s">
        <v>13</v>
      </c>
      <c r="D4602" s="2" t="s">
        <v>23</v>
      </c>
      <c r="E4602" s="2"/>
      <c r="F4602" s="2" t="str">
        <f>HYPERLINK("http://m.12365auto.com/bbs/postcontent.aspx?tID=194700","http://m.12365auto.com/bbs/postcontent.aspx?tID=194700")</f>
        <v>http://m.12365auto.com/bbs/postcontent.aspx?tID=194700</v>
      </c>
      <c r="G4602" s="2"/>
      <c r="H4602" s="2" t="s">
        <v>2856</v>
      </c>
      <c r="I4602" s="2" t="s">
        <v>15</v>
      </c>
      <c r="J4602" s="2" t="s">
        <v>4264</v>
      </c>
      <c r="K4602" s="2" t="s">
        <v>6550</v>
      </c>
      <c r="L4602" s="2">
        <f t="shared" si="71"/>
        <v>117</v>
      </c>
    </row>
    <row r="4603" spans="1:12" ht="25" customHeight="1">
      <c r="A4603" s="2" t="s">
        <v>12</v>
      </c>
      <c r="B4603" s="2" t="str">
        <f>HYPERLINK("http://m.12365auto.com/bbs/postcontent.aspx?tID=194698","上汽大众Polo倒车踩刹车存在明显异响")</f>
        <v>上汽大众Polo倒车踩刹车存在明显异响</v>
      </c>
      <c r="C4603" s="2" t="s">
        <v>13</v>
      </c>
      <c r="D4603" s="2" t="s">
        <v>23</v>
      </c>
      <c r="E4603" s="2"/>
      <c r="F4603" s="2" t="str">
        <f>HYPERLINK("http://m.12365auto.com/bbs/postcontent.aspx?tID=194698","http://m.12365auto.com/bbs/postcontent.aspx?tID=194698")</f>
        <v>http://m.12365auto.com/bbs/postcontent.aspx?tID=194698</v>
      </c>
      <c r="G4603" s="2"/>
      <c r="H4603" s="2" t="s">
        <v>6551</v>
      </c>
      <c r="I4603" s="2" t="s">
        <v>15</v>
      </c>
      <c r="J4603" s="2" t="s">
        <v>6552</v>
      </c>
      <c r="K4603" s="2" t="s">
        <v>6550</v>
      </c>
      <c r="L4603" s="2">
        <f t="shared" si="71"/>
        <v>70</v>
      </c>
    </row>
    <row r="4604" spans="1:12" ht="25" customHeight="1">
      <c r="A4604" s="2" t="s">
        <v>12</v>
      </c>
      <c r="B4604" s="2" t="str">
        <f>HYPERLINK("http://bbs.12365auto.com/postcontent.aspx?tId=194698","上汽大众Polo倒车踩刹车存在明显异响")</f>
        <v>上汽大众Polo倒车踩刹车存在明显异响</v>
      </c>
      <c r="C4604" s="2" t="s">
        <v>13</v>
      </c>
      <c r="D4604" s="2" t="s">
        <v>12</v>
      </c>
      <c r="E4604" s="2" t="s">
        <v>66</v>
      </c>
      <c r="F4604" s="2" t="str">
        <f>HYPERLINK("http://bbs.12365auto.com/postcontent.aspx?tId=194698","http://bbs.12365auto.com/postcontent.aspx?tId=194698")</f>
        <v>http://bbs.12365auto.com/postcontent.aspx?tId=194698</v>
      </c>
      <c r="G4604" s="2"/>
      <c r="H4604" s="2" t="s">
        <v>6551</v>
      </c>
      <c r="I4604" s="2" t="s">
        <v>15</v>
      </c>
      <c r="J4604" s="2" t="s">
        <v>6552</v>
      </c>
      <c r="K4604" s="2" t="s">
        <v>6550</v>
      </c>
      <c r="L4604" s="2">
        <f t="shared" si="71"/>
        <v>70</v>
      </c>
    </row>
    <row r="4605" spans="1:12" ht="25" customHeight="1">
      <c r="A4605" s="2" t="s">
        <v>12</v>
      </c>
      <c r="B4605" s="2" t="str">
        <f>HYPERLINK("http://bbs.12365auto.com/postcontent.aspx?tID=194700","众泰Z500质保内出现的质量问题不予索赔")</f>
        <v>众泰Z500质保内出现的质量问题不予索赔</v>
      </c>
      <c r="C4605" s="2" t="s">
        <v>13</v>
      </c>
      <c r="D4605" s="2" t="s">
        <v>12</v>
      </c>
      <c r="E4605" s="2" t="s">
        <v>67</v>
      </c>
      <c r="F4605" s="2" t="str">
        <f>HYPERLINK("http://bbs.12365auto.com/postcontent.aspx?tID=194700","http://bbs.12365auto.com/postcontent.aspx?tID=194700")</f>
        <v>http://bbs.12365auto.com/postcontent.aspx?tID=194700</v>
      </c>
      <c r="G4605" s="2"/>
      <c r="H4605" s="2" t="s">
        <v>6553</v>
      </c>
      <c r="I4605" s="2" t="s">
        <v>15</v>
      </c>
      <c r="J4605" s="2" t="s">
        <v>4264</v>
      </c>
      <c r="K4605" s="2" t="s">
        <v>6550</v>
      </c>
      <c r="L4605" s="2">
        <f t="shared" si="71"/>
        <v>137</v>
      </c>
    </row>
    <row r="4606" spans="1:12" ht="25" customHeight="1">
      <c r="A4606" s="2" t="s">
        <v>12</v>
      </c>
      <c r="B4606" s="2" t="str">
        <f>HYPERLINK("http://bbs.12365auto.com/postcontent.aspx?tId=194700","众泰Z500质保内出现的质量问题不予索赔")</f>
        <v>众泰Z500质保内出现的质量问题不予索赔</v>
      </c>
      <c r="C4606" s="2" t="s">
        <v>13</v>
      </c>
      <c r="D4606" s="2" t="s">
        <v>12</v>
      </c>
      <c r="E4606" s="2" t="s">
        <v>66</v>
      </c>
      <c r="F4606" s="2" t="str">
        <f>HYPERLINK("http://bbs.12365auto.com/postcontent.aspx?tId=194700","http://bbs.12365auto.com/postcontent.aspx?tId=194700")</f>
        <v>http://bbs.12365auto.com/postcontent.aspx?tId=194700</v>
      </c>
      <c r="G4606" s="2"/>
      <c r="H4606" s="2" t="s">
        <v>2856</v>
      </c>
      <c r="I4606" s="2" t="s">
        <v>15</v>
      </c>
      <c r="J4606" s="2" t="s">
        <v>4264</v>
      </c>
      <c r="K4606" s="2" t="s">
        <v>6550</v>
      </c>
      <c r="L4606" s="2">
        <f t="shared" si="71"/>
        <v>117</v>
      </c>
    </row>
    <row r="4607" spans="1:12" ht="25" customHeight="1">
      <c r="A4607" s="2" t="s">
        <v>12</v>
      </c>
      <c r="B4607" s="2" t="str">
        <f>HYPERLINK("http://bbs.12365auto.com/postcontent.aspx?tId=194697","帝豪GL发动机盖生锈防锈处理不行呀")</f>
        <v>帝豪GL发动机盖生锈防锈处理不行呀</v>
      </c>
      <c r="C4607" s="2" t="s">
        <v>13</v>
      </c>
      <c r="D4607" s="2" t="s">
        <v>12</v>
      </c>
      <c r="E4607" s="2" t="s">
        <v>66</v>
      </c>
      <c r="F4607" s="2" t="str">
        <f>HYPERLINK("http://bbs.12365auto.com/postcontent.aspx?tId=194697","http://bbs.12365auto.com/postcontent.aspx?tId=194697")</f>
        <v>http://bbs.12365auto.com/postcontent.aspx?tId=194697</v>
      </c>
      <c r="G4607" s="2"/>
      <c r="H4607" s="2" t="s">
        <v>6554</v>
      </c>
      <c r="I4607" s="2" t="s">
        <v>15</v>
      </c>
      <c r="J4607" s="2" t="s">
        <v>4132</v>
      </c>
      <c r="K4607" s="2" t="s">
        <v>6550</v>
      </c>
      <c r="L4607" s="2">
        <f t="shared" si="71"/>
        <v>105</v>
      </c>
    </row>
    <row r="4608" spans="1:12" ht="25" customHeight="1">
      <c r="A4608" s="2" t="s">
        <v>12</v>
      </c>
      <c r="B4608" s="2" t="str">
        <f>HYPERLINK("http://bbs.12365auto.com/postcontent.aspx?tID=194698","上汽大众Polo倒车踩刹车存在明显异响")</f>
        <v>上汽大众Polo倒车踩刹车存在明显异响</v>
      </c>
      <c r="C4608" s="2" t="s">
        <v>13</v>
      </c>
      <c r="D4608" s="2" t="s">
        <v>12</v>
      </c>
      <c r="E4608" s="2" t="s">
        <v>67</v>
      </c>
      <c r="F4608" s="2" t="str">
        <f>HYPERLINK("http://bbs.12365auto.com/postcontent.aspx?tID=194698","http://bbs.12365auto.com/postcontent.aspx?tID=194698")</f>
        <v>http://bbs.12365auto.com/postcontent.aspx?tID=194698</v>
      </c>
      <c r="G4608" s="2"/>
      <c r="H4608" s="2" t="s">
        <v>6555</v>
      </c>
      <c r="I4608" s="2" t="s">
        <v>15</v>
      </c>
      <c r="J4608" s="2" t="s">
        <v>6552</v>
      </c>
      <c r="K4608" s="2" t="s">
        <v>6550</v>
      </c>
      <c r="L4608" s="2">
        <f t="shared" si="71"/>
        <v>96</v>
      </c>
    </row>
    <row r="4609" spans="1:12" ht="25" customHeight="1">
      <c r="A4609" s="2" t="s">
        <v>12</v>
      </c>
      <c r="B4609" s="2" t="str">
        <f>HYPERLINK("http://bbs.12365auto.com/postcontent.aspx?tID=194699","308S油箱故障故障灯也亮个不停呀")</f>
        <v>308S油箱故障故障灯也亮个不停呀</v>
      </c>
      <c r="C4609" s="2" t="s">
        <v>13</v>
      </c>
      <c r="D4609" s="2" t="s">
        <v>12</v>
      </c>
      <c r="E4609" s="2" t="s">
        <v>67</v>
      </c>
      <c r="F4609" s="2" t="str">
        <f>HYPERLINK("http://bbs.12365auto.com/postcontent.aspx?tID=194699","http://bbs.12365auto.com/postcontent.aspx?tID=194699")</f>
        <v>http://bbs.12365auto.com/postcontent.aspx?tID=194699</v>
      </c>
      <c r="G4609" s="2"/>
      <c r="H4609" s="2" t="s">
        <v>6556</v>
      </c>
      <c r="I4609" s="2" t="s">
        <v>15</v>
      </c>
      <c r="J4609" s="2" t="s">
        <v>4126</v>
      </c>
      <c r="K4609" s="2" t="s">
        <v>6550</v>
      </c>
      <c r="L4609" s="2">
        <f t="shared" si="71"/>
        <v>69</v>
      </c>
    </row>
    <row r="4610" spans="1:12" ht="25" customHeight="1">
      <c r="A4610" s="2" t="s">
        <v>12</v>
      </c>
      <c r="B4610" s="2" t="str">
        <f>HYPERLINK("http://bbs.12365auto.com/postcontent.aspx?tID=194697","帝豪GL发动机盖生锈防锈处理不行呀")</f>
        <v>帝豪GL发动机盖生锈防锈处理不行呀</v>
      </c>
      <c r="C4610" s="2" t="s">
        <v>13</v>
      </c>
      <c r="D4610" s="2" t="s">
        <v>12</v>
      </c>
      <c r="E4610" s="2" t="s">
        <v>67</v>
      </c>
      <c r="F4610" s="2" t="str">
        <f>HYPERLINK("http://bbs.12365auto.com/postcontent.aspx?tID=194697","http://bbs.12365auto.com/postcontent.aspx?tID=194697")</f>
        <v>http://bbs.12365auto.com/postcontent.aspx?tID=194697</v>
      </c>
      <c r="G4610" s="2"/>
      <c r="H4610" s="2" t="s">
        <v>6557</v>
      </c>
      <c r="I4610" s="2" t="s">
        <v>15</v>
      </c>
      <c r="J4610" s="2" t="s">
        <v>4132</v>
      </c>
      <c r="K4610" s="2" t="s">
        <v>6550</v>
      </c>
      <c r="L4610" s="2">
        <f t="shared" si="71"/>
        <v>129</v>
      </c>
    </row>
    <row r="4611" spans="1:12" ht="25" customHeight="1">
      <c r="A4611" s="2" t="s">
        <v>12</v>
      </c>
      <c r="B4611" s="2" t="str">
        <f>HYPERLINK("http://bbs.12365auto.com/postcontent.aspx?tId=194699","308S油箱故障故障灯也亮个不停呀")</f>
        <v>308S油箱故障故障灯也亮个不停呀</v>
      </c>
      <c r="C4611" s="2" t="s">
        <v>13</v>
      </c>
      <c r="D4611" s="2" t="s">
        <v>12</v>
      </c>
      <c r="E4611" s="2" t="s">
        <v>66</v>
      </c>
      <c r="F4611" s="2" t="str">
        <f>HYPERLINK("http://bbs.12365auto.com/postcontent.aspx?tId=194699","http://bbs.12365auto.com/postcontent.aspx?tId=194699")</f>
        <v>http://bbs.12365auto.com/postcontent.aspx?tId=194699</v>
      </c>
      <c r="G4611" s="2"/>
      <c r="H4611" s="2" t="s">
        <v>6558</v>
      </c>
      <c r="I4611" s="2" t="s">
        <v>15</v>
      </c>
      <c r="J4611" s="2" t="s">
        <v>4126</v>
      </c>
      <c r="K4611" s="2" t="s">
        <v>6550</v>
      </c>
      <c r="L4611" s="2">
        <f t="shared" ref="L4611:L4674" si="72">LEN(H4611)</f>
        <v>52</v>
      </c>
    </row>
    <row r="4612" spans="1:12" ht="25" customHeight="1">
      <c r="A4612" s="2" t="s">
        <v>12</v>
      </c>
      <c r="B4612" s="2" t="str">
        <f>HYPERLINK("http://m.12365auto.com/bbs/postcontent.aspx?tID=194699","308S油箱故障故障灯也亮个不停呀")</f>
        <v>308S油箱故障故障灯也亮个不停呀</v>
      </c>
      <c r="C4612" s="2" t="s">
        <v>13</v>
      </c>
      <c r="D4612" s="2" t="s">
        <v>23</v>
      </c>
      <c r="E4612" s="2"/>
      <c r="F4612" s="2" t="str">
        <f>HYPERLINK("http://m.12365auto.com/bbs/postcontent.aspx?tID=194699","http://m.12365auto.com/bbs/postcontent.aspx?tID=194699")</f>
        <v>http://m.12365auto.com/bbs/postcontent.aspx?tID=194699</v>
      </c>
      <c r="G4612" s="2"/>
      <c r="H4612" s="2" t="s">
        <v>6558</v>
      </c>
      <c r="I4612" s="2" t="s">
        <v>15</v>
      </c>
      <c r="J4612" s="2" t="s">
        <v>4126</v>
      </c>
      <c r="K4612" s="2" t="s">
        <v>6550</v>
      </c>
      <c r="L4612" s="2">
        <f t="shared" si="72"/>
        <v>52</v>
      </c>
    </row>
    <row r="4613" spans="1:12" ht="25" customHeight="1">
      <c r="A4613" s="2" t="s">
        <v>12</v>
      </c>
      <c r="B4613" s="2" t="str">
        <f>HYPERLINK("http://m.12365auto.com/bbs/postcontent.aspx?tID=194697","帝豪GL发动机盖生锈防锈处理不行呀")</f>
        <v>帝豪GL发动机盖生锈防锈处理不行呀</v>
      </c>
      <c r="C4613" s="2" t="s">
        <v>13</v>
      </c>
      <c r="D4613" s="2" t="s">
        <v>23</v>
      </c>
      <c r="E4613" s="2"/>
      <c r="F4613" s="2" t="str">
        <f>HYPERLINK("http://m.12365auto.com/bbs/postcontent.aspx?tID=194697","http://m.12365auto.com/bbs/postcontent.aspx?tID=194697")</f>
        <v>http://m.12365auto.com/bbs/postcontent.aspx?tID=194697</v>
      </c>
      <c r="G4613" s="2"/>
      <c r="H4613" s="2" t="s">
        <v>6554</v>
      </c>
      <c r="I4613" s="2" t="s">
        <v>15</v>
      </c>
      <c r="J4613" s="2" t="s">
        <v>4132</v>
      </c>
      <c r="K4613" s="2" t="s">
        <v>6550</v>
      </c>
      <c r="L4613" s="2">
        <f t="shared" si="72"/>
        <v>105</v>
      </c>
    </row>
    <row r="4614" spans="1:12" ht="25" customHeight="1">
      <c r="A4614" s="2" t="s">
        <v>12</v>
      </c>
      <c r="B4614" s="2" t="str">
        <f>HYPERLINK("http://m.12365auto.com/bbs/postcontent.aspx?tID=194695","CS9行驶中底盘有异响售后不处理")</f>
        <v>CS9行驶中底盘有异响售后不处理</v>
      </c>
      <c r="C4614" s="2" t="s">
        <v>13</v>
      </c>
      <c r="D4614" s="2" t="s">
        <v>23</v>
      </c>
      <c r="E4614" s="2"/>
      <c r="F4614" s="2" t="str">
        <f>HYPERLINK("http://m.12365auto.com/bbs/postcontent.aspx?tID=194695","http://m.12365auto.com/bbs/postcontent.aspx?tID=194695")</f>
        <v>http://m.12365auto.com/bbs/postcontent.aspx?tID=194695</v>
      </c>
      <c r="G4614" s="2"/>
      <c r="H4614" s="2" t="s">
        <v>6559</v>
      </c>
      <c r="I4614" s="2" t="s">
        <v>15</v>
      </c>
      <c r="J4614" s="2" t="s">
        <v>4134</v>
      </c>
      <c r="K4614" s="2" t="s">
        <v>6560</v>
      </c>
      <c r="L4614" s="2">
        <f t="shared" si="72"/>
        <v>57</v>
      </c>
    </row>
    <row r="4615" spans="1:12" ht="25" customHeight="1">
      <c r="A4615" s="2" t="s">
        <v>12</v>
      </c>
      <c r="B4615" s="2" t="str">
        <f>HYPERLINK("http://m.12365auto.com/bbs/postcontent.aspx?tID=194696","上汽荣威360正时链条拉长希望尽快处理")</f>
        <v>上汽荣威360正时链条拉长希望尽快处理</v>
      </c>
      <c r="C4615" s="2" t="s">
        <v>13</v>
      </c>
      <c r="D4615" s="2" t="s">
        <v>23</v>
      </c>
      <c r="E4615" s="2"/>
      <c r="F4615" s="2" t="str">
        <f>HYPERLINK("http://m.12365auto.com/bbs/postcontent.aspx?tID=194696","http://m.12365auto.com/bbs/postcontent.aspx?tID=194696")</f>
        <v>http://m.12365auto.com/bbs/postcontent.aspx?tID=194696</v>
      </c>
      <c r="G4615" s="2"/>
      <c r="H4615" s="2" t="s">
        <v>6561</v>
      </c>
      <c r="I4615" s="2" t="s">
        <v>15</v>
      </c>
      <c r="J4615" s="2" t="s">
        <v>6562</v>
      </c>
      <c r="K4615" s="2" t="s">
        <v>6560</v>
      </c>
      <c r="L4615" s="2">
        <f t="shared" si="72"/>
        <v>33</v>
      </c>
    </row>
    <row r="4616" spans="1:12" ht="25" customHeight="1">
      <c r="A4616" s="2" t="s">
        <v>12</v>
      </c>
      <c r="B4616" s="2" t="str">
        <f>HYPERLINK("http://m.12365auto.com/bbs/postcontent.aspx?tID=194694","上汽大众帕萨特A柱强度不够前轮异响")</f>
        <v>上汽大众帕萨特A柱强度不够前轮异响</v>
      </c>
      <c r="C4616" s="2" t="s">
        <v>13</v>
      </c>
      <c r="D4616" s="2" t="s">
        <v>23</v>
      </c>
      <c r="E4616" s="2"/>
      <c r="F4616" s="2" t="str">
        <f>HYPERLINK("http://m.12365auto.com/bbs/postcontent.aspx?tID=194694","http://m.12365auto.com/bbs/postcontent.aspx?tID=194694")</f>
        <v>http://m.12365auto.com/bbs/postcontent.aspx?tID=194694</v>
      </c>
      <c r="G4616" s="2"/>
      <c r="H4616" s="2" t="s">
        <v>6563</v>
      </c>
      <c r="I4616" s="2" t="s">
        <v>15</v>
      </c>
      <c r="J4616" s="2" t="s">
        <v>6564</v>
      </c>
      <c r="K4616" s="2" t="s">
        <v>6560</v>
      </c>
      <c r="L4616" s="2">
        <f t="shared" si="72"/>
        <v>30</v>
      </c>
    </row>
    <row r="4617" spans="1:12" ht="25" customHeight="1">
      <c r="A4617" s="2" t="s">
        <v>12</v>
      </c>
      <c r="B4617" s="2" t="str">
        <f>HYPERLINK("http://bbs.12365auto.com/postcontent.aspx?tID=194694","上汽大众帕萨特A柱强度不够前轮异响")</f>
        <v>上汽大众帕萨特A柱强度不够前轮异响</v>
      </c>
      <c r="C4617" s="2" t="s">
        <v>13</v>
      </c>
      <c r="D4617" s="2" t="s">
        <v>12</v>
      </c>
      <c r="E4617" s="2" t="s">
        <v>67</v>
      </c>
      <c r="F4617" s="2" t="str">
        <f>HYPERLINK("http://bbs.12365auto.com/postcontent.aspx?tID=194694","http://bbs.12365auto.com/postcontent.aspx?tID=194694")</f>
        <v>http://bbs.12365auto.com/postcontent.aspx?tID=194694</v>
      </c>
      <c r="G4617" s="2"/>
      <c r="H4617" s="2" t="s">
        <v>6565</v>
      </c>
      <c r="I4617" s="2" t="s">
        <v>15</v>
      </c>
      <c r="J4617" s="2" t="s">
        <v>6564</v>
      </c>
      <c r="K4617" s="2" t="s">
        <v>6560</v>
      </c>
      <c r="L4617" s="2">
        <f t="shared" si="72"/>
        <v>54</v>
      </c>
    </row>
    <row r="4618" spans="1:12" ht="25" customHeight="1">
      <c r="A4618" s="2" t="s">
        <v>12</v>
      </c>
      <c r="B4618" s="2" t="str">
        <f>HYPERLINK("http://bbs.12365auto.com/postcontent.aspx?tID=194696","上汽荣威360正时链条拉长希望尽快处理")</f>
        <v>上汽荣威360正时链条拉长希望尽快处理</v>
      </c>
      <c r="C4618" s="2" t="s">
        <v>13</v>
      </c>
      <c r="D4618" s="2" t="s">
        <v>12</v>
      </c>
      <c r="E4618" s="2" t="s">
        <v>6566</v>
      </c>
      <c r="F4618" s="2" t="str">
        <f>HYPERLINK("http://bbs.12365auto.com/postcontent.aspx?tID=194696","http://bbs.12365auto.com/postcontent.aspx?tID=194696")</f>
        <v>http://bbs.12365auto.com/postcontent.aspx?tID=194696</v>
      </c>
      <c r="G4618" s="2"/>
      <c r="H4618" s="2" t="s">
        <v>6567</v>
      </c>
      <c r="I4618" s="2" t="s">
        <v>15</v>
      </c>
      <c r="J4618" s="2" t="s">
        <v>6562</v>
      </c>
      <c r="K4618" s="2" t="s">
        <v>6560</v>
      </c>
      <c r="L4618" s="2">
        <f t="shared" si="72"/>
        <v>58</v>
      </c>
    </row>
    <row r="4619" spans="1:12" ht="25" customHeight="1">
      <c r="A4619" s="2" t="s">
        <v>12</v>
      </c>
      <c r="B4619" s="2" t="str">
        <f>HYPERLINK("http://bbs.12365auto.com/postcontent.aspx?tId=194696","上汽荣威360正时链条拉长希望尽快处理")</f>
        <v>上汽荣威360正时链条拉长希望尽快处理</v>
      </c>
      <c r="C4619" s="2" t="s">
        <v>13</v>
      </c>
      <c r="D4619" s="2" t="s">
        <v>12</v>
      </c>
      <c r="E4619" s="2" t="s">
        <v>6568</v>
      </c>
      <c r="F4619" s="2" t="str">
        <f>HYPERLINK("http://bbs.12365auto.com/postcontent.aspx?tId=194696","http://bbs.12365auto.com/postcontent.aspx?tId=194696")</f>
        <v>http://bbs.12365auto.com/postcontent.aspx?tId=194696</v>
      </c>
      <c r="G4619" s="2"/>
      <c r="H4619" s="2" t="s">
        <v>6561</v>
      </c>
      <c r="I4619" s="2" t="s">
        <v>15</v>
      </c>
      <c r="J4619" s="2" t="s">
        <v>6562</v>
      </c>
      <c r="K4619" s="2" t="s">
        <v>6560</v>
      </c>
      <c r="L4619" s="2">
        <f t="shared" si="72"/>
        <v>33</v>
      </c>
    </row>
    <row r="4620" spans="1:12" ht="25" customHeight="1">
      <c r="A4620" s="2" t="s">
        <v>12</v>
      </c>
      <c r="B4620" s="2" t="str">
        <f>HYPERLINK("http://bbs.12365auto.com/postcontent.aspx?tId=194694","上汽大众帕萨特A柱强度不够前轮异响")</f>
        <v>上汽大众帕萨特A柱强度不够前轮异响</v>
      </c>
      <c r="C4620" s="2" t="s">
        <v>13</v>
      </c>
      <c r="D4620" s="2" t="s">
        <v>12</v>
      </c>
      <c r="E4620" s="2" t="s">
        <v>66</v>
      </c>
      <c r="F4620" s="2" t="str">
        <f>HYPERLINK("http://bbs.12365auto.com/postcontent.aspx?tId=194694","http://bbs.12365auto.com/postcontent.aspx?tId=194694")</f>
        <v>http://bbs.12365auto.com/postcontent.aspx?tId=194694</v>
      </c>
      <c r="G4620" s="2"/>
      <c r="H4620" s="2" t="s">
        <v>6563</v>
      </c>
      <c r="I4620" s="2" t="s">
        <v>15</v>
      </c>
      <c r="J4620" s="2" t="s">
        <v>6564</v>
      </c>
      <c r="K4620" s="2" t="s">
        <v>6560</v>
      </c>
      <c r="L4620" s="2">
        <f t="shared" si="72"/>
        <v>30</v>
      </c>
    </row>
    <row r="4621" spans="1:12" ht="25" customHeight="1">
      <c r="A4621" s="2" t="s">
        <v>12</v>
      </c>
      <c r="B4621" s="2" t="str">
        <f>HYPERLINK("http://bbs.12365auto.com/postcontent.aspx?tID=194695","CS9行驶中底盘有异响售后不处理")</f>
        <v>CS9行驶中底盘有异响售后不处理</v>
      </c>
      <c r="C4621" s="2" t="s">
        <v>13</v>
      </c>
      <c r="D4621" s="2" t="s">
        <v>12</v>
      </c>
      <c r="E4621" s="2" t="s">
        <v>67</v>
      </c>
      <c r="F4621" s="2" t="str">
        <f>HYPERLINK("http://bbs.12365auto.com/postcontent.aspx?tID=194695","http://bbs.12365auto.com/postcontent.aspx?tID=194695")</f>
        <v>http://bbs.12365auto.com/postcontent.aspx?tID=194695</v>
      </c>
      <c r="G4621" s="2"/>
      <c r="H4621" s="2" t="s">
        <v>6569</v>
      </c>
      <c r="I4621" s="2" t="s">
        <v>15</v>
      </c>
      <c r="J4621" s="2" t="s">
        <v>4134</v>
      </c>
      <c r="K4621" s="2" t="s">
        <v>6560</v>
      </c>
      <c r="L4621" s="2">
        <f t="shared" si="72"/>
        <v>73</v>
      </c>
    </row>
    <row r="4622" spans="1:12" ht="25" customHeight="1">
      <c r="A4622" s="2" t="s">
        <v>12</v>
      </c>
      <c r="B4622" s="2" t="str">
        <f>HYPERLINK("http://bbs.12365auto.com/postcontent.aspx?tId=194695","CS9行驶中底盘有异响售后不处理")</f>
        <v>CS9行驶中底盘有异响售后不处理</v>
      </c>
      <c r="C4622" s="2" t="s">
        <v>13</v>
      </c>
      <c r="D4622" s="2" t="s">
        <v>12</v>
      </c>
      <c r="E4622" s="2" t="s">
        <v>66</v>
      </c>
      <c r="F4622" s="2" t="str">
        <f>HYPERLINK("http://bbs.12365auto.com/postcontent.aspx?tId=194695","http://bbs.12365auto.com/postcontent.aspx?tId=194695")</f>
        <v>http://bbs.12365auto.com/postcontent.aspx?tId=194695</v>
      </c>
      <c r="G4622" s="2"/>
      <c r="H4622" s="2" t="s">
        <v>6559</v>
      </c>
      <c r="I4622" s="2" t="s">
        <v>15</v>
      </c>
      <c r="J4622" s="2" t="s">
        <v>4134</v>
      </c>
      <c r="K4622" s="2" t="s">
        <v>6560</v>
      </c>
      <c r="L4622" s="2">
        <f t="shared" si="72"/>
        <v>57</v>
      </c>
    </row>
    <row r="4623" spans="1:12" ht="25" customHeight="1">
      <c r="A4623" s="2" t="s">
        <v>12</v>
      </c>
      <c r="B4623" s="2" t="str">
        <f>HYPERLINK("http://m.12365auto.com/bbs/postcontent.aspx?tID=194693","一汽丰田RAV4荣放发动机报警不显示挡位")</f>
        <v>一汽丰田RAV4荣放发动机报警不显示挡位</v>
      </c>
      <c r="C4623" s="2" t="s">
        <v>13</v>
      </c>
      <c r="D4623" s="2" t="s">
        <v>23</v>
      </c>
      <c r="E4623" s="2"/>
      <c r="F4623" s="2" t="str">
        <f>HYPERLINK("http://m.12365auto.com/bbs/postcontent.aspx?tID=194693","http://m.12365auto.com/bbs/postcontent.aspx?tID=194693")</f>
        <v>http://m.12365auto.com/bbs/postcontent.aspx?tID=194693</v>
      </c>
      <c r="G4623" s="2"/>
      <c r="H4623" s="2" t="s">
        <v>6570</v>
      </c>
      <c r="I4623" s="2" t="s">
        <v>15</v>
      </c>
      <c r="J4623" s="2" t="s">
        <v>6571</v>
      </c>
      <c r="K4623" s="2" t="s">
        <v>6572</v>
      </c>
      <c r="L4623" s="2">
        <f t="shared" si="72"/>
        <v>67</v>
      </c>
    </row>
    <row r="4624" spans="1:12" ht="25" customHeight="1">
      <c r="A4624" s="2" t="s">
        <v>12</v>
      </c>
      <c r="B4624" s="2" t="str">
        <f>HYPERLINK("http://bbs.12365auto.com/postcontent.aspx?tId=194691","华晨宝马1系刹车片异常磨损")</f>
        <v>华晨宝马1系刹车片异常磨损</v>
      </c>
      <c r="C4624" s="2" t="s">
        <v>13</v>
      </c>
      <c r="D4624" s="2" t="s">
        <v>12</v>
      </c>
      <c r="E4624" s="2" t="s">
        <v>66</v>
      </c>
      <c r="F4624" s="2" t="str">
        <f>HYPERLINK("http://bbs.12365auto.com/postcontent.aspx?tId=194691","http://bbs.12365auto.com/postcontent.aspx?tId=194691")</f>
        <v>http://bbs.12365auto.com/postcontent.aspx?tId=194691</v>
      </c>
      <c r="G4624" s="2"/>
      <c r="H4624" s="2" t="s">
        <v>6573</v>
      </c>
      <c r="I4624" s="2" t="s">
        <v>15</v>
      </c>
      <c r="J4624" s="2" t="s">
        <v>6574</v>
      </c>
      <c r="K4624" s="2" t="s">
        <v>6572</v>
      </c>
      <c r="L4624" s="2">
        <f t="shared" si="72"/>
        <v>36</v>
      </c>
    </row>
    <row r="4625" spans="1:12" ht="25" customHeight="1">
      <c r="A4625" s="2" t="s">
        <v>12</v>
      </c>
      <c r="B4625" s="2" t="str">
        <f>HYPERLINK("http://bbs.12365auto.com/postcontent.aspx?tID=194690","艾瑞泽5踩刹车抖动故障灯也亮了")</f>
        <v>艾瑞泽5踩刹车抖动故障灯也亮了</v>
      </c>
      <c r="C4625" s="2" t="s">
        <v>13</v>
      </c>
      <c r="D4625" s="2" t="s">
        <v>12</v>
      </c>
      <c r="E4625" s="2" t="s">
        <v>67</v>
      </c>
      <c r="F4625" s="2" t="str">
        <f>HYPERLINK("http://bbs.12365auto.com/postcontent.aspx?tID=194690","http://bbs.12365auto.com/postcontent.aspx?tID=194690")</f>
        <v>http://bbs.12365auto.com/postcontent.aspx?tID=194690</v>
      </c>
      <c r="G4625" s="2"/>
      <c r="H4625" s="2" t="s">
        <v>6575</v>
      </c>
      <c r="I4625" s="2" t="s">
        <v>15</v>
      </c>
      <c r="J4625" s="2" t="s">
        <v>4145</v>
      </c>
      <c r="K4625" s="2" t="s">
        <v>6572</v>
      </c>
      <c r="L4625" s="2">
        <f t="shared" si="72"/>
        <v>150</v>
      </c>
    </row>
    <row r="4626" spans="1:12" ht="25" customHeight="1">
      <c r="A4626" s="2" t="s">
        <v>12</v>
      </c>
      <c r="B4626" s="2" t="str">
        <f>HYPERLINK("http://bbs.12365auto.com/postcontent.aspx?tId=194693","一汽丰田RAV4荣放发动机报警不显示挡位")</f>
        <v>一汽丰田RAV4荣放发动机报警不显示挡位</v>
      </c>
      <c r="C4626" s="2" t="s">
        <v>13</v>
      </c>
      <c r="D4626" s="2" t="s">
        <v>12</v>
      </c>
      <c r="E4626" s="2" t="s">
        <v>66</v>
      </c>
      <c r="F4626" s="2" t="str">
        <f>HYPERLINK("http://bbs.12365auto.com/postcontent.aspx?tId=194693","http://bbs.12365auto.com/postcontent.aspx?tId=194693")</f>
        <v>http://bbs.12365auto.com/postcontent.aspx?tId=194693</v>
      </c>
      <c r="G4626" s="2"/>
      <c r="H4626" s="2" t="s">
        <v>6570</v>
      </c>
      <c r="I4626" s="2" t="s">
        <v>15</v>
      </c>
      <c r="J4626" s="2" t="s">
        <v>6571</v>
      </c>
      <c r="K4626" s="2" t="s">
        <v>6572</v>
      </c>
      <c r="L4626" s="2">
        <f t="shared" si="72"/>
        <v>67</v>
      </c>
    </row>
    <row r="4627" spans="1:12" ht="25" customHeight="1">
      <c r="A4627" s="2" t="s">
        <v>12</v>
      </c>
      <c r="B4627" s="2" t="str">
        <f>HYPERLINK("http://bbs.12365auto.com/postcontent.aspx?tID=194693","一汽丰田RAV4荣放发动机报警不显示挡位")</f>
        <v>一汽丰田RAV4荣放发动机报警不显示挡位</v>
      </c>
      <c r="C4627" s="2" t="s">
        <v>13</v>
      </c>
      <c r="D4627" s="2" t="s">
        <v>12</v>
      </c>
      <c r="E4627" s="2" t="s">
        <v>67</v>
      </c>
      <c r="F4627" s="2" t="str">
        <f>HYPERLINK("http://bbs.12365auto.com/postcontent.aspx?tID=194693","http://bbs.12365auto.com/postcontent.aspx?tID=194693")</f>
        <v>http://bbs.12365auto.com/postcontent.aspx?tID=194693</v>
      </c>
      <c r="G4627" s="2"/>
      <c r="H4627" s="2" t="s">
        <v>6576</v>
      </c>
      <c r="I4627" s="2" t="s">
        <v>15</v>
      </c>
      <c r="J4627" s="2" t="s">
        <v>6571</v>
      </c>
      <c r="K4627" s="2" t="s">
        <v>6572</v>
      </c>
      <c r="L4627" s="2">
        <f t="shared" si="72"/>
        <v>87</v>
      </c>
    </row>
    <row r="4628" spans="1:12" ht="25" customHeight="1">
      <c r="A4628" s="2" t="s">
        <v>12</v>
      </c>
      <c r="B4628" s="2" t="str">
        <f>HYPERLINK("http://bbs.12365auto.com/postcontent.aspx?tID=194692","轩逸空调压缩机异响空调质量不行呀")</f>
        <v>轩逸空调压缩机异响空调质量不行呀</v>
      </c>
      <c r="C4628" s="2" t="s">
        <v>13</v>
      </c>
      <c r="D4628" s="2" t="s">
        <v>12</v>
      </c>
      <c r="E4628" s="2" t="s">
        <v>67</v>
      </c>
      <c r="F4628" s="2" t="str">
        <f>HYPERLINK("http://bbs.12365auto.com/postcontent.aspx?tID=194692","http://bbs.12365auto.com/postcontent.aspx?tID=194692")</f>
        <v>http://bbs.12365auto.com/postcontent.aspx?tID=194692</v>
      </c>
      <c r="G4628" s="2"/>
      <c r="H4628" s="2" t="s">
        <v>6577</v>
      </c>
      <c r="I4628" s="2" t="s">
        <v>15</v>
      </c>
      <c r="J4628" s="2" t="s">
        <v>4138</v>
      </c>
      <c r="K4628" s="2" t="s">
        <v>6572</v>
      </c>
      <c r="L4628" s="2">
        <f t="shared" si="72"/>
        <v>120</v>
      </c>
    </row>
    <row r="4629" spans="1:12" ht="25" customHeight="1">
      <c r="A4629" s="2" t="s">
        <v>12</v>
      </c>
      <c r="B4629" s="2" t="str">
        <f>HYPERLINK("http://bbs.12365auto.com/postcontent.aspx?tID=194691","华晨宝马1系刹车片异常磨损")</f>
        <v>华晨宝马1系刹车片异常磨损</v>
      </c>
      <c r="C4629" s="2" t="s">
        <v>13</v>
      </c>
      <c r="D4629" s="2" t="s">
        <v>12</v>
      </c>
      <c r="E4629" s="2" t="s">
        <v>67</v>
      </c>
      <c r="F4629" s="2" t="str">
        <f>HYPERLINK("http://bbs.12365auto.com/postcontent.aspx?tID=194691","http://bbs.12365auto.com/postcontent.aspx?tID=194691")</f>
        <v>http://bbs.12365auto.com/postcontent.aspx?tID=194691</v>
      </c>
      <c r="G4629" s="2"/>
      <c r="H4629" s="2" t="s">
        <v>6578</v>
      </c>
      <c r="I4629" s="2" t="s">
        <v>15</v>
      </c>
      <c r="J4629" s="2" t="s">
        <v>6574</v>
      </c>
      <c r="K4629" s="2" t="s">
        <v>6572</v>
      </c>
      <c r="L4629" s="2">
        <f t="shared" si="72"/>
        <v>49</v>
      </c>
    </row>
    <row r="4630" spans="1:12" ht="25" customHeight="1">
      <c r="A4630" s="2" t="s">
        <v>12</v>
      </c>
      <c r="B4630" s="2" t="str">
        <f>HYPERLINK("http://bbs.12365auto.com/postcontent.aspx?tId=194690","艾瑞泽5踩刹车抖动故障灯也亮了")</f>
        <v>艾瑞泽5踩刹车抖动故障灯也亮了</v>
      </c>
      <c r="C4630" s="2" t="s">
        <v>13</v>
      </c>
      <c r="D4630" s="2" t="s">
        <v>12</v>
      </c>
      <c r="E4630" s="2" t="s">
        <v>66</v>
      </c>
      <c r="F4630" s="2" t="str">
        <f>HYPERLINK("http://bbs.12365auto.com/postcontent.aspx?tId=194690","http://bbs.12365auto.com/postcontent.aspx?tId=194690")</f>
        <v>http://bbs.12365auto.com/postcontent.aspx?tId=194690</v>
      </c>
      <c r="G4630" s="2"/>
      <c r="H4630" s="2" t="s">
        <v>6579</v>
      </c>
      <c r="I4630" s="2" t="s">
        <v>15</v>
      </c>
      <c r="J4630" s="2" t="s">
        <v>4145</v>
      </c>
      <c r="K4630" s="2" t="s">
        <v>6572</v>
      </c>
      <c r="L4630" s="2">
        <f t="shared" si="72"/>
        <v>150</v>
      </c>
    </row>
    <row r="4631" spans="1:12" ht="25" customHeight="1">
      <c r="A4631" s="2" t="s">
        <v>12</v>
      </c>
      <c r="B4631" s="2" t="str">
        <f>HYPERLINK("http://bbs.12365auto.com/postcontent.aspx?tId=194692","轩逸空调压缩机异响空调质量不行呀")</f>
        <v>轩逸空调压缩机异响空调质量不行呀</v>
      </c>
      <c r="C4631" s="2" t="s">
        <v>13</v>
      </c>
      <c r="D4631" s="2" t="s">
        <v>12</v>
      </c>
      <c r="E4631" s="2" t="s">
        <v>66</v>
      </c>
      <c r="F4631" s="2" t="str">
        <f>HYPERLINK("http://bbs.12365auto.com/postcontent.aspx?tId=194692","http://bbs.12365auto.com/postcontent.aspx?tId=194692")</f>
        <v>http://bbs.12365auto.com/postcontent.aspx?tId=194692</v>
      </c>
      <c r="G4631" s="2"/>
      <c r="H4631" s="2" t="s">
        <v>6580</v>
      </c>
      <c r="I4631" s="2" t="s">
        <v>15</v>
      </c>
      <c r="J4631" s="2" t="s">
        <v>4138</v>
      </c>
      <c r="K4631" s="2" t="s">
        <v>6572</v>
      </c>
      <c r="L4631" s="2">
        <f t="shared" si="72"/>
        <v>134</v>
      </c>
    </row>
    <row r="4632" spans="1:12" ht="25" customHeight="1">
      <c r="A4632" s="2" t="s">
        <v>12</v>
      </c>
      <c r="B4632" s="2" t="str">
        <f>HYPERLINK("http://bbs.12365auto.com/postcontent.aspx?tID=194689","广汽本田冠道行驶跑偏影响安全")</f>
        <v>广汽本田冠道行驶跑偏影响安全</v>
      </c>
      <c r="C4632" s="2" t="s">
        <v>13</v>
      </c>
      <c r="D4632" s="2" t="s">
        <v>12</v>
      </c>
      <c r="E4632" s="2" t="s">
        <v>67</v>
      </c>
      <c r="F4632" s="2" t="str">
        <f>HYPERLINK("http://bbs.12365auto.com/postcontent.aspx?tID=194689","http://bbs.12365auto.com/postcontent.aspx?tID=194689")</f>
        <v>http://bbs.12365auto.com/postcontent.aspx?tID=194689</v>
      </c>
      <c r="G4632" s="2"/>
      <c r="H4632" s="2" t="s">
        <v>6581</v>
      </c>
      <c r="I4632" s="2" t="s">
        <v>15</v>
      </c>
      <c r="J4632" s="2" t="s">
        <v>6582</v>
      </c>
      <c r="K4632" s="2" t="s">
        <v>6583</v>
      </c>
      <c r="L4632" s="2">
        <f t="shared" si="72"/>
        <v>126</v>
      </c>
    </row>
    <row r="4633" spans="1:12" ht="25" customHeight="1">
      <c r="A4633" s="2" t="s">
        <v>12</v>
      </c>
      <c r="B4633" s="2" t="str">
        <f>HYPERLINK("http://bbs.12365auto.com/postcontent.aspx?tID=194688","欧蓝德转向时右前方异响")</f>
        <v>欧蓝德转向时右前方异响</v>
      </c>
      <c r="C4633" s="2" t="s">
        <v>13</v>
      </c>
      <c r="D4633" s="2" t="s">
        <v>12</v>
      </c>
      <c r="E4633" s="2" t="s">
        <v>67</v>
      </c>
      <c r="F4633" s="2" t="str">
        <f>HYPERLINK("http://bbs.12365auto.com/postcontent.aspx?tID=194688","http://bbs.12365auto.com/postcontent.aspx?tID=194688")</f>
        <v>http://bbs.12365auto.com/postcontent.aspx?tID=194688</v>
      </c>
      <c r="G4633" s="2"/>
      <c r="H4633" s="2" t="s">
        <v>6584</v>
      </c>
      <c r="I4633" s="2" t="s">
        <v>15</v>
      </c>
      <c r="J4633" s="2" t="s">
        <v>4142</v>
      </c>
      <c r="K4633" s="2" t="s">
        <v>6583</v>
      </c>
      <c r="L4633" s="2">
        <f t="shared" si="72"/>
        <v>150</v>
      </c>
    </row>
    <row r="4634" spans="1:12" ht="25" customHeight="1">
      <c r="A4634" s="2" t="s">
        <v>12</v>
      </c>
      <c r="B4634" s="2" t="str">
        <f>HYPERLINK("http://bbs.12365auto.com/postcontent.aspx?tId=194689","广汽本田冠道行驶跑偏影响安全")</f>
        <v>广汽本田冠道行驶跑偏影响安全</v>
      </c>
      <c r="C4634" s="2" t="s">
        <v>13</v>
      </c>
      <c r="D4634" s="2" t="s">
        <v>12</v>
      </c>
      <c r="E4634" s="2" t="s">
        <v>66</v>
      </c>
      <c r="F4634" s="2" t="str">
        <f>HYPERLINK("http://bbs.12365auto.com/postcontent.aspx?tId=194689","http://bbs.12365auto.com/postcontent.aspx?tId=194689")</f>
        <v>http://bbs.12365auto.com/postcontent.aspx?tId=194689</v>
      </c>
      <c r="G4634" s="2"/>
      <c r="H4634" s="2" t="s">
        <v>6585</v>
      </c>
      <c r="I4634" s="2" t="s">
        <v>15</v>
      </c>
      <c r="J4634" s="2" t="s">
        <v>6582</v>
      </c>
      <c r="K4634" s="2" t="s">
        <v>6583</v>
      </c>
      <c r="L4634" s="2">
        <f t="shared" si="72"/>
        <v>112</v>
      </c>
    </row>
    <row r="4635" spans="1:12" ht="25" customHeight="1">
      <c r="A4635" s="2" t="s">
        <v>12</v>
      </c>
      <c r="B4635" s="2" t="str">
        <f>HYPERLINK("http://bbs.12365auto.com/postcontent.aspx?tId=194688","欧蓝德转向时右前方异响")</f>
        <v>欧蓝德转向时右前方异响</v>
      </c>
      <c r="C4635" s="2" t="s">
        <v>13</v>
      </c>
      <c r="D4635" s="2" t="s">
        <v>12</v>
      </c>
      <c r="E4635" s="2" t="s">
        <v>66</v>
      </c>
      <c r="F4635" s="2" t="str">
        <f>HYPERLINK("http://bbs.12365auto.com/postcontent.aspx?tId=194688","http://bbs.12365auto.com/postcontent.aspx?tId=194688")</f>
        <v>http://bbs.12365auto.com/postcontent.aspx?tId=194688</v>
      </c>
      <c r="G4635" s="2"/>
      <c r="H4635" s="2" t="s">
        <v>6586</v>
      </c>
      <c r="I4635" s="2" t="s">
        <v>15</v>
      </c>
      <c r="J4635" s="2" t="s">
        <v>4142</v>
      </c>
      <c r="K4635" s="2" t="s">
        <v>6583</v>
      </c>
      <c r="L4635" s="2">
        <f t="shared" si="72"/>
        <v>150</v>
      </c>
    </row>
    <row r="4636" spans="1:12" ht="25" customHeight="1">
      <c r="A4636" s="2" t="s">
        <v>12</v>
      </c>
      <c r="B4636" s="2" t="str">
        <f>HYPERLINK("http://bbs.12365auto.com/postcontent.aspx?tID=194687","飞度电瓶亏电发动机也不着火了怎么办")</f>
        <v>飞度电瓶亏电发动机也不着火了怎么办</v>
      </c>
      <c r="C4636" s="2" t="s">
        <v>13</v>
      </c>
      <c r="D4636" s="2" t="s">
        <v>12</v>
      </c>
      <c r="E4636" s="2" t="s">
        <v>67</v>
      </c>
      <c r="F4636" s="2" t="str">
        <f>HYPERLINK("http://bbs.12365auto.com/postcontent.aspx?tID=194687","http://bbs.12365auto.com/postcontent.aspx?tID=194687")</f>
        <v>http://bbs.12365auto.com/postcontent.aspx?tID=194687</v>
      </c>
      <c r="G4636" s="2"/>
      <c r="H4636" s="2" t="s">
        <v>6587</v>
      </c>
      <c r="I4636" s="2" t="s">
        <v>15</v>
      </c>
      <c r="J4636" s="2" t="s">
        <v>4152</v>
      </c>
      <c r="K4636" s="2" t="s">
        <v>6588</v>
      </c>
      <c r="L4636" s="2">
        <f t="shared" si="72"/>
        <v>150</v>
      </c>
    </row>
    <row r="4637" spans="1:12" ht="25" customHeight="1">
      <c r="A4637" s="2" t="s">
        <v>12</v>
      </c>
      <c r="B4637" s="2" t="str">
        <f>HYPERLINK("http://bbs.12365auto.com/postcontent.aspx?tId=194687","飞度电瓶亏电发动机也不着火了怎么办")</f>
        <v>飞度电瓶亏电发动机也不着火了怎么办</v>
      </c>
      <c r="C4637" s="2" t="s">
        <v>13</v>
      </c>
      <c r="D4637" s="2" t="s">
        <v>12</v>
      </c>
      <c r="E4637" s="2" t="s">
        <v>66</v>
      </c>
      <c r="F4637" s="2" t="str">
        <f>HYPERLINK("http://bbs.12365auto.com/postcontent.aspx?tId=194687","http://bbs.12365auto.com/postcontent.aspx?tId=194687")</f>
        <v>http://bbs.12365auto.com/postcontent.aspx?tId=194687</v>
      </c>
      <c r="G4637" s="2"/>
      <c r="H4637" s="2" t="s">
        <v>6589</v>
      </c>
      <c r="I4637" s="2" t="s">
        <v>15</v>
      </c>
      <c r="J4637" s="2" t="s">
        <v>4152</v>
      </c>
      <c r="K4637" s="2" t="s">
        <v>6588</v>
      </c>
      <c r="L4637" s="2">
        <f t="shared" si="72"/>
        <v>150</v>
      </c>
    </row>
    <row r="4638" spans="1:12" ht="25" customHeight="1">
      <c r="A4638" s="2" t="s">
        <v>12</v>
      </c>
      <c r="B4638" s="2" t="str">
        <f>HYPERLINK("http://bbs.12365auto.com/postcontent.aspx?tId=194685","上汽大众帕萨特A柱碰撞测试不合格")</f>
        <v>上汽大众帕萨特A柱碰撞测试不合格</v>
      </c>
      <c r="C4638" s="2" t="s">
        <v>13</v>
      </c>
      <c r="D4638" s="2" t="s">
        <v>12</v>
      </c>
      <c r="E4638" s="2" t="s">
        <v>66</v>
      </c>
      <c r="F4638" s="2" t="str">
        <f>HYPERLINK("http://bbs.12365auto.com/postcontent.aspx?tId=194685","http://bbs.12365auto.com/postcontent.aspx?tId=194685")</f>
        <v>http://bbs.12365auto.com/postcontent.aspx?tId=194685</v>
      </c>
      <c r="G4638" s="2"/>
      <c r="H4638" s="2" t="s">
        <v>6590</v>
      </c>
      <c r="I4638" s="2" t="s">
        <v>15</v>
      </c>
      <c r="J4638" s="2" t="s">
        <v>6591</v>
      </c>
      <c r="K4638" s="2" t="s">
        <v>6592</v>
      </c>
      <c r="L4638" s="2">
        <f t="shared" si="72"/>
        <v>56</v>
      </c>
    </row>
    <row r="4639" spans="1:12" ht="25" customHeight="1">
      <c r="A4639" s="2" t="s">
        <v>12</v>
      </c>
      <c r="B4639" s="2" t="str">
        <f>HYPERLINK("http://bbs.12365auto.com/postcontent.aspx?tID=194685","上汽大众帕萨特A柱碰撞测试不合格")</f>
        <v>上汽大众帕萨特A柱碰撞测试不合格</v>
      </c>
      <c r="C4639" s="2" t="s">
        <v>13</v>
      </c>
      <c r="D4639" s="2" t="s">
        <v>12</v>
      </c>
      <c r="E4639" s="2" t="s">
        <v>67</v>
      </c>
      <c r="F4639" s="2" t="str">
        <f>HYPERLINK("http://bbs.12365auto.com/postcontent.aspx?tID=194685","http://bbs.12365auto.com/postcontent.aspx?tID=194685")</f>
        <v>http://bbs.12365auto.com/postcontent.aspx?tID=194685</v>
      </c>
      <c r="G4639" s="2"/>
      <c r="H4639" s="2" t="s">
        <v>6593</v>
      </c>
      <c r="I4639" s="2" t="s">
        <v>15</v>
      </c>
      <c r="J4639" s="2" t="s">
        <v>6591</v>
      </c>
      <c r="K4639" s="2" t="s">
        <v>6592</v>
      </c>
      <c r="L4639" s="2">
        <f t="shared" si="72"/>
        <v>72</v>
      </c>
    </row>
    <row r="4640" spans="1:12" ht="25" customHeight="1">
      <c r="A4640" s="2" t="s">
        <v>12</v>
      </c>
      <c r="B4640" s="2" t="str">
        <f>HYPERLINK("http://www.12365auto.com/zlts/20200220/447891.shtml","东风本田思域优科豪马轮胎出现掉皮")</f>
        <v>东风本田思域优科豪马轮胎出现掉皮</v>
      </c>
      <c r="C4640" s="2" t="s">
        <v>13</v>
      </c>
      <c r="D4640" s="2" t="s">
        <v>12</v>
      </c>
      <c r="E4640" s="2" t="s">
        <v>17</v>
      </c>
      <c r="F4640" s="2" t="str">
        <f>HYPERLINK("http://www.12365auto.com/zlts/20200220/447891.shtml","http://www.12365auto.com/zlts/20200220/447891.shtml")</f>
        <v>http://www.12365auto.com/zlts/20200220/447891.shtml</v>
      </c>
      <c r="G4640" s="2"/>
      <c r="H4640" s="2" t="s">
        <v>6594</v>
      </c>
      <c r="I4640" s="2" t="s">
        <v>19</v>
      </c>
      <c r="J4640" s="2" t="s">
        <v>12</v>
      </c>
      <c r="K4640" s="2" t="s">
        <v>6595</v>
      </c>
      <c r="L4640" s="2">
        <f t="shared" si="72"/>
        <v>150</v>
      </c>
    </row>
    <row r="4641" spans="1:12" ht="25" customHeight="1">
      <c r="A4641" s="2" t="s">
        <v>12</v>
      </c>
      <c r="B4641" s="2" t="str">
        <f>HYPERLINK("http://bbs.12365auto.com/postcontent.aspx?tID=194682","上汽名爵3正时链条拉长导致故障灯亮")</f>
        <v>上汽名爵3正时链条拉长导致故障灯亮</v>
      </c>
      <c r="C4641" s="2" t="s">
        <v>13</v>
      </c>
      <c r="D4641" s="2" t="s">
        <v>12</v>
      </c>
      <c r="E4641" s="2" t="s">
        <v>67</v>
      </c>
      <c r="F4641" s="2" t="str">
        <f>HYPERLINK("http://bbs.12365auto.com/postcontent.aspx?tID=194682","http://bbs.12365auto.com/postcontent.aspx?tID=194682")</f>
        <v>http://bbs.12365auto.com/postcontent.aspx?tID=194682</v>
      </c>
      <c r="G4641" s="2"/>
      <c r="H4641" s="2" t="s">
        <v>6596</v>
      </c>
      <c r="I4641" s="2" t="s">
        <v>15</v>
      </c>
      <c r="J4641" s="2" t="s">
        <v>6597</v>
      </c>
      <c r="K4641" s="2" t="s">
        <v>6595</v>
      </c>
      <c r="L4641" s="2">
        <f t="shared" si="72"/>
        <v>150</v>
      </c>
    </row>
    <row r="4642" spans="1:12" ht="25" customHeight="1">
      <c r="A4642" s="2" t="s">
        <v>12</v>
      </c>
      <c r="B4642" s="2" t="str">
        <f>HYPERLINK("http://bbs.12365auto.com/postcontent.aspx?tID=194683","华晨宝马5系后刹车片异常磨损")</f>
        <v>华晨宝马5系后刹车片异常磨损</v>
      </c>
      <c r="C4642" s="2" t="s">
        <v>13</v>
      </c>
      <c r="D4642" s="2" t="s">
        <v>12</v>
      </c>
      <c r="E4642" s="2" t="s">
        <v>67</v>
      </c>
      <c r="F4642" s="2" t="str">
        <f>HYPERLINK("http://bbs.12365auto.com/postcontent.aspx?tID=194683","http://bbs.12365auto.com/postcontent.aspx?tID=194683")</f>
        <v>http://bbs.12365auto.com/postcontent.aspx?tID=194683</v>
      </c>
      <c r="G4642" s="2"/>
      <c r="H4642" s="2" t="s">
        <v>6598</v>
      </c>
      <c r="I4642" s="2" t="s">
        <v>15</v>
      </c>
      <c r="J4642" s="2" t="s">
        <v>6599</v>
      </c>
      <c r="K4642" s="2" t="s">
        <v>6595</v>
      </c>
      <c r="L4642" s="2">
        <f t="shared" si="72"/>
        <v>150</v>
      </c>
    </row>
    <row r="4643" spans="1:12" ht="25" customHeight="1">
      <c r="A4643" s="2" t="s">
        <v>12</v>
      </c>
      <c r="B4643" s="2" t="str">
        <f>HYPERLINK("http://bbs.12365auto.com/postcontent.aspx?tID=194684","瑞虎8变速箱有异响开车真受罪")</f>
        <v>瑞虎8变速箱有异响开车真受罪</v>
      </c>
      <c r="C4643" s="2" t="s">
        <v>13</v>
      </c>
      <c r="D4643" s="2" t="s">
        <v>12</v>
      </c>
      <c r="E4643" s="2" t="s">
        <v>67</v>
      </c>
      <c r="F4643" s="2" t="str">
        <f>HYPERLINK("http://bbs.12365auto.com/postcontent.aspx?tID=194684","http://bbs.12365auto.com/postcontent.aspx?tID=194684")</f>
        <v>http://bbs.12365auto.com/postcontent.aspx?tID=194684</v>
      </c>
      <c r="G4643" s="2"/>
      <c r="H4643" s="2" t="s">
        <v>6600</v>
      </c>
      <c r="I4643" s="2" t="s">
        <v>15</v>
      </c>
      <c r="J4643" s="2" t="s">
        <v>4152</v>
      </c>
      <c r="K4643" s="2" t="s">
        <v>6595</v>
      </c>
      <c r="L4643" s="2">
        <f t="shared" si="72"/>
        <v>150</v>
      </c>
    </row>
    <row r="4644" spans="1:12" ht="25" customHeight="1">
      <c r="A4644" s="2" t="s">
        <v>12</v>
      </c>
      <c r="B4644" s="2" t="str">
        <f>HYPERLINK("http://bbs.12365auto.com/postcontent.aspx?tId=194682","上汽名爵3正时链条拉长导致故障灯亮")</f>
        <v>上汽名爵3正时链条拉长导致故障灯亮</v>
      </c>
      <c r="C4644" s="2" t="s">
        <v>13</v>
      </c>
      <c r="D4644" s="2" t="s">
        <v>12</v>
      </c>
      <c r="E4644" s="2" t="s">
        <v>66</v>
      </c>
      <c r="F4644" s="2" t="str">
        <f>HYPERLINK("http://bbs.12365auto.com/postcontent.aspx?tId=194682","http://bbs.12365auto.com/postcontent.aspx?tId=194682")</f>
        <v>http://bbs.12365auto.com/postcontent.aspx?tId=194682</v>
      </c>
      <c r="G4644" s="2"/>
      <c r="H4644" s="2" t="s">
        <v>6601</v>
      </c>
      <c r="I4644" s="2" t="s">
        <v>15</v>
      </c>
      <c r="J4644" s="2" t="s">
        <v>6597</v>
      </c>
      <c r="K4644" s="2" t="s">
        <v>6595</v>
      </c>
      <c r="L4644" s="2">
        <f t="shared" si="72"/>
        <v>150</v>
      </c>
    </row>
    <row r="4645" spans="1:12" ht="25" customHeight="1">
      <c r="A4645" s="2" t="s">
        <v>12</v>
      </c>
      <c r="B4645" s="2" t="str">
        <f>HYPERLINK("http://bbs.12365auto.com/postcontent.aspx?tId=194684","瑞虎8变速箱有异响开车真受罪")</f>
        <v>瑞虎8变速箱有异响开车真受罪</v>
      </c>
      <c r="C4645" s="2" t="s">
        <v>13</v>
      </c>
      <c r="D4645" s="2" t="s">
        <v>12</v>
      </c>
      <c r="E4645" s="2" t="s">
        <v>66</v>
      </c>
      <c r="F4645" s="2" t="str">
        <f>HYPERLINK("http://bbs.12365auto.com/postcontent.aspx?tId=194684","http://bbs.12365auto.com/postcontent.aspx?tId=194684")</f>
        <v>http://bbs.12365auto.com/postcontent.aspx?tId=194684</v>
      </c>
      <c r="G4645" s="2"/>
      <c r="H4645" s="2" t="s">
        <v>6602</v>
      </c>
      <c r="I4645" s="2" t="s">
        <v>15</v>
      </c>
      <c r="J4645" s="2" t="s">
        <v>4152</v>
      </c>
      <c r="K4645" s="2" t="s">
        <v>6595</v>
      </c>
      <c r="L4645" s="2">
        <f t="shared" si="72"/>
        <v>150</v>
      </c>
    </row>
    <row r="4646" spans="1:12" ht="25" customHeight="1">
      <c r="A4646" s="2" t="s">
        <v>12</v>
      </c>
      <c r="B4646" s="2" t="str">
        <f>HYPERLINK("http://bbs.12365auto.com/postcontent.aspx?tId=194683","华晨宝马5系后刹车片异常磨损")</f>
        <v>华晨宝马5系后刹车片异常磨损</v>
      </c>
      <c r="C4646" s="2" t="s">
        <v>13</v>
      </c>
      <c r="D4646" s="2" t="s">
        <v>12</v>
      </c>
      <c r="E4646" s="2" t="s">
        <v>66</v>
      </c>
      <c r="F4646" s="2" t="str">
        <f>HYPERLINK("http://bbs.12365auto.com/postcontent.aspx?tId=194683","http://bbs.12365auto.com/postcontent.aspx?tId=194683")</f>
        <v>http://bbs.12365auto.com/postcontent.aspx?tId=194683</v>
      </c>
      <c r="G4646" s="2"/>
      <c r="H4646" s="2" t="s">
        <v>6603</v>
      </c>
      <c r="I4646" s="2" t="s">
        <v>15</v>
      </c>
      <c r="J4646" s="2" t="s">
        <v>6599</v>
      </c>
      <c r="K4646" s="2" t="s">
        <v>6595</v>
      </c>
      <c r="L4646" s="2">
        <f t="shared" si="72"/>
        <v>150</v>
      </c>
    </row>
    <row r="4647" spans="1:12" ht="25" customHeight="1">
      <c r="A4647" s="2" t="s">
        <v>12</v>
      </c>
      <c r="B4647" s="2" t="str">
        <f>HYPERLINK("http://bbs.12365auto.com/postcontent.aspx?tID=194681","一汽大众捷达VS5主座椅下面线束插头没插")</f>
        <v>一汽大众捷达VS5主座椅下面线束插头没插</v>
      </c>
      <c r="C4647" s="2" t="s">
        <v>13</v>
      </c>
      <c r="D4647" s="2" t="s">
        <v>12</v>
      </c>
      <c r="E4647" s="2" t="s">
        <v>67</v>
      </c>
      <c r="F4647" s="2" t="str">
        <f>HYPERLINK("http://bbs.12365auto.com/postcontent.aspx?tID=194681","http://bbs.12365auto.com/postcontent.aspx?tID=194681")</f>
        <v>http://bbs.12365auto.com/postcontent.aspx?tID=194681</v>
      </c>
      <c r="G4647" s="2"/>
      <c r="H4647" s="2" t="s">
        <v>6604</v>
      </c>
      <c r="I4647" s="2" t="s">
        <v>15</v>
      </c>
      <c r="J4647" s="2" t="s">
        <v>6605</v>
      </c>
      <c r="K4647" s="2" t="s">
        <v>6606</v>
      </c>
      <c r="L4647" s="2">
        <f t="shared" si="72"/>
        <v>74</v>
      </c>
    </row>
    <row r="4648" spans="1:12" ht="25" customHeight="1">
      <c r="A4648" s="2" t="s">
        <v>12</v>
      </c>
      <c r="B4648" s="2" t="str">
        <f>HYPERLINK("http://bbs.12365auto.com/postcontent.aspx?tID=194679","一汽丰田锐志配件质量差导致频繁故障")</f>
        <v>一汽丰田锐志配件质量差导致频繁故障</v>
      </c>
      <c r="C4648" s="2" t="s">
        <v>13</v>
      </c>
      <c r="D4648" s="2" t="s">
        <v>12</v>
      </c>
      <c r="E4648" s="2" t="s">
        <v>67</v>
      </c>
      <c r="F4648" s="2" t="str">
        <f>HYPERLINK("http://bbs.12365auto.com/postcontent.aspx?tID=194679","http://bbs.12365auto.com/postcontent.aspx?tID=194679")</f>
        <v>http://bbs.12365auto.com/postcontent.aspx?tID=194679</v>
      </c>
      <c r="G4648" s="2"/>
      <c r="H4648" s="2" t="s">
        <v>4236</v>
      </c>
      <c r="I4648" s="2" t="s">
        <v>15</v>
      </c>
      <c r="J4648" s="2" t="s">
        <v>6607</v>
      </c>
      <c r="K4648" s="2" t="s">
        <v>6606</v>
      </c>
      <c r="L4648" s="2">
        <f t="shared" si="72"/>
        <v>150</v>
      </c>
    </row>
    <row r="4649" spans="1:12" ht="25" customHeight="1">
      <c r="A4649" s="2" t="s">
        <v>12</v>
      </c>
      <c r="B4649" s="2" t="str">
        <f>HYPERLINK("http://bbs.12365auto.com/postcontent.aspx?tID=194680","探岳冷却液异常消耗大众的车就这样的质量吗")</f>
        <v>探岳冷却液异常消耗大众的车就这样的质量吗</v>
      </c>
      <c r="C4649" s="2" t="s">
        <v>13</v>
      </c>
      <c r="D4649" s="2" t="s">
        <v>12</v>
      </c>
      <c r="E4649" s="2" t="s">
        <v>67</v>
      </c>
      <c r="F4649" s="2" t="str">
        <f>HYPERLINK("http://bbs.12365auto.com/postcontent.aspx?tID=194680","http://bbs.12365auto.com/postcontent.aspx?tID=194680")</f>
        <v>http://bbs.12365auto.com/postcontent.aspx?tID=194680</v>
      </c>
      <c r="G4649" s="2"/>
      <c r="H4649" s="2" t="s">
        <v>6608</v>
      </c>
      <c r="I4649" s="2" t="s">
        <v>15</v>
      </c>
      <c r="J4649" s="2" t="s">
        <v>4149</v>
      </c>
      <c r="K4649" s="2" t="s">
        <v>6606</v>
      </c>
      <c r="L4649" s="2">
        <f t="shared" si="72"/>
        <v>78</v>
      </c>
    </row>
    <row r="4650" spans="1:12" ht="25" customHeight="1">
      <c r="A4650" s="2" t="s">
        <v>12</v>
      </c>
      <c r="B4650" s="2" t="str">
        <f>HYPERLINK("http://bbs.12365auto.com/postcontent.aspx?tId=194681","一汽大众捷达VS5主座椅下面线束插头没插")</f>
        <v>一汽大众捷达VS5主座椅下面线束插头没插</v>
      </c>
      <c r="C4650" s="2" t="s">
        <v>13</v>
      </c>
      <c r="D4650" s="2" t="s">
        <v>12</v>
      </c>
      <c r="E4650" s="2" t="s">
        <v>66</v>
      </c>
      <c r="F4650" s="2" t="str">
        <f>HYPERLINK("http://bbs.12365auto.com/postcontent.aspx?tId=194681","http://bbs.12365auto.com/postcontent.aspx?tId=194681")</f>
        <v>http://bbs.12365auto.com/postcontent.aspx?tId=194681</v>
      </c>
      <c r="G4650" s="2"/>
      <c r="H4650" s="2" t="s">
        <v>6609</v>
      </c>
      <c r="I4650" s="2" t="s">
        <v>15</v>
      </c>
      <c r="J4650" s="2" t="s">
        <v>6605</v>
      </c>
      <c r="K4650" s="2" t="s">
        <v>6606</v>
      </c>
      <c r="L4650" s="2">
        <f t="shared" si="72"/>
        <v>54</v>
      </c>
    </row>
    <row r="4651" spans="1:12" ht="25" customHeight="1">
      <c r="A4651" s="2" t="s">
        <v>12</v>
      </c>
      <c r="B4651" s="2" t="str">
        <f>HYPERLINK("http://bbs.12365auto.com/postcontent.aspx?tId=194679","一汽丰田锐志配件质量差导致频繁故障")</f>
        <v>一汽丰田锐志配件质量差导致频繁故障</v>
      </c>
      <c r="C4651" s="2" t="s">
        <v>13</v>
      </c>
      <c r="D4651" s="2" t="s">
        <v>12</v>
      </c>
      <c r="E4651" s="2" t="s">
        <v>66</v>
      </c>
      <c r="F4651" s="2" t="str">
        <f>HYPERLINK("http://bbs.12365auto.com/postcontent.aspx?tId=194679","http://bbs.12365auto.com/postcontent.aspx?tId=194679")</f>
        <v>http://bbs.12365auto.com/postcontent.aspx?tId=194679</v>
      </c>
      <c r="G4651" s="2"/>
      <c r="H4651" s="2" t="s">
        <v>4231</v>
      </c>
      <c r="I4651" s="2" t="s">
        <v>15</v>
      </c>
      <c r="J4651" s="2" t="s">
        <v>6607</v>
      </c>
      <c r="K4651" s="2" t="s">
        <v>6606</v>
      </c>
      <c r="L4651" s="2">
        <f t="shared" si="72"/>
        <v>150</v>
      </c>
    </row>
    <row r="4652" spans="1:12" ht="25" customHeight="1">
      <c r="A4652" s="2" t="s">
        <v>12</v>
      </c>
      <c r="B4652" s="2" t="str">
        <f>HYPERLINK("http://bbs.12365auto.com/postcontent.aspx?tID=194678","领动车门漏风是车门密封性不好吗？")</f>
        <v>领动车门漏风是车门密封性不好吗？</v>
      </c>
      <c r="C4652" s="2" t="s">
        <v>13</v>
      </c>
      <c r="D4652" s="2" t="s">
        <v>12</v>
      </c>
      <c r="E4652" s="2" t="s">
        <v>67</v>
      </c>
      <c r="F4652" s="2" t="str">
        <f>HYPERLINK("http://bbs.12365auto.com/postcontent.aspx?tID=194678","http://bbs.12365auto.com/postcontent.aspx?tID=194678")</f>
        <v>http://bbs.12365auto.com/postcontent.aspx?tID=194678</v>
      </c>
      <c r="G4652" s="2"/>
      <c r="H4652" s="2" t="s">
        <v>6610</v>
      </c>
      <c r="I4652" s="2" t="s">
        <v>15</v>
      </c>
      <c r="J4652" s="2" t="s">
        <v>4156</v>
      </c>
      <c r="K4652" s="2" t="s">
        <v>6611</v>
      </c>
      <c r="L4652" s="2">
        <f t="shared" si="72"/>
        <v>71</v>
      </c>
    </row>
    <row r="4653" spans="1:12" ht="25" customHeight="1">
      <c r="A4653" s="2" t="s">
        <v>12</v>
      </c>
      <c r="B4653" s="2" t="str">
        <f>HYPERLINK("http://bbs.12365auto.com/postcontent.aspx?tID=194677","领克01转向柱生锈半轴也出现了问题")</f>
        <v>领克01转向柱生锈半轴也出现了问题</v>
      </c>
      <c r="C4653" s="2" t="s">
        <v>13</v>
      </c>
      <c r="D4653" s="2" t="s">
        <v>12</v>
      </c>
      <c r="E4653" s="2" t="s">
        <v>67</v>
      </c>
      <c r="F4653" s="2" t="str">
        <f>HYPERLINK("http://bbs.12365auto.com/postcontent.aspx?tID=194677","http://bbs.12365auto.com/postcontent.aspx?tID=194677")</f>
        <v>http://bbs.12365auto.com/postcontent.aspx?tID=194677</v>
      </c>
      <c r="G4653" s="2"/>
      <c r="H4653" s="2" t="s">
        <v>6612</v>
      </c>
      <c r="I4653" s="2" t="s">
        <v>15</v>
      </c>
      <c r="J4653" s="2" t="s">
        <v>4160</v>
      </c>
      <c r="K4653" s="2" t="s">
        <v>6611</v>
      </c>
      <c r="L4653" s="2">
        <f t="shared" si="72"/>
        <v>111</v>
      </c>
    </row>
    <row r="4654" spans="1:12" ht="25" customHeight="1">
      <c r="A4654" s="2" t="s">
        <v>12</v>
      </c>
      <c r="B4654" s="2" t="str">
        <f>HYPERLINK("http://bbs.12365auto.com/postcontent.aspx?tID=194676","速腾轮胎不规则磨损，轮胎是锦湖的")</f>
        <v>速腾轮胎不规则磨损，轮胎是锦湖的</v>
      </c>
      <c r="C4654" s="2" t="s">
        <v>13</v>
      </c>
      <c r="D4654" s="2" t="s">
        <v>12</v>
      </c>
      <c r="E4654" s="2" t="s">
        <v>67</v>
      </c>
      <c r="F4654" s="2" t="str">
        <f>HYPERLINK("http://bbs.12365auto.com/postcontent.aspx?tID=194676","http://bbs.12365auto.com/postcontent.aspx?tID=194676")</f>
        <v>http://bbs.12365auto.com/postcontent.aspx?tID=194676</v>
      </c>
      <c r="G4654" s="2"/>
      <c r="H4654" s="2" t="s">
        <v>6613</v>
      </c>
      <c r="I4654" s="2" t="s">
        <v>15</v>
      </c>
      <c r="J4654" s="2" t="s">
        <v>4163</v>
      </c>
      <c r="K4654" s="2" t="s">
        <v>6614</v>
      </c>
      <c r="L4654" s="2">
        <f t="shared" si="72"/>
        <v>125</v>
      </c>
    </row>
    <row r="4655" spans="1:12" ht="25" customHeight="1">
      <c r="A4655" s="2" t="s">
        <v>12</v>
      </c>
      <c r="B4655" s="2" t="str">
        <f>HYPERLINK("http://bbs.12365auto.com/postcontent.aspx?tID=194675","瑞虎3x后尾翼松动质量差劲")</f>
        <v>瑞虎3x后尾翼松动质量差劲</v>
      </c>
      <c r="C4655" s="2" t="s">
        <v>13</v>
      </c>
      <c r="D4655" s="2" t="s">
        <v>12</v>
      </c>
      <c r="E4655" s="2" t="s">
        <v>67</v>
      </c>
      <c r="F4655" s="2" t="str">
        <f>HYPERLINK("http://bbs.12365auto.com/postcontent.aspx?tID=194675","http://bbs.12365auto.com/postcontent.aspx?tID=194675")</f>
        <v>http://bbs.12365auto.com/postcontent.aspx?tID=194675</v>
      </c>
      <c r="G4655" s="2"/>
      <c r="H4655" s="2" t="s">
        <v>6615</v>
      </c>
      <c r="I4655" s="2" t="s">
        <v>15</v>
      </c>
      <c r="J4655" s="2" t="s">
        <v>4169</v>
      </c>
      <c r="K4655" s="2" t="s">
        <v>6616</v>
      </c>
      <c r="L4655" s="2">
        <f t="shared" si="72"/>
        <v>138</v>
      </c>
    </row>
    <row r="4656" spans="1:12" ht="25" customHeight="1">
      <c r="A4656" s="2" t="s">
        <v>12</v>
      </c>
      <c r="B4656" s="2" t="str">
        <f>HYPERLINK("http://bbs.12365auto.com/postcontent.aspx?tID=194674","凌派镀铬饰条大面积氧化质量不行呀")</f>
        <v>凌派镀铬饰条大面积氧化质量不行呀</v>
      </c>
      <c r="C4656" s="2" t="s">
        <v>13</v>
      </c>
      <c r="D4656" s="2" t="s">
        <v>12</v>
      </c>
      <c r="E4656" s="2" t="s">
        <v>67</v>
      </c>
      <c r="F4656" s="2" t="str">
        <f>HYPERLINK("http://bbs.12365auto.com/postcontent.aspx?tID=194674","http://bbs.12365auto.com/postcontent.aspx?tID=194674")</f>
        <v>http://bbs.12365auto.com/postcontent.aspx?tID=194674</v>
      </c>
      <c r="G4656" s="2"/>
      <c r="H4656" s="2" t="s">
        <v>6617</v>
      </c>
      <c r="I4656" s="2" t="s">
        <v>15</v>
      </c>
      <c r="J4656" s="2" t="s">
        <v>4166</v>
      </c>
      <c r="K4656" s="2" t="s">
        <v>6616</v>
      </c>
      <c r="L4656" s="2">
        <f t="shared" si="72"/>
        <v>150</v>
      </c>
    </row>
    <row r="4657" spans="1:12" ht="25" customHeight="1">
      <c r="A4657" s="2" t="s">
        <v>12</v>
      </c>
      <c r="B4657" s="2" t="str">
        <f>HYPERLINK("http://www.12365auto.com/zlts/20200220/447890.shtml","广汽本田凌派镀铬饰条大面积氧化")</f>
        <v>广汽本田凌派镀铬饰条大面积氧化</v>
      </c>
      <c r="C4657" s="2" t="s">
        <v>13</v>
      </c>
      <c r="D4657" s="2" t="s">
        <v>12</v>
      </c>
      <c r="E4657" s="2" t="s">
        <v>17</v>
      </c>
      <c r="F4657" s="2" t="str">
        <f>HYPERLINK("http://www.12365auto.com/zlts/20200220/447890.shtml","http://www.12365auto.com/zlts/20200220/447890.shtml")</f>
        <v>http://www.12365auto.com/zlts/20200220/447890.shtml</v>
      </c>
      <c r="G4657" s="2"/>
      <c r="H4657" s="2" t="s">
        <v>6618</v>
      </c>
      <c r="I4657" s="2" t="s">
        <v>15</v>
      </c>
      <c r="J4657" s="2" t="s">
        <v>12</v>
      </c>
      <c r="K4657" s="2" t="s">
        <v>6619</v>
      </c>
      <c r="L4657" s="2">
        <f t="shared" si="72"/>
        <v>150</v>
      </c>
    </row>
    <row r="4658" spans="1:12" ht="25" customHeight="1">
      <c r="A4658" s="2" t="s">
        <v>12</v>
      </c>
      <c r="B4658" s="2" t="str">
        <f>HYPERLINK("http://m.12365auto.com/zjdy/20200220/121449.shtml","1年半的车全车多出龟裂可以要求索赔吗？")</f>
        <v>1年半的车全车多出龟裂可以要求索赔吗？</v>
      </c>
      <c r="C4658" s="2" t="s">
        <v>13</v>
      </c>
      <c r="D4658" s="2" t="s">
        <v>12</v>
      </c>
      <c r="E4658" s="2"/>
      <c r="F4658" s="2" t="str">
        <f>HYPERLINK("http://m.12365auto.com/zjdy/20200220/121449.shtml","http://m.12365auto.com/zjdy/20200220/121449.shtml")</f>
        <v>http://m.12365auto.com/zjdy/20200220/121449.shtml</v>
      </c>
      <c r="G4658" s="2"/>
      <c r="H4658" s="2" t="s">
        <v>6620</v>
      </c>
      <c r="I4658" s="2" t="s">
        <v>19</v>
      </c>
      <c r="J4658" s="2" t="s">
        <v>12</v>
      </c>
      <c r="K4658" s="2" t="s">
        <v>6621</v>
      </c>
      <c r="L4658" s="2">
        <f t="shared" si="72"/>
        <v>30</v>
      </c>
    </row>
    <row r="4659" spans="1:12" ht="25" customHeight="1">
      <c r="A4659" s="2" t="s">
        <v>12</v>
      </c>
      <c r="B4659" s="2" t="str">
        <f>HYPERLINK("http://m.12365auto.com/zjdy/20200220/121448.shtml","速腾新车发动机大修应该如何维权？")</f>
        <v>速腾新车发动机大修应该如何维权？</v>
      </c>
      <c r="C4659" s="2" t="s">
        <v>13</v>
      </c>
      <c r="D4659" s="2" t="s">
        <v>12</v>
      </c>
      <c r="E4659" s="2"/>
      <c r="F4659" s="2" t="str">
        <f>HYPERLINK("http://m.12365auto.com/zjdy/20200220/121448.shtml","http://m.12365auto.com/zjdy/20200220/121448.shtml")</f>
        <v>http://m.12365auto.com/zjdy/20200220/121448.shtml</v>
      </c>
      <c r="G4659" s="2"/>
      <c r="H4659" s="2" t="s">
        <v>6622</v>
      </c>
      <c r="I4659" s="2" t="s">
        <v>19</v>
      </c>
      <c r="J4659" s="2" t="s">
        <v>12</v>
      </c>
      <c r="K4659" s="2" t="s">
        <v>6623</v>
      </c>
      <c r="L4659" s="2">
        <f t="shared" si="72"/>
        <v>20</v>
      </c>
    </row>
    <row r="4660" spans="1:12" ht="25" customHeight="1">
      <c r="A4660" s="2" t="s">
        <v>12</v>
      </c>
      <c r="B4660" s="2" t="str">
        <f>HYPERLINK("http://m.12365auto.com/zjdy/20200220/121447.shtml","新车电路故障去4S店可以免费维修吗？")</f>
        <v>新车电路故障去4S店可以免费维修吗？</v>
      </c>
      <c r="C4660" s="2" t="s">
        <v>13</v>
      </c>
      <c r="D4660" s="2" t="s">
        <v>12</v>
      </c>
      <c r="E4660" s="2"/>
      <c r="F4660" s="2" t="str">
        <f>HYPERLINK("http://m.12365auto.com/zjdy/20200220/121447.shtml","http://m.12365auto.com/zjdy/20200220/121447.shtml")</f>
        <v>http://m.12365auto.com/zjdy/20200220/121447.shtml</v>
      </c>
      <c r="G4660" s="2"/>
      <c r="H4660" s="2" t="s">
        <v>6624</v>
      </c>
      <c r="I4660" s="2" t="s">
        <v>19</v>
      </c>
      <c r="J4660" s="2" t="s">
        <v>12</v>
      </c>
      <c r="K4660" s="2" t="s">
        <v>6623</v>
      </c>
      <c r="L4660" s="2">
        <f t="shared" si="72"/>
        <v>29</v>
      </c>
    </row>
    <row r="4661" spans="1:12" ht="25" customHeight="1">
      <c r="A4661" s="2" t="s">
        <v>12</v>
      </c>
      <c r="B4661" s="2" t="str">
        <f>HYPERLINK("http://m.12365auto.com/zjdy/20200220/121451.shtml","雪佛兰沃兰多这车质量怎么样值得入手吗？")</f>
        <v>雪佛兰沃兰多这车质量怎么样值得入手吗？</v>
      </c>
      <c r="C4661" s="2" t="s">
        <v>13</v>
      </c>
      <c r="D4661" s="2" t="s">
        <v>12</v>
      </c>
      <c r="E4661" s="2"/>
      <c r="F4661" s="2" t="str">
        <f>HYPERLINK("http://m.12365auto.com/zjdy/20200220/121451.shtml","http://m.12365auto.com/zjdy/20200220/121451.shtml")</f>
        <v>http://m.12365auto.com/zjdy/20200220/121451.shtml</v>
      </c>
      <c r="G4661" s="2"/>
      <c r="H4661" s="2" t="s">
        <v>6625</v>
      </c>
      <c r="I4661" s="2" t="s">
        <v>19</v>
      </c>
      <c r="J4661" s="2" t="s">
        <v>12</v>
      </c>
      <c r="K4661" s="2" t="s">
        <v>6626</v>
      </c>
      <c r="L4661" s="2">
        <f t="shared" si="72"/>
        <v>36</v>
      </c>
    </row>
    <row r="4662" spans="1:12" ht="25" customHeight="1">
      <c r="A4662" s="2" t="s">
        <v>12</v>
      </c>
      <c r="B4662" s="2" t="str">
        <f>HYPERLINK("http://m.12365auto.com/zjdy/20200220/121446.shtml","购车后一直没有提车应该如何处理？")</f>
        <v>购车后一直没有提车应该如何处理？</v>
      </c>
      <c r="C4662" s="2" t="s">
        <v>13</v>
      </c>
      <c r="D4662" s="2" t="s">
        <v>12</v>
      </c>
      <c r="E4662" s="2"/>
      <c r="F4662" s="2" t="str">
        <f>HYPERLINK("http://m.12365auto.com/zjdy/20200220/121446.shtml","http://m.12365auto.com/zjdy/20200220/121446.shtml")</f>
        <v>http://m.12365auto.com/zjdy/20200220/121446.shtml</v>
      </c>
      <c r="G4662" s="2"/>
      <c r="H4662" s="2" t="s">
        <v>6627</v>
      </c>
      <c r="I4662" s="2" t="s">
        <v>19</v>
      </c>
      <c r="J4662" s="2" t="s">
        <v>12</v>
      </c>
      <c r="K4662" s="2" t="s">
        <v>6626</v>
      </c>
      <c r="L4662" s="2">
        <f t="shared" si="72"/>
        <v>136</v>
      </c>
    </row>
    <row r="4663" spans="1:12" ht="25" customHeight="1">
      <c r="A4663" s="2" t="s">
        <v>12</v>
      </c>
      <c r="B4663" s="2" t="str">
        <f>HYPERLINK("http://m.12365auto.com/zjdy/20200220/121450.shtml","2005款奥迪A6车会连续窜动是什么问题？")</f>
        <v>2005款奥迪A6车会连续窜动是什么问题？</v>
      </c>
      <c r="C4663" s="2" t="s">
        <v>13</v>
      </c>
      <c r="D4663" s="2" t="s">
        <v>12</v>
      </c>
      <c r="E4663" s="2"/>
      <c r="F4663" s="2" t="str">
        <f>HYPERLINK("http://m.12365auto.com/zjdy/20200220/121450.shtml","http://m.12365auto.com/zjdy/20200220/121450.shtml")</f>
        <v>http://m.12365auto.com/zjdy/20200220/121450.shtml</v>
      </c>
      <c r="G4663" s="2"/>
      <c r="H4663" s="2" t="s">
        <v>6628</v>
      </c>
      <c r="I4663" s="2" t="s">
        <v>19</v>
      </c>
      <c r="J4663" s="2" t="s">
        <v>12</v>
      </c>
      <c r="K4663" s="2" t="s">
        <v>6626</v>
      </c>
      <c r="L4663" s="2">
        <f t="shared" si="72"/>
        <v>21</v>
      </c>
    </row>
    <row r="4664" spans="1:12" ht="25" customHeight="1">
      <c r="A4664" s="2" t="s">
        <v>12</v>
      </c>
      <c r="B4664" s="2" t="str">
        <f>HYPERLINK("http://www.12365auto.com/zlts/20200220/447888.shtml","上汽荣威360前减震器异响要求更换")</f>
        <v>上汽荣威360前减震器异响要求更换</v>
      </c>
      <c r="C4664" s="2" t="s">
        <v>13</v>
      </c>
      <c r="D4664" s="2" t="s">
        <v>12</v>
      </c>
      <c r="E4664" s="2" t="s">
        <v>17</v>
      </c>
      <c r="F4664" s="2" t="str">
        <f>HYPERLINK("http://www.12365auto.com/zlts/20200220/447888.shtml","http://www.12365auto.com/zlts/20200220/447888.shtml")</f>
        <v>http://www.12365auto.com/zlts/20200220/447888.shtml</v>
      </c>
      <c r="G4664" s="2"/>
      <c r="H4664" s="2" t="s">
        <v>6629</v>
      </c>
      <c r="I4664" s="2" t="s">
        <v>19</v>
      </c>
      <c r="J4664" s="2" t="s">
        <v>12</v>
      </c>
      <c r="K4664" s="2" t="s">
        <v>6630</v>
      </c>
      <c r="L4664" s="2">
        <f t="shared" si="72"/>
        <v>150</v>
      </c>
    </row>
    <row r="4665" spans="1:12" ht="25" customHeight="1">
      <c r="A4665" s="2" t="s">
        <v>12</v>
      </c>
      <c r="B4665" s="2" t="str">
        <f>HYPERLINK("http://www.12365auto.com/zlts/20200220/447887.shtml","奇瑞瑞虎3x后尾翼松动 固定螺丝全部掉落")</f>
        <v>奇瑞瑞虎3x后尾翼松动 固定螺丝全部掉落</v>
      </c>
      <c r="C4665" s="2" t="s">
        <v>13</v>
      </c>
      <c r="D4665" s="2" t="s">
        <v>12</v>
      </c>
      <c r="E4665" s="2" t="s">
        <v>17</v>
      </c>
      <c r="F4665" s="2" t="str">
        <f>HYPERLINK("http://www.12365auto.com/zlts/20200220/447887.shtml","http://www.12365auto.com/zlts/20200220/447887.shtml")</f>
        <v>http://www.12365auto.com/zlts/20200220/447887.shtml</v>
      </c>
      <c r="G4665" s="2"/>
      <c r="H4665" s="2" t="s">
        <v>6631</v>
      </c>
      <c r="I4665" s="2" t="s">
        <v>19</v>
      </c>
      <c r="J4665" s="2" t="s">
        <v>12</v>
      </c>
      <c r="K4665" s="2" t="s">
        <v>6632</v>
      </c>
      <c r="L4665" s="2">
        <f t="shared" si="72"/>
        <v>150</v>
      </c>
    </row>
    <row r="4666" spans="1:12" ht="25" customHeight="1">
      <c r="A4666" s="2" t="s">
        <v>12</v>
      </c>
      <c r="B4666" s="2" t="str">
        <f>HYPERLINK("http://bbs.12365auto.com/postcontent.aspx?tID=194655","两种增压方式的对比：涡轮增压PK机械增压")</f>
        <v>两种增压方式的对比：涡轮增压PK机械增压</v>
      </c>
      <c r="C4666" s="2" t="s">
        <v>13</v>
      </c>
      <c r="D4666" s="2" t="s">
        <v>12</v>
      </c>
      <c r="E4666" s="2" t="s">
        <v>28</v>
      </c>
      <c r="F4666" s="2" t="str">
        <f>HYPERLINK("http://bbs.12365auto.com/postcontent.aspx?tID=194655","http://bbs.12365auto.com/postcontent.aspx?tID=194655")</f>
        <v>http://bbs.12365auto.com/postcontent.aspx?tID=194655</v>
      </c>
      <c r="G4666" s="2"/>
      <c r="H4666" s="2" t="s">
        <v>6633</v>
      </c>
      <c r="I4666" s="2" t="s">
        <v>15</v>
      </c>
      <c r="J4666" s="2" t="s">
        <v>683</v>
      </c>
      <c r="K4666" s="2" t="s">
        <v>6634</v>
      </c>
      <c r="L4666" s="2">
        <f t="shared" si="72"/>
        <v>150</v>
      </c>
    </row>
    <row r="4667" spans="1:12" ht="25" customHeight="1">
      <c r="A4667" s="2" t="s">
        <v>12</v>
      </c>
      <c r="B4667" s="2" t="str">
        <f>HYPERLINK("http://m.12365auto.com/bbs/postcontent.aspx?tID=194655","两种增压方式的对比：涡轮增压PK机械增压")</f>
        <v>两种增压方式的对比：涡轮增压PK机械增压</v>
      </c>
      <c r="C4667" s="2" t="s">
        <v>13</v>
      </c>
      <c r="D4667" s="2" t="s">
        <v>23</v>
      </c>
      <c r="E4667" s="2"/>
      <c r="F4667" s="2" t="str">
        <f>HYPERLINK("http://m.12365auto.com/bbs/postcontent.aspx?tID=194655","http://m.12365auto.com/bbs/postcontent.aspx?tID=194655")</f>
        <v>http://m.12365auto.com/bbs/postcontent.aspx?tID=194655</v>
      </c>
      <c r="G4667" s="2"/>
      <c r="H4667" s="2" t="s">
        <v>6635</v>
      </c>
      <c r="I4667" s="2" t="s">
        <v>15</v>
      </c>
      <c r="J4667" s="2" t="s">
        <v>683</v>
      </c>
      <c r="K4667" s="2" t="s">
        <v>6634</v>
      </c>
      <c r="L4667" s="2">
        <f t="shared" si="72"/>
        <v>150</v>
      </c>
    </row>
    <row r="4668" spans="1:12" ht="25" customHeight="1">
      <c r="A4668" s="2" t="s">
        <v>12</v>
      </c>
      <c r="B4668" s="2" t="str">
        <f>HYPERLINK("http://bbs.12365auto.com/postcontent.aspx?tId=194655","两种增压方式的对比：涡轮增压PK机械增压")</f>
        <v>两种增压方式的对比：涡轮增压PK机械增压</v>
      </c>
      <c r="C4668" s="2" t="s">
        <v>13</v>
      </c>
      <c r="D4668" s="2" t="s">
        <v>12</v>
      </c>
      <c r="E4668" s="2" t="s">
        <v>27</v>
      </c>
      <c r="F4668" s="2" t="str">
        <f>HYPERLINK("http://bbs.12365auto.com/postcontent.aspx?tId=194655","http://bbs.12365auto.com/postcontent.aspx?tId=194655")</f>
        <v>http://bbs.12365auto.com/postcontent.aspx?tId=194655</v>
      </c>
      <c r="G4668" s="2"/>
      <c r="H4668" s="2" t="s">
        <v>6635</v>
      </c>
      <c r="I4668" s="2" t="s">
        <v>15</v>
      </c>
      <c r="J4668" s="2" t="s">
        <v>683</v>
      </c>
      <c r="K4668" s="2" t="s">
        <v>6634</v>
      </c>
      <c r="L4668" s="2">
        <f t="shared" si="72"/>
        <v>150</v>
      </c>
    </row>
    <row r="4669" spans="1:12" ht="25" customHeight="1">
      <c r="A4669" s="2" t="s">
        <v>12</v>
      </c>
      <c r="B4669" s="2" t="str">
        <f>HYPERLINK("http://www.12365auto.com/zlts/20200220/447886.shtml","一汽大众捷达行驶中转向卡滞存在安全隐患")</f>
        <v>一汽大众捷达行驶中转向卡滞存在安全隐患</v>
      </c>
      <c r="C4669" s="2" t="s">
        <v>13</v>
      </c>
      <c r="D4669" s="2" t="s">
        <v>12</v>
      </c>
      <c r="E4669" s="2" t="s">
        <v>17</v>
      </c>
      <c r="F4669" s="2" t="str">
        <f>HYPERLINK("http://www.12365auto.com/zlts/20200220/447886.shtml","http://www.12365auto.com/zlts/20200220/447886.shtml")</f>
        <v>http://www.12365auto.com/zlts/20200220/447886.shtml</v>
      </c>
      <c r="G4669" s="2"/>
      <c r="H4669" s="2" t="s">
        <v>6636</v>
      </c>
      <c r="I4669" s="2" t="s">
        <v>19</v>
      </c>
      <c r="J4669" s="2" t="s">
        <v>12</v>
      </c>
      <c r="K4669" s="2" t="s">
        <v>6637</v>
      </c>
      <c r="L4669" s="2">
        <f t="shared" si="72"/>
        <v>150</v>
      </c>
    </row>
    <row r="4670" spans="1:12" ht="25" customHeight="1">
      <c r="A4670" s="2" t="s">
        <v>12</v>
      </c>
      <c r="B4670" s="2" t="str">
        <f>HYPERLINK("http://bbs.12365auto.com/postcontent.aspx?tID=194653","车叔解析：为何德系车比较容易烧机油？")</f>
        <v>车叔解析：为何德系车比较容易烧机油？</v>
      </c>
      <c r="C4670" s="2" t="s">
        <v>13</v>
      </c>
      <c r="D4670" s="2" t="s">
        <v>12</v>
      </c>
      <c r="E4670" s="2" t="s">
        <v>28</v>
      </c>
      <c r="F4670" s="2" t="str">
        <f>HYPERLINK("http://bbs.12365auto.com/postcontent.aspx?tID=194653","http://bbs.12365auto.com/postcontent.aspx?tID=194653")</f>
        <v>http://bbs.12365auto.com/postcontent.aspx?tID=194653</v>
      </c>
      <c r="G4670" s="2"/>
      <c r="H4670" s="2" t="s">
        <v>6638</v>
      </c>
      <c r="I4670" s="2" t="s">
        <v>15</v>
      </c>
      <c r="J4670" s="2" t="s">
        <v>1276</v>
      </c>
      <c r="K4670" s="2" t="s">
        <v>6639</v>
      </c>
      <c r="L4670" s="2">
        <f t="shared" si="72"/>
        <v>150</v>
      </c>
    </row>
    <row r="4671" spans="1:12" ht="25" customHeight="1">
      <c r="A4671" s="2" t="s">
        <v>12</v>
      </c>
      <c r="B4671" s="2" t="str">
        <f>HYPERLINK("http://bbs.12365auto.com/postcontent.aspx?tID=194652","灯罩发黄怎么办？先别急着去4S店来看看攻略")</f>
        <v>灯罩发黄怎么办？先别急着去4S店来看看攻略</v>
      </c>
      <c r="C4671" s="2" t="s">
        <v>13</v>
      </c>
      <c r="D4671" s="2" t="s">
        <v>12</v>
      </c>
      <c r="E4671" s="2" t="s">
        <v>214</v>
      </c>
      <c r="F4671" s="2" t="str">
        <f>HYPERLINK("http://bbs.12365auto.com/postcontent.aspx?tID=194652","http://bbs.12365auto.com/postcontent.aspx?tID=194652")</f>
        <v>http://bbs.12365auto.com/postcontent.aspx?tID=194652</v>
      </c>
      <c r="G4671" s="2"/>
      <c r="H4671" s="2" t="s">
        <v>6640</v>
      </c>
      <c r="I4671" s="2" t="s">
        <v>15</v>
      </c>
      <c r="J4671" s="2" t="s">
        <v>1276</v>
      </c>
      <c r="K4671" s="2" t="s">
        <v>6639</v>
      </c>
      <c r="L4671" s="2">
        <f t="shared" si="72"/>
        <v>150</v>
      </c>
    </row>
    <row r="4672" spans="1:12" ht="25" customHeight="1">
      <c r="A4672" s="2" t="s">
        <v>12</v>
      </c>
      <c r="B4672" s="2" t="str">
        <f>HYPERLINK("http://m.12365auto.com/bbs/postcontent.aspx?tID=194653","车叔解析：为何德系车比较容易烧机油？")</f>
        <v>车叔解析：为何德系车比较容易烧机油？</v>
      </c>
      <c r="C4672" s="2" t="s">
        <v>13</v>
      </c>
      <c r="D4672" s="2" t="s">
        <v>23</v>
      </c>
      <c r="E4672" s="2"/>
      <c r="F4672" s="2" t="str">
        <f>HYPERLINK("http://m.12365auto.com/bbs/postcontent.aspx?tID=194653","http://m.12365auto.com/bbs/postcontent.aspx?tID=194653")</f>
        <v>http://m.12365auto.com/bbs/postcontent.aspx?tID=194653</v>
      </c>
      <c r="G4672" s="2"/>
      <c r="H4672" s="2" t="s">
        <v>6641</v>
      </c>
      <c r="I4672" s="2" t="s">
        <v>15</v>
      </c>
      <c r="J4672" s="2" t="s">
        <v>1276</v>
      </c>
      <c r="K4672" s="2" t="s">
        <v>6639</v>
      </c>
      <c r="L4672" s="2">
        <f t="shared" si="72"/>
        <v>150</v>
      </c>
    </row>
    <row r="4673" spans="1:12" ht="25" customHeight="1">
      <c r="A4673" s="2" t="s">
        <v>12</v>
      </c>
      <c r="B4673" s="2" t="str">
        <f>HYPERLINK("http://m.12365auto.com/bbs/postcontent.aspx?tID=194652","灯罩发黄怎么办？先别急着去4S店来看看攻略")</f>
        <v>灯罩发黄怎么办？先别急着去4S店来看看攻略</v>
      </c>
      <c r="C4673" s="2" t="s">
        <v>13</v>
      </c>
      <c r="D4673" s="2" t="s">
        <v>23</v>
      </c>
      <c r="E4673" s="2"/>
      <c r="F4673" s="2" t="str">
        <f>HYPERLINK("http://m.12365auto.com/bbs/postcontent.aspx?tID=194652","http://m.12365auto.com/bbs/postcontent.aspx?tID=194652")</f>
        <v>http://m.12365auto.com/bbs/postcontent.aspx?tID=194652</v>
      </c>
      <c r="G4673" s="2"/>
      <c r="H4673" s="2" t="s">
        <v>6642</v>
      </c>
      <c r="I4673" s="2" t="s">
        <v>15</v>
      </c>
      <c r="J4673" s="2" t="s">
        <v>1276</v>
      </c>
      <c r="K4673" s="2" t="s">
        <v>6639</v>
      </c>
      <c r="L4673" s="2">
        <f t="shared" si="72"/>
        <v>150</v>
      </c>
    </row>
    <row r="4674" spans="1:12" ht="25" customHeight="1">
      <c r="A4674" s="2" t="s">
        <v>12</v>
      </c>
      <c r="B4674" s="2" t="str">
        <f>HYPERLINK("http://bbs.12365auto.com/postcontent.aspx?tId=194652","灯罩发黄怎么办？先别急着去4S店来看看攻略")</f>
        <v>灯罩发黄怎么办？先别急着去4S店来看看攻略</v>
      </c>
      <c r="C4674" s="2" t="s">
        <v>13</v>
      </c>
      <c r="D4674" s="2" t="s">
        <v>12</v>
      </c>
      <c r="E4674" s="2" t="s">
        <v>210</v>
      </c>
      <c r="F4674" s="2" t="str">
        <f>HYPERLINK("http://bbs.12365auto.com/postcontent.aspx?tId=194652","http://bbs.12365auto.com/postcontent.aspx?tId=194652")</f>
        <v>http://bbs.12365auto.com/postcontent.aspx?tId=194652</v>
      </c>
      <c r="G4674" s="2"/>
      <c r="H4674" s="2" t="s">
        <v>6642</v>
      </c>
      <c r="I4674" s="2" t="s">
        <v>15</v>
      </c>
      <c r="J4674" s="2" t="s">
        <v>1276</v>
      </c>
      <c r="K4674" s="2" t="s">
        <v>6639</v>
      </c>
      <c r="L4674" s="2">
        <f t="shared" si="72"/>
        <v>150</v>
      </c>
    </row>
    <row r="4675" spans="1:12" ht="25" customHeight="1">
      <c r="A4675" s="2" t="s">
        <v>12</v>
      </c>
      <c r="B4675" s="2" t="str">
        <f>HYPERLINK("http://bbs.12365auto.com/postcontent.aspx?tId=194653","车叔解析：为何德系车比较容易烧机油？")</f>
        <v>车叔解析：为何德系车比较容易烧机油？</v>
      </c>
      <c r="C4675" s="2" t="s">
        <v>13</v>
      </c>
      <c r="D4675" s="2" t="s">
        <v>12</v>
      </c>
      <c r="E4675" s="2" t="s">
        <v>27</v>
      </c>
      <c r="F4675" s="2" t="str">
        <f>HYPERLINK("http://bbs.12365auto.com/postcontent.aspx?tId=194653","http://bbs.12365auto.com/postcontent.aspx?tId=194653")</f>
        <v>http://bbs.12365auto.com/postcontent.aspx?tId=194653</v>
      </c>
      <c r="G4675" s="2"/>
      <c r="H4675" s="2" t="s">
        <v>6641</v>
      </c>
      <c r="I4675" s="2" t="s">
        <v>15</v>
      </c>
      <c r="J4675" s="2" t="s">
        <v>1276</v>
      </c>
      <c r="K4675" s="2" t="s">
        <v>6639</v>
      </c>
      <c r="L4675" s="2">
        <f t="shared" ref="L4675:L4738" si="73">LEN(H4675)</f>
        <v>150</v>
      </c>
    </row>
    <row r="4676" spans="1:12" ht="25" customHeight="1">
      <c r="A4676" s="2" t="s">
        <v>12</v>
      </c>
      <c r="B4676" s="2" t="str">
        <f>HYPERLINK("http://www.12365auto.com/zlts/20200220/447885.shtml","一汽大众奥迪Q3转向异响 大灯熄灭")</f>
        <v>一汽大众奥迪Q3转向异响 大灯熄灭</v>
      </c>
      <c r="C4676" s="2" t="s">
        <v>13</v>
      </c>
      <c r="D4676" s="2" t="s">
        <v>12</v>
      </c>
      <c r="E4676" s="2" t="s">
        <v>17</v>
      </c>
      <c r="F4676" s="2" t="str">
        <f>HYPERLINK("http://www.12365auto.com/zlts/20200220/447885.shtml","http://www.12365auto.com/zlts/20200220/447885.shtml")</f>
        <v>http://www.12365auto.com/zlts/20200220/447885.shtml</v>
      </c>
      <c r="G4676" s="2"/>
      <c r="H4676" s="2" t="s">
        <v>6643</v>
      </c>
      <c r="I4676" s="2" t="s">
        <v>19</v>
      </c>
      <c r="J4676" s="2" t="s">
        <v>12</v>
      </c>
      <c r="K4676" s="2" t="s">
        <v>6639</v>
      </c>
      <c r="L4676" s="2">
        <f t="shared" si="73"/>
        <v>150</v>
      </c>
    </row>
    <row r="4677" spans="1:12" ht="25" customHeight="1">
      <c r="A4677" s="2" t="s">
        <v>12</v>
      </c>
      <c r="B4677" s="2" t="str">
        <f>HYPERLINK("http://bbs.12365auto.com/postcontent.aspx?tID=194650","什么是车身框架结构？厢式货车底盘解析")</f>
        <v>什么是车身框架结构？厢式货车底盘解析</v>
      </c>
      <c r="C4677" s="2" t="s">
        <v>13</v>
      </c>
      <c r="D4677" s="2" t="s">
        <v>12</v>
      </c>
      <c r="E4677" s="2" t="s">
        <v>28</v>
      </c>
      <c r="F4677" s="2" t="str">
        <f>HYPERLINK("http://bbs.12365auto.com/postcontent.aspx?tID=194650","http://bbs.12365auto.com/postcontent.aspx?tID=194650")</f>
        <v>http://bbs.12365auto.com/postcontent.aspx?tID=194650</v>
      </c>
      <c r="G4677" s="2"/>
      <c r="H4677" s="2" t="s">
        <v>6644</v>
      </c>
      <c r="I4677" s="2" t="s">
        <v>15</v>
      </c>
      <c r="J4677" s="2" t="s">
        <v>1276</v>
      </c>
      <c r="K4677" s="2" t="s">
        <v>6645</v>
      </c>
      <c r="L4677" s="2">
        <f t="shared" si="73"/>
        <v>150</v>
      </c>
    </row>
    <row r="4678" spans="1:12" ht="25" customHeight="1">
      <c r="A4678" s="2" t="s">
        <v>12</v>
      </c>
      <c r="B4678" s="2" t="str">
        <f>HYPERLINK("http://bbs.12365auto.com/postcontent.aspx?tID=194651","悲情英雄 德•托马索曲折发展史")</f>
        <v>悲情英雄 德•托马索曲折发展史</v>
      </c>
      <c r="C4678" s="2" t="s">
        <v>13</v>
      </c>
      <c r="D4678" s="2" t="s">
        <v>12</v>
      </c>
      <c r="E4678" s="2" t="s">
        <v>4209</v>
      </c>
      <c r="F4678" s="2" t="str">
        <f>HYPERLINK("http://bbs.12365auto.com/postcontent.aspx?tID=194651","http://bbs.12365auto.com/postcontent.aspx?tID=194651")</f>
        <v>http://bbs.12365auto.com/postcontent.aspx?tID=194651</v>
      </c>
      <c r="G4678" s="2"/>
      <c r="H4678" s="2" t="s">
        <v>6646</v>
      </c>
      <c r="I4678" s="2" t="s">
        <v>15</v>
      </c>
      <c r="J4678" s="2" t="s">
        <v>1276</v>
      </c>
      <c r="K4678" s="2" t="s">
        <v>6645</v>
      </c>
      <c r="L4678" s="2">
        <f t="shared" si="73"/>
        <v>150</v>
      </c>
    </row>
    <row r="4679" spans="1:12" ht="25" customHeight="1">
      <c r="A4679" s="2" t="s">
        <v>12</v>
      </c>
      <c r="B4679" s="2" t="str">
        <f>HYPERLINK("http://m.12365auto.com/bbs/postcontent.aspx?tID=194650","什么是车身框架结构？厢式货车底盘解析")</f>
        <v>什么是车身框架结构？厢式货车底盘解析</v>
      </c>
      <c r="C4679" s="2" t="s">
        <v>13</v>
      </c>
      <c r="D4679" s="2" t="s">
        <v>23</v>
      </c>
      <c r="E4679" s="2"/>
      <c r="F4679" s="2" t="str">
        <f>HYPERLINK("http://m.12365auto.com/bbs/postcontent.aspx?tID=194650","http://m.12365auto.com/bbs/postcontent.aspx?tID=194650")</f>
        <v>http://m.12365auto.com/bbs/postcontent.aspx?tID=194650</v>
      </c>
      <c r="G4679" s="2"/>
      <c r="H4679" s="2" t="s">
        <v>6647</v>
      </c>
      <c r="I4679" s="2" t="s">
        <v>15</v>
      </c>
      <c r="J4679" s="2" t="s">
        <v>1276</v>
      </c>
      <c r="K4679" s="2" t="s">
        <v>6645</v>
      </c>
      <c r="L4679" s="2">
        <f t="shared" si="73"/>
        <v>150</v>
      </c>
    </row>
    <row r="4680" spans="1:12" ht="25" customHeight="1">
      <c r="A4680" s="2" t="s">
        <v>12</v>
      </c>
      <c r="B4680" s="2" t="str">
        <f>HYPERLINK("http://m.12365auto.com/bbs/postcontent.aspx?tID=194651","悲情英雄 德•托马索曲折发展史")</f>
        <v>悲情英雄 德•托马索曲折发展史</v>
      </c>
      <c r="C4680" s="2" t="s">
        <v>13</v>
      </c>
      <c r="D4680" s="2" t="s">
        <v>23</v>
      </c>
      <c r="E4680" s="2"/>
      <c r="F4680" s="2" t="str">
        <f>HYPERLINK("http://m.12365auto.com/bbs/postcontent.aspx?tID=194651","http://m.12365auto.com/bbs/postcontent.aspx?tID=194651")</f>
        <v>http://m.12365auto.com/bbs/postcontent.aspx?tID=194651</v>
      </c>
      <c r="G4680" s="2"/>
      <c r="H4680" s="2" t="s">
        <v>6648</v>
      </c>
      <c r="I4680" s="2" t="s">
        <v>15</v>
      </c>
      <c r="J4680" s="2" t="s">
        <v>1276</v>
      </c>
      <c r="K4680" s="2" t="s">
        <v>6645</v>
      </c>
      <c r="L4680" s="2">
        <f t="shared" si="73"/>
        <v>150</v>
      </c>
    </row>
    <row r="4681" spans="1:12" ht="25" customHeight="1">
      <c r="A4681" s="2" t="s">
        <v>12</v>
      </c>
      <c r="B4681" s="2" t="str">
        <f>HYPERLINK("http://bbs.12365auto.com/postcontent.aspx?tId=194651","悲情英雄 德•托马索曲折发展史")</f>
        <v>悲情英雄 德•托马索曲折发展史</v>
      </c>
      <c r="C4681" s="2" t="s">
        <v>13</v>
      </c>
      <c r="D4681" s="2" t="s">
        <v>12</v>
      </c>
      <c r="E4681" s="2" t="s">
        <v>4212</v>
      </c>
      <c r="F4681" s="2" t="str">
        <f>HYPERLINK("http://bbs.12365auto.com/postcontent.aspx?tId=194651","http://bbs.12365auto.com/postcontent.aspx?tId=194651")</f>
        <v>http://bbs.12365auto.com/postcontent.aspx?tId=194651</v>
      </c>
      <c r="G4681" s="2"/>
      <c r="H4681" s="2" t="s">
        <v>6648</v>
      </c>
      <c r="I4681" s="2" t="s">
        <v>15</v>
      </c>
      <c r="J4681" s="2" t="s">
        <v>1276</v>
      </c>
      <c r="K4681" s="2" t="s">
        <v>6645</v>
      </c>
      <c r="L4681" s="2">
        <f t="shared" si="73"/>
        <v>150</v>
      </c>
    </row>
    <row r="4682" spans="1:12" ht="25" customHeight="1">
      <c r="A4682" s="2" t="s">
        <v>12</v>
      </c>
      <c r="B4682" s="2" t="str">
        <f>HYPERLINK("http://bbs.12365auto.com/postcontent.aspx?tId=194650","什么是车身框架结构？厢式货车底盘解析")</f>
        <v>什么是车身框架结构？厢式货车底盘解析</v>
      </c>
      <c r="C4682" s="2" t="s">
        <v>13</v>
      </c>
      <c r="D4682" s="2" t="s">
        <v>12</v>
      </c>
      <c r="E4682" s="2" t="s">
        <v>27</v>
      </c>
      <c r="F4682" s="2" t="str">
        <f>HYPERLINK("http://bbs.12365auto.com/postcontent.aspx?tId=194650","http://bbs.12365auto.com/postcontent.aspx?tId=194650")</f>
        <v>http://bbs.12365auto.com/postcontent.aspx?tId=194650</v>
      </c>
      <c r="G4682" s="2"/>
      <c r="H4682" s="2" t="s">
        <v>6647</v>
      </c>
      <c r="I4682" s="2" t="s">
        <v>15</v>
      </c>
      <c r="J4682" s="2" t="s">
        <v>1276</v>
      </c>
      <c r="K4682" s="2" t="s">
        <v>6645</v>
      </c>
      <c r="L4682" s="2">
        <f t="shared" si="73"/>
        <v>150</v>
      </c>
    </row>
    <row r="4683" spans="1:12" ht="25" customHeight="1">
      <c r="A4683" s="2" t="s">
        <v>12</v>
      </c>
      <c r="B4683" s="2" t="str">
        <f>HYPERLINK("http://bbs.12365auto.com/postcontent.aspx?tID=194649","手动挡怕上坡？4个方法助你征服任何坡")</f>
        <v>手动挡怕上坡？4个方法助你征服任何坡</v>
      </c>
      <c r="C4683" s="2" t="s">
        <v>13</v>
      </c>
      <c r="D4683" s="2" t="s">
        <v>12</v>
      </c>
      <c r="E4683" s="2" t="s">
        <v>214</v>
      </c>
      <c r="F4683" s="2" t="str">
        <f>HYPERLINK("http://bbs.12365auto.com/postcontent.aspx?tID=194649","http://bbs.12365auto.com/postcontent.aspx?tID=194649")</f>
        <v>http://bbs.12365auto.com/postcontent.aspx?tID=194649</v>
      </c>
      <c r="G4683" s="2"/>
      <c r="H4683" s="2" t="s">
        <v>6649</v>
      </c>
      <c r="I4683" s="2" t="s">
        <v>15</v>
      </c>
      <c r="J4683" s="2" t="s">
        <v>1276</v>
      </c>
      <c r="K4683" s="2" t="s">
        <v>6650</v>
      </c>
      <c r="L4683" s="2">
        <f t="shared" si="73"/>
        <v>150</v>
      </c>
    </row>
    <row r="4684" spans="1:12" ht="25" customHeight="1">
      <c r="A4684" s="2" t="s">
        <v>12</v>
      </c>
      <c r="B4684" s="2" t="str">
        <f>HYPERLINK("http://m.12365auto.com/bbs/postcontent.aspx?tID=194649","手动挡怕上坡？4个方法助你征服任何坡")</f>
        <v>手动挡怕上坡？4个方法助你征服任何坡</v>
      </c>
      <c r="C4684" s="2" t="s">
        <v>13</v>
      </c>
      <c r="D4684" s="2" t="s">
        <v>23</v>
      </c>
      <c r="E4684" s="2"/>
      <c r="F4684" s="2" t="str">
        <f>HYPERLINK("http://m.12365auto.com/bbs/postcontent.aspx?tID=194649","http://m.12365auto.com/bbs/postcontent.aspx?tID=194649")</f>
        <v>http://m.12365auto.com/bbs/postcontent.aspx?tID=194649</v>
      </c>
      <c r="G4684" s="2"/>
      <c r="H4684" s="2" t="s">
        <v>6651</v>
      </c>
      <c r="I4684" s="2" t="s">
        <v>15</v>
      </c>
      <c r="J4684" s="2" t="s">
        <v>1276</v>
      </c>
      <c r="K4684" s="2" t="s">
        <v>6650</v>
      </c>
      <c r="L4684" s="2">
        <f t="shared" si="73"/>
        <v>150</v>
      </c>
    </row>
    <row r="4685" spans="1:12" ht="25" customHeight="1">
      <c r="A4685" s="2" t="s">
        <v>12</v>
      </c>
      <c r="B4685" s="2" t="str">
        <f>HYPERLINK("http://bbs.12365auto.com/postcontent.aspx?tId=194649","手动挡怕上坡？4个方法助你征服任何坡")</f>
        <v>手动挡怕上坡？4个方法助你征服任何坡</v>
      </c>
      <c r="C4685" s="2" t="s">
        <v>13</v>
      </c>
      <c r="D4685" s="2" t="s">
        <v>12</v>
      </c>
      <c r="E4685" s="2" t="s">
        <v>210</v>
      </c>
      <c r="F4685" s="2" t="str">
        <f>HYPERLINK("http://bbs.12365auto.com/postcontent.aspx?tId=194649","http://bbs.12365auto.com/postcontent.aspx?tId=194649")</f>
        <v>http://bbs.12365auto.com/postcontent.aspx?tId=194649</v>
      </c>
      <c r="G4685" s="2"/>
      <c r="H4685" s="2" t="s">
        <v>6651</v>
      </c>
      <c r="I4685" s="2" t="s">
        <v>15</v>
      </c>
      <c r="J4685" s="2" t="s">
        <v>1276</v>
      </c>
      <c r="K4685" s="2" t="s">
        <v>6650</v>
      </c>
      <c r="L4685" s="2">
        <f t="shared" si="73"/>
        <v>150</v>
      </c>
    </row>
    <row r="4686" spans="1:12" ht="25" customHeight="1">
      <c r="A4686" s="2" t="s">
        <v>12</v>
      </c>
      <c r="B4686" s="2" t="str">
        <f>HYPERLINK("http://www.12365auto.com/zlts/20200220/447883.shtml","一汽大众速腾两后锦湖轮胎不规则磨损")</f>
        <v>一汽大众速腾两后锦湖轮胎不规则磨损</v>
      </c>
      <c r="C4686" s="2" t="s">
        <v>13</v>
      </c>
      <c r="D4686" s="2" t="s">
        <v>12</v>
      </c>
      <c r="E4686" s="2" t="s">
        <v>17</v>
      </c>
      <c r="F4686" s="2" t="str">
        <f>HYPERLINK("http://www.12365auto.com/zlts/20200220/447883.shtml","http://www.12365auto.com/zlts/20200220/447883.shtml")</f>
        <v>http://www.12365auto.com/zlts/20200220/447883.shtml</v>
      </c>
      <c r="G4686" s="2"/>
      <c r="H4686" s="2" t="s">
        <v>6652</v>
      </c>
      <c r="I4686" s="2" t="s">
        <v>19</v>
      </c>
      <c r="J4686" s="2" t="s">
        <v>12</v>
      </c>
      <c r="K4686" s="2" t="s">
        <v>6653</v>
      </c>
      <c r="L4686" s="2">
        <f t="shared" si="73"/>
        <v>150</v>
      </c>
    </row>
    <row r="4687" spans="1:12" ht="25" customHeight="1">
      <c r="A4687" s="2" t="s">
        <v>12</v>
      </c>
      <c r="B4687" s="2" t="str">
        <f>HYPERLINK("http://bbs.12365auto.com/postcontent.aspx?tID=194636","西装暴徒 —— 试驾哥们的新款帕萨特")</f>
        <v>西装暴徒 —— 试驾哥们的新款帕萨特</v>
      </c>
      <c r="C4687" s="2" t="s">
        <v>13</v>
      </c>
      <c r="D4687" s="2" t="s">
        <v>12</v>
      </c>
      <c r="E4687" s="2" t="s">
        <v>214</v>
      </c>
      <c r="F4687" s="2" t="str">
        <f>HYPERLINK("http://bbs.12365auto.com/postcontent.aspx?tID=194636","http://bbs.12365auto.com/postcontent.aspx?tID=194636")</f>
        <v>http://bbs.12365auto.com/postcontent.aspx?tID=194636</v>
      </c>
      <c r="G4687" s="2"/>
      <c r="H4687" s="2" t="s">
        <v>6441</v>
      </c>
      <c r="I4687" s="2" t="s">
        <v>15</v>
      </c>
      <c r="J4687" s="2" t="s">
        <v>2821</v>
      </c>
      <c r="K4687" s="2" t="s">
        <v>6654</v>
      </c>
      <c r="L4687" s="2">
        <f t="shared" si="73"/>
        <v>150</v>
      </c>
    </row>
    <row r="4688" spans="1:12" ht="25" customHeight="1">
      <c r="A4688" s="2" t="s">
        <v>12</v>
      </c>
      <c r="B4688" s="2" t="str">
        <f>HYPERLINK("http://m.12365auto.com/bbs/postcontent.aspx?tID=194636","西装暴徒 —— 试驾哥们的新款帕萨特")</f>
        <v>西装暴徒 —— 试驾哥们的新款帕萨特</v>
      </c>
      <c r="C4688" s="2" t="s">
        <v>13</v>
      </c>
      <c r="D4688" s="2" t="s">
        <v>23</v>
      </c>
      <c r="E4688" s="2"/>
      <c r="F4688" s="2" t="str">
        <f>HYPERLINK("http://m.12365auto.com/bbs/postcontent.aspx?tID=194636","http://m.12365auto.com/bbs/postcontent.aspx?tID=194636")</f>
        <v>http://m.12365auto.com/bbs/postcontent.aspx?tID=194636</v>
      </c>
      <c r="G4688" s="2"/>
      <c r="H4688" s="2" t="s">
        <v>6655</v>
      </c>
      <c r="I4688" s="2" t="s">
        <v>15</v>
      </c>
      <c r="J4688" s="2" t="s">
        <v>2821</v>
      </c>
      <c r="K4688" s="2" t="s">
        <v>6654</v>
      </c>
      <c r="L4688" s="2">
        <f t="shared" si="73"/>
        <v>150</v>
      </c>
    </row>
    <row r="4689" spans="1:12" ht="25" customHeight="1">
      <c r="A4689" s="2" t="s">
        <v>12</v>
      </c>
      <c r="B4689" s="2" t="str">
        <f>HYPERLINK("http://bbs.12365auto.com/postcontent.aspx?tId=194636","西装暴徒 —— 试驾哥们的新款帕萨特")</f>
        <v>西装暴徒 —— 试驾哥们的新款帕萨特</v>
      </c>
      <c r="C4689" s="2" t="s">
        <v>13</v>
      </c>
      <c r="D4689" s="2" t="s">
        <v>12</v>
      </c>
      <c r="E4689" s="2" t="s">
        <v>210</v>
      </c>
      <c r="F4689" s="2" t="str">
        <f>HYPERLINK("http://bbs.12365auto.com/postcontent.aspx?tId=194636","http://bbs.12365auto.com/postcontent.aspx?tId=194636")</f>
        <v>http://bbs.12365auto.com/postcontent.aspx?tId=194636</v>
      </c>
      <c r="G4689" s="2"/>
      <c r="H4689" s="2" t="s">
        <v>6655</v>
      </c>
      <c r="I4689" s="2" t="s">
        <v>15</v>
      </c>
      <c r="J4689" s="2" t="s">
        <v>2821</v>
      </c>
      <c r="K4689" s="2" t="s">
        <v>6654</v>
      </c>
      <c r="L4689" s="2">
        <f t="shared" si="73"/>
        <v>150</v>
      </c>
    </row>
    <row r="4690" spans="1:12" ht="25" customHeight="1">
      <c r="A4690" s="2" t="s">
        <v>12</v>
      </c>
      <c r="B4690" s="2" t="str">
        <f>HYPERLINK("http://www.12365auto.com/zlts/20200220/447882.shtml","领克01转向柱生锈 驱动半轴生锈严重")</f>
        <v>领克01转向柱生锈 驱动半轴生锈严重</v>
      </c>
      <c r="C4690" s="2" t="s">
        <v>13</v>
      </c>
      <c r="D4690" s="2" t="s">
        <v>12</v>
      </c>
      <c r="E4690" s="2" t="s">
        <v>17</v>
      </c>
      <c r="F4690" s="2" t="str">
        <f>HYPERLINK("http://www.12365auto.com/zlts/20200220/447882.shtml","http://www.12365auto.com/zlts/20200220/447882.shtml")</f>
        <v>http://www.12365auto.com/zlts/20200220/447882.shtml</v>
      </c>
      <c r="G4690" s="2"/>
      <c r="H4690" s="2" t="s">
        <v>6656</v>
      </c>
      <c r="I4690" s="2" t="s">
        <v>19</v>
      </c>
      <c r="J4690" s="2" t="s">
        <v>12</v>
      </c>
      <c r="K4690" s="2" t="s">
        <v>6657</v>
      </c>
      <c r="L4690" s="2">
        <f t="shared" si="73"/>
        <v>150</v>
      </c>
    </row>
    <row r="4691" spans="1:12" ht="25" customHeight="1">
      <c r="A4691" s="2" t="s">
        <v>12</v>
      </c>
      <c r="B4691" s="2" t="str">
        <f>HYPERLINK("http://www.12365auto.com/zlts/20200220/447880.shtml","野马T70变速箱异响无法换挡 车辆跑偏")</f>
        <v>野马T70变速箱异响无法换挡 车辆跑偏</v>
      </c>
      <c r="C4691" s="2" t="s">
        <v>13</v>
      </c>
      <c r="D4691" s="2" t="s">
        <v>12</v>
      </c>
      <c r="E4691" s="2" t="s">
        <v>17</v>
      </c>
      <c r="F4691" s="2" t="str">
        <f>HYPERLINK("http://www.12365auto.com/zlts/20200220/447880.shtml","http://www.12365auto.com/zlts/20200220/447880.shtml")</f>
        <v>http://www.12365auto.com/zlts/20200220/447880.shtml</v>
      </c>
      <c r="G4691" s="2"/>
      <c r="H4691" s="2" t="s">
        <v>6658</v>
      </c>
      <c r="I4691" s="2" t="s">
        <v>19</v>
      </c>
      <c r="J4691" s="2" t="s">
        <v>12</v>
      </c>
      <c r="K4691" s="2" t="s">
        <v>6659</v>
      </c>
      <c r="L4691" s="2">
        <f t="shared" si="73"/>
        <v>150</v>
      </c>
    </row>
    <row r="4692" spans="1:12" ht="25" customHeight="1">
      <c r="A4692" s="2" t="s">
        <v>12</v>
      </c>
      <c r="B4692" s="2" t="str">
        <f>HYPERLINK("http://m.12365auto.com/news/20200220/419122.shtml","更便捷更放心 小鹏线上购车/交付服务升级")</f>
        <v>更便捷更放心 小鹏线上购车/交付服务升级</v>
      </c>
      <c r="C4692" s="2" t="s">
        <v>13</v>
      </c>
      <c r="D4692" s="2" t="s">
        <v>12</v>
      </c>
      <c r="E4692" s="2"/>
      <c r="F4692" s="2" t="str">
        <f>HYPERLINK("http://m.12365auto.com/news/20200220/419122.shtml","http://m.12365auto.com/news/20200220/419122.shtml")</f>
        <v>http://m.12365auto.com/news/20200220/419122.shtml</v>
      </c>
      <c r="G4692" s="2"/>
      <c r="H4692" s="2" t="s">
        <v>6660</v>
      </c>
      <c r="I4692" s="2" t="s">
        <v>19</v>
      </c>
      <c r="J4692" s="2" t="s">
        <v>5854</v>
      </c>
      <c r="K4692" s="2" t="s">
        <v>6661</v>
      </c>
      <c r="L4692" s="2">
        <f t="shared" si="73"/>
        <v>150</v>
      </c>
    </row>
    <row r="4693" spans="1:12" ht="25" customHeight="1">
      <c r="A4693" s="2" t="s">
        <v>12</v>
      </c>
      <c r="B4693" s="2" t="str">
        <f>HYPERLINK("http://www.12365auto.com/news/20200220/419122.shtml","更便捷更放心 小鹏线上购车/交付服务升级")</f>
        <v>更便捷更放心 小鹏线上购车/交付服务升级</v>
      </c>
      <c r="C4693" s="2" t="s">
        <v>13</v>
      </c>
      <c r="D4693" s="2" t="s">
        <v>12</v>
      </c>
      <c r="E4693" s="2" t="s">
        <v>276</v>
      </c>
      <c r="F4693" s="2" t="str">
        <f>HYPERLINK("http://www.12365auto.com/news/20200220/419122.shtml","http://www.12365auto.com/news/20200220/419122.shtml")</f>
        <v>http://www.12365auto.com/news/20200220/419122.shtml</v>
      </c>
      <c r="G4693" s="2"/>
      <c r="H4693" s="2" t="s">
        <v>6662</v>
      </c>
      <c r="I4693" s="2" t="s">
        <v>15</v>
      </c>
      <c r="J4693" s="2" t="s">
        <v>12</v>
      </c>
      <c r="K4693" s="2" t="s">
        <v>6661</v>
      </c>
      <c r="L4693" s="2">
        <f t="shared" si="73"/>
        <v>150</v>
      </c>
    </row>
    <row r="4694" spans="1:12" ht="25" customHeight="1">
      <c r="A4694" s="2" t="s">
        <v>12</v>
      </c>
      <c r="B4694" s="2" t="str">
        <f>HYPERLINK("http://m.12365auto.com/xcdg/20200220/419121.shtml","V6神功护体 玛莎拉蒂全新跑车或定名Alfieri")</f>
        <v>V6神功护体 玛莎拉蒂全新跑车或定名Alfieri</v>
      </c>
      <c r="C4694" s="2" t="s">
        <v>13</v>
      </c>
      <c r="D4694" s="2" t="s">
        <v>12</v>
      </c>
      <c r="E4694" s="2"/>
      <c r="F4694" s="2" t="str">
        <f>HYPERLINK("http://m.12365auto.com/xcdg/20200220/419121.shtml","http://m.12365auto.com/xcdg/20200220/419121.shtml")</f>
        <v>http://m.12365auto.com/xcdg/20200220/419121.shtml</v>
      </c>
      <c r="G4694" s="2"/>
      <c r="H4694" s="2" t="s">
        <v>6663</v>
      </c>
      <c r="I4694" s="2" t="s">
        <v>19</v>
      </c>
      <c r="J4694" s="2" t="s">
        <v>1623</v>
      </c>
      <c r="K4694" s="2" t="s">
        <v>6664</v>
      </c>
      <c r="L4694" s="2">
        <f t="shared" si="73"/>
        <v>150</v>
      </c>
    </row>
    <row r="4695" spans="1:12" ht="25" customHeight="1">
      <c r="A4695" s="2" t="s">
        <v>12</v>
      </c>
      <c r="B4695" s="2" t="str">
        <f>HYPERLINK("http://www.12365auto.com/xcdg/20200220/419121.shtml","V6神功护体 玛莎拉蒂全新跑车或定名Alfieri")</f>
        <v>V6神功护体 玛莎拉蒂全新跑车或定名Alfieri</v>
      </c>
      <c r="C4695" s="2" t="s">
        <v>13</v>
      </c>
      <c r="D4695" s="2" t="s">
        <v>12</v>
      </c>
      <c r="E4695" s="2" t="s">
        <v>224</v>
      </c>
      <c r="F4695" s="2" t="str">
        <f>HYPERLINK("http://www.12365auto.com/xcdg/20200220/419121.shtml","http://www.12365auto.com/xcdg/20200220/419121.shtml")</f>
        <v>http://www.12365auto.com/xcdg/20200220/419121.shtml</v>
      </c>
      <c r="G4695" s="2"/>
      <c r="H4695" s="2" t="s">
        <v>6665</v>
      </c>
      <c r="I4695" s="2" t="s">
        <v>15</v>
      </c>
      <c r="J4695" s="2" t="s">
        <v>12</v>
      </c>
      <c r="K4695" s="2" t="s">
        <v>6664</v>
      </c>
      <c r="L4695" s="2">
        <f t="shared" si="73"/>
        <v>150</v>
      </c>
    </row>
    <row r="4696" spans="1:12" ht="25" customHeight="1">
      <c r="A4696" s="2" t="s">
        <v>12</v>
      </c>
      <c r="B4696" s="2" t="str">
        <f>HYPERLINK("http://www.12365auto.com/zlts/20200220/447879.shtml","上汽大众4S店违规收取出库费检测费")</f>
        <v>上汽大众4S店违规收取出库费检测费</v>
      </c>
      <c r="C4696" s="2" t="s">
        <v>13</v>
      </c>
      <c r="D4696" s="2" t="s">
        <v>12</v>
      </c>
      <c r="E4696" s="2" t="s">
        <v>17</v>
      </c>
      <c r="F4696" s="2" t="str">
        <f>HYPERLINK("http://www.12365auto.com/zlts/20200220/447879.shtml","http://www.12365auto.com/zlts/20200220/447879.shtml")</f>
        <v>http://www.12365auto.com/zlts/20200220/447879.shtml</v>
      </c>
      <c r="G4696" s="2"/>
      <c r="H4696" s="2" t="s">
        <v>6666</v>
      </c>
      <c r="I4696" s="2" t="s">
        <v>19</v>
      </c>
      <c r="J4696" s="2" t="s">
        <v>12</v>
      </c>
      <c r="K4696" s="2" t="s">
        <v>6667</v>
      </c>
      <c r="L4696" s="2">
        <f t="shared" si="73"/>
        <v>150</v>
      </c>
    </row>
    <row r="4697" spans="1:12" ht="25" customHeight="1">
      <c r="A4697" s="2" t="s">
        <v>12</v>
      </c>
      <c r="B4697" s="2" t="str">
        <f>HYPERLINK("http://m.12365auto.com/xcdg/20200220/419120.shtml","注重空气质量的你可以考虑这三款新能源SUV")</f>
        <v>注重空气质量的你可以考虑这三款新能源SUV</v>
      </c>
      <c r="C4697" s="2" t="s">
        <v>13</v>
      </c>
      <c r="D4697" s="2" t="s">
        <v>12</v>
      </c>
      <c r="E4697" s="2"/>
      <c r="F4697" s="2" t="str">
        <f>HYPERLINK("http://m.12365auto.com/xcdg/20200220/419120.shtml","http://m.12365auto.com/xcdg/20200220/419120.shtml")</f>
        <v>http://m.12365auto.com/xcdg/20200220/419120.shtml</v>
      </c>
      <c r="G4697" s="2"/>
      <c r="H4697" s="2" t="s">
        <v>6668</v>
      </c>
      <c r="I4697" s="2" t="s">
        <v>19</v>
      </c>
      <c r="J4697" s="2" t="s">
        <v>844</v>
      </c>
      <c r="K4697" s="2" t="s">
        <v>6669</v>
      </c>
      <c r="L4697" s="2">
        <f t="shared" si="73"/>
        <v>150</v>
      </c>
    </row>
    <row r="4698" spans="1:12" ht="25" customHeight="1">
      <c r="A4698" s="2" t="s">
        <v>12</v>
      </c>
      <c r="B4698" s="2" t="str">
        <f>HYPERLINK("http://m.12365auto.com/xcdg/20200220/419119.shtml","这才是国产高端品牌该有的表现 领克03简析")</f>
        <v>这才是国产高端品牌该有的表现 领克03简析</v>
      </c>
      <c r="C4698" s="2" t="s">
        <v>13</v>
      </c>
      <c r="D4698" s="2" t="s">
        <v>12</v>
      </c>
      <c r="E4698" s="2"/>
      <c r="F4698" s="2" t="str">
        <f>HYPERLINK("http://m.12365auto.com/xcdg/20200220/419119.shtml","http://m.12365auto.com/xcdg/20200220/419119.shtml")</f>
        <v>http://m.12365auto.com/xcdg/20200220/419119.shtml</v>
      </c>
      <c r="G4698" s="2"/>
      <c r="H4698" s="2" t="s">
        <v>6670</v>
      </c>
      <c r="I4698" s="2" t="s">
        <v>19</v>
      </c>
      <c r="J4698" s="2" t="s">
        <v>12</v>
      </c>
      <c r="K4698" s="2" t="s">
        <v>6671</v>
      </c>
      <c r="L4698" s="2">
        <f t="shared" si="73"/>
        <v>150</v>
      </c>
    </row>
    <row r="4699" spans="1:12" ht="25" customHeight="1">
      <c r="A4699" s="2" t="s">
        <v>12</v>
      </c>
      <c r="B4699" s="2" t="str">
        <f>HYPERLINK("http://m.12365auto.com/xcdg/20200220/419118.shtml","新势力将何去何从 奥迪e-tron优缺点解析")</f>
        <v>新势力将何去何从 奥迪e-tron优缺点解析</v>
      </c>
      <c r="C4699" s="2" t="s">
        <v>13</v>
      </c>
      <c r="D4699" s="2" t="s">
        <v>12</v>
      </c>
      <c r="E4699" s="2"/>
      <c r="F4699" s="2" t="str">
        <f>HYPERLINK("http://m.12365auto.com/xcdg/20200220/419118.shtml","http://m.12365auto.com/xcdg/20200220/419118.shtml")</f>
        <v>http://m.12365auto.com/xcdg/20200220/419118.shtml</v>
      </c>
      <c r="G4699" s="2"/>
      <c r="H4699" s="2" t="s">
        <v>6672</v>
      </c>
      <c r="I4699" s="2" t="s">
        <v>19</v>
      </c>
      <c r="J4699" s="2" t="s">
        <v>12</v>
      </c>
      <c r="K4699" s="2" t="s">
        <v>6673</v>
      </c>
      <c r="L4699" s="2">
        <f t="shared" si="73"/>
        <v>150</v>
      </c>
    </row>
    <row r="4700" spans="1:12" ht="25" customHeight="1">
      <c r="A4700" s="2" t="s">
        <v>12</v>
      </c>
      <c r="B4700" s="2" t="str">
        <f>HYPERLINK("http://www.12365auto.com/news/20200220/419117.shtml","增长9.8% 本田1月在华销售汽车15万辆")</f>
        <v>增长9.8% 本田1月在华销售汽车15万辆</v>
      </c>
      <c r="C4700" s="2" t="s">
        <v>13</v>
      </c>
      <c r="D4700" s="2" t="s">
        <v>12</v>
      </c>
      <c r="E4700" s="2" t="s">
        <v>276</v>
      </c>
      <c r="F4700" s="2" t="str">
        <f>HYPERLINK("http://www.12365auto.com/news/20200220/419117.shtml","http://www.12365auto.com/news/20200220/419117.shtml")</f>
        <v>http://www.12365auto.com/news/20200220/419117.shtml</v>
      </c>
      <c r="G4700" s="2"/>
      <c r="H4700" s="2" t="s">
        <v>6674</v>
      </c>
      <c r="I4700" s="2" t="s">
        <v>15</v>
      </c>
      <c r="J4700" s="2" t="s">
        <v>12</v>
      </c>
      <c r="K4700" s="2" t="s">
        <v>6675</v>
      </c>
      <c r="L4700" s="2">
        <f t="shared" si="73"/>
        <v>150</v>
      </c>
    </row>
    <row r="4701" spans="1:12" ht="25" customHeight="1">
      <c r="A4701" s="2" t="s">
        <v>12</v>
      </c>
      <c r="B4701" s="2" t="str">
        <f>HYPERLINK("http://m.12365auto.com/news/20200220/419117.shtml","增长9.8% 本田1月在华销售汽车15万辆")</f>
        <v>增长9.8% 本田1月在华销售汽车15万辆</v>
      </c>
      <c r="C4701" s="2" t="s">
        <v>13</v>
      </c>
      <c r="D4701" s="2" t="s">
        <v>12</v>
      </c>
      <c r="E4701" s="2"/>
      <c r="F4701" s="2" t="str">
        <f>HYPERLINK("http://m.12365auto.com/news/20200220/419117.shtml","http://m.12365auto.com/news/20200220/419117.shtml")</f>
        <v>http://m.12365auto.com/news/20200220/419117.shtml</v>
      </c>
      <c r="G4701" s="2"/>
      <c r="H4701" s="2" t="s">
        <v>6676</v>
      </c>
      <c r="I4701" s="2" t="s">
        <v>19</v>
      </c>
      <c r="J4701" s="2" t="s">
        <v>274</v>
      </c>
      <c r="K4701" s="2" t="s">
        <v>6675</v>
      </c>
      <c r="L4701" s="2">
        <f t="shared" si="73"/>
        <v>150</v>
      </c>
    </row>
    <row r="4702" spans="1:12" ht="25" customHeight="1">
      <c r="A4702" s="2" t="s">
        <v>12</v>
      </c>
      <c r="B4702" s="2" t="str">
        <f>HYPERLINK("http://www.12365auto.com/xcdg/20200220/419116.shtml","主推电气化产品 曝雷诺日内瓦车展阵容")</f>
        <v>主推电气化产品 曝雷诺日内瓦车展阵容</v>
      </c>
      <c r="C4702" s="2" t="s">
        <v>13</v>
      </c>
      <c r="D4702" s="2" t="s">
        <v>12</v>
      </c>
      <c r="E4702" s="2" t="s">
        <v>216</v>
      </c>
      <c r="F4702" s="2" t="str">
        <f>HYPERLINK("http://www.12365auto.com/xcdg/20200220/419116.shtml","http://www.12365auto.com/xcdg/20200220/419116.shtml")</f>
        <v>http://www.12365auto.com/xcdg/20200220/419116.shtml</v>
      </c>
      <c r="G4702" s="2"/>
      <c r="H4702" s="2" t="s">
        <v>6677</v>
      </c>
      <c r="I4702" s="2" t="s">
        <v>15</v>
      </c>
      <c r="J4702" s="2" t="s">
        <v>12</v>
      </c>
      <c r="K4702" s="2" t="s">
        <v>6678</v>
      </c>
      <c r="L4702" s="2">
        <f t="shared" si="73"/>
        <v>150</v>
      </c>
    </row>
    <row r="4703" spans="1:12" ht="25" customHeight="1">
      <c r="A4703" s="2" t="s">
        <v>12</v>
      </c>
      <c r="B4703" s="2" t="str">
        <f>HYPERLINK("http://m.12365auto.com/xcdg/20200220/419116.shtml","主推电气化产品 曝雷诺日内瓦车展阵容")</f>
        <v>主推电气化产品 曝雷诺日内瓦车展阵容</v>
      </c>
      <c r="C4703" s="2" t="s">
        <v>13</v>
      </c>
      <c r="D4703" s="2" t="s">
        <v>12</v>
      </c>
      <c r="E4703" s="2"/>
      <c r="F4703" s="2" t="str">
        <f>HYPERLINK("http://m.12365auto.com/xcdg/20200220/419116.shtml","http://m.12365auto.com/xcdg/20200220/419116.shtml")</f>
        <v>http://m.12365auto.com/xcdg/20200220/419116.shtml</v>
      </c>
      <c r="G4703" s="2"/>
      <c r="H4703" s="2" t="s">
        <v>6679</v>
      </c>
      <c r="I4703" s="2" t="s">
        <v>19</v>
      </c>
      <c r="J4703" s="2" t="s">
        <v>1637</v>
      </c>
      <c r="K4703" s="2" t="s">
        <v>6678</v>
      </c>
      <c r="L4703" s="2">
        <f t="shared" si="73"/>
        <v>150</v>
      </c>
    </row>
    <row r="4704" spans="1:12" ht="25" customHeight="1">
      <c r="A4704" s="2" t="s">
        <v>12</v>
      </c>
      <c r="B4704" s="2" t="str">
        <f>HYPERLINK("http://www.12365auto.com/xcdg/20200220/419115.shtml","245马力？ 全新斯柯达明锐RS动力信息")</f>
        <v>245马力？ 全新斯柯达明锐RS动力信息</v>
      </c>
      <c r="C4704" s="2" t="s">
        <v>13</v>
      </c>
      <c r="D4704" s="2" t="s">
        <v>12</v>
      </c>
      <c r="E4704" s="2" t="s">
        <v>245</v>
      </c>
      <c r="F4704" s="2" t="str">
        <f>HYPERLINK("http://www.12365auto.com/xcdg/20200220/419115.shtml","http://www.12365auto.com/xcdg/20200220/419115.shtml")</f>
        <v>http://www.12365auto.com/xcdg/20200220/419115.shtml</v>
      </c>
      <c r="G4704" s="2"/>
      <c r="H4704" s="2" t="s">
        <v>6680</v>
      </c>
      <c r="I4704" s="2" t="s">
        <v>19</v>
      </c>
      <c r="J4704" s="2" t="s">
        <v>12</v>
      </c>
      <c r="K4704" s="2" t="s">
        <v>6681</v>
      </c>
      <c r="L4704" s="2">
        <f t="shared" si="73"/>
        <v>150</v>
      </c>
    </row>
    <row r="4705" spans="1:12" ht="25" customHeight="1">
      <c r="A4705" s="2" t="s">
        <v>12</v>
      </c>
      <c r="B4705" s="2" t="str">
        <f>HYPERLINK("http://m.12365auto.com/xcdg/20200220/419115.shtml","245马力？ 全新斯柯达明锐RS动力信息")</f>
        <v>245马力？ 全新斯柯达明锐RS动力信息</v>
      </c>
      <c r="C4705" s="2" t="s">
        <v>13</v>
      </c>
      <c r="D4705" s="2" t="s">
        <v>12</v>
      </c>
      <c r="E4705" s="2"/>
      <c r="F4705" s="2" t="str">
        <f>HYPERLINK("http://m.12365auto.com/xcdg/20200220/419115.shtml","http://m.12365auto.com/xcdg/20200220/419115.shtml")</f>
        <v>http://m.12365auto.com/xcdg/20200220/419115.shtml</v>
      </c>
      <c r="G4705" s="2"/>
      <c r="H4705" s="2" t="s">
        <v>6682</v>
      </c>
      <c r="I4705" s="2" t="s">
        <v>19</v>
      </c>
      <c r="J4705" s="2" t="s">
        <v>338</v>
      </c>
      <c r="K4705" s="2" t="s">
        <v>6681</v>
      </c>
      <c r="L4705" s="2">
        <f t="shared" si="73"/>
        <v>150</v>
      </c>
    </row>
    <row r="4706" spans="1:12" ht="25" customHeight="1">
      <c r="A4706" s="2" t="s">
        <v>12</v>
      </c>
      <c r="B4706" s="2" t="str">
        <f>HYPERLINK("http://www.12365auto.com/news/20200220/419114.shtml","增142.7% 一汽红旗1月销售1.26万辆")</f>
        <v>增142.7% 一汽红旗1月销售1.26万辆</v>
      </c>
      <c r="C4706" s="2" t="s">
        <v>13</v>
      </c>
      <c r="D4706" s="2" t="s">
        <v>12</v>
      </c>
      <c r="E4706" s="2" t="s">
        <v>282</v>
      </c>
      <c r="F4706" s="2" t="str">
        <f>HYPERLINK("http://www.12365auto.com/news/20200220/419114.shtml","http://www.12365auto.com/news/20200220/419114.shtml")</f>
        <v>http://www.12365auto.com/news/20200220/419114.shtml</v>
      </c>
      <c r="G4706" s="2"/>
      <c r="H4706" s="2" t="s">
        <v>6683</v>
      </c>
      <c r="I4706" s="2" t="s">
        <v>19</v>
      </c>
      <c r="J4706" s="2" t="s">
        <v>12</v>
      </c>
      <c r="K4706" s="2" t="s">
        <v>6684</v>
      </c>
      <c r="L4706" s="2">
        <f t="shared" si="73"/>
        <v>150</v>
      </c>
    </row>
    <row r="4707" spans="1:12" ht="25" customHeight="1">
      <c r="A4707" s="2" t="s">
        <v>12</v>
      </c>
      <c r="B4707" s="2" t="str">
        <f>HYPERLINK("http://m.12365auto.com/news/20200220/419114.shtml","增142.7% 一汽红旗1月销售1.26万辆")</f>
        <v>增142.7% 一汽红旗1月销售1.26万辆</v>
      </c>
      <c r="C4707" s="2" t="s">
        <v>13</v>
      </c>
      <c r="D4707" s="2" t="s">
        <v>12</v>
      </c>
      <c r="E4707" s="2"/>
      <c r="F4707" s="2" t="str">
        <f>HYPERLINK("http://m.12365auto.com/news/20200220/419114.shtml","http://m.12365auto.com/news/20200220/419114.shtml")</f>
        <v>http://m.12365auto.com/news/20200220/419114.shtml</v>
      </c>
      <c r="G4707" s="2"/>
      <c r="H4707" s="2" t="s">
        <v>6685</v>
      </c>
      <c r="I4707" s="2" t="s">
        <v>19</v>
      </c>
      <c r="J4707" s="2" t="s">
        <v>274</v>
      </c>
      <c r="K4707" s="2" t="s">
        <v>6684</v>
      </c>
      <c r="L4707" s="2">
        <f t="shared" si="73"/>
        <v>150</v>
      </c>
    </row>
    <row r="4708" spans="1:12" ht="25" customHeight="1">
      <c r="A4708" s="2" t="s">
        <v>12</v>
      </c>
      <c r="B4708" s="2" t="str">
        <f>HYPERLINK("http://www.12365auto.com/xcdg/20200220/419113.shtml","家族化设计 Polestar电动概念车预告图")</f>
        <v>家族化设计 Polestar电动概念车预告图</v>
      </c>
      <c r="C4708" s="2" t="s">
        <v>13</v>
      </c>
      <c r="D4708" s="2" t="s">
        <v>12</v>
      </c>
      <c r="E4708" s="2" t="s">
        <v>245</v>
      </c>
      <c r="F4708" s="2" t="str">
        <f>HYPERLINK("http://www.12365auto.com/xcdg/20200220/419113.shtml","http://www.12365auto.com/xcdg/20200220/419113.shtml")</f>
        <v>http://www.12365auto.com/xcdg/20200220/419113.shtml</v>
      </c>
      <c r="G4708" s="2"/>
      <c r="H4708" s="2" t="s">
        <v>6686</v>
      </c>
      <c r="I4708" s="2" t="s">
        <v>19</v>
      </c>
      <c r="J4708" s="2" t="s">
        <v>12</v>
      </c>
      <c r="K4708" s="2" t="s">
        <v>6687</v>
      </c>
      <c r="L4708" s="2">
        <f t="shared" si="73"/>
        <v>150</v>
      </c>
    </row>
    <row r="4709" spans="1:12" ht="25" customHeight="1">
      <c r="A4709" s="2" t="s">
        <v>12</v>
      </c>
      <c r="B4709" s="2" t="str">
        <f>HYPERLINK("http://m.12365auto.com/xcdg/20200220/419113.shtml","家族化设计 Polestar电动概念车预告图")</f>
        <v>家族化设计 Polestar电动概念车预告图</v>
      </c>
      <c r="C4709" s="2" t="s">
        <v>13</v>
      </c>
      <c r="D4709" s="2" t="s">
        <v>12</v>
      </c>
      <c r="E4709" s="2"/>
      <c r="F4709" s="2" t="str">
        <f>HYPERLINK("http://m.12365auto.com/xcdg/20200220/419113.shtml","http://m.12365auto.com/xcdg/20200220/419113.shtml")</f>
        <v>http://m.12365auto.com/xcdg/20200220/419113.shtml</v>
      </c>
      <c r="G4709" s="2"/>
      <c r="H4709" s="2" t="s">
        <v>6688</v>
      </c>
      <c r="I4709" s="2" t="s">
        <v>19</v>
      </c>
      <c r="J4709" s="2" t="s">
        <v>781</v>
      </c>
      <c r="K4709" s="2" t="s">
        <v>6687</v>
      </c>
      <c r="L4709" s="2">
        <f t="shared" si="73"/>
        <v>150</v>
      </c>
    </row>
    <row r="4710" spans="1:12" ht="25" customHeight="1">
      <c r="A4710" s="2" t="s">
        <v>12</v>
      </c>
      <c r="B4710" s="2" t="str">
        <f>HYPERLINK("http://www.12365auto.com/parts/20200220/419112.shtml","三大功能升级 蔚来推出最新版车机系统")</f>
        <v>三大功能升级 蔚来推出最新版车机系统</v>
      </c>
      <c r="C4710" s="2" t="s">
        <v>13</v>
      </c>
      <c r="D4710" s="2" t="s">
        <v>12</v>
      </c>
      <c r="E4710" s="2" t="s">
        <v>240</v>
      </c>
      <c r="F4710" s="2" t="str">
        <f>HYPERLINK("http://www.12365auto.com/parts/20200220/419112.shtml","http://www.12365auto.com/parts/20200220/419112.shtml")</f>
        <v>http://www.12365auto.com/parts/20200220/419112.shtml</v>
      </c>
      <c r="G4710" s="2"/>
      <c r="H4710" s="2" t="s">
        <v>6689</v>
      </c>
      <c r="I4710" s="2" t="s">
        <v>15</v>
      </c>
      <c r="J4710" s="2" t="s">
        <v>12</v>
      </c>
      <c r="K4710" s="2" t="s">
        <v>6690</v>
      </c>
      <c r="L4710" s="2">
        <f t="shared" si="73"/>
        <v>150</v>
      </c>
    </row>
    <row r="4711" spans="1:12" ht="25" customHeight="1">
      <c r="A4711" s="2" t="s">
        <v>12</v>
      </c>
      <c r="B4711" s="2" t="str">
        <f>HYPERLINK("http://m.12365auto.com/parts/20200220/419112.shtml","三大功能升级 蔚来推出最新版车机系统")</f>
        <v>三大功能升级 蔚来推出最新版车机系统</v>
      </c>
      <c r="C4711" s="2" t="s">
        <v>13</v>
      </c>
      <c r="D4711" s="2" t="s">
        <v>12</v>
      </c>
      <c r="E4711" s="2"/>
      <c r="F4711" s="2" t="str">
        <f>HYPERLINK("http://m.12365auto.com/parts/20200220/419112.shtml","http://m.12365auto.com/parts/20200220/419112.shtml")</f>
        <v>http://m.12365auto.com/parts/20200220/419112.shtml</v>
      </c>
      <c r="G4711" s="2"/>
      <c r="H4711" s="2" t="s">
        <v>6691</v>
      </c>
      <c r="I4711" s="2" t="s">
        <v>19</v>
      </c>
      <c r="J4711" s="2" t="s">
        <v>855</v>
      </c>
      <c r="K4711" s="2" t="s">
        <v>6690</v>
      </c>
      <c r="L4711" s="2">
        <f t="shared" si="73"/>
        <v>150</v>
      </c>
    </row>
    <row r="4712" spans="1:12" ht="25" customHeight="1">
      <c r="A4712" s="2" t="s">
        <v>12</v>
      </c>
      <c r="B4712" s="2" t="str">
        <f>HYPERLINK("http://www.12365auto.com/xcdg/20200220/419111.shtml","新款帝豪GSe上市 补贴后售10.99万起")</f>
        <v>新款帝豪GSe上市 补贴后售10.99万起</v>
      </c>
      <c r="C4712" s="2" t="s">
        <v>13</v>
      </c>
      <c r="D4712" s="2" t="s">
        <v>12</v>
      </c>
      <c r="E4712" s="2" t="s">
        <v>245</v>
      </c>
      <c r="F4712" s="2" t="str">
        <f>HYPERLINK("http://www.12365auto.com/xcdg/20200220/419111.shtml","http://www.12365auto.com/xcdg/20200220/419111.shtml")</f>
        <v>http://www.12365auto.com/xcdg/20200220/419111.shtml</v>
      </c>
      <c r="G4712" s="2"/>
      <c r="H4712" s="2" t="s">
        <v>6692</v>
      </c>
      <c r="I4712" s="2" t="s">
        <v>19</v>
      </c>
      <c r="J4712" s="2" t="s">
        <v>12</v>
      </c>
      <c r="K4712" s="2" t="s">
        <v>6693</v>
      </c>
      <c r="L4712" s="2">
        <f t="shared" si="73"/>
        <v>150</v>
      </c>
    </row>
    <row r="4713" spans="1:12" ht="25" customHeight="1">
      <c r="A4713" s="2" t="s">
        <v>12</v>
      </c>
      <c r="B4713" s="2" t="str">
        <f>HYPERLINK("http://m.12365auto.com/xcdg/20200220/419111.shtml","新款帝豪GSe上市 补贴后售10.99万起")</f>
        <v>新款帝豪GSe上市 补贴后售10.99万起</v>
      </c>
      <c r="C4713" s="2" t="s">
        <v>13</v>
      </c>
      <c r="D4713" s="2" t="s">
        <v>12</v>
      </c>
      <c r="E4713" s="2"/>
      <c r="F4713" s="2" t="str">
        <f>HYPERLINK("http://m.12365auto.com/xcdg/20200220/419111.shtml","http://m.12365auto.com/xcdg/20200220/419111.shtml")</f>
        <v>http://m.12365auto.com/xcdg/20200220/419111.shtml</v>
      </c>
      <c r="G4713" s="2"/>
      <c r="H4713" s="2" t="s">
        <v>6694</v>
      </c>
      <c r="I4713" s="2" t="s">
        <v>19</v>
      </c>
      <c r="J4713" s="2" t="s">
        <v>5997</v>
      </c>
      <c r="K4713" s="2" t="s">
        <v>6693</v>
      </c>
      <c r="L4713" s="2">
        <f t="shared" si="73"/>
        <v>150</v>
      </c>
    </row>
    <row r="4714" spans="1:12" ht="25" customHeight="1">
      <c r="A4714" s="2" t="s">
        <v>12</v>
      </c>
      <c r="B4714" s="2" t="str">
        <f>HYPERLINK("http://www.12365auto.com/xcdg/20200220/419110.shtml","改款为主 野马汽车公布2020年新车计划")</f>
        <v>改款为主 野马汽车公布2020年新车计划</v>
      </c>
      <c r="C4714" s="2" t="s">
        <v>13</v>
      </c>
      <c r="D4714" s="2" t="s">
        <v>12</v>
      </c>
      <c r="E4714" s="2" t="s">
        <v>245</v>
      </c>
      <c r="F4714" s="2" t="str">
        <f>HYPERLINK("http://www.12365auto.com/xcdg/20200220/419110.shtml","http://www.12365auto.com/xcdg/20200220/419110.shtml")</f>
        <v>http://www.12365auto.com/xcdg/20200220/419110.shtml</v>
      </c>
      <c r="G4714" s="2"/>
      <c r="H4714" s="2" t="s">
        <v>6695</v>
      </c>
      <c r="I4714" s="2" t="s">
        <v>19</v>
      </c>
      <c r="J4714" s="2" t="s">
        <v>12</v>
      </c>
      <c r="K4714" s="2" t="s">
        <v>6696</v>
      </c>
      <c r="L4714" s="2">
        <f t="shared" si="73"/>
        <v>150</v>
      </c>
    </row>
    <row r="4715" spans="1:12" ht="25" customHeight="1">
      <c r="A4715" s="2" t="s">
        <v>12</v>
      </c>
      <c r="B4715" s="2" t="str">
        <f>HYPERLINK("http://m.12365auto.com/xcdg/20200220/419110.shtml","改款为主 野马汽车公布2020年新车计划")</f>
        <v>改款为主 野马汽车公布2020年新车计划</v>
      </c>
      <c r="C4715" s="2" t="s">
        <v>13</v>
      </c>
      <c r="D4715" s="2" t="s">
        <v>12</v>
      </c>
      <c r="E4715" s="2"/>
      <c r="F4715" s="2" t="str">
        <f>HYPERLINK("http://m.12365auto.com/xcdg/20200220/419110.shtml","http://m.12365auto.com/xcdg/20200220/419110.shtml")</f>
        <v>http://m.12365auto.com/xcdg/20200220/419110.shtml</v>
      </c>
      <c r="G4715" s="2"/>
      <c r="H4715" s="2" t="s">
        <v>6697</v>
      </c>
      <c r="I4715" s="2" t="s">
        <v>19</v>
      </c>
      <c r="J4715" s="2" t="s">
        <v>1197</v>
      </c>
      <c r="K4715" s="2" t="s">
        <v>6696</v>
      </c>
      <c r="L4715" s="2">
        <f t="shared" si="73"/>
        <v>150</v>
      </c>
    </row>
    <row r="4716" spans="1:12" ht="25" customHeight="1">
      <c r="A4716" s="2" t="s">
        <v>12</v>
      </c>
      <c r="B4716" s="2" t="str">
        <f>HYPERLINK("http://m.12365auto.com/bbs/postcontent.aspx?tID=194635","新款一出就后悔了，这些车就该赶紧买老款？")</f>
        <v>新款一出就后悔了，这些车就该赶紧买老款？</v>
      </c>
      <c r="C4716" s="2" t="s">
        <v>13</v>
      </c>
      <c r="D4716" s="2" t="s">
        <v>23</v>
      </c>
      <c r="E4716" s="2"/>
      <c r="F4716" s="2" t="str">
        <f>HYPERLINK("http://m.12365auto.com/bbs/postcontent.aspx?tID=194635","http://m.12365auto.com/bbs/postcontent.aspx?tID=194635")</f>
        <v>http://m.12365auto.com/bbs/postcontent.aspx?tID=194635</v>
      </c>
      <c r="G4716" s="2"/>
      <c r="H4716" s="2" t="s">
        <v>6698</v>
      </c>
      <c r="I4716" s="2" t="s">
        <v>15</v>
      </c>
      <c r="J4716" s="2" t="s">
        <v>6699</v>
      </c>
      <c r="K4716" s="2" t="s">
        <v>6700</v>
      </c>
      <c r="L4716" s="2">
        <f t="shared" si="73"/>
        <v>150</v>
      </c>
    </row>
    <row r="4717" spans="1:12" ht="25" customHeight="1">
      <c r="A4717" s="2" t="s">
        <v>12</v>
      </c>
      <c r="B4717" s="2" t="str">
        <f>HYPERLINK("http://m.12365auto.com/bbs/postcontent.aspx?tID=194634","耗巨资打造，曾叫板埃尔法，今却销量惨淡")</f>
        <v>耗巨资打造，曾叫板埃尔法，今却销量惨淡</v>
      </c>
      <c r="C4717" s="2" t="s">
        <v>13</v>
      </c>
      <c r="D4717" s="2" t="s">
        <v>23</v>
      </c>
      <c r="E4717" s="2"/>
      <c r="F4717" s="2" t="str">
        <f>HYPERLINK("http://m.12365auto.com/bbs/postcontent.aspx?tID=194634","http://m.12365auto.com/bbs/postcontent.aspx?tID=194634")</f>
        <v>http://m.12365auto.com/bbs/postcontent.aspx?tID=194634</v>
      </c>
      <c r="G4717" s="2"/>
      <c r="H4717" s="2" t="s">
        <v>6701</v>
      </c>
      <c r="I4717" s="2" t="s">
        <v>15</v>
      </c>
      <c r="J4717" s="2" t="s">
        <v>6699</v>
      </c>
      <c r="K4717" s="2" t="s">
        <v>6700</v>
      </c>
      <c r="L4717" s="2">
        <f t="shared" si="73"/>
        <v>150</v>
      </c>
    </row>
    <row r="4718" spans="1:12" ht="25" customHeight="1">
      <c r="A4718" s="2" t="s">
        <v>12</v>
      </c>
      <c r="B4718" s="2" t="str">
        <f>HYPERLINK("http://bbs.12365auto.com/postcontent.aspx?tId=194635","新款一出就后悔了，这些车就该赶紧买老款？")</f>
        <v>新款一出就后悔了，这些车就该赶紧买老款？</v>
      </c>
      <c r="C4718" s="2" t="s">
        <v>13</v>
      </c>
      <c r="D4718" s="2" t="s">
        <v>12</v>
      </c>
      <c r="E4718" s="2" t="s">
        <v>210</v>
      </c>
      <c r="F4718" s="2" t="str">
        <f>HYPERLINK("http://bbs.12365auto.com/postcontent.aspx?tId=194635","http://bbs.12365auto.com/postcontent.aspx?tId=194635")</f>
        <v>http://bbs.12365auto.com/postcontent.aspx?tId=194635</v>
      </c>
      <c r="G4718" s="2"/>
      <c r="H4718" s="2" t="s">
        <v>6698</v>
      </c>
      <c r="I4718" s="2" t="s">
        <v>15</v>
      </c>
      <c r="J4718" s="2" t="s">
        <v>6699</v>
      </c>
      <c r="K4718" s="2" t="s">
        <v>6700</v>
      </c>
      <c r="L4718" s="2">
        <f t="shared" si="73"/>
        <v>150</v>
      </c>
    </row>
    <row r="4719" spans="1:12" ht="25" customHeight="1">
      <c r="A4719" s="2" t="s">
        <v>12</v>
      </c>
      <c r="B4719" s="2" t="str">
        <f>HYPERLINK("http://bbs.12365auto.com/postcontent.aspx?tId=194634","耗巨资打造，曾叫板埃尔法，今却销量惨淡")</f>
        <v>耗巨资打造，曾叫板埃尔法，今却销量惨淡</v>
      </c>
      <c r="C4719" s="2" t="s">
        <v>13</v>
      </c>
      <c r="D4719" s="2" t="s">
        <v>12</v>
      </c>
      <c r="E4719" s="2" t="s">
        <v>210</v>
      </c>
      <c r="F4719" s="2" t="str">
        <f>HYPERLINK("http://bbs.12365auto.com/postcontent.aspx?tId=194634","http://bbs.12365auto.com/postcontent.aspx?tId=194634")</f>
        <v>http://bbs.12365auto.com/postcontent.aspx?tId=194634</v>
      </c>
      <c r="G4719" s="2"/>
      <c r="H4719" s="2" t="s">
        <v>6701</v>
      </c>
      <c r="I4719" s="2" t="s">
        <v>15</v>
      </c>
      <c r="J4719" s="2" t="s">
        <v>6699</v>
      </c>
      <c r="K4719" s="2" t="s">
        <v>6700</v>
      </c>
      <c r="L4719" s="2">
        <f t="shared" si="73"/>
        <v>150</v>
      </c>
    </row>
    <row r="4720" spans="1:12" ht="25" customHeight="1">
      <c r="A4720" s="2" t="s">
        <v>12</v>
      </c>
      <c r="B4720" s="2" t="str">
        <f>HYPERLINK("http://bbs.12365auto.com/postcontent.aspx?tID=194634","耗巨资打造，曾叫板埃尔法，今却销量惨淡")</f>
        <v>耗巨资打造，曾叫板埃尔法，今却销量惨淡</v>
      </c>
      <c r="C4720" s="2" t="s">
        <v>13</v>
      </c>
      <c r="D4720" s="2" t="s">
        <v>12</v>
      </c>
      <c r="E4720" s="2" t="s">
        <v>214</v>
      </c>
      <c r="F4720" s="2" t="str">
        <f>HYPERLINK("http://bbs.12365auto.com/postcontent.aspx?tID=194634","http://bbs.12365auto.com/postcontent.aspx?tID=194634")</f>
        <v>http://bbs.12365auto.com/postcontent.aspx?tID=194634</v>
      </c>
      <c r="G4720" s="2"/>
      <c r="H4720" s="2" t="s">
        <v>6702</v>
      </c>
      <c r="I4720" s="2" t="s">
        <v>15</v>
      </c>
      <c r="J4720" s="2" t="s">
        <v>6699</v>
      </c>
      <c r="K4720" s="2" t="s">
        <v>6700</v>
      </c>
      <c r="L4720" s="2">
        <f t="shared" si="73"/>
        <v>150</v>
      </c>
    </row>
    <row r="4721" spans="1:12" ht="25" customHeight="1">
      <c r="A4721" s="2" t="s">
        <v>12</v>
      </c>
      <c r="B4721" s="2" t="str">
        <f>HYPERLINK("http://bbs.12365auto.com/postcontent.aspx?tID=194635","新款一出就后悔了，这些车就该赶紧买老款？")</f>
        <v>新款一出就后悔了，这些车就该赶紧买老款？</v>
      </c>
      <c r="C4721" s="2" t="s">
        <v>13</v>
      </c>
      <c r="D4721" s="2" t="s">
        <v>12</v>
      </c>
      <c r="E4721" s="2" t="s">
        <v>214</v>
      </c>
      <c r="F4721" s="2" t="str">
        <f>HYPERLINK("http://bbs.12365auto.com/postcontent.aspx?tID=194635","http://bbs.12365auto.com/postcontent.aspx?tID=194635")</f>
        <v>http://bbs.12365auto.com/postcontent.aspx?tID=194635</v>
      </c>
      <c r="G4721" s="2"/>
      <c r="H4721" s="2" t="s">
        <v>6703</v>
      </c>
      <c r="I4721" s="2" t="s">
        <v>15</v>
      </c>
      <c r="J4721" s="2" t="s">
        <v>6699</v>
      </c>
      <c r="K4721" s="2" t="s">
        <v>6700</v>
      </c>
      <c r="L4721" s="2">
        <f t="shared" si="73"/>
        <v>150</v>
      </c>
    </row>
    <row r="4722" spans="1:12" ht="25" customHeight="1">
      <c r="A4722" s="2" t="s">
        <v>12</v>
      </c>
      <c r="B4722" s="2" t="str">
        <f>HYPERLINK("http://m.12365auto.com/bbs/postcontent.aspx?tID=194632","30多万预算，这四款豪华中型SUV看不腻")</f>
        <v>30多万预算，这四款豪华中型SUV看不腻</v>
      </c>
      <c r="C4722" s="2" t="s">
        <v>13</v>
      </c>
      <c r="D4722" s="2" t="s">
        <v>23</v>
      </c>
      <c r="E4722" s="2"/>
      <c r="F4722" s="2" t="str">
        <f>HYPERLINK("http://m.12365auto.com/bbs/postcontent.aspx?tID=194632","http://m.12365auto.com/bbs/postcontent.aspx?tID=194632")</f>
        <v>http://m.12365auto.com/bbs/postcontent.aspx?tID=194632</v>
      </c>
      <c r="G4722" s="2"/>
      <c r="H4722" s="2" t="s">
        <v>6704</v>
      </c>
      <c r="I4722" s="2" t="s">
        <v>15</v>
      </c>
      <c r="J4722" s="2" t="s">
        <v>6699</v>
      </c>
      <c r="K4722" s="2" t="s">
        <v>6705</v>
      </c>
      <c r="L4722" s="2">
        <f t="shared" si="73"/>
        <v>150</v>
      </c>
    </row>
    <row r="4723" spans="1:12" ht="25" customHeight="1">
      <c r="A4723" s="2" t="s">
        <v>12</v>
      </c>
      <c r="B4723" s="2" t="str">
        <f>HYPERLINK("http://m.12365auto.com/bbs/postcontent.aspx?tID=194633","这三款30万的豪华SUV，买了的人都说值")</f>
        <v>这三款30万的豪华SUV，买了的人都说值</v>
      </c>
      <c r="C4723" s="2" t="s">
        <v>13</v>
      </c>
      <c r="D4723" s="2" t="s">
        <v>23</v>
      </c>
      <c r="E4723" s="2"/>
      <c r="F4723" s="2" t="str">
        <f>HYPERLINK("http://m.12365auto.com/bbs/postcontent.aspx?tID=194633","http://m.12365auto.com/bbs/postcontent.aspx?tID=194633")</f>
        <v>http://m.12365auto.com/bbs/postcontent.aspx?tID=194633</v>
      </c>
      <c r="G4723" s="2"/>
      <c r="H4723" s="2" t="s">
        <v>6706</v>
      </c>
      <c r="I4723" s="2" t="s">
        <v>15</v>
      </c>
      <c r="J4723" s="2" t="s">
        <v>6699</v>
      </c>
      <c r="K4723" s="2" t="s">
        <v>6705</v>
      </c>
      <c r="L4723" s="2">
        <f t="shared" si="73"/>
        <v>150</v>
      </c>
    </row>
    <row r="4724" spans="1:12" ht="25" customHeight="1">
      <c r="A4724" s="2" t="s">
        <v>12</v>
      </c>
      <c r="B4724" s="2" t="str">
        <f>HYPERLINK("http://bbs.12365auto.com/postcontent.aspx?tId=194633","这三款30万的豪华SUV，买了的人都说值")</f>
        <v>这三款30万的豪华SUV，买了的人都说值</v>
      </c>
      <c r="C4724" s="2" t="s">
        <v>13</v>
      </c>
      <c r="D4724" s="2" t="s">
        <v>12</v>
      </c>
      <c r="E4724" s="2" t="s">
        <v>210</v>
      </c>
      <c r="F4724" s="2" t="str">
        <f>HYPERLINK("http://bbs.12365auto.com/postcontent.aspx?tId=194633","http://bbs.12365auto.com/postcontent.aspx?tId=194633")</f>
        <v>http://bbs.12365auto.com/postcontent.aspx?tId=194633</v>
      </c>
      <c r="G4724" s="2"/>
      <c r="H4724" s="2" t="s">
        <v>6706</v>
      </c>
      <c r="I4724" s="2" t="s">
        <v>15</v>
      </c>
      <c r="J4724" s="2" t="s">
        <v>6699</v>
      </c>
      <c r="K4724" s="2" t="s">
        <v>6705</v>
      </c>
      <c r="L4724" s="2">
        <f t="shared" si="73"/>
        <v>150</v>
      </c>
    </row>
    <row r="4725" spans="1:12" ht="25" customHeight="1">
      <c r="A4725" s="2" t="s">
        <v>12</v>
      </c>
      <c r="B4725" s="2" t="str">
        <f>HYPERLINK("http://bbs.12365auto.com/postcontent.aspx?tId=194632","30多万预算，这四款豪华中型SUV看不腻")</f>
        <v>30多万预算，这四款豪华中型SUV看不腻</v>
      </c>
      <c r="C4725" s="2" t="s">
        <v>13</v>
      </c>
      <c r="D4725" s="2" t="s">
        <v>12</v>
      </c>
      <c r="E4725" s="2" t="s">
        <v>210</v>
      </c>
      <c r="F4725" s="2" t="str">
        <f>HYPERLINK("http://bbs.12365auto.com/postcontent.aspx?tId=194632","http://bbs.12365auto.com/postcontent.aspx?tId=194632")</f>
        <v>http://bbs.12365auto.com/postcontent.aspx?tId=194632</v>
      </c>
      <c r="G4725" s="2"/>
      <c r="H4725" s="2" t="s">
        <v>6704</v>
      </c>
      <c r="I4725" s="2" t="s">
        <v>15</v>
      </c>
      <c r="J4725" s="2" t="s">
        <v>6699</v>
      </c>
      <c r="K4725" s="2" t="s">
        <v>6705</v>
      </c>
      <c r="L4725" s="2">
        <f t="shared" si="73"/>
        <v>150</v>
      </c>
    </row>
    <row r="4726" spans="1:12" ht="25" customHeight="1">
      <c r="A4726" s="2" t="s">
        <v>12</v>
      </c>
      <c r="B4726" s="2" t="str">
        <f>HYPERLINK("http://bbs.12365auto.com/postcontent.aspx?tID=194632","30多万预算，这四款豪华中型SUV看不腻")</f>
        <v>30多万预算，这四款豪华中型SUV看不腻</v>
      </c>
      <c r="C4726" s="2" t="s">
        <v>13</v>
      </c>
      <c r="D4726" s="2" t="s">
        <v>12</v>
      </c>
      <c r="E4726" s="2" t="s">
        <v>214</v>
      </c>
      <c r="F4726" s="2" t="str">
        <f>HYPERLINK("http://bbs.12365auto.com/postcontent.aspx?tID=194632","http://bbs.12365auto.com/postcontent.aspx?tID=194632")</f>
        <v>http://bbs.12365auto.com/postcontent.aspx?tID=194632</v>
      </c>
      <c r="G4726" s="2"/>
      <c r="H4726" s="2" t="s">
        <v>6707</v>
      </c>
      <c r="I4726" s="2" t="s">
        <v>15</v>
      </c>
      <c r="J4726" s="2" t="s">
        <v>6699</v>
      </c>
      <c r="K4726" s="2" t="s">
        <v>6705</v>
      </c>
      <c r="L4726" s="2">
        <f t="shared" si="73"/>
        <v>150</v>
      </c>
    </row>
    <row r="4727" spans="1:12" ht="25" customHeight="1">
      <c r="A4727" s="2" t="s">
        <v>12</v>
      </c>
      <c r="B4727" s="2" t="str">
        <f>HYPERLINK("http://bbs.12365auto.com/postcontent.aspx?tID=194633","这三款30万的豪华SUV，买了的人都说值")</f>
        <v>这三款30万的豪华SUV，买了的人都说值</v>
      </c>
      <c r="C4727" s="2" t="s">
        <v>13</v>
      </c>
      <c r="D4727" s="2" t="s">
        <v>12</v>
      </c>
      <c r="E4727" s="2" t="s">
        <v>214</v>
      </c>
      <c r="F4727" s="2" t="str">
        <f>HYPERLINK("http://bbs.12365auto.com/postcontent.aspx?tID=194633","http://bbs.12365auto.com/postcontent.aspx?tID=194633")</f>
        <v>http://bbs.12365auto.com/postcontent.aspx?tID=194633</v>
      </c>
      <c r="G4727" s="2"/>
      <c r="H4727" s="2" t="s">
        <v>6708</v>
      </c>
      <c r="I4727" s="2" t="s">
        <v>15</v>
      </c>
      <c r="J4727" s="2" t="s">
        <v>6699</v>
      </c>
      <c r="K4727" s="2" t="s">
        <v>6705</v>
      </c>
      <c r="L4727" s="2">
        <f t="shared" si="73"/>
        <v>150</v>
      </c>
    </row>
    <row r="4728" spans="1:12" ht="25" customHeight="1">
      <c r="A4728" s="2" t="s">
        <v>12</v>
      </c>
      <c r="B4728" s="2" t="str">
        <f>HYPERLINK("http://m.12365auto.com/bbs/postcontent.aspx?tID=194631","豪华品牌今年有哪些新车？看完此文就明白了")</f>
        <v>豪华品牌今年有哪些新车？看完此文就明白了</v>
      </c>
      <c r="C4728" s="2" t="s">
        <v>13</v>
      </c>
      <c r="D4728" s="2" t="s">
        <v>23</v>
      </c>
      <c r="E4728" s="2"/>
      <c r="F4728" s="2" t="str">
        <f>HYPERLINK("http://m.12365auto.com/bbs/postcontent.aspx?tID=194631","http://m.12365auto.com/bbs/postcontent.aspx?tID=194631")</f>
        <v>http://m.12365auto.com/bbs/postcontent.aspx?tID=194631</v>
      </c>
      <c r="G4728" s="2"/>
      <c r="H4728" s="2" t="s">
        <v>6709</v>
      </c>
      <c r="I4728" s="2" t="s">
        <v>15</v>
      </c>
      <c r="J4728" s="2" t="s">
        <v>6699</v>
      </c>
      <c r="K4728" s="2" t="s">
        <v>6710</v>
      </c>
      <c r="L4728" s="2">
        <f t="shared" si="73"/>
        <v>150</v>
      </c>
    </row>
    <row r="4729" spans="1:12" ht="25" customHeight="1">
      <c r="A4729" s="2" t="s">
        <v>12</v>
      </c>
      <c r="B4729" s="2" t="str">
        <f>HYPERLINK("http://m.12365auto.com/bbs/postcontent.aspx?tID=194630","盘点2019年上市最值得购买的家用车")</f>
        <v>盘点2019年上市最值得购买的家用车</v>
      </c>
      <c r="C4729" s="2" t="s">
        <v>13</v>
      </c>
      <c r="D4729" s="2" t="s">
        <v>23</v>
      </c>
      <c r="E4729" s="2"/>
      <c r="F4729" s="2" t="str">
        <f>HYPERLINK("http://m.12365auto.com/bbs/postcontent.aspx?tID=194630","http://m.12365auto.com/bbs/postcontent.aspx?tID=194630")</f>
        <v>http://m.12365auto.com/bbs/postcontent.aspx?tID=194630</v>
      </c>
      <c r="G4729" s="2"/>
      <c r="H4729" s="2" t="s">
        <v>6711</v>
      </c>
      <c r="I4729" s="2" t="s">
        <v>15</v>
      </c>
      <c r="J4729" s="2" t="s">
        <v>6699</v>
      </c>
      <c r="K4729" s="2" t="s">
        <v>6710</v>
      </c>
      <c r="L4729" s="2">
        <f t="shared" si="73"/>
        <v>150</v>
      </c>
    </row>
    <row r="4730" spans="1:12" ht="25" customHeight="1">
      <c r="A4730" s="2" t="s">
        <v>12</v>
      </c>
      <c r="B4730" s="2" t="str">
        <f>HYPERLINK("http://bbs.12365auto.com/postcontent.aspx?tId=194631","豪华品牌今年有哪些新车？看完此文就明白了")</f>
        <v>豪华品牌今年有哪些新车？看完此文就明白了</v>
      </c>
      <c r="C4730" s="2" t="s">
        <v>13</v>
      </c>
      <c r="D4730" s="2" t="s">
        <v>12</v>
      </c>
      <c r="E4730" s="2" t="s">
        <v>210</v>
      </c>
      <c r="F4730" s="2" t="str">
        <f>HYPERLINK("http://bbs.12365auto.com/postcontent.aspx?tId=194631","http://bbs.12365auto.com/postcontent.aspx?tId=194631")</f>
        <v>http://bbs.12365auto.com/postcontent.aspx?tId=194631</v>
      </c>
      <c r="G4730" s="2"/>
      <c r="H4730" s="2" t="s">
        <v>6709</v>
      </c>
      <c r="I4730" s="2" t="s">
        <v>15</v>
      </c>
      <c r="J4730" s="2" t="s">
        <v>6699</v>
      </c>
      <c r="K4730" s="2" t="s">
        <v>6710</v>
      </c>
      <c r="L4730" s="2">
        <f t="shared" si="73"/>
        <v>150</v>
      </c>
    </row>
    <row r="4731" spans="1:12" ht="25" customHeight="1">
      <c r="A4731" s="2" t="s">
        <v>12</v>
      </c>
      <c r="B4731" s="2" t="str">
        <f>HYPERLINK("http://bbs.12365auto.com/postcontent.aspx?tId=194630","盘点2019年上市最值得购买的家用车")</f>
        <v>盘点2019年上市最值得购买的家用车</v>
      </c>
      <c r="C4731" s="2" t="s">
        <v>13</v>
      </c>
      <c r="D4731" s="2" t="s">
        <v>12</v>
      </c>
      <c r="E4731" s="2" t="s">
        <v>210</v>
      </c>
      <c r="F4731" s="2" t="str">
        <f>HYPERLINK("http://bbs.12365auto.com/postcontent.aspx?tId=194630","http://bbs.12365auto.com/postcontent.aspx?tId=194630")</f>
        <v>http://bbs.12365auto.com/postcontent.aspx?tId=194630</v>
      </c>
      <c r="G4731" s="2"/>
      <c r="H4731" s="2" t="s">
        <v>6711</v>
      </c>
      <c r="I4731" s="2" t="s">
        <v>15</v>
      </c>
      <c r="J4731" s="2" t="s">
        <v>6699</v>
      </c>
      <c r="K4731" s="2" t="s">
        <v>6710</v>
      </c>
      <c r="L4731" s="2">
        <f t="shared" si="73"/>
        <v>150</v>
      </c>
    </row>
    <row r="4732" spans="1:12" ht="25" customHeight="1">
      <c r="A4732" s="2" t="s">
        <v>12</v>
      </c>
      <c r="B4732" s="2" t="str">
        <f>HYPERLINK("http://bbs.12365auto.com/postcontent.aspx?tID=194630","盘点2019年上市最值得购买的家用车")</f>
        <v>盘点2019年上市最值得购买的家用车</v>
      </c>
      <c r="C4732" s="2" t="s">
        <v>13</v>
      </c>
      <c r="D4732" s="2" t="s">
        <v>12</v>
      </c>
      <c r="E4732" s="2" t="s">
        <v>214</v>
      </c>
      <c r="F4732" s="2" t="str">
        <f>HYPERLINK("http://bbs.12365auto.com/postcontent.aspx?tID=194630","http://bbs.12365auto.com/postcontent.aspx?tID=194630")</f>
        <v>http://bbs.12365auto.com/postcontent.aspx?tID=194630</v>
      </c>
      <c r="G4732" s="2"/>
      <c r="H4732" s="2" t="s">
        <v>6712</v>
      </c>
      <c r="I4732" s="2" t="s">
        <v>15</v>
      </c>
      <c r="J4732" s="2" t="s">
        <v>6699</v>
      </c>
      <c r="K4732" s="2" t="s">
        <v>6710</v>
      </c>
      <c r="L4732" s="2">
        <f t="shared" si="73"/>
        <v>150</v>
      </c>
    </row>
    <row r="4733" spans="1:12" ht="25" customHeight="1">
      <c r="A4733" s="2" t="s">
        <v>12</v>
      </c>
      <c r="B4733" s="2" t="str">
        <f>HYPERLINK("http://bbs.12365auto.com/postcontent.aspx?tID=194631","豪华品牌今年有哪些新车？看完此文就明白了")</f>
        <v>豪华品牌今年有哪些新车？看完此文就明白了</v>
      </c>
      <c r="C4733" s="2" t="s">
        <v>13</v>
      </c>
      <c r="D4733" s="2" t="s">
        <v>12</v>
      </c>
      <c r="E4733" s="2" t="s">
        <v>214</v>
      </c>
      <c r="F4733" s="2" t="str">
        <f>HYPERLINK("http://bbs.12365auto.com/postcontent.aspx?tID=194631","http://bbs.12365auto.com/postcontent.aspx?tID=194631")</f>
        <v>http://bbs.12365auto.com/postcontent.aspx?tID=194631</v>
      </c>
      <c r="G4733" s="2"/>
      <c r="H4733" s="2" t="s">
        <v>6713</v>
      </c>
      <c r="I4733" s="2" t="s">
        <v>15</v>
      </c>
      <c r="J4733" s="2" t="s">
        <v>6699</v>
      </c>
      <c r="K4733" s="2" t="s">
        <v>6710</v>
      </c>
      <c r="L4733" s="2">
        <f t="shared" si="73"/>
        <v>150</v>
      </c>
    </row>
    <row r="4734" spans="1:12" ht="25" customHeight="1">
      <c r="A4734" s="2" t="s">
        <v>12</v>
      </c>
      <c r="B4734" s="2" t="str">
        <f>HYPERLINK("http://m.12365auto.com/bbs/postcontent.aspx?tID=194629","2020年，哪些车将进入加价队伍")</f>
        <v>2020年，哪些车将进入加价队伍</v>
      </c>
      <c r="C4734" s="2" t="s">
        <v>13</v>
      </c>
      <c r="D4734" s="2" t="s">
        <v>23</v>
      </c>
      <c r="E4734" s="2"/>
      <c r="F4734" s="2" t="str">
        <f>HYPERLINK("http://m.12365auto.com/bbs/postcontent.aspx?tID=194629","http://m.12365auto.com/bbs/postcontent.aspx?tID=194629")</f>
        <v>http://m.12365auto.com/bbs/postcontent.aspx?tID=194629</v>
      </c>
      <c r="G4734" s="2"/>
      <c r="H4734" s="2" t="s">
        <v>6714</v>
      </c>
      <c r="I4734" s="2" t="s">
        <v>15</v>
      </c>
      <c r="J4734" s="2" t="s">
        <v>6699</v>
      </c>
      <c r="K4734" s="2" t="s">
        <v>6715</v>
      </c>
      <c r="L4734" s="2">
        <f t="shared" si="73"/>
        <v>150</v>
      </c>
    </row>
    <row r="4735" spans="1:12" ht="25" customHeight="1">
      <c r="A4735" s="2" t="s">
        <v>12</v>
      </c>
      <c r="B4735" s="2" t="str">
        <f>HYPERLINK("http://m.12365auto.com/bbs/postcontent.aspx?tID=194628","想要面子怎么办？来看看这四款国产中型SUV")</f>
        <v>想要面子怎么办？来看看这四款国产中型SUV</v>
      </c>
      <c r="C4735" s="2" t="s">
        <v>13</v>
      </c>
      <c r="D4735" s="2" t="s">
        <v>23</v>
      </c>
      <c r="E4735" s="2"/>
      <c r="F4735" s="2" t="str">
        <f>HYPERLINK("http://m.12365auto.com/bbs/postcontent.aspx?tID=194628","http://m.12365auto.com/bbs/postcontent.aspx?tID=194628")</f>
        <v>http://m.12365auto.com/bbs/postcontent.aspx?tID=194628</v>
      </c>
      <c r="G4735" s="2"/>
      <c r="H4735" s="2" t="s">
        <v>6716</v>
      </c>
      <c r="I4735" s="2" t="s">
        <v>15</v>
      </c>
      <c r="J4735" s="2" t="s">
        <v>6699</v>
      </c>
      <c r="K4735" s="2" t="s">
        <v>6715</v>
      </c>
      <c r="L4735" s="2">
        <f t="shared" si="73"/>
        <v>150</v>
      </c>
    </row>
    <row r="4736" spans="1:12" ht="25" customHeight="1">
      <c r="A4736" s="2" t="s">
        <v>12</v>
      </c>
      <c r="B4736" s="2" t="str">
        <f>HYPERLINK("http://bbs.12365auto.com/postcontent.aspx?tId=194629","2020年，哪些车将进入加价队伍")</f>
        <v>2020年，哪些车将进入加价队伍</v>
      </c>
      <c r="C4736" s="2" t="s">
        <v>13</v>
      </c>
      <c r="D4736" s="2" t="s">
        <v>12</v>
      </c>
      <c r="E4736" s="2" t="s">
        <v>210</v>
      </c>
      <c r="F4736" s="2" t="str">
        <f>HYPERLINK("http://bbs.12365auto.com/postcontent.aspx?tId=194629","http://bbs.12365auto.com/postcontent.aspx?tId=194629")</f>
        <v>http://bbs.12365auto.com/postcontent.aspx?tId=194629</v>
      </c>
      <c r="G4736" s="2"/>
      <c r="H4736" s="2" t="s">
        <v>6714</v>
      </c>
      <c r="I4736" s="2" t="s">
        <v>15</v>
      </c>
      <c r="J4736" s="2" t="s">
        <v>6699</v>
      </c>
      <c r="K4736" s="2" t="s">
        <v>6715</v>
      </c>
      <c r="L4736" s="2">
        <f t="shared" si="73"/>
        <v>150</v>
      </c>
    </row>
    <row r="4737" spans="1:12" ht="25" customHeight="1">
      <c r="A4737" s="2" t="s">
        <v>12</v>
      </c>
      <c r="B4737" s="2" t="str">
        <f>HYPERLINK("http://bbs.12365auto.com/postcontent.aspx?tId=194628","想要面子怎么办？来看看这四款国产中型SUV")</f>
        <v>想要面子怎么办？来看看这四款国产中型SUV</v>
      </c>
      <c r="C4737" s="2" t="s">
        <v>13</v>
      </c>
      <c r="D4737" s="2" t="s">
        <v>12</v>
      </c>
      <c r="E4737" s="2" t="s">
        <v>210</v>
      </c>
      <c r="F4737" s="2" t="str">
        <f>HYPERLINK("http://bbs.12365auto.com/postcontent.aspx?tId=194628","http://bbs.12365auto.com/postcontent.aspx?tId=194628")</f>
        <v>http://bbs.12365auto.com/postcontent.aspx?tId=194628</v>
      </c>
      <c r="G4737" s="2"/>
      <c r="H4737" s="2" t="s">
        <v>6716</v>
      </c>
      <c r="I4737" s="2" t="s">
        <v>15</v>
      </c>
      <c r="J4737" s="2" t="s">
        <v>6699</v>
      </c>
      <c r="K4737" s="2" t="s">
        <v>6715</v>
      </c>
      <c r="L4737" s="2">
        <f t="shared" si="73"/>
        <v>150</v>
      </c>
    </row>
    <row r="4738" spans="1:12" ht="25" customHeight="1">
      <c r="A4738" s="2" t="s">
        <v>12</v>
      </c>
      <c r="B4738" s="2" t="str">
        <f>HYPERLINK("http://bbs.12365auto.com/postcontent.aspx?tID=194629","2020年，哪些车将进入加价队伍")</f>
        <v>2020年，哪些车将进入加价队伍</v>
      </c>
      <c r="C4738" s="2" t="s">
        <v>13</v>
      </c>
      <c r="D4738" s="2" t="s">
        <v>12</v>
      </c>
      <c r="E4738" s="2" t="s">
        <v>214</v>
      </c>
      <c r="F4738" s="2" t="str">
        <f>HYPERLINK("http://bbs.12365auto.com/postcontent.aspx?tID=194629","http://bbs.12365auto.com/postcontent.aspx?tID=194629")</f>
        <v>http://bbs.12365auto.com/postcontent.aspx?tID=194629</v>
      </c>
      <c r="G4738" s="2"/>
      <c r="H4738" s="2" t="s">
        <v>6717</v>
      </c>
      <c r="I4738" s="2" t="s">
        <v>15</v>
      </c>
      <c r="J4738" s="2" t="s">
        <v>6699</v>
      </c>
      <c r="K4738" s="2" t="s">
        <v>6715</v>
      </c>
      <c r="L4738" s="2">
        <f t="shared" si="73"/>
        <v>150</v>
      </c>
    </row>
    <row r="4739" spans="1:12" ht="25" customHeight="1">
      <c r="A4739" s="2" t="s">
        <v>12</v>
      </c>
      <c r="B4739" s="2" t="str">
        <f>HYPERLINK("http://bbs.12365auto.com/postcontent.aspx?tID=194628","想要面子怎么办？来看看这四款国产中型SUV")</f>
        <v>想要面子怎么办？来看看这四款国产中型SUV</v>
      </c>
      <c r="C4739" s="2" t="s">
        <v>13</v>
      </c>
      <c r="D4739" s="2" t="s">
        <v>12</v>
      </c>
      <c r="E4739" s="2" t="s">
        <v>214</v>
      </c>
      <c r="F4739" s="2" t="str">
        <f>HYPERLINK("http://bbs.12365auto.com/postcontent.aspx?tID=194628","http://bbs.12365auto.com/postcontent.aspx?tID=194628")</f>
        <v>http://bbs.12365auto.com/postcontent.aspx?tID=194628</v>
      </c>
      <c r="G4739" s="2"/>
      <c r="H4739" s="2" t="s">
        <v>6718</v>
      </c>
      <c r="I4739" s="2" t="s">
        <v>15</v>
      </c>
      <c r="J4739" s="2" t="s">
        <v>6699</v>
      </c>
      <c r="K4739" s="2" t="s">
        <v>6715</v>
      </c>
      <c r="L4739" s="2">
        <f t="shared" ref="L4739:L4802" si="74">LEN(H4739)</f>
        <v>150</v>
      </c>
    </row>
    <row r="4740" spans="1:12" ht="25" customHeight="1">
      <c r="A4740" s="2" t="s">
        <v>12</v>
      </c>
      <c r="B4740" s="2" t="str">
        <f>HYPERLINK("http://m.12365auto.com/bbs/postcontent.aspx?tID=194627","2019年度之最车型，这五辆入选")</f>
        <v>2019年度之最车型，这五辆入选</v>
      </c>
      <c r="C4740" s="2" t="s">
        <v>13</v>
      </c>
      <c r="D4740" s="2" t="s">
        <v>23</v>
      </c>
      <c r="E4740" s="2"/>
      <c r="F4740" s="2" t="str">
        <f>HYPERLINK("http://m.12365auto.com/bbs/postcontent.aspx?tID=194627","http://m.12365auto.com/bbs/postcontent.aspx?tID=194627")</f>
        <v>http://m.12365auto.com/bbs/postcontent.aspx?tID=194627</v>
      </c>
      <c r="G4740" s="2"/>
      <c r="H4740" s="2" t="s">
        <v>6719</v>
      </c>
      <c r="I4740" s="2" t="s">
        <v>15</v>
      </c>
      <c r="J4740" s="2" t="s">
        <v>6699</v>
      </c>
      <c r="K4740" s="2" t="s">
        <v>6720</v>
      </c>
      <c r="L4740" s="2">
        <f t="shared" si="74"/>
        <v>150</v>
      </c>
    </row>
    <row r="4741" spans="1:12" ht="25" customHeight="1">
      <c r="A4741" s="2" t="s">
        <v>12</v>
      </c>
      <c r="B4741" s="2" t="str">
        <f>HYPERLINK("http://m.12365auto.com/bbs/postcontent.aspx?tID=194626","这几款中型SUV最高配备9AT")</f>
        <v>这几款中型SUV最高配备9AT</v>
      </c>
      <c r="C4741" s="2" t="s">
        <v>13</v>
      </c>
      <c r="D4741" s="2" t="s">
        <v>23</v>
      </c>
      <c r="E4741" s="2"/>
      <c r="F4741" s="2" t="str">
        <f>HYPERLINK("http://m.12365auto.com/bbs/postcontent.aspx?tID=194626","http://m.12365auto.com/bbs/postcontent.aspx?tID=194626")</f>
        <v>http://m.12365auto.com/bbs/postcontent.aspx?tID=194626</v>
      </c>
      <c r="G4741" s="2"/>
      <c r="H4741" s="2" t="s">
        <v>6721</v>
      </c>
      <c r="I4741" s="2" t="s">
        <v>15</v>
      </c>
      <c r="J4741" s="2" t="s">
        <v>6699</v>
      </c>
      <c r="K4741" s="2" t="s">
        <v>6720</v>
      </c>
      <c r="L4741" s="2">
        <f t="shared" si="74"/>
        <v>150</v>
      </c>
    </row>
    <row r="4742" spans="1:12" ht="25" customHeight="1">
      <c r="A4742" s="2" t="s">
        <v>12</v>
      </c>
      <c r="B4742" s="2" t="str">
        <f>HYPERLINK("http://bbs.12365auto.com/postcontent.aspx?tId=194626","这几款中型SUV最高配备9AT")</f>
        <v>这几款中型SUV最高配备9AT</v>
      </c>
      <c r="C4742" s="2" t="s">
        <v>13</v>
      </c>
      <c r="D4742" s="2" t="s">
        <v>12</v>
      </c>
      <c r="E4742" s="2" t="s">
        <v>210</v>
      </c>
      <c r="F4742" s="2" t="str">
        <f>HYPERLINK("http://bbs.12365auto.com/postcontent.aspx?tId=194626","http://bbs.12365auto.com/postcontent.aspx?tId=194626")</f>
        <v>http://bbs.12365auto.com/postcontent.aspx?tId=194626</v>
      </c>
      <c r="G4742" s="2"/>
      <c r="H4742" s="2" t="s">
        <v>6721</v>
      </c>
      <c r="I4742" s="2" t="s">
        <v>15</v>
      </c>
      <c r="J4742" s="2" t="s">
        <v>6699</v>
      </c>
      <c r="K4742" s="2" t="s">
        <v>6720</v>
      </c>
      <c r="L4742" s="2">
        <f t="shared" si="74"/>
        <v>150</v>
      </c>
    </row>
    <row r="4743" spans="1:12" ht="25" customHeight="1">
      <c r="A4743" s="2" t="s">
        <v>12</v>
      </c>
      <c r="B4743" s="2" t="str">
        <f>HYPERLINK("http://bbs.12365auto.com/postcontent.aspx?tId=194627","2019年度之最车型，这五辆入选")</f>
        <v>2019年度之最车型，这五辆入选</v>
      </c>
      <c r="C4743" s="2" t="s">
        <v>13</v>
      </c>
      <c r="D4743" s="2" t="s">
        <v>12</v>
      </c>
      <c r="E4743" s="2" t="s">
        <v>210</v>
      </c>
      <c r="F4743" s="2" t="str">
        <f>HYPERLINK("http://bbs.12365auto.com/postcontent.aspx?tId=194627","http://bbs.12365auto.com/postcontent.aspx?tId=194627")</f>
        <v>http://bbs.12365auto.com/postcontent.aspx?tId=194627</v>
      </c>
      <c r="G4743" s="2"/>
      <c r="H4743" s="2" t="s">
        <v>6719</v>
      </c>
      <c r="I4743" s="2" t="s">
        <v>15</v>
      </c>
      <c r="J4743" s="2" t="s">
        <v>6699</v>
      </c>
      <c r="K4743" s="2" t="s">
        <v>6720</v>
      </c>
      <c r="L4743" s="2">
        <f t="shared" si="74"/>
        <v>150</v>
      </c>
    </row>
    <row r="4744" spans="1:12" ht="25" customHeight="1">
      <c r="A4744" s="2" t="s">
        <v>12</v>
      </c>
      <c r="B4744" s="2" t="str">
        <f>HYPERLINK("http://bbs.12365auto.com/postcontent.aspx?tID=194626","这几款中型SUV最高配备9AT")</f>
        <v>这几款中型SUV最高配备9AT</v>
      </c>
      <c r="C4744" s="2" t="s">
        <v>13</v>
      </c>
      <c r="D4744" s="2" t="s">
        <v>12</v>
      </c>
      <c r="E4744" s="2" t="s">
        <v>214</v>
      </c>
      <c r="F4744" s="2" t="str">
        <f>HYPERLINK("http://bbs.12365auto.com/postcontent.aspx?tID=194626","http://bbs.12365auto.com/postcontent.aspx?tID=194626")</f>
        <v>http://bbs.12365auto.com/postcontent.aspx?tID=194626</v>
      </c>
      <c r="G4744" s="2"/>
      <c r="H4744" s="2" t="s">
        <v>6722</v>
      </c>
      <c r="I4744" s="2" t="s">
        <v>15</v>
      </c>
      <c r="J4744" s="2" t="s">
        <v>6699</v>
      </c>
      <c r="K4744" s="2" t="s">
        <v>6720</v>
      </c>
      <c r="L4744" s="2">
        <f t="shared" si="74"/>
        <v>150</v>
      </c>
    </row>
    <row r="4745" spans="1:12" ht="25" customHeight="1">
      <c r="A4745" s="2" t="s">
        <v>12</v>
      </c>
      <c r="B4745" s="2" t="str">
        <f>HYPERLINK("http://bbs.12365auto.com/postcontent.aspx?tID=194627","2019年度之最车型，这五辆入选")</f>
        <v>2019年度之最车型，这五辆入选</v>
      </c>
      <c r="C4745" s="2" t="s">
        <v>13</v>
      </c>
      <c r="D4745" s="2" t="s">
        <v>12</v>
      </c>
      <c r="E4745" s="2" t="s">
        <v>214</v>
      </c>
      <c r="F4745" s="2" t="str">
        <f>HYPERLINK("http://bbs.12365auto.com/postcontent.aspx?tID=194627","http://bbs.12365auto.com/postcontent.aspx?tID=194627")</f>
        <v>http://bbs.12365auto.com/postcontent.aspx?tID=194627</v>
      </c>
      <c r="G4745" s="2"/>
      <c r="H4745" s="2" t="s">
        <v>6723</v>
      </c>
      <c r="I4745" s="2" t="s">
        <v>15</v>
      </c>
      <c r="J4745" s="2" t="s">
        <v>6699</v>
      </c>
      <c r="K4745" s="2" t="s">
        <v>6720</v>
      </c>
      <c r="L4745" s="2">
        <f t="shared" si="74"/>
        <v>150</v>
      </c>
    </row>
    <row r="4746" spans="1:12" ht="25" customHeight="1">
      <c r="A4746" s="2" t="s">
        <v>12</v>
      </c>
      <c r="B4746" s="2" t="str">
        <f>HYPERLINK("http://www.12365auto.com/xcdg/20200220/419109.shtml","新款高尔夫正式上市 售14.13-23.42万元")</f>
        <v>新款高尔夫正式上市 售14.13-23.42万元</v>
      </c>
      <c r="C4746" s="2" t="s">
        <v>13</v>
      </c>
      <c r="D4746" s="2" t="s">
        <v>12</v>
      </c>
      <c r="E4746" s="2" t="s">
        <v>245</v>
      </c>
      <c r="F4746" s="2" t="str">
        <f>HYPERLINK("http://www.12365auto.com/xcdg/20200220/419109.shtml","http://www.12365auto.com/xcdg/20200220/419109.shtml")</f>
        <v>http://www.12365auto.com/xcdg/20200220/419109.shtml</v>
      </c>
      <c r="G4746" s="2"/>
      <c r="H4746" s="2" t="s">
        <v>6724</v>
      </c>
      <c r="I4746" s="2" t="s">
        <v>19</v>
      </c>
      <c r="J4746" s="2" t="s">
        <v>12</v>
      </c>
      <c r="K4746" s="2" t="s">
        <v>6725</v>
      </c>
      <c r="L4746" s="2">
        <f t="shared" si="74"/>
        <v>150</v>
      </c>
    </row>
    <row r="4747" spans="1:12" ht="25" customHeight="1">
      <c r="A4747" s="2" t="s">
        <v>12</v>
      </c>
      <c r="B4747" s="2" t="str">
        <f>HYPERLINK("http://bbs.12365auto.com/postcontent.aspx?tId=194625","5/6/7座任你选 高性价比大空间SUV推荐")</f>
        <v>5/6/7座任你选 高性价比大空间SUV推荐</v>
      </c>
      <c r="C4747" s="2" t="s">
        <v>13</v>
      </c>
      <c r="D4747" s="2" t="s">
        <v>12</v>
      </c>
      <c r="E4747" s="2" t="s">
        <v>210</v>
      </c>
      <c r="F4747" s="2" t="str">
        <f>HYPERLINK("http://bbs.12365auto.com/postcontent.aspx?tId=194625","http://bbs.12365auto.com/postcontent.aspx?tId=194625")</f>
        <v>http://bbs.12365auto.com/postcontent.aspx?tId=194625</v>
      </c>
      <c r="G4747" s="2"/>
      <c r="H4747" s="2" t="s">
        <v>6726</v>
      </c>
      <c r="I4747" s="2" t="s">
        <v>15</v>
      </c>
      <c r="J4747" s="2" t="s">
        <v>6699</v>
      </c>
      <c r="K4747" s="2" t="s">
        <v>6725</v>
      </c>
      <c r="L4747" s="2">
        <f t="shared" si="74"/>
        <v>150</v>
      </c>
    </row>
    <row r="4748" spans="1:12" ht="25" customHeight="1">
      <c r="A4748" s="2" t="s">
        <v>12</v>
      </c>
      <c r="B4748" s="2" t="str">
        <f>HYPERLINK("http://m.12365auto.com/xcdg/20200220/419109.shtml","新款高尔夫正式上市 售14.13-23.42万元")</f>
        <v>新款高尔夫正式上市 售14.13-23.42万元</v>
      </c>
      <c r="C4748" s="2" t="s">
        <v>13</v>
      </c>
      <c r="D4748" s="2" t="s">
        <v>12</v>
      </c>
      <c r="E4748" s="2"/>
      <c r="F4748" s="2" t="str">
        <f>HYPERLINK("http://m.12365auto.com/xcdg/20200220/419109.shtml","http://m.12365auto.com/xcdg/20200220/419109.shtml")</f>
        <v>http://m.12365auto.com/xcdg/20200220/419109.shtml</v>
      </c>
      <c r="G4748" s="2"/>
      <c r="H4748" s="2" t="s">
        <v>6727</v>
      </c>
      <c r="I4748" s="2" t="s">
        <v>19</v>
      </c>
      <c r="J4748" s="2" t="s">
        <v>270</v>
      </c>
      <c r="K4748" s="2" t="s">
        <v>6725</v>
      </c>
      <c r="L4748" s="2">
        <f t="shared" si="74"/>
        <v>150</v>
      </c>
    </row>
    <row r="4749" spans="1:12" ht="25" customHeight="1">
      <c r="A4749" s="2" t="s">
        <v>12</v>
      </c>
      <c r="B4749" s="2" t="str">
        <f>HYPERLINK("http://bbs.12365auto.com/postcontent.aspx?tID=194625","5/6/7座任你选 高性价比大空间SUV推荐")</f>
        <v>5/6/7座任你选 高性价比大空间SUV推荐</v>
      </c>
      <c r="C4749" s="2" t="s">
        <v>13</v>
      </c>
      <c r="D4749" s="2" t="s">
        <v>12</v>
      </c>
      <c r="E4749" s="2" t="s">
        <v>214</v>
      </c>
      <c r="F4749" s="2" t="str">
        <f>HYPERLINK("http://bbs.12365auto.com/postcontent.aspx?tID=194625","http://bbs.12365auto.com/postcontent.aspx?tID=194625")</f>
        <v>http://bbs.12365auto.com/postcontent.aspx?tID=194625</v>
      </c>
      <c r="G4749" s="2"/>
      <c r="H4749" s="2" t="s">
        <v>6728</v>
      </c>
      <c r="I4749" s="2" t="s">
        <v>15</v>
      </c>
      <c r="J4749" s="2" t="s">
        <v>6699</v>
      </c>
      <c r="K4749" s="2" t="s">
        <v>6725</v>
      </c>
      <c r="L4749" s="2">
        <f t="shared" si="74"/>
        <v>150</v>
      </c>
    </row>
    <row r="4750" spans="1:12" ht="25" customHeight="1">
      <c r="A4750" s="2" t="s">
        <v>12</v>
      </c>
      <c r="B4750" s="2" t="str">
        <f>HYPERLINK("http://m.12365auto.com/xcdg/20200220/419108.shtml","换上1.5T等于鸟枪换炮 本田缤智到底怎么样")</f>
        <v>换上1.5T等于鸟枪换炮 本田缤智到底怎么样</v>
      </c>
      <c r="C4750" s="2" t="s">
        <v>13</v>
      </c>
      <c r="D4750" s="2" t="s">
        <v>12</v>
      </c>
      <c r="E4750" s="2"/>
      <c r="F4750" s="2" t="str">
        <f>HYPERLINK("http://m.12365auto.com/xcdg/20200220/419108.shtml","http://m.12365auto.com/xcdg/20200220/419108.shtml")</f>
        <v>http://m.12365auto.com/xcdg/20200220/419108.shtml</v>
      </c>
      <c r="G4750" s="2"/>
      <c r="H4750" s="2" t="s">
        <v>6729</v>
      </c>
      <c r="I4750" s="2" t="s">
        <v>19</v>
      </c>
      <c r="J4750" s="2" t="s">
        <v>844</v>
      </c>
      <c r="K4750" s="2" t="s">
        <v>6730</v>
      </c>
      <c r="L4750" s="2">
        <f t="shared" si="74"/>
        <v>150</v>
      </c>
    </row>
    <row r="4751" spans="1:12" ht="25" customHeight="1">
      <c r="A4751" s="2" t="s">
        <v>12</v>
      </c>
      <c r="B4751" s="2" t="str">
        <f>HYPERLINK("http://www.12365auto.com/news/20200220/419107.shtml","今年夏季交付 路特斯Evija工厂落成")</f>
        <v>今年夏季交付 路特斯Evija工厂落成</v>
      </c>
      <c r="C4751" s="2" t="s">
        <v>13</v>
      </c>
      <c r="D4751" s="2" t="s">
        <v>12</v>
      </c>
      <c r="E4751" s="2" t="s">
        <v>282</v>
      </c>
      <c r="F4751" s="2" t="str">
        <f>HYPERLINK("http://www.12365auto.com/news/20200220/419107.shtml","http://www.12365auto.com/news/20200220/419107.shtml")</f>
        <v>http://www.12365auto.com/news/20200220/419107.shtml</v>
      </c>
      <c r="G4751" s="2"/>
      <c r="H4751" s="2" t="s">
        <v>6731</v>
      </c>
      <c r="I4751" s="2" t="s">
        <v>19</v>
      </c>
      <c r="J4751" s="2" t="s">
        <v>12</v>
      </c>
      <c r="K4751" s="2" t="s">
        <v>6732</v>
      </c>
      <c r="L4751" s="2">
        <f t="shared" si="74"/>
        <v>150</v>
      </c>
    </row>
    <row r="4752" spans="1:12" ht="25" customHeight="1">
      <c r="A4752" s="2" t="s">
        <v>12</v>
      </c>
      <c r="B4752" s="2" t="str">
        <f>HYPERLINK("http://m.12365auto.com/news/20200220/419107.shtml","今年夏季交付 路特斯Evija工厂落成")</f>
        <v>今年夏季交付 路特斯Evija工厂落成</v>
      </c>
      <c r="C4752" s="2" t="s">
        <v>13</v>
      </c>
      <c r="D4752" s="2" t="s">
        <v>12</v>
      </c>
      <c r="E4752" s="2"/>
      <c r="F4752" s="2" t="str">
        <f>HYPERLINK("http://m.12365auto.com/news/20200220/419107.shtml","http://m.12365auto.com/news/20200220/419107.shtml")</f>
        <v>http://m.12365auto.com/news/20200220/419107.shtml</v>
      </c>
      <c r="G4752" s="2"/>
      <c r="H4752" s="2" t="s">
        <v>6733</v>
      </c>
      <c r="I4752" s="2" t="s">
        <v>19</v>
      </c>
      <c r="J4752" s="2" t="s">
        <v>6734</v>
      </c>
      <c r="K4752" s="2" t="s">
        <v>6732</v>
      </c>
      <c r="L4752" s="2">
        <f t="shared" si="74"/>
        <v>150</v>
      </c>
    </row>
    <row r="4753" spans="1:12" ht="25" customHeight="1">
      <c r="A4753" s="2" t="s">
        <v>12</v>
      </c>
      <c r="B4753" s="2" t="str">
        <f>HYPERLINK("http://m.12365auto.com/xcdg/20200220/419106.shtml","本田思域Type R限量版曝光 搭2.0T/夏季开售")</f>
        <v>本田思域Type R限量版曝光 搭2.0T/夏季开售</v>
      </c>
      <c r="C4753" s="2" t="s">
        <v>13</v>
      </c>
      <c r="D4753" s="2" t="s">
        <v>12</v>
      </c>
      <c r="E4753" s="2"/>
      <c r="F4753" s="2" t="str">
        <f>HYPERLINK("http://m.12365auto.com/xcdg/20200220/419106.shtml","http://m.12365auto.com/xcdg/20200220/419106.shtml")</f>
        <v>http://m.12365auto.com/xcdg/20200220/419106.shtml</v>
      </c>
      <c r="G4753" s="2"/>
      <c r="H4753" s="2" t="s">
        <v>6735</v>
      </c>
      <c r="I4753" s="2" t="s">
        <v>19</v>
      </c>
      <c r="J4753" s="2" t="s">
        <v>220</v>
      </c>
      <c r="K4753" s="2" t="s">
        <v>6736</v>
      </c>
      <c r="L4753" s="2">
        <f t="shared" si="74"/>
        <v>150</v>
      </c>
    </row>
    <row r="4754" spans="1:12" ht="25" customHeight="1">
      <c r="A4754" s="2" t="s">
        <v>12</v>
      </c>
      <c r="B4754" s="2" t="str">
        <f>HYPERLINK("http://www.12365auto.com/xcdg/20200220/419106.shtml","本田思域Type R限量版曝光 搭2.0T/夏季开售")</f>
        <v>本田思域Type R限量版曝光 搭2.0T/夏季开售</v>
      </c>
      <c r="C4754" s="2" t="s">
        <v>13</v>
      </c>
      <c r="D4754" s="2" t="s">
        <v>12</v>
      </c>
      <c r="E4754" s="2" t="s">
        <v>216</v>
      </c>
      <c r="F4754" s="2" t="str">
        <f>HYPERLINK("http://www.12365auto.com/xcdg/20200220/419106.shtml","http://www.12365auto.com/xcdg/20200220/419106.shtml")</f>
        <v>http://www.12365auto.com/xcdg/20200220/419106.shtml</v>
      </c>
      <c r="G4754" s="2"/>
      <c r="H4754" s="2" t="s">
        <v>6737</v>
      </c>
      <c r="I4754" s="2" t="s">
        <v>15</v>
      </c>
      <c r="J4754" s="2" t="s">
        <v>12</v>
      </c>
      <c r="K4754" s="2" t="s">
        <v>6736</v>
      </c>
      <c r="L4754" s="2">
        <f t="shared" si="74"/>
        <v>150</v>
      </c>
    </row>
    <row r="4755" spans="1:12" ht="25" customHeight="1">
      <c r="A4755" s="2" t="s">
        <v>12</v>
      </c>
      <c r="B4755" s="2" t="str">
        <f>HYPERLINK("http://m.12365auto.com/xcdg/20200220/419105.shtml","要与宝马3系一战  捷豹XEL优缺点解析")</f>
        <v>要与宝马3系一战  捷豹XEL优缺点解析</v>
      </c>
      <c r="C4755" s="2" t="s">
        <v>13</v>
      </c>
      <c r="D4755" s="2" t="s">
        <v>12</v>
      </c>
      <c r="E4755" s="2"/>
      <c r="F4755" s="2" t="str">
        <f>HYPERLINK("http://m.12365auto.com/xcdg/20200220/419105.shtml","http://m.12365auto.com/xcdg/20200220/419105.shtml")</f>
        <v>http://m.12365auto.com/xcdg/20200220/419105.shtml</v>
      </c>
      <c r="G4755" s="2"/>
      <c r="H4755" s="2" t="s">
        <v>6738</v>
      </c>
      <c r="I4755" s="2" t="s">
        <v>19</v>
      </c>
      <c r="J4755" s="2" t="s">
        <v>844</v>
      </c>
      <c r="K4755" s="2" t="s">
        <v>6739</v>
      </c>
      <c r="L4755" s="2">
        <f t="shared" si="74"/>
        <v>150</v>
      </c>
    </row>
    <row r="4756" spans="1:12" ht="25" customHeight="1">
      <c r="A4756" s="2" t="s">
        <v>12</v>
      </c>
      <c r="B4756" s="2" t="str">
        <f>HYPERLINK("http://m.12365auto.com/xcdg/20200220/419104.shtml","选车3+2：全新沃尔沃S60优缺点简析")</f>
        <v>选车3+2：全新沃尔沃S60优缺点简析</v>
      </c>
      <c r="C4756" s="2" t="s">
        <v>13</v>
      </c>
      <c r="D4756" s="2" t="s">
        <v>12</v>
      </c>
      <c r="E4756" s="2"/>
      <c r="F4756" s="2" t="str">
        <f>HYPERLINK("http://m.12365auto.com/xcdg/20200220/419104.shtml","http://m.12365auto.com/xcdg/20200220/419104.shtml")</f>
        <v>http://m.12365auto.com/xcdg/20200220/419104.shtml</v>
      </c>
      <c r="G4756" s="2"/>
      <c r="H4756" s="2" t="s">
        <v>6740</v>
      </c>
      <c r="I4756" s="2" t="s">
        <v>19</v>
      </c>
      <c r="J4756" s="2" t="s">
        <v>12</v>
      </c>
      <c r="K4756" s="2" t="s">
        <v>6741</v>
      </c>
      <c r="L4756" s="2">
        <f t="shared" si="74"/>
        <v>150</v>
      </c>
    </row>
    <row r="4757" spans="1:12" ht="25" customHeight="1">
      <c r="A4757" s="2" t="s">
        <v>12</v>
      </c>
      <c r="B4757" s="2" t="str">
        <f>HYPERLINK("http://m.12365auto.com/news/20200220/419103.shtml","广汽传祺GS4销量逆势大涨133% 超途观/奇骏")</f>
        <v>广汽传祺GS4销量逆势大涨133% 超途观/奇骏</v>
      </c>
      <c r="C4757" s="2" t="s">
        <v>13</v>
      </c>
      <c r="D4757" s="2" t="s">
        <v>12</v>
      </c>
      <c r="E4757" s="2"/>
      <c r="F4757" s="2" t="str">
        <f>HYPERLINK("http://m.12365auto.com/news/20200220/419103.shtml","http://m.12365auto.com/news/20200220/419103.shtml")</f>
        <v>http://m.12365auto.com/news/20200220/419103.shtml</v>
      </c>
      <c r="G4757" s="2"/>
      <c r="H4757" s="2" t="s">
        <v>6742</v>
      </c>
      <c r="I4757" s="2" t="s">
        <v>19</v>
      </c>
      <c r="J4757" s="2" t="s">
        <v>2928</v>
      </c>
      <c r="K4757" s="2" t="s">
        <v>6743</v>
      </c>
      <c r="L4757" s="2">
        <f t="shared" si="74"/>
        <v>150</v>
      </c>
    </row>
    <row r="4758" spans="1:12" ht="25" customHeight="1">
      <c r="A4758" s="2" t="s">
        <v>12</v>
      </c>
      <c r="B4758" s="2" t="str">
        <f>HYPERLINK("http://www.12365auto.com/news/20200220/419103.shtml","广汽传祺GS4销量逆势大涨133% 超途观/奇骏")</f>
        <v>广汽传祺GS4销量逆势大涨133% 超途观/奇骏</v>
      </c>
      <c r="C4758" s="2" t="s">
        <v>13</v>
      </c>
      <c r="D4758" s="2" t="s">
        <v>12</v>
      </c>
      <c r="E4758" s="2" t="s">
        <v>276</v>
      </c>
      <c r="F4758" s="2" t="str">
        <f>HYPERLINK("http://www.12365auto.com/news/20200220/419103.shtml","http://www.12365auto.com/news/20200220/419103.shtml")</f>
        <v>http://www.12365auto.com/news/20200220/419103.shtml</v>
      </c>
      <c r="G4758" s="2"/>
      <c r="H4758" s="2" t="s">
        <v>6744</v>
      </c>
      <c r="I4758" s="2" t="s">
        <v>15</v>
      </c>
      <c r="J4758" s="2" t="s">
        <v>12</v>
      </c>
      <c r="K4758" s="2" t="s">
        <v>6743</v>
      </c>
      <c r="L4758" s="2">
        <f t="shared" si="74"/>
        <v>150</v>
      </c>
    </row>
    <row r="4759" spans="1:12" ht="25" customHeight="1">
      <c r="A4759" s="2" t="s">
        <v>12</v>
      </c>
      <c r="B4759" s="2" t="str">
        <f>HYPERLINK("http://www.12365auto.com/xcdg/20200220/419102.shtml","全新DS4路试谍照 升级全新灯组/设计更时尚")</f>
        <v>全新DS4路试谍照 升级全新灯组/设计更时尚</v>
      </c>
      <c r="C4759" s="2" t="s">
        <v>13</v>
      </c>
      <c r="D4759" s="2" t="s">
        <v>12</v>
      </c>
      <c r="E4759" s="2" t="s">
        <v>224</v>
      </c>
      <c r="F4759" s="2" t="str">
        <f>HYPERLINK("http://www.12365auto.com/xcdg/20200220/419102.shtml","http://www.12365auto.com/xcdg/20200220/419102.shtml")</f>
        <v>http://www.12365auto.com/xcdg/20200220/419102.shtml</v>
      </c>
      <c r="G4759" s="2"/>
      <c r="H4759" s="2" t="s">
        <v>6745</v>
      </c>
      <c r="I4759" s="2" t="s">
        <v>15</v>
      </c>
      <c r="J4759" s="2" t="s">
        <v>12</v>
      </c>
      <c r="K4759" s="2" t="s">
        <v>6746</v>
      </c>
      <c r="L4759" s="2">
        <f t="shared" si="74"/>
        <v>150</v>
      </c>
    </row>
    <row r="4760" spans="1:12" ht="25" customHeight="1">
      <c r="A4760" s="2" t="s">
        <v>12</v>
      </c>
      <c r="B4760" s="2" t="str">
        <f>HYPERLINK("http://m.12365auto.com/xcdg/20200220/419102.shtml","全新DS4路试谍照 升级全新灯组/设计更时尚")</f>
        <v>全新DS4路试谍照 升级全新灯组/设计更时尚</v>
      </c>
      <c r="C4760" s="2" t="s">
        <v>13</v>
      </c>
      <c r="D4760" s="2" t="s">
        <v>12</v>
      </c>
      <c r="E4760" s="2"/>
      <c r="F4760" s="2" t="str">
        <f>HYPERLINK("http://m.12365auto.com/xcdg/20200220/419102.shtml","http://m.12365auto.com/xcdg/20200220/419102.shtml")</f>
        <v>http://m.12365auto.com/xcdg/20200220/419102.shtml</v>
      </c>
      <c r="G4760" s="2"/>
      <c r="H4760" s="2" t="s">
        <v>6747</v>
      </c>
      <c r="I4760" s="2" t="s">
        <v>19</v>
      </c>
      <c r="J4760" s="2" t="s">
        <v>222</v>
      </c>
      <c r="K4760" s="2" t="s">
        <v>6746</v>
      </c>
      <c r="L4760" s="2">
        <f t="shared" si="74"/>
        <v>150</v>
      </c>
    </row>
    <row r="4761" spans="1:12" ht="25" customHeight="1">
      <c r="A4761" s="2" t="s">
        <v>12</v>
      </c>
      <c r="B4761" s="2" t="str">
        <f>HYPERLINK("http://www.12365auto.com/xcdg/20200220/419101.shtml","斯巴鲁XV混动版售价曝光 搭2.0L/配置升级")</f>
        <v>斯巴鲁XV混动版售价曝光 搭2.0L/配置升级</v>
      </c>
      <c r="C4761" s="2" t="s">
        <v>13</v>
      </c>
      <c r="D4761" s="2" t="s">
        <v>12</v>
      </c>
      <c r="E4761" s="2" t="s">
        <v>245</v>
      </c>
      <c r="F4761" s="2" t="str">
        <f>HYPERLINK("http://www.12365auto.com/xcdg/20200220/419101.shtml","http://www.12365auto.com/xcdg/20200220/419101.shtml")</f>
        <v>http://www.12365auto.com/xcdg/20200220/419101.shtml</v>
      </c>
      <c r="G4761" s="2"/>
      <c r="H4761" s="2" t="s">
        <v>6748</v>
      </c>
      <c r="I4761" s="2" t="s">
        <v>19</v>
      </c>
      <c r="J4761" s="2" t="s">
        <v>12</v>
      </c>
      <c r="K4761" s="2" t="s">
        <v>6749</v>
      </c>
      <c r="L4761" s="2">
        <f t="shared" si="74"/>
        <v>150</v>
      </c>
    </row>
    <row r="4762" spans="1:12" ht="25" customHeight="1">
      <c r="A4762" s="2" t="s">
        <v>12</v>
      </c>
      <c r="B4762" s="2" t="str">
        <f>HYPERLINK("http://www.12365auto.com/xcdg/20200220/419100.shtml","吉利ICON将2月24日线上上市 年轻化理念")</f>
        <v>吉利ICON将2月24日线上上市 年轻化理念</v>
      </c>
      <c r="C4762" s="2" t="s">
        <v>13</v>
      </c>
      <c r="D4762" s="2" t="s">
        <v>12</v>
      </c>
      <c r="E4762" s="2" t="s">
        <v>245</v>
      </c>
      <c r="F4762" s="2" t="str">
        <f>HYPERLINK("http://www.12365auto.com/xcdg/20200220/419100.shtml","http://www.12365auto.com/xcdg/20200220/419100.shtml")</f>
        <v>http://www.12365auto.com/xcdg/20200220/419100.shtml</v>
      </c>
      <c r="G4762" s="2"/>
      <c r="H4762" s="2" t="s">
        <v>6750</v>
      </c>
      <c r="I4762" s="2" t="s">
        <v>19</v>
      </c>
      <c r="J4762" s="2" t="s">
        <v>12</v>
      </c>
      <c r="K4762" s="2" t="s">
        <v>6749</v>
      </c>
      <c r="L4762" s="2">
        <f t="shared" si="74"/>
        <v>150</v>
      </c>
    </row>
    <row r="4763" spans="1:12" ht="25" customHeight="1">
      <c r="A4763" s="2" t="s">
        <v>12</v>
      </c>
      <c r="B4763" s="2" t="str">
        <f>HYPERLINK("http://m.12365auto.com/xcdg/20200220/419101.shtml","斯巴鲁XV混动版售价曝光 搭2.0L/配置升级")</f>
        <v>斯巴鲁XV混动版售价曝光 搭2.0L/配置升级</v>
      </c>
      <c r="C4763" s="2" t="s">
        <v>13</v>
      </c>
      <c r="D4763" s="2" t="s">
        <v>12</v>
      </c>
      <c r="E4763" s="2"/>
      <c r="F4763" s="2" t="str">
        <f>HYPERLINK("http://m.12365auto.com/xcdg/20200220/419101.shtml","http://m.12365auto.com/xcdg/20200220/419101.shtml")</f>
        <v>http://m.12365auto.com/xcdg/20200220/419101.shtml</v>
      </c>
      <c r="G4763" s="2"/>
      <c r="H4763" s="2" t="s">
        <v>6751</v>
      </c>
      <c r="I4763" s="2" t="s">
        <v>19</v>
      </c>
      <c r="J4763" s="2" t="s">
        <v>220</v>
      </c>
      <c r="K4763" s="2" t="s">
        <v>6749</v>
      </c>
      <c r="L4763" s="2">
        <f t="shared" si="74"/>
        <v>150</v>
      </c>
    </row>
    <row r="4764" spans="1:12" ht="25" customHeight="1">
      <c r="A4764" s="2" t="s">
        <v>12</v>
      </c>
      <c r="B4764" s="2" t="str">
        <f>HYPERLINK("http://m.12365auto.com/xcdg/20200220/419100.shtml","吉利ICON将2月24日线上上市 年轻化理念")</f>
        <v>吉利ICON将2月24日线上上市 年轻化理念</v>
      </c>
      <c r="C4764" s="2" t="s">
        <v>13</v>
      </c>
      <c r="D4764" s="2" t="s">
        <v>12</v>
      </c>
      <c r="E4764" s="2"/>
      <c r="F4764" s="2" t="str">
        <f>HYPERLINK("http://m.12365auto.com/xcdg/20200220/419100.shtml","http://m.12365auto.com/xcdg/20200220/419100.shtml")</f>
        <v>http://m.12365auto.com/xcdg/20200220/419100.shtml</v>
      </c>
      <c r="G4764" s="2"/>
      <c r="H4764" s="2" t="s">
        <v>6752</v>
      </c>
      <c r="I4764" s="2" t="s">
        <v>19</v>
      </c>
      <c r="J4764" s="2" t="s">
        <v>751</v>
      </c>
      <c r="K4764" s="2" t="s">
        <v>6749</v>
      </c>
      <c r="L4764" s="2">
        <f t="shared" si="74"/>
        <v>150</v>
      </c>
    </row>
    <row r="4765" spans="1:12" ht="25" customHeight="1">
      <c r="A4765" s="2" t="s">
        <v>12</v>
      </c>
      <c r="B4765" s="2" t="str">
        <f>HYPERLINK("http://www.12365auto.com/zlts/20200220/447876.shtml","北京现代领动车门漏风严重 要求妥善处理")</f>
        <v>北京现代领动车门漏风严重 要求妥善处理</v>
      </c>
      <c r="C4765" s="2" t="s">
        <v>13</v>
      </c>
      <c r="D4765" s="2" t="s">
        <v>12</v>
      </c>
      <c r="E4765" s="2" t="s">
        <v>17</v>
      </c>
      <c r="F4765" s="2" t="str">
        <f>HYPERLINK("http://www.12365auto.com/zlts/20200220/447876.shtml","http://www.12365auto.com/zlts/20200220/447876.shtml")</f>
        <v>http://www.12365auto.com/zlts/20200220/447876.shtml</v>
      </c>
      <c r="G4765" s="2"/>
      <c r="H4765" s="2" t="s">
        <v>6753</v>
      </c>
      <c r="I4765" s="2" t="s">
        <v>15</v>
      </c>
      <c r="J4765" s="2" t="s">
        <v>12</v>
      </c>
      <c r="K4765" s="2" t="s">
        <v>6754</v>
      </c>
      <c r="L4765" s="2">
        <f t="shared" si="74"/>
        <v>150</v>
      </c>
    </row>
    <row r="4766" spans="1:12" ht="25" customHeight="1">
      <c r="A4766" s="2" t="s">
        <v>12</v>
      </c>
      <c r="B4766" s="2" t="str">
        <f>HYPERLINK("http://m.12365auto.com/xcdg/20200220/419099.shtml","10万元买合资A级车的高配值吗？简析科鲁泽")</f>
        <v>10万元买合资A级车的高配值吗？简析科鲁泽</v>
      </c>
      <c r="C4766" s="2" t="s">
        <v>13</v>
      </c>
      <c r="D4766" s="2" t="s">
        <v>12</v>
      </c>
      <c r="E4766" s="2"/>
      <c r="F4766" s="2" t="str">
        <f>HYPERLINK("http://m.12365auto.com/xcdg/20200220/419099.shtml","http://m.12365auto.com/xcdg/20200220/419099.shtml")</f>
        <v>http://m.12365auto.com/xcdg/20200220/419099.shtml</v>
      </c>
      <c r="G4766" s="2"/>
      <c r="H4766" s="2" t="s">
        <v>6755</v>
      </c>
      <c r="I4766" s="2" t="s">
        <v>19</v>
      </c>
      <c r="J4766" s="2" t="s">
        <v>849</v>
      </c>
      <c r="K4766" s="2" t="s">
        <v>6756</v>
      </c>
      <c r="L4766" s="2">
        <f t="shared" si="74"/>
        <v>150</v>
      </c>
    </row>
    <row r="4767" spans="1:12" ht="25" customHeight="1">
      <c r="A4767" s="2" t="s">
        <v>12</v>
      </c>
      <c r="B4767" s="2" t="str">
        <f>HYPERLINK("http://www.12365auto.com/zlts/20200220/447875.shtml","一汽大众探岳冷却液异常消耗 要求处理")</f>
        <v>一汽大众探岳冷却液异常消耗 要求处理</v>
      </c>
      <c r="C4767" s="2" t="s">
        <v>13</v>
      </c>
      <c r="D4767" s="2" t="s">
        <v>12</v>
      </c>
      <c r="E4767" s="2" t="s">
        <v>17</v>
      </c>
      <c r="F4767" s="2" t="str">
        <f>HYPERLINK("http://www.12365auto.com/zlts/20200220/447875.shtml","http://www.12365auto.com/zlts/20200220/447875.shtml")</f>
        <v>http://www.12365auto.com/zlts/20200220/447875.shtml</v>
      </c>
      <c r="G4767" s="2"/>
      <c r="H4767" s="2" t="s">
        <v>6757</v>
      </c>
      <c r="I4767" s="2" t="s">
        <v>19</v>
      </c>
      <c r="J4767" s="2" t="s">
        <v>12</v>
      </c>
      <c r="K4767" s="2" t="s">
        <v>6756</v>
      </c>
      <c r="L4767" s="2">
        <f t="shared" si="74"/>
        <v>150</v>
      </c>
    </row>
    <row r="4768" spans="1:12" ht="25" customHeight="1">
      <c r="A4768" s="2" t="s">
        <v>12</v>
      </c>
      <c r="B4768" s="2" t="str">
        <f>HYPERLINK("http://www.12365auto.com/zlts/20200220/447872.shtml","上汽名爵3正时链条拉长导致故障灯亮")</f>
        <v>上汽名爵3正时链条拉长导致故障灯亮</v>
      </c>
      <c r="C4768" s="2" t="s">
        <v>13</v>
      </c>
      <c r="D4768" s="2" t="s">
        <v>12</v>
      </c>
      <c r="E4768" s="2"/>
      <c r="F4768" s="2" t="str">
        <f>HYPERLINK("http://www.12365auto.com/zlts/20200220/447872.shtml","http://www.12365auto.com/zlts/20200220/447872.shtml")</f>
        <v>http://www.12365auto.com/zlts/20200220/447872.shtml</v>
      </c>
      <c r="G4768" s="2"/>
      <c r="H4768" s="2" t="s">
        <v>6759</v>
      </c>
      <c r="I4768" s="2" t="s">
        <v>15</v>
      </c>
      <c r="J4768" s="2" t="s">
        <v>12</v>
      </c>
      <c r="K4768" s="2" t="s">
        <v>6758</v>
      </c>
      <c r="L4768" s="2">
        <f t="shared" si="74"/>
        <v>81</v>
      </c>
    </row>
    <row r="4769" spans="1:12" ht="25" customHeight="1">
      <c r="A4769" s="2" t="s">
        <v>12</v>
      </c>
      <c r="B4769" s="2" t="str">
        <f>HYPERLINK("http://m.12365auto.com/xcdg/20200220/419098.shtml","适合拥有“瓦罐”情怀的你 沃尔沃V60简析")</f>
        <v>适合拥有“瓦罐”情怀的你 沃尔沃V60简析</v>
      </c>
      <c r="C4769" s="2" t="s">
        <v>13</v>
      </c>
      <c r="D4769" s="2" t="s">
        <v>12</v>
      </c>
      <c r="E4769" s="2"/>
      <c r="F4769" s="2" t="str">
        <f>HYPERLINK("http://m.12365auto.com/xcdg/20200220/419098.shtml","http://m.12365auto.com/xcdg/20200220/419098.shtml")</f>
        <v>http://m.12365auto.com/xcdg/20200220/419098.shtml</v>
      </c>
      <c r="G4769" s="2"/>
      <c r="H4769" s="2" t="s">
        <v>6760</v>
      </c>
      <c r="I4769" s="2" t="s">
        <v>19</v>
      </c>
      <c r="J4769" s="2" t="s">
        <v>844</v>
      </c>
      <c r="K4769" s="2" t="s">
        <v>6761</v>
      </c>
      <c r="L4769" s="2">
        <f t="shared" si="74"/>
        <v>150</v>
      </c>
    </row>
    <row r="4770" spans="1:12" ht="25" customHeight="1">
      <c r="A4770" s="2" t="s">
        <v>12</v>
      </c>
      <c r="B4770" s="2" t="str">
        <f>HYPERLINK("http://m.12365auto.com/scbg/20200220/419097.shtml","第三排的舒适来之不易  试驾凯迪拉克XT6")</f>
        <v>第三排的舒适来之不易  试驾凯迪拉克XT6</v>
      </c>
      <c r="C4770" s="2" t="s">
        <v>13</v>
      </c>
      <c r="D4770" s="2" t="s">
        <v>12</v>
      </c>
      <c r="E4770" s="2"/>
      <c r="F4770" s="2" t="str">
        <f>HYPERLINK("http://m.12365auto.com/scbg/20200220/419097.shtml","http://m.12365auto.com/scbg/20200220/419097.shtml")</f>
        <v>http://m.12365auto.com/scbg/20200220/419097.shtml</v>
      </c>
      <c r="G4770" s="2"/>
      <c r="H4770" s="2" t="s">
        <v>6762</v>
      </c>
      <c r="I4770" s="2" t="s">
        <v>19</v>
      </c>
      <c r="J4770" s="2" t="s">
        <v>6763</v>
      </c>
      <c r="K4770" s="2" t="s">
        <v>6764</v>
      </c>
      <c r="L4770" s="2">
        <f t="shared" si="74"/>
        <v>150</v>
      </c>
    </row>
    <row r="4771" spans="1:12" ht="25" customHeight="1">
      <c r="A4771" s="2" t="s">
        <v>12</v>
      </c>
      <c r="B4771" s="2" t="str">
        <f>HYPERLINK("http://www.12365auto.com/scbg/20200220/419097.shtml","第三排的舒适来之不易  试驾凯迪拉克XT6")</f>
        <v>第三排的舒适来之不易  试驾凯迪拉克XT6</v>
      </c>
      <c r="C4771" s="2" t="s">
        <v>13</v>
      </c>
      <c r="D4771" s="2" t="s">
        <v>12</v>
      </c>
      <c r="E4771" s="2" t="s">
        <v>1548</v>
      </c>
      <c r="F4771" s="2" t="str">
        <f>HYPERLINK("http://www.12365auto.com/scbg/20200220/419097.shtml","http://www.12365auto.com/scbg/20200220/419097.shtml")</f>
        <v>http://www.12365auto.com/scbg/20200220/419097.shtml</v>
      </c>
      <c r="G4771" s="2"/>
      <c r="H4771" s="2" t="s">
        <v>6765</v>
      </c>
      <c r="I4771" s="2" t="s">
        <v>15</v>
      </c>
      <c r="J4771" s="2" t="s">
        <v>12</v>
      </c>
      <c r="K4771" s="2" t="s">
        <v>6764</v>
      </c>
      <c r="L4771" s="2">
        <f t="shared" si="74"/>
        <v>150</v>
      </c>
    </row>
    <row r="4772" spans="1:12" ht="25" customHeight="1">
      <c r="A4772" s="2" t="s">
        <v>12</v>
      </c>
      <c r="B4772" s="2" t="str">
        <f>HYPERLINK("http://m.12365auto.com/news/20200220/419096.shtml","疫情期间不能出门？这些保养自己就能做")</f>
        <v>疫情期间不能出门？这些保养自己就能做</v>
      </c>
      <c r="C4772" s="2" t="s">
        <v>13</v>
      </c>
      <c r="D4772" s="2" t="s">
        <v>12</v>
      </c>
      <c r="E4772" s="2"/>
      <c r="F4772" s="2" t="str">
        <f>HYPERLINK("http://m.12365auto.com/news/20200220/419096.shtml","http://m.12365auto.com/news/20200220/419096.shtml")</f>
        <v>http://m.12365auto.com/news/20200220/419096.shtml</v>
      </c>
      <c r="G4772" s="2"/>
      <c r="H4772" s="2" t="s">
        <v>6766</v>
      </c>
      <c r="I4772" s="2" t="s">
        <v>19</v>
      </c>
      <c r="J4772" s="2" t="s">
        <v>3507</v>
      </c>
      <c r="K4772" s="2" t="s">
        <v>6767</v>
      </c>
      <c r="L4772" s="2">
        <f t="shared" si="74"/>
        <v>150</v>
      </c>
    </row>
    <row r="4773" spans="1:12" ht="25" customHeight="1">
      <c r="A4773" s="2" t="s">
        <v>12</v>
      </c>
      <c r="B4773" s="2" t="str">
        <f>HYPERLINK("http://www.12365auto.com/news/20200220/419096.shtml","疫情期间不能出门？这些保养自己就能做")</f>
        <v>疫情期间不能出门？这些保养自己就能做</v>
      </c>
      <c r="C4773" s="2" t="s">
        <v>13</v>
      </c>
      <c r="D4773" s="2" t="s">
        <v>12</v>
      </c>
      <c r="E4773" s="2" t="s">
        <v>372</v>
      </c>
      <c r="F4773" s="2" t="str">
        <f>HYPERLINK("http://www.12365auto.com/news/20200220/419096.shtml","http://www.12365auto.com/news/20200220/419096.shtml")</f>
        <v>http://www.12365auto.com/news/20200220/419096.shtml</v>
      </c>
      <c r="G4773" s="2"/>
      <c r="H4773" s="2" t="s">
        <v>6768</v>
      </c>
      <c r="I4773" s="2" t="s">
        <v>15</v>
      </c>
      <c r="J4773" s="2" t="s">
        <v>12</v>
      </c>
      <c r="K4773" s="2" t="s">
        <v>6767</v>
      </c>
      <c r="L4773" s="2">
        <f t="shared" si="74"/>
        <v>150</v>
      </c>
    </row>
    <row r="4774" spans="1:12" ht="25" customHeight="1">
      <c r="A4774" s="2" t="s">
        <v>12</v>
      </c>
      <c r="B4774" s="2" t="str">
        <f>HYPERLINK("http://m.12365auto.com/news/20200220/419095.shtml","天天抢车位 为什么感觉停车越来越难？")</f>
        <v>天天抢车位 为什么感觉停车越来越难？</v>
      </c>
      <c r="C4774" s="2" t="s">
        <v>13</v>
      </c>
      <c r="D4774" s="2" t="s">
        <v>12</v>
      </c>
      <c r="E4774" s="2"/>
      <c r="F4774" s="2" t="str">
        <f>HYPERLINK("http://m.12365auto.com/news/20200220/419095.shtml","http://m.12365auto.com/news/20200220/419095.shtml")</f>
        <v>http://m.12365auto.com/news/20200220/419095.shtml</v>
      </c>
      <c r="G4774" s="2"/>
      <c r="H4774" s="2" t="s">
        <v>6769</v>
      </c>
      <c r="I4774" s="2" t="s">
        <v>19</v>
      </c>
      <c r="J4774" s="2" t="s">
        <v>6770</v>
      </c>
      <c r="K4774" s="2" t="s">
        <v>6771</v>
      </c>
      <c r="L4774" s="2">
        <f t="shared" si="74"/>
        <v>150</v>
      </c>
    </row>
    <row r="4775" spans="1:12" ht="25" customHeight="1">
      <c r="A4775" s="2" t="s">
        <v>12</v>
      </c>
      <c r="B4775" s="2" t="str">
        <f>HYPERLINK("http://www.12365auto.com/news/20200220/419095.shtml","天天抢车位 为什么感觉停车越来越难？")</f>
        <v>天天抢车位 为什么感觉停车越来越难？</v>
      </c>
      <c r="C4775" s="2" t="s">
        <v>13</v>
      </c>
      <c r="D4775" s="2" t="s">
        <v>12</v>
      </c>
      <c r="E4775" s="2" t="s">
        <v>372</v>
      </c>
      <c r="F4775" s="2" t="str">
        <f>HYPERLINK("http://www.12365auto.com/news/20200220/419095.shtml","http://www.12365auto.com/news/20200220/419095.shtml")</f>
        <v>http://www.12365auto.com/news/20200220/419095.shtml</v>
      </c>
      <c r="G4775" s="2"/>
      <c r="H4775" s="2" t="s">
        <v>6772</v>
      </c>
      <c r="I4775" s="2" t="s">
        <v>15</v>
      </c>
      <c r="J4775" s="2" t="s">
        <v>12</v>
      </c>
      <c r="K4775" s="2" t="s">
        <v>6771</v>
      </c>
      <c r="L4775" s="2">
        <f t="shared" si="74"/>
        <v>150</v>
      </c>
    </row>
    <row r="4776" spans="1:12" ht="25" customHeight="1">
      <c r="A4776" s="2" t="s">
        <v>12</v>
      </c>
      <c r="B4776" s="2" t="str">
        <f>HYPERLINK("http://www.12365auto.com/zlts/20200220/447874.shtml","一汽丰田锐志配件质量差导致频繁故障")</f>
        <v>一汽丰田锐志配件质量差导致频繁故障</v>
      </c>
      <c r="C4776" s="2" t="s">
        <v>13</v>
      </c>
      <c r="D4776" s="2" t="s">
        <v>12</v>
      </c>
      <c r="E4776" s="2" t="s">
        <v>17</v>
      </c>
      <c r="F4776" s="2" t="str">
        <f>HYPERLINK("http://www.12365auto.com/zlts/20200220/447874.shtml","http://www.12365auto.com/zlts/20200220/447874.shtml")</f>
        <v>http://www.12365auto.com/zlts/20200220/447874.shtml</v>
      </c>
      <c r="G4776" s="2"/>
      <c r="H4776" s="2" t="s">
        <v>6773</v>
      </c>
      <c r="I4776" s="2" t="s">
        <v>19</v>
      </c>
      <c r="J4776" s="2" t="s">
        <v>12</v>
      </c>
      <c r="K4776" s="2" t="s">
        <v>6774</v>
      </c>
      <c r="L4776" s="2">
        <f t="shared" si="74"/>
        <v>150</v>
      </c>
    </row>
    <row r="4777" spans="1:12" ht="25" customHeight="1">
      <c r="A4777" s="2" t="s">
        <v>12</v>
      </c>
      <c r="B4777" s="2" t="str">
        <f>HYPERLINK("http://www.12365auto.com/zlts/20200220/447873.shtml","一汽大众捷达VS5主座椅下面线束插头没插")</f>
        <v>一汽大众捷达VS5主座椅下面线束插头没插</v>
      </c>
      <c r="C4777" s="2" t="s">
        <v>13</v>
      </c>
      <c r="D4777" s="2" t="s">
        <v>12</v>
      </c>
      <c r="E4777" s="2" t="s">
        <v>17</v>
      </c>
      <c r="F4777" s="2" t="str">
        <f>HYPERLINK("http://www.12365auto.com/zlts/20200220/447873.shtml","http://www.12365auto.com/zlts/20200220/447873.shtml")</f>
        <v>http://www.12365auto.com/zlts/20200220/447873.shtml</v>
      </c>
      <c r="G4777" s="2"/>
      <c r="H4777" s="2" t="s">
        <v>6775</v>
      </c>
      <c r="I4777" s="2" t="s">
        <v>19</v>
      </c>
      <c r="J4777" s="2" t="s">
        <v>12</v>
      </c>
      <c r="K4777" s="2" t="s">
        <v>6776</v>
      </c>
      <c r="L4777" s="2">
        <f t="shared" si="74"/>
        <v>150</v>
      </c>
    </row>
    <row r="4778" spans="1:12" ht="25" customHeight="1">
      <c r="A4778" s="2" t="s">
        <v>12</v>
      </c>
      <c r="B4778" s="2" t="str">
        <f>HYPERLINK("http://www.12365auto.com/zlts/20200220/447867.shtml","途达２０２０款旗舰跑电严重无法启动")</f>
        <v>途达２０２０款旗舰跑电严重无法启动</v>
      </c>
      <c r="C4778" s="2" t="s">
        <v>13</v>
      </c>
      <c r="D4778" s="2" t="s">
        <v>12</v>
      </c>
      <c r="E4778" s="2"/>
      <c r="F4778" s="2" t="str">
        <f>HYPERLINK("http://www.12365auto.com/zlts/20200220/447867.shtml","http://www.12365auto.com/zlts/20200220/447867.shtml")</f>
        <v>http://www.12365auto.com/zlts/20200220/447867.shtml</v>
      </c>
      <c r="G4778" s="2"/>
      <c r="H4778" s="2" t="s">
        <v>6778</v>
      </c>
      <c r="I4778" s="2" t="s">
        <v>15</v>
      </c>
      <c r="J4778" s="2" t="s">
        <v>12</v>
      </c>
      <c r="K4778" s="2" t="s">
        <v>6777</v>
      </c>
      <c r="L4778" s="2">
        <f t="shared" si="74"/>
        <v>83</v>
      </c>
    </row>
    <row r="4779" spans="1:12" ht="25" customHeight="1">
      <c r="A4779" s="2" t="s">
        <v>12</v>
      </c>
      <c r="B4779" s="2" t="str">
        <f>HYPERLINK("http://www.12365auto.com/zlts/20200220/447871.shtml","华晨宝马5系后刹车片异常磨损希望处理")</f>
        <v>华晨宝马5系后刹车片异常磨损希望处理</v>
      </c>
      <c r="C4779" s="2" t="s">
        <v>13</v>
      </c>
      <c r="D4779" s="2" t="s">
        <v>12</v>
      </c>
      <c r="E4779" s="2" t="s">
        <v>17</v>
      </c>
      <c r="F4779" s="2" t="str">
        <f>HYPERLINK("http://www.12365auto.com/zlts/20200220/447871.shtml","http://www.12365auto.com/zlts/20200220/447871.shtml")</f>
        <v>http://www.12365auto.com/zlts/20200220/447871.shtml</v>
      </c>
      <c r="G4779" s="2"/>
      <c r="H4779" s="2" t="s">
        <v>6779</v>
      </c>
      <c r="I4779" s="2" t="s">
        <v>19</v>
      </c>
      <c r="J4779" s="2" t="s">
        <v>12</v>
      </c>
      <c r="K4779" s="2" t="s">
        <v>6780</v>
      </c>
      <c r="L4779" s="2">
        <f t="shared" si="74"/>
        <v>150</v>
      </c>
    </row>
    <row r="4780" spans="1:12" ht="25" customHeight="1">
      <c r="A4780" s="2" t="s">
        <v>12</v>
      </c>
      <c r="B4780" s="2" t="str">
        <f>HYPERLINK("http://m.12365auto.com/news/20200220/419094.shtml","Yandex自动驾驶汽车行驶里程达200万英里")</f>
        <v>Yandex自动驾驶汽车行驶里程达200万英里</v>
      </c>
      <c r="C4780" s="2" t="s">
        <v>13</v>
      </c>
      <c r="D4780" s="2" t="s">
        <v>12</v>
      </c>
      <c r="E4780" s="2"/>
      <c r="F4780" s="2" t="str">
        <f>HYPERLINK("http://m.12365auto.com/news/20200220/419094.shtml","http://m.12365auto.com/news/20200220/419094.shtml")</f>
        <v>http://m.12365auto.com/news/20200220/419094.shtml</v>
      </c>
      <c r="G4780" s="2"/>
      <c r="H4780" s="2" t="s">
        <v>6781</v>
      </c>
      <c r="I4780" s="2" t="s">
        <v>19</v>
      </c>
      <c r="J4780" s="2" t="s">
        <v>1029</v>
      </c>
      <c r="K4780" s="2" t="s">
        <v>6782</v>
      </c>
      <c r="L4780" s="2">
        <f t="shared" si="74"/>
        <v>150</v>
      </c>
    </row>
    <row r="4781" spans="1:12" ht="25" customHeight="1">
      <c r="A4781" s="2" t="s">
        <v>12</v>
      </c>
      <c r="B4781" s="2" t="str">
        <f>HYPERLINK("http://www.12365auto.com/news/20200220/419094.shtml","Yandex自动驾驶汽车行驶里程达200万英里")</f>
        <v>Yandex自动驾驶汽车行驶里程达200万英里</v>
      </c>
      <c r="C4781" s="2" t="s">
        <v>13</v>
      </c>
      <c r="D4781" s="2" t="s">
        <v>12</v>
      </c>
      <c r="E4781" s="2" t="s">
        <v>276</v>
      </c>
      <c r="F4781" s="2" t="str">
        <f>HYPERLINK("http://www.12365auto.com/news/20200220/419094.shtml","http://www.12365auto.com/news/20200220/419094.shtml")</f>
        <v>http://www.12365auto.com/news/20200220/419094.shtml</v>
      </c>
      <c r="G4781" s="2"/>
      <c r="H4781" s="2" t="s">
        <v>6783</v>
      </c>
      <c r="I4781" s="2" t="s">
        <v>15</v>
      </c>
      <c r="J4781" s="2" t="s">
        <v>12</v>
      </c>
      <c r="K4781" s="2" t="s">
        <v>6782</v>
      </c>
      <c r="L4781" s="2">
        <f t="shared" si="74"/>
        <v>150</v>
      </c>
    </row>
    <row r="4782" spans="1:12" ht="25" customHeight="1">
      <c r="A4782" s="2" t="s">
        <v>12</v>
      </c>
      <c r="B4782" s="2" t="str">
        <f>HYPERLINK("http://www.12365auto.com/zlts/20200220/447865.shtml","奇瑞瑞虎8变速箱有异响 置换补贴没有到帐")</f>
        <v>奇瑞瑞虎8变速箱有异响 置换补贴没有到帐</v>
      </c>
      <c r="C4782" s="2" t="s">
        <v>13</v>
      </c>
      <c r="D4782" s="2" t="s">
        <v>12</v>
      </c>
      <c r="E4782" s="2" t="s">
        <v>17</v>
      </c>
      <c r="F4782" s="2" t="str">
        <f>HYPERLINK("http://www.12365auto.com/zlts/20200220/447865.shtml","http://www.12365auto.com/zlts/20200220/447865.shtml")</f>
        <v>http://www.12365auto.com/zlts/20200220/447865.shtml</v>
      </c>
      <c r="G4782" s="2"/>
      <c r="H4782" s="2" t="s">
        <v>6784</v>
      </c>
      <c r="I4782" s="2" t="s">
        <v>19</v>
      </c>
      <c r="J4782" s="2" t="s">
        <v>12</v>
      </c>
      <c r="K4782" s="2" t="s">
        <v>6785</v>
      </c>
      <c r="L4782" s="2">
        <f t="shared" si="74"/>
        <v>150</v>
      </c>
    </row>
    <row r="4783" spans="1:12" ht="25" customHeight="1">
      <c r="A4783" s="2" t="s">
        <v>12</v>
      </c>
      <c r="B4783" s="2" t="str">
        <f>HYPERLINK("http://m.12365auto.com/dcbg/20200220/419093.shtml","现代汽车荣获2020 IIHS最高安全评级认可")</f>
        <v>现代汽车荣获2020 IIHS最高安全评级认可</v>
      </c>
      <c r="C4783" s="2" t="s">
        <v>13</v>
      </c>
      <c r="D4783" s="2" t="s">
        <v>12</v>
      </c>
      <c r="E4783" s="2"/>
      <c r="F4783" s="2" t="str">
        <f>HYPERLINK("http://m.12365auto.com/dcbg/20200220/419093.shtml","http://m.12365auto.com/dcbg/20200220/419093.shtml")</f>
        <v>http://m.12365auto.com/dcbg/20200220/419093.shtml</v>
      </c>
      <c r="G4783" s="2"/>
      <c r="H4783" s="2" t="s">
        <v>6786</v>
      </c>
      <c r="I4783" s="2" t="s">
        <v>19</v>
      </c>
      <c r="J4783" s="2" t="s">
        <v>1054</v>
      </c>
      <c r="K4783" s="2" t="s">
        <v>6785</v>
      </c>
      <c r="L4783" s="2">
        <f t="shared" si="74"/>
        <v>150</v>
      </c>
    </row>
    <row r="4784" spans="1:12" ht="25" customHeight="1">
      <c r="A4784" s="2" t="s">
        <v>12</v>
      </c>
      <c r="B4784" s="2" t="str">
        <f>HYPERLINK("http://www.12365auto.com/zlts/20200220/447863.shtml","一汽吉林森雅R9方向盘卡顿 发动机异响")</f>
        <v>一汽吉林森雅R9方向盘卡顿 发动机异响</v>
      </c>
      <c r="C4784" s="2" t="s">
        <v>13</v>
      </c>
      <c r="D4784" s="2" t="s">
        <v>12</v>
      </c>
      <c r="E4784" s="2" t="s">
        <v>17</v>
      </c>
      <c r="F4784" s="2" t="str">
        <f>HYPERLINK("http://www.12365auto.com/zlts/20200220/447863.shtml","http://www.12365auto.com/zlts/20200220/447863.shtml")</f>
        <v>http://www.12365auto.com/zlts/20200220/447863.shtml</v>
      </c>
      <c r="G4784" s="2"/>
      <c r="H4784" s="2" t="s">
        <v>6787</v>
      </c>
      <c r="I4784" s="2" t="s">
        <v>19</v>
      </c>
      <c r="J4784" s="2" t="s">
        <v>12</v>
      </c>
      <c r="K4784" s="2" t="s">
        <v>6788</v>
      </c>
      <c r="L4784" s="2">
        <f t="shared" si="74"/>
        <v>150</v>
      </c>
    </row>
    <row r="4785" spans="1:12" ht="25" customHeight="1">
      <c r="A4785" s="2" t="s">
        <v>12</v>
      </c>
      <c r="B4785" s="2" t="str">
        <f>HYPERLINK("http://www.12365auto.com/news/20200220/419092.shtml","2020年度J.D. Power车辆可靠性调研结果公布")</f>
        <v>2020年度J.D. Power车辆可靠性调研结果公布</v>
      </c>
      <c r="C4785" s="2" t="s">
        <v>13</v>
      </c>
      <c r="D4785" s="2" t="s">
        <v>12</v>
      </c>
      <c r="E4785" s="2" t="s">
        <v>276</v>
      </c>
      <c r="F4785" s="2" t="str">
        <f>HYPERLINK("http://www.12365auto.com/news/20200220/419092.shtml","http://www.12365auto.com/news/20200220/419092.shtml")</f>
        <v>http://www.12365auto.com/news/20200220/419092.shtml</v>
      </c>
      <c r="G4785" s="2"/>
      <c r="H4785" s="2" t="s">
        <v>6789</v>
      </c>
      <c r="I4785" s="2" t="s">
        <v>15</v>
      </c>
      <c r="J4785" s="2" t="s">
        <v>12</v>
      </c>
      <c r="K4785" s="2" t="s">
        <v>6788</v>
      </c>
      <c r="L4785" s="2">
        <f t="shared" si="74"/>
        <v>150</v>
      </c>
    </row>
    <row r="4786" spans="1:12" ht="25" customHeight="1">
      <c r="A4786" s="2" t="s">
        <v>12</v>
      </c>
      <c r="B4786" s="2" t="str">
        <f>HYPERLINK("http://m.12365auto.com/news/20200220/419092.shtml","2020年度J.D. Power车辆可靠性调研结果公布")</f>
        <v>2020年度J.D. Power车辆可靠性调研结果公布</v>
      </c>
      <c r="C4786" s="2" t="s">
        <v>13</v>
      </c>
      <c r="D4786" s="2" t="s">
        <v>12</v>
      </c>
      <c r="E4786" s="2"/>
      <c r="F4786" s="2" t="str">
        <f>HYPERLINK("http://m.12365auto.com/news/20200220/419092.shtml","http://m.12365auto.com/news/20200220/419092.shtml")</f>
        <v>http://m.12365auto.com/news/20200220/419092.shtml</v>
      </c>
      <c r="G4786" s="2"/>
      <c r="H4786" s="2" t="s">
        <v>6790</v>
      </c>
      <c r="I4786" s="2" t="s">
        <v>19</v>
      </c>
      <c r="J4786" s="2" t="s">
        <v>1050</v>
      </c>
      <c r="K4786" s="2" t="s">
        <v>6788</v>
      </c>
      <c r="L4786" s="2">
        <f t="shared" si="74"/>
        <v>150</v>
      </c>
    </row>
    <row r="4787" spans="1:12" ht="25" customHeight="1">
      <c r="A4787" s="2" t="s">
        <v>12</v>
      </c>
      <c r="B4787" s="2" t="str">
        <f>HYPERLINK("http://www.12365auto.com/news/20200220/419091.shtml","博世2019年销售额达779亿欧元 在华同比下滑")</f>
        <v>博世2019年销售额达779亿欧元 在华同比下滑</v>
      </c>
      <c r="C4787" s="2" t="s">
        <v>13</v>
      </c>
      <c r="D4787" s="2" t="s">
        <v>12</v>
      </c>
      <c r="E4787" s="2" t="s">
        <v>276</v>
      </c>
      <c r="F4787" s="2" t="str">
        <f>HYPERLINK("http://www.12365auto.com/news/20200220/419091.shtml","http://www.12365auto.com/news/20200220/419091.shtml")</f>
        <v>http://www.12365auto.com/news/20200220/419091.shtml</v>
      </c>
      <c r="G4787" s="2"/>
      <c r="H4787" s="2" t="s">
        <v>6791</v>
      </c>
      <c r="I4787" s="2" t="s">
        <v>15</v>
      </c>
      <c r="J4787" s="2" t="s">
        <v>12</v>
      </c>
      <c r="K4787" s="2" t="s">
        <v>6792</v>
      </c>
      <c r="L4787" s="2">
        <f t="shared" si="74"/>
        <v>150</v>
      </c>
    </row>
    <row r="4788" spans="1:12" ht="25" customHeight="1">
      <c r="A4788" s="2" t="s">
        <v>12</v>
      </c>
      <c r="B4788" s="2" t="str">
        <f>HYPERLINK("http://m.12365auto.com/news/20200220/419091.shtml","博世2019年销售额达779亿欧元 在华同比下滑")</f>
        <v>博世2019年销售额达779亿欧元 在华同比下滑</v>
      </c>
      <c r="C4788" s="2" t="s">
        <v>13</v>
      </c>
      <c r="D4788" s="2" t="s">
        <v>12</v>
      </c>
      <c r="E4788" s="2"/>
      <c r="F4788" s="2" t="str">
        <f>HYPERLINK("http://m.12365auto.com/news/20200220/419091.shtml","http://m.12365auto.com/news/20200220/419091.shtml")</f>
        <v>http://m.12365auto.com/news/20200220/419091.shtml</v>
      </c>
      <c r="G4788" s="2"/>
      <c r="H4788" s="2" t="s">
        <v>6793</v>
      </c>
      <c r="I4788" s="2" t="s">
        <v>19</v>
      </c>
      <c r="J4788" s="2" t="s">
        <v>1054</v>
      </c>
      <c r="K4788" s="2" t="s">
        <v>6792</v>
      </c>
      <c r="L4788" s="2">
        <f t="shared" si="74"/>
        <v>150</v>
      </c>
    </row>
    <row r="4789" spans="1:12" ht="25" customHeight="1">
      <c r="A4789" s="2" t="s">
        <v>12</v>
      </c>
      <c r="B4789" s="2" t="str">
        <f>HYPERLINK("http://www.12365auto.com/news/20200220/419090.shtml","米其林2019年销售额达241亿欧元 同比增长")</f>
        <v>米其林2019年销售额达241亿欧元 同比增长</v>
      </c>
      <c r="C4789" s="2" t="s">
        <v>13</v>
      </c>
      <c r="D4789" s="2" t="s">
        <v>12</v>
      </c>
      <c r="E4789" s="2" t="s">
        <v>276</v>
      </c>
      <c r="F4789" s="2" t="str">
        <f>HYPERLINK("http://www.12365auto.com/news/20200220/419090.shtml","http://www.12365auto.com/news/20200220/419090.shtml")</f>
        <v>http://www.12365auto.com/news/20200220/419090.shtml</v>
      </c>
      <c r="G4789" s="2"/>
      <c r="H4789" s="2" t="s">
        <v>6794</v>
      </c>
      <c r="I4789" s="2" t="s">
        <v>15</v>
      </c>
      <c r="J4789" s="2" t="s">
        <v>12</v>
      </c>
      <c r="K4789" s="2" t="s">
        <v>6795</v>
      </c>
      <c r="L4789" s="2">
        <f t="shared" si="74"/>
        <v>150</v>
      </c>
    </row>
    <row r="4790" spans="1:12" ht="25" customHeight="1">
      <c r="A4790" s="2" t="s">
        <v>12</v>
      </c>
      <c r="B4790" s="2" t="str">
        <f>HYPERLINK("http://m.12365auto.com/news/20200220/419090.shtml","米其林2019年销售额达241亿欧元 同比增长")</f>
        <v>米其林2019年销售额达241亿欧元 同比增长</v>
      </c>
      <c r="C4790" s="2" t="s">
        <v>13</v>
      </c>
      <c r="D4790" s="2" t="s">
        <v>12</v>
      </c>
      <c r="E4790" s="2"/>
      <c r="F4790" s="2" t="str">
        <f>HYPERLINK("http://m.12365auto.com/news/20200220/419090.shtml","http://m.12365auto.com/news/20200220/419090.shtml")</f>
        <v>http://m.12365auto.com/news/20200220/419090.shtml</v>
      </c>
      <c r="G4790" s="2"/>
      <c r="H4790" s="2" t="s">
        <v>6796</v>
      </c>
      <c r="I4790" s="2" t="s">
        <v>19</v>
      </c>
      <c r="J4790" s="2" t="s">
        <v>1054</v>
      </c>
      <c r="K4790" s="2" t="s">
        <v>6795</v>
      </c>
      <c r="L4790" s="2">
        <f t="shared" si="74"/>
        <v>150</v>
      </c>
    </row>
    <row r="4791" spans="1:12" ht="25" customHeight="1">
      <c r="A4791" s="2" t="s">
        <v>12</v>
      </c>
      <c r="B4791" s="2" t="str">
        <f>HYPERLINK("http://www.12365auto.com/zlts/20200220/447862.shtml","长安CS35 4S店销售二手车多处出现故障")</f>
        <v>长安CS35 4S店销售二手车多处出现故障</v>
      </c>
      <c r="C4791" s="2" t="s">
        <v>13</v>
      </c>
      <c r="D4791" s="2" t="s">
        <v>12</v>
      </c>
      <c r="E4791" s="2" t="s">
        <v>17</v>
      </c>
      <c r="F4791" s="2" t="str">
        <f>HYPERLINK("http://www.12365auto.com/zlts/20200220/447862.shtml","http://www.12365auto.com/zlts/20200220/447862.shtml")</f>
        <v>http://www.12365auto.com/zlts/20200220/447862.shtml</v>
      </c>
      <c r="G4791" s="2"/>
      <c r="H4791" s="2" t="s">
        <v>6797</v>
      </c>
      <c r="I4791" s="2" t="s">
        <v>19</v>
      </c>
      <c r="J4791" s="2" t="s">
        <v>12</v>
      </c>
      <c r="K4791" s="2" t="s">
        <v>6798</v>
      </c>
      <c r="L4791" s="2">
        <f t="shared" si="74"/>
        <v>150</v>
      </c>
    </row>
    <row r="4792" spans="1:12" ht="25" customHeight="1">
      <c r="A4792" s="2" t="s">
        <v>12</v>
      </c>
      <c r="B4792" s="2" t="str">
        <f>HYPERLINK("http://www.12365auto.com/xcdg/20200220/419089.shtml","能开上公路车的F1 Valkyrie预计下半年交付")</f>
        <v>能开上公路车的F1 Valkyrie预计下半年交付</v>
      </c>
      <c r="C4792" s="2" t="s">
        <v>13</v>
      </c>
      <c r="D4792" s="2" t="s">
        <v>12</v>
      </c>
      <c r="E4792" s="2" t="s">
        <v>216</v>
      </c>
      <c r="F4792" s="2" t="str">
        <f>HYPERLINK("http://www.12365auto.com/xcdg/20200220/419089.shtml","http://www.12365auto.com/xcdg/20200220/419089.shtml")</f>
        <v>http://www.12365auto.com/xcdg/20200220/419089.shtml</v>
      </c>
      <c r="G4792" s="2"/>
      <c r="H4792" s="2" t="s">
        <v>6799</v>
      </c>
      <c r="I4792" s="2" t="s">
        <v>15</v>
      </c>
      <c r="J4792" s="2" t="s">
        <v>12</v>
      </c>
      <c r="K4792" s="2" t="s">
        <v>6798</v>
      </c>
      <c r="L4792" s="2">
        <f t="shared" si="74"/>
        <v>150</v>
      </c>
    </row>
    <row r="4793" spans="1:12" ht="25" customHeight="1">
      <c r="A4793" s="2" t="s">
        <v>12</v>
      </c>
      <c r="B4793" s="2" t="str">
        <f>HYPERLINK("http://m.12365auto.com/xcdg/20200220/419089.shtml","能开上公路车的F1 Valkyrie预计下半年交付")</f>
        <v>能开上公路车的F1 Valkyrie预计下半年交付</v>
      </c>
      <c r="C4793" s="2" t="s">
        <v>13</v>
      </c>
      <c r="D4793" s="2" t="s">
        <v>12</v>
      </c>
      <c r="E4793" s="2"/>
      <c r="F4793" s="2" t="str">
        <f>HYPERLINK("http://m.12365auto.com/xcdg/20200220/419089.shtml","http://m.12365auto.com/xcdg/20200220/419089.shtml")</f>
        <v>http://m.12365auto.com/xcdg/20200220/419089.shtml</v>
      </c>
      <c r="G4793" s="2"/>
      <c r="H4793" s="2" t="s">
        <v>6800</v>
      </c>
      <c r="I4793" s="2" t="s">
        <v>19</v>
      </c>
      <c r="J4793" s="2" t="s">
        <v>6801</v>
      </c>
      <c r="K4793" s="2" t="s">
        <v>6798</v>
      </c>
      <c r="L4793" s="2">
        <f t="shared" si="74"/>
        <v>150</v>
      </c>
    </row>
    <row r="4794" spans="1:12" ht="25" customHeight="1">
      <c r="A4794" s="2" t="s">
        <v>12</v>
      </c>
      <c r="B4794" s="2" t="str">
        <f>HYPERLINK("http://www.12365auto.com/parts/20200220/419088.shtml","中国心十佳发动机 长安欧尚X7发动机解析")</f>
        <v>中国心十佳发动机 长安欧尚X7发动机解析</v>
      </c>
      <c r="C4794" s="2" t="s">
        <v>13</v>
      </c>
      <c r="D4794" s="2" t="s">
        <v>12</v>
      </c>
      <c r="E4794" s="2" t="s">
        <v>240</v>
      </c>
      <c r="F4794" s="2" t="str">
        <f>HYPERLINK("http://www.12365auto.com/parts/20200220/419088.shtml","http://www.12365auto.com/parts/20200220/419088.shtml")</f>
        <v>http://www.12365auto.com/parts/20200220/419088.shtml</v>
      </c>
      <c r="G4794" s="2"/>
      <c r="H4794" s="2" t="s">
        <v>6802</v>
      </c>
      <c r="I4794" s="2" t="s">
        <v>15</v>
      </c>
      <c r="J4794" s="2" t="s">
        <v>12</v>
      </c>
      <c r="K4794" s="2" t="s">
        <v>6803</v>
      </c>
      <c r="L4794" s="2">
        <f t="shared" si="74"/>
        <v>150</v>
      </c>
    </row>
    <row r="4795" spans="1:12" ht="25" customHeight="1">
      <c r="A4795" s="2" t="s">
        <v>12</v>
      </c>
      <c r="B4795" s="2" t="str">
        <f>HYPERLINK("http://m.12365auto.com/xcdg/20200220/419088.shtml","中国心十佳发动机 长安欧尚X7发动机解析")</f>
        <v>中国心十佳发动机 长安欧尚X7发动机解析</v>
      </c>
      <c r="C4795" s="2" t="s">
        <v>13</v>
      </c>
      <c r="D4795" s="2" t="s">
        <v>12</v>
      </c>
      <c r="E4795" s="2"/>
      <c r="F4795" s="2" t="str">
        <f>HYPERLINK("http://m.12365auto.com/xcdg/20200220/419088.shtml","http://m.12365auto.com/xcdg/20200220/419088.shtml")</f>
        <v>http://m.12365auto.com/xcdg/20200220/419088.shtml</v>
      </c>
      <c r="G4795" s="2"/>
      <c r="H4795" s="2" t="s">
        <v>6804</v>
      </c>
      <c r="I4795" s="2" t="s">
        <v>19</v>
      </c>
      <c r="J4795" s="2" t="s">
        <v>6805</v>
      </c>
      <c r="K4795" s="2" t="s">
        <v>6803</v>
      </c>
      <c r="L4795" s="2">
        <f t="shared" si="74"/>
        <v>150</v>
      </c>
    </row>
    <row r="4796" spans="1:12" ht="25" customHeight="1">
      <c r="A4796" s="2" t="s">
        <v>12</v>
      </c>
      <c r="B4796" s="2" t="str">
        <f>HYPERLINK("http://m.12365auto.com/xcdg/20200220/419087.shtml","落地15万以内SUV怎么选 科雷缤到底香不香")</f>
        <v>落地15万以内SUV怎么选 科雷缤到底香不香</v>
      </c>
      <c r="C4796" s="2" t="s">
        <v>13</v>
      </c>
      <c r="D4796" s="2" t="s">
        <v>12</v>
      </c>
      <c r="E4796" s="2"/>
      <c r="F4796" s="2" t="str">
        <f>HYPERLINK("http://m.12365auto.com/xcdg/20200220/419087.shtml","http://m.12365auto.com/xcdg/20200220/419087.shtml")</f>
        <v>http://m.12365auto.com/xcdg/20200220/419087.shtml</v>
      </c>
      <c r="G4796" s="2"/>
      <c r="H4796" s="2" t="s">
        <v>6806</v>
      </c>
      <c r="I4796" s="2" t="s">
        <v>19</v>
      </c>
      <c r="J4796" s="2" t="s">
        <v>6807</v>
      </c>
      <c r="K4796" s="2" t="s">
        <v>6808</v>
      </c>
      <c r="L4796" s="2">
        <f t="shared" si="74"/>
        <v>150</v>
      </c>
    </row>
    <row r="4797" spans="1:12" ht="25" customHeight="1">
      <c r="A4797" s="2" t="s">
        <v>12</v>
      </c>
      <c r="B4797" s="2" t="str">
        <f>HYPERLINK("http://m.12365auto.com/zjdy/20200220/121441.shtml","车辆发动机的氧传感器为什么会损坏？")</f>
        <v>车辆发动机的氧传感器为什么会损坏？</v>
      </c>
      <c r="C4797" s="2" t="s">
        <v>13</v>
      </c>
      <c r="D4797" s="2" t="s">
        <v>12</v>
      </c>
      <c r="E4797" s="2"/>
      <c r="F4797" s="2" t="str">
        <f>HYPERLINK("http://m.12365auto.com/zjdy/20200220/121441.shtml","http://m.12365auto.com/zjdy/20200220/121441.shtml")</f>
        <v>http://m.12365auto.com/zjdy/20200220/121441.shtml</v>
      </c>
      <c r="G4797" s="2"/>
      <c r="H4797" s="2" t="s">
        <v>6809</v>
      </c>
      <c r="I4797" s="2" t="s">
        <v>19</v>
      </c>
      <c r="J4797" s="2" t="s">
        <v>12</v>
      </c>
      <c r="K4797" s="2" t="s">
        <v>6810</v>
      </c>
      <c r="L4797" s="2">
        <f t="shared" si="74"/>
        <v>25</v>
      </c>
    </row>
    <row r="4798" spans="1:12" ht="25" customHeight="1">
      <c r="A4798" s="2" t="s">
        <v>12</v>
      </c>
      <c r="B4798" s="2" t="str">
        <f>HYPERLINK("http://m.12365auto.com/xcdg/20200220/419086.shtml","疫情后的多人狂欢 10万级MPV满足你")</f>
        <v>疫情后的多人狂欢 10万级MPV满足你</v>
      </c>
      <c r="C4798" s="2" t="s">
        <v>13</v>
      </c>
      <c r="D4798" s="2" t="s">
        <v>12</v>
      </c>
      <c r="E4798" s="2"/>
      <c r="F4798" s="2" t="str">
        <f>HYPERLINK("http://m.12365auto.com/xcdg/20200220/419086.shtml","http://m.12365auto.com/xcdg/20200220/419086.shtml")</f>
        <v>http://m.12365auto.com/xcdg/20200220/419086.shtml</v>
      </c>
      <c r="G4798" s="2"/>
      <c r="H4798" s="2" t="s">
        <v>6811</v>
      </c>
      <c r="I4798" s="2" t="s">
        <v>19</v>
      </c>
      <c r="J4798" s="2" t="s">
        <v>6812</v>
      </c>
      <c r="K4798" s="2" t="s">
        <v>6813</v>
      </c>
      <c r="L4798" s="2">
        <f t="shared" si="74"/>
        <v>150</v>
      </c>
    </row>
    <row r="4799" spans="1:12" ht="25" customHeight="1">
      <c r="A4799" s="2" t="s">
        <v>12</v>
      </c>
      <c r="B4799" s="2" t="str">
        <f>HYPERLINK("http://m.12365auto.com/zjdy/20200220/121445.shtml","山西太原有没有第三方车辆检测机构？")</f>
        <v>山西太原有没有第三方车辆检测机构？</v>
      </c>
      <c r="C4799" s="2" t="s">
        <v>13</v>
      </c>
      <c r="D4799" s="2" t="s">
        <v>12</v>
      </c>
      <c r="E4799" s="2"/>
      <c r="F4799" s="2" t="str">
        <f>HYPERLINK("http://m.12365auto.com/zjdy/20200220/121445.shtml","http://m.12365auto.com/zjdy/20200220/121445.shtml")</f>
        <v>http://m.12365auto.com/zjdy/20200220/121445.shtml</v>
      </c>
      <c r="G4799" s="2"/>
      <c r="H4799" s="2" t="s">
        <v>6814</v>
      </c>
      <c r="I4799" s="2" t="s">
        <v>19</v>
      </c>
      <c r="J4799" s="2" t="s">
        <v>12</v>
      </c>
      <c r="K4799" s="2" t="s">
        <v>6815</v>
      </c>
      <c r="L4799" s="2">
        <f t="shared" si="74"/>
        <v>38</v>
      </c>
    </row>
    <row r="4800" spans="1:12" ht="25" customHeight="1">
      <c r="A4800" s="2" t="s">
        <v>12</v>
      </c>
      <c r="B4800" s="2" t="str">
        <f>HYPERLINK("http://m.12365auto.com/zjdy/20200220/121443.shtml","二手斯柯达速派质量如何值得购买吗？")</f>
        <v>二手斯柯达速派质量如何值得购买吗？</v>
      </c>
      <c r="C4800" s="2" t="s">
        <v>13</v>
      </c>
      <c r="D4800" s="2" t="s">
        <v>12</v>
      </c>
      <c r="E4800" s="2"/>
      <c r="F4800" s="2" t="str">
        <f>HYPERLINK("http://m.12365auto.com/zjdy/20200220/121443.shtml","http://m.12365auto.com/zjdy/20200220/121443.shtml")</f>
        <v>http://m.12365auto.com/zjdy/20200220/121443.shtml</v>
      </c>
      <c r="G4800" s="2"/>
      <c r="H4800" s="2" t="s">
        <v>6816</v>
      </c>
      <c r="I4800" s="2" t="s">
        <v>19</v>
      </c>
      <c r="J4800" s="2" t="s">
        <v>12</v>
      </c>
      <c r="K4800" s="2" t="s">
        <v>6815</v>
      </c>
      <c r="L4800" s="2">
        <f t="shared" si="74"/>
        <v>45</v>
      </c>
    </row>
    <row r="4801" spans="1:12" ht="25" customHeight="1">
      <c r="A4801" s="2" t="s">
        <v>12</v>
      </c>
      <c r="B4801" s="2" t="str">
        <f>HYPERLINK("http://m.12365auto.com/xcdg/20200220/419085.shtml","十五万的预算买合资SUV 这几款省油空间又大")</f>
        <v>十五万的预算买合资SUV 这几款省油空间又大</v>
      </c>
      <c r="C4801" s="2" t="s">
        <v>13</v>
      </c>
      <c r="D4801" s="2" t="s">
        <v>12</v>
      </c>
      <c r="E4801" s="2"/>
      <c r="F4801" s="2" t="str">
        <f>HYPERLINK("http://m.12365auto.com/xcdg/20200220/419085.shtml","http://m.12365auto.com/xcdg/20200220/419085.shtml")</f>
        <v>http://m.12365auto.com/xcdg/20200220/419085.shtml</v>
      </c>
      <c r="G4801" s="2"/>
      <c r="H4801" s="2" t="s">
        <v>6817</v>
      </c>
      <c r="I4801" s="2" t="s">
        <v>19</v>
      </c>
      <c r="J4801" s="2" t="s">
        <v>6818</v>
      </c>
      <c r="K4801" s="2" t="s">
        <v>6819</v>
      </c>
      <c r="L4801" s="2">
        <f t="shared" si="74"/>
        <v>150</v>
      </c>
    </row>
    <row r="4802" spans="1:12" ht="25" customHeight="1">
      <c r="A4802" s="2" t="s">
        <v>12</v>
      </c>
      <c r="B4802" s="2" t="str">
        <f>HYPERLINK("http://www.12365auto.com/zlts/20200220/447858.shtml","上汽荣威Ei5电机噪音大空调口吹出白色粉末")</f>
        <v>上汽荣威Ei5电机噪音大空调口吹出白色粉末</v>
      </c>
      <c r="C4802" s="2" t="s">
        <v>13</v>
      </c>
      <c r="D4802" s="2" t="s">
        <v>12</v>
      </c>
      <c r="E4802" s="2" t="s">
        <v>17</v>
      </c>
      <c r="F4802" s="2" t="str">
        <f>HYPERLINK("http://www.12365auto.com/zlts/20200220/447858.shtml","http://www.12365auto.com/zlts/20200220/447858.shtml")</f>
        <v>http://www.12365auto.com/zlts/20200220/447858.shtml</v>
      </c>
      <c r="G4802" s="2"/>
      <c r="H4802" s="2" t="s">
        <v>6820</v>
      </c>
      <c r="I4802" s="2" t="s">
        <v>19</v>
      </c>
      <c r="J4802" s="2" t="s">
        <v>12</v>
      </c>
      <c r="K4802" s="2" t="s">
        <v>6821</v>
      </c>
      <c r="L4802" s="2">
        <f t="shared" si="74"/>
        <v>150</v>
      </c>
    </row>
    <row r="4803" spans="1:12" ht="25" customHeight="1">
      <c r="A4803" s="2" t="s">
        <v>12</v>
      </c>
      <c r="B4803" s="2" t="str">
        <f>HYPERLINK("http://www.12365auto.com/news/20200220/419084.shtml","一汽-大众1月销量稳居第一 5款新车将上市")</f>
        <v>一汽-大众1月销量稳居第一 5款新车将上市</v>
      </c>
      <c r="C4803" s="2" t="s">
        <v>13</v>
      </c>
      <c r="D4803" s="2" t="s">
        <v>12</v>
      </c>
      <c r="E4803" s="2" t="s">
        <v>282</v>
      </c>
      <c r="F4803" s="2" t="str">
        <f>HYPERLINK("http://www.12365auto.com/news/20200220/419084.shtml","http://www.12365auto.com/news/20200220/419084.shtml")</f>
        <v>http://www.12365auto.com/news/20200220/419084.shtml</v>
      </c>
      <c r="G4803" s="2"/>
      <c r="H4803" s="2" t="s">
        <v>6822</v>
      </c>
      <c r="I4803" s="2" t="s">
        <v>19</v>
      </c>
      <c r="J4803" s="2" t="s">
        <v>12</v>
      </c>
      <c r="K4803" s="2" t="s">
        <v>6823</v>
      </c>
      <c r="L4803" s="2">
        <f t="shared" ref="L4803:L4866" si="75">LEN(H4803)</f>
        <v>150</v>
      </c>
    </row>
    <row r="4804" spans="1:12" ht="25" customHeight="1">
      <c r="A4804" s="2" t="s">
        <v>12</v>
      </c>
      <c r="B4804" s="2" t="str">
        <f>HYPERLINK("http://m.12365auto.com/news/20200220/419084.shtml","一汽-大众1月销量稳居第一 5款新车将上市")</f>
        <v>一汽-大众1月销量稳居第一 5款新车将上市</v>
      </c>
      <c r="C4804" s="2" t="s">
        <v>13</v>
      </c>
      <c r="D4804" s="2" t="s">
        <v>12</v>
      </c>
      <c r="E4804" s="2"/>
      <c r="F4804" s="2" t="str">
        <f>HYPERLINK("http://m.12365auto.com/news/20200220/419084.shtml","http://m.12365auto.com/news/20200220/419084.shtml")</f>
        <v>http://m.12365auto.com/news/20200220/419084.shtml</v>
      </c>
      <c r="G4804" s="2"/>
      <c r="H4804" s="2" t="s">
        <v>6824</v>
      </c>
      <c r="I4804" s="2" t="s">
        <v>19</v>
      </c>
      <c r="J4804" s="2" t="s">
        <v>1076</v>
      </c>
      <c r="K4804" s="2" t="s">
        <v>6823</v>
      </c>
      <c r="L4804" s="2">
        <f t="shared" si="75"/>
        <v>150</v>
      </c>
    </row>
    <row r="4805" spans="1:12" ht="25" customHeight="1">
      <c r="A4805" s="2" t="s">
        <v>12</v>
      </c>
      <c r="B4805" s="2" t="str">
        <f>HYPERLINK("http://www.12365auto.com/xcdg/20200220/419083.shtml","全新现代i20官图曝光 或日内瓦车展首发亮相")</f>
        <v>全新现代i20官图曝光 或日内瓦车展首发亮相</v>
      </c>
      <c r="C4805" s="2" t="s">
        <v>13</v>
      </c>
      <c r="D4805" s="2" t="s">
        <v>12</v>
      </c>
      <c r="E4805" s="2" t="s">
        <v>245</v>
      </c>
      <c r="F4805" s="2" t="str">
        <f>HYPERLINK("http://www.12365auto.com/xcdg/20200220/419083.shtml","http://www.12365auto.com/xcdg/20200220/419083.shtml")</f>
        <v>http://www.12365auto.com/xcdg/20200220/419083.shtml</v>
      </c>
      <c r="G4805" s="2"/>
      <c r="H4805" s="2" t="s">
        <v>6825</v>
      </c>
      <c r="I4805" s="2" t="s">
        <v>19</v>
      </c>
      <c r="J4805" s="2" t="s">
        <v>12</v>
      </c>
      <c r="K4805" s="2" t="s">
        <v>6826</v>
      </c>
      <c r="L4805" s="2">
        <f t="shared" si="75"/>
        <v>150</v>
      </c>
    </row>
    <row r="4806" spans="1:12" ht="25" customHeight="1">
      <c r="A4806" s="2" t="s">
        <v>12</v>
      </c>
      <c r="B4806" s="2" t="str">
        <f>HYPERLINK("http://m.12365auto.com/xcdg/20200220/419083.shtml","全新现代i20官图曝光 或日内瓦车展首发亮相")</f>
        <v>全新现代i20官图曝光 或日内瓦车展首发亮相</v>
      </c>
      <c r="C4806" s="2" t="s">
        <v>13</v>
      </c>
      <c r="D4806" s="2" t="s">
        <v>12</v>
      </c>
      <c r="E4806" s="2"/>
      <c r="F4806" s="2" t="str">
        <f>HYPERLINK("http://m.12365auto.com/xcdg/20200220/419083.shtml","http://m.12365auto.com/xcdg/20200220/419083.shtml")</f>
        <v>http://m.12365auto.com/xcdg/20200220/419083.shtml</v>
      </c>
      <c r="G4806" s="2"/>
      <c r="H4806" s="2" t="s">
        <v>6827</v>
      </c>
      <c r="I4806" s="2" t="s">
        <v>19</v>
      </c>
      <c r="J4806" s="2" t="s">
        <v>6828</v>
      </c>
      <c r="K4806" s="2" t="s">
        <v>6826</v>
      </c>
      <c r="L4806" s="2">
        <f t="shared" si="75"/>
        <v>150</v>
      </c>
    </row>
    <row r="4807" spans="1:12" ht="25" customHeight="1">
      <c r="A4807" s="2" t="s">
        <v>12</v>
      </c>
      <c r="B4807" s="2" t="str">
        <f>HYPERLINK("http://www.12365auto.com/xcdg/20200220/419082.shtml","新缤智渲染图曝光 有望搭载1.5T/1.5L混动")</f>
        <v>新缤智渲染图曝光 有望搭载1.5T/1.5L混动</v>
      </c>
      <c r="C4807" s="2" t="s">
        <v>13</v>
      </c>
      <c r="D4807" s="2" t="s">
        <v>12</v>
      </c>
      <c r="E4807" s="2" t="s">
        <v>245</v>
      </c>
      <c r="F4807" s="2" t="str">
        <f>HYPERLINK("http://www.12365auto.com/xcdg/20200220/419082.shtml","http://www.12365auto.com/xcdg/20200220/419082.shtml")</f>
        <v>http://www.12365auto.com/xcdg/20200220/419082.shtml</v>
      </c>
      <c r="G4807" s="2"/>
      <c r="H4807" s="2" t="s">
        <v>6829</v>
      </c>
      <c r="I4807" s="2" t="s">
        <v>19</v>
      </c>
      <c r="J4807" s="2" t="s">
        <v>12</v>
      </c>
      <c r="K4807" s="2" t="s">
        <v>6830</v>
      </c>
      <c r="L4807" s="2">
        <f t="shared" si="75"/>
        <v>150</v>
      </c>
    </row>
    <row r="4808" spans="1:12" ht="25" customHeight="1">
      <c r="A4808" s="2" t="s">
        <v>12</v>
      </c>
      <c r="B4808" s="2" t="str">
        <f>HYPERLINK("http://m.12365auto.com/xcdg/20200220/419082.shtml","新缤智渲染图曝光 有望搭载1.5T/1.5L混动")</f>
        <v>新缤智渲染图曝光 有望搭载1.5T/1.5L混动</v>
      </c>
      <c r="C4808" s="2" t="s">
        <v>13</v>
      </c>
      <c r="D4808" s="2" t="s">
        <v>12</v>
      </c>
      <c r="E4808" s="2"/>
      <c r="F4808" s="2" t="str">
        <f>HYPERLINK("http://m.12365auto.com/xcdg/20200220/419082.shtml","http://m.12365auto.com/xcdg/20200220/419082.shtml")</f>
        <v>http://m.12365auto.com/xcdg/20200220/419082.shtml</v>
      </c>
      <c r="G4808" s="2"/>
      <c r="H4808" s="2" t="s">
        <v>6831</v>
      </c>
      <c r="I4808" s="2" t="s">
        <v>19</v>
      </c>
      <c r="J4808" s="2" t="s">
        <v>12</v>
      </c>
      <c r="K4808" s="2" t="s">
        <v>6830</v>
      </c>
      <c r="L4808" s="2">
        <f t="shared" si="75"/>
        <v>150</v>
      </c>
    </row>
    <row r="4809" spans="1:12" ht="25" customHeight="1">
      <c r="A4809" s="2" t="s">
        <v>12</v>
      </c>
      <c r="B4809" s="2" t="str">
        <f>HYPERLINK("http://www.12365auto.com/xcdg/20200220/419081.shtml","克莱斯勒新款300C售价曝光 搭载两种动力")</f>
        <v>克莱斯勒新款300C售价曝光 搭载两种动力</v>
      </c>
      <c r="C4809" s="2" t="s">
        <v>13</v>
      </c>
      <c r="D4809" s="2" t="s">
        <v>12</v>
      </c>
      <c r="E4809" s="2" t="s">
        <v>245</v>
      </c>
      <c r="F4809" s="2" t="str">
        <f>HYPERLINK("http://www.12365auto.com/xcdg/20200220/419081.shtml","http://www.12365auto.com/xcdg/20200220/419081.shtml")</f>
        <v>http://www.12365auto.com/xcdg/20200220/419081.shtml</v>
      </c>
      <c r="G4809" s="2"/>
      <c r="H4809" s="2" t="s">
        <v>6832</v>
      </c>
      <c r="I4809" s="2" t="s">
        <v>19</v>
      </c>
      <c r="J4809" s="2" t="s">
        <v>12</v>
      </c>
      <c r="K4809" s="2" t="s">
        <v>6833</v>
      </c>
      <c r="L4809" s="2">
        <f t="shared" si="75"/>
        <v>150</v>
      </c>
    </row>
    <row r="4810" spans="1:12" ht="25" customHeight="1">
      <c r="A4810" s="2" t="s">
        <v>12</v>
      </c>
      <c r="B4810" s="2" t="str">
        <f>HYPERLINK("http://m.12365auto.com/xcdg/20200220/419081.shtml","克莱斯勒新款300C售价曝光 搭载两种动力")</f>
        <v>克莱斯勒新款300C售价曝光 搭载两种动力</v>
      </c>
      <c r="C4810" s="2" t="s">
        <v>13</v>
      </c>
      <c r="D4810" s="2" t="s">
        <v>12</v>
      </c>
      <c r="E4810" s="2"/>
      <c r="F4810" s="2" t="str">
        <f>HYPERLINK("http://m.12365auto.com/xcdg/20200220/419081.shtml","http://m.12365auto.com/xcdg/20200220/419081.shtml")</f>
        <v>http://m.12365auto.com/xcdg/20200220/419081.shtml</v>
      </c>
      <c r="G4810" s="2"/>
      <c r="H4810" s="2" t="s">
        <v>6834</v>
      </c>
      <c r="I4810" s="2" t="s">
        <v>19</v>
      </c>
      <c r="J4810" s="2" t="s">
        <v>12</v>
      </c>
      <c r="K4810" s="2" t="s">
        <v>6833</v>
      </c>
      <c r="L4810" s="2">
        <f t="shared" si="75"/>
        <v>150</v>
      </c>
    </row>
    <row r="4811" spans="1:12" ht="25" customHeight="1">
      <c r="A4811" s="2" t="s">
        <v>12</v>
      </c>
      <c r="B4811" s="2" t="str">
        <f>HYPERLINK("http://www.12365auto.com/xcdg/20200220/419080.shtml","性能更加凶猛 AMG GLE 63 S Coupe官图解析")</f>
        <v>性能更加凶猛 AMG GLE 63 S Coupe官图解析</v>
      </c>
      <c r="C4811" s="2" t="s">
        <v>13</v>
      </c>
      <c r="D4811" s="2" t="s">
        <v>12</v>
      </c>
      <c r="E4811" s="2" t="s">
        <v>245</v>
      </c>
      <c r="F4811" s="2" t="str">
        <f>HYPERLINK("http://www.12365auto.com/xcdg/20200220/419080.shtml","http://www.12365auto.com/xcdg/20200220/419080.shtml")</f>
        <v>http://www.12365auto.com/xcdg/20200220/419080.shtml</v>
      </c>
      <c r="G4811" s="2"/>
      <c r="H4811" s="2" t="s">
        <v>6835</v>
      </c>
      <c r="I4811" s="2" t="s">
        <v>19</v>
      </c>
      <c r="J4811" s="2" t="s">
        <v>12</v>
      </c>
      <c r="K4811" s="2" t="s">
        <v>6836</v>
      </c>
      <c r="L4811" s="2">
        <f t="shared" si="75"/>
        <v>150</v>
      </c>
    </row>
    <row r="4812" spans="1:12" ht="25" customHeight="1">
      <c r="A4812" s="2" t="s">
        <v>12</v>
      </c>
      <c r="B4812" s="2" t="str">
        <f>HYPERLINK("http://m.12365auto.com/xcdg/20200220/419080.shtml","性能更加凶猛 AMG GLE 63 S Coupe官图解析")</f>
        <v>性能更加凶猛 AMG GLE 63 S Coupe官图解析</v>
      </c>
      <c r="C4812" s="2" t="s">
        <v>13</v>
      </c>
      <c r="D4812" s="2" t="s">
        <v>12</v>
      </c>
      <c r="E4812" s="2"/>
      <c r="F4812" s="2" t="str">
        <f>HYPERLINK("http://m.12365auto.com/xcdg/20200220/419080.shtml","http://m.12365auto.com/xcdg/20200220/419080.shtml")</f>
        <v>http://m.12365auto.com/xcdg/20200220/419080.shtml</v>
      </c>
      <c r="G4812" s="2"/>
      <c r="H4812" s="2" t="s">
        <v>6837</v>
      </c>
      <c r="I4812" s="2" t="s">
        <v>19</v>
      </c>
      <c r="J4812" s="2" t="s">
        <v>768</v>
      </c>
      <c r="K4812" s="2" t="s">
        <v>6836</v>
      </c>
      <c r="L4812" s="2">
        <f t="shared" si="75"/>
        <v>150</v>
      </c>
    </row>
    <row r="4813" spans="1:12" ht="25" customHeight="1">
      <c r="A4813" s="2" t="s">
        <v>12</v>
      </c>
      <c r="B4813" s="2" t="str">
        <f>HYPERLINK("http://m.12365auto.com/zjdy/20200220/121438.shtml","比亚迪宋Pro燃油版这款车的质量怎么样？")</f>
        <v>比亚迪宋Pro燃油版这款车的质量怎么样？</v>
      </c>
      <c r="C4813" s="2" t="s">
        <v>13</v>
      </c>
      <c r="D4813" s="2" t="s">
        <v>12</v>
      </c>
      <c r="E4813" s="2"/>
      <c r="F4813" s="2" t="str">
        <f>HYPERLINK("http://m.12365auto.com/zjdy/20200220/121438.shtml","http://m.12365auto.com/zjdy/20200220/121438.shtml")</f>
        <v>http://m.12365auto.com/zjdy/20200220/121438.shtml</v>
      </c>
      <c r="G4813" s="2"/>
      <c r="H4813" s="2" t="s">
        <v>6838</v>
      </c>
      <c r="I4813" s="2" t="s">
        <v>19</v>
      </c>
      <c r="J4813" s="2" t="s">
        <v>12</v>
      </c>
      <c r="K4813" s="2" t="s">
        <v>6839</v>
      </c>
      <c r="L4813" s="2">
        <f t="shared" si="75"/>
        <v>63</v>
      </c>
    </row>
    <row r="4814" spans="1:12" ht="25" customHeight="1">
      <c r="A4814" s="2" t="s">
        <v>12</v>
      </c>
      <c r="B4814" s="2" t="str">
        <f>HYPERLINK("http://www.12365auto.com/xcdg/20200220/419079.shtml","全新2系设计的开端 宝马M235i官图发布")</f>
        <v>全新2系设计的开端 宝马M235i官图发布</v>
      </c>
      <c r="C4814" s="2" t="s">
        <v>13</v>
      </c>
      <c r="D4814" s="2" t="s">
        <v>12</v>
      </c>
      <c r="E4814" s="2" t="s">
        <v>245</v>
      </c>
      <c r="F4814" s="2" t="str">
        <f>HYPERLINK("http://www.12365auto.com/xcdg/20200220/419079.shtml","http://www.12365auto.com/xcdg/20200220/419079.shtml")</f>
        <v>http://www.12365auto.com/xcdg/20200220/419079.shtml</v>
      </c>
      <c r="G4814" s="2"/>
      <c r="H4814" s="2" t="s">
        <v>6840</v>
      </c>
      <c r="I4814" s="2" t="s">
        <v>19</v>
      </c>
      <c r="J4814" s="2" t="s">
        <v>12</v>
      </c>
      <c r="K4814" s="2" t="s">
        <v>6841</v>
      </c>
      <c r="L4814" s="2">
        <f t="shared" si="75"/>
        <v>150</v>
      </c>
    </row>
    <row r="4815" spans="1:12" ht="25" customHeight="1">
      <c r="A4815" s="2" t="s">
        <v>12</v>
      </c>
      <c r="B4815" s="2" t="str">
        <f>HYPERLINK("http://m.12365auto.com/xcdg/20200220/419079.shtml","全新2系设计的开端 宝马M235i官图发布")</f>
        <v>全新2系设计的开端 宝马M235i官图发布</v>
      </c>
      <c r="C4815" s="2" t="s">
        <v>13</v>
      </c>
      <c r="D4815" s="2" t="s">
        <v>12</v>
      </c>
      <c r="E4815" s="2"/>
      <c r="F4815" s="2" t="str">
        <f>HYPERLINK("http://m.12365auto.com/xcdg/20200220/419079.shtml","http://m.12365auto.com/xcdg/20200220/419079.shtml")</f>
        <v>http://m.12365auto.com/xcdg/20200220/419079.shtml</v>
      </c>
      <c r="G4815" s="2"/>
      <c r="H4815" s="2" t="s">
        <v>6842</v>
      </c>
      <c r="I4815" s="2" t="s">
        <v>19</v>
      </c>
      <c r="J4815" s="2" t="s">
        <v>238</v>
      </c>
      <c r="K4815" s="2" t="s">
        <v>6841</v>
      </c>
      <c r="L4815" s="2">
        <f t="shared" si="75"/>
        <v>150</v>
      </c>
    </row>
    <row r="4816" spans="1:12" ht="25" customHeight="1">
      <c r="A4816" s="2" t="s">
        <v>12</v>
      </c>
      <c r="B4816" s="2" t="str">
        <f>HYPERLINK("http://m.12365auto.com/xcdg/20200220/419078.shtml","宝马新款5系谍照曝光 将于年内发布")</f>
        <v>宝马新款5系谍照曝光 将于年内发布</v>
      </c>
      <c r="C4816" s="2" t="s">
        <v>13</v>
      </c>
      <c r="D4816" s="2" t="s">
        <v>12</v>
      </c>
      <c r="E4816" s="2"/>
      <c r="F4816" s="2" t="str">
        <f>HYPERLINK("http://m.12365auto.com/xcdg/20200220/419078.shtml","http://m.12365auto.com/xcdg/20200220/419078.shtml")</f>
        <v>http://m.12365auto.com/xcdg/20200220/419078.shtml</v>
      </c>
      <c r="G4816" s="2"/>
      <c r="H4816" s="2" t="s">
        <v>6843</v>
      </c>
      <c r="I4816" s="2" t="s">
        <v>19</v>
      </c>
      <c r="J4816" s="2" t="s">
        <v>12</v>
      </c>
      <c r="K4816" s="2" t="s">
        <v>6844</v>
      </c>
      <c r="L4816" s="2">
        <f t="shared" si="75"/>
        <v>150</v>
      </c>
    </row>
    <row r="4817" spans="1:12" ht="25" customHeight="1">
      <c r="A4817" s="2" t="s">
        <v>12</v>
      </c>
      <c r="B4817" s="2" t="str">
        <f>HYPERLINK("http://www.12365auto.com/xcdg/20200220/419078.shtml","宝马新款5系谍照曝光 将于年内发布")</f>
        <v>宝马新款5系谍照曝光 将于年内发布</v>
      </c>
      <c r="C4817" s="2" t="s">
        <v>13</v>
      </c>
      <c r="D4817" s="2" t="s">
        <v>12</v>
      </c>
      <c r="E4817" s="2" t="s">
        <v>224</v>
      </c>
      <c r="F4817" s="2" t="str">
        <f>HYPERLINK("http://www.12365auto.com/xcdg/20200220/419078.shtml","http://www.12365auto.com/xcdg/20200220/419078.shtml")</f>
        <v>http://www.12365auto.com/xcdg/20200220/419078.shtml</v>
      </c>
      <c r="G4817" s="2"/>
      <c r="H4817" s="2" t="s">
        <v>6845</v>
      </c>
      <c r="I4817" s="2" t="s">
        <v>15</v>
      </c>
      <c r="J4817" s="2" t="s">
        <v>12</v>
      </c>
      <c r="K4817" s="2" t="s">
        <v>6844</v>
      </c>
      <c r="L4817" s="2">
        <f t="shared" si="75"/>
        <v>150</v>
      </c>
    </row>
    <row r="4818" spans="1:12" ht="25" customHeight="1">
      <c r="A4818" s="2" t="s">
        <v>12</v>
      </c>
      <c r="B4818" s="2" t="str">
        <f>HYPERLINK("http://m.12365auto.com/xcdg/20200220/419077.shtml","没有明显短板 瑞虎7/瑞虎7PRO竞争力分析")</f>
        <v>没有明显短板 瑞虎7/瑞虎7PRO竞争力分析</v>
      </c>
      <c r="C4818" s="2" t="s">
        <v>13</v>
      </c>
      <c r="D4818" s="2" t="s">
        <v>12</v>
      </c>
      <c r="E4818" s="2"/>
      <c r="F4818" s="2" t="str">
        <f>HYPERLINK("http://m.12365auto.com/xcdg/20200220/419077.shtml","http://m.12365auto.com/xcdg/20200220/419077.shtml")</f>
        <v>http://m.12365auto.com/xcdg/20200220/419077.shtml</v>
      </c>
      <c r="G4818" s="2"/>
      <c r="H4818" s="2" t="s">
        <v>6846</v>
      </c>
      <c r="I4818" s="2" t="s">
        <v>19</v>
      </c>
      <c r="J4818" s="2" t="s">
        <v>5854</v>
      </c>
      <c r="K4818" s="2" t="s">
        <v>6847</v>
      </c>
      <c r="L4818" s="2">
        <f t="shared" si="75"/>
        <v>150</v>
      </c>
    </row>
    <row r="4819" spans="1:12" ht="25" customHeight="1">
      <c r="A4819" s="2" t="s">
        <v>12</v>
      </c>
      <c r="B4819" s="2" t="str">
        <f>HYPERLINK("http://m.12365auto.com/bbs/postcontent.aspx?tID=194624","6.99万就是豪华型 可以质保15万公里")</f>
        <v>6.99万就是豪华型 可以质保15万公里</v>
      </c>
      <c r="C4819" s="2" t="s">
        <v>13</v>
      </c>
      <c r="D4819" s="2" t="s">
        <v>23</v>
      </c>
      <c r="E4819" s="2"/>
      <c r="F4819" s="2" t="str">
        <f>HYPERLINK("http://m.12365auto.com/bbs/postcontent.aspx?tID=194624","http://m.12365auto.com/bbs/postcontent.aspx?tID=194624")</f>
        <v>http://m.12365auto.com/bbs/postcontent.aspx?tID=194624</v>
      </c>
      <c r="G4819" s="2"/>
      <c r="H4819" s="2" t="s">
        <v>6848</v>
      </c>
      <c r="I4819" s="2" t="s">
        <v>15</v>
      </c>
      <c r="J4819" s="2" t="s">
        <v>5704</v>
      </c>
      <c r="K4819" s="2" t="s">
        <v>6849</v>
      </c>
      <c r="L4819" s="2">
        <f t="shared" si="75"/>
        <v>150</v>
      </c>
    </row>
    <row r="4820" spans="1:12" ht="25" customHeight="1">
      <c r="A4820" s="2" t="s">
        <v>12</v>
      </c>
      <c r="B4820" s="2" t="str">
        <f>HYPERLINK("http://bbs.12365auto.com/postcontent.aspx?tId=194624","6.99万就是豪华型 可以质保15万公里")</f>
        <v>6.99万就是豪华型 可以质保15万公里</v>
      </c>
      <c r="C4820" s="2" t="s">
        <v>13</v>
      </c>
      <c r="D4820" s="2" t="s">
        <v>12</v>
      </c>
      <c r="E4820" s="2" t="s">
        <v>27</v>
      </c>
      <c r="F4820" s="2" t="str">
        <f>HYPERLINK("http://bbs.12365auto.com/postcontent.aspx?tId=194624","http://bbs.12365auto.com/postcontent.aspx?tId=194624")</f>
        <v>http://bbs.12365auto.com/postcontent.aspx?tId=194624</v>
      </c>
      <c r="G4820" s="2"/>
      <c r="H4820" s="2" t="s">
        <v>6848</v>
      </c>
      <c r="I4820" s="2" t="s">
        <v>15</v>
      </c>
      <c r="J4820" s="2" t="s">
        <v>5704</v>
      </c>
      <c r="K4820" s="2" t="s">
        <v>6849</v>
      </c>
      <c r="L4820" s="2">
        <f t="shared" si="75"/>
        <v>150</v>
      </c>
    </row>
    <row r="4821" spans="1:12" ht="25" customHeight="1">
      <c r="A4821" s="2" t="s">
        <v>12</v>
      </c>
      <c r="B4821" s="2" t="str">
        <f>HYPERLINK("http://bbs.12365auto.com/postcontent.aspx?tID=194624","6.99万就是豪华型 可以质保15万公里")</f>
        <v>6.99万就是豪华型 可以质保15万公里</v>
      </c>
      <c r="C4821" s="2" t="s">
        <v>13</v>
      </c>
      <c r="D4821" s="2" t="s">
        <v>12</v>
      </c>
      <c r="E4821" s="2" t="s">
        <v>28</v>
      </c>
      <c r="F4821" s="2" t="str">
        <f>HYPERLINK("http://bbs.12365auto.com/postcontent.aspx?tID=194624","http://bbs.12365auto.com/postcontent.aspx?tID=194624")</f>
        <v>http://bbs.12365auto.com/postcontent.aspx?tID=194624</v>
      </c>
      <c r="G4821" s="2"/>
      <c r="H4821" s="2" t="s">
        <v>6850</v>
      </c>
      <c r="I4821" s="2" t="s">
        <v>15</v>
      </c>
      <c r="J4821" s="2" t="s">
        <v>5704</v>
      </c>
      <c r="K4821" s="2" t="s">
        <v>6849</v>
      </c>
      <c r="L4821" s="2">
        <f t="shared" si="75"/>
        <v>150</v>
      </c>
    </row>
    <row r="4822" spans="1:12" ht="25" customHeight="1">
      <c r="A4822" s="2" t="s">
        <v>12</v>
      </c>
      <c r="B4822" s="2" t="str">
        <f>HYPERLINK("http://m.12365auto.com/bbs/postcontent.aspx?tID=194623&amp;i=1","车长近5米比迈腾气派 自带双人床不足12万")</f>
        <v>车长近5米比迈腾气派 自带双人床不足12万</v>
      </c>
      <c r="C4822" s="2" t="s">
        <v>13</v>
      </c>
      <c r="D4822" s="2" t="s">
        <v>23</v>
      </c>
      <c r="E4822" s="2"/>
      <c r="F4822" s="2" t="str">
        <f>HYPERLINK("http://m.12365auto.com/bbs/postcontent.aspx?tID=194623&amp;i=1","http://m.12365auto.com/bbs/postcontent.aspx?tID=194623&amp;i=1")</f>
        <v>http://m.12365auto.com/bbs/postcontent.aspx?tID=194623&amp;i=1</v>
      </c>
      <c r="G4822" s="2"/>
      <c r="H4822" s="2" t="s">
        <v>6851</v>
      </c>
      <c r="I4822" s="2" t="s">
        <v>15</v>
      </c>
      <c r="J4822" s="2" t="s">
        <v>5704</v>
      </c>
      <c r="K4822" s="2" t="s">
        <v>6852</v>
      </c>
      <c r="L4822" s="2">
        <f t="shared" si="75"/>
        <v>150</v>
      </c>
    </row>
    <row r="4823" spans="1:12" ht="25" customHeight="1">
      <c r="A4823" s="2" t="s">
        <v>12</v>
      </c>
      <c r="B4823" s="2" t="str">
        <f>HYPERLINK("http://m.12365auto.com/bbs/postcontent.aspx?tID=194623","车长近5米比迈腾气派 自带双人床不足12万")</f>
        <v>车长近5米比迈腾气派 自带双人床不足12万</v>
      </c>
      <c r="C4823" s="2" t="s">
        <v>13</v>
      </c>
      <c r="D4823" s="2" t="s">
        <v>23</v>
      </c>
      <c r="E4823" s="2"/>
      <c r="F4823" s="2" t="str">
        <f>HYPERLINK("http://m.12365auto.com/bbs/postcontent.aspx?tID=194623","http://m.12365auto.com/bbs/postcontent.aspx?tID=194623")</f>
        <v>http://m.12365auto.com/bbs/postcontent.aspx?tID=194623</v>
      </c>
      <c r="G4823" s="2"/>
      <c r="H4823" s="2" t="s">
        <v>6851</v>
      </c>
      <c r="I4823" s="2" t="s">
        <v>15</v>
      </c>
      <c r="J4823" s="2" t="s">
        <v>5704</v>
      </c>
      <c r="K4823" s="2" t="s">
        <v>6852</v>
      </c>
      <c r="L4823" s="2">
        <f t="shared" si="75"/>
        <v>150</v>
      </c>
    </row>
    <row r="4824" spans="1:12" ht="25" customHeight="1">
      <c r="A4824" s="2" t="s">
        <v>12</v>
      </c>
      <c r="B4824" s="2" t="str">
        <f>HYPERLINK("http://m.12365auto.com/bbs/postcontent.aspx?tID=194622","媳妇想买RAV4荣放 我却咬牙22万提大众探岳")</f>
        <v>媳妇想买RAV4荣放 我却咬牙22万提大众探岳</v>
      </c>
      <c r="C4824" s="2" t="s">
        <v>13</v>
      </c>
      <c r="D4824" s="2" t="s">
        <v>23</v>
      </c>
      <c r="E4824" s="2"/>
      <c r="F4824" s="2" t="str">
        <f>HYPERLINK("http://m.12365auto.com/bbs/postcontent.aspx?tID=194622","http://m.12365auto.com/bbs/postcontent.aspx?tID=194622")</f>
        <v>http://m.12365auto.com/bbs/postcontent.aspx?tID=194622</v>
      </c>
      <c r="G4824" s="2"/>
      <c r="H4824" s="2" t="s">
        <v>6853</v>
      </c>
      <c r="I4824" s="2" t="s">
        <v>15</v>
      </c>
      <c r="J4824" s="2" t="s">
        <v>5704</v>
      </c>
      <c r="K4824" s="2" t="s">
        <v>6852</v>
      </c>
      <c r="L4824" s="2">
        <f t="shared" si="75"/>
        <v>150</v>
      </c>
    </row>
    <row r="4825" spans="1:12" ht="25" customHeight="1">
      <c r="A4825" s="2" t="s">
        <v>12</v>
      </c>
      <c r="B4825" s="2" t="str">
        <f>HYPERLINK("http://bbs.12365auto.com/postcontent.aspx?tId=194623","车长近5米比迈腾气派 自带双人床不足12万")</f>
        <v>车长近5米比迈腾气派 自带双人床不足12万</v>
      </c>
      <c r="C4825" s="2" t="s">
        <v>13</v>
      </c>
      <c r="D4825" s="2" t="s">
        <v>12</v>
      </c>
      <c r="E4825" s="2" t="s">
        <v>27</v>
      </c>
      <c r="F4825" s="2" t="str">
        <f>HYPERLINK("http://bbs.12365auto.com/postcontent.aspx?tId=194623","http://bbs.12365auto.com/postcontent.aspx?tId=194623")</f>
        <v>http://bbs.12365auto.com/postcontent.aspx?tId=194623</v>
      </c>
      <c r="G4825" s="2"/>
      <c r="H4825" s="2" t="s">
        <v>6851</v>
      </c>
      <c r="I4825" s="2" t="s">
        <v>15</v>
      </c>
      <c r="J4825" s="2" t="s">
        <v>5704</v>
      </c>
      <c r="K4825" s="2" t="s">
        <v>6852</v>
      </c>
      <c r="L4825" s="2">
        <f t="shared" si="75"/>
        <v>150</v>
      </c>
    </row>
    <row r="4826" spans="1:12" ht="25" customHeight="1">
      <c r="A4826" s="2" t="s">
        <v>12</v>
      </c>
      <c r="B4826" s="2" t="str">
        <f>HYPERLINK("http://bbs.12365auto.com/postcontent.aspx?tId=194622","媳妇想买RAV4荣放 我却咬牙22万提大众探岳")</f>
        <v>媳妇想买RAV4荣放 我却咬牙22万提大众探岳</v>
      </c>
      <c r="C4826" s="2" t="s">
        <v>13</v>
      </c>
      <c r="D4826" s="2" t="s">
        <v>12</v>
      </c>
      <c r="E4826" s="2" t="s">
        <v>27</v>
      </c>
      <c r="F4826" s="2" t="str">
        <f>HYPERLINK("http://bbs.12365auto.com/postcontent.aspx?tId=194622","http://bbs.12365auto.com/postcontent.aspx?tId=194622")</f>
        <v>http://bbs.12365auto.com/postcontent.aspx?tId=194622</v>
      </c>
      <c r="G4826" s="2"/>
      <c r="H4826" s="2" t="s">
        <v>6853</v>
      </c>
      <c r="I4826" s="2" t="s">
        <v>15</v>
      </c>
      <c r="J4826" s="2" t="s">
        <v>5704</v>
      </c>
      <c r="K4826" s="2" t="s">
        <v>6852</v>
      </c>
      <c r="L4826" s="2">
        <f t="shared" si="75"/>
        <v>150</v>
      </c>
    </row>
    <row r="4827" spans="1:12" ht="25" customHeight="1">
      <c r="A4827" s="2" t="s">
        <v>12</v>
      </c>
      <c r="B4827" s="2" t="str">
        <f>HYPERLINK("http://bbs.12365auto.com/postcontent.aspx?tID=194623","车长近5米比迈腾气派 自带双人床不足12万")</f>
        <v>车长近5米比迈腾气派 自带双人床不足12万</v>
      </c>
      <c r="C4827" s="2" t="s">
        <v>13</v>
      </c>
      <c r="D4827" s="2" t="s">
        <v>12</v>
      </c>
      <c r="E4827" s="2" t="s">
        <v>28</v>
      </c>
      <c r="F4827" s="2" t="str">
        <f>HYPERLINK("http://bbs.12365auto.com/postcontent.aspx?tID=194623","http://bbs.12365auto.com/postcontent.aspx?tID=194623")</f>
        <v>http://bbs.12365auto.com/postcontent.aspx?tID=194623</v>
      </c>
      <c r="G4827" s="2"/>
      <c r="H4827" s="2" t="s">
        <v>6854</v>
      </c>
      <c r="I4827" s="2" t="s">
        <v>15</v>
      </c>
      <c r="J4827" s="2" t="s">
        <v>5704</v>
      </c>
      <c r="K4827" s="2" t="s">
        <v>6852</v>
      </c>
      <c r="L4827" s="2">
        <f t="shared" si="75"/>
        <v>150</v>
      </c>
    </row>
    <row r="4828" spans="1:12" ht="25" customHeight="1">
      <c r="A4828" s="2" t="s">
        <v>12</v>
      </c>
      <c r="B4828" s="2" t="str">
        <f>HYPERLINK("http://bbs.12365auto.com/postcontent.aspx?tID=194622","媳妇想买RAV4荣放 我却咬牙22万提大众探岳")</f>
        <v>媳妇想买RAV4荣放 我却咬牙22万提大众探岳</v>
      </c>
      <c r="C4828" s="2" t="s">
        <v>13</v>
      </c>
      <c r="D4828" s="2" t="s">
        <v>12</v>
      </c>
      <c r="E4828" s="2" t="s">
        <v>28</v>
      </c>
      <c r="F4828" s="2" t="str">
        <f>HYPERLINK("http://bbs.12365auto.com/postcontent.aspx?tID=194622","http://bbs.12365auto.com/postcontent.aspx?tID=194622")</f>
        <v>http://bbs.12365auto.com/postcontent.aspx?tID=194622</v>
      </c>
      <c r="G4828" s="2"/>
      <c r="H4828" s="2" t="s">
        <v>6855</v>
      </c>
      <c r="I4828" s="2" t="s">
        <v>15</v>
      </c>
      <c r="J4828" s="2" t="s">
        <v>5704</v>
      </c>
      <c r="K4828" s="2" t="s">
        <v>6852</v>
      </c>
      <c r="L4828" s="2">
        <f t="shared" si="75"/>
        <v>150</v>
      </c>
    </row>
    <row r="4829" spans="1:12" ht="25" customHeight="1">
      <c r="A4829" s="2" t="s">
        <v>12</v>
      </c>
      <c r="B4829" s="2" t="str">
        <f>HYPERLINK("http://m.12365auto.com/bbs/postcontent.aspx?tID=194621","车主自述 我是如何被致炫X这款小车征服的")</f>
        <v>车主自述 我是如何被致炫X这款小车征服的</v>
      </c>
      <c r="C4829" s="2" t="s">
        <v>13</v>
      </c>
      <c r="D4829" s="2" t="s">
        <v>23</v>
      </c>
      <c r="E4829" s="2"/>
      <c r="F4829" s="2" t="str">
        <f>HYPERLINK("http://m.12365auto.com/bbs/postcontent.aspx?tID=194621","http://m.12365auto.com/bbs/postcontent.aspx?tID=194621")</f>
        <v>http://m.12365auto.com/bbs/postcontent.aspx?tID=194621</v>
      </c>
      <c r="G4829" s="2"/>
      <c r="H4829" s="2" t="s">
        <v>6856</v>
      </c>
      <c r="I4829" s="2" t="s">
        <v>15</v>
      </c>
      <c r="J4829" s="2" t="s">
        <v>5704</v>
      </c>
      <c r="K4829" s="2" t="s">
        <v>6857</v>
      </c>
      <c r="L4829" s="2">
        <f t="shared" si="75"/>
        <v>150</v>
      </c>
    </row>
    <row r="4830" spans="1:12" ht="25" customHeight="1">
      <c r="A4830" s="2" t="s">
        <v>12</v>
      </c>
      <c r="B4830" s="2" t="str">
        <f>HYPERLINK("http://bbs.12365auto.com/postcontent.aspx?tId=194621","车主自述 我是如何被致炫X这款小车征服的")</f>
        <v>车主自述 我是如何被致炫X这款小车征服的</v>
      </c>
      <c r="C4830" s="2" t="s">
        <v>13</v>
      </c>
      <c r="D4830" s="2" t="s">
        <v>12</v>
      </c>
      <c r="E4830" s="2" t="s">
        <v>27</v>
      </c>
      <c r="F4830" s="2" t="str">
        <f>HYPERLINK("http://bbs.12365auto.com/postcontent.aspx?tId=194621","http://bbs.12365auto.com/postcontent.aspx?tId=194621")</f>
        <v>http://bbs.12365auto.com/postcontent.aspx?tId=194621</v>
      </c>
      <c r="G4830" s="2"/>
      <c r="H4830" s="2" t="s">
        <v>6856</v>
      </c>
      <c r="I4830" s="2" t="s">
        <v>15</v>
      </c>
      <c r="J4830" s="2" t="s">
        <v>5704</v>
      </c>
      <c r="K4830" s="2" t="s">
        <v>6857</v>
      </c>
      <c r="L4830" s="2">
        <f t="shared" si="75"/>
        <v>150</v>
      </c>
    </row>
    <row r="4831" spans="1:12" ht="25" customHeight="1">
      <c r="A4831" s="2" t="s">
        <v>12</v>
      </c>
      <c r="B4831" s="2" t="str">
        <f>HYPERLINK("http://bbs.12365auto.com/postcontent.aspx?tID=194621","车主自述 我是如何被致炫X这款小车征服的")</f>
        <v>车主自述 我是如何被致炫X这款小车征服的</v>
      </c>
      <c r="C4831" s="2" t="s">
        <v>13</v>
      </c>
      <c r="D4831" s="2" t="s">
        <v>12</v>
      </c>
      <c r="E4831" s="2" t="s">
        <v>28</v>
      </c>
      <c r="F4831" s="2" t="str">
        <f>HYPERLINK("http://bbs.12365auto.com/postcontent.aspx?tID=194621","http://bbs.12365auto.com/postcontent.aspx?tID=194621")</f>
        <v>http://bbs.12365auto.com/postcontent.aspx?tID=194621</v>
      </c>
      <c r="G4831" s="2"/>
      <c r="H4831" s="2" t="s">
        <v>6858</v>
      </c>
      <c r="I4831" s="2" t="s">
        <v>15</v>
      </c>
      <c r="J4831" s="2" t="s">
        <v>5704</v>
      </c>
      <c r="K4831" s="2" t="s">
        <v>6857</v>
      </c>
      <c r="L4831" s="2">
        <f t="shared" si="75"/>
        <v>150</v>
      </c>
    </row>
    <row r="4832" spans="1:12" ht="25" customHeight="1">
      <c r="A4832" s="2" t="s">
        <v>12</v>
      </c>
      <c r="B4832" s="2" t="str">
        <f>HYPERLINK("http://bbs.12365auto.com/postcontent.aspx?tId=194620","奔驰开始亲民了 新款7座SUV不足30万")</f>
        <v>奔驰开始亲民了 新款7座SUV不足30万</v>
      </c>
      <c r="C4832" s="2" t="s">
        <v>13</v>
      </c>
      <c r="D4832" s="2" t="s">
        <v>12</v>
      </c>
      <c r="E4832" s="2" t="s">
        <v>27</v>
      </c>
      <c r="F4832" s="2" t="str">
        <f>HYPERLINK("http://bbs.12365auto.com/postcontent.aspx?tId=194620","http://bbs.12365auto.com/postcontent.aspx?tId=194620")</f>
        <v>http://bbs.12365auto.com/postcontent.aspx?tId=194620</v>
      </c>
      <c r="G4832" s="2"/>
      <c r="H4832" s="2" t="s">
        <v>6859</v>
      </c>
      <c r="I4832" s="2" t="s">
        <v>15</v>
      </c>
      <c r="J4832" s="2" t="s">
        <v>5704</v>
      </c>
      <c r="K4832" s="2" t="s">
        <v>6860</v>
      </c>
      <c r="L4832" s="2">
        <f t="shared" si="75"/>
        <v>150</v>
      </c>
    </row>
    <row r="4833" spans="1:12" ht="25" customHeight="1">
      <c r="A4833" s="2" t="s">
        <v>12</v>
      </c>
      <c r="B4833" s="2" t="str">
        <f>HYPERLINK("http://bbs.12365auto.com/postcontent.aspx?tId=194619","气质不输锐界 更有2.0T+9AT为其加持")</f>
        <v>气质不输锐界 更有2.0T+9AT为其加持</v>
      </c>
      <c r="C4833" s="2" t="s">
        <v>13</v>
      </c>
      <c r="D4833" s="2" t="s">
        <v>12</v>
      </c>
      <c r="E4833" s="2" t="s">
        <v>27</v>
      </c>
      <c r="F4833" s="2" t="str">
        <f>HYPERLINK("http://bbs.12365auto.com/postcontent.aspx?tId=194619","http://bbs.12365auto.com/postcontent.aspx?tId=194619")</f>
        <v>http://bbs.12365auto.com/postcontent.aspx?tId=194619</v>
      </c>
      <c r="G4833" s="2"/>
      <c r="H4833" s="2" t="s">
        <v>6861</v>
      </c>
      <c r="I4833" s="2" t="s">
        <v>15</v>
      </c>
      <c r="J4833" s="2" t="s">
        <v>5704</v>
      </c>
      <c r="K4833" s="2" t="s">
        <v>6860</v>
      </c>
      <c r="L4833" s="2">
        <f t="shared" si="75"/>
        <v>150</v>
      </c>
    </row>
    <row r="4834" spans="1:12" ht="25" customHeight="1">
      <c r="A4834" s="2" t="s">
        <v>12</v>
      </c>
      <c r="B4834" s="2" t="str">
        <f>HYPERLINK("http://m.12365auto.com/bbs/postcontent.aspx?tID=194620&amp;i=1","奔驰开始亲民了 新款7座SUV不足30万")</f>
        <v>奔驰开始亲民了 新款7座SUV不足30万</v>
      </c>
      <c r="C4834" s="2" t="s">
        <v>13</v>
      </c>
      <c r="D4834" s="2" t="s">
        <v>23</v>
      </c>
      <c r="E4834" s="2"/>
      <c r="F4834" s="2" t="str">
        <f>HYPERLINK("http://m.12365auto.com/bbs/postcontent.aspx?tID=194620&amp;i=1","http://m.12365auto.com/bbs/postcontent.aspx?tID=194620&amp;i=1")</f>
        <v>http://m.12365auto.com/bbs/postcontent.aspx?tID=194620&amp;i=1</v>
      </c>
      <c r="G4834" s="2"/>
      <c r="H4834" s="2" t="s">
        <v>6859</v>
      </c>
      <c r="I4834" s="2" t="s">
        <v>15</v>
      </c>
      <c r="J4834" s="2" t="s">
        <v>5704</v>
      </c>
      <c r="K4834" s="2" t="s">
        <v>6860</v>
      </c>
      <c r="L4834" s="2">
        <f t="shared" si="75"/>
        <v>150</v>
      </c>
    </row>
    <row r="4835" spans="1:12" ht="25" customHeight="1">
      <c r="A4835" s="2" t="s">
        <v>12</v>
      </c>
      <c r="B4835" s="2" t="str">
        <f>HYPERLINK("http://bbs.12365auto.com/postcontent.aspx?tID=194619","气质不输锐界 更有2.0T+9AT为其加持")</f>
        <v>气质不输锐界 更有2.0T+9AT为其加持</v>
      </c>
      <c r="C4835" s="2" t="s">
        <v>13</v>
      </c>
      <c r="D4835" s="2" t="s">
        <v>12</v>
      </c>
      <c r="E4835" s="2" t="s">
        <v>28</v>
      </c>
      <c r="F4835" s="2" t="str">
        <f>HYPERLINK("http://bbs.12365auto.com/postcontent.aspx?tID=194619","http://bbs.12365auto.com/postcontent.aspx?tID=194619")</f>
        <v>http://bbs.12365auto.com/postcontent.aspx?tID=194619</v>
      </c>
      <c r="G4835" s="2"/>
      <c r="H4835" s="2" t="s">
        <v>6862</v>
      </c>
      <c r="I4835" s="2" t="s">
        <v>15</v>
      </c>
      <c r="J4835" s="2" t="s">
        <v>5704</v>
      </c>
      <c r="K4835" s="2" t="s">
        <v>6860</v>
      </c>
      <c r="L4835" s="2">
        <f t="shared" si="75"/>
        <v>150</v>
      </c>
    </row>
    <row r="4836" spans="1:12" ht="25" customHeight="1">
      <c r="A4836" s="2" t="s">
        <v>12</v>
      </c>
      <c r="B4836" s="2" t="str">
        <f>HYPERLINK("http://m.12365auto.com/bbs/postcontent.aspx?tID=194620","奔驰开始亲民了 新款7座SUV不足30万")</f>
        <v>奔驰开始亲民了 新款7座SUV不足30万</v>
      </c>
      <c r="C4836" s="2" t="s">
        <v>13</v>
      </c>
      <c r="D4836" s="2" t="s">
        <v>23</v>
      </c>
      <c r="E4836" s="2"/>
      <c r="F4836" s="2" t="str">
        <f>HYPERLINK("http://m.12365auto.com/bbs/postcontent.aspx?tID=194620","http://m.12365auto.com/bbs/postcontent.aspx?tID=194620")</f>
        <v>http://m.12365auto.com/bbs/postcontent.aspx?tID=194620</v>
      </c>
      <c r="G4836" s="2"/>
      <c r="H4836" s="2" t="s">
        <v>6859</v>
      </c>
      <c r="I4836" s="2" t="s">
        <v>15</v>
      </c>
      <c r="J4836" s="2" t="s">
        <v>5704</v>
      </c>
      <c r="K4836" s="2" t="s">
        <v>6860</v>
      </c>
      <c r="L4836" s="2">
        <f t="shared" si="75"/>
        <v>150</v>
      </c>
    </row>
    <row r="4837" spans="1:12" ht="25" customHeight="1">
      <c r="A4837" s="2" t="s">
        <v>12</v>
      </c>
      <c r="B4837" s="2" t="str">
        <f>HYPERLINK("http://bbs.12365auto.com/postcontent.aspx?tID=194620","奔驰开始亲民了 新款7座SUV不足30万")</f>
        <v>奔驰开始亲民了 新款7座SUV不足30万</v>
      </c>
      <c r="C4837" s="2" t="s">
        <v>13</v>
      </c>
      <c r="D4837" s="2" t="s">
        <v>12</v>
      </c>
      <c r="E4837" s="2" t="s">
        <v>28</v>
      </c>
      <c r="F4837" s="2" t="str">
        <f>HYPERLINK("http://bbs.12365auto.com/postcontent.aspx?tID=194620","http://bbs.12365auto.com/postcontent.aspx?tID=194620")</f>
        <v>http://bbs.12365auto.com/postcontent.aspx?tID=194620</v>
      </c>
      <c r="G4837" s="2"/>
      <c r="H4837" s="2" t="s">
        <v>6863</v>
      </c>
      <c r="I4837" s="2" t="s">
        <v>15</v>
      </c>
      <c r="J4837" s="2" t="s">
        <v>5704</v>
      </c>
      <c r="K4837" s="2" t="s">
        <v>6860</v>
      </c>
      <c r="L4837" s="2">
        <f t="shared" si="75"/>
        <v>150</v>
      </c>
    </row>
    <row r="4838" spans="1:12" ht="25" customHeight="1">
      <c r="A4838" s="2" t="s">
        <v>12</v>
      </c>
      <c r="B4838" s="2" t="str">
        <f>HYPERLINK("http://m.12365auto.com/bbs/postcontent.aspx?tID=194619","气质不输锐界 更有2.0T+9AT为其加持")</f>
        <v>气质不输锐界 更有2.0T+9AT为其加持</v>
      </c>
      <c r="C4838" s="2" t="s">
        <v>13</v>
      </c>
      <c r="D4838" s="2" t="s">
        <v>23</v>
      </c>
      <c r="E4838" s="2"/>
      <c r="F4838" s="2" t="str">
        <f>HYPERLINK("http://m.12365auto.com/bbs/postcontent.aspx?tID=194619","http://m.12365auto.com/bbs/postcontent.aspx?tID=194619")</f>
        <v>http://m.12365auto.com/bbs/postcontent.aspx?tID=194619</v>
      </c>
      <c r="G4838" s="2"/>
      <c r="H4838" s="2" t="s">
        <v>6861</v>
      </c>
      <c r="I4838" s="2" t="s">
        <v>15</v>
      </c>
      <c r="J4838" s="2" t="s">
        <v>5704</v>
      </c>
      <c r="K4838" s="2" t="s">
        <v>6860</v>
      </c>
      <c r="L4838" s="2">
        <f t="shared" si="75"/>
        <v>150</v>
      </c>
    </row>
    <row r="4839" spans="1:12" ht="25" customHeight="1">
      <c r="A4839" s="2" t="s">
        <v>12</v>
      </c>
      <c r="B4839" s="2" t="str">
        <f>HYPERLINK("http://www.12365auto.com/zlts/20200220/447856.shtml","上汽名爵锐腾冬季减震器异响4S店拒绝更换")</f>
        <v>上汽名爵锐腾冬季减震器异响4S店拒绝更换</v>
      </c>
      <c r="C4839" s="2" t="s">
        <v>13</v>
      </c>
      <c r="D4839" s="2" t="s">
        <v>12</v>
      </c>
      <c r="E4839" s="2" t="s">
        <v>17</v>
      </c>
      <c r="F4839" s="2" t="str">
        <f>HYPERLINK("http://www.12365auto.com/zlts/20200220/447856.shtml","http://www.12365auto.com/zlts/20200220/447856.shtml")</f>
        <v>http://www.12365auto.com/zlts/20200220/447856.shtml</v>
      </c>
      <c r="G4839" s="2"/>
      <c r="H4839" s="2" t="s">
        <v>6864</v>
      </c>
      <c r="I4839" s="2" t="s">
        <v>19</v>
      </c>
      <c r="J4839" s="2" t="s">
        <v>12</v>
      </c>
      <c r="K4839" s="2" t="s">
        <v>6860</v>
      </c>
      <c r="L4839" s="2">
        <f t="shared" si="75"/>
        <v>150</v>
      </c>
    </row>
    <row r="4840" spans="1:12" ht="25" customHeight="1">
      <c r="A4840" s="2" t="s">
        <v>12</v>
      </c>
      <c r="B4840" s="2" t="str">
        <f>HYPERLINK("http://bbs.12365auto.com/postcontent.aspx?tId=194618","5座座位少 7座年检麻烦 这3款6座MPV适合你")</f>
        <v>5座座位少 7座年检麻烦 这3款6座MPV适合你</v>
      </c>
      <c r="C4840" s="2" t="s">
        <v>13</v>
      </c>
      <c r="D4840" s="2" t="s">
        <v>12</v>
      </c>
      <c r="E4840" s="2" t="s">
        <v>27</v>
      </c>
      <c r="F4840" s="2" t="str">
        <f>HYPERLINK("http://bbs.12365auto.com/postcontent.aspx?tId=194618","http://bbs.12365auto.com/postcontent.aspx?tId=194618")</f>
        <v>http://bbs.12365auto.com/postcontent.aspx?tId=194618</v>
      </c>
      <c r="G4840" s="2"/>
      <c r="H4840" s="2" t="s">
        <v>6865</v>
      </c>
      <c r="I4840" s="2" t="s">
        <v>15</v>
      </c>
      <c r="J4840" s="2" t="s">
        <v>5704</v>
      </c>
      <c r="K4840" s="2" t="s">
        <v>6866</v>
      </c>
      <c r="L4840" s="2">
        <f t="shared" si="75"/>
        <v>150</v>
      </c>
    </row>
    <row r="4841" spans="1:12" ht="25" customHeight="1">
      <c r="A4841" s="2" t="s">
        <v>12</v>
      </c>
      <c r="B4841" s="2" t="str">
        <f>HYPERLINK("http://bbs.12365auto.com/postcontent.aspx?tID=194618","5座座位少 7座年检麻烦 这3款6座MPV适合你")</f>
        <v>5座座位少 7座年检麻烦 这3款6座MPV适合你</v>
      </c>
      <c r="C4841" s="2" t="s">
        <v>13</v>
      </c>
      <c r="D4841" s="2" t="s">
        <v>12</v>
      </c>
      <c r="E4841" s="2" t="s">
        <v>28</v>
      </c>
      <c r="F4841" s="2" t="str">
        <f>HYPERLINK("http://bbs.12365auto.com/postcontent.aspx?tID=194618","http://bbs.12365auto.com/postcontent.aspx?tID=194618")</f>
        <v>http://bbs.12365auto.com/postcontent.aspx?tID=194618</v>
      </c>
      <c r="G4841" s="2"/>
      <c r="H4841" s="2" t="s">
        <v>6867</v>
      </c>
      <c r="I4841" s="2" t="s">
        <v>15</v>
      </c>
      <c r="J4841" s="2" t="s">
        <v>5704</v>
      </c>
      <c r="K4841" s="2" t="s">
        <v>6866</v>
      </c>
      <c r="L4841" s="2">
        <f t="shared" si="75"/>
        <v>150</v>
      </c>
    </row>
    <row r="4842" spans="1:12" ht="25" customHeight="1">
      <c r="A4842" s="2" t="s">
        <v>12</v>
      </c>
      <c r="B4842" s="2" t="str">
        <f>HYPERLINK("http://m.12365auto.com/bbs/postcontent.aspx?tID=194618","5座座位少 7座年检麻烦 这3款6座MPV适合你")</f>
        <v>5座座位少 7座年检麻烦 这3款6座MPV适合你</v>
      </c>
      <c r="C4842" s="2" t="s">
        <v>13</v>
      </c>
      <c r="D4842" s="2" t="s">
        <v>23</v>
      </c>
      <c r="E4842" s="2"/>
      <c r="F4842" s="2" t="str">
        <f>HYPERLINK("http://m.12365auto.com/bbs/postcontent.aspx?tID=194618","http://m.12365auto.com/bbs/postcontent.aspx?tID=194618")</f>
        <v>http://m.12365auto.com/bbs/postcontent.aspx?tID=194618</v>
      </c>
      <c r="G4842" s="2"/>
      <c r="H4842" s="2" t="s">
        <v>6865</v>
      </c>
      <c r="I4842" s="2" t="s">
        <v>15</v>
      </c>
      <c r="J4842" s="2" t="s">
        <v>5704</v>
      </c>
      <c r="K4842" s="2" t="s">
        <v>6866</v>
      </c>
      <c r="L4842" s="2">
        <f t="shared" si="75"/>
        <v>150</v>
      </c>
    </row>
    <row r="4843" spans="1:12" ht="25" customHeight="1">
      <c r="A4843" s="2" t="s">
        <v>12</v>
      </c>
      <c r="B4843" s="2" t="str">
        <f>HYPERLINK("http://m.12365auto.com/bbs/postcontent.aspx?tID=194618&amp;i=1","5座座位少 7座年检麻烦 这3款6座MPV适合你")</f>
        <v>5座座位少 7座年检麻烦 这3款6座MPV适合你</v>
      </c>
      <c r="C4843" s="2" t="s">
        <v>13</v>
      </c>
      <c r="D4843" s="2" t="s">
        <v>23</v>
      </c>
      <c r="E4843" s="2"/>
      <c r="F4843" s="2" t="str">
        <f>HYPERLINK("http://m.12365auto.com/bbs/postcontent.aspx?tID=194618&amp;i=1","http://m.12365auto.com/bbs/postcontent.aspx?tID=194618&amp;i=1")</f>
        <v>http://m.12365auto.com/bbs/postcontent.aspx?tID=194618&amp;i=1</v>
      </c>
      <c r="G4843" s="2"/>
      <c r="H4843" s="2" t="s">
        <v>6865</v>
      </c>
      <c r="I4843" s="2" t="s">
        <v>15</v>
      </c>
      <c r="J4843" s="2" t="s">
        <v>5704</v>
      </c>
      <c r="K4843" s="2" t="s">
        <v>6866</v>
      </c>
      <c r="L4843" s="2">
        <f t="shared" si="75"/>
        <v>150</v>
      </c>
    </row>
    <row r="4844" spans="1:12" ht="25" customHeight="1">
      <c r="A4844" s="2" t="s">
        <v>12</v>
      </c>
      <c r="B4844" s="2" t="str">
        <f>HYPERLINK("http://bbs.12365auto.com/postcontent.aspx?tId=194617","不愧是本田 这车刚上市就火了")</f>
        <v>不愧是本田 这车刚上市就火了</v>
      </c>
      <c r="C4844" s="2" t="s">
        <v>13</v>
      </c>
      <c r="D4844" s="2" t="s">
        <v>12</v>
      </c>
      <c r="E4844" s="2" t="s">
        <v>27</v>
      </c>
      <c r="F4844" s="2" t="str">
        <f>HYPERLINK("http://bbs.12365auto.com/postcontent.aspx?tId=194617","http://bbs.12365auto.com/postcontent.aspx?tId=194617")</f>
        <v>http://bbs.12365auto.com/postcontent.aspx?tId=194617</v>
      </c>
      <c r="G4844" s="2"/>
      <c r="H4844" s="2" t="s">
        <v>5650</v>
      </c>
      <c r="I4844" s="2" t="s">
        <v>15</v>
      </c>
      <c r="J4844" s="2" t="s">
        <v>5704</v>
      </c>
      <c r="K4844" s="2" t="s">
        <v>6868</v>
      </c>
      <c r="L4844" s="2">
        <f t="shared" si="75"/>
        <v>150</v>
      </c>
    </row>
    <row r="4845" spans="1:12" ht="25" customHeight="1">
      <c r="A4845" s="2" t="s">
        <v>12</v>
      </c>
      <c r="B4845" s="2" t="str">
        <f>HYPERLINK("http://bbs.12365auto.com/postcontent.aspx?tId=194616","这才是撩妹车 连跌7万")</f>
        <v>这才是撩妹车 连跌7万</v>
      </c>
      <c r="C4845" s="2" t="s">
        <v>13</v>
      </c>
      <c r="D4845" s="2" t="s">
        <v>12</v>
      </c>
      <c r="E4845" s="2" t="s">
        <v>27</v>
      </c>
      <c r="F4845" s="2" t="str">
        <f>HYPERLINK("http://bbs.12365auto.com/postcontent.aspx?tId=194616","http://bbs.12365auto.com/postcontent.aspx?tId=194616")</f>
        <v>http://bbs.12365auto.com/postcontent.aspx?tId=194616</v>
      </c>
      <c r="G4845" s="2"/>
      <c r="H4845" s="2" t="s">
        <v>6869</v>
      </c>
      <c r="I4845" s="2" t="s">
        <v>15</v>
      </c>
      <c r="J4845" s="2" t="s">
        <v>5704</v>
      </c>
      <c r="K4845" s="2" t="s">
        <v>6868</v>
      </c>
      <c r="L4845" s="2">
        <f t="shared" si="75"/>
        <v>150</v>
      </c>
    </row>
    <row r="4846" spans="1:12" ht="25" customHeight="1">
      <c r="A4846" s="2" t="s">
        <v>12</v>
      </c>
      <c r="B4846" s="2" t="str">
        <f>HYPERLINK("http://m.12365auto.com/bbs/postcontent.aspx?tID=194617","不愧是本田 这车刚上市就火了")</f>
        <v>不愧是本田 这车刚上市就火了</v>
      </c>
      <c r="C4846" s="2" t="s">
        <v>13</v>
      </c>
      <c r="D4846" s="2" t="s">
        <v>23</v>
      </c>
      <c r="E4846" s="2"/>
      <c r="F4846" s="2" t="str">
        <f>HYPERLINK("http://m.12365auto.com/bbs/postcontent.aspx?tID=194617","http://m.12365auto.com/bbs/postcontent.aspx?tID=194617")</f>
        <v>http://m.12365auto.com/bbs/postcontent.aspx?tID=194617</v>
      </c>
      <c r="G4846" s="2"/>
      <c r="H4846" s="2" t="s">
        <v>5650</v>
      </c>
      <c r="I4846" s="2" t="s">
        <v>15</v>
      </c>
      <c r="J4846" s="2" t="s">
        <v>5704</v>
      </c>
      <c r="K4846" s="2" t="s">
        <v>6868</v>
      </c>
      <c r="L4846" s="2">
        <f t="shared" si="75"/>
        <v>150</v>
      </c>
    </row>
    <row r="4847" spans="1:12" ht="25" customHeight="1">
      <c r="A4847" s="2" t="s">
        <v>12</v>
      </c>
      <c r="B4847" s="2" t="str">
        <f>HYPERLINK("http://m.12365auto.com/bbs/postcontent.aspx?tID=194616","这才是撩妹车 连跌7万")</f>
        <v>这才是撩妹车 连跌7万</v>
      </c>
      <c r="C4847" s="2" t="s">
        <v>13</v>
      </c>
      <c r="D4847" s="2" t="s">
        <v>23</v>
      </c>
      <c r="E4847" s="2"/>
      <c r="F4847" s="2" t="str">
        <f>HYPERLINK("http://m.12365auto.com/bbs/postcontent.aspx?tID=194616","http://m.12365auto.com/bbs/postcontent.aspx?tID=194616")</f>
        <v>http://m.12365auto.com/bbs/postcontent.aspx?tID=194616</v>
      </c>
      <c r="G4847" s="2"/>
      <c r="H4847" s="2" t="s">
        <v>6869</v>
      </c>
      <c r="I4847" s="2" t="s">
        <v>15</v>
      </c>
      <c r="J4847" s="2" t="s">
        <v>5704</v>
      </c>
      <c r="K4847" s="2" t="s">
        <v>6868</v>
      </c>
      <c r="L4847" s="2">
        <f t="shared" si="75"/>
        <v>150</v>
      </c>
    </row>
    <row r="4848" spans="1:12" ht="25" customHeight="1">
      <c r="A4848" s="2" t="s">
        <v>12</v>
      </c>
      <c r="B4848" s="2" t="str">
        <f>HYPERLINK("http://bbs.12365auto.com/postcontent.aspx?tID=194617","不愧是本田 这车刚上市就火了")</f>
        <v>不愧是本田 这车刚上市就火了</v>
      </c>
      <c r="C4848" s="2" t="s">
        <v>13</v>
      </c>
      <c r="D4848" s="2" t="s">
        <v>12</v>
      </c>
      <c r="E4848" s="2" t="s">
        <v>28</v>
      </c>
      <c r="F4848" s="2" t="str">
        <f>HYPERLINK("http://bbs.12365auto.com/postcontent.aspx?tID=194617","http://bbs.12365auto.com/postcontent.aspx?tID=194617")</f>
        <v>http://bbs.12365auto.com/postcontent.aspx?tID=194617</v>
      </c>
      <c r="G4848" s="2"/>
      <c r="H4848" s="2" t="s">
        <v>5652</v>
      </c>
      <c r="I4848" s="2" t="s">
        <v>15</v>
      </c>
      <c r="J4848" s="2" t="s">
        <v>5704</v>
      </c>
      <c r="K4848" s="2" t="s">
        <v>6868</v>
      </c>
      <c r="L4848" s="2">
        <f t="shared" si="75"/>
        <v>150</v>
      </c>
    </row>
    <row r="4849" spans="1:12" ht="25" customHeight="1">
      <c r="A4849" s="2" t="s">
        <v>12</v>
      </c>
      <c r="B4849" s="2" t="str">
        <f>HYPERLINK("http://bbs.12365auto.com/postcontent.aspx?tID=194616","这才是撩妹车 连跌7万")</f>
        <v>这才是撩妹车 连跌7万</v>
      </c>
      <c r="C4849" s="2" t="s">
        <v>13</v>
      </c>
      <c r="D4849" s="2" t="s">
        <v>12</v>
      </c>
      <c r="E4849" s="2" t="s">
        <v>28</v>
      </c>
      <c r="F4849" s="2" t="str">
        <f>HYPERLINK("http://bbs.12365auto.com/postcontent.aspx?tID=194616","http://bbs.12365auto.com/postcontent.aspx?tID=194616")</f>
        <v>http://bbs.12365auto.com/postcontent.aspx?tID=194616</v>
      </c>
      <c r="G4849" s="2"/>
      <c r="H4849" s="2" t="s">
        <v>6870</v>
      </c>
      <c r="I4849" s="2" t="s">
        <v>15</v>
      </c>
      <c r="J4849" s="2" t="s">
        <v>5704</v>
      </c>
      <c r="K4849" s="2" t="s">
        <v>6868</v>
      </c>
      <c r="L4849" s="2">
        <f t="shared" si="75"/>
        <v>150</v>
      </c>
    </row>
    <row r="4850" spans="1:12" ht="25" customHeight="1">
      <c r="A4850" s="2" t="s">
        <v>12</v>
      </c>
      <c r="B4850" s="2" t="str">
        <f>HYPERLINK("http://m.12365auto.com/xcdg/20200220/419076.shtml","电芯终身质保/保修 四款电动小型SUV推荐")</f>
        <v>电芯终身质保/保修 四款电动小型SUV推荐</v>
      </c>
      <c r="C4850" s="2" t="s">
        <v>13</v>
      </c>
      <c r="D4850" s="2" t="s">
        <v>12</v>
      </c>
      <c r="E4850" s="2"/>
      <c r="F4850" s="2" t="str">
        <f>HYPERLINK("http://m.12365auto.com/xcdg/20200220/419076.shtml","http://m.12365auto.com/xcdg/20200220/419076.shtml")</f>
        <v>http://m.12365auto.com/xcdg/20200220/419076.shtml</v>
      </c>
      <c r="G4850" s="2"/>
      <c r="H4850" s="2" t="s">
        <v>6871</v>
      </c>
      <c r="I4850" s="2" t="s">
        <v>19</v>
      </c>
      <c r="J4850" s="2" t="s">
        <v>781</v>
      </c>
      <c r="K4850" s="2" t="s">
        <v>6872</v>
      </c>
      <c r="L4850" s="2">
        <f t="shared" si="75"/>
        <v>150</v>
      </c>
    </row>
    <row r="4851" spans="1:12" ht="25" customHeight="1">
      <c r="A4851" s="2" t="s">
        <v>12</v>
      </c>
      <c r="B4851" s="2" t="str">
        <f>HYPERLINK("http://bbs.12365auto.com/postcontent.aspx?tId=194615","长安PLUS系列再添新成员 长安逸动PLUS正式发布")</f>
        <v>长安PLUS系列再添新成员 长安逸动PLUS正式发布</v>
      </c>
      <c r="C4851" s="2" t="s">
        <v>13</v>
      </c>
      <c r="D4851" s="2" t="s">
        <v>12</v>
      </c>
      <c r="E4851" s="2" t="s">
        <v>27</v>
      </c>
      <c r="F4851" s="2" t="str">
        <f>HYPERLINK("http://bbs.12365auto.com/postcontent.aspx?tId=194615","http://bbs.12365auto.com/postcontent.aspx?tId=194615")</f>
        <v>http://bbs.12365auto.com/postcontent.aspx?tId=194615</v>
      </c>
      <c r="G4851" s="2"/>
      <c r="H4851" s="2" t="s">
        <v>6873</v>
      </c>
      <c r="I4851" s="2" t="s">
        <v>15</v>
      </c>
      <c r="J4851" s="2" t="s">
        <v>5704</v>
      </c>
      <c r="K4851" s="2" t="s">
        <v>6872</v>
      </c>
      <c r="L4851" s="2">
        <f t="shared" si="75"/>
        <v>150</v>
      </c>
    </row>
    <row r="4852" spans="1:12" ht="25" customHeight="1">
      <c r="A4852" s="2" t="s">
        <v>12</v>
      </c>
      <c r="B4852" s="2" t="str">
        <f>HYPERLINK("http://m.12365auto.com/bbs/postcontent.aspx?tID=194615","长安PLUS系列再添新成员 长安逸动PLUS正式发布")</f>
        <v>长安PLUS系列再添新成员 长安逸动PLUS正式发布</v>
      </c>
      <c r="C4852" s="2" t="s">
        <v>13</v>
      </c>
      <c r="D4852" s="2" t="s">
        <v>23</v>
      </c>
      <c r="E4852" s="2"/>
      <c r="F4852" s="2" t="str">
        <f>HYPERLINK("http://m.12365auto.com/bbs/postcontent.aspx?tID=194615","http://m.12365auto.com/bbs/postcontent.aspx?tID=194615")</f>
        <v>http://m.12365auto.com/bbs/postcontent.aspx?tID=194615</v>
      </c>
      <c r="G4852" s="2"/>
      <c r="H4852" s="2" t="s">
        <v>6873</v>
      </c>
      <c r="I4852" s="2" t="s">
        <v>15</v>
      </c>
      <c r="J4852" s="2" t="s">
        <v>5704</v>
      </c>
      <c r="K4852" s="2" t="s">
        <v>6872</v>
      </c>
      <c r="L4852" s="2">
        <f t="shared" si="75"/>
        <v>150</v>
      </c>
    </row>
    <row r="4853" spans="1:12" ht="25" customHeight="1">
      <c r="A4853" s="2" t="s">
        <v>12</v>
      </c>
      <c r="B4853" s="2" t="str">
        <f>HYPERLINK("http://bbs.12365auto.com/postcontent.aspx?tID=194615","长安PLUS系列再添新成员 长安逸动PLUS正式发布")</f>
        <v>长安PLUS系列再添新成员 长安逸动PLUS正式发布</v>
      </c>
      <c r="C4853" s="2" t="s">
        <v>13</v>
      </c>
      <c r="D4853" s="2" t="s">
        <v>12</v>
      </c>
      <c r="E4853" s="2" t="s">
        <v>28</v>
      </c>
      <c r="F4853" s="2" t="str">
        <f>HYPERLINK("http://bbs.12365auto.com/postcontent.aspx?tID=194615","http://bbs.12365auto.com/postcontent.aspx?tID=194615")</f>
        <v>http://bbs.12365auto.com/postcontent.aspx?tID=194615</v>
      </c>
      <c r="G4853" s="2"/>
      <c r="H4853" s="2" t="s">
        <v>6874</v>
      </c>
      <c r="I4853" s="2" t="s">
        <v>15</v>
      </c>
      <c r="J4853" s="2" t="s">
        <v>5704</v>
      </c>
      <c r="K4853" s="2" t="s">
        <v>6872</v>
      </c>
      <c r="L4853" s="2">
        <f t="shared" si="75"/>
        <v>150</v>
      </c>
    </row>
    <row r="4854" spans="1:12" ht="25" customHeight="1">
      <c r="A4854" s="2" t="s">
        <v>12</v>
      </c>
      <c r="B4854" s="2" t="str">
        <f>HYPERLINK("http://bbs.12365auto.com/postcontent.aspx?tId=194614","30万以内要无边框车门就看这几款")</f>
        <v>30万以内要无边框车门就看这几款</v>
      </c>
      <c r="C4854" s="2" t="s">
        <v>13</v>
      </c>
      <c r="D4854" s="2" t="s">
        <v>12</v>
      </c>
      <c r="E4854" s="2" t="s">
        <v>27</v>
      </c>
      <c r="F4854" s="2" t="str">
        <f>HYPERLINK("http://bbs.12365auto.com/postcontent.aspx?tId=194614","http://bbs.12365auto.com/postcontent.aspx?tId=194614")</f>
        <v>http://bbs.12365auto.com/postcontent.aspx?tId=194614</v>
      </c>
      <c r="G4854" s="2"/>
      <c r="H4854" s="2" t="s">
        <v>6875</v>
      </c>
      <c r="I4854" s="2" t="s">
        <v>15</v>
      </c>
      <c r="J4854" s="2" t="s">
        <v>6876</v>
      </c>
      <c r="K4854" s="2" t="s">
        <v>6877</v>
      </c>
      <c r="L4854" s="2">
        <f t="shared" si="75"/>
        <v>150</v>
      </c>
    </row>
    <row r="4855" spans="1:12" ht="25" customHeight="1">
      <c r="A4855" s="2" t="s">
        <v>12</v>
      </c>
      <c r="B4855" s="2" t="str">
        <f>HYPERLINK("http://bbs.12365auto.com/postcontent.aspx?tID=194614","30万以内要无边框车门就看这几款")</f>
        <v>30万以内要无边框车门就看这几款</v>
      </c>
      <c r="C4855" s="2" t="s">
        <v>13</v>
      </c>
      <c r="D4855" s="2" t="s">
        <v>12</v>
      </c>
      <c r="E4855" s="2" t="s">
        <v>28</v>
      </c>
      <c r="F4855" s="2" t="str">
        <f>HYPERLINK("http://bbs.12365auto.com/postcontent.aspx?tID=194614","http://bbs.12365auto.com/postcontent.aspx?tID=194614")</f>
        <v>http://bbs.12365auto.com/postcontent.aspx?tID=194614</v>
      </c>
      <c r="G4855" s="2"/>
      <c r="H4855" s="2" t="s">
        <v>6878</v>
      </c>
      <c r="I4855" s="2" t="s">
        <v>15</v>
      </c>
      <c r="J4855" s="2" t="s">
        <v>6876</v>
      </c>
      <c r="K4855" s="2" t="s">
        <v>6877</v>
      </c>
      <c r="L4855" s="2">
        <f t="shared" si="75"/>
        <v>150</v>
      </c>
    </row>
    <row r="4856" spans="1:12" ht="25" customHeight="1">
      <c r="A4856" s="2" t="s">
        <v>12</v>
      </c>
      <c r="B4856" s="2" t="str">
        <f>HYPERLINK("http://bbs.12365auto.com/postcontent.aspx?tId=194613","丰田亚洲龙变脸雷克萨斯")</f>
        <v>丰田亚洲龙变脸雷克萨斯</v>
      </c>
      <c r="C4856" s="2" t="s">
        <v>13</v>
      </c>
      <c r="D4856" s="2" t="s">
        <v>12</v>
      </c>
      <c r="E4856" s="2" t="s">
        <v>27</v>
      </c>
      <c r="F4856" s="2" t="str">
        <f>HYPERLINK("http://bbs.12365auto.com/postcontent.aspx?tId=194613","http://bbs.12365auto.com/postcontent.aspx?tId=194613")</f>
        <v>http://bbs.12365auto.com/postcontent.aspx?tId=194613</v>
      </c>
      <c r="G4856" s="2"/>
      <c r="H4856" s="2" t="s">
        <v>6879</v>
      </c>
      <c r="I4856" s="2" t="s">
        <v>15</v>
      </c>
      <c r="J4856" s="2" t="s">
        <v>6876</v>
      </c>
      <c r="K4856" s="2" t="s">
        <v>6880</v>
      </c>
      <c r="L4856" s="2">
        <f t="shared" si="75"/>
        <v>150</v>
      </c>
    </row>
    <row r="4857" spans="1:12" ht="25" customHeight="1">
      <c r="A4857" s="2" t="s">
        <v>12</v>
      </c>
      <c r="B4857" s="2" t="str">
        <f>HYPERLINK("http://bbs.12365auto.com/postcontent.aspx?tID=194613","丰田亚洲龙变脸雷克萨斯")</f>
        <v>丰田亚洲龙变脸雷克萨斯</v>
      </c>
      <c r="C4857" s="2" t="s">
        <v>13</v>
      </c>
      <c r="D4857" s="2" t="s">
        <v>12</v>
      </c>
      <c r="E4857" s="2" t="s">
        <v>28</v>
      </c>
      <c r="F4857" s="2" t="str">
        <f>HYPERLINK("http://bbs.12365auto.com/postcontent.aspx?tID=194613","http://bbs.12365auto.com/postcontent.aspx?tID=194613")</f>
        <v>http://bbs.12365auto.com/postcontent.aspx?tID=194613</v>
      </c>
      <c r="G4857" s="2"/>
      <c r="H4857" s="2" t="s">
        <v>6881</v>
      </c>
      <c r="I4857" s="2" t="s">
        <v>15</v>
      </c>
      <c r="J4857" s="2" t="s">
        <v>6876</v>
      </c>
      <c r="K4857" s="2" t="s">
        <v>6880</v>
      </c>
      <c r="L4857" s="2">
        <f t="shared" si="75"/>
        <v>150</v>
      </c>
    </row>
    <row r="4858" spans="1:12" ht="25" customHeight="1">
      <c r="A4858" s="2" t="s">
        <v>12</v>
      </c>
      <c r="B4858" s="2" t="str">
        <f>HYPERLINK("http://bbs.12365auto.com/postcontent.aspx?tId=194611","10万级的家用利器怎么选？")</f>
        <v>10万级的家用利器怎么选？</v>
      </c>
      <c r="C4858" s="2" t="s">
        <v>13</v>
      </c>
      <c r="D4858" s="2" t="s">
        <v>12</v>
      </c>
      <c r="E4858" s="2" t="s">
        <v>27</v>
      </c>
      <c r="F4858" s="2" t="str">
        <f>HYPERLINK("http://bbs.12365auto.com/postcontent.aspx?tId=194611","http://bbs.12365auto.com/postcontent.aspx?tId=194611")</f>
        <v>http://bbs.12365auto.com/postcontent.aspx?tId=194611</v>
      </c>
      <c r="G4858" s="2"/>
      <c r="H4858" s="2" t="s">
        <v>6882</v>
      </c>
      <c r="I4858" s="2" t="s">
        <v>15</v>
      </c>
      <c r="J4858" s="2" t="s">
        <v>6876</v>
      </c>
      <c r="K4858" s="2" t="s">
        <v>6883</v>
      </c>
      <c r="L4858" s="2">
        <f t="shared" si="75"/>
        <v>150</v>
      </c>
    </row>
    <row r="4859" spans="1:12" ht="25" customHeight="1">
      <c r="A4859" s="2" t="s">
        <v>12</v>
      </c>
      <c r="B4859" s="2" t="str">
        <f>HYPERLINK("http://bbs.12365auto.com/postcontent.aspx?tId=194612","这款本田起价才7万 光后备箱就比卡罗拉大66L")</f>
        <v>这款本田起价才7万 光后备箱就比卡罗拉大66L</v>
      </c>
      <c r="C4859" s="2" t="s">
        <v>13</v>
      </c>
      <c r="D4859" s="2" t="s">
        <v>12</v>
      </c>
      <c r="E4859" s="2" t="s">
        <v>27</v>
      </c>
      <c r="F4859" s="2" t="str">
        <f>HYPERLINK("http://bbs.12365auto.com/postcontent.aspx?tId=194612","http://bbs.12365auto.com/postcontent.aspx?tId=194612")</f>
        <v>http://bbs.12365auto.com/postcontent.aspx?tId=194612</v>
      </c>
      <c r="G4859" s="2"/>
      <c r="H4859" s="2" t="s">
        <v>6884</v>
      </c>
      <c r="I4859" s="2" t="s">
        <v>15</v>
      </c>
      <c r="J4859" s="2" t="s">
        <v>6876</v>
      </c>
      <c r="K4859" s="2" t="s">
        <v>6883</v>
      </c>
      <c r="L4859" s="2">
        <f t="shared" si="75"/>
        <v>150</v>
      </c>
    </row>
    <row r="4860" spans="1:12" ht="25" customHeight="1">
      <c r="A4860" s="2" t="s">
        <v>12</v>
      </c>
      <c r="B4860" s="2" t="str">
        <f>HYPERLINK("http://m.12365auto.com/bbs/postcontent.aspx?tID=194611&amp;i=1","10万级的家用利器怎么选？")</f>
        <v>10万级的家用利器怎么选？</v>
      </c>
      <c r="C4860" s="2" t="s">
        <v>13</v>
      </c>
      <c r="D4860" s="2" t="s">
        <v>23</v>
      </c>
      <c r="E4860" s="2"/>
      <c r="F4860" s="2" t="str">
        <f>HYPERLINK("http://m.12365auto.com/bbs/postcontent.aspx?tID=194611&amp;i=1","http://m.12365auto.com/bbs/postcontent.aspx?tID=194611&amp;i=1")</f>
        <v>http://m.12365auto.com/bbs/postcontent.aspx?tID=194611&amp;i=1</v>
      </c>
      <c r="G4860" s="2"/>
      <c r="H4860" s="2" t="s">
        <v>6882</v>
      </c>
      <c r="I4860" s="2" t="s">
        <v>15</v>
      </c>
      <c r="J4860" s="2" t="s">
        <v>6876</v>
      </c>
      <c r="K4860" s="2" t="s">
        <v>6883</v>
      </c>
      <c r="L4860" s="2">
        <f t="shared" si="75"/>
        <v>150</v>
      </c>
    </row>
    <row r="4861" spans="1:12" ht="25" customHeight="1">
      <c r="A4861" s="2" t="s">
        <v>12</v>
      </c>
      <c r="B4861" s="2" t="str">
        <f>HYPERLINK("http://bbs.12365auto.com/postcontent.aspx?tID=194611","10万级的家用利器怎么选？")</f>
        <v>10万级的家用利器怎么选？</v>
      </c>
      <c r="C4861" s="2" t="s">
        <v>13</v>
      </c>
      <c r="D4861" s="2" t="s">
        <v>12</v>
      </c>
      <c r="E4861" s="2" t="s">
        <v>28</v>
      </c>
      <c r="F4861" s="2" t="str">
        <f>HYPERLINK("http://bbs.12365auto.com/postcontent.aspx?tID=194611","http://bbs.12365auto.com/postcontent.aspx?tID=194611")</f>
        <v>http://bbs.12365auto.com/postcontent.aspx?tID=194611</v>
      </c>
      <c r="G4861" s="2"/>
      <c r="H4861" s="2" t="s">
        <v>6885</v>
      </c>
      <c r="I4861" s="2" t="s">
        <v>15</v>
      </c>
      <c r="J4861" s="2" t="s">
        <v>6876</v>
      </c>
      <c r="K4861" s="2" t="s">
        <v>6883</v>
      </c>
      <c r="L4861" s="2">
        <f t="shared" si="75"/>
        <v>150</v>
      </c>
    </row>
    <row r="4862" spans="1:12" ht="25" customHeight="1">
      <c r="A4862" s="2" t="s">
        <v>12</v>
      </c>
      <c r="B4862" s="2" t="str">
        <f>HYPERLINK("http://bbs.12365auto.com/postcontent.aspx?tID=194612","这款本田起价才7万 光后备箱就比卡罗拉大66L")</f>
        <v>这款本田起价才7万 光后备箱就比卡罗拉大66L</v>
      </c>
      <c r="C4862" s="2" t="s">
        <v>13</v>
      </c>
      <c r="D4862" s="2" t="s">
        <v>12</v>
      </c>
      <c r="E4862" s="2" t="s">
        <v>28</v>
      </c>
      <c r="F4862" s="2" t="str">
        <f>HYPERLINK("http://bbs.12365auto.com/postcontent.aspx?tID=194612","http://bbs.12365auto.com/postcontent.aspx?tID=194612")</f>
        <v>http://bbs.12365auto.com/postcontent.aspx?tID=194612</v>
      </c>
      <c r="G4862" s="2"/>
      <c r="H4862" s="2" t="s">
        <v>6886</v>
      </c>
      <c r="I4862" s="2" t="s">
        <v>15</v>
      </c>
      <c r="J4862" s="2" t="s">
        <v>6876</v>
      </c>
      <c r="K4862" s="2" t="s">
        <v>6883</v>
      </c>
      <c r="L4862" s="2">
        <f t="shared" si="75"/>
        <v>150</v>
      </c>
    </row>
    <row r="4863" spans="1:12" ht="25" customHeight="1">
      <c r="A4863" s="2" t="s">
        <v>12</v>
      </c>
      <c r="B4863" s="2" t="str">
        <f>HYPERLINK("http://bbs.12365auto.com/postcontent.aspx?tId=194610","这几款SUV才是15万以内的首选")</f>
        <v>这几款SUV才是15万以内的首选</v>
      </c>
      <c r="C4863" s="2" t="s">
        <v>13</v>
      </c>
      <c r="D4863" s="2" t="s">
        <v>12</v>
      </c>
      <c r="E4863" s="2" t="s">
        <v>27</v>
      </c>
      <c r="F4863" s="2" t="str">
        <f>HYPERLINK("http://bbs.12365auto.com/postcontent.aspx?tId=194610","http://bbs.12365auto.com/postcontent.aspx?tId=194610")</f>
        <v>http://bbs.12365auto.com/postcontent.aspx?tId=194610</v>
      </c>
      <c r="G4863" s="2"/>
      <c r="H4863" s="2" t="s">
        <v>5639</v>
      </c>
      <c r="I4863" s="2" t="s">
        <v>15</v>
      </c>
      <c r="J4863" s="2" t="s">
        <v>6876</v>
      </c>
      <c r="K4863" s="2" t="s">
        <v>6887</v>
      </c>
      <c r="L4863" s="2">
        <f t="shared" si="75"/>
        <v>150</v>
      </c>
    </row>
    <row r="4864" spans="1:12" ht="25" customHeight="1">
      <c r="A4864" s="2" t="s">
        <v>12</v>
      </c>
      <c r="B4864" s="2" t="str">
        <f>HYPERLINK("http://bbs.12365auto.com/postcontent.aspx?tID=194610","这几款SUV才是15万以内的首选")</f>
        <v>这几款SUV才是15万以内的首选</v>
      </c>
      <c r="C4864" s="2" t="s">
        <v>13</v>
      </c>
      <c r="D4864" s="2" t="s">
        <v>12</v>
      </c>
      <c r="E4864" s="2" t="s">
        <v>28</v>
      </c>
      <c r="F4864" s="2" t="str">
        <f>HYPERLINK("http://bbs.12365auto.com/postcontent.aspx?tID=194610","http://bbs.12365auto.com/postcontent.aspx?tID=194610")</f>
        <v>http://bbs.12365auto.com/postcontent.aspx?tID=194610</v>
      </c>
      <c r="G4864" s="2"/>
      <c r="H4864" s="2" t="s">
        <v>5642</v>
      </c>
      <c r="I4864" s="2" t="s">
        <v>15</v>
      </c>
      <c r="J4864" s="2" t="s">
        <v>6876</v>
      </c>
      <c r="K4864" s="2" t="s">
        <v>6887</v>
      </c>
      <c r="L4864" s="2">
        <f t="shared" si="75"/>
        <v>150</v>
      </c>
    </row>
    <row r="4865" spans="1:12" ht="25" customHeight="1">
      <c r="A4865" s="2" t="s">
        <v>12</v>
      </c>
      <c r="B4865" s="2" t="str">
        <f>HYPERLINK("http://m.12365auto.com/xcdg/20200220/419075.shtml","解读低配车 实拍现代ix35智勇畅质版")</f>
        <v>解读低配车 实拍现代ix35智勇畅质版</v>
      </c>
      <c r="C4865" s="2" t="s">
        <v>13</v>
      </c>
      <c r="D4865" s="2" t="s">
        <v>12</v>
      </c>
      <c r="E4865" s="2"/>
      <c r="F4865" s="2" t="str">
        <f>HYPERLINK("http://m.12365auto.com/xcdg/20200220/419075.shtml","http://m.12365auto.com/xcdg/20200220/419075.shtml")</f>
        <v>http://m.12365auto.com/xcdg/20200220/419075.shtml</v>
      </c>
      <c r="G4865" s="2"/>
      <c r="H4865" s="2" t="s">
        <v>6888</v>
      </c>
      <c r="I4865" s="2" t="s">
        <v>19</v>
      </c>
      <c r="J4865" s="2" t="s">
        <v>4729</v>
      </c>
      <c r="K4865" s="2" t="s">
        <v>6887</v>
      </c>
      <c r="L4865" s="2">
        <f t="shared" si="75"/>
        <v>150</v>
      </c>
    </row>
    <row r="4866" spans="1:12" ht="25" customHeight="1">
      <c r="A4866" s="2" t="s">
        <v>12</v>
      </c>
      <c r="B4866" s="2" t="str">
        <f>HYPERLINK("http://m.12365auto.com/bbs/postcontent.aspx?tID=194609","再也不用魔改 15万直接能买到本田“法拉域”了")</f>
        <v>再也不用魔改 15万直接能买到本田“法拉域”了</v>
      </c>
      <c r="C4866" s="2" t="s">
        <v>13</v>
      </c>
      <c r="D4866" s="2" t="s">
        <v>23</v>
      </c>
      <c r="E4866" s="2"/>
      <c r="F4866" s="2" t="str">
        <f>HYPERLINK("http://m.12365auto.com/bbs/postcontent.aspx?tID=194609","http://m.12365auto.com/bbs/postcontent.aspx?tID=194609")</f>
        <v>http://m.12365auto.com/bbs/postcontent.aspx?tID=194609</v>
      </c>
      <c r="G4866" s="2"/>
      <c r="H4866" s="2" t="s">
        <v>6192</v>
      </c>
      <c r="I4866" s="2" t="s">
        <v>15</v>
      </c>
      <c r="J4866" s="2" t="s">
        <v>6876</v>
      </c>
      <c r="K4866" s="2" t="s">
        <v>6889</v>
      </c>
      <c r="L4866" s="2">
        <f t="shared" si="75"/>
        <v>150</v>
      </c>
    </row>
    <row r="4867" spans="1:12" ht="25" customHeight="1">
      <c r="A4867" s="2" t="s">
        <v>12</v>
      </c>
      <c r="B4867" s="2" t="str">
        <f>HYPERLINK("http://bbs.12365auto.com/postcontent.aspx?tId=194609","再也不用魔改 15万直接能买到本田“法拉域”了")</f>
        <v>再也不用魔改 15万直接能买到本田“法拉域”了</v>
      </c>
      <c r="C4867" s="2" t="s">
        <v>13</v>
      </c>
      <c r="D4867" s="2" t="s">
        <v>12</v>
      </c>
      <c r="E4867" s="2" t="s">
        <v>27</v>
      </c>
      <c r="F4867" s="2" t="str">
        <f>HYPERLINK("http://bbs.12365auto.com/postcontent.aspx?tId=194609","http://bbs.12365auto.com/postcontent.aspx?tId=194609")</f>
        <v>http://bbs.12365auto.com/postcontent.aspx?tId=194609</v>
      </c>
      <c r="G4867" s="2"/>
      <c r="H4867" s="2" t="s">
        <v>6192</v>
      </c>
      <c r="I4867" s="2" t="s">
        <v>15</v>
      </c>
      <c r="J4867" s="2" t="s">
        <v>6876</v>
      </c>
      <c r="K4867" s="2" t="s">
        <v>6889</v>
      </c>
      <c r="L4867" s="2">
        <f t="shared" ref="L4867:L4930" si="76">LEN(H4867)</f>
        <v>150</v>
      </c>
    </row>
    <row r="4868" spans="1:12" ht="25" customHeight="1">
      <c r="A4868" s="2" t="s">
        <v>12</v>
      </c>
      <c r="B4868" s="2" t="str">
        <f>HYPERLINK("http://bbs.12365auto.com/postcontent.aspx?tID=194609","再也不用魔改 15万直接能买到本田“法拉域”了")</f>
        <v>再也不用魔改 15万直接能买到本田“法拉域”了</v>
      </c>
      <c r="C4868" s="2" t="s">
        <v>13</v>
      </c>
      <c r="D4868" s="2" t="s">
        <v>12</v>
      </c>
      <c r="E4868" s="2" t="s">
        <v>28</v>
      </c>
      <c r="F4868" s="2" t="str">
        <f>HYPERLINK("http://bbs.12365auto.com/postcontent.aspx?tID=194609","http://bbs.12365auto.com/postcontent.aspx?tID=194609")</f>
        <v>http://bbs.12365auto.com/postcontent.aspx?tID=194609</v>
      </c>
      <c r="G4868" s="2"/>
      <c r="H4868" s="2" t="s">
        <v>6189</v>
      </c>
      <c r="I4868" s="2" t="s">
        <v>15</v>
      </c>
      <c r="J4868" s="2" t="s">
        <v>6876</v>
      </c>
      <c r="K4868" s="2" t="s">
        <v>6889</v>
      </c>
      <c r="L4868" s="2">
        <f t="shared" si="76"/>
        <v>150</v>
      </c>
    </row>
    <row r="4869" spans="1:12" ht="25" customHeight="1">
      <c r="A4869" s="2" t="s">
        <v>12</v>
      </c>
      <c r="B4869" s="2" t="str">
        <f>HYPERLINK("http://m.12365auto.com/bbs/postcontent.aspx?tID=194607","小姐姐都喜欢奔驰大G 但不知道车内原来是这样")</f>
        <v>小姐姐都喜欢奔驰大G 但不知道车内原来是这样</v>
      </c>
      <c r="C4869" s="2" t="s">
        <v>13</v>
      </c>
      <c r="D4869" s="2" t="s">
        <v>23</v>
      </c>
      <c r="E4869" s="2"/>
      <c r="F4869" s="2" t="str">
        <f>HYPERLINK("http://m.12365auto.com/bbs/postcontent.aspx?tID=194607","http://m.12365auto.com/bbs/postcontent.aspx?tID=194607")</f>
        <v>http://m.12365auto.com/bbs/postcontent.aspx?tID=194607</v>
      </c>
      <c r="G4869" s="2"/>
      <c r="H4869" s="2" t="s">
        <v>6890</v>
      </c>
      <c r="I4869" s="2" t="s">
        <v>15</v>
      </c>
      <c r="J4869" s="2" t="s">
        <v>6876</v>
      </c>
      <c r="K4869" s="2" t="s">
        <v>6891</v>
      </c>
      <c r="L4869" s="2">
        <f t="shared" si="76"/>
        <v>150</v>
      </c>
    </row>
    <row r="4870" spans="1:12" ht="25" customHeight="1">
      <c r="A4870" s="2" t="s">
        <v>12</v>
      </c>
      <c r="B4870" s="2" t="str">
        <f>HYPERLINK("http://m.12365auto.com/bbs/postcontent.aspx?tID=194608","13万多就能买中级车")</f>
        <v>13万多就能买中级车</v>
      </c>
      <c r="C4870" s="2" t="s">
        <v>13</v>
      </c>
      <c r="D4870" s="2" t="s">
        <v>23</v>
      </c>
      <c r="E4870" s="2"/>
      <c r="F4870" s="2" t="str">
        <f>HYPERLINK("http://m.12365auto.com/bbs/postcontent.aspx?tID=194608","http://m.12365auto.com/bbs/postcontent.aspx?tID=194608")</f>
        <v>http://m.12365auto.com/bbs/postcontent.aspx?tID=194608</v>
      </c>
      <c r="G4870" s="2"/>
      <c r="H4870" s="2" t="s">
        <v>6892</v>
      </c>
      <c r="I4870" s="2" t="s">
        <v>15</v>
      </c>
      <c r="J4870" s="2" t="s">
        <v>6876</v>
      </c>
      <c r="K4870" s="2" t="s">
        <v>6891</v>
      </c>
      <c r="L4870" s="2">
        <f t="shared" si="76"/>
        <v>150</v>
      </c>
    </row>
    <row r="4871" spans="1:12" ht="25" customHeight="1">
      <c r="A4871" s="2" t="s">
        <v>12</v>
      </c>
      <c r="B4871" s="2" t="str">
        <f>HYPERLINK("http://bbs.12365auto.com/postcontent.aspx?tId=194608","13万多就能买中级车")</f>
        <v>13万多就能买中级车</v>
      </c>
      <c r="C4871" s="2" t="s">
        <v>13</v>
      </c>
      <c r="D4871" s="2" t="s">
        <v>12</v>
      </c>
      <c r="E4871" s="2" t="s">
        <v>27</v>
      </c>
      <c r="F4871" s="2" t="str">
        <f>HYPERLINK("http://bbs.12365auto.com/postcontent.aspx?tId=194608","http://bbs.12365auto.com/postcontent.aspx?tId=194608")</f>
        <v>http://bbs.12365auto.com/postcontent.aspx?tId=194608</v>
      </c>
      <c r="G4871" s="2"/>
      <c r="H4871" s="2" t="s">
        <v>6892</v>
      </c>
      <c r="I4871" s="2" t="s">
        <v>15</v>
      </c>
      <c r="J4871" s="2" t="s">
        <v>6876</v>
      </c>
      <c r="K4871" s="2" t="s">
        <v>6891</v>
      </c>
      <c r="L4871" s="2">
        <f t="shared" si="76"/>
        <v>150</v>
      </c>
    </row>
    <row r="4872" spans="1:12" ht="25" customHeight="1">
      <c r="A4872" s="2" t="s">
        <v>12</v>
      </c>
      <c r="B4872" s="2" t="str">
        <f>HYPERLINK("http://bbs.12365auto.com/postcontent.aspx?tId=194607","小姐姐都喜欢奔驰大G 但不知道车内原来是这样")</f>
        <v>小姐姐都喜欢奔驰大G 但不知道车内原来是这样</v>
      </c>
      <c r="C4872" s="2" t="s">
        <v>13</v>
      </c>
      <c r="D4872" s="2" t="s">
        <v>12</v>
      </c>
      <c r="E4872" s="2" t="s">
        <v>27</v>
      </c>
      <c r="F4872" s="2" t="str">
        <f>HYPERLINK("http://bbs.12365auto.com/postcontent.aspx?tId=194607","http://bbs.12365auto.com/postcontent.aspx?tId=194607")</f>
        <v>http://bbs.12365auto.com/postcontent.aspx?tId=194607</v>
      </c>
      <c r="G4872" s="2"/>
      <c r="H4872" s="2" t="s">
        <v>6890</v>
      </c>
      <c r="I4872" s="2" t="s">
        <v>15</v>
      </c>
      <c r="J4872" s="2" t="s">
        <v>6876</v>
      </c>
      <c r="K4872" s="2" t="s">
        <v>6891</v>
      </c>
      <c r="L4872" s="2">
        <f t="shared" si="76"/>
        <v>150</v>
      </c>
    </row>
    <row r="4873" spans="1:12" ht="25" customHeight="1">
      <c r="A4873" s="2" t="s">
        <v>12</v>
      </c>
      <c r="B4873" s="2" t="str">
        <f>HYPERLINK("http://bbs.12365auto.com/postcontent.aspx?tID=194607","小姐姐都喜欢奔驰大G 但不知道车内原来是这样")</f>
        <v>小姐姐都喜欢奔驰大G 但不知道车内原来是这样</v>
      </c>
      <c r="C4873" s="2" t="s">
        <v>13</v>
      </c>
      <c r="D4873" s="2" t="s">
        <v>12</v>
      </c>
      <c r="E4873" s="2" t="s">
        <v>28</v>
      </c>
      <c r="F4873" s="2" t="str">
        <f>HYPERLINK("http://bbs.12365auto.com/postcontent.aspx?tID=194607","http://bbs.12365auto.com/postcontent.aspx?tID=194607")</f>
        <v>http://bbs.12365auto.com/postcontent.aspx?tID=194607</v>
      </c>
      <c r="G4873" s="2"/>
      <c r="H4873" s="2" t="s">
        <v>6893</v>
      </c>
      <c r="I4873" s="2" t="s">
        <v>15</v>
      </c>
      <c r="J4873" s="2" t="s">
        <v>6876</v>
      </c>
      <c r="K4873" s="2" t="s">
        <v>6891</v>
      </c>
      <c r="L4873" s="2">
        <f t="shared" si="76"/>
        <v>150</v>
      </c>
    </row>
    <row r="4874" spans="1:12" ht="25" customHeight="1">
      <c r="A4874" s="2" t="s">
        <v>12</v>
      </c>
      <c r="B4874" s="2" t="str">
        <f>HYPERLINK("http://bbs.12365auto.com/postcontent.aspx?tID=194608","13万多就能买中级车")</f>
        <v>13万多就能买中级车</v>
      </c>
      <c r="C4874" s="2" t="s">
        <v>13</v>
      </c>
      <c r="D4874" s="2" t="s">
        <v>12</v>
      </c>
      <c r="E4874" s="2" t="s">
        <v>28</v>
      </c>
      <c r="F4874" s="2" t="str">
        <f>HYPERLINK("http://bbs.12365auto.com/postcontent.aspx?tID=194608","http://bbs.12365auto.com/postcontent.aspx?tID=194608")</f>
        <v>http://bbs.12365auto.com/postcontent.aspx?tID=194608</v>
      </c>
      <c r="G4874" s="2"/>
      <c r="H4874" s="2" t="s">
        <v>6894</v>
      </c>
      <c r="I4874" s="2" t="s">
        <v>15</v>
      </c>
      <c r="J4874" s="2" t="s">
        <v>6876</v>
      </c>
      <c r="K4874" s="2" t="s">
        <v>6891</v>
      </c>
      <c r="L4874" s="2">
        <f t="shared" si="76"/>
        <v>150</v>
      </c>
    </row>
    <row r="4875" spans="1:12" ht="25" customHeight="1">
      <c r="A4875" s="2" t="s">
        <v>12</v>
      </c>
      <c r="B4875" s="2" t="str">
        <f>HYPERLINK("http://www.12365auto.com/zlts/20200220/447855.shtml","广汽三菱欧蓝德转向时右前方有异常响声")</f>
        <v>广汽三菱欧蓝德转向时右前方有异常响声</v>
      </c>
      <c r="C4875" s="2" t="s">
        <v>13</v>
      </c>
      <c r="D4875" s="2" t="s">
        <v>12</v>
      </c>
      <c r="E4875" s="2" t="s">
        <v>17</v>
      </c>
      <c r="F4875" s="2" t="str">
        <f>HYPERLINK("http://www.12365auto.com/zlts/20200220/447855.shtml","http://www.12365auto.com/zlts/20200220/447855.shtml")</f>
        <v>http://www.12365auto.com/zlts/20200220/447855.shtml</v>
      </c>
      <c r="G4875" s="2"/>
      <c r="H4875" s="2" t="s">
        <v>6895</v>
      </c>
      <c r="I4875" s="2" t="s">
        <v>19</v>
      </c>
      <c r="J4875" s="2" t="s">
        <v>12</v>
      </c>
      <c r="K4875" s="2" t="s">
        <v>6891</v>
      </c>
      <c r="L4875" s="2">
        <f t="shared" si="76"/>
        <v>150</v>
      </c>
    </row>
    <row r="4876" spans="1:12" ht="25" customHeight="1">
      <c r="A4876" s="2" t="s">
        <v>12</v>
      </c>
      <c r="B4876" s="2" t="str">
        <f>HYPERLINK("http://m.12365auto.com/bbs/postcontent.aspx?tID=194606","15万买什么车既能撩妹又拉风")</f>
        <v>15万买什么车既能撩妹又拉风</v>
      </c>
      <c r="C4876" s="2" t="s">
        <v>13</v>
      </c>
      <c r="D4876" s="2" t="s">
        <v>23</v>
      </c>
      <c r="E4876" s="2"/>
      <c r="F4876" s="2" t="str">
        <f>HYPERLINK("http://m.12365auto.com/bbs/postcontent.aspx?tID=194606","http://m.12365auto.com/bbs/postcontent.aspx?tID=194606")</f>
        <v>http://m.12365auto.com/bbs/postcontent.aspx?tID=194606</v>
      </c>
      <c r="G4876" s="2"/>
      <c r="H4876" s="2" t="s">
        <v>5617</v>
      </c>
      <c r="I4876" s="2" t="s">
        <v>15</v>
      </c>
      <c r="J4876" s="2" t="s">
        <v>6876</v>
      </c>
      <c r="K4876" s="2" t="s">
        <v>6896</v>
      </c>
      <c r="L4876" s="2">
        <f t="shared" si="76"/>
        <v>150</v>
      </c>
    </row>
    <row r="4877" spans="1:12" ht="25" customHeight="1">
      <c r="A4877" s="2" t="s">
        <v>12</v>
      </c>
      <c r="B4877" s="2" t="str">
        <f>HYPERLINK("http://bbs.12365auto.com/postcontent.aspx?tId=194606","15万买什么车既能撩妹又拉风")</f>
        <v>15万买什么车既能撩妹又拉风</v>
      </c>
      <c r="C4877" s="2" t="s">
        <v>13</v>
      </c>
      <c r="D4877" s="2" t="s">
        <v>12</v>
      </c>
      <c r="E4877" s="2" t="s">
        <v>27</v>
      </c>
      <c r="F4877" s="2" t="str">
        <f>HYPERLINK("http://bbs.12365auto.com/postcontent.aspx?tId=194606","http://bbs.12365auto.com/postcontent.aspx?tId=194606")</f>
        <v>http://bbs.12365auto.com/postcontent.aspx?tId=194606</v>
      </c>
      <c r="G4877" s="2"/>
      <c r="H4877" s="2" t="s">
        <v>5617</v>
      </c>
      <c r="I4877" s="2" t="s">
        <v>15</v>
      </c>
      <c r="J4877" s="2" t="s">
        <v>6876</v>
      </c>
      <c r="K4877" s="2" t="s">
        <v>6896</v>
      </c>
      <c r="L4877" s="2">
        <f t="shared" si="76"/>
        <v>150</v>
      </c>
    </row>
    <row r="4878" spans="1:12" ht="25" customHeight="1">
      <c r="A4878" s="2" t="s">
        <v>12</v>
      </c>
      <c r="B4878" s="2" t="str">
        <f>HYPERLINK("http://bbs.12365auto.com/postcontent.aspx?tID=194606","15万买什么车既能撩妹又拉风")</f>
        <v>15万买什么车既能撩妹又拉风</v>
      </c>
      <c r="C4878" s="2" t="s">
        <v>13</v>
      </c>
      <c r="D4878" s="2" t="s">
        <v>12</v>
      </c>
      <c r="E4878" s="2" t="s">
        <v>28</v>
      </c>
      <c r="F4878" s="2" t="str">
        <f>HYPERLINK("http://bbs.12365auto.com/postcontent.aspx?tID=194606","http://bbs.12365auto.com/postcontent.aspx?tID=194606")</f>
        <v>http://bbs.12365auto.com/postcontent.aspx?tID=194606</v>
      </c>
      <c r="G4878" s="2"/>
      <c r="H4878" s="2" t="s">
        <v>5618</v>
      </c>
      <c r="I4878" s="2" t="s">
        <v>15</v>
      </c>
      <c r="J4878" s="2" t="s">
        <v>6876</v>
      </c>
      <c r="K4878" s="2" t="s">
        <v>6896</v>
      </c>
      <c r="L4878" s="2">
        <f t="shared" si="76"/>
        <v>150</v>
      </c>
    </row>
    <row r="4879" spans="1:12" ht="25" customHeight="1">
      <c r="A4879" s="2" t="s">
        <v>12</v>
      </c>
      <c r="B4879" s="2" t="str">
        <f>HYPERLINK("http://m.12365auto.com/bbs/postcontent.aspx?tID=194605","曝吉利21亿元入股蔚来汽车 双方回应来了")</f>
        <v>曝吉利21亿元入股蔚来汽车 双方回应来了</v>
      </c>
      <c r="C4879" s="2" t="s">
        <v>13</v>
      </c>
      <c r="D4879" s="2" t="s">
        <v>23</v>
      </c>
      <c r="E4879" s="2"/>
      <c r="F4879" s="2" t="str">
        <f>HYPERLINK("http://m.12365auto.com/bbs/postcontent.aspx?tID=194605","http://m.12365auto.com/bbs/postcontent.aspx?tID=194605")</f>
        <v>http://m.12365auto.com/bbs/postcontent.aspx?tID=194605</v>
      </c>
      <c r="G4879" s="2"/>
      <c r="H4879" s="2" t="s">
        <v>6897</v>
      </c>
      <c r="I4879" s="2" t="s">
        <v>15</v>
      </c>
      <c r="J4879" s="2" t="s">
        <v>6876</v>
      </c>
      <c r="K4879" s="2" t="s">
        <v>6898</v>
      </c>
      <c r="L4879" s="2">
        <f t="shared" si="76"/>
        <v>150</v>
      </c>
    </row>
    <row r="4880" spans="1:12" ht="25" customHeight="1">
      <c r="A4880" s="2" t="s">
        <v>12</v>
      </c>
      <c r="B4880" s="2" t="str">
        <f>HYPERLINK("http://bbs.12365auto.com/postcontent.aspx?tId=194605","曝吉利21亿元入股蔚来汽车 双方回应来了")</f>
        <v>曝吉利21亿元入股蔚来汽车 双方回应来了</v>
      </c>
      <c r="C4880" s="2" t="s">
        <v>13</v>
      </c>
      <c r="D4880" s="2" t="s">
        <v>12</v>
      </c>
      <c r="E4880" s="2" t="s">
        <v>27</v>
      </c>
      <c r="F4880" s="2" t="str">
        <f>HYPERLINK("http://bbs.12365auto.com/postcontent.aspx?tId=194605","http://bbs.12365auto.com/postcontent.aspx?tId=194605")</f>
        <v>http://bbs.12365auto.com/postcontent.aspx?tId=194605</v>
      </c>
      <c r="G4880" s="2"/>
      <c r="H4880" s="2" t="s">
        <v>6897</v>
      </c>
      <c r="I4880" s="2" t="s">
        <v>15</v>
      </c>
      <c r="J4880" s="2" t="s">
        <v>6876</v>
      </c>
      <c r="K4880" s="2" t="s">
        <v>6898</v>
      </c>
      <c r="L4880" s="2">
        <f t="shared" si="76"/>
        <v>150</v>
      </c>
    </row>
    <row r="4881" spans="1:12" ht="25" customHeight="1">
      <c r="A4881" s="2" t="s">
        <v>12</v>
      </c>
      <c r="B4881" s="2" t="str">
        <f>HYPERLINK("http://bbs.12365auto.com/postcontent.aspx?tID=194605","曝吉利21亿元入股蔚来汽车 双方回应来了")</f>
        <v>曝吉利21亿元入股蔚来汽车 双方回应来了</v>
      </c>
      <c r="C4881" s="2" t="s">
        <v>13</v>
      </c>
      <c r="D4881" s="2" t="s">
        <v>12</v>
      </c>
      <c r="E4881" s="2" t="s">
        <v>28</v>
      </c>
      <c r="F4881" s="2" t="str">
        <f>HYPERLINK("http://bbs.12365auto.com/postcontent.aspx?tID=194605","http://bbs.12365auto.com/postcontent.aspx?tID=194605")</f>
        <v>http://bbs.12365auto.com/postcontent.aspx?tID=194605</v>
      </c>
      <c r="G4881" s="2"/>
      <c r="H4881" s="2" t="s">
        <v>6899</v>
      </c>
      <c r="I4881" s="2" t="s">
        <v>15</v>
      </c>
      <c r="J4881" s="2" t="s">
        <v>6876</v>
      </c>
      <c r="K4881" s="2" t="s">
        <v>6898</v>
      </c>
      <c r="L4881" s="2">
        <f t="shared" si="76"/>
        <v>150</v>
      </c>
    </row>
    <row r="4882" spans="1:12" ht="25" customHeight="1">
      <c r="A4882" s="2" t="s">
        <v>12</v>
      </c>
      <c r="B4882" s="2" t="str">
        <f>HYPERLINK("http://www.12365auto.com/news/20200220/419074.shtml","MIT新电极设计让电池性能更强大 延长续航")</f>
        <v>MIT新电极设计让电池性能更强大 延长续航</v>
      </c>
      <c r="C4882" s="2" t="s">
        <v>13</v>
      </c>
      <c r="D4882" s="2" t="s">
        <v>12</v>
      </c>
      <c r="E4882" s="2" t="s">
        <v>276</v>
      </c>
      <c r="F4882" s="2" t="str">
        <f>HYPERLINK("http://www.12365auto.com/news/20200220/419074.shtml","http://www.12365auto.com/news/20200220/419074.shtml")</f>
        <v>http://www.12365auto.com/news/20200220/419074.shtml</v>
      </c>
      <c r="G4882" s="2"/>
      <c r="H4882" s="2" t="s">
        <v>6900</v>
      </c>
      <c r="I4882" s="2" t="s">
        <v>15</v>
      </c>
      <c r="J4882" s="2" t="s">
        <v>12</v>
      </c>
      <c r="K4882" s="2" t="s">
        <v>6898</v>
      </c>
      <c r="L4882" s="2">
        <f t="shared" si="76"/>
        <v>150</v>
      </c>
    </row>
    <row r="4883" spans="1:12" ht="25" customHeight="1">
      <c r="A4883" s="2" t="s">
        <v>12</v>
      </c>
      <c r="B4883" s="2" t="str">
        <f>HYPERLINK("http://m.12365auto.com/news/20200220/419074.shtml","MIT新电极设计让电池性能更强大 延长续航")</f>
        <v>MIT新电极设计让电池性能更强大 延长续航</v>
      </c>
      <c r="C4883" s="2" t="s">
        <v>13</v>
      </c>
      <c r="D4883" s="2" t="s">
        <v>12</v>
      </c>
      <c r="E4883" s="2"/>
      <c r="F4883" s="2" t="str">
        <f>HYPERLINK("http://m.12365auto.com/news/20200220/419074.shtml","http://m.12365auto.com/news/20200220/419074.shtml")</f>
        <v>http://m.12365auto.com/news/20200220/419074.shtml</v>
      </c>
      <c r="G4883" s="2"/>
      <c r="H4883" s="2" t="s">
        <v>6901</v>
      </c>
      <c r="I4883" s="2" t="s">
        <v>19</v>
      </c>
      <c r="J4883" s="2" t="s">
        <v>1036</v>
      </c>
      <c r="K4883" s="2" t="s">
        <v>6898</v>
      </c>
      <c r="L4883" s="2">
        <f t="shared" si="76"/>
        <v>150</v>
      </c>
    </row>
    <row r="4884" spans="1:12" ht="25" customHeight="1">
      <c r="A4884" s="2" t="s">
        <v>12</v>
      </c>
      <c r="B4884" s="2" t="str">
        <f>HYPERLINK("http://www.12365auto.com/news/20200220/419073.shtml","广汽本田1月销量76,650辆 强势开局奠定基础")</f>
        <v>广汽本田1月销量76,650辆 强势开局奠定基础</v>
      </c>
      <c r="C4884" s="2" t="s">
        <v>13</v>
      </c>
      <c r="D4884" s="2" t="s">
        <v>12</v>
      </c>
      <c r="E4884" s="2" t="s">
        <v>276</v>
      </c>
      <c r="F4884" s="2" t="str">
        <f>HYPERLINK("http://www.12365auto.com/news/20200220/419073.shtml","http://www.12365auto.com/news/20200220/419073.shtml")</f>
        <v>http://www.12365auto.com/news/20200220/419073.shtml</v>
      </c>
      <c r="G4884" s="2"/>
      <c r="H4884" s="2" t="s">
        <v>6902</v>
      </c>
      <c r="I4884" s="2" t="s">
        <v>15</v>
      </c>
      <c r="J4884" s="2" t="s">
        <v>12</v>
      </c>
      <c r="K4884" s="2" t="s">
        <v>6903</v>
      </c>
      <c r="L4884" s="2">
        <f t="shared" si="76"/>
        <v>150</v>
      </c>
    </row>
    <row r="4885" spans="1:12" ht="25" customHeight="1">
      <c r="A4885" s="2" t="s">
        <v>12</v>
      </c>
      <c r="B4885" s="2" t="str">
        <f>HYPERLINK("http://m.12365auto.com/news/20200220/419073.shtml","广汽本田1月销量76,650辆 强势开局奠定基础")</f>
        <v>广汽本田1月销量76,650辆 强势开局奠定基础</v>
      </c>
      <c r="C4885" s="2" t="s">
        <v>13</v>
      </c>
      <c r="D4885" s="2" t="s">
        <v>12</v>
      </c>
      <c r="E4885" s="2"/>
      <c r="F4885" s="2" t="str">
        <f>HYPERLINK("http://m.12365auto.com/news/20200220/419073.shtml","http://m.12365auto.com/news/20200220/419073.shtml")</f>
        <v>http://m.12365auto.com/news/20200220/419073.shtml</v>
      </c>
      <c r="G4885" s="2"/>
      <c r="H4885" s="2" t="s">
        <v>6904</v>
      </c>
      <c r="I4885" s="2" t="s">
        <v>19</v>
      </c>
      <c r="J4885" s="2" t="s">
        <v>1050</v>
      </c>
      <c r="K4885" s="2" t="s">
        <v>6903</v>
      </c>
      <c r="L4885" s="2">
        <f t="shared" si="76"/>
        <v>150</v>
      </c>
    </row>
    <row r="4886" spans="1:12" ht="25" customHeight="1">
      <c r="A4886" s="2" t="s">
        <v>12</v>
      </c>
      <c r="B4886" s="2" t="str">
        <f>HYPERLINK("http://www.12365auto.com/news/20200220/419072.shtml","挑战升级 零部件巨头电动化转型被迫加速")</f>
        <v>挑战升级 零部件巨头电动化转型被迫加速</v>
      </c>
      <c r="C4886" s="2" t="s">
        <v>13</v>
      </c>
      <c r="D4886" s="2" t="s">
        <v>12</v>
      </c>
      <c r="E4886" s="2" t="s">
        <v>276</v>
      </c>
      <c r="F4886" s="2" t="str">
        <f>HYPERLINK("http://www.12365auto.com/news/20200220/419072.shtml","http://www.12365auto.com/news/20200220/419072.shtml")</f>
        <v>http://www.12365auto.com/news/20200220/419072.shtml</v>
      </c>
      <c r="G4886" s="2"/>
      <c r="H4886" s="2" t="s">
        <v>6905</v>
      </c>
      <c r="I4886" s="2" t="s">
        <v>15</v>
      </c>
      <c r="J4886" s="2" t="s">
        <v>12</v>
      </c>
      <c r="K4886" s="2" t="s">
        <v>6906</v>
      </c>
      <c r="L4886" s="2">
        <f t="shared" si="76"/>
        <v>150</v>
      </c>
    </row>
    <row r="4887" spans="1:12" ht="25" customHeight="1">
      <c r="A4887" s="2" t="s">
        <v>12</v>
      </c>
      <c r="B4887" s="2" t="str">
        <f>HYPERLINK("http://m.12365auto.com/news/20200220/419072.shtml","挑战升级 零部件巨头电动化转型被迫加速")</f>
        <v>挑战升级 零部件巨头电动化转型被迫加速</v>
      </c>
      <c r="C4887" s="2" t="s">
        <v>13</v>
      </c>
      <c r="D4887" s="2" t="s">
        <v>12</v>
      </c>
      <c r="E4887" s="2"/>
      <c r="F4887" s="2" t="str">
        <f>HYPERLINK("http://m.12365auto.com/news/20200220/419072.shtml","http://m.12365auto.com/news/20200220/419072.shtml")</f>
        <v>http://m.12365auto.com/news/20200220/419072.shtml</v>
      </c>
      <c r="G4887" s="2"/>
      <c r="H4887" s="2" t="s">
        <v>6907</v>
      </c>
      <c r="I4887" s="2" t="s">
        <v>19</v>
      </c>
      <c r="J4887" s="2" t="s">
        <v>3634</v>
      </c>
      <c r="K4887" s="2" t="s">
        <v>6906</v>
      </c>
      <c r="L4887" s="2">
        <f t="shared" si="76"/>
        <v>150</v>
      </c>
    </row>
    <row r="4888" spans="1:12" ht="25" customHeight="1">
      <c r="A4888" s="2" t="s">
        <v>12</v>
      </c>
      <c r="B4888" s="2" t="str">
        <f>HYPERLINK("http://www.12365auto.com/news/20200220/419071.shtml","研究人员提出Atkinson循环发动机优化策略")</f>
        <v>研究人员提出Atkinson循环发动机优化策略</v>
      </c>
      <c r="C4888" s="2" t="s">
        <v>13</v>
      </c>
      <c r="D4888" s="2" t="s">
        <v>12</v>
      </c>
      <c r="E4888" s="2" t="s">
        <v>276</v>
      </c>
      <c r="F4888" s="2" t="str">
        <f>HYPERLINK("http://www.12365auto.com/news/20200220/419071.shtml","http://www.12365auto.com/news/20200220/419071.shtml")</f>
        <v>http://www.12365auto.com/news/20200220/419071.shtml</v>
      </c>
      <c r="G4888" s="2"/>
      <c r="H4888" s="2" t="s">
        <v>6908</v>
      </c>
      <c r="I4888" s="2" t="s">
        <v>15</v>
      </c>
      <c r="J4888" s="2" t="s">
        <v>12</v>
      </c>
      <c r="K4888" s="2" t="s">
        <v>6909</v>
      </c>
      <c r="L4888" s="2">
        <f t="shared" si="76"/>
        <v>150</v>
      </c>
    </row>
    <row r="4889" spans="1:12" ht="25" customHeight="1">
      <c r="A4889" s="2" t="s">
        <v>12</v>
      </c>
      <c r="B4889" s="2" t="str">
        <f>HYPERLINK("http://m.12365auto.com/news/20200220/419071.shtml","研究人员提出Atkinson循环发动机优化策略")</f>
        <v>研究人员提出Atkinson循环发动机优化策略</v>
      </c>
      <c r="C4889" s="2" t="s">
        <v>13</v>
      </c>
      <c r="D4889" s="2" t="s">
        <v>12</v>
      </c>
      <c r="E4889" s="2"/>
      <c r="F4889" s="2" t="str">
        <f>HYPERLINK("http://m.12365auto.com/news/20200220/419071.shtml","http://m.12365auto.com/news/20200220/419071.shtml")</f>
        <v>http://m.12365auto.com/news/20200220/419071.shtml</v>
      </c>
      <c r="G4889" s="2"/>
      <c r="H4889" s="2" t="s">
        <v>6910</v>
      </c>
      <c r="I4889" s="2" t="s">
        <v>19</v>
      </c>
      <c r="J4889" s="2" t="s">
        <v>1036</v>
      </c>
      <c r="K4889" s="2" t="s">
        <v>6909</v>
      </c>
      <c r="L4889" s="2">
        <f t="shared" si="76"/>
        <v>150</v>
      </c>
    </row>
    <row r="4890" spans="1:12" ht="25" customHeight="1">
      <c r="A4890" s="2" t="s">
        <v>12</v>
      </c>
      <c r="B4890" s="2" t="str">
        <f>HYPERLINK("http://m.12365auto.com/parts/20200220/419070.shtml","高性能钾电池采用非易燃电解质 打造储能系统")</f>
        <v>高性能钾电池采用非易燃电解质 打造储能系统</v>
      </c>
      <c r="C4890" s="2" t="s">
        <v>13</v>
      </c>
      <c r="D4890" s="2" t="s">
        <v>12</v>
      </c>
      <c r="E4890" s="2"/>
      <c r="F4890" s="2" t="str">
        <f>HYPERLINK("http://m.12365auto.com/parts/20200220/419070.shtml","http://m.12365auto.com/parts/20200220/419070.shtml")</f>
        <v>http://m.12365auto.com/parts/20200220/419070.shtml</v>
      </c>
      <c r="G4890" s="2"/>
      <c r="H4890" s="2" t="s">
        <v>6911</v>
      </c>
      <c r="I4890" s="2" t="s">
        <v>19</v>
      </c>
      <c r="J4890" s="2" t="s">
        <v>1036</v>
      </c>
      <c r="K4890" s="2" t="s">
        <v>6912</v>
      </c>
      <c r="L4890" s="2">
        <f t="shared" si="76"/>
        <v>150</v>
      </c>
    </row>
    <row r="4891" spans="1:12" ht="25" customHeight="1">
      <c r="A4891" s="2" t="s">
        <v>12</v>
      </c>
      <c r="B4891" s="2" t="str">
        <f>HYPERLINK("http://www.12365auto.com/parts/20200220/419070.shtml","高性能钾电池采用非易燃电解质 打造储能系统")</f>
        <v>高性能钾电池采用非易燃电解质 打造储能系统</v>
      </c>
      <c r="C4891" s="2" t="s">
        <v>13</v>
      </c>
      <c r="D4891" s="2" t="s">
        <v>12</v>
      </c>
      <c r="E4891" s="2" t="s">
        <v>240</v>
      </c>
      <c r="F4891" s="2" t="str">
        <f>HYPERLINK("http://www.12365auto.com/parts/20200220/419070.shtml","http://www.12365auto.com/parts/20200220/419070.shtml")</f>
        <v>http://www.12365auto.com/parts/20200220/419070.shtml</v>
      </c>
      <c r="G4891" s="2"/>
      <c r="H4891" s="2" t="s">
        <v>6913</v>
      </c>
      <c r="I4891" s="2" t="s">
        <v>15</v>
      </c>
      <c r="J4891" s="2" t="s">
        <v>12</v>
      </c>
      <c r="K4891" s="2" t="s">
        <v>6912</v>
      </c>
      <c r="L4891" s="2">
        <f t="shared" si="76"/>
        <v>150</v>
      </c>
    </row>
    <row r="4892" spans="1:12" ht="25" customHeight="1">
      <c r="A4892" s="2" t="s">
        <v>12</v>
      </c>
      <c r="B4892" s="2" t="str">
        <f>HYPERLINK("http://www.12365auto.com/news/20200220/419069.shtml","Polestar与谷歌加深合作 提供“副驾驶员”")</f>
        <v>Polestar与谷歌加深合作 提供“副驾驶员”</v>
      </c>
      <c r="C4892" s="2" t="s">
        <v>13</v>
      </c>
      <c r="D4892" s="2" t="s">
        <v>12</v>
      </c>
      <c r="E4892" s="2" t="s">
        <v>282</v>
      </c>
      <c r="F4892" s="2" t="str">
        <f>HYPERLINK("http://www.12365auto.com/news/20200220/419069.shtml","http://www.12365auto.com/news/20200220/419069.shtml")</f>
        <v>http://www.12365auto.com/news/20200220/419069.shtml</v>
      </c>
      <c r="G4892" s="2"/>
      <c r="H4892" s="2" t="s">
        <v>6914</v>
      </c>
      <c r="I4892" s="2" t="s">
        <v>19</v>
      </c>
      <c r="J4892" s="2" t="s">
        <v>12</v>
      </c>
      <c r="K4892" s="2" t="s">
        <v>6915</v>
      </c>
      <c r="L4892" s="2">
        <f t="shared" si="76"/>
        <v>150</v>
      </c>
    </row>
    <row r="4893" spans="1:12" ht="25" customHeight="1">
      <c r="A4893" s="2" t="s">
        <v>12</v>
      </c>
      <c r="B4893" s="2" t="str">
        <f>HYPERLINK("http://m.12365auto.com/news/20200220/419069.shtml","Polestar与谷歌加深合作 提供“副驾驶员”")</f>
        <v>Polestar与谷歌加深合作 提供“副驾驶员”</v>
      </c>
      <c r="C4893" s="2" t="s">
        <v>13</v>
      </c>
      <c r="D4893" s="2" t="s">
        <v>12</v>
      </c>
      <c r="E4893" s="2"/>
      <c r="F4893" s="2" t="str">
        <f>HYPERLINK("http://m.12365auto.com/news/20200220/419069.shtml","http://m.12365auto.com/news/20200220/419069.shtml")</f>
        <v>http://m.12365auto.com/news/20200220/419069.shtml</v>
      </c>
      <c r="G4893" s="2"/>
      <c r="H4893" s="2" t="s">
        <v>6916</v>
      </c>
      <c r="I4893" s="2" t="s">
        <v>19</v>
      </c>
      <c r="J4893" s="2" t="s">
        <v>1029</v>
      </c>
      <c r="K4893" s="2" t="s">
        <v>6915</v>
      </c>
      <c r="L4893" s="2">
        <f t="shared" si="76"/>
        <v>150</v>
      </c>
    </row>
    <row r="4894" spans="1:12" ht="25" customHeight="1">
      <c r="A4894" s="2" t="s">
        <v>12</v>
      </c>
      <c r="B4894" s="2" t="str">
        <f>HYPERLINK("http://m.12365auto.com/news/20200220/419068.shtml","奥迪携手爱立信 5G技术赋能智能制造")</f>
        <v>奥迪携手爱立信 5G技术赋能智能制造</v>
      </c>
      <c r="C4894" s="2" t="s">
        <v>13</v>
      </c>
      <c r="D4894" s="2" t="s">
        <v>12</v>
      </c>
      <c r="E4894" s="2"/>
      <c r="F4894" s="2" t="str">
        <f>HYPERLINK("http://m.12365auto.com/news/20200220/419068.shtml","http://m.12365auto.com/news/20200220/419068.shtml")</f>
        <v>http://m.12365auto.com/news/20200220/419068.shtml</v>
      </c>
      <c r="G4894" s="2"/>
      <c r="H4894" s="2" t="s">
        <v>6917</v>
      </c>
      <c r="I4894" s="2" t="s">
        <v>19</v>
      </c>
      <c r="J4894" s="2" t="s">
        <v>1050</v>
      </c>
      <c r="K4894" s="2" t="s">
        <v>6918</v>
      </c>
      <c r="L4894" s="2">
        <f t="shared" si="76"/>
        <v>150</v>
      </c>
    </row>
    <row r="4895" spans="1:12" ht="25" customHeight="1">
      <c r="A4895" s="2" t="s">
        <v>12</v>
      </c>
      <c r="B4895" s="2" t="str">
        <f>HYPERLINK("http://www.12365auto.com/news/20200220/419068.shtml","奥迪携手爱立信 5G技术赋能智能制造")</f>
        <v>奥迪携手爱立信 5G技术赋能智能制造</v>
      </c>
      <c r="C4895" s="2" t="s">
        <v>13</v>
      </c>
      <c r="D4895" s="2" t="s">
        <v>12</v>
      </c>
      <c r="E4895" s="2" t="s">
        <v>282</v>
      </c>
      <c r="F4895" s="2" t="str">
        <f>HYPERLINK("http://www.12365auto.com/news/20200220/419068.shtml","http://www.12365auto.com/news/20200220/419068.shtml")</f>
        <v>http://www.12365auto.com/news/20200220/419068.shtml</v>
      </c>
      <c r="G4895" s="2"/>
      <c r="H4895" s="2" t="s">
        <v>6919</v>
      </c>
      <c r="I4895" s="2" t="s">
        <v>19</v>
      </c>
      <c r="J4895" s="2" t="s">
        <v>12</v>
      </c>
      <c r="K4895" s="2" t="s">
        <v>6918</v>
      </c>
      <c r="L4895" s="2">
        <f t="shared" si="76"/>
        <v>150</v>
      </c>
    </row>
    <row r="4896" spans="1:12" ht="25" customHeight="1">
      <c r="A4896" s="2" t="s">
        <v>12</v>
      </c>
      <c r="B4896" s="2" t="str">
        <f>HYPERLINK("http://www.12365auto.com/news/20200220/419067.shtml","松下展示高亮度蓝色激光 促进汽车业工艺发展")</f>
        <v>松下展示高亮度蓝色激光 促进汽车业工艺发展</v>
      </c>
      <c r="C4896" s="2" t="s">
        <v>13</v>
      </c>
      <c r="D4896" s="2" t="s">
        <v>12</v>
      </c>
      <c r="E4896" s="2" t="s">
        <v>276</v>
      </c>
      <c r="F4896" s="2" t="str">
        <f>HYPERLINK("http://www.12365auto.com/news/20200220/419067.shtml","http://www.12365auto.com/news/20200220/419067.shtml")</f>
        <v>http://www.12365auto.com/news/20200220/419067.shtml</v>
      </c>
      <c r="G4896" s="2"/>
      <c r="H4896" s="2" t="s">
        <v>6920</v>
      </c>
      <c r="I4896" s="2" t="s">
        <v>15</v>
      </c>
      <c r="J4896" s="2" t="s">
        <v>12</v>
      </c>
      <c r="K4896" s="2" t="s">
        <v>6921</v>
      </c>
      <c r="L4896" s="2">
        <f t="shared" si="76"/>
        <v>150</v>
      </c>
    </row>
    <row r="4897" spans="1:12" ht="25" customHeight="1">
      <c r="A4897" s="2" t="s">
        <v>12</v>
      </c>
      <c r="B4897" s="2" t="str">
        <f>HYPERLINK("http://m.12365auto.com/news/20200220/419067.shtml","松下展示高亮度蓝色激光 促进汽车业工艺发展")</f>
        <v>松下展示高亮度蓝色激光 促进汽车业工艺发展</v>
      </c>
      <c r="C4897" s="2" t="s">
        <v>13</v>
      </c>
      <c r="D4897" s="2" t="s">
        <v>12</v>
      </c>
      <c r="E4897" s="2"/>
      <c r="F4897" s="2" t="str">
        <f>HYPERLINK("http://m.12365auto.com/news/20200220/419067.shtml","http://m.12365auto.com/news/20200220/419067.shtml")</f>
        <v>http://m.12365auto.com/news/20200220/419067.shtml</v>
      </c>
      <c r="G4897" s="2"/>
      <c r="H4897" s="2" t="s">
        <v>6922</v>
      </c>
      <c r="I4897" s="2" t="s">
        <v>19</v>
      </c>
      <c r="J4897" s="2" t="s">
        <v>1036</v>
      </c>
      <c r="K4897" s="2" t="s">
        <v>6921</v>
      </c>
      <c r="L4897" s="2">
        <f t="shared" si="76"/>
        <v>150</v>
      </c>
    </row>
    <row r="4898" spans="1:12" ht="25" customHeight="1">
      <c r="A4898" s="2" t="s">
        <v>12</v>
      </c>
      <c r="B4898" s="2" t="str">
        <f>HYPERLINK("http://www.12365auto.com/news/20200220/419065.shtml","AI看市场：数据解读哈弗F7产品竞争力")</f>
        <v>AI看市场：数据解读哈弗F7产品竞争力</v>
      </c>
      <c r="C4898" s="2" t="s">
        <v>13</v>
      </c>
      <c r="D4898" s="2" t="s">
        <v>12</v>
      </c>
      <c r="E4898" s="2" t="s">
        <v>276</v>
      </c>
      <c r="F4898" s="2" t="str">
        <f>HYPERLINK("http://www.12365auto.com/news/20200220/419065.shtml","http://www.12365auto.com/news/20200220/419065.shtml")</f>
        <v>http://www.12365auto.com/news/20200220/419065.shtml</v>
      </c>
      <c r="G4898" s="2"/>
      <c r="H4898" s="2" t="s">
        <v>6923</v>
      </c>
      <c r="I4898" s="2" t="s">
        <v>15</v>
      </c>
      <c r="J4898" s="2" t="s">
        <v>12</v>
      </c>
      <c r="K4898" s="2" t="s">
        <v>6924</v>
      </c>
      <c r="L4898" s="2">
        <f t="shared" si="76"/>
        <v>150</v>
      </c>
    </row>
    <row r="4899" spans="1:12" ht="25" customHeight="1">
      <c r="A4899" s="2" t="s">
        <v>12</v>
      </c>
      <c r="B4899" s="2" t="str">
        <f>HYPERLINK("http://www.12365auto.com/news/20200220/419066.shtml","开局不利 欧洲1月新车销量同比跌7.4%")</f>
        <v>开局不利 欧洲1月新车销量同比跌7.4%</v>
      </c>
      <c r="C4899" s="2" t="s">
        <v>13</v>
      </c>
      <c r="D4899" s="2" t="s">
        <v>12</v>
      </c>
      <c r="E4899" s="2" t="s">
        <v>276</v>
      </c>
      <c r="F4899" s="2" t="str">
        <f>HYPERLINK("http://www.12365auto.com/news/20200220/419066.shtml","http://www.12365auto.com/news/20200220/419066.shtml")</f>
        <v>http://www.12365auto.com/news/20200220/419066.shtml</v>
      </c>
      <c r="G4899" s="2"/>
      <c r="H4899" s="2" t="s">
        <v>6925</v>
      </c>
      <c r="I4899" s="2" t="s">
        <v>15</v>
      </c>
      <c r="J4899" s="2" t="s">
        <v>12</v>
      </c>
      <c r="K4899" s="2" t="s">
        <v>6924</v>
      </c>
      <c r="L4899" s="2">
        <f t="shared" si="76"/>
        <v>150</v>
      </c>
    </row>
    <row r="4900" spans="1:12" ht="25" customHeight="1">
      <c r="A4900" s="2" t="s">
        <v>12</v>
      </c>
      <c r="B4900" s="2" t="str">
        <f>HYPERLINK("http://www.12365auto.com/zlts/20200220/447854.shtml","北京现代胜达座椅塌陷 耐克森轮胎变形")</f>
        <v>北京现代胜达座椅塌陷 耐克森轮胎变形</v>
      </c>
      <c r="C4900" s="2" t="s">
        <v>13</v>
      </c>
      <c r="D4900" s="2" t="s">
        <v>12</v>
      </c>
      <c r="E4900" s="2" t="s">
        <v>17</v>
      </c>
      <c r="F4900" s="2" t="str">
        <f>HYPERLINK("http://www.12365auto.com/zlts/20200220/447854.shtml","http://www.12365auto.com/zlts/20200220/447854.shtml")</f>
        <v>http://www.12365auto.com/zlts/20200220/447854.shtml</v>
      </c>
      <c r="G4900" s="2"/>
      <c r="H4900" s="2" t="s">
        <v>6926</v>
      </c>
      <c r="I4900" s="2" t="s">
        <v>15</v>
      </c>
      <c r="J4900" s="2" t="s">
        <v>12</v>
      </c>
      <c r="K4900" s="2" t="s">
        <v>6924</v>
      </c>
      <c r="L4900" s="2">
        <f t="shared" si="76"/>
        <v>150</v>
      </c>
    </row>
    <row r="4901" spans="1:12" ht="25" customHeight="1">
      <c r="A4901" s="2" t="s">
        <v>12</v>
      </c>
      <c r="B4901" s="2" t="str">
        <f>HYPERLINK("http://m.12365auto.com/news/20200220/419065.shtml","AI看市场：数据解读哈弗F7产品竞争力")</f>
        <v>AI看市场：数据解读哈弗F7产品竞争力</v>
      </c>
      <c r="C4901" s="2" t="s">
        <v>13</v>
      </c>
      <c r="D4901" s="2" t="s">
        <v>12</v>
      </c>
      <c r="E4901" s="2"/>
      <c r="F4901" s="2" t="str">
        <f>HYPERLINK("http://m.12365auto.com/news/20200220/419065.shtml","http://m.12365auto.com/news/20200220/419065.shtml")</f>
        <v>http://m.12365auto.com/news/20200220/419065.shtml</v>
      </c>
      <c r="G4901" s="2"/>
      <c r="H4901" s="2" t="s">
        <v>6927</v>
      </c>
      <c r="I4901" s="2" t="s">
        <v>19</v>
      </c>
      <c r="J4901" s="2" t="s">
        <v>6928</v>
      </c>
      <c r="K4901" s="2" t="s">
        <v>6924</v>
      </c>
      <c r="L4901" s="2">
        <f t="shared" si="76"/>
        <v>150</v>
      </c>
    </row>
    <row r="4902" spans="1:12" ht="25" customHeight="1">
      <c r="A4902" s="2" t="s">
        <v>12</v>
      </c>
      <c r="B4902" s="2" t="str">
        <f>HYPERLINK("http://m.12365auto.com/news/20200220/419066.shtml","开局不利 欧洲1月新车销量同比跌7.4%")</f>
        <v>开局不利 欧洲1月新车销量同比跌7.4%</v>
      </c>
      <c r="C4902" s="2" t="s">
        <v>13</v>
      </c>
      <c r="D4902" s="2" t="s">
        <v>12</v>
      </c>
      <c r="E4902" s="2"/>
      <c r="F4902" s="2" t="str">
        <f>HYPERLINK("http://m.12365auto.com/news/20200220/419066.shtml","http://m.12365auto.com/news/20200220/419066.shtml")</f>
        <v>http://m.12365auto.com/news/20200220/419066.shtml</v>
      </c>
      <c r="G4902" s="2"/>
      <c r="H4902" s="2" t="s">
        <v>6929</v>
      </c>
      <c r="I4902" s="2" t="s">
        <v>19</v>
      </c>
      <c r="J4902" s="2" t="s">
        <v>1059</v>
      </c>
      <c r="K4902" s="2" t="s">
        <v>6924</v>
      </c>
      <c r="L4902" s="2">
        <f t="shared" si="76"/>
        <v>150</v>
      </c>
    </row>
    <row r="4903" spans="1:12" ht="25" customHeight="1">
      <c r="A4903" s="2" t="s">
        <v>12</v>
      </c>
      <c r="B4903" s="2" t="str">
        <f>HYPERLINK("http://bbs.12365auto.com/postcontent.aspx?tID=194604","与其它品牌相比 为何日系车保值率这么高")</f>
        <v>与其它品牌相比 为何日系车保值率这么高</v>
      </c>
      <c r="C4903" s="2" t="s">
        <v>13</v>
      </c>
      <c r="D4903" s="2" t="s">
        <v>12</v>
      </c>
      <c r="E4903" s="2" t="s">
        <v>67</v>
      </c>
      <c r="F4903" s="2" t="str">
        <f>HYPERLINK("http://bbs.12365auto.com/postcontent.aspx?tID=194604","http://bbs.12365auto.com/postcontent.aspx?tID=194604")</f>
        <v>http://bbs.12365auto.com/postcontent.aspx?tID=194604</v>
      </c>
      <c r="G4903" s="2"/>
      <c r="H4903" s="2" t="s">
        <v>6930</v>
      </c>
      <c r="I4903" s="2" t="s">
        <v>15</v>
      </c>
      <c r="J4903" s="2" t="s">
        <v>1840</v>
      </c>
      <c r="K4903" s="2" t="s">
        <v>6931</v>
      </c>
      <c r="L4903" s="2">
        <f t="shared" si="76"/>
        <v>150</v>
      </c>
    </row>
    <row r="4904" spans="1:12" ht="25" customHeight="1">
      <c r="A4904" s="2" t="s">
        <v>12</v>
      </c>
      <c r="B4904" s="2" t="str">
        <f>HYPERLINK("http://bbs.12365auto.com/postcontent.aspx?tID=194603","麻省理工提出全新电池设计")</f>
        <v>麻省理工提出全新电池设计</v>
      </c>
      <c r="C4904" s="2" t="s">
        <v>13</v>
      </c>
      <c r="D4904" s="2" t="s">
        <v>12</v>
      </c>
      <c r="E4904" s="2" t="s">
        <v>67</v>
      </c>
      <c r="F4904" s="2" t="str">
        <f>HYPERLINK("http://bbs.12365auto.com/postcontent.aspx?tID=194603","http://bbs.12365auto.com/postcontent.aspx?tID=194603")</f>
        <v>http://bbs.12365auto.com/postcontent.aspx?tID=194603</v>
      </c>
      <c r="G4904" s="2"/>
      <c r="H4904" s="2" t="s">
        <v>6932</v>
      </c>
      <c r="I4904" s="2" t="s">
        <v>15</v>
      </c>
      <c r="J4904" s="2" t="s">
        <v>1840</v>
      </c>
      <c r="K4904" s="2" t="s">
        <v>6931</v>
      </c>
      <c r="L4904" s="2">
        <f t="shared" si="76"/>
        <v>150</v>
      </c>
    </row>
    <row r="4905" spans="1:12" ht="25" customHeight="1">
      <c r="A4905" s="2" t="s">
        <v>12</v>
      </c>
      <c r="B4905" s="2" t="str">
        <f>HYPERLINK("http://www.12365auto.com/news/20200220/419064.shtml","吉利将为全国车主免费更换CN95空调滤芯")</f>
        <v>吉利将为全国车主免费更换CN95空调滤芯</v>
      </c>
      <c r="C4905" s="2" t="s">
        <v>13</v>
      </c>
      <c r="D4905" s="2" t="s">
        <v>12</v>
      </c>
      <c r="E4905" s="2" t="s">
        <v>276</v>
      </c>
      <c r="F4905" s="2" t="str">
        <f>HYPERLINK("http://www.12365auto.com/news/20200220/419064.shtml","http://www.12365auto.com/news/20200220/419064.shtml")</f>
        <v>http://www.12365auto.com/news/20200220/419064.shtml</v>
      </c>
      <c r="G4905" s="2"/>
      <c r="H4905" s="2" t="s">
        <v>6933</v>
      </c>
      <c r="I4905" s="2" t="s">
        <v>15</v>
      </c>
      <c r="J4905" s="2" t="s">
        <v>12</v>
      </c>
      <c r="K4905" s="2" t="s">
        <v>6931</v>
      </c>
      <c r="L4905" s="2">
        <f t="shared" si="76"/>
        <v>150</v>
      </c>
    </row>
    <row r="4906" spans="1:12" ht="25" customHeight="1">
      <c r="A4906" s="2" t="s">
        <v>12</v>
      </c>
      <c r="B4906" s="2" t="str">
        <f>HYPERLINK("http://m.12365auto.com/bbs/postcontent.aspx?tID=194604","与其它品牌相比 为何日系车保值率这么高")</f>
        <v>与其它品牌相比 为何日系车保值率这么高</v>
      </c>
      <c r="C4906" s="2" t="s">
        <v>13</v>
      </c>
      <c r="D4906" s="2" t="s">
        <v>23</v>
      </c>
      <c r="E4906" s="2"/>
      <c r="F4906" s="2" t="str">
        <f>HYPERLINK("http://m.12365auto.com/bbs/postcontent.aspx?tID=194604","http://m.12365auto.com/bbs/postcontent.aspx?tID=194604")</f>
        <v>http://m.12365auto.com/bbs/postcontent.aspx?tID=194604</v>
      </c>
      <c r="G4906" s="2"/>
      <c r="H4906" s="2" t="s">
        <v>6934</v>
      </c>
      <c r="I4906" s="2" t="s">
        <v>15</v>
      </c>
      <c r="J4906" s="2" t="s">
        <v>1840</v>
      </c>
      <c r="K4906" s="2" t="s">
        <v>6931</v>
      </c>
      <c r="L4906" s="2">
        <f t="shared" si="76"/>
        <v>150</v>
      </c>
    </row>
    <row r="4907" spans="1:12" ht="25" customHeight="1">
      <c r="A4907" s="2" t="s">
        <v>12</v>
      </c>
      <c r="B4907" s="2" t="str">
        <f>HYPERLINK("http://m.12365auto.com/bbs/postcontent.aspx?tID=194603","麻省理工提出全新电池设计")</f>
        <v>麻省理工提出全新电池设计</v>
      </c>
      <c r="C4907" s="2" t="s">
        <v>13</v>
      </c>
      <c r="D4907" s="2" t="s">
        <v>23</v>
      </c>
      <c r="E4907" s="2"/>
      <c r="F4907" s="2" t="str">
        <f>HYPERLINK("http://m.12365auto.com/bbs/postcontent.aspx?tID=194603","http://m.12365auto.com/bbs/postcontent.aspx?tID=194603")</f>
        <v>http://m.12365auto.com/bbs/postcontent.aspx?tID=194603</v>
      </c>
      <c r="G4907" s="2"/>
      <c r="H4907" s="2" t="s">
        <v>6935</v>
      </c>
      <c r="I4907" s="2" t="s">
        <v>15</v>
      </c>
      <c r="J4907" s="2" t="s">
        <v>1840</v>
      </c>
      <c r="K4907" s="2" t="s">
        <v>6931</v>
      </c>
      <c r="L4907" s="2">
        <f t="shared" si="76"/>
        <v>150</v>
      </c>
    </row>
    <row r="4908" spans="1:12" ht="25" customHeight="1">
      <c r="A4908" s="2" t="s">
        <v>12</v>
      </c>
      <c r="B4908" s="2" t="str">
        <f>HYPERLINK("http://bbs.12365auto.com/postcontent.aspx?tId=194604","与其它品牌相比 为何日系车保值率这么高")</f>
        <v>与其它品牌相比 为何日系车保值率这么高</v>
      </c>
      <c r="C4908" s="2" t="s">
        <v>13</v>
      </c>
      <c r="D4908" s="2" t="s">
        <v>12</v>
      </c>
      <c r="E4908" s="2" t="s">
        <v>66</v>
      </c>
      <c r="F4908" s="2" t="str">
        <f>HYPERLINK("http://bbs.12365auto.com/postcontent.aspx?tId=194604","http://bbs.12365auto.com/postcontent.aspx?tId=194604")</f>
        <v>http://bbs.12365auto.com/postcontent.aspx?tId=194604</v>
      </c>
      <c r="G4908" s="2"/>
      <c r="H4908" s="2" t="s">
        <v>6934</v>
      </c>
      <c r="I4908" s="2" t="s">
        <v>15</v>
      </c>
      <c r="J4908" s="2" t="s">
        <v>1840</v>
      </c>
      <c r="K4908" s="2" t="s">
        <v>6931</v>
      </c>
      <c r="L4908" s="2">
        <f t="shared" si="76"/>
        <v>150</v>
      </c>
    </row>
    <row r="4909" spans="1:12" ht="25" customHeight="1">
      <c r="A4909" s="2" t="s">
        <v>12</v>
      </c>
      <c r="B4909" s="2" t="str">
        <f>HYPERLINK("http://bbs.12365auto.com/postcontent.aspx?tId=194603","麻省理工提出全新电池设计")</f>
        <v>麻省理工提出全新电池设计</v>
      </c>
      <c r="C4909" s="2" t="s">
        <v>13</v>
      </c>
      <c r="D4909" s="2" t="s">
        <v>12</v>
      </c>
      <c r="E4909" s="2" t="s">
        <v>66</v>
      </c>
      <c r="F4909" s="2" t="str">
        <f>HYPERLINK("http://bbs.12365auto.com/postcontent.aspx?tId=194603","http://bbs.12365auto.com/postcontent.aspx?tId=194603")</f>
        <v>http://bbs.12365auto.com/postcontent.aspx?tId=194603</v>
      </c>
      <c r="G4909" s="2"/>
      <c r="H4909" s="2" t="s">
        <v>6935</v>
      </c>
      <c r="I4909" s="2" t="s">
        <v>15</v>
      </c>
      <c r="J4909" s="2" t="s">
        <v>1840</v>
      </c>
      <c r="K4909" s="2" t="s">
        <v>6931</v>
      </c>
      <c r="L4909" s="2">
        <f t="shared" si="76"/>
        <v>150</v>
      </c>
    </row>
    <row r="4910" spans="1:12" ht="25" customHeight="1">
      <c r="A4910" s="2" t="s">
        <v>12</v>
      </c>
      <c r="B4910" s="2" t="str">
        <f>HYPERLINK("http://m.12365auto.com/news/20200220/419064.shtml","吉利将为全国车主免费更换CN95空调滤芯")</f>
        <v>吉利将为全国车主免费更换CN95空调滤芯</v>
      </c>
      <c r="C4910" s="2" t="s">
        <v>13</v>
      </c>
      <c r="D4910" s="2" t="s">
        <v>12</v>
      </c>
      <c r="E4910" s="2"/>
      <c r="F4910" s="2" t="str">
        <f>HYPERLINK("http://m.12365auto.com/news/20200220/419064.shtml","http://m.12365auto.com/news/20200220/419064.shtml")</f>
        <v>http://m.12365auto.com/news/20200220/419064.shtml</v>
      </c>
      <c r="G4910" s="2"/>
      <c r="H4910" s="2" t="s">
        <v>6936</v>
      </c>
      <c r="I4910" s="2" t="s">
        <v>19</v>
      </c>
      <c r="J4910" s="2" t="s">
        <v>1222</v>
      </c>
      <c r="K4910" s="2" t="s">
        <v>6931</v>
      </c>
      <c r="L4910" s="2">
        <f t="shared" si="76"/>
        <v>150</v>
      </c>
    </row>
    <row r="4911" spans="1:12" ht="25" customHeight="1">
      <c r="A4911" s="2" t="s">
        <v>12</v>
      </c>
      <c r="B4911" s="2" t="str">
        <f>HYPERLINK("http://www.12365auto.com/zlts/20200220/447851.shtml","东风日产轩逸空调压缩机异响 低速变速箱异响")</f>
        <v>东风日产轩逸空调压缩机异响 低速变速箱异响</v>
      </c>
      <c r="C4911" s="2" t="s">
        <v>13</v>
      </c>
      <c r="D4911" s="2" t="s">
        <v>12</v>
      </c>
      <c r="E4911" s="2"/>
      <c r="F4911" s="2" t="str">
        <f>HYPERLINK("http://www.12365auto.com/zlts/20200220/447851.shtml","http://www.12365auto.com/zlts/20200220/447851.shtml")</f>
        <v>http://www.12365auto.com/zlts/20200220/447851.shtml</v>
      </c>
      <c r="G4911" s="2"/>
      <c r="H4911" s="2" t="s">
        <v>6938</v>
      </c>
      <c r="I4911" s="2" t="s">
        <v>15</v>
      </c>
      <c r="J4911" s="2" t="s">
        <v>12</v>
      </c>
      <c r="K4911" s="2" t="s">
        <v>6937</v>
      </c>
      <c r="L4911" s="2">
        <f t="shared" si="76"/>
        <v>88</v>
      </c>
    </row>
    <row r="4912" spans="1:12" ht="25" customHeight="1">
      <c r="A4912" s="2" t="s">
        <v>12</v>
      </c>
      <c r="B4912" s="2" t="str">
        <f>HYPERLINK("http://bbs.12365auto.com/postcontent.aspx?tID=194602","很多车白天开灯 除了美观还有更关键作用")</f>
        <v>很多车白天开灯 除了美观还有更关键作用</v>
      </c>
      <c r="C4912" s="2" t="s">
        <v>13</v>
      </c>
      <c r="D4912" s="2" t="s">
        <v>12</v>
      </c>
      <c r="E4912" s="2" t="s">
        <v>67</v>
      </c>
      <c r="F4912" s="2" t="str">
        <f>HYPERLINK("http://bbs.12365auto.com/postcontent.aspx?tID=194602","http://bbs.12365auto.com/postcontent.aspx?tID=194602")</f>
        <v>http://bbs.12365auto.com/postcontent.aspx?tID=194602</v>
      </c>
      <c r="G4912" s="2"/>
      <c r="H4912" s="2" t="s">
        <v>6939</v>
      </c>
      <c r="I4912" s="2" t="s">
        <v>15</v>
      </c>
      <c r="J4912" s="2" t="s">
        <v>1840</v>
      </c>
      <c r="K4912" s="2" t="s">
        <v>6940</v>
      </c>
      <c r="L4912" s="2">
        <f t="shared" si="76"/>
        <v>150</v>
      </c>
    </row>
    <row r="4913" spans="1:12" ht="25" customHeight="1">
      <c r="A4913" s="2" t="s">
        <v>12</v>
      </c>
      <c r="B4913" s="2" t="str">
        <f>HYPERLINK("http://www.12365auto.com/news/20200220/419063.shtml","戴姆勒监事会延长唐仕凯任期至2025年")</f>
        <v>戴姆勒监事会延长唐仕凯任期至2025年</v>
      </c>
      <c r="C4913" s="2" t="s">
        <v>13</v>
      </c>
      <c r="D4913" s="2" t="s">
        <v>12</v>
      </c>
      <c r="E4913" s="2" t="s">
        <v>276</v>
      </c>
      <c r="F4913" s="2" t="str">
        <f>HYPERLINK("http://www.12365auto.com/news/20200220/419063.shtml","http://www.12365auto.com/news/20200220/419063.shtml")</f>
        <v>http://www.12365auto.com/news/20200220/419063.shtml</v>
      </c>
      <c r="G4913" s="2"/>
      <c r="H4913" s="2" t="s">
        <v>6941</v>
      </c>
      <c r="I4913" s="2" t="s">
        <v>15</v>
      </c>
      <c r="J4913" s="2" t="s">
        <v>12</v>
      </c>
      <c r="K4913" s="2" t="s">
        <v>6940</v>
      </c>
      <c r="L4913" s="2">
        <f t="shared" si="76"/>
        <v>150</v>
      </c>
    </row>
    <row r="4914" spans="1:12" ht="25" customHeight="1">
      <c r="A4914" s="2" t="s">
        <v>12</v>
      </c>
      <c r="B4914" s="2" t="str">
        <f>HYPERLINK("http://m.12365auto.com/bbs/postcontent.aspx?tID=194602","很多车白天开灯 除了美观还有更关键作用")</f>
        <v>很多车白天开灯 除了美观还有更关键作用</v>
      </c>
      <c r="C4914" s="2" t="s">
        <v>13</v>
      </c>
      <c r="D4914" s="2" t="s">
        <v>23</v>
      </c>
      <c r="E4914" s="2"/>
      <c r="F4914" s="2" t="str">
        <f>HYPERLINK("http://m.12365auto.com/bbs/postcontent.aspx?tID=194602","http://m.12365auto.com/bbs/postcontent.aspx?tID=194602")</f>
        <v>http://m.12365auto.com/bbs/postcontent.aspx?tID=194602</v>
      </c>
      <c r="G4914" s="2"/>
      <c r="H4914" s="2" t="s">
        <v>6942</v>
      </c>
      <c r="I4914" s="2" t="s">
        <v>15</v>
      </c>
      <c r="J4914" s="2" t="s">
        <v>1840</v>
      </c>
      <c r="K4914" s="2" t="s">
        <v>6940</v>
      </c>
      <c r="L4914" s="2">
        <f t="shared" si="76"/>
        <v>150</v>
      </c>
    </row>
    <row r="4915" spans="1:12" ht="25" customHeight="1">
      <c r="A4915" s="2" t="s">
        <v>12</v>
      </c>
      <c r="B4915" s="2" t="str">
        <f>HYPERLINK("http://bbs.12365auto.com/postcontent.aspx?tId=194602","很多车白天开灯 除了美观还有更关键作用")</f>
        <v>很多车白天开灯 除了美观还有更关键作用</v>
      </c>
      <c r="C4915" s="2" t="s">
        <v>13</v>
      </c>
      <c r="D4915" s="2" t="s">
        <v>12</v>
      </c>
      <c r="E4915" s="2" t="s">
        <v>66</v>
      </c>
      <c r="F4915" s="2" t="str">
        <f>HYPERLINK("http://bbs.12365auto.com/postcontent.aspx?tId=194602","http://bbs.12365auto.com/postcontent.aspx?tId=194602")</f>
        <v>http://bbs.12365auto.com/postcontent.aspx?tId=194602</v>
      </c>
      <c r="G4915" s="2"/>
      <c r="H4915" s="2" t="s">
        <v>6942</v>
      </c>
      <c r="I4915" s="2" t="s">
        <v>15</v>
      </c>
      <c r="J4915" s="2" t="s">
        <v>1840</v>
      </c>
      <c r="K4915" s="2" t="s">
        <v>6940</v>
      </c>
      <c r="L4915" s="2">
        <f t="shared" si="76"/>
        <v>150</v>
      </c>
    </row>
    <row r="4916" spans="1:12" ht="25" customHeight="1">
      <c r="A4916" s="2" t="s">
        <v>12</v>
      </c>
      <c r="B4916" s="2" t="str">
        <f>HYPERLINK("http://m.12365auto.com/news/20200220/419063.shtml","戴姆勒监事会延长唐仕凯任期至2025年")</f>
        <v>戴姆勒监事会延长唐仕凯任期至2025年</v>
      </c>
      <c r="C4916" s="2" t="s">
        <v>13</v>
      </c>
      <c r="D4916" s="2" t="s">
        <v>12</v>
      </c>
      <c r="E4916" s="2"/>
      <c r="F4916" s="2" t="str">
        <f>HYPERLINK("http://m.12365auto.com/news/20200220/419063.shtml","http://m.12365auto.com/news/20200220/419063.shtml")</f>
        <v>http://m.12365auto.com/news/20200220/419063.shtml</v>
      </c>
      <c r="G4916" s="2"/>
      <c r="H4916" s="2" t="s">
        <v>6943</v>
      </c>
      <c r="I4916" s="2" t="s">
        <v>19</v>
      </c>
      <c r="J4916" s="2" t="s">
        <v>1222</v>
      </c>
      <c r="K4916" s="2" t="s">
        <v>6940</v>
      </c>
      <c r="L4916" s="2">
        <f t="shared" si="76"/>
        <v>150</v>
      </c>
    </row>
    <row r="4917" spans="1:12" ht="25" customHeight="1">
      <c r="A4917" s="2" t="s">
        <v>12</v>
      </c>
      <c r="B4917" s="2" t="str">
        <f>HYPERLINK("http://www.12365auto.com/zlts/20200220/447853.shtml","上汽荣威RX5自动大灯和定速巡航故障")</f>
        <v>上汽荣威RX5自动大灯和定速巡航故障</v>
      </c>
      <c r="C4917" s="2" t="s">
        <v>13</v>
      </c>
      <c r="D4917" s="2" t="s">
        <v>12</v>
      </c>
      <c r="E4917" s="2"/>
      <c r="F4917" s="2" t="str">
        <f>HYPERLINK("http://www.12365auto.com/zlts/20200220/447853.shtml","http://www.12365auto.com/zlts/20200220/447853.shtml")</f>
        <v>http://www.12365auto.com/zlts/20200220/447853.shtml</v>
      </c>
      <c r="G4917" s="2"/>
      <c r="H4917" s="2" t="s">
        <v>6945</v>
      </c>
      <c r="I4917" s="2" t="s">
        <v>15</v>
      </c>
      <c r="J4917" s="2" t="s">
        <v>12</v>
      </c>
      <c r="K4917" s="2" t="s">
        <v>6944</v>
      </c>
      <c r="L4917" s="2">
        <f t="shared" si="76"/>
        <v>89</v>
      </c>
    </row>
    <row r="4918" spans="1:12" ht="25" customHeight="1">
      <c r="A4918" s="2" t="s">
        <v>12</v>
      </c>
      <c r="B4918" s="2" t="str">
        <f>HYPERLINK("http://bbs.12365auto.com/postcontent.aspx?tID=194600","自动驾驶不算新鲜事 能自愈的汽车才是未来趋势")</f>
        <v>自动驾驶不算新鲜事 能自愈的汽车才是未来趋势</v>
      </c>
      <c r="C4918" s="2" t="s">
        <v>13</v>
      </c>
      <c r="D4918" s="2" t="s">
        <v>12</v>
      </c>
      <c r="E4918" s="2" t="s">
        <v>67</v>
      </c>
      <c r="F4918" s="2" t="str">
        <f>HYPERLINK("http://bbs.12365auto.com/postcontent.aspx?tID=194600","http://bbs.12365auto.com/postcontent.aspx?tID=194600")</f>
        <v>http://bbs.12365auto.com/postcontent.aspx?tID=194600</v>
      </c>
      <c r="G4918" s="2"/>
      <c r="H4918" s="2" t="s">
        <v>6946</v>
      </c>
      <c r="I4918" s="2" t="s">
        <v>15</v>
      </c>
      <c r="J4918" s="2" t="s">
        <v>1840</v>
      </c>
      <c r="K4918" s="2" t="s">
        <v>6947</v>
      </c>
      <c r="L4918" s="2">
        <f t="shared" si="76"/>
        <v>150</v>
      </c>
    </row>
    <row r="4919" spans="1:12" ht="25" customHeight="1">
      <c r="A4919" s="2" t="s">
        <v>12</v>
      </c>
      <c r="B4919" s="2" t="str">
        <f>HYPERLINK("http://bbs.12365auto.com/postcontent.aspx?tID=194601","撞上闯红灯的救护车是谁的责任")</f>
        <v>撞上闯红灯的救护车是谁的责任</v>
      </c>
      <c r="C4919" s="2" t="s">
        <v>13</v>
      </c>
      <c r="D4919" s="2" t="s">
        <v>12</v>
      </c>
      <c r="E4919" s="2" t="s">
        <v>67</v>
      </c>
      <c r="F4919" s="2" t="str">
        <f>HYPERLINK("http://bbs.12365auto.com/postcontent.aspx?tID=194601","http://bbs.12365auto.com/postcontent.aspx?tID=194601")</f>
        <v>http://bbs.12365auto.com/postcontent.aspx?tID=194601</v>
      </c>
      <c r="G4919" s="2"/>
      <c r="H4919" s="2" t="s">
        <v>6948</v>
      </c>
      <c r="I4919" s="2" t="s">
        <v>15</v>
      </c>
      <c r="J4919" s="2" t="s">
        <v>1840</v>
      </c>
      <c r="K4919" s="2" t="s">
        <v>6947</v>
      </c>
      <c r="L4919" s="2">
        <f t="shared" si="76"/>
        <v>150</v>
      </c>
    </row>
    <row r="4920" spans="1:12" ht="25" customHeight="1">
      <c r="A4920" s="2" t="s">
        <v>12</v>
      </c>
      <c r="B4920" s="2" t="str">
        <f>HYPERLINK("http://m.12365auto.com/bbs/postcontent.aspx?tID=194601","撞上闯红灯的救护车是谁的责任")</f>
        <v>撞上闯红灯的救护车是谁的责任</v>
      </c>
      <c r="C4920" s="2" t="s">
        <v>13</v>
      </c>
      <c r="D4920" s="2" t="s">
        <v>23</v>
      </c>
      <c r="E4920" s="2"/>
      <c r="F4920" s="2" t="str">
        <f>HYPERLINK("http://m.12365auto.com/bbs/postcontent.aspx?tID=194601","http://m.12365auto.com/bbs/postcontent.aspx?tID=194601")</f>
        <v>http://m.12365auto.com/bbs/postcontent.aspx?tID=194601</v>
      </c>
      <c r="G4920" s="2"/>
      <c r="H4920" s="2" t="s">
        <v>6949</v>
      </c>
      <c r="I4920" s="2" t="s">
        <v>15</v>
      </c>
      <c r="J4920" s="2" t="s">
        <v>1840</v>
      </c>
      <c r="K4920" s="2" t="s">
        <v>6947</v>
      </c>
      <c r="L4920" s="2">
        <f t="shared" si="76"/>
        <v>150</v>
      </c>
    </row>
    <row r="4921" spans="1:12" ht="25" customHeight="1">
      <c r="A4921" s="2" t="s">
        <v>12</v>
      </c>
      <c r="B4921" s="2" t="str">
        <f>HYPERLINK("http://m.12365auto.com/bbs/postcontent.aspx?tID=194600","自动驾驶不算新鲜事 能自愈的汽车才是未来趋势")</f>
        <v>自动驾驶不算新鲜事 能自愈的汽车才是未来趋势</v>
      </c>
      <c r="C4921" s="2" t="s">
        <v>13</v>
      </c>
      <c r="D4921" s="2" t="s">
        <v>23</v>
      </c>
      <c r="E4921" s="2"/>
      <c r="F4921" s="2" t="str">
        <f>HYPERLINK("http://m.12365auto.com/bbs/postcontent.aspx?tID=194600","http://m.12365auto.com/bbs/postcontent.aspx?tID=194600")</f>
        <v>http://m.12365auto.com/bbs/postcontent.aspx?tID=194600</v>
      </c>
      <c r="G4921" s="2"/>
      <c r="H4921" s="2" t="s">
        <v>6950</v>
      </c>
      <c r="I4921" s="2" t="s">
        <v>15</v>
      </c>
      <c r="J4921" s="2" t="s">
        <v>1840</v>
      </c>
      <c r="K4921" s="2" t="s">
        <v>6947</v>
      </c>
      <c r="L4921" s="2">
        <f t="shared" si="76"/>
        <v>150</v>
      </c>
    </row>
    <row r="4922" spans="1:12" ht="25" customHeight="1">
      <c r="A4922" s="2" t="s">
        <v>12</v>
      </c>
      <c r="B4922" s="2" t="str">
        <f>HYPERLINK("http://bbs.12365auto.com/postcontent.aspx?tId=194601","撞上闯红灯的救护车是谁的责任")</f>
        <v>撞上闯红灯的救护车是谁的责任</v>
      </c>
      <c r="C4922" s="2" t="s">
        <v>13</v>
      </c>
      <c r="D4922" s="2" t="s">
        <v>12</v>
      </c>
      <c r="E4922" s="2" t="s">
        <v>66</v>
      </c>
      <c r="F4922" s="2" t="str">
        <f>HYPERLINK("http://bbs.12365auto.com/postcontent.aspx?tId=194601","http://bbs.12365auto.com/postcontent.aspx?tId=194601")</f>
        <v>http://bbs.12365auto.com/postcontent.aspx?tId=194601</v>
      </c>
      <c r="G4922" s="2"/>
      <c r="H4922" s="2" t="s">
        <v>6949</v>
      </c>
      <c r="I4922" s="2" t="s">
        <v>15</v>
      </c>
      <c r="J4922" s="2" t="s">
        <v>1840</v>
      </c>
      <c r="K4922" s="2" t="s">
        <v>6947</v>
      </c>
      <c r="L4922" s="2">
        <f t="shared" si="76"/>
        <v>150</v>
      </c>
    </row>
    <row r="4923" spans="1:12" ht="25" customHeight="1">
      <c r="A4923" s="2" t="s">
        <v>12</v>
      </c>
      <c r="B4923" s="2" t="str">
        <f>HYPERLINK("http://bbs.12365auto.com/postcontent.aspx?tId=194600","自动驾驶不算新鲜事 能自愈的汽车才是未来趋势")</f>
        <v>自动驾驶不算新鲜事 能自愈的汽车才是未来趋势</v>
      </c>
      <c r="C4923" s="2" t="s">
        <v>13</v>
      </c>
      <c r="D4923" s="2" t="s">
        <v>12</v>
      </c>
      <c r="E4923" s="2" t="s">
        <v>66</v>
      </c>
      <c r="F4923" s="2" t="str">
        <f>HYPERLINK("http://bbs.12365auto.com/postcontent.aspx?tId=194600","http://bbs.12365auto.com/postcontent.aspx?tId=194600")</f>
        <v>http://bbs.12365auto.com/postcontent.aspx?tId=194600</v>
      </c>
      <c r="G4923" s="2"/>
      <c r="H4923" s="2" t="s">
        <v>6950</v>
      </c>
      <c r="I4923" s="2" t="s">
        <v>15</v>
      </c>
      <c r="J4923" s="2" t="s">
        <v>1840</v>
      </c>
      <c r="K4923" s="2" t="s">
        <v>6947</v>
      </c>
      <c r="L4923" s="2">
        <f t="shared" si="76"/>
        <v>150</v>
      </c>
    </row>
    <row r="4924" spans="1:12" ht="25" customHeight="1">
      <c r="A4924" s="2" t="s">
        <v>12</v>
      </c>
      <c r="B4924" s="2" t="str">
        <f>HYPERLINK("http://bbs.12365auto.com/postcontent.aspx?tID=194599","双离合好还是CVT好 亦或者是AT更好")</f>
        <v>双离合好还是CVT好 亦或者是AT更好</v>
      </c>
      <c r="C4924" s="2" t="s">
        <v>13</v>
      </c>
      <c r="D4924" s="2" t="s">
        <v>12</v>
      </c>
      <c r="E4924" s="2" t="s">
        <v>67</v>
      </c>
      <c r="F4924" s="2" t="str">
        <f>HYPERLINK("http://bbs.12365auto.com/postcontent.aspx?tID=194599","http://bbs.12365auto.com/postcontent.aspx?tID=194599")</f>
        <v>http://bbs.12365auto.com/postcontent.aspx?tID=194599</v>
      </c>
      <c r="G4924" s="2"/>
      <c r="H4924" s="2" t="s">
        <v>6951</v>
      </c>
      <c r="I4924" s="2" t="s">
        <v>15</v>
      </c>
      <c r="J4924" s="2" t="s">
        <v>1840</v>
      </c>
      <c r="K4924" s="2" t="s">
        <v>6952</v>
      </c>
      <c r="L4924" s="2">
        <f t="shared" si="76"/>
        <v>150</v>
      </c>
    </row>
    <row r="4925" spans="1:12" ht="25" customHeight="1">
      <c r="A4925" s="2" t="s">
        <v>12</v>
      </c>
      <c r="B4925" s="2" t="str">
        <f>HYPERLINK("http://bbs.12365auto.com/postcontent.aspx?tID=194598","上市新车延后 想买新车的朋友要等等了")</f>
        <v>上市新车延后 想买新车的朋友要等等了</v>
      </c>
      <c r="C4925" s="2" t="s">
        <v>13</v>
      </c>
      <c r="D4925" s="2" t="s">
        <v>12</v>
      </c>
      <c r="E4925" s="2" t="s">
        <v>67</v>
      </c>
      <c r="F4925" s="2" t="str">
        <f>HYPERLINK("http://bbs.12365auto.com/postcontent.aspx?tID=194598","http://bbs.12365auto.com/postcontent.aspx?tID=194598")</f>
        <v>http://bbs.12365auto.com/postcontent.aspx?tID=194598</v>
      </c>
      <c r="G4925" s="2"/>
      <c r="H4925" s="2" t="s">
        <v>6953</v>
      </c>
      <c r="I4925" s="2" t="s">
        <v>15</v>
      </c>
      <c r="J4925" s="2" t="s">
        <v>1840</v>
      </c>
      <c r="K4925" s="2" t="s">
        <v>6952</v>
      </c>
      <c r="L4925" s="2">
        <f t="shared" si="76"/>
        <v>150</v>
      </c>
    </row>
    <row r="4926" spans="1:12" ht="25" customHeight="1">
      <c r="A4926" s="2" t="s">
        <v>12</v>
      </c>
      <c r="B4926" s="2" t="str">
        <f>HYPERLINK("http://m.12365auto.com/bbs/postcontent.aspx?tID=194598","上市新车延后 想买新车的朋友要等等了")</f>
        <v>上市新车延后 想买新车的朋友要等等了</v>
      </c>
      <c r="C4926" s="2" t="s">
        <v>13</v>
      </c>
      <c r="D4926" s="2" t="s">
        <v>23</v>
      </c>
      <c r="E4926" s="2"/>
      <c r="F4926" s="2" t="str">
        <f>HYPERLINK("http://m.12365auto.com/bbs/postcontent.aspx?tID=194598","http://m.12365auto.com/bbs/postcontent.aspx?tID=194598")</f>
        <v>http://m.12365auto.com/bbs/postcontent.aspx?tID=194598</v>
      </c>
      <c r="G4926" s="2"/>
      <c r="H4926" s="2" t="s">
        <v>6954</v>
      </c>
      <c r="I4926" s="2" t="s">
        <v>15</v>
      </c>
      <c r="J4926" s="2" t="s">
        <v>1840</v>
      </c>
      <c r="K4926" s="2" t="s">
        <v>6952</v>
      </c>
      <c r="L4926" s="2">
        <f t="shared" si="76"/>
        <v>150</v>
      </c>
    </row>
    <row r="4927" spans="1:12" ht="25" customHeight="1">
      <c r="A4927" s="2" t="s">
        <v>12</v>
      </c>
      <c r="B4927" s="2" t="str">
        <f>HYPERLINK("http://m.12365auto.com/bbs/postcontent.aspx?tID=194599","双离合好还是CVT好 亦或者是AT更好")</f>
        <v>双离合好还是CVT好 亦或者是AT更好</v>
      </c>
      <c r="C4927" s="2" t="s">
        <v>13</v>
      </c>
      <c r="D4927" s="2" t="s">
        <v>23</v>
      </c>
      <c r="E4927" s="2"/>
      <c r="F4927" s="2" t="str">
        <f>HYPERLINK("http://m.12365auto.com/bbs/postcontent.aspx?tID=194599","http://m.12365auto.com/bbs/postcontent.aspx?tID=194599")</f>
        <v>http://m.12365auto.com/bbs/postcontent.aspx?tID=194599</v>
      </c>
      <c r="G4927" s="2"/>
      <c r="H4927" s="2" t="s">
        <v>6955</v>
      </c>
      <c r="I4927" s="2" t="s">
        <v>15</v>
      </c>
      <c r="J4927" s="2" t="s">
        <v>1840</v>
      </c>
      <c r="K4927" s="2" t="s">
        <v>6952</v>
      </c>
      <c r="L4927" s="2">
        <f t="shared" si="76"/>
        <v>150</v>
      </c>
    </row>
    <row r="4928" spans="1:12" ht="25" customHeight="1">
      <c r="A4928" s="2" t="s">
        <v>12</v>
      </c>
      <c r="B4928" s="2" t="str">
        <f>HYPERLINK("http://bbs.12365auto.com/postcontent.aspx?tId=194599","双离合好还是CVT好 亦或者是AT更好")</f>
        <v>双离合好还是CVT好 亦或者是AT更好</v>
      </c>
      <c r="C4928" s="2" t="s">
        <v>13</v>
      </c>
      <c r="D4928" s="2" t="s">
        <v>12</v>
      </c>
      <c r="E4928" s="2" t="s">
        <v>66</v>
      </c>
      <c r="F4928" s="2" t="str">
        <f>HYPERLINK("http://bbs.12365auto.com/postcontent.aspx?tId=194599","http://bbs.12365auto.com/postcontent.aspx?tId=194599")</f>
        <v>http://bbs.12365auto.com/postcontent.aspx?tId=194599</v>
      </c>
      <c r="G4928" s="2"/>
      <c r="H4928" s="2" t="s">
        <v>6955</v>
      </c>
      <c r="I4928" s="2" t="s">
        <v>15</v>
      </c>
      <c r="J4928" s="2" t="s">
        <v>1840</v>
      </c>
      <c r="K4928" s="2" t="s">
        <v>6952</v>
      </c>
      <c r="L4928" s="2">
        <f t="shared" si="76"/>
        <v>150</v>
      </c>
    </row>
    <row r="4929" spans="1:12" ht="25" customHeight="1">
      <c r="A4929" s="2" t="s">
        <v>12</v>
      </c>
      <c r="B4929" s="2" t="str">
        <f>HYPERLINK("http://bbs.12365auto.com/postcontent.aspx?tId=194598","上市新车延后 想买新车的朋友要等等了")</f>
        <v>上市新车延后 想买新车的朋友要等等了</v>
      </c>
      <c r="C4929" s="2" t="s">
        <v>13</v>
      </c>
      <c r="D4929" s="2" t="s">
        <v>12</v>
      </c>
      <c r="E4929" s="2" t="s">
        <v>66</v>
      </c>
      <c r="F4929" s="2" t="str">
        <f>HYPERLINK("http://bbs.12365auto.com/postcontent.aspx?tId=194598","http://bbs.12365auto.com/postcontent.aspx?tId=194598")</f>
        <v>http://bbs.12365auto.com/postcontent.aspx?tId=194598</v>
      </c>
      <c r="G4929" s="2"/>
      <c r="H4929" s="2" t="s">
        <v>6954</v>
      </c>
      <c r="I4929" s="2" t="s">
        <v>15</v>
      </c>
      <c r="J4929" s="2" t="s">
        <v>1840</v>
      </c>
      <c r="K4929" s="2" t="s">
        <v>6952</v>
      </c>
      <c r="L4929" s="2">
        <f t="shared" si="76"/>
        <v>150</v>
      </c>
    </row>
    <row r="4930" spans="1:12" ht="25" customHeight="1">
      <c r="A4930" s="2" t="s">
        <v>12</v>
      </c>
      <c r="B4930" s="2" t="str">
        <f>HYPERLINK("http://bbs.12365auto.com/postcontent.aspx?tID=194597","半个月没开车 电瓶亏电打不着火怎么解决")</f>
        <v>半个月没开车 电瓶亏电打不着火怎么解决</v>
      </c>
      <c r="C4930" s="2" t="s">
        <v>13</v>
      </c>
      <c r="D4930" s="2" t="s">
        <v>12</v>
      </c>
      <c r="E4930" s="2" t="s">
        <v>67</v>
      </c>
      <c r="F4930" s="2" t="str">
        <f>HYPERLINK("http://bbs.12365auto.com/postcontent.aspx?tID=194597","http://bbs.12365auto.com/postcontent.aspx?tID=194597")</f>
        <v>http://bbs.12365auto.com/postcontent.aspx?tID=194597</v>
      </c>
      <c r="G4930" s="2"/>
      <c r="H4930" s="2" t="s">
        <v>6956</v>
      </c>
      <c r="I4930" s="2" t="s">
        <v>15</v>
      </c>
      <c r="J4930" s="2" t="s">
        <v>1840</v>
      </c>
      <c r="K4930" s="2" t="s">
        <v>6957</v>
      </c>
      <c r="L4930" s="2">
        <f t="shared" si="76"/>
        <v>150</v>
      </c>
    </row>
    <row r="4931" spans="1:12" ht="25" customHeight="1">
      <c r="A4931" s="2" t="s">
        <v>12</v>
      </c>
      <c r="B4931" s="2" t="str">
        <f>HYPERLINK("http://bbs.12365auto.com/postcontent.aspx?tID=194596","复工在即 停了半个多月的车要做哪些检查")</f>
        <v>复工在即 停了半个多月的车要做哪些检查</v>
      </c>
      <c r="C4931" s="2" t="s">
        <v>13</v>
      </c>
      <c r="D4931" s="2" t="s">
        <v>12</v>
      </c>
      <c r="E4931" s="2" t="s">
        <v>67</v>
      </c>
      <c r="F4931" s="2" t="str">
        <f>HYPERLINK("http://bbs.12365auto.com/postcontent.aspx?tID=194596","http://bbs.12365auto.com/postcontent.aspx?tID=194596")</f>
        <v>http://bbs.12365auto.com/postcontent.aspx?tID=194596</v>
      </c>
      <c r="G4931" s="2"/>
      <c r="H4931" s="2" t="s">
        <v>6958</v>
      </c>
      <c r="I4931" s="2" t="s">
        <v>15</v>
      </c>
      <c r="J4931" s="2" t="s">
        <v>1840</v>
      </c>
      <c r="K4931" s="2" t="s">
        <v>6957</v>
      </c>
      <c r="L4931" s="2">
        <f t="shared" ref="L4931:L4994" si="77">LEN(H4931)</f>
        <v>150</v>
      </c>
    </row>
    <row r="4932" spans="1:12" ht="25" customHeight="1">
      <c r="A4932" s="2" t="s">
        <v>12</v>
      </c>
      <c r="B4932" s="2" t="str">
        <f>HYPERLINK("http://www.12365auto.com/news/20200220/419062.shtml","日系1月销量整体企稳 高增长大概率止于2月")</f>
        <v>日系1月销量整体企稳 高增长大概率止于2月</v>
      </c>
      <c r="C4932" s="2" t="s">
        <v>13</v>
      </c>
      <c r="D4932" s="2" t="s">
        <v>12</v>
      </c>
      <c r="E4932" s="2" t="s">
        <v>282</v>
      </c>
      <c r="F4932" s="2" t="str">
        <f>HYPERLINK("http://www.12365auto.com/news/20200220/419062.shtml","http://www.12365auto.com/news/20200220/419062.shtml")</f>
        <v>http://www.12365auto.com/news/20200220/419062.shtml</v>
      </c>
      <c r="G4932" s="2"/>
      <c r="H4932" s="2" t="s">
        <v>6959</v>
      </c>
      <c r="I4932" s="2" t="s">
        <v>19</v>
      </c>
      <c r="J4932" s="2" t="s">
        <v>12</v>
      </c>
      <c r="K4932" s="2" t="s">
        <v>6957</v>
      </c>
      <c r="L4932" s="2">
        <f t="shared" si="77"/>
        <v>150</v>
      </c>
    </row>
    <row r="4933" spans="1:12" ht="25" customHeight="1">
      <c r="A4933" s="2" t="s">
        <v>12</v>
      </c>
      <c r="B4933" s="2" t="str">
        <f>HYPERLINK("http://m.12365auto.com/news/20200220/419062.shtml","日系1月销量整体企稳 高增长大概率止于2月")</f>
        <v>日系1月销量整体企稳 高增长大概率止于2月</v>
      </c>
      <c r="C4933" s="2" t="s">
        <v>13</v>
      </c>
      <c r="D4933" s="2" t="s">
        <v>12</v>
      </c>
      <c r="E4933" s="2"/>
      <c r="F4933" s="2" t="str">
        <f>HYPERLINK("http://m.12365auto.com/news/20200220/419062.shtml","http://m.12365auto.com/news/20200220/419062.shtml")</f>
        <v>http://m.12365auto.com/news/20200220/419062.shtml</v>
      </c>
      <c r="G4933" s="2"/>
      <c r="H4933" s="2" t="s">
        <v>6960</v>
      </c>
      <c r="I4933" s="2" t="s">
        <v>19</v>
      </c>
      <c r="J4933" s="2" t="s">
        <v>3640</v>
      </c>
      <c r="K4933" s="2" t="s">
        <v>6957</v>
      </c>
      <c r="L4933" s="2">
        <f t="shared" si="77"/>
        <v>150</v>
      </c>
    </row>
    <row r="4934" spans="1:12" ht="25" customHeight="1">
      <c r="A4934" s="2" t="s">
        <v>12</v>
      </c>
      <c r="B4934" s="2" t="str">
        <f>HYPERLINK("http://m.12365auto.com/bbs/postcontent.aspx?tID=194596","复工在即 停了半个多月的车要做哪些检查")</f>
        <v>复工在即 停了半个多月的车要做哪些检查</v>
      </c>
      <c r="C4934" s="2" t="s">
        <v>13</v>
      </c>
      <c r="D4934" s="2" t="s">
        <v>23</v>
      </c>
      <c r="E4934" s="2"/>
      <c r="F4934" s="2" t="str">
        <f>HYPERLINK("http://m.12365auto.com/bbs/postcontent.aspx?tID=194596","http://m.12365auto.com/bbs/postcontent.aspx?tID=194596")</f>
        <v>http://m.12365auto.com/bbs/postcontent.aspx?tID=194596</v>
      </c>
      <c r="G4934" s="2"/>
      <c r="H4934" s="2" t="s">
        <v>6961</v>
      </c>
      <c r="I4934" s="2" t="s">
        <v>15</v>
      </c>
      <c r="J4934" s="2" t="s">
        <v>1840</v>
      </c>
      <c r="K4934" s="2" t="s">
        <v>6957</v>
      </c>
      <c r="L4934" s="2">
        <f t="shared" si="77"/>
        <v>150</v>
      </c>
    </row>
    <row r="4935" spans="1:12" ht="25" customHeight="1">
      <c r="A4935" s="2" t="s">
        <v>12</v>
      </c>
      <c r="B4935" s="2" t="str">
        <f>HYPERLINK("http://m.12365auto.com/bbs/postcontent.aspx?tID=194597","半个月没开车 电瓶亏电打不着火怎么解决")</f>
        <v>半个月没开车 电瓶亏电打不着火怎么解决</v>
      </c>
      <c r="C4935" s="2" t="s">
        <v>13</v>
      </c>
      <c r="D4935" s="2" t="s">
        <v>23</v>
      </c>
      <c r="E4935" s="2"/>
      <c r="F4935" s="2" t="str">
        <f>HYPERLINK("http://m.12365auto.com/bbs/postcontent.aspx?tID=194597","http://m.12365auto.com/bbs/postcontent.aspx?tID=194597")</f>
        <v>http://m.12365auto.com/bbs/postcontent.aspx?tID=194597</v>
      </c>
      <c r="G4935" s="2"/>
      <c r="H4935" s="2" t="s">
        <v>6962</v>
      </c>
      <c r="I4935" s="2" t="s">
        <v>15</v>
      </c>
      <c r="J4935" s="2" t="s">
        <v>1840</v>
      </c>
      <c r="K4935" s="2" t="s">
        <v>6957</v>
      </c>
      <c r="L4935" s="2">
        <f t="shared" si="77"/>
        <v>150</v>
      </c>
    </row>
    <row r="4936" spans="1:12" ht="25" customHeight="1">
      <c r="A4936" s="2" t="s">
        <v>12</v>
      </c>
      <c r="B4936" s="2" t="str">
        <f>HYPERLINK("http://bbs.12365auto.com/postcontent.aspx?tId=194596","复工在即 停了半个多月的车要做哪些检查")</f>
        <v>复工在即 停了半个多月的车要做哪些检查</v>
      </c>
      <c r="C4936" s="2" t="s">
        <v>13</v>
      </c>
      <c r="D4936" s="2" t="s">
        <v>12</v>
      </c>
      <c r="E4936" s="2" t="s">
        <v>66</v>
      </c>
      <c r="F4936" s="2" t="str">
        <f>HYPERLINK("http://bbs.12365auto.com/postcontent.aspx?tId=194596","http://bbs.12365auto.com/postcontent.aspx?tId=194596")</f>
        <v>http://bbs.12365auto.com/postcontent.aspx?tId=194596</v>
      </c>
      <c r="G4936" s="2"/>
      <c r="H4936" s="2" t="s">
        <v>6961</v>
      </c>
      <c r="I4936" s="2" t="s">
        <v>15</v>
      </c>
      <c r="J4936" s="2" t="s">
        <v>1840</v>
      </c>
      <c r="K4936" s="2" t="s">
        <v>6957</v>
      </c>
      <c r="L4936" s="2">
        <f t="shared" si="77"/>
        <v>150</v>
      </c>
    </row>
    <row r="4937" spans="1:12" ht="25" customHeight="1">
      <c r="A4937" s="2" t="s">
        <v>12</v>
      </c>
      <c r="B4937" s="2" t="str">
        <f>HYPERLINK("http://bbs.12365auto.com/postcontent.aspx?tId=194597","半个月没开车 电瓶亏电打不着火怎么解决")</f>
        <v>半个月没开车 电瓶亏电打不着火怎么解决</v>
      </c>
      <c r="C4937" s="2" t="s">
        <v>13</v>
      </c>
      <c r="D4937" s="2" t="s">
        <v>12</v>
      </c>
      <c r="E4937" s="2" t="s">
        <v>66</v>
      </c>
      <c r="F4937" s="2" t="str">
        <f>HYPERLINK("http://bbs.12365auto.com/postcontent.aspx?tId=194597","http://bbs.12365auto.com/postcontent.aspx?tId=194597")</f>
        <v>http://bbs.12365auto.com/postcontent.aspx?tId=194597</v>
      </c>
      <c r="G4937" s="2"/>
      <c r="H4937" s="2" t="s">
        <v>6962</v>
      </c>
      <c r="I4937" s="2" t="s">
        <v>15</v>
      </c>
      <c r="J4937" s="2" t="s">
        <v>1840</v>
      </c>
      <c r="K4937" s="2" t="s">
        <v>6957</v>
      </c>
      <c r="L4937" s="2">
        <f t="shared" si="77"/>
        <v>150</v>
      </c>
    </row>
    <row r="4938" spans="1:12" ht="25" customHeight="1">
      <c r="A4938" s="2" t="s">
        <v>12</v>
      </c>
      <c r="B4938" s="2" t="str">
        <f>HYPERLINK("http://bbs.12365auto.com/postcontent.aspx?tID=194595","这些用车小细节不注意很容易伤车")</f>
        <v>这些用车小细节不注意很容易伤车</v>
      </c>
      <c r="C4938" s="2" t="s">
        <v>13</v>
      </c>
      <c r="D4938" s="2" t="s">
        <v>12</v>
      </c>
      <c r="E4938" s="2" t="s">
        <v>67</v>
      </c>
      <c r="F4938" s="2" t="str">
        <f>HYPERLINK("http://bbs.12365auto.com/postcontent.aspx?tID=194595","http://bbs.12365auto.com/postcontent.aspx?tID=194595")</f>
        <v>http://bbs.12365auto.com/postcontent.aspx?tID=194595</v>
      </c>
      <c r="G4938" s="2"/>
      <c r="H4938" s="2" t="s">
        <v>6963</v>
      </c>
      <c r="I4938" s="2" t="s">
        <v>15</v>
      </c>
      <c r="J4938" s="2" t="s">
        <v>1840</v>
      </c>
      <c r="K4938" s="2" t="s">
        <v>6964</v>
      </c>
      <c r="L4938" s="2">
        <f t="shared" si="77"/>
        <v>150</v>
      </c>
    </row>
    <row r="4939" spans="1:12" ht="25" customHeight="1">
      <c r="A4939" s="2" t="s">
        <v>12</v>
      </c>
      <c r="B4939" s="2" t="str">
        <f>HYPERLINK("http://m.12365auto.com/bbs/postcontent.aspx?tID=194595","这些用车小细节不注意很容易伤车")</f>
        <v>这些用车小细节不注意很容易伤车</v>
      </c>
      <c r="C4939" s="2" t="s">
        <v>13</v>
      </c>
      <c r="D4939" s="2" t="s">
        <v>23</v>
      </c>
      <c r="E4939" s="2"/>
      <c r="F4939" s="2" t="str">
        <f>HYPERLINK("http://m.12365auto.com/bbs/postcontent.aspx?tID=194595","http://m.12365auto.com/bbs/postcontent.aspx?tID=194595")</f>
        <v>http://m.12365auto.com/bbs/postcontent.aspx?tID=194595</v>
      </c>
      <c r="G4939" s="2"/>
      <c r="H4939" s="2" t="s">
        <v>6965</v>
      </c>
      <c r="I4939" s="2" t="s">
        <v>15</v>
      </c>
      <c r="J4939" s="2" t="s">
        <v>1840</v>
      </c>
      <c r="K4939" s="2" t="s">
        <v>6964</v>
      </c>
      <c r="L4939" s="2">
        <f t="shared" si="77"/>
        <v>150</v>
      </c>
    </row>
    <row r="4940" spans="1:12" ht="25" customHeight="1">
      <c r="A4940" s="2" t="s">
        <v>12</v>
      </c>
      <c r="B4940" s="2" t="str">
        <f>HYPERLINK("http://bbs.12365auto.com/postcontent.aspx?tId=194595","这些用车小细节不注意很容易伤车")</f>
        <v>这些用车小细节不注意很容易伤车</v>
      </c>
      <c r="C4940" s="2" t="s">
        <v>13</v>
      </c>
      <c r="D4940" s="2" t="s">
        <v>12</v>
      </c>
      <c r="E4940" s="2" t="s">
        <v>66</v>
      </c>
      <c r="F4940" s="2" t="str">
        <f>HYPERLINK("http://bbs.12365auto.com/postcontent.aspx?tId=194595","http://bbs.12365auto.com/postcontent.aspx?tId=194595")</f>
        <v>http://bbs.12365auto.com/postcontent.aspx?tId=194595</v>
      </c>
      <c r="G4940" s="2"/>
      <c r="H4940" s="2" t="s">
        <v>6965</v>
      </c>
      <c r="I4940" s="2" t="s">
        <v>15</v>
      </c>
      <c r="J4940" s="2" t="s">
        <v>1840</v>
      </c>
      <c r="K4940" s="2" t="s">
        <v>6964</v>
      </c>
      <c r="L4940" s="2">
        <f t="shared" si="77"/>
        <v>150</v>
      </c>
    </row>
    <row r="4941" spans="1:12" ht="25" customHeight="1">
      <c r="A4941" s="2" t="s">
        <v>12</v>
      </c>
      <c r="B4941" s="2" t="str">
        <f>HYPERLINK("http://m.12365auto.com/news/20200220/419061.shtml","宝马iX3搭空气动力轮毂 续航里程增加10公里")</f>
        <v>宝马iX3搭空气动力轮毂 续航里程增加10公里</v>
      </c>
      <c r="C4941" s="2" t="s">
        <v>13</v>
      </c>
      <c r="D4941" s="2" t="s">
        <v>12</v>
      </c>
      <c r="E4941" s="2"/>
      <c r="F4941" s="2" t="str">
        <f>HYPERLINK("http://m.12365auto.com/news/20200220/419061.shtml","http://m.12365auto.com/news/20200220/419061.shtml")</f>
        <v>http://m.12365auto.com/news/20200220/419061.shtml</v>
      </c>
      <c r="G4941" s="2"/>
      <c r="H4941" s="2" t="s">
        <v>6966</v>
      </c>
      <c r="I4941" s="2" t="s">
        <v>19</v>
      </c>
      <c r="J4941" s="2" t="s">
        <v>1036</v>
      </c>
      <c r="K4941" s="2" t="s">
        <v>6967</v>
      </c>
      <c r="L4941" s="2">
        <f t="shared" si="77"/>
        <v>150</v>
      </c>
    </row>
    <row r="4942" spans="1:12" ht="25" customHeight="1">
      <c r="A4942" s="2" t="s">
        <v>12</v>
      </c>
      <c r="B4942" s="2" t="str">
        <f>HYPERLINK("http://www.12365auto.com/news/20200220/419061.shtml","宝马iX3搭空气动力轮毂 续航里程增加10公里")</f>
        <v>宝马iX3搭空气动力轮毂 续航里程增加10公里</v>
      </c>
      <c r="C4942" s="2" t="s">
        <v>13</v>
      </c>
      <c r="D4942" s="2" t="s">
        <v>12</v>
      </c>
      <c r="E4942" s="2" t="s">
        <v>282</v>
      </c>
      <c r="F4942" s="2" t="str">
        <f>HYPERLINK("http://www.12365auto.com/news/20200220/419061.shtml","http://www.12365auto.com/news/20200220/419061.shtml")</f>
        <v>http://www.12365auto.com/news/20200220/419061.shtml</v>
      </c>
      <c r="G4942" s="2"/>
      <c r="H4942" s="2" t="s">
        <v>6968</v>
      </c>
      <c r="I4942" s="2" t="s">
        <v>19</v>
      </c>
      <c r="J4942" s="2" t="s">
        <v>12</v>
      </c>
      <c r="K4942" s="2" t="s">
        <v>6967</v>
      </c>
      <c r="L4942" s="2">
        <f t="shared" si="77"/>
        <v>150</v>
      </c>
    </row>
    <row r="4943" spans="1:12" ht="25" customHeight="1">
      <c r="A4943" s="2" t="s">
        <v>12</v>
      </c>
      <c r="B4943" s="2" t="str">
        <f>HYPERLINK("http://m.12365auto.com/news/20200220/419060.shtml","Atlis展示超快充电电池与纯电动平台")</f>
        <v>Atlis展示超快充电电池与纯电动平台</v>
      </c>
      <c r="C4943" s="2" t="s">
        <v>13</v>
      </c>
      <c r="D4943" s="2" t="s">
        <v>12</v>
      </c>
      <c r="E4943" s="2"/>
      <c r="F4943" s="2" t="str">
        <f>HYPERLINK("http://m.12365auto.com/news/20200220/419060.shtml","http://m.12365auto.com/news/20200220/419060.shtml")</f>
        <v>http://m.12365auto.com/news/20200220/419060.shtml</v>
      </c>
      <c r="G4943" s="2"/>
      <c r="H4943" s="2" t="s">
        <v>6969</v>
      </c>
      <c r="I4943" s="2" t="s">
        <v>19</v>
      </c>
      <c r="J4943" s="2" t="s">
        <v>1029</v>
      </c>
      <c r="K4943" s="2" t="s">
        <v>6970</v>
      </c>
      <c r="L4943" s="2">
        <f t="shared" si="77"/>
        <v>150</v>
      </c>
    </row>
    <row r="4944" spans="1:12" ht="25" customHeight="1">
      <c r="A4944" s="2" t="s">
        <v>12</v>
      </c>
      <c r="B4944" s="2" t="str">
        <f>HYPERLINK("http://www.12365auto.com/news/20200220/419060.shtml","Atlis展示超快充电电池与纯电动平台")</f>
        <v>Atlis展示超快充电电池与纯电动平台</v>
      </c>
      <c r="C4944" s="2" t="s">
        <v>13</v>
      </c>
      <c r="D4944" s="2" t="s">
        <v>12</v>
      </c>
      <c r="E4944" s="2" t="s">
        <v>282</v>
      </c>
      <c r="F4944" s="2" t="str">
        <f>HYPERLINK("http://www.12365auto.com/news/20200220/419060.shtml","http://www.12365auto.com/news/20200220/419060.shtml")</f>
        <v>http://www.12365auto.com/news/20200220/419060.shtml</v>
      </c>
      <c r="G4944" s="2"/>
      <c r="H4944" s="2" t="s">
        <v>6971</v>
      </c>
      <c r="I4944" s="2" t="s">
        <v>19</v>
      </c>
      <c r="J4944" s="2" t="s">
        <v>12</v>
      </c>
      <c r="K4944" s="2" t="s">
        <v>6970</v>
      </c>
      <c r="L4944" s="2">
        <f t="shared" si="77"/>
        <v>150</v>
      </c>
    </row>
    <row r="4945" spans="1:12" ht="25" customHeight="1">
      <c r="A4945" s="2" t="s">
        <v>12</v>
      </c>
      <c r="B4945" s="2" t="str">
        <f>HYPERLINK("http://m.12365auto.com/news/20200220/419059.shtml","疫情或致日产零部件短缺/全球生产中断")</f>
        <v>疫情或致日产零部件短缺/全球生产中断</v>
      </c>
      <c r="C4945" s="2" t="s">
        <v>13</v>
      </c>
      <c r="D4945" s="2" t="s">
        <v>12</v>
      </c>
      <c r="E4945" s="2"/>
      <c r="F4945" s="2" t="str">
        <f>HYPERLINK("http://m.12365auto.com/news/20200220/419059.shtml","http://m.12365auto.com/news/20200220/419059.shtml")</f>
        <v>http://m.12365auto.com/news/20200220/419059.shtml</v>
      </c>
      <c r="G4945" s="2"/>
      <c r="H4945" s="2" t="s">
        <v>6972</v>
      </c>
      <c r="I4945" s="2" t="s">
        <v>19</v>
      </c>
      <c r="J4945" s="2" t="s">
        <v>1059</v>
      </c>
      <c r="K4945" s="2" t="s">
        <v>6973</v>
      </c>
      <c r="L4945" s="2">
        <f t="shared" si="77"/>
        <v>150</v>
      </c>
    </row>
    <row r="4946" spans="1:12" ht="25" customHeight="1">
      <c r="A4946" s="2" t="s">
        <v>12</v>
      </c>
      <c r="B4946" s="2" t="str">
        <f>HYPERLINK("http://www.12365auto.com/news/20200220/419059.shtml","疫情或致日产零部件短缺/全球生产中断")</f>
        <v>疫情或致日产零部件短缺/全球生产中断</v>
      </c>
      <c r="C4946" s="2" t="s">
        <v>13</v>
      </c>
      <c r="D4946" s="2" t="s">
        <v>12</v>
      </c>
      <c r="E4946" s="2" t="s">
        <v>282</v>
      </c>
      <c r="F4946" s="2" t="str">
        <f>HYPERLINK("http://www.12365auto.com/news/20200220/419059.shtml","http://www.12365auto.com/news/20200220/419059.shtml")</f>
        <v>http://www.12365auto.com/news/20200220/419059.shtml</v>
      </c>
      <c r="G4946" s="2"/>
      <c r="H4946" s="2" t="s">
        <v>6974</v>
      </c>
      <c r="I4946" s="2" t="s">
        <v>19</v>
      </c>
      <c r="J4946" s="2" t="s">
        <v>12</v>
      </c>
      <c r="K4946" s="2" t="s">
        <v>6973</v>
      </c>
      <c r="L4946" s="2">
        <f t="shared" si="77"/>
        <v>150</v>
      </c>
    </row>
    <row r="4947" spans="1:12" ht="25" customHeight="1">
      <c r="A4947" s="2" t="s">
        <v>12</v>
      </c>
      <c r="B4947" s="2" t="str">
        <f>HYPERLINK("http://m.12365auto.com/xcdg/20200220/419058.shtml","奥迪RS4 Avant青铜限量版曝光 全球仅售25台")</f>
        <v>奥迪RS4 Avant青铜限量版曝光 全球仅售25台</v>
      </c>
      <c r="C4947" s="2" t="s">
        <v>13</v>
      </c>
      <c r="D4947" s="2" t="s">
        <v>12</v>
      </c>
      <c r="E4947" s="2"/>
      <c r="F4947" s="2" t="str">
        <f>HYPERLINK("http://m.12365auto.com/xcdg/20200220/419058.shtml","http://m.12365auto.com/xcdg/20200220/419058.shtml")</f>
        <v>http://m.12365auto.com/xcdg/20200220/419058.shtml</v>
      </c>
      <c r="G4947" s="2"/>
      <c r="H4947" s="2" t="s">
        <v>6975</v>
      </c>
      <c r="I4947" s="2" t="s">
        <v>19</v>
      </c>
      <c r="J4947" s="2" t="s">
        <v>222</v>
      </c>
      <c r="K4947" s="2" t="s">
        <v>6976</v>
      </c>
      <c r="L4947" s="2">
        <f t="shared" si="77"/>
        <v>150</v>
      </c>
    </row>
    <row r="4948" spans="1:12" ht="25" customHeight="1">
      <c r="A4948" s="2" t="s">
        <v>12</v>
      </c>
      <c r="B4948" s="2" t="str">
        <f>HYPERLINK("http://www.12365auto.com/zlts/20200220/447852.shtml","奇瑞艾瑞泽5踩刹车时车身抖动 故障灯亮")</f>
        <v>奇瑞艾瑞泽5踩刹车时车身抖动 故障灯亮</v>
      </c>
      <c r="C4948" s="2" t="s">
        <v>13</v>
      </c>
      <c r="D4948" s="2" t="s">
        <v>12</v>
      </c>
      <c r="E4948" s="2" t="s">
        <v>17</v>
      </c>
      <c r="F4948" s="2" t="str">
        <f>HYPERLINK("http://www.12365auto.com/zlts/20200220/447852.shtml","http://www.12365auto.com/zlts/20200220/447852.shtml")</f>
        <v>http://www.12365auto.com/zlts/20200220/447852.shtml</v>
      </c>
      <c r="G4948" s="2"/>
      <c r="H4948" s="2" t="s">
        <v>6977</v>
      </c>
      <c r="I4948" s="2" t="s">
        <v>19</v>
      </c>
      <c r="J4948" s="2" t="s">
        <v>12</v>
      </c>
      <c r="K4948" s="2" t="s">
        <v>6976</v>
      </c>
      <c r="L4948" s="2">
        <f t="shared" si="77"/>
        <v>150</v>
      </c>
    </row>
    <row r="4949" spans="1:12" ht="25" customHeight="1">
      <c r="A4949" s="2" t="s">
        <v>12</v>
      </c>
      <c r="B4949" s="2" t="str">
        <f>HYPERLINK("http://www.12365auto.com/xcdg/20200220/419058.shtml","奥迪RS4 Avant青铜限量版曝光 全球仅售25台")</f>
        <v>奥迪RS4 Avant青铜限量版曝光 全球仅售25台</v>
      </c>
      <c r="C4949" s="2" t="s">
        <v>13</v>
      </c>
      <c r="D4949" s="2" t="s">
        <v>12</v>
      </c>
      <c r="E4949" s="2" t="s">
        <v>245</v>
      </c>
      <c r="F4949" s="2" t="str">
        <f>HYPERLINK("http://www.12365auto.com/xcdg/20200220/419058.shtml","http://www.12365auto.com/xcdg/20200220/419058.shtml")</f>
        <v>http://www.12365auto.com/xcdg/20200220/419058.shtml</v>
      </c>
      <c r="G4949" s="2"/>
      <c r="H4949" s="2" t="s">
        <v>6978</v>
      </c>
      <c r="I4949" s="2" t="s">
        <v>19</v>
      </c>
      <c r="J4949" s="2" t="s">
        <v>12</v>
      </c>
      <c r="K4949" s="2" t="s">
        <v>6976</v>
      </c>
      <c r="L4949" s="2">
        <f t="shared" si="77"/>
        <v>150</v>
      </c>
    </row>
    <row r="4950" spans="1:12" ht="25" customHeight="1">
      <c r="A4950" s="2" t="s">
        <v>12</v>
      </c>
      <c r="B4950" s="2" t="str">
        <f>HYPERLINK("http://m.12365auto.com/news/20200220/419057.shtml","大众探岳1月销量暴涨 插混/轿跑版将上市")</f>
        <v>大众探岳1月销量暴涨 插混/轿跑版将上市</v>
      </c>
      <c r="C4950" s="2" t="s">
        <v>13</v>
      </c>
      <c r="D4950" s="2" t="s">
        <v>12</v>
      </c>
      <c r="E4950" s="2"/>
      <c r="F4950" s="2" t="str">
        <f>HYPERLINK("http://m.12365auto.com/news/20200220/419057.shtml","http://m.12365auto.com/news/20200220/419057.shtml")</f>
        <v>http://m.12365auto.com/news/20200220/419057.shtml</v>
      </c>
      <c r="G4950" s="2"/>
      <c r="H4950" s="2" t="s">
        <v>6979</v>
      </c>
      <c r="I4950" s="2" t="s">
        <v>19</v>
      </c>
      <c r="J4950" s="2" t="s">
        <v>732</v>
      </c>
      <c r="K4950" s="2" t="s">
        <v>6980</v>
      </c>
      <c r="L4950" s="2">
        <f t="shared" si="77"/>
        <v>150</v>
      </c>
    </row>
    <row r="4951" spans="1:12" ht="25" customHeight="1">
      <c r="A4951" s="2" t="s">
        <v>12</v>
      </c>
      <c r="B4951" s="2" t="str">
        <f>HYPERLINK("http://www.12365auto.com/news/20200220/419057.shtml","大众探岳1月销量暴涨 插混/轿跑版将上市")</f>
        <v>大众探岳1月销量暴涨 插混/轿跑版将上市</v>
      </c>
      <c r="C4951" s="2" t="s">
        <v>13</v>
      </c>
      <c r="D4951" s="2" t="s">
        <v>12</v>
      </c>
      <c r="E4951" s="2" t="s">
        <v>282</v>
      </c>
      <c r="F4951" s="2" t="str">
        <f>HYPERLINK("http://www.12365auto.com/news/20200220/419057.shtml","http://www.12365auto.com/news/20200220/419057.shtml")</f>
        <v>http://www.12365auto.com/news/20200220/419057.shtml</v>
      </c>
      <c r="G4951" s="2"/>
      <c r="H4951" s="2" t="s">
        <v>6981</v>
      </c>
      <c r="I4951" s="2" t="s">
        <v>19</v>
      </c>
      <c r="J4951" s="2" t="s">
        <v>12</v>
      </c>
      <c r="K4951" s="2" t="s">
        <v>6980</v>
      </c>
      <c r="L4951" s="2">
        <f t="shared" si="77"/>
        <v>150</v>
      </c>
    </row>
    <row r="4952" spans="1:12" ht="25" customHeight="1">
      <c r="A4952" s="2" t="s">
        <v>12</v>
      </c>
      <c r="B4952" s="2" t="str">
        <f>HYPERLINK("http://m.12365auto.com/xcdg/20200220/419056.shtml","20万级中型家轿如何选？这8款总有一辆合适")</f>
        <v>20万级中型家轿如何选？这8款总有一辆合适</v>
      </c>
      <c r="C4952" s="2" t="s">
        <v>13</v>
      </c>
      <c r="D4952" s="2" t="s">
        <v>12</v>
      </c>
      <c r="E4952" s="2"/>
      <c r="F4952" s="2" t="str">
        <f>HYPERLINK("http://m.12365auto.com/xcdg/20200220/419056.shtml","http://m.12365auto.com/xcdg/20200220/419056.shtml")</f>
        <v>http://m.12365auto.com/xcdg/20200220/419056.shtml</v>
      </c>
      <c r="G4952" s="2"/>
      <c r="H4952" s="2" t="s">
        <v>6982</v>
      </c>
      <c r="I4952" s="2" t="s">
        <v>19</v>
      </c>
      <c r="J4952" s="2" t="s">
        <v>6112</v>
      </c>
      <c r="K4952" s="2" t="s">
        <v>6983</v>
      </c>
      <c r="L4952" s="2">
        <f t="shared" si="77"/>
        <v>150</v>
      </c>
    </row>
    <row r="4953" spans="1:12" ht="25" customHeight="1">
      <c r="A4953" s="2" t="s">
        <v>12</v>
      </c>
      <c r="B4953" s="2" t="str">
        <f>HYPERLINK("http://m.12365auto.com/news/20200220/419055.shtml","奥迪正规划新车 打击豪华小型电动车市场")</f>
        <v>奥迪正规划新车 打击豪华小型电动车市场</v>
      </c>
      <c r="C4953" s="2" t="s">
        <v>13</v>
      </c>
      <c r="D4953" s="2" t="s">
        <v>12</v>
      </c>
      <c r="E4953" s="2"/>
      <c r="F4953" s="2" t="str">
        <f>HYPERLINK("http://m.12365auto.com/news/20200220/419055.shtml","http://m.12365auto.com/news/20200220/419055.shtml")</f>
        <v>http://m.12365auto.com/news/20200220/419055.shtml</v>
      </c>
      <c r="G4953" s="2"/>
      <c r="H4953" s="2" t="s">
        <v>6984</v>
      </c>
      <c r="I4953" s="2" t="s">
        <v>19</v>
      </c>
      <c r="J4953" s="2" t="s">
        <v>3058</v>
      </c>
      <c r="K4953" s="2" t="s">
        <v>6985</v>
      </c>
      <c r="L4953" s="2">
        <f t="shared" si="77"/>
        <v>150</v>
      </c>
    </row>
    <row r="4954" spans="1:12" ht="25" customHeight="1">
      <c r="A4954" s="2" t="s">
        <v>12</v>
      </c>
      <c r="B4954" s="2" t="str">
        <f>HYPERLINK("http://www.12365auto.com/news/20200220/419055.shtml","奥迪正规划新车 打击豪华小型电动车市场")</f>
        <v>奥迪正规划新车 打击豪华小型电动车市场</v>
      </c>
      <c r="C4954" s="2" t="s">
        <v>13</v>
      </c>
      <c r="D4954" s="2" t="s">
        <v>12</v>
      </c>
      <c r="E4954" s="2" t="s">
        <v>282</v>
      </c>
      <c r="F4954" s="2" t="str">
        <f>HYPERLINK("http://www.12365auto.com/news/20200220/419055.shtml","http://www.12365auto.com/news/20200220/419055.shtml")</f>
        <v>http://www.12365auto.com/news/20200220/419055.shtml</v>
      </c>
      <c r="G4954" s="2"/>
      <c r="H4954" s="2" t="s">
        <v>6986</v>
      </c>
      <c r="I4954" s="2" t="s">
        <v>19</v>
      </c>
      <c r="J4954" s="2" t="s">
        <v>12</v>
      </c>
      <c r="K4954" s="2" t="s">
        <v>6985</v>
      </c>
      <c r="L4954" s="2">
        <f t="shared" si="77"/>
        <v>150</v>
      </c>
    </row>
    <row r="4955" spans="1:12" ht="25" customHeight="1">
      <c r="A4955" s="2" t="s">
        <v>12</v>
      </c>
      <c r="B4955" s="2" t="str">
        <f>HYPERLINK("http://m.12365auto.com/xcdg/20200220/419054.shtml","丰田新款凯美瑞实拍 配备四驱系统/搭2.5L")</f>
        <v>丰田新款凯美瑞实拍 配备四驱系统/搭2.5L</v>
      </c>
      <c r="C4955" s="2" t="s">
        <v>13</v>
      </c>
      <c r="D4955" s="2" t="s">
        <v>12</v>
      </c>
      <c r="E4955" s="2"/>
      <c r="F4955" s="2" t="str">
        <f>HYPERLINK("http://m.12365auto.com/xcdg/20200220/419054.shtml","http://m.12365auto.com/xcdg/20200220/419054.shtml")</f>
        <v>http://m.12365auto.com/xcdg/20200220/419054.shtml</v>
      </c>
      <c r="G4955" s="2"/>
      <c r="H4955" s="2" t="s">
        <v>6987</v>
      </c>
      <c r="I4955" s="2" t="s">
        <v>19</v>
      </c>
      <c r="J4955" s="2" t="s">
        <v>220</v>
      </c>
      <c r="K4955" s="2" t="s">
        <v>6988</v>
      </c>
      <c r="L4955" s="2">
        <f t="shared" si="77"/>
        <v>150</v>
      </c>
    </row>
    <row r="4956" spans="1:12" ht="25" customHeight="1">
      <c r="A4956" s="2" t="s">
        <v>12</v>
      </c>
      <c r="B4956" s="2" t="str">
        <f>HYPERLINK("http://www.12365auto.com/xcdg/20200220/419054.shtml","丰田新款凯美瑞实拍 配备四驱系统/搭2.5L")</f>
        <v>丰田新款凯美瑞实拍 配备四驱系统/搭2.5L</v>
      </c>
      <c r="C4956" s="2" t="s">
        <v>13</v>
      </c>
      <c r="D4956" s="2" t="s">
        <v>12</v>
      </c>
      <c r="E4956" s="2" t="s">
        <v>245</v>
      </c>
      <c r="F4956" s="2" t="str">
        <f>HYPERLINK("http://www.12365auto.com/xcdg/20200220/419054.shtml","http://www.12365auto.com/xcdg/20200220/419054.shtml")</f>
        <v>http://www.12365auto.com/xcdg/20200220/419054.shtml</v>
      </c>
      <c r="G4956" s="2"/>
      <c r="H4956" s="2" t="s">
        <v>6989</v>
      </c>
      <c r="I4956" s="2" t="s">
        <v>19</v>
      </c>
      <c r="J4956" s="2" t="s">
        <v>12</v>
      </c>
      <c r="K4956" s="2" t="s">
        <v>6988</v>
      </c>
      <c r="L4956" s="2">
        <f t="shared" si="77"/>
        <v>150</v>
      </c>
    </row>
    <row r="4957" spans="1:12" ht="25" customHeight="1">
      <c r="A4957" s="2" t="s">
        <v>12</v>
      </c>
      <c r="B4957" s="2" t="str">
        <f>HYPERLINK("http://m.12365auto.com/xcdg/20200220/419053.shtml","丰田两款新车信息曝光 新款凯美瑞秋季开售")</f>
        <v>丰田两款新车信息曝光 新款凯美瑞秋季开售</v>
      </c>
      <c r="C4957" s="2" t="s">
        <v>13</v>
      </c>
      <c r="D4957" s="2" t="s">
        <v>12</v>
      </c>
      <c r="E4957" s="2"/>
      <c r="F4957" s="2" t="str">
        <f>HYPERLINK("http://m.12365auto.com/xcdg/20200220/419053.shtml","http://m.12365auto.com/xcdg/20200220/419053.shtml")</f>
        <v>http://m.12365auto.com/xcdg/20200220/419053.shtml</v>
      </c>
      <c r="G4957" s="2"/>
      <c r="H4957" s="2" t="s">
        <v>6990</v>
      </c>
      <c r="I4957" s="2" t="s">
        <v>19</v>
      </c>
      <c r="J4957" s="2" t="s">
        <v>220</v>
      </c>
      <c r="K4957" s="2" t="s">
        <v>6991</v>
      </c>
      <c r="L4957" s="2">
        <f t="shared" si="77"/>
        <v>150</v>
      </c>
    </row>
    <row r="4958" spans="1:12" ht="25" customHeight="1">
      <c r="A4958" s="2" t="s">
        <v>12</v>
      </c>
      <c r="B4958" s="2" t="str">
        <f>HYPERLINK("http://www.12365auto.com/xcdg/20200220/419053.shtml","丰田两款新车信息曝光 新款凯美瑞秋季开售")</f>
        <v>丰田两款新车信息曝光 新款凯美瑞秋季开售</v>
      </c>
      <c r="C4958" s="2" t="s">
        <v>13</v>
      </c>
      <c r="D4958" s="2" t="s">
        <v>12</v>
      </c>
      <c r="E4958" s="2" t="s">
        <v>245</v>
      </c>
      <c r="F4958" s="2" t="str">
        <f>HYPERLINK("http://www.12365auto.com/xcdg/20200220/419053.shtml","http://www.12365auto.com/xcdg/20200220/419053.shtml")</f>
        <v>http://www.12365auto.com/xcdg/20200220/419053.shtml</v>
      </c>
      <c r="G4958" s="2"/>
      <c r="H4958" s="2" t="s">
        <v>6992</v>
      </c>
      <c r="I4958" s="2" t="s">
        <v>19</v>
      </c>
      <c r="J4958" s="2" t="s">
        <v>12</v>
      </c>
      <c r="K4958" s="2" t="s">
        <v>6991</v>
      </c>
      <c r="L4958" s="2">
        <f t="shared" si="77"/>
        <v>150</v>
      </c>
    </row>
    <row r="4959" spans="1:12" ht="25" customHeight="1">
      <c r="A4959" s="2" t="s">
        <v>12</v>
      </c>
      <c r="B4959" s="2" t="str">
        <f>HYPERLINK("http://m.12365auto.com/news/20200220/419052.shtml","行车时发动机故障灯亮怎么办 看完自己排障")</f>
        <v>行车时发动机故障灯亮怎么办 看完自己排障</v>
      </c>
      <c r="C4959" s="2" t="s">
        <v>13</v>
      </c>
      <c r="D4959" s="2" t="s">
        <v>12</v>
      </c>
      <c r="E4959" s="2"/>
      <c r="F4959" s="2" t="str">
        <f>HYPERLINK("http://m.12365auto.com/news/20200220/419052.shtml","http://m.12365auto.com/news/20200220/419052.shtml")</f>
        <v>http://m.12365auto.com/news/20200220/419052.shtml</v>
      </c>
      <c r="G4959" s="2"/>
      <c r="H4959" s="2" t="s">
        <v>6993</v>
      </c>
      <c r="I4959" s="2" t="s">
        <v>19</v>
      </c>
      <c r="J4959" s="2" t="s">
        <v>222</v>
      </c>
      <c r="K4959" s="2" t="s">
        <v>6994</v>
      </c>
      <c r="L4959" s="2">
        <f t="shared" si="77"/>
        <v>150</v>
      </c>
    </row>
    <row r="4960" spans="1:12" ht="25" customHeight="1">
      <c r="A4960" s="2" t="s">
        <v>12</v>
      </c>
      <c r="B4960" s="2" t="str">
        <f>HYPERLINK("http://www.12365auto.com/news/20200220/419052.shtml","行车时发动机故障灯亮怎么办 看完自己排障")</f>
        <v>行车时发动机故障灯亮怎么办 看完自己排障</v>
      </c>
      <c r="C4960" s="2" t="s">
        <v>13</v>
      </c>
      <c r="D4960" s="2" t="s">
        <v>12</v>
      </c>
      <c r="E4960" s="2" t="s">
        <v>372</v>
      </c>
      <c r="F4960" s="2" t="str">
        <f>HYPERLINK("http://www.12365auto.com/news/20200220/419052.shtml","http://www.12365auto.com/news/20200220/419052.shtml")</f>
        <v>http://www.12365auto.com/news/20200220/419052.shtml</v>
      </c>
      <c r="G4960" s="2"/>
      <c r="H4960" s="2" t="s">
        <v>6995</v>
      </c>
      <c r="I4960" s="2" t="s">
        <v>15</v>
      </c>
      <c r="J4960" s="2" t="s">
        <v>12</v>
      </c>
      <c r="K4960" s="2" t="s">
        <v>6994</v>
      </c>
      <c r="L4960" s="2">
        <f t="shared" si="77"/>
        <v>150</v>
      </c>
    </row>
    <row r="4961" spans="1:12" ht="25" customHeight="1">
      <c r="A4961" s="2" t="s">
        <v>12</v>
      </c>
      <c r="B4961" s="2" t="str">
        <f>HYPERLINK("http://m.12365auto.com/xcdg/20200220/419051.shtml","雪佛兰库罗德神秘车型 455马力 限量100台")</f>
        <v>雪佛兰库罗德神秘车型 455马力 限量100台</v>
      </c>
      <c r="C4961" s="2" t="s">
        <v>13</v>
      </c>
      <c r="D4961" s="2" t="s">
        <v>12</v>
      </c>
      <c r="E4961" s="2"/>
      <c r="F4961" s="2" t="str">
        <f>HYPERLINK("http://m.12365auto.com/xcdg/20200220/419051.shtml","http://m.12365auto.com/xcdg/20200220/419051.shtml")</f>
        <v>http://m.12365auto.com/xcdg/20200220/419051.shtml</v>
      </c>
      <c r="G4961" s="2"/>
      <c r="H4961" s="2" t="s">
        <v>6996</v>
      </c>
      <c r="I4961" s="2" t="s">
        <v>19</v>
      </c>
      <c r="J4961" s="2" t="s">
        <v>249</v>
      </c>
      <c r="K4961" s="2" t="s">
        <v>6997</v>
      </c>
      <c r="L4961" s="2">
        <f t="shared" si="77"/>
        <v>150</v>
      </c>
    </row>
    <row r="4962" spans="1:12" ht="25" customHeight="1">
      <c r="A4962" s="2" t="s">
        <v>12</v>
      </c>
      <c r="B4962" s="2" t="str">
        <f>HYPERLINK("http://www.12365auto.com/xcdg/20200220/419051.shtml","雪佛兰库罗德神秘车型 455马力 限量100台")</f>
        <v>雪佛兰库罗德神秘车型 455马力 限量100台</v>
      </c>
      <c r="C4962" s="2" t="s">
        <v>13</v>
      </c>
      <c r="D4962" s="2" t="s">
        <v>12</v>
      </c>
      <c r="E4962" s="2" t="s">
        <v>245</v>
      </c>
      <c r="F4962" s="2" t="str">
        <f>HYPERLINK("http://www.12365auto.com/xcdg/20200220/419051.shtml","http://www.12365auto.com/xcdg/20200220/419051.shtml")</f>
        <v>http://www.12365auto.com/xcdg/20200220/419051.shtml</v>
      </c>
      <c r="G4962" s="2"/>
      <c r="H4962" s="2" t="s">
        <v>6998</v>
      </c>
      <c r="I4962" s="2" t="s">
        <v>19</v>
      </c>
      <c r="J4962" s="2" t="s">
        <v>12</v>
      </c>
      <c r="K4962" s="2" t="s">
        <v>6997</v>
      </c>
      <c r="L4962" s="2">
        <f t="shared" si="77"/>
        <v>150</v>
      </c>
    </row>
    <row r="4963" spans="1:12" ht="25" customHeight="1">
      <c r="A4963" s="2" t="s">
        <v>12</v>
      </c>
      <c r="B4963" s="2" t="str">
        <f>HYPERLINK("http://www.12365auto.com/news/20200220/419050.shtml","长安福特1月销量增长 已复产确保新车交付")</f>
        <v>长安福特1月销量增长 已复产确保新车交付</v>
      </c>
      <c r="C4963" s="2" t="s">
        <v>13</v>
      </c>
      <c r="D4963" s="2" t="s">
        <v>12</v>
      </c>
      <c r="E4963" s="2" t="s">
        <v>276</v>
      </c>
      <c r="F4963" s="2" t="str">
        <f>HYPERLINK("http://www.12365auto.com/news/20200220/419050.shtml","http://www.12365auto.com/news/20200220/419050.shtml")</f>
        <v>http://www.12365auto.com/news/20200220/419050.shtml</v>
      </c>
      <c r="G4963" s="2"/>
      <c r="H4963" s="2" t="s">
        <v>6999</v>
      </c>
      <c r="I4963" s="2" t="s">
        <v>15</v>
      </c>
      <c r="J4963" s="2" t="s">
        <v>12</v>
      </c>
      <c r="K4963" s="2" t="s">
        <v>7000</v>
      </c>
      <c r="L4963" s="2">
        <f t="shared" si="77"/>
        <v>150</v>
      </c>
    </row>
    <row r="4964" spans="1:12" ht="25" customHeight="1">
      <c r="A4964" s="2" t="s">
        <v>12</v>
      </c>
      <c r="B4964" s="2" t="str">
        <f>HYPERLINK("http://m.12365auto.com/news/20200220/419050.shtml","长安福特1月销量增长 已复产确保新车交付")</f>
        <v>长安福特1月销量增长 已复产确保新车交付</v>
      </c>
      <c r="C4964" s="2" t="s">
        <v>13</v>
      </c>
      <c r="D4964" s="2" t="s">
        <v>12</v>
      </c>
      <c r="E4964" s="2"/>
      <c r="F4964" s="2" t="str">
        <f>HYPERLINK("http://m.12365auto.com/news/20200220/419050.shtml","http://m.12365auto.com/news/20200220/419050.shtml")</f>
        <v>http://m.12365auto.com/news/20200220/419050.shtml</v>
      </c>
      <c r="G4964" s="2"/>
      <c r="H4964" s="2" t="s">
        <v>7001</v>
      </c>
      <c r="I4964" s="2" t="s">
        <v>19</v>
      </c>
      <c r="J4964" s="2" t="s">
        <v>2603</v>
      </c>
      <c r="K4964" s="2" t="s">
        <v>7000</v>
      </c>
      <c r="L4964" s="2">
        <f t="shared" si="77"/>
        <v>150</v>
      </c>
    </row>
    <row r="4965" spans="1:12" ht="25" customHeight="1">
      <c r="A4965" s="2" t="s">
        <v>12</v>
      </c>
      <c r="B4965" s="2" t="str">
        <f>HYPERLINK("http://www.12365auto.com/xcdg/20200220/419049.shtml","捷尼赛思全新G80谍照曝光 搭2.0T/年内开售")</f>
        <v>捷尼赛思全新G80谍照曝光 搭2.0T/年内开售</v>
      </c>
      <c r="C4965" s="2" t="s">
        <v>13</v>
      </c>
      <c r="D4965" s="2" t="s">
        <v>12</v>
      </c>
      <c r="E4965" s="2" t="s">
        <v>224</v>
      </c>
      <c r="F4965" s="2" t="str">
        <f>HYPERLINK("http://www.12365auto.com/xcdg/20200220/419049.shtml","http://www.12365auto.com/xcdg/20200220/419049.shtml")</f>
        <v>http://www.12365auto.com/xcdg/20200220/419049.shtml</v>
      </c>
      <c r="G4965" s="2"/>
      <c r="H4965" s="2" t="s">
        <v>7002</v>
      </c>
      <c r="I4965" s="2" t="s">
        <v>15</v>
      </c>
      <c r="J4965" s="2" t="s">
        <v>12</v>
      </c>
      <c r="K4965" s="2" t="s">
        <v>7003</v>
      </c>
      <c r="L4965" s="2">
        <f t="shared" si="77"/>
        <v>150</v>
      </c>
    </row>
    <row r="4966" spans="1:12" ht="25" customHeight="1">
      <c r="A4966" s="2" t="s">
        <v>12</v>
      </c>
      <c r="B4966" s="2" t="str">
        <f>HYPERLINK("http://m.12365auto.com/xcdg/20200220/419049.shtml","捷尼赛思全新G80谍照曝光 搭2.0T/年内开售")</f>
        <v>捷尼赛思全新G80谍照曝光 搭2.0T/年内开售</v>
      </c>
      <c r="C4966" s="2" t="s">
        <v>13</v>
      </c>
      <c r="D4966" s="2" t="s">
        <v>12</v>
      </c>
      <c r="E4966" s="2"/>
      <c r="F4966" s="2" t="str">
        <f>HYPERLINK("http://m.12365auto.com/xcdg/20200220/419049.shtml","http://m.12365auto.com/xcdg/20200220/419049.shtml")</f>
        <v>http://m.12365auto.com/xcdg/20200220/419049.shtml</v>
      </c>
      <c r="G4966" s="2"/>
      <c r="H4966" s="2" t="s">
        <v>7004</v>
      </c>
      <c r="I4966" s="2" t="s">
        <v>19</v>
      </c>
      <c r="J4966" s="2" t="s">
        <v>220</v>
      </c>
      <c r="K4966" s="2" t="s">
        <v>7003</v>
      </c>
      <c r="L4966" s="2">
        <f t="shared" si="77"/>
        <v>150</v>
      </c>
    </row>
    <row r="4967" spans="1:12" ht="25" customHeight="1">
      <c r="A4967" s="2" t="s">
        <v>12</v>
      </c>
      <c r="B4967" s="2" t="str">
        <f>HYPERLINK("http://www.12365auto.com/xcdg/20200220/419048.shtml","凯迪拉克首款纯电动跨界SUV 或将于4月亮相")</f>
        <v>凯迪拉克首款纯电动跨界SUV 或将于4月亮相</v>
      </c>
      <c r="C4967" s="2" t="s">
        <v>13</v>
      </c>
      <c r="D4967" s="2" t="s">
        <v>12</v>
      </c>
      <c r="E4967" s="2" t="s">
        <v>216</v>
      </c>
      <c r="F4967" s="2" t="str">
        <f>HYPERLINK("http://www.12365auto.com/xcdg/20200220/419048.shtml","http://www.12365auto.com/xcdg/20200220/419048.shtml")</f>
        <v>http://www.12365auto.com/xcdg/20200220/419048.shtml</v>
      </c>
      <c r="G4967" s="2"/>
      <c r="H4967" s="2" t="s">
        <v>7005</v>
      </c>
      <c r="I4967" s="2" t="s">
        <v>15</v>
      </c>
      <c r="J4967" s="2" t="s">
        <v>12</v>
      </c>
      <c r="K4967" s="2" t="s">
        <v>7006</v>
      </c>
      <c r="L4967" s="2">
        <f t="shared" si="77"/>
        <v>150</v>
      </c>
    </row>
    <row r="4968" spans="1:12" ht="25" customHeight="1">
      <c r="A4968" s="2" t="s">
        <v>12</v>
      </c>
      <c r="B4968" s="2" t="str">
        <f>HYPERLINK("http://m.12365auto.com/xcdg/20200220/419048.shtml","凯迪拉克首款纯电动跨界SUV 或将于4月亮相")</f>
        <v>凯迪拉克首款纯电动跨界SUV 或将于4月亮相</v>
      </c>
      <c r="C4968" s="2" t="s">
        <v>13</v>
      </c>
      <c r="D4968" s="2" t="s">
        <v>12</v>
      </c>
      <c r="E4968" s="2"/>
      <c r="F4968" s="2" t="str">
        <f>HYPERLINK("http://m.12365auto.com/xcdg/20200220/419048.shtml","http://m.12365auto.com/xcdg/20200220/419048.shtml")</f>
        <v>http://m.12365auto.com/xcdg/20200220/419048.shtml</v>
      </c>
      <c r="G4968" s="2"/>
      <c r="H4968" s="2" t="s">
        <v>7007</v>
      </c>
      <c r="I4968" s="2" t="s">
        <v>19</v>
      </c>
      <c r="J4968" s="2" t="s">
        <v>222</v>
      </c>
      <c r="K4968" s="2" t="s">
        <v>7006</v>
      </c>
      <c r="L4968" s="2">
        <f t="shared" si="77"/>
        <v>150</v>
      </c>
    </row>
    <row r="4969" spans="1:12" ht="25" customHeight="1">
      <c r="A4969" s="2" t="s">
        <v>12</v>
      </c>
      <c r="B4969" s="2" t="str">
        <f>HYPERLINK("http://www.12365auto.com/xcdg/20200220/419047.shtml","江淮新中型SUV曝光 主推6座车型/前脸太帅了")</f>
        <v>江淮新中型SUV曝光 主推6座车型/前脸太帅了</v>
      </c>
      <c r="C4969" s="2" t="s">
        <v>13</v>
      </c>
      <c r="D4969" s="2" t="s">
        <v>12</v>
      </c>
      <c r="E4969" s="2" t="s">
        <v>216</v>
      </c>
      <c r="F4969" s="2" t="str">
        <f>HYPERLINK("http://www.12365auto.com/xcdg/20200220/419047.shtml","http://www.12365auto.com/xcdg/20200220/419047.shtml")</f>
        <v>http://www.12365auto.com/xcdg/20200220/419047.shtml</v>
      </c>
      <c r="G4969" s="2"/>
      <c r="H4969" s="2" t="s">
        <v>7008</v>
      </c>
      <c r="I4969" s="2" t="s">
        <v>15</v>
      </c>
      <c r="J4969" s="2" t="s">
        <v>12</v>
      </c>
      <c r="K4969" s="2" t="s">
        <v>7009</v>
      </c>
      <c r="L4969" s="2">
        <f t="shared" si="77"/>
        <v>150</v>
      </c>
    </row>
    <row r="4970" spans="1:12" ht="25" customHeight="1">
      <c r="A4970" s="2" t="s">
        <v>12</v>
      </c>
      <c r="B4970" s="2" t="str">
        <f>HYPERLINK("http://m.12365auto.com/xcdg/20200220/419047.shtml","江淮新中型SUV曝光 主推6座车型/前脸太帅了")</f>
        <v>江淮新中型SUV曝光 主推6座车型/前脸太帅了</v>
      </c>
      <c r="C4970" s="2" t="s">
        <v>13</v>
      </c>
      <c r="D4970" s="2" t="s">
        <v>12</v>
      </c>
      <c r="E4970" s="2"/>
      <c r="F4970" s="2" t="str">
        <f>HYPERLINK("http://m.12365auto.com/xcdg/20200220/419047.shtml","http://m.12365auto.com/xcdg/20200220/419047.shtml")</f>
        <v>http://m.12365auto.com/xcdg/20200220/419047.shtml</v>
      </c>
      <c r="G4970" s="2"/>
      <c r="H4970" s="2" t="s">
        <v>7010</v>
      </c>
      <c r="I4970" s="2" t="s">
        <v>19</v>
      </c>
      <c r="J4970" s="2" t="s">
        <v>732</v>
      </c>
      <c r="K4970" s="2" t="s">
        <v>7009</v>
      </c>
      <c r="L4970" s="2">
        <f t="shared" si="77"/>
        <v>150</v>
      </c>
    </row>
    <row r="4971" spans="1:12" ht="25" customHeight="1">
      <c r="A4971" s="2" t="s">
        <v>12</v>
      </c>
      <c r="B4971" s="2" t="str">
        <f>HYPERLINK("http://www.12365auto.com/xcdg/20200220/419046.shtml","丰田新SUV预告图曝光 下月亮相/配四驱系统")</f>
        <v>丰田新SUV预告图曝光 下月亮相/配四驱系统</v>
      </c>
      <c r="C4971" s="2" t="s">
        <v>13</v>
      </c>
      <c r="D4971" s="2" t="s">
        <v>12</v>
      </c>
      <c r="E4971" s="2" t="s">
        <v>216</v>
      </c>
      <c r="F4971" s="2" t="str">
        <f>HYPERLINK("http://www.12365auto.com/xcdg/20200220/419046.shtml","http://www.12365auto.com/xcdg/20200220/419046.shtml")</f>
        <v>http://www.12365auto.com/xcdg/20200220/419046.shtml</v>
      </c>
      <c r="G4971" s="2"/>
      <c r="H4971" s="2" t="s">
        <v>7011</v>
      </c>
      <c r="I4971" s="2" t="s">
        <v>15</v>
      </c>
      <c r="J4971" s="2" t="s">
        <v>12</v>
      </c>
      <c r="K4971" s="2" t="s">
        <v>7012</v>
      </c>
      <c r="L4971" s="2">
        <f t="shared" si="77"/>
        <v>150</v>
      </c>
    </row>
    <row r="4972" spans="1:12" ht="25" customHeight="1">
      <c r="A4972" s="2" t="s">
        <v>12</v>
      </c>
      <c r="B4972" s="2" t="str">
        <f>HYPERLINK("http://m.12365auto.com/xcdg/20200220/419046.shtml","丰田新SUV预告图曝光 下月亮相/配四驱系统")</f>
        <v>丰田新SUV预告图曝光 下月亮相/配四驱系统</v>
      </c>
      <c r="C4972" s="2" t="s">
        <v>13</v>
      </c>
      <c r="D4972" s="2" t="s">
        <v>12</v>
      </c>
      <c r="E4972" s="2"/>
      <c r="F4972" s="2" t="str">
        <f>HYPERLINK("http://m.12365auto.com/xcdg/20200220/419046.shtml","http://m.12365auto.com/xcdg/20200220/419046.shtml")</f>
        <v>http://m.12365auto.com/xcdg/20200220/419046.shtml</v>
      </c>
      <c r="G4972" s="2"/>
      <c r="H4972" s="2" t="s">
        <v>7013</v>
      </c>
      <c r="I4972" s="2" t="s">
        <v>19</v>
      </c>
      <c r="J4972" s="2" t="s">
        <v>220</v>
      </c>
      <c r="K4972" s="2" t="s">
        <v>7012</v>
      </c>
      <c r="L4972" s="2">
        <f t="shared" si="77"/>
        <v>150</v>
      </c>
    </row>
    <row r="4973" spans="1:12" ht="25" customHeight="1">
      <c r="A4973" s="2" t="s">
        <v>12</v>
      </c>
      <c r="B4973" s="2" t="str">
        <f>HYPERLINK("http://www.12365auto.com/xcdg/20200220/419045.shtml","乘坐宽裕 后备厢真大 丰田威兰达空间解读")</f>
        <v>乘坐宽裕 后备厢真大 丰田威兰达空间解读</v>
      </c>
      <c r="C4973" s="2" t="s">
        <v>13</v>
      </c>
      <c r="D4973" s="2" t="s">
        <v>12</v>
      </c>
      <c r="E4973" s="2" t="s">
        <v>216</v>
      </c>
      <c r="F4973" s="2" t="str">
        <f>HYPERLINK("http://www.12365auto.com/xcdg/20200220/419045.shtml","http://www.12365auto.com/xcdg/20200220/419045.shtml")</f>
        <v>http://www.12365auto.com/xcdg/20200220/419045.shtml</v>
      </c>
      <c r="G4973" s="2"/>
      <c r="H4973" s="2" t="s">
        <v>7014</v>
      </c>
      <c r="I4973" s="2" t="s">
        <v>15</v>
      </c>
      <c r="J4973" s="2" t="s">
        <v>12</v>
      </c>
      <c r="K4973" s="2" t="s">
        <v>7015</v>
      </c>
      <c r="L4973" s="2">
        <f t="shared" si="77"/>
        <v>150</v>
      </c>
    </row>
    <row r="4974" spans="1:12" ht="25" customHeight="1">
      <c r="A4974" s="2" t="s">
        <v>12</v>
      </c>
      <c r="B4974" s="2" t="str">
        <f>HYPERLINK("http://m.12365auto.com/xcdg/20200220/419045.shtml","乘坐宽裕 后备厢真大 丰田威兰达空间解读")</f>
        <v>乘坐宽裕 后备厢真大 丰田威兰达空间解读</v>
      </c>
      <c r="C4974" s="2" t="s">
        <v>13</v>
      </c>
      <c r="D4974" s="2" t="s">
        <v>12</v>
      </c>
      <c r="E4974" s="2"/>
      <c r="F4974" s="2" t="str">
        <f>HYPERLINK("http://m.12365auto.com/xcdg/20200220/419045.shtml","http://m.12365auto.com/xcdg/20200220/419045.shtml")</f>
        <v>http://m.12365auto.com/xcdg/20200220/419045.shtml</v>
      </c>
      <c r="G4974" s="2"/>
      <c r="H4974" s="2" t="s">
        <v>7016</v>
      </c>
      <c r="I4974" s="2" t="s">
        <v>19</v>
      </c>
      <c r="J4974" s="2" t="s">
        <v>1247</v>
      </c>
      <c r="K4974" s="2" t="s">
        <v>7015</v>
      </c>
      <c r="L4974" s="2">
        <f t="shared" si="77"/>
        <v>150</v>
      </c>
    </row>
    <row r="4975" spans="1:12" ht="25" customHeight="1">
      <c r="A4975" s="2" t="s">
        <v>12</v>
      </c>
      <c r="B4975" s="2" t="str">
        <f>HYPERLINK("http://m.12365auto.com/xcdg/20200220/419044.shtml","优惠3万 保养贵不贵？凯迪拉克CT5到店探访")</f>
        <v>优惠3万 保养贵不贵？凯迪拉克CT5到店探访</v>
      </c>
      <c r="C4975" s="2" t="s">
        <v>13</v>
      </c>
      <c r="D4975" s="2" t="s">
        <v>12</v>
      </c>
      <c r="E4975" s="2"/>
      <c r="F4975" s="2" t="str">
        <f>HYPERLINK("http://m.12365auto.com/xcdg/20200220/419044.shtml","http://m.12365auto.com/xcdg/20200220/419044.shtml")</f>
        <v>http://m.12365auto.com/xcdg/20200220/419044.shtml</v>
      </c>
      <c r="G4975" s="2"/>
      <c r="H4975" s="2" t="s">
        <v>7017</v>
      </c>
      <c r="I4975" s="2" t="s">
        <v>19</v>
      </c>
      <c r="J4975" s="2" t="s">
        <v>3500</v>
      </c>
      <c r="K4975" s="2" t="s">
        <v>7018</v>
      </c>
      <c r="L4975" s="2">
        <f t="shared" si="77"/>
        <v>150</v>
      </c>
    </row>
    <row r="4976" spans="1:12" ht="25" customHeight="1">
      <c r="A4976" s="2" t="s">
        <v>12</v>
      </c>
      <c r="B4976" s="2" t="str">
        <f>HYPERLINK("http://www.12365auto.com/xcdg/20200220/419043.shtml","保时捷Macan再进化 推新设备套件有颜有内涵")</f>
        <v>保时捷Macan再进化 推新设备套件有颜有内涵</v>
      </c>
      <c r="C4976" s="2" t="s">
        <v>13</v>
      </c>
      <c r="D4976" s="2" t="s">
        <v>12</v>
      </c>
      <c r="E4976" s="2" t="s">
        <v>216</v>
      </c>
      <c r="F4976" s="2" t="str">
        <f>HYPERLINK("http://www.12365auto.com/xcdg/20200220/419043.shtml","http://www.12365auto.com/xcdg/20200220/419043.shtml")</f>
        <v>http://www.12365auto.com/xcdg/20200220/419043.shtml</v>
      </c>
      <c r="G4976" s="2"/>
      <c r="H4976" s="2" t="s">
        <v>7019</v>
      </c>
      <c r="I4976" s="2" t="s">
        <v>15</v>
      </c>
      <c r="J4976" s="2" t="s">
        <v>12</v>
      </c>
      <c r="K4976" s="2" t="s">
        <v>7020</v>
      </c>
      <c r="L4976" s="2">
        <f t="shared" si="77"/>
        <v>150</v>
      </c>
    </row>
    <row r="4977" spans="1:12" ht="25" customHeight="1">
      <c r="A4977" s="2" t="s">
        <v>12</v>
      </c>
      <c r="B4977" s="2" t="str">
        <f>HYPERLINK("http://m.12365auto.com/xcdg/20200220/419043.shtml","保时捷Macan再进化 推新设备套件有颜有内涵")</f>
        <v>保时捷Macan再进化 推新设备套件有颜有内涵</v>
      </c>
      <c r="C4977" s="2" t="s">
        <v>13</v>
      </c>
      <c r="D4977" s="2" t="s">
        <v>12</v>
      </c>
      <c r="E4977" s="2"/>
      <c r="F4977" s="2" t="str">
        <f>HYPERLINK("http://m.12365auto.com/xcdg/20200220/419043.shtml","http://m.12365auto.com/xcdg/20200220/419043.shtml")</f>
        <v>http://m.12365auto.com/xcdg/20200220/419043.shtml</v>
      </c>
      <c r="G4977" s="2"/>
      <c r="H4977" s="2" t="s">
        <v>7021</v>
      </c>
      <c r="I4977" s="2" t="s">
        <v>19</v>
      </c>
      <c r="J4977" s="2" t="s">
        <v>222</v>
      </c>
      <c r="K4977" s="2" t="s">
        <v>7020</v>
      </c>
      <c r="L4977" s="2">
        <f t="shared" si="77"/>
        <v>150</v>
      </c>
    </row>
    <row r="4978" spans="1:12" ht="25" customHeight="1">
      <c r="A4978" s="2" t="s">
        <v>12</v>
      </c>
      <c r="B4978" s="2" t="str">
        <f>HYPERLINK("http://www.12365auto.com/xcdg/20200220/419042.shtml","荣威i6插混动力曝光 油耗下降近三成")</f>
        <v>荣威i6插混动力曝光 油耗下降近三成</v>
      </c>
      <c r="C4978" s="2" t="s">
        <v>13</v>
      </c>
      <c r="D4978" s="2" t="s">
        <v>12</v>
      </c>
      <c r="E4978" s="2" t="s">
        <v>216</v>
      </c>
      <c r="F4978" s="2" t="str">
        <f>HYPERLINK("http://www.12365auto.com/xcdg/20200220/419042.shtml","http://www.12365auto.com/xcdg/20200220/419042.shtml")</f>
        <v>http://www.12365auto.com/xcdg/20200220/419042.shtml</v>
      </c>
      <c r="G4978" s="2"/>
      <c r="H4978" s="2" t="s">
        <v>7022</v>
      </c>
      <c r="I4978" s="2" t="s">
        <v>15</v>
      </c>
      <c r="J4978" s="2" t="s">
        <v>12</v>
      </c>
      <c r="K4978" s="2" t="s">
        <v>7023</v>
      </c>
      <c r="L4978" s="2">
        <f t="shared" si="77"/>
        <v>150</v>
      </c>
    </row>
    <row r="4979" spans="1:12" ht="25" customHeight="1">
      <c r="A4979" s="2" t="s">
        <v>12</v>
      </c>
      <c r="B4979" s="2" t="str">
        <f>HYPERLINK("http://m.12365auto.com/xcdg/20200220/419042.shtml","荣威i6插混动力曝光 油耗下降近三成")</f>
        <v>荣威i6插混动力曝光 油耗下降近三成</v>
      </c>
      <c r="C4979" s="2" t="s">
        <v>13</v>
      </c>
      <c r="D4979" s="2" t="s">
        <v>12</v>
      </c>
      <c r="E4979" s="2"/>
      <c r="F4979" s="2" t="str">
        <f>HYPERLINK("http://m.12365auto.com/xcdg/20200220/419042.shtml","http://m.12365auto.com/xcdg/20200220/419042.shtml")</f>
        <v>http://m.12365auto.com/xcdg/20200220/419042.shtml</v>
      </c>
      <c r="G4979" s="2"/>
      <c r="H4979" s="2" t="s">
        <v>7024</v>
      </c>
      <c r="I4979" s="2" t="s">
        <v>19</v>
      </c>
      <c r="J4979" s="2" t="s">
        <v>6086</v>
      </c>
      <c r="K4979" s="2" t="s">
        <v>7023</v>
      </c>
      <c r="L4979" s="2">
        <f t="shared" si="77"/>
        <v>150</v>
      </c>
    </row>
    <row r="4980" spans="1:12" ht="25" customHeight="1">
      <c r="A4980" s="2" t="s">
        <v>12</v>
      </c>
      <c r="B4980" s="2" t="str">
        <f>HYPERLINK("http://www.12365auto.com/news/20200220/419041.shtml","苦练内功！一汽奥迪经销商疫情期间全力备战")</f>
        <v>苦练内功！一汽奥迪经销商疫情期间全力备战</v>
      </c>
      <c r="C4980" s="2" t="s">
        <v>13</v>
      </c>
      <c r="D4980" s="2" t="s">
        <v>12</v>
      </c>
      <c r="E4980" s="2" t="s">
        <v>276</v>
      </c>
      <c r="F4980" s="2" t="str">
        <f>HYPERLINK("http://www.12365auto.com/news/20200220/419041.shtml","http://www.12365auto.com/news/20200220/419041.shtml")</f>
        <v>http://www.12365auto.com/news/20200220/419041.shtml</v>
      </c>
      <c r="G4980" s="2"/>
      <c r="H4980" s="2" t="s">
        <v>7025</v>
      </c>
      <c r="I4980" s="2" t="s">
        <v>15</v>
      </c>
      <c r="J4980" s="2" t="s">
        <v>12</v>
      </c>
      <c r="K4980" s="2" t="s">
        <v>7026</v>
      </c>
      <c r="L4980" s="2">
        <f t="shared" si="77"/>
        <v>150</v>
      </c>
    </row>
    <row r="4981" spans="1:12" ht="25" customHeight="1">
      <c r="A4981" s="2" t="s">
        <v>12</v>
      </c>
      <c r="B4981" s="2" t="str">
        <f>HYPERLINK("http://www.12365auto.com/zlts/20200220/447848.shtml","进口宝马3系保养使用抵用券后要求补款")</f>
        <v>进口宝马3系保养使用抵用券后要求补款</v>
      </c>
      <c r="C4981" s="2" t="s">
        <v>13</v>
      </c>
      <c r="D4981" s="2" t="s">
        <v>12</v>
      </c>
      <c r="E4981" s="2" t="s">
        <v>17</v>
      </c>
      <c r="F4981" s="2" t="str">
        <f>HYPERLINK("http://www.12365auto.com/zlts/20200220/447848.shtml","http://www.12365auto.com/zlts/20200220/447848.shtml")</f>
        <v>http://www.12365auto.com/zlts/20200220/447848.shtml</v>
      </c>
      <c r="G4981" s="2"/>
      <c r="H4981" s="2" t="s">
        <v>7027</v>
      </c>
      <c r="I4981" s="2" t="s">
        <v>19</v>
      </c>
      <c r="J4981" s="2" t="s">
        <v>12</v>
      </c>
      <c r="K4981" s="2" t="s">
        <v>7026</v>
      </c>
      <c r="L4981" s="2">
        <f t="shared" si="77"/>
        <v>150</v>
      </c>
    </row>
    <row r="4982" spans="1:12" ht="25" customHeight="1">
      <c r="A4982" s="2" t="s">
        <v>12</v>
      </c>
      <c r="B4982" s="2" t="str">
        <f>HYPERLINK("http://m.12365auto.com/news/20200220/419041.shtml","苦练内功！一汽奥迪经销商疫情期间全力备战")</f>
        <v>苦练内功！一汽奥迪经销商疫情期间全力备战</v>
      </c>
      <c r="C4982" s="2" t="s">
        <v>13</v>
      </c>
      <c r="D4982" s="2" t="s">
        <v>12</v>
      </c>
      <c r="E4982" s="2"/>
      <c r="F4982" s="2" t="str">
        <f>HYPERLINK("http://m.12365auto.com/news/20200220/419041.shtml","http://m.12365auto.com/news/20200220/419041.shtml")</f>
        <v>http://m.12365auto.com/news/20200220/419041.shtml</v>
      </c>
      <c r="G4982" s="2"/>
      <c r="H4982" s="2" t="s">
        <v>7028</v>
      </c>
      <c r="I4982" s="2" t="s">
        <v>19</v>
      </c>
      <c r="J4982" s="2" t="s">
        <v>732</v>
      </c>
      <c r="K4982" s="2" t="s">
        <v>7026</v>
      </c>
      <c r="L4982" s="2">
        <f t="shared" si="77"/>
        <v>150</v>
      </c>
    </row>
    <row r="4983" spans="1:12" ht="25" customHeight="1">
      <c r="A4983" s="2" t="s">
        <v>12</v>
      </c>
      <c r="B4983" s="2" t="str">
        <f>HYPERLINK("http://www.12365auto.com/news/20200220/419040.shtml","一汽-大众华北全面复工 把握市场机遇")</f>
        <v>一汽-大众华北全面复工 把握市场机遇</v>
      </c>
      <c r="C4983" s="2" t="s">
        <v>13</v>
      </c>
      <c r="D4983" s="2" t="s">
        <v>12</v>
      </c>
      <c r="E4983" s="2" t="s">
        <v>276</v>
      </c>
      <c r="F4983" s="2" t="str">
        <f>HYPERLINK("http://www.12365auto.com/news/20200220/419040.shtml","http://www.12365auto.com/news/20200220/419040.shtml")</f>
        <v>http://www.12365auto.com/news/20200220/419040.shtml</v>
      </c>
      <c r="G4983" s="2"/>
      <c r="H4983" s="2" t="s">
        <v>7029</v>
      </c>
      <c r="I4983" s="2" t="s">
        <v>15</v>
      </c>
      <c r="J4983" s="2" t="s">
        <v>12</v>
      </c>
      <c r="K4983" s="2" t="s">
        <v>7030</v>
      </c>
      <c r="L4983" s="2">
        <f t="shared" si="77"/>
        <v>150</v>
      </c>
    </row>
    <row r="4984" spans="1:12" ht="25" customHeight="1">
      <c r="A4984" s="2" t="s">
        <v>12</v>
      </c>
      <c r="B4984" s="2" t="str">
        <f>HYPERLINK("http://m.12365auto.com/news/20200220/419040.shtml","一汽-大众华北全面复工 把握市场机遇")</f>
        <v>一汽-大众华北全面复工 把握市场机遇</v>
      </c>
      <c r="C4984" s="2" t="s">
        <v>13</v>
      </c>
      <c r="D4984" s="2" t="s">
        <v>12</v>
      </c>
      <c r="E4984" s="2"/>
      <c r="F4984" s="2" t="str">
        <f>HYPERLINK("http://m.12365auto.com/news/20200220/419040.shtml","http://m.12365auto.com/news/20200220/419040.shtml")</f>
        <v>http://m.12365auto.com/news/20200220/419040.shtml</v>
      </c>
      <c r="G4984" s="2"/>
      <c r="H4984" s="2" t="s">
        <v>7031</v>
      </c>
      <c r="I4984" s="2" t="s">
        <v>19</v>
      </c>
      <c r="J4984" s="2" t="s">
        <v>732</v>
      </c>
      <c r="K4984" s="2" t="s">
        <v>7030</v>
      </c>
      <c r="L4984" s="2">
        <f t="shared" si="77"/>
        <v>150</v>
      </c>
    </row>
    <row r="4985" spans="1:12" ht="25" customHeight="1">
      <c r="A4985" s="2" t="s">
        <v>12</v>
      </c>
      <c r="B4985" s="2" t="str">
        <f>HYPERLINK("http://www.12365auto.com/xcdg/20200220/419039.shtml","两种动力/三种四驱 广汽丰田威兰达动力解读")</f>
        <v>两种动力/三种四驱 广汽丰田威兰达动力解读</v>
      </c>
      <c r="C4985" s="2" t="s">
        <v>13</v>
      </c>
      <c r="D4985" s="2" t="s">
        <v>12</v>
      </c>
      <c r="E4985" s="2" t="s">
        <v>216</v>
      </c>
      <c r="F4985" s="2" t="str">
        <f>HYPERLINK("http://www.12365auto.com/xcdg/20200220/419039.shtml","http://www.12365auto.com/xcdg/20200220/419039.shtml")</f>
        <v>http://www.12365auto.com/xcdg/20200220/419039.shtml</v>
      </c>
      <c r="G4985" s="2"/>
      <c r="H4985" s="2" t="s">
        <v>7032</v>
      </c>
      <c r="I4985" s="2" t="s">
        <v>15</v>
      </c>
      <c r="J4985" s="2" t="s">
        <v>12</v>
      </c>
      <c r="K4985" s="2" t="s">
        <v>7033</v>
      </c>
      <c r="L4985" s="2">
        <f t="shared" si="77"/>
        <v>150</v>
      </c>
    </row>
    <row r="4986" spans="1:12" ht="25" customHeight="1">
      <c r="A4986" s="2" t="s">
        <v>12</v>
      </c>
      <c r="B4986" s="2" t="str">
        <f>HYPERLINK("http://m.12365auto.com/xcdg/20200220/419039.shtml","两种动力/三种四驱 广汽丰田威兰达动力解读")</f>
        <v>两种动力/三种四驱 广汽丰田威兰达动力解读</v>
      </c>
      <c r="C4986" s="2" t="s">
        <v>13</v>
      </c>
      <c r="D4986" s="2" t="s">
        <v>12</v>
      </c>
      <c r="E4986" s="2"/>
      <c r="F4986" s="2" t="str">
        <f>HYPERLINK("http://m.12365auto.com/xcdg/20200220/419039.shtml","http://m.12365auto.com/xcdg/20200220/419039.shtml")</f>
        <v>http://m.12365auto.com/xcdg/20200220/419039.shtml</v>
      </c>
      <c r="G4986" s="2"/>
      <c r="H4986" s="2" t="s">
        <v>7034</v>
      </c>
      <c r="I4986" s="2" t="s">
        <v>19</v>
      </c>
      <c r="J4986" s="2" t="s">
        <v>1247</v>
      </c>
      <c r="K4986" s="2" t="s">
        <v>7033</v>
      </c>
      <c r="L4986" s="2">
        <f t="shared" si="77"/>
        <v>150</v>
      </c>
    </row>
    <row r="4987" spans="1:12" ht="25" customHeight="1">
      <c r="A4987" s="2" t="s">
        <v>12</v>
      </c>
      <c r="B4987" s="2" t="str">
        <f>HYPERLINK("http://www.12365auto.com/news/20200220/419038.shtml","路遇烦人的“远光狗”怎么办？这功能用起来")</f>
        <v>路遇烦人的“远光狗”怎么办？这功能用起来</v>
      </c>
      <c r="C4987" s="2" t="s">
        <v>13</v>
      </c>
      <c r="D4987" s="2" t="s">
        <v>12</v>
      </c>
      <c r="E4987" s="2" t="s">
        <v>276</v>
      </c>
      <c r="F4987" s="2" t="str">
        <f>HYPERLINK("http://www.12365auto.com/news/20200220/419038.shtml","http://www.12365auto.com/news/20200220/419038.shtml")</f>
        <v>http://www.12365auto.com/news/20200220/419038.shtml</v>
      </c>
      <c r="G4987" s="2"/>
      <c r="H4987" s="2" t="s">
        <v>7035</v>
      </c>
      <c r="I4987" s="2" t="s">
        <v>15</v>
      </c>
      <c r="J4987" s="2" t="s">
        <v>12</v>
      </c>
      <c r="K4987" s="2" t="s">
        <v>7036</v>
      </c>
      <c r="L4987" s="2">
        <f t="shared" si="77"/>
        <v>150</v>
      </c>
    </row>
    <row r="4988" spans="1:12" ht="25" customHeight="1">
      <c r="A4988" s="2" t="s">
        <v>12</v>
      </c>
      <c r="B4988" s="2" t="str">
        <f>HYPERLINK("http://m.12365auto.com/news/20200220/419038.shtml","路遇烦人的“远光狗”怎么办？这功能用起来")</f>
        <v>路遇烦人的“远光狗”怎么办？这功能用起来</v>
      </c>
      <c r="C4988" s="2" t="s">
        <v>13</v>
      </c>
      <c r="D4988" s="2" t="s">
        <v>12</v>
      </c>
      <c r="E4988" s="2"/>
      <c r="F4988" s="2" t="str">
        <f>HYPERLINK("http://m.12365auto.com/news/20200220/419038.shtml","http://m.12365auto.com/news/20200220/419038.shtml")</f>
        <v>http://m.12365auto.com/news/20200220/419038.shtml</v>
      </c>
      <c r="G4988" s="2"/>
      <c r="H4988" s="2" t="s">
        <v>7037</v>
      </c>
      <c r="I4988" s="2" t="s">
        <v>19</v>
      </c>
      <c r="J4988" s="2" t="s">
        <v>222</v>
      </c>
      <c r="K4988" s="2" t="s">
        <v>7036</v>
      </c>
      <c r="L4988" s="2">
        <f t="shared" si="77"/>
        <v>150</v>
      </c>
    </row>
    <row r="4989" spans="1:12" ht="25" customHeight="1">
      <c r="A4989" s="2" t="s">
        <v>12</v>
      </c>
      <c r="B4989" s="2" t="str">
        <f>HYPERLINK("http://www.12365auto.com/news/20200220/419037.shtml","为什么很多车白天开灯？有哪些关键作用")</f>
        <v>为什么很多车白天开灯？有哪些关键作用</v>
      </c>
      <c r="C4989" s="2" t="s">
        <v>13</v>
      </c>
      <c r="D4989" s="2" t="s">
        <v>12</v>
      </c>
      <c r="E4989" s="2" t="s">
        <v>372</v>
      </c>
      <c r="F4989" s="2" t="str">
        <f>HYPERLINK("http://www.12365auto.com/news/20200220/419037.shtml","http://www.12365auto.com/news/20200220/419037.shtml")</f>
        <v>http://www.12365auto.com/news/20200220/419037.shtml</v>
      </c>
      <c r="G4989" s="2"/>
      <c r="H4989" s="2" t="s">
        <v>7038</v>
      </c>
      <c r="I4989" s="2" t="s">
        <v>15</v>
      </c>
      <c r="J4989" s="2" t="s">
        <v>12</v>
      </c>
      <c r="K4989" s="2" t="s">
        <v>7039</v>
      </c>
      <c r="L4989" s="2">
        <f t="shared" si="77"/>
        <v>150</v>
      </c>
    </row>
    <row r="4990" spans="1:12" ht="25" customHeight="1">
      <c r="A4990" s="2" t="s">
        <v>12</v>
      </c>
      <c r="B4990" s="2" t="str">
        <f>HYPERLINK("http://m.12365auto.com/news/20200220/419037.shtml","为什么很多车白天开灯？有哪些关键作用")</f>
        <v>为什么很多车白天开灯？有哪些关键作用</v>
      </c>
      <c r="C4990" s="2" t="s">
        <v>13</v>
      </c>
      <c r="D4990" s="2" t="s">
        <v>12</v>
      </c>
      <c r="E4990" s="2"/>
      <c r="F4990" s="2" t="str">
        <f>HYPERLINK("http://m.12365auto.com/news/20200220/419037.shtml","http://m.12365auto.com/news/20200220/419037.shtml")</f>
        <v>http://m.12365auto.com/news/20200220/419037.shtml</v>
      </c>
      <c r="G4990" s="2"/>
      <c r="H4990" s="2" t="s">
        <v>7040</v>
      </c>
      <c r="I4990" s="2" t="s">
        <v>19</v>
      </c>
      <c r="J4990" s="2" t="s">
        <v>222</v>
      </c>
      <c r="K4990" s="2" t="s">
        <v>7039</v>
      </c>
      <c r="L4990" s="2">
        <f t="shared" si="77"/>
        <v>150</v>
      </c>
    </row>
    <row r="4991" spans="1:12" ht="25" customHeight="1">
      <c r="A4991" s="2" t="s">
        <v>12</v>
      </c>
      <c r="B4991" s="2" t="str">
        <f>HYPERLINK("http://www.12365auto.com/xcdg/20200220/419036.shtml","新名爵6插混版动力曝光 续航70km油耗1.1L")</f>
        <v>新名爵6插混版动力曝光 续航70km油耗1.1L</v>
      </c>
      <c r="C4991" s="2" t="s">
        <v>13</v>
      </c>
      <c r="D4991" s="2" t="s">
        <v>12</v>
      </c>
      <c r="E4991" s="2" t="s">
        <v>216</v>
      </c>
      <c r="F4991" s="2" t="str">
        <f>HYPERLINK("http://www.12365auto.com/xcdg/20200220/419036.shtml","http://www.12365auto.com/xcdg/20200220/419036.shtml")</f>
        <v>http://www.12365auto.com/xcdg/20200220/419036.shtml</v>
      </c>
      <c r="G4991" s="2"/>
      <c r="H4991" s="2" t="s">
        <v>7041</v>
      </c>
      <c r="I4991" s="2" t="s">
        <v>15</v>
      </c>
      <c r="J4991" s="2" t="s">
        <v>12</v>
      </c>
      <c r="K4991" s="2" t="s">
        <v>7042</v>
      </c>
      <c r="L4991" s="2">
        <f t="shared" si="77"/>
        <v>150</v>
      </c>
    </row>
    <row r="4992" spans="1:12" ht="25" customHeight="1">
      <c r="A4992" s="2" t="s">
        <v>12</v>
      </c>
      <c r="B4992" s="2" t="str">
        <f>HYPERLINK("http://m.12365auto.com/xcdg/20200220/419036.shtml","新名爵6插混版动力曝光 续航70km油耗1.1L")</f>
        <v>新名爵6插混版动力曝光 续航70km油耗1.1L</v>
      </c>
      <c r="C4992" s="2" t="s">
        <v>13</v>
      </c>
      <c r="D4992" s="2" t="s">
        <v>12</v>
      </c>
      <c r="E4992" s="2"/>
      <c r="F4992" s="2" t="str">
        <f>HYPERLINK("http://m.12365auto.com/xcdg/20200220/419036.shtml","http://m.12365auto.com/xcdg/20200220/419036.shtml")</f>
        <v>http://m.12365auto.com/xcdg/20200220/419036.shtml</v>
      </c>
      <c r="G4992" s="2"/>
      <c r="H4992" s="2" t="s">
        <v>7043</v>
      </c>
      <c r="I4992" s="2" t="s">
        <v>19</v>
      </c>
      <c r="J4992" s="2" t="s">
        <v>732</v>
      </c>
      <c r="K4992" s="2" t="s">
        <v>7042</v>
      </c>
      <c r="L4992" s="2">
        <f t="shared" si="77"/>
        <v>150</v>
      </c>
    </row>
    <row r="4993" spans="1:12" ht="25" customHeight="1">
      <c r="A4993" s="2" t="s">
        <v>12</v>
      </c>
      <c r="B4993" s="2" t="str">
        <f>HYPERLINK("http://m.12365auto.com/xcdg/20200220/419035.shtml","全新哈弗H6不仅销量第一 比途观L更懂消费者")</f>
        <v>全新哈弗H6不仅销量第一 比途观L更懂消费者</v>
      </c>
      <c r="C4993" s="2" t="s">
        <v>13</v>
      </c>
      <c r="D4993" s="2" t="s">
        <v>12</v>
      </c>
      <c r="E4993" s="2"/>
      <c r="F4993" s="2" t="str">
        <f>HYPERLINK("http://m.12365auto.com/xcdg/20200220/419035.shtml","http://m.12365auto.com/xcdg/20200220/419035.shtml")</f>
        <v>http://m.12365auto.com/xcdg/20200220/419035.shtml</v>
      </c>
      <c r="G4993" s="2"/>
      <c r="H4993" s="2" t="s">
        <v>7044</v>
      </c>
      <c r="I4993" s="2" t="s">
        <v>19</v>
      </c>
      <c r="J4993" s="2" t="s">
        <v>3829</v>
      </c>
      <c r="K4993" s="2" t="s">
        <v>7045</v>
      </c>
      <c r="L4993" s="2">
        <f t="shared" si="77"/>
        <v>150</v>
      </c>
    </row>
    <row r="4994" spans="1:12" ht="25" customHeight="1">
      <c r="A4994" s="2" t="s">
        <v>12</v>
      </c>
      <c r="B4994" s="2" t="str">
        <f>HYPERLINK("http://www.12365auto.com/xcdg/20200220/419034.shtml","宝马中期改款5系插混实拍 百公里油耗仅1.5L")</f>
        <v>宝马中期改款5系插混实拍 百公里油耗仅1.5L</v>
      </c>
      <c r="C4994" s="2" t="s">
        <v>13</v>
      </c>
      <c r="D4994" s="2" t="s">
        <v>12</v>
      </c>
      <c r="E4994" s="2" t="s">
        <v>224</v>
      </c>
      <c r="F4994" s="2" t="str">
        <f>HYPERLINK("http://www.12365auto.com/xcdg/20200220/419034.shtml","http://www.12365auto.com/xcdg/20200220/419034.shtml")</f>
        <v>http://www.12365auto.com/xcdg/20200220/419034.shtml</v>
      </c>
      <c r="G4994" s="2"/>
      <c r="H4994" s="2" t="s">
        <v>7046</v>
      </c>
      <c r="I4994" s="2" t="s">
        <v>15</v>
      </c>
      <c r="J4994" s="2" t="s">
        <v>12</v>
      </c>
      <c r="K4994" s="2" t="s">
        <v>7047</v>
      </c>
      <c r="L4994" s="2">
        <f t="shared" si="77"/>
        <v>150</v>
      </c>
    </row>
    <row r="4995" spans="1:12" ht="25" customHeight="1">
      <c r="A4995" s="2" t="s">
        <v>12</v>
      </c>
      <c r="B4995" s="2" t="str">
        <f>HYPERLINK("http://m.12365auto.com/xcdg/20200220/419034.shtml","宝马中期改款5系插混实拍 百公里油耗仅1.5L")</f>
        <v>宝马中期改款5系插混实拍 百公里油耗仅1.5L</v>
      </c>
      <c r="C4995" s="2" t="s">
        <v>13</v>
      </c>
      <c r="D4995" s="2" t="s">
        <v>12</v>
      </c>
      <c r="E4995" s="2"/>
      <c r="F4995" s="2" t="str">
        <f>HYPERLINK("http://m.12365auto.com/xcdg/20200220/419034.shtml","http://m.12365auto.com/xcdg/20200220/419034.shtml")</f>
        <v>http://m.12365auto.com/xcdg/20200220/419034.shtml</v>
      </c>
      <c r="G4995" s="2"/>
      <c r="H4995" s="2" t="s">
        <v>7048</v>
      </c>
      <c r="I4995" s="2" t="s">
        <v>19</v>
      </c>
      <c r="J4995" s="2" t="s">
        <v>739</v>
      </c>
      <c r="K4995" s="2" t="s">
        <v>7047</v>
      </c>
      <c r="L4995" s="2">
        <f t="shared" ref="L4995:L5058" si="78">LEN(H4995)</f>
        <v>150</v>
      </c>
    </row>
    <row r="4996" spans="1:12" ht="25" customHeight="1">
      <c r="A4996" s="2" t="s">
        <v>12</v>
      </c>
      <c r="B4996" s="2" t="str">
        <f>HYPERLINK("http://m.12365auto.com/xcdg/20200220/419033.shtml","20万办齐 还配电滑门 新款传祺GM8到店探访")</f>
        <v>20万办齐 还配电滑门 新款传祺GM8到店探访</v>
      </c>
      <c r="C4996" s="2" t="s">
        <v>13</v>
      </c>
      <c r="D4996" s="2" t="s">
        <v>12</v>
      </c>
      <c r="E4996" s="2"/>
      <c r="F4996" s="2" t="str">
        <f>HYPERLINK("http://m.12365auto.com/xcdg/20200220/419033.shtml","http://m.12365auto.com/xcdg/20200220/419033.shtml")</f>
        <v>http://m.12365auto.com/xcdg/20200220/419033.shtml</v>
      </c>
      <c r="G4996" s="2"/>
      <c r="H4996" s="2" t="s">
        <v>7049</v>
      </c>
      <c r="I4996" s="2" t="s">
        <v>19</v>
      </c>
      <c r="J4996" s="2" t="s">
        <v>1247</v>
      </c>
      <c r="K4996" s="2" t="s">
        <v>7050</v>
      </c>
      <c r="L4996" s="2">
        <f t="shared" si="78"/>
        <v>150</v>
      </c>
    </row>
    <row r="4997" spans="1:12" ht="25" customHeight="1">
      <c r="A4997" s="2" t="s">
        <v>12</v>
      </c>
      <c r="B4997" s="2" t="str">
        <f>HYPERLINK("http://m.12365auto.com/xcdg/20200220/419032.shtml","国产紧凑级SUV如何挑？看完这8款的人都懂了")</f>
        <v>国产紧凑级SUV如何挑？看完这8款的人都懂了</v>
      </c>
      <c r="C4997" s="2" t="s">
        <v>13</v>
      </c>
      <c r="D4997" s="2" t="s">
        <v>12</v>
      </c>
      <c r="E4997" s="2"/>
      <c r="F4997" s="2" t="str">
        <f>HYPERLINK("http://m.12365auto.com/xcdg/20200220/419032.shtml","http://m.12365auto.com/xcdg/20200220/419032.shtml")</f>
        <v>http://m.12365auto.com/xcdg/20200220/419032.shtml</v>
      </c>
      <c r="G4997" s="2"/>
      <c r="H4997" s="2" t="s">
        <v>7051</v>
      </c>
      <c r="I4997" s="2" t="s">
        <v>19</v>
      </c>
      <c r="J4997" s="2" t="s">
        <v>1257</v>
      </c>
      <c r="K4997" s="2" t="s">
        <v>7052</v>
      </c>
      <c r="L4997" s="2">
        <f t="shared" si="78"/>
        <v>150</v>
      </c>
    </row>
    <row r="4998" spans="1:12" ht="25" customHeight="1">
      <c r="A4998" s="2" t="s">
        <v>12</v>
      </c>
      <c r="B4998" s="2" t="str">
        <f>HYPERLINK("http://m.12365auto.com/xcdg/20200220/419030.shtml","优惠后不到30万 如此实惠的Q5L值得买吗？")</f>
        <v>优惠后不到30万 如此实惠的Q5L值得买吗？</v>
      </c>
      <c r="C4998" s="2" t="s">
        <v>13</v>
      </c>
      <c r="D4998" s="2" t="s">
        <v>12</v>
      </c>
      <c r="E4998" s="2"/>
      <c r="F4998" s="2" t="str">
        <f>HYPERLINK("http://m.12365auto.com/xcdg/20200220/419030.shtml","http://m.12365auto.com/xcdg/20200220/419030.shtml")</f>
        <v>http://m.12365auto.com/xcdg/20200220/419030.shtml</v>
      </c>
      <c r="G4998" s="2"/>
      <c r="H4998" s="2" t="s">
        <v>7053</v>
      </c>
      <c r="I4998" s="2" t="s">
        <v>19</v>
      </c>
      <c r="J4998" s="2" t="s">
        <v>1257</v>
      </c>
      <c r="K4998" s="2" t="s">
        <v>7054</v>
      </c>
      <c r="L4998" s="2">
        <f t="shared" si="78"/>
        <v>150</v>
      </c>
    </row>
    <row r="4999" spans="1:12" ht="25" customHeight="1">
      <c r="A4999" s="2" t="s">
        <v>12</v>
      </c>
      <c r="B4999" s="2" t="str">
        <f>HYPERLINK("http://www.12365auto.com/zlts/20200220/447845.shtml","东风本田CR-V两后轮胎异常磨损要求解决")</f>
        <v>东风本田CR-V两后轮胎异常磨损要求解决</v>
      </c>
      <c r="C4999" s="2" t="s">
        <v>13</v>
      </c>
      <c r="D4999" s="2" t="s">
        <v>12</v>
      </c>
      <c r="E4999" s="2"/>
      <c r="F4999" s="2" t="str">
        <f>HYPERLINK("http://www.12365auto.com/zlts/20200220/447845.shtml","http://www.12365auto.com/zlts/20200220/447845.shtml")</f>
        <v>http://www.12365auto.com/zlts/20200220/447845.shtml</v>
      </c>
      <c r="G4999" s="2"/>
      <c r="H4999" s="2" t="s">
        <v>7056</v>
      </c>
      <c r="I4999" s="2" t="s">
        <v>15</v>
      </c>
      <c r="J4999" s="2" t="s">
        <v>12</v>
      </c>
      <c r="K4999" s="2" t="s">
        <v>7055</v>
      </c>
      <c r="L4999" s="2">
        <f t="shared" si="78"/>
        <v>91</v>
      </c>
    </row>
    <row r="5000" spans="1:12" ht="25" customHeight="1">
      <c r="A5000" s="2" t="s">
        <v>12</v>
      </c>
      <c r="B5000" s="2" t="str">
        <f>HYPERLINK("http://www.12365auto.com/xcdg/20200220/419029.shtml","宾利欧陆GT敞篷版官图发布 两种动力可选")</f>
        <v>宾利欧陆GT敞篷版官图发布 两种动力可选</v>
      </c>
      <c r="C5000" s="2" t="s">
        <v>13</v>
      </c>
      <c r="D5000" s="2" t="s">
        <v>12</v>
      </c>
      <c r="E5000" s="2" t="s">
        <v>216</v>
      </c>
      <c r="F5000" s="2" t="str">
        <f>HYPERLINK("http://www.12365auto.com/xcdg/20200220/419029.shtml","http://www.12365auto.com/xcdg/20200220/419029.shtml")</f>
        <v>http://www.12365auto.com/xcdg/20200220/419029.shtml</v>
      </c>
      <c r="G5000" s="2"/>
      <c r="H5000" s="2" t="s">
        <v>7057</v>
      </c>
      <c r="I5000" s="2" t="s">
        <v>15</v>
      </c>
      <c r="J5000" s="2" t="s">
        <v>12</v>
      </c>
      <c r="K5000" s="2" t="s">
        <v>7058</v>
      </c>
      <c r="L5000" s="2">
        <f t="shared" si="78"/>
        <v>150</v>
      </c>
    </row>
    <row r="5001" spans="1:12" ht="25" customHeight="1">
      <c r="A5001" s="2" t="s">
        <v>12</v>
      </c>
      <c r="B5001" s="2" t="str">
        <f>HYPERLINK("http://m.12365auto.com/xcdg/20200220/419029.shtml","宾利欧陆GT敞篷版官图发布 两种动力可选")</f>
        <v>宾利欧陆GT敞篷版官图发布 两种动力可选</v>
      </c>
      <c r="C5001" s="2" t="s">
        <v>13</v>
      </c>
      <c r="D5001" s="2" t="s">
        <v>12</v>
      </c>
      <c r="E5001" s="2"/>
      <c r="F5001" s="2" t="str">
        <f>HYPERLINK("http://m.12365auto.com/xcdg/20200220/419029.shtml","http://m.12365auto.com/xcdg/20200220/419029.shtml")</f>
        <v>http://m.12365auto.com/xcdg/20200220/419029.shtml</v>
      </c>
      <c r="G5001" s="2"/>
      <c r="H5001" s="2" t="s">
        <v>7059</v>
      </c>
      <c r="I5001" s="2" t="s">
        <v>19</v>
      </c>
      <c r="J5001" s="2" t="s">
        <v>220</v>
      </c>
      <c r="K5001" s="2" t="s">
        <v>7058</v>
      </c>
      <c r="L5001" s="2">
        <f t="shared" si="78"/>
        <v>150</v>
      </c>
    </row>
    <row r="5002" spans="1:12" ht="25" customHeight="1">
      <c r="A5002" s="2" t="s">
        <v>12</v>
      </c>
      <c r="B5002" s="2" t="str">
        <f>HYPERLINK("http://www.12365auto.com/xcdg/20200220/419028.shtml","宝马3系将新增三款混动车型 日内瓦亮相")</f>
        <v>宝马3系将新增三款混动车型 日内瓦亮相</v>
      </c>
      <c r="C5002" s="2" t="s">
        <v>13</v>
      </c>
      <c r="D5002" s="2" t="s">
        <v>12</v>
      </c>
      <c r="E5002" s="2" t="s">
        <v>216</v>
      </c>
      <c r="F5002" s="2" t="str">
        <f>HYPERLINK("http://www.12365auto.com/xcdg/20200220/419028.shtml","http://www.12365auto.com/xcdg/20200220/419028.shtml")</f>
        <v>http://www.12365auto.com/xcdg/20200220/419028.shtml</v>
      </c>
      <c r="G5002" s="2"/>
      <c r="H5002" s="2" t="s">
        <v>7060</v>
      </c>
      <c r="I5002" s="2" t="s">
        <v>15</v>
      </c>
      <c r="J5002" s="2" t="s">
        <v>12</v>
      </c>
      <c r="K5002" s="2" t="s">
        <v>7061</v>
      </c>
      <c r="L5002" s="2">
        <f t="shared" si="78"/>
        <v>150</v>
      </c>
    </row>
    <row r="5003" spans="1:12" ht="25" customHeight="1">
      <c r="A5003" s="2" t="s">
        <v>12</v>
      </c>
      <c r="B5003" s="2" t="str">
        <f>HYPERLINK("http://m.12365auto.com/xcdg/20200220/419028.shtml","宝马3系将新增三款混动车型 日内瓦亮相")</f>
        <v>宝马3系将新增三款混动车型 日内瓦亮相</v>
      </c>
      <c r="C5003" s="2" t="s">
        <v>13</v>
      </c>
      <c r="D5003" s="2" t="s">
        <v>12</v>
      </c>
      <c r="E5003" s="2"/>
      <c r="F5003" s="2" t="str">
        <f>HYPERLINK("http://m.12365auto.com/xcdg/20200220/419028.shtml","http://m.12365auto.com/xcdg/20200220/419028.shtml")</f>
        <v>http://m.12365auto.com/xcdg/20200220/419028.shtml</v>
      </c>
      <c r="G5003" s="2"/>
      <c r="H5003" s="2" t="s">
        <v>7062</v>
      </c>
      <c r="I5003" s="2" t="s">
        <v>19</v>
      </c>
      <c r="J5003" s="2" t="s">
        <v>1218</v>
      </c>
      <c r="K5003" s="2" t="s">
        <v>7061</v>
      </c>
      <c r="L5003" s="2">
        <f t="shared" si="78"/>
        <v>150</v>
      </c>
    </row>
    <row r="5004" spans="1:12" ht="25" customHeight="1">
      <c r="A5004" s="2" t="s">
        <v>12</v>
      </c>
      <c r="B5004" s="2" t="str">
        <f>HYPERLINK("http://www.12365auto.com/xcdg/20200220/419027.shtml","全新路虎揽胜运动版 或搭宝马动力总成")</f>
        <v>全新路虎揽胜运动版 或搭宝马动力总成</v>
      </c>
      <c r="C5004" s="2" t="s">
        <v>13</v>
      </c>
      <c r="D5004" s="2" t="s">
        <v>12</v>
      </c>
      <c r="E5004" s="2" t="s">
        <v>216</v>
      </c>
      <c r="F5004" s="2" t="str">
        <f>HYPERLINK("http://www.12365auto.com/xcdg/20200220/419027.shtml","http://www.12365auto.com/xcdg/20200220/419027.shtml")</f>
        <v>http://www.12365auto.com/xcdg/20200220/419027.shtml</v>
      </c>
      <c r="G5004" s="2"/>
      <c r="H5004" s="2" t="s">
        <v>7063</v>
      </c>
      <c r="I5004" s="2" t="s">
        <v>15</v>
      </c>
      <c r="J5004" s="2" t="s">
        <v>12</v>
      </c>
      <c r="K5004" s="2" t="s">
        <v>7064</v>
      </c>
      <c r="L5004" s="2">
        <f t="shared" si="78"/>
        <v>150</v>
      </c>
    </row>
    <row r="5005" spans="1:12" ht="25" customHeight="1">
      <c r="A5005" s="2" t="s">
        <v>12</v>
      </c>
      <c r="B5005" s="2" t="str">
        <f>HYPERLINK("http://m.12365auto.com/xcdg/20200220/419027.shtml","全新路虎揽胜运动版 或搭宝马动力总成")</f>
        <v>全新路虎揽胜运动版 或搭宝马动力总成</v>
      </c>
      <c r="C5005" s="2" t="s">
        <v>13</v>
      </c>
      <c r="D5005" s="2" t="s">
        <v>12</v>
      </c>
      <c r="E5005" s="2"/>
      <c r="F5005" s="2" t="str">
        <f>HYPERLINK("http://m.12365auto.com/xcdg/20200220/419027.shtml","http://m.12365auto.com/xcdg/20200220/419027.shtml")</f>
        <v>http://m.12365auto.com/xcdg/20200220/419027.shtml</v>
      </c>
      <c r="G5005" s="2"/>
      <c r="H5005" s="2" t="s">
        <v>7065</v>
      </c>
      <c r="I5005" s="2" t="s">
        <v>19</v>
      </c>
      <c r="J5005" s="2" t="s">
        <v>751</v>
      </c>
      <c r="K5005" s="2" t="s">
        <v>7064</v>
      </c>
      <c r="L5005" s="2">
        <f t="shared" si="78"/>
        <v>150</v>
      </c>
    </row>
    <row r="5006" spans="1:12" ht="25" customHeight="1">
      <c r="A5006" s="2" t="s">
        <v>12</v>
      </c>
      <c r="B5006" s="2" t="str">
        <f>HYPERLINK("http://www.12365auto.com/xcdg/20200220/419026.shtml","新款奥迪Q2路试谍照曝光 巴黎车展首发")</f>
        <v>新款奥迪Q2路试谍照曝光 巴黎车展首发</v>
      </c>
      <c r="C5006" s="2" t="s">
        <v>13</v>
      </c>
      <c r="D5006" s="2" t="s">
        <v>12</v>
      </c>
      <c r="E5006" s="2" t="s">
        <v>224</v>
      </c>
      <c r="F5006" s="2" t="str">
        <f>HYPERLINK("http://www.12365auto.com/xcdg/20200220/419026.shtml","http://www.12365auto.com/xcdg/20200220/419026.shtml")</f>
        <v>http://www.12365auto.com/xcdg/20200220/419026.shtml</v>
      </c>
      <c r="G5006" s="2"/>
      <c r="H5006" s="2" t="s">
        <v>7066</v>
      </c>
      <c r="I5006" s="2" t="s">
        <v>15</v>
      </c>
      <c r="J5006" s="2" t="s">
        <v>12</v>
      </c>
      <c r="K5006" s="2" t="s">
        <v>7067</v>
      </c>
      <c r="L5006" s="2">
        <f t="shared" si="78"/>
        <v>150</v>
      </c>
    </row>
    <row r="5007" spans="1:12" ht="25" customHeight="1">
      <c r="A5007" s="2" t="s">
        <v>12</v>
      </c>
      <c r="B5007" s="2" t="str">
        <f>HYPERLINK("http://m.12365auto.com/xcdg/20200220/419026.shtml","新款奥迪Q2路试谍照曝光 巴黎车展首发")</f>
        <v>新款奥迪Q2路试谍照曝光 巴黎车展首发</v>
      </c>
      <c r="C5007" s="2" t="s">
        <v>13</v>
      </c>
      <c r="D5007" s="2" t="s">
        <v>12</v>
      </c>
      <c r="E5007" s="2"/>
      <c r="F5007" s="2" t="str">
        <f>HYPERLINK("http://m.12365auto.com/xcdg/20200220/419026.shtml","http://m.12365auto.com/xcdg/20200220/419026.shtml")</f>
        <v>http://m.12365auto.com/xcdg/20200220/419026.shtml</v>
      </c>
      <c r="G5007" s="2"/>
      <c r="H5007" s="2" t="s">
        <v>7068</v>
      </c>
      <c r="I5007" s="2" t="s">
        <v>19</v>
      </c>
      <c r="J5007" s="2" t="s">
        <v>1222</v>
      </c>
      <c r="K5007" s="2" t="s">
        <v>7067</v>
      </c>
      <c r="L5007" s="2">
        <f t="shared" si="78"/>
        <v>150</v>
      </c>
    </row>
    <row r="5008" spans="1:12" ht="25" customHeight="1">
      <c r="A5008" s="2" t="s">
        <v>12</v>
      </c>
      <c r="B5008" s="2" t="str">
        <f>HYPERLINK("http://www.12365auto.com/xcdg/20200220/419025.shtml","全新一代宝马M4 Coupe谍照 上半年亮相")</f>
        <v>全新一代宝马M4 Coupe谍照 上半年亮相</v>
      </c>
      <c r="C5008" s="2" t="s">
        <v>13</v>
      </c>
      <c r="D5008" s="2" t="s">
        <v>12</v>
      </c>
      <c r="E5008" s="2" t="s">
        <v>224</v>
      </c>
      <c r="F5008" s="2" t="str">
        <f>HYPERLINK("http://www.12365auto.com/xcdg/20200220/419025.shtml","http://www.12365auto.com/xcdg/20200220/419025.shtml")</f>
        <v>http://www.12365auto.com/xcdg/20200220/419025.shtml</v>
      </c>
      <c r="G5008" s="2"/>
      <c r="H5008" s="2" t="s">
        <v>7069</v>
      </c>
      <c r="I5008" s="2" t="s">
        <v>15</v>
      </c>
      <c r="J5008" s="2" t="s">
        <v>12</v>
      </c>
      <c r="K5008" s="2" t="s">
        <v>7070</v>
      </c>
      <c r="L5008" s="2">
        <f t="shared" si="78"/>
        <v>150</v>
      </c>
    </row>
    <row r="5009" spans="1:12" ht="25" customHeight="1">
      <c r="A5009" s="2" t="s">
        <v>12</v>
      </c>
      <c r="B5009" s="2" t="str">
        <f>HYPERLINK("http://m.12365auto.com/xcdg/20200220/419025.shtml","全新一代宝马M4 Coupe谍照 上半年亮相")</f>
        <v>全新一代宝马M4 Coupe谍照 上半年亮相</v>
      </c>
      <c r="C5009" s="2" t="s">
        <v>13</v>
      </c>
      <c r="D5009" s="2" t="s">
        <v>12</v>
      </c>
      <c r="E5009" s="2"/>
      <c r="F5009" s="2" t="str">
        <f>HYPERLINK("http://m.12365auto.com/xcdg/20200220/419025.shtml","http://m.12365auto.com/xcdg/20200220/419025.shtml")</f>
        <v>http://m.12365auto.com/xcdg/20200220/419025.shtml</v>
      </c>
      <c r="G5009" s="2"/>
      <c r="H5009" s="2" t="s">
        <v>7071</v>
      </c>
      <c r="I5009" s="2" t="s">
        <v>19</v>
      </c>
      <c r="J5009" s="2" t="s">
        <v>751</v>
      </c>
      <c r="K5009" s="2" t="s">
        <v>7070</v>
      </c>
      <c r="L5009" s="2">
        <f t="shared" si="78"/>
        <v>150</v>
      </c>
    </row>
    <row r="5010" spans="1:12" ht="25" customHeight="1">
      <c r="A5010" s="2" t="s">
        <v>12</v>
      </c>
      <c r="B5010" s="2" t="str">
        <f>HYPERLINK("http://www.12365auto.com/xcdg/20200220/419024.shtml","BEIJING-X7有望6月上市 耀概念车量产版")</f>
        <v>BEIJING-X7有望6月上市 耀概念车量产版</v>
      </c>
      <c r="C5010" s="2" t="s">
        <v>13</v>
      </c>
      <c r="D5010" s="2" t="s">
        <v>12</v>
      </c>
      <c r="E5010" s="2" t="s">
        <v>216</v>
      </c>
      <c r="F5010" s="2" t="str">
        <f>HYPERLINK("http://www.12365auto.com/xcdg/20200220/419024.shtml","http://www.12365auto.com/xcdg/20200220/419024.shtml")</f>
        <v>http://www.12365auto.com/xcdg/20200220/419024.shtml</v>
      </c>
      <c r="G5010" s="2"/>
      <c r="H5010" s="2" t="s">
        <v>7072</v>
      </c>
      <c r="I5010" s="2" t="s">
        <v>15</v>
      </c>
      <c r="J5010" s="2" t="s">
        <v>12</v>
      </c>
      <c r="K5010" s="2" t="s">
        <v>7073</v>
      </c>
      <c r="L5010" s="2">
        <f t="shared" si="78"/>
        <v>150</v>
      </c>
    </row>
    <row r="5011" spans="1:12" ht="25" customHeight="1">
      <c r="A5011" s="2" t="s">
        <v>12</v>
      </c>
      <c r="B5011" s="2" t="str">
        <f>HYPERLINK("http://m.12365auto.com/xcdg/20200220/419024.shtml","BEIJING-X7有望6月上市 耀概念车量产版")</f>
        <v>BEIJING-X7有望6月上市 耀概念车量产版</v>
      </c>
      <c r="C5011" s="2" t="s">
        <v>13</v>
      </c>
      <c r="D5011" s="2" t="s">
        <v>12</v>
      </c>
      <c r="E5011" s="2"/>
      <c r="F5011" s="2" t="str">
        <f>HYPERLINK("http://m.12365auto.com/xcdg/20200220/419024.shtml","http://m.12365auto.com/xcdg/20200220/419024.shtml")</f>
        <v>http://m.12365auto.com/xcdg/20200220/419024.shtml</v>
      </c>
      <c r="G5011" s="2"/>
      <c r="H5011" s="2" t="s">
        <v>7074</v>
      </c>
      <c r="I5011" s="2" t="s">
        <v>19</v>
      </c>
      <c r="J5011" s="2" t="s">
        <v>1222</v>
      </c>
      <c r="K5011" s="2" t="s">
        <v>7073</v>
      </c>
      <c r="L5011" s="2">
        <f t="shared" si="78"/>
        <v>150</v>
      </c>
    </row>
    <row r="5012" spans="1:12" ht="25" customHeight="1">
      <c r="A5012" s="2" t="s">
        <v>12</v>
      </c>
      <c r="B5012" s="2" t="str">
        <f>HYPERLINK("http://www.12365auto.com/xcdg/20200220/419023.shtml","广汽丰田威兰达2月28日上市 预售17万起")</f>
        <v>广汽丰田威兰达2月28日上市 预售17万起</v>
      </c>
      <c r="C5012" s="2" t="s">
        <v>13</v>
      </c>
      <c r="D5012" s="2" t="s">
        <v>12</v>
      </c>
      <c r="E5012" s="2" t="s">
        <v>216</v>
      </c>
      <c r="F5012" s="2" t="str">
        <f>HYPERLINK("http://www.12365auto.com/xcdg/20200220/419023.shtml","http://www.12365auto.com/xcdg/20200220/419023.shtml")</f>
        <v>http://www.12365auto.com/xcdg/20200220/419023.shtml</v>
      </c>
      <c r="G5012" s="2"/>
      <c r="H5012" s="2" t="s">
        <v>7075</v>
      </c>
      <c r="I5012" s="2" t="s">
        <v>15</v>
      </c>
      <c r="J5012" s="2" t="s">
        <v>12</v>
      </c>
      <c r="K5012" s="2" t="s">
        <v>7076</v>
      </c>
      <c r="L5012" s="2">
        <f t="shared" si="78"/>
        <v>150</v>
      </c>
    </row>
    <row r="5013" spans="1:12" ht="25" customHeight="1">
      <c r="A5013" s="2" t="s">
        <v>12</v>
      </c>
      <c r="B5013" s="2" t="str">
        <f>HYPERLINK("http://m.12365auto.com/xcdg/20200220/419023.shtml","广汽丰田威兰达2月28日上市 预售17万起")</f>
        <v>广汽丰田威兰达2月28日上市 预售17万起</v>
      </c>
      <c r="C5013" s="2" t="s">
        <v>13</v>
      </c>
      <c r="D5013" s="2" t="s">
        <v>12</v>
      </c>
      <c r="E5013" s="2"/>
      <c r="F5013" s="2" t="str">
        <f>HYPERLINK("http://m.12365auto.com/xcdg/20200220/419023.shtml","http://m.12365auto.com/xcdg/20200220/419023.shtml")</f>
        <v>http://m.12365auto.com/xcdg/20200220/419023.shtml</v>
      </c>
      <c r="G5013" s="2"/>
      <c r="H5013" s="2" t="s">
        <v>7077</v>
      </c>
      <c r="I5013" s="2" t="s">
        <v>19</v>
      </c>
      <c r="J5013" s="2" t="s">
        <v>1222</v>
      </c>
      <c r="K5013" s="2" t="s">
        <v>7076</v>
      </c>
      <c r="L5013" s="2">
        <f t="shared" si="78"/>
        <v>150</v>
      </c>
    </row>
    <row r="5014" spans="1:12" ht="25" customHeight="1">
      <c r="A5014" s="2" t="s">
        <v>12</v>
      </c>
      <c r="B5014" s="2" t="str">
        <f>HYPERLINK("http://www.12365auto.com/xcdg/20200220/419022.shtml","雪佛兰畅巡于今日上市 综合续航410km")</f>
        <v>雪佛兰畅巡于今日上市 综合续航410km</v>
      </c>
      <c r="C5014" s="2" t="s">
        <v>13</v>
      </c>
      <c r="D5014" s="2" t="s">
        <v>12</v>
      </c>
      <c r="E5014" s="2" t="s">
        <v>216</v>
      </c>
      <c r="F5014" s="2" t="str">
        <f>HYPERLINK("http://www.12365auto.com/xcdg/20200220/419022.shtml","http://www.12365auto.com/xcdg/20200220/419022.shtml")</f>
        <v>http://www.12365auto.com/xcdg/20200220/419022.shtml</v>
      </c>
      <c r="G5014" s="2"/>
      <c r="H5014" s="2" t="s">
        <v>7078</v>
      </c>
      <c r="I5014" s="2" t="s">
        <v>15</v>
      </c>
      <c r="J5014" s="2" t="s">
        <v>12</v>
      </c>
      <c r="K5014" s="2" t="s">
        <v>7079</v>
      </c>
      <c r="L5014" s="2">
        <f t="shared" si="78"/>
        <v>150</v>
      </c>
    </row>
    <row r="5015" spans="1:12" ht="25" customHeight="1">
      <c r="A5015" s="2" t="s">
        <v>12</v>
      </c>
      <c r="B5015" s="2" t="str">
        <f>HYPERLINK("http://m.12365auto.com/xcdg/20200220/419022.shtml","雪佛兰畅巡于今日上市 综合续航410km")</f>
        <v>雪佛兰畅巡于今日上市 综合续航410km</v>
      </c>
      <c r="C5015" s="2" t="s">
        <v>13</v>
      </c>
      <c r="D5015" s="2" t="s">
        <v>12</v>
      </c>
      <c r="E5015" s="2"/>
      <c r="F5015" s="2" t="str">
        <f>HYPERLINK("http://m.12365auto.com/xcdg/20200220/419022.shtml","http://m.12365auto.com/xcdg/20200220/419022.shtml")</f>
        <v>http://m.12365auto.com/xcdg/20200220/419022.shtml</v>
      </c>
      <c r="G5015" s="2"/>
      <c r="H5015" s="2" t="s">
        <v>7080</v>
      </c>
      <c r="I5015" s="2" t="s">
        <v>19</v>
      </c>
      <c r="J5015" s="2" t="s">
        <v>1222</v>
      </c>
      <c r="K5015" s="2" t="s">
        <v>7079</v>
      </c>
      <c r="L5015" s="2">
        <f t="shared" si="78"/>
        <v>150</v>
      </c>
    </row>
    <row r="5016" spans="1:12" ht="25" customHeight="1">
      <c r="A5016" s="2" t="s">
        <v>12</v>
      </c>
      <c r="B5016" s="2" t="str">
        <f>HYPERLINK("http://m.12365auto.com/xcdg/20200220/419021.shtml","保持耐心 新一代雷克萨斯IS将在2021年问世")</f>
        <v>保持耐心 新一代雷克萨斯IS将在2021年问世</v>
      </c>
      <c r="C5016" s="2" t="s">
        <v>13</v>
      </c>
      <c r="D5016" s="2" t="s">
        <v>12</v>
      </c>
      <c r="E5016" s="2"/>
      <c r="F5016" s="2" t="str">
        <f>HYPERLINK("http://m.12365auto.com/xcdg/20200220/419021.shtml","http://m.12365auto.com/xcdg/20200220/419021.shtml")</f>
        <v>http://m.12365auto.com/xcdg/20200220/419021.shtml</v>
      </c>
      <c r="G5016" s="2"/>
      <c r="H5016" s="2" t="s">
        <v>7081</v>
      </c>
      <c r="I5016" s="2" t="s">
        <v>19</v>
      </c>
      <c r="J5016" s="2" t="s">
        <v>4514</v>
      </c>
      <c r="K5016" s="2" t="s">
        <v>7082</v>
      </c>
      <c r="L5016" s="2">
        <f t="shared" si="78"/>
        <v>150</v>
      </c>
    </row>
    <row r="5017" spans="1:12" ht="25" customHeight="1">
      <c r="A5017" s="2" t="s">
        <v>12</v>
      </c>
      <c r="B5017" s="2" t="str">
        <f>HYPERLINK("http://www.12365auto.com/xcdg/20200220/419021.shtml","保持耐心 新一代雷克萨斯IS将在2021年问世")</f>
        <v>保持耐心 新一代雷克萨斯IS将在2021年问世</v>
      </c>
      <c r="C5017" s="2" t="s">
        <v>13</v>
      </c>
      <c r="D5017" s="2" t="s">
        <v>12</v>
      </c>
      <c r="E5017" s="2" t="s">
        <v>245</v>
      </c>
      <c r="F5017" s="2" t="str">
        <f>HYPERLINK("http://www.12365auto.com/xcdg/20200220/419021.shtml","http://www.12365auto.com/xcdg/20200220/419021.shtml")</f>
        <v>http://www.12365auto.com/xcdg/20200220/419021.shtml</v>
      </c>
      <c r="G5017" s="2"/>
      <c r="H5017" s="2" t="s">
        <v>7083</v>
      </c>
      <c r="I5017" s="2" t="s">
        <v>19</v>
      </c>
      <c r="J5017" s="2" t="s">
        <v>12</v>
      </c>
      <c r="K5017" s="2" t="s">
        <v>7082</v>
      </c>
      <c r="L5017" s="2">
        <f t="shared" si="78"/>
        <v>150</v>
      </c>
    </row>
    <row r="5018" spans="1:12" ht="25" customHeight="1">
      <c r="A5018" s="2" t="s">
        <v>12</v>
      </c>
      <c r="B5018" s="2" t="str">
        <f>HYPERLINK("http://www.12365auto.com/zlts/20200220/447847.shtml","猎豹CS9行驶过程中底盘有异常响声")</f>
        <v>猎豹CS9行驶过程中底盘有异常响声</v>
      </c>
      <c r="C5018" s="2" t="s">
        <v>13</v>
      </c>
      <c r="D5018" s="2" t="s">
        <v>12</v>
      </c>
      <c r="E5018" s="2" t="s">
        <v>17</v>
      </c>
      <c r="F5018" s="2" t="str">
        <f>HYPERLINK("http://www.12365auto.com/zlts/20200220/447847.shtml","http://www.12365auto.com/zlts/20200220/447847.shtml")</f>
        <v>http://www.12365auto.com/zlts/20200220/447847.shtml</v>
      </c>
      <c r="G5018" s="2"/>
      <c r="H5018" s="2" t="s">
        <v>7084</v>
      </c>
      <c r="I5018" s="2" t="s">
        <v>19</v>
      </c>
      <c r="J5018" s="2" t="s">
        <v>12</v>
      </c>
      <c r="K5018" s="2" t="s">
        <v>7082</v>
      </c>
      <c r="L5018" s="2">
        <f t="shared" si="78"/>
        <v>150</v>
      </c>
    </row>
    <row r="5019" spans="1:12" ht="25" customHeight="1">
      <c r="A5019" s="2" t="s">
        <v>12</v>
      </c>
      <c r="B5019" s="2" t="str">
        <f>HYPERLINK("http://m.12365auto.com/xcdg/20200220/419020.shtml","这是来自未来的布加迪？Vision Le Mans")</f>
        <v>这是来自未来的布加迪？Vision Le Mans</v>
      </c>
      <c r="C5019" s="2" t="s">
        <v>13</v>
      </c>
      <c r="D5019" s="2" t="s">
        <v>12</v>
      </c>
      <c r="E5019" s="2"/>
      <c r="F5019" s="2" t="str">
        <f>HYPERLINK("http://m.12365auto.com/xcdg/20200220/419020.shtml","http://m.12365auto.com/xcdg/20200220/419020.shtml")</f>
        <v>http://m.12365auto.com/xcdg/20200220/419020.shtml</v>
      </c>
      <c r="G5019" s="2"/>
      <c r="H5019" s="2" t="s">
        <v>7085</v>
      </c>
      <c r="I5019" s="2" t="s">
        <v>19</v>
      </c>
      <c r="J5019" s="2" t="s">
        <v>4514</v>
      </c>
      <c r="K5019" s="2" t="s">
        <v>7086</v>
      </c>
      <c r="L5019" s="2">
        <f t="shared" si="78"/>
        <v>150</v>
      </c>
    </row>
    <row r="5020" spans="1:12" ht="25" customHeight="1">
      <c r="A5020" s="2" t="s">
        <v>12</v>
      </c>
      <c r="B5020" s="2" t="str">
        <f>HYPERLINK("http://www.12365auto.com/xcdg/20200220/419020.shtml","这是来自未来的布加迪？Vision Le Mans")</f>
        <v>这是来自未来的布加迪？Vision Le Mans</v>
      </c>
      <c r="C5020" s="2" t="s">
        <v>13</v>
      </c>
      <c r="D5020" s="2" t="s">
        <v>12</v>
      </c>
      <c r="E5020" s="2" t="s">
        <v>245</v>
      </c>
      <c r="F5020" s="2" t="str">
        <f>HYPERLINK("http://www.12365auto.com/xcdg/20200220/419020.shtml","http://www.12365auto.com/xcdg/20200220/419020.shtml")</f>
        <v>http://www.12365auto.com/xcdg/20200220/419020.shtml</v>
      </c>
      <c r="G5020" s="2"/>
      <c r="H5020" s="2" t="s">
        <v>7087</v>
      </c>
      <c r="I5020" s="2" t="s">
        <v>19</v>
      </c>
      <c r="J5020" s="2" t="s">
        <v>12</v>
      </c>
      <c r="K5020" s="2" t="s">
        <v>7086</v>
      </c>
      <c r="L5020" s="2">
        <f t="shared" si="78"/>
        <v>150</v>
      </c>
    </row>
    <row r="5021" spans="1:12" ht="25" customHeight="1">
      <c r="A5021" s="2" t="s">
        <v>12</v>
      </c>
      <c r="B5021" s="2" t="str">
        <f>HYPERLINK("http://www.12365auto.com/xcdg/20200220/419019.shtml","日产新款纳瓦拉N-Guard皮卡 首次亮相欧洲")</f>
        <v>日产新款纳瓦拉N-Guard皮卡 首次亮相欧洲</v>
      </c>
      <c r="C5021" s="2" t="s">
        <v>13</v>
      </c>
      <c r="D5021" s="2" t="s">
        <v>12</v>
      </c>
      <c r="E5021" s="2" t="s">
        <v>216</v>
      </c>
      <c r="F5021" s="2" t="str">
        <f>HYPERLINK("http://www.12365auto.com/xcdg/20200220/419019.shtml","http://www.12365auto.com/xcdg/20200220/419019.shtml")</f>
        <v>http://www.12365auto.com/xcdg/20200220/419019.shtml</v>
      </c>
      <c r="G5021" s="2"/>
      <c r="H5021" s="2" t="s">
        <v>7088</v>
      </c>
      <c r="I5021" s="2" t="s">
        <v>15</v>
      </c>
      <c r="J5021" s="2" t="s">
        <v>12</v>
      </c>
      <c r="K5021" s="2" t="s">
        <v>7089</v>
      </c>
      <c r="L5021" s="2">
        <f t="shared" si="78"/>
        <v>150</v>
      </c>
    </row>
    <row r="5022" spans="1:12" ht="25" customHeight="1">
      <c r="A5022" s="2" t="s">
        <v>12</v>
      </c>
      <c r="B5022" s="2" t="str">
        <f>HYPERLINK("http://m.12365auto.com/xcdg/20200220/419019.shtml","日产新款纳瓦拉N-Guard皮卡 首次亮相欧洲")</f>
        <v>日产新款纳瓦拉N-Guard皮卡 首次亮相欧洲</v>
      </c>
      <c r="C5022" s="2" t="s">
        <v>13</v>
      </c>
      <c r="D5022" s="2" t="s">
        <v>12</v>
      </c>
      <c r="E5022" s="2"/>
      <c r="F5022" s="2" t="str">
        <f>HYPERLINK("http://m.12365auto.com/xcdg/20200220/419019.shtml","http://m.12365auto.com/xcdg/20200220/419019.shtml")</f>
        <v>http://m.12365auto.com/xcdg/20200220/419019.shtml</v>
      </c>
      <c r="G5022" s="2"/>
      <c r="H5022" s="2" t="s">
        <v>7090</v>
      </c>
      <c r="I5022" s="2" t="s">
        <v>19</v>
      </c>
      <c r="J5022" s="2" t="s">
        <v>984</v>
      </c>
      <c r="K5022" s="2" t="s">
        <v>7089</v>
      </c>
      <c r="L5022" s="2">
        <f t="shared" si="78"/>
        <v>150</v>
      </c>
    </row>
    <row r="5023" spans="1:12" ht="25" customHeight="1">
      <c r="A5023" s="2" t="s">
        <v>12</v>
      </c>
      <c r="B5023" s="2" t="str">
        <f>HYPERLINK("http://www.12365auto.com/xcdg/20200220/419018.shtml","凯美瑞改款今年推出 有望亮相洛杉矶车展")</f>
        <v>凯美瑞改款今年推出 有望亮相洛杉矶车展</v>
      </c>
      <c r="C5023" s="2" t="s">
        <v>13</v>
      </c>
      <c r="D5023" s="2" t="s">
        <v>12</v>
      </c>
      <c r="E5023" s="2" t="s">
        <v>216</v>
      </c>
      <c r="F5023" s="2" t="str">
        <f>HYPERLINK("http://www.12365auto.com/xcdg/20200220/419018.shtml","http://www.12365auto.com/xcdg/20200220/419018.shtml")</f>
        <v>http://www.12365auto.com/xcdg/20200220/419018.shtml</v>
      </c>
      <c r="G5023" s="2"/>
      <c r="H5023" s="2" t="s">
        <v>7091</v>
      </c>
      <c r="I5023" s="2" t="s">
        <v>15</v>
      </c>
      <c r="J5023" s="2" t="s">
        <v>12</v>
      </c>
      <c r="K5023" s="2" t="s">
        <v>7092</v>
      </c>
      <c r="L5023" s="2">
        <f t="shared" si="78"/>
        <v>150</v>
      </c>
    </row>
    <row r="5024" spans="1:12" ht="25" customHeight="1">
      <c r="A5024" s="2" t="s">
        <v>12</v>
      </c>
      <c r="B5024" s="2" t="str">
        <f>HYPERLINK("http://m.12365auto.com/xcdg/20200220/419018.shtml","凯美瑞改款今年推出 有望亮相洛杉矶车展")</f>
        <v>凯美瑞改款今年推出 有望亮相洛杉矶车展</v>
      </c>
      <c r="C5024" s="2" t="s">
        <v>13</v>
      </c>
      <c r="D5024" s="2" t="s">
        <v>12</v>
      </c>
      <c r="E5024" s="2"/>
      <c r="F5024" s="2" t="str">
        <f>HYPERLINK("http://m.12365auto.com/xcdg/20200220/419018.shtml","http://m.12365auto.com/xcdg/20200220/419018.shtml")</f>
        <v>http://m.12365auto.com/xcdg/20200220/419018.shtml</v>
      </c>
      <c r="G5024" s="2"/>
      <c r="H5024" s="2" t="s">
        <v>7093</v>
      </c>
      <c r="I5024" s="2" t="s">
        <v>19</v>
      </c>
      <c r="J5024" s="2" t="s">
        <v>4502</v>
      </c>
      <c r="K5024" s="2" t="s">
        <v>7092</v>
      </c>
      <c r="L5024" s="2">
        <f t="shared" si="78"/>
        <v>150</v>
      </c>
    </row>
    <row r="5025" spans="1:12" ht="25" customHeight="1">
      <c r="A5025" s="2" t="s">
        <v>12</v>
      </c>
      <c r="B5025" s="2" t="str">
        <f>HYPERLINK("http://bbs.12365auto.com/postcontent.aspx?tID=194594","巨头归来 体验奥迪Q8")</f>
        <v>巨头归来 体验奥迪Q8</v>
      </c>
      <c r="C5025" s="2" t="s">
        <v>13</v>
      </c>
      <c r="D5025" s="2" t="s">
        <v>12</v>
      </c>
      <c r="E5025" s="2" t="s">
        <v>214</v>
      </c>
      <c r="F5025" s="2" t="str">
        <f>HYPERLINK("http://bbs.12365auto.com/postcontent.aspx?tID=194594","http://bbs.12365auto.com/postcontent.aspx?tID=194594")</f>
        <v>http://bbs.12365auto.com/postcontent.aspx?tID=194594</v>
      </c>
      <c r="G5025" s="2"/>
      <c r="H5025" s="2" t="s">
        <v>7094</v>
      </c>
      <c r="I5025" s="2" t="s">
        <v>15</v>
      </c>
      <c r="J5025" s="2" t="s">
        <v>1386</v>
      </c>
      <c r="K5025" s="2" t="s">
        <v>7095</v>
      </c>
      <c r="L5025" s="2">
        <f t="shared" si="78"/>
        <v>150</v>
      </c>
    </row>
    <row r="5026" spans="1:12" ht="25" customHeight="1">
      <c r="A5026" s="2" t="s">
        <v>12</v>
      </c>
      <c r="B5026" s="2" t="str">
        <f>HYPERLINK("http://bbs.12365auto.com/postcontent.aspx?tId=194594","巨头归来 体验奥迪Q8")</f>
        <v>巨头归来 体验奥迪Q8</v>
      </c>
      <c r="C5026" s="2" t="s">
        <v>13</v>
      </c>
      <c r="D5026" s="2" t="s">
        <v>12</v>
      </c>
      <c r="E5026" s="2" t="s">
        <v>210</v>
      </c>
      <c r="F5026" s="2" t="str">
        <f>HYPERLINK("http://bbs.12365auto.com/postcontent.aspx?tId=194594","http://bbs.12365auto.com/postcontent.aspx?tId=194594")</f>
        <v>http://bbs.12365auto.com/postcontent.aspx?tId=194594</v>
      </c>
      <c r="G5026" s="2"/>
      <c r="H5026" s="2" t="s">
        <v>7096</v>
      </c>
      <c r="I5026" s="2" t="s">
        <v>15</v>
      </c>
      <c r="J5026" s="2" t="s">
        <v>1386</v>
      </c>
      <c r="K5026" s="2" t="s">
        <v>7095</v>
      </c>
      <c r="L5026" s="2">
        <f t="shared" si="78"/>
        <v>150</v>
      </c>
    </row>
    <row r="5027" spans="1:12" ht="25" customHeight="1">
      <c r="A5027" s="2" t="s">
        <v>12</v>
      </c>
      <c r="B5027" s="2" t="str">
        <f>HYPERLINK("http://m.12365auto.com/bbs/postcontent.aspx?tID=194594","巨头归来 体验奥迪Q8")</f>
        <v>巨头归来 体验奥迪Q8</v>
      </c>
      <c r="C5027" s="2" t="s">
        <v>13</v>
      </c>
      <c r="D5027" s="2" t="s">
        <v>23</v>
      </c>
      <c r="E5027" s="2"/>
      <c r="F5027" s="2" t="str">
        <f>HYPERLINK("http://m.12365auto.com/bbs/postcontent.aspx?tID=194594","http://m.12365auto.com/bbs/postcontent.aspx?tID=194594")</f>
        <v>http://m.12365auto.com/bbs/postcontent.aspx?tID=194594</v>
      </c>
      <c r="G5027" s="2"/>
      <c r="H5027" s="2" t="s">
        <v>7096</v>
      </c>
      <c r="I5027" s="2" t="s">
        <v>15</v>
      </c>
      <c r="J5027" s="2" t="s">
        <v>1386</v>
      </c>
      <c r="K5027" s="2" t="s">
        <v>7095</v>
      </c>
      <c r="L5027" s="2">
        <f t="shared" si="78"/>
        <v>150</v>
      </c>
    </row>
    <row r="5028" spans="1:12" ht="25" customHeight="1">
      <c r="A5028" s="2" t="s">
        <v>12</v>
      </c>
      <c r="B5028" s="2" t="str">
        <f>HYPERLINK("http://bbs.12365auto.com/postcontent.aspx?tID=194593","又给国人长脸了！这5台新车霸气亮相 个个都是中国骄傲")</f>
        <v>又给国人长脸了！这5台新车霸气亮相 个个都是中国骄傲</v>
      </c>
      <c r="C5028" s="2" t="s">
        <v>13</v>
      </c>
      <c r="D5028" s="2" t="s">
        <v>12</v>
      </c>
      <c r="E5028" s="2" t="s">
        <v>214</v>
      </c>
      <c r="F5028" s="2" t="str">
        <f>HYPERLINK("http://bbs.12365auto.com/postcontent.aspx?tID=194593","http://bbs.12365auto.com/postcontent.aspx?tID=194593")</f>
        <v>http://bbs.12365auto.com/postcontent.aspx?tID=194593</v>
      </c>
      <c r="G5028" s="2"/>
      <c r="H5028" s="2" t="s">
        <v>7097</v>
      </c>
      <c r="I5028" s="2" t="s">
        <v>15</v>
      </c>
      <c r="J5028" s="2" t="s">
        <v>1386</v>
      </c>
      <c r="K5028" s="2" t="s">
        <v>7098</v>
      </c>
      <c r="L5028" s="2">
        <f t="shared" si="78"/>
        <v>150</v>
      </c>
    </row>
    <row r="5029" spans="1:12" ht="25" customHeight="1">
      <c r="A5029" s="2" t="s">
        <v>12</v>
      </c>
      <c r="B5029" s="2" t="str">
        <f>HYPERLINK("http://bbs.12365auto.com/postcontent.aspx?tId=194593","又给国人长脸了！这5台新车霸气亮相 个个都是中国骄傲")</f>
        <v>又给国人长脸了！这5台新车霸气亮相 个个都是中国骄傲</v>
      </c>
      <c r="C5029" s="2" t="s">
        <v>13</v>
      </c>
      <c r="D5029" s="2" t="s">
        <v>12</v>
      </c>
      <c r="E5029" s="2" t="s">
        <v>210</v>
      </c>
      <c r="F5029" s="2" t="str">
        <f>HYPERLINK("http://bbs.12365auto.com/postcontent.aspx?tId=194593","http://bbs.12365auto.com/postcontent.aspx?tId=194593")</f>
        <v>http://bbs.12365auto.com/postcontent.aspx?tId=194593</v>
      </c>
      <c r="G5029" s="2"/>
      <c r="H5029" s="2" t="s">
        <v>7099</v>
      </c>
      <c r="I5029" s="2" t="s">
        <v>15</v>
      </c>
      <c r="J5029" s="2" t="s">
        <v>1386</v>
      </c>
      <c r="K5029" s="2" t="s">
        <v>7098</v>
      </c>
      <c r="L5029" s="2">
        <f t="shared" si="78"/>
        <v>150</v>
      </c>
    </row>
    <row r="5030" spans="1:12" ht="25" customHeight="1">
      <c r="A5030" s="2" t="s">
        <v>12</v>
      </c>
      <c r="B5030" s="2" t="str">
        <f>HYPERLINK("http://bbs.12365auto.com/postcontent.aspx?tId=194592","有它买啥GL8？整车进口标配V6 长5米2大7座 比埃尔法豪华")</f>
        <v>有它买啥GL8？整车进口标配V6 长5米2大7座 比埃尔法豪华</v>
      </c>
      <c r="C5030" s="2" t="s">
        <v>13</v>
      </c>
      <c r="D5030" s="2" t="s">
        <v>12</v>
      </c>
      <c r="E5030" s="2" t="s">
        <v>210</v>
      </c>
      <c r="F5030" s="2" t="str">
        <f>HYPERLINK("http://bbs.12365auto.com/postcontent.aspx?tId=194592","http://bbs.12365auto.com/postcontent.aspx?tId=194592")</f>
        <v>http://bbs.12365auto.com/postcontent.aspx?tId=194592</v>
      </c>
      <c r="G5030" s="2"/>
      <c r="H5030" s="2" t="s">
        <v>6464</v>
      </c>
      <c r="I5030" s="2" t="s">
        <v>15</v>
      </c>
      <c r="J5030" s="2" t="s">
        <v>1386</v>
      </c>
      <c r="K5030" s="2" t="s">
        <v>7098</v>
      </c>
      <c r="L5030" s="2">
        <f t="shared" si="78"/>
        <v>150</v>
      </c>
    </row>
    <row r="5031" spans="1:12" ht="25" customHeight="1">
      <c r="A5031" s="2" t="s">
        <v>12</v>
      </c>
      <c r="B5031" s="2" t="str">
        <f>HYPERLINK("http://m.12365auto.com/bbs/postcontent.aspx?tID=194592","有它买啥GL8？整车进口标配V6 长5米2大7座 比埃尔法豪华")</f>
        <v>有它买啥GL8？整车进口标配V6 长5米2大7座 比埃尔法豪华</v>
      </c>
      <c r="C5031" s="2" t="s">
        <v>13</v>
      </c>
      <c r="D5031" s="2" t="s">
        <v>23</v>
      </c>
      <c r="E5031" s="2"/>
      <c r="F5031" s="2" t="str">
        <f>HYPERLINK("http://m.12365auto.com/bbs/postcontent.aspx?tID=194592","http://m.12365auto.com/bbs/postcontent.aspx?tID=194592")</f>
        <v>http://m.12365auto.com/bbs/postcontent.aspx?tID=194592</v>
      </c>
      <c r="G5031" s="2"/>
      <c r="H5031" s="2" t="s">
        <v>6464</v>
      </c>
      <c r="I5031" s="2" t="s">
        <v>15</v>
      </c>
      <c r="J5031" s="2" t="s">
        <v>1386</v>
      </c>
      <c r="K5031" s="2" t="s">
        <v>7098</v>
      </c>
      <c r="L5031" s="2">
        <f t="shared" si="78"/>
        <v>150</v>
      </c>
    </row>
    <row r="5032" spans="1:12" ht="25" customHeight="1">
      <c r="A5032" s="2" t="s">
        <v>12</v>
      </c>
      <c r="B5032" s="2" t="str">
        <f>HYPERLINK("http://m.12365auto.com/bbs/postcontent.aspx?tID=194593","又给国人长脸了！这5台新车霸气亮相 个个都是中国骄傲")</f>
        <v>又给国人长脸了！这5台新车霸气亮相 个个都是中国骄傲</v>
      </c>
      <c r="C5032" s="2" t="s">
        <v>13</v>
      </c>
      <c r="D5032" s="2" t="s">
        <v>23</v>
      </c>
      <c r="E5032" s="2"/>
      <c r="F5032" s="2" t="str">
        <f>HYPERLINK("http://m.12365auto.com/bbs/postcontent.aspx?tID=194593","http://m.12365auto.com/bbs/postcontent.aspx?tID=194593")</f>
        <v>http://m.12365auto.com/bbs/postcontent.aspx?tID=194593</v>
      </c>
      <c r="G5032" s="2"/>
      <c r="H5032" s="2" t="s">
        <v>7099</v>
      </c>
      <c r="I5032" s="2" t="s">
        <v>15</v>
      </c>
      <c r="J5032" s="2" t="s">
        <v>1386</v>
      </c>
      <c r="K5032" s="2" t="s">
        <v>7098</v>
      </c>
      <c r="L5032" s="2">
        <f t="shared" si="78"/>
        <v>150</v>
      </c>
    </row>
    <row r="5033" spans="1:12" ht="25" customHeight="1">
      <c r="A5033" s="2" t="s">
        <v>12</v>
      </c>
      <c r="B5033" s="2" t="str">
        <f>HYPERLINK("http://bbs.12365auto.com/postcontent.aspx?tID=194592","有它买啥GL8？整车进口标配V6 长5米2大7座 比埃尔法豪华")</f>
        <v>有它买啥GL8？整车进口标配V6 长5米2大7座 比埃尔法豪华</v>
      </c>
      <c r="C5033" s="2" t="s">
        <v>13</v>
      </c>
      <c r="D5033" s="2" t="s">
        <v>12</v>
      </c>
      <c r="E5033" s="2" t="s">
        <v>214</v>
      </c>
      <c r="F5033" s="2" t="str">
        <f>HYPERLINK("http://bbs.12365auto.com/postcontent.aspx?tID=194592","http://bbs.12365auto.com/postcontent.aspx?tID=194592")</f>
        <v>http://bbs.12365auto.com/postcontent.aspx?tID=194592</v>
      </c>
      <c r="G5033" s="2"/>
      <c r="H5033" s="2" t="s">
        <v>7100</v>
      </c>
      <c r="I5033" s="2" t="s">
        <v>15</v>
      </c>
      <c r="J5033" s="2" t="s">
        <v>1386</v>
      </c>
      <c r="K5033" s="2" t="s">
        <v>7098</v>
      </c>
      <c r="L5033" s="2">
        <f t="shared" si="78"/>
        <v>150</v>
      </c>
    </row>
    <row r="5034" spans="1:12" ht="25" customHeight="1">
      <c r="A5034" s="2" t="s">
        <v>12</v>
      </c>
      <c r="B5034" s="2" t="str">
        <f>HYPERLINK("http://m.12365auto.com/zjdy/20200220/121435.shtml","车辆超出质保能否要求厂家索赔处理？")</f>
        <v>车辆超出质保能否要求厂家索赔处理？</v>
      </c>
      <c r="C5034" s="2" t="s">
        <v>13</v>
      </c>
      <c r="D5034" s="2" t="s">
        <v>12</v>
      </c>
      <c r="E5034" s="2"/>
      <c r="F5034" s="2" t="str">
        <f>HYPERLINK("http://m.12365auto.com/zjdy/20200220/121435.shtml","http://m.12365auto.com/zjdy/20200220/121435.shtml")</f>
        <v>http://m.12365auto.com/zjdy/20200220/121435.shtml</v>
      </c>
      <c r="G5034" s="2"/>
      <c r="H5034" s="2" t="s">
        <v>7101</v>
      </c>
      <c r="I5034" s="2" t="s">
        <v>19</v>
      </c>
      <c r="J5034" s="2" t="s">
        <v>12</v>
      </c>
      <c r="K5034" s="2" t="s">
        <v>7102</v>
      </c>
      <c r="L5034" s="2">
        <f t="shared" si="78"/>
        <v>96</v>
      </c>
    </row>
    <row r="5035" spans="1:12" ht="25" customHeight="1">
      <c r="A5035" s="2" t="s">
        <v>12</v>
      </c>
      <c r="B5035" s="2" t="str">
        <f>HYPERLINK("http://bbs.12365auto.com/postcontent.aspx?tID=194589&amp;sId=784&amp;ppage=1&amp;from=s","神车五菱宏光车身抖动后发动机熄火")</f>
        <v>神车五菱宏光车身抖动后发动机熄火</v>
      </c>
      <c r="C5035" s="2" t="s">
        <v>13</v>
      </c>
      <c r="D5035" s="2" t="s">
        <v>12</v>
      </c>
      <c r="E5035" s="2" t="s">
        <v>7103</v>
      </c>
      <c r="F5035" s="2" t="str">
        <f>HYPERLINK("http://bbs.12365auto.com/postcontent.aspx?tID=194589&amp;sId=784&amp;ppage=1&amp;from=s","http://bbs.12365auto.com/postcontent.aspx?tID=194589&amp;sId=784&amp;ppage=1&amp;from=s")</f>
        <v>http://bbs.12365auto.com/postcontent.aspx?tID=194589&amp;sId=784&amp;ppage=1&amp;from=s</v>
      </c>
      <c r="G5035" s="2"/>
      <c r="H5035" s="2" t="s">
        <v>7104</v>
      </c>
      <c r="I5035" s="2" t="s">
        <v>15</v>
      </c>
      <c r="J5035" s="2" t="s">
        <v>7105</v>
      </c>
      <c r="K5035" s="2" t="s">
        <v>7106</v>
      </c>
      <c r="L5035" s="2">
        <f t="shared" si="78"/>
        <v>81</v>
      </c>
    </row>
    <row r="5036" spans="1:12" ht="25" customHeight="1">
      <c r="A5036" s="2" t="s">
        <v>12</v>
      </c>
      <c r="B5036" s="2" t="str">
        <f>HYPERLINK("http://bbs.12365auto.com/postcontent.aspx?tId=194589","神车五菱宏光车身抖动后发动机熄火")</f>
        <v>神车五菱宏光车身抖动后发动机熄火</v>
      </c>
      <c r="C5036" s="2" t="s">
        <v>13</v>
      </c>
      <c r="D5036" s="2" t="s">
        <v>12</v>
      </c>
      <c r="E5036" s="2" t="s">
        <v>66</v>
      </c>
      <c r="F5036" s="2" t="str">
        <f>HYPERLINK("http://bbs.12365auto.com/postcontent.aspx?tId=194589","http://bbs.12365auto.com/postcontent.aspx?tId=194589")</f>
        <v>http://bbs.12365auto.com/postcontent.aspx?tId=194589</v>
      </c>
      <c r="G5036" s="2"/>
      <c r="H5036" s="2" t="s">
        <v>7107</v>
      </c>
      <c r="I5036" s="2" t="s">
        <v>15</v>
      </c>
      <c r="J5036" s="2" t="s">
        <v>7108</v>
      </c>
      <c r="K5036" s="2" t="s">
        <v>7106</v>
      </c>
      <c r="L5036" s="2">
        <f t="shared" si="78"/>
        <v>32</v>
      </c>
    </row>
    <row r="5037" spans="1:12" ht="25" customHeight="1">
      <c r="A5037" s="2" t="s">
        <v>12</v>
      </c>
      <c r="B5037" s="2" t="str">
        <f>HYPERLINK("http://bbs.12365auto.com/postcontent.aspx?tID=194589","神车五菱宏光车身抖动后发动机熄火")</f>
        <v>神车五菱宏光车身抖动后发动机熄火</v>
      </c>
      <c r="C5037" s="2" t="s">
        <v>13</v>
      </c>
      <c r="D5037" s="2" t="s">
        <v>12</v>
      </c>
      <c r="E5037" s="2" t="s">
        <v>67</v>
      </c>
      <c r="F5037" s="2" t="str">
        <f>HYPERLINK("http://bbs.12365auto.com/postcontent.aspx?tID=194589","http://bbs.12365auto.com/postcontent.aspx?tID=194589")</f>
        <v>http://bbs.12365auto.com/postcontent.aspx?tID=194589</v>
      </c>
      <c r="G5037" s="2"/>
      <c r="H5037" s="2" t="s">
        <v>7109</v>
      </c>
      <c r="I5037" s="2" t="s">
        <v>15</v>
      </c>
      <c r="J5037" s="2" t="s">
        <v>7108</v>
      </c>
      <c r="K5037" s="2" t="s">
        <v>7106</v>
      </c>
      <c r="L5037" s="2">
        <f t="shared" si="78"/>
        <v>48</v>
      </c>
    </row>
    <row r="5038" spans="1:12" ht="25" customHeight="1">
      <c r="A5038" s="2" t="s">
        <v>12</v>
      </c>
      <c r="B5038" s="2" t="str">
        <f>HYPERLINK("http://bbs.12365auto.com/postcontent.aspx?tId=194591","1月SUV榜单：哈弗H6销冠差点丢了 多匹黑马登榜")</f>
        <v>1月SUV榜单：哈弗H6销冠差点丢了 多匹黑马登榜</v>
      </c>
      <c r="C5038" s="2" t="s">
        <v>13</v>
      </c>
      <c r="D5038" s="2" t="s">
        <v>12</v>
      </c>
      <c r="E5038" s="2" t="s">
        <v>210</v>
      </c>
      <c r="F5038" s="2" t="str">
        <f>HYPERLINK("http://bbs.12365auto.com/postcontent.aspx?tId=194591","http://bbs.12365auto.com/postcontent.aspx?tId=194591")</f>
        <v>http://bbs.12365auto.com/postcontent.aspx?tId=194591</v>
      </c>
      <c r="G5038" s="2"/>
      <c r="H5038" s="2" t="s">
        <v>7110</v>
      </c>
      <c r="I5038" s="2" t="s">
        <v>15</v>
      </c>
      <c r="J5038" s="2" t="s">
        <v>1386</v>
      </c>
      <c r="K5038" s="2" t="s">
        <v>7106</v>
      </c>
      <c r="L5038" s="2">
        <f t="shared" si="78"/>
        <v>150</v>
      </c>
    </row>
    <row r="5039" spans="1:12" ht="25" customHeight="1">
      <c r="A5039" s="2" t="s">
        <v>12</v>
      </c>
      <c r="B5039" s="2" t="str">
        <f>HYPERLINK("http://bbs.12365auto.com/postcontent.aspx?tId=194590","再也不用魔改 15万直接能买到本田“法拉域”了")</f>
        <v>再也不用魔改 15万直接能买到本田“法拉域”了</v>
      </c>
      <c r="C5039" s="2" t="s">
        <v>13</v>
      </c>
      <c r="D5039" s="2" t="s">
        <v>12</v>
      </c>
      <c r="E5039" s="2" t="s">
        <v>210</v>
      </c>
      <c r="F5039" s="2" t="str">
        <f>HYPERLINK("http://bbs.12365auto.com/postcontent.aspx?tId=194590","http://bbs.12365auto.com/postcontent.aspx?tId=194590")</f>
        <v>http://bbs.12365auto.com/postcontent.aspx?tId=194590</v>
      </c>
      <c r="G5039" s="2"/>
      <c r="H5039" s="2" t="s">
        <v>6192</v>
      </c>
      <c r="I5039" s="2" t="s">
        <v>15</v>
      </c>
      <c r="J5039" s="2" t="s">
        <v>1386</v>
      </c>
      <c r="K5039" s="2" t="s">
        <v>7106</v>
      </c>
      <c r="L5039" s="2">
        <f t="shared" si="78"/>
        <v>150</v>
      </c>
    </row>
    <row r="5040" spans="1:12" ht="25" customHeight="1">
      <c r="A5040" s="2" t="s">
        <v>12</v>
      </c>
      <c r="B5040" s="2" t="str">
        <f>HYPERLINK("http://bbs.12365auto.com/postcontent.aspx?tId=194588","全新一代丰田汉兰达 车长4米95提供8座 北美售价3.46万美元起")</f>
        <v>全新一代丰田汉兰达 车长4米95提供8座 北美售价3.46万美元起</v>
      </c>
      <c r="C5040" s="2" t="s">
        <v>13</v>
      </c>
      <c r="D5040" s="2" t="s">
        <v>12</v>
      </c>
      <c r="E5040" s="2" t="s">
        <v>210</v>
      </c>
      <c r="F5040" s="2" t="str">
        <f>HYPERLINK("http://bbs.12365auto.com/postcontent.aspx?tId=194588","http://bbs.12365auto.com/postcontent.aspx?tId=194588")</f>
        <v>http://bbs.12365auto.com/postcontent.aspx?tId=194588</v>
      </c>
      <c r="G5040" s="2"/>
      <c r="H5040" s="2" t="s">
        <v>7111</v>
      </c>
      <c r="I5040" s="2" t="s">
        <v>15</v>
      </c>
      <c r="J5040" s="2" t="s">
        <v>1386</v>
      </c>
      <c r="K5040" s="2" t="s">
        <v>7106</v>
      </c>
      <c r="L5040" s="2">
        <f t="shared" si="78"/>
        <v>150</v>
      </c>
    </row>
    <row r="5041" spans="1:12" ht="25" customHeight="1">
      <c r="A5041" s="2" t="s">
        <v>12</v>
      </c>
      <c r="B5041" s="2" t="str">
        <f>HYPERLINK("http://bbs.12365auto.com/postcontent.aspx?tID=194588","全新一代丰田汉兰达 车长4米95提供8座 北美售价3.46万美元起")</f>
        <v>全新一代丰田汉兰达 车长4米95提供8座 北美售价3.46万美元起</v>
      </c>
      <c r="C5041" s="2" t="s">
        <v>13</v>
      </c>
      <c r="D5041" s="2" t="s">
        <v>12</v>
      </c>
      <c r="E5041" s="2" t="s">
        <v>214</v>
      </c>
      <c r="F5041" s="2" t="str">
        <f>HYPERLINK("http://bbs.12365auto.com/postcontent.aspx?tID=194588","http://bbs.12365auto.com/postcontent.aspx?tID=194588")</f>
        <v>http://bbs.12365auto.com/postcontent.aspx?tID=194588</v>
      </c>
      <c r="G5041" s="2"/>
      <c r="H5041" s="2" t="s">
        <v>7112</v>
      </c>
      <c r="I5041" s="2" t="s">
        <v>15</v>
      </c>
      <c r="J5041" s="2" t="s">
        <v>1386</v>
      </c>
      <c r="K5041" s="2" t="s">
        <v>7106</v>
      </c>
      <c r="L5041" s="2">
        <f t="shared" si="78"/>
        <v>150</v>
      </c>
    </row>
    <row r="5042" spans="1:12" ht="25" customHeight="1">
      <c r="A5042" s="2" t="s">
        <v>12</v>
      </c>
      <c r="B5042" s="2" t="str">
        <f>HYPERLINK("http://m.12365auto.com/bbs/postcontent.aspx?tID=194590","再也不用魔改 15万直接能买到本田“法拉域”了")</f>
        <v>再也不用魔改 15万直接能买到本田“法拉域”了</v>
      </c>
      <c r="C5042" s="2" t="s">
        <v>13</v>
      </c>
      <c r="D5042" s="2" t="s">
        <v>23</v>
      </c>
      <c r="E5042" s="2"/>
      <c r="F5042" s="2" t="str">
        <f>HYPERLINK("http://m.12365auto.com/bbs/postcontent.aspx?tID=194590","http://m.12365auto.com/bbs/postcontent.aspx?tID=194590")</f>
        <v>http://m.12365auto.com/bbs/postcontent.aspx?tID=194590</v>
      </c>
      <c r="G5042" s="2"/>
      <c r="H5042" s="2" t="s">
        <v>6192</v>
      </c>
      <c r="I5042" s="2" t="s">
        <v>15</v>
      </c>
      <c r="J5042" s="2" t="s">
        <v>1386</v>
      </c>
      <c r="K5042" s="2" t="s">
        <v>7106</v>
      </c>
      <c r="L5042" s="2">
        <f t="shared" si="78"/>
        <v>150</v>
      </c>
    </row>
    <row r="5043" spans="1:12" ht="25" customHeight="1">
      <c r="A5043" s="2" t="s">
        <v>12</v>
      </c>
      <c r="B5043" s="2" t="str">
        <f>HYPERLINK("http://m.12365auto.com/bbs/postcontent.aspx?tID=194591","1月SUV榜单：哈弗H6销冠差点丢了 多匹黑马登榜")</f>
        <v>1月SUV榜单：哈弗H6销冠差点丢了 多匹黑马登榜</v>
      </c>
      <c r="C5043" s="2" t="s">
        <v>13</v>
      </c>
      <c r="D5043" s="2" t="s">
        <v>23</v>
      </c>
      <c r="E5043" s="2"/>
      <c r="F5043" s="2" t="str">
        <f>HYPERLINK("http://m.12365auto.com/bbs/postcontent.aspx?tID=194591","http://m.12365auto.com/bbs/postcontent.aspx?tID=194591")</f>
        <v>http://m.12365auto.com/bbs/postcontent.aspx?tID=194591</v>
      </c>
      <c r="G5043" s="2"/>
      <c r="H5043" s="2" t="s">
        <v>7110</v>
      </c>
      <c r="I5043" s="2" t="s">
        <v>15</v>
      </c>
      <c r="J5043" s="2" t="s">
        <v>1386</v>
      </c>
      <c r="K5043" s="2" t="s">
        <v>7106</v>
      </c>
      <c r="L5043" s="2">
        <f t="shared" si="78"/>
        <v>150</v>
      </c>
    </row>
    <row r="5044" spans="1:12" ht="25" customHeight="1">
      <c r="A5044" s="2" t="s">
        <v>12</v>
      </c>
      <c r="B5044" s="2" t="str">
        <f>HYPERLINK("http://m.12365auto.com/bbs/postcontent.aspx?tID=194588","全新一代丰田汉兰达 车长4米95提供8座 北美售价3.46万美元起")</f>
        <v>全新一代丰田汉兰达 车长4米95提供8座 北美售价3.46万美元起</v>
      </c>
      <c r="C5044" s="2" t="s">
        <v>13</v>
      </c>
      <c r="D5044" s="2" t="s">
        <v>23</v>
      </c>
      <c r="E5044" s="2"/>
      <c r="F5044" s="2" t="str">
        <f>HYPERLINK("http://m.12365auto.com/bbs/postcontent.aspx?tID=194588","http://m.12365auto.com/bbs/postcontent.aspx?tID=194588")</f>
        <v>http://m.12365auto.com/bbs/postcontent.aspx?tID=194588</v>
      </c>
      <c r="G5044" s="2"/>
      <c r="H5044" s="2" t="s">
        <v>7111</v>
      </c>
      <c r="I5044" s="2" t="s">
        <v>15</v>
      </c>
      <c r="J5044" s="2" t="s">
        <v>1386</v>
      </c>
      <c r="K5044" s="2" t="s">
        <v>7106</v>
      </c>
      <c r="L5044" s="2">
        <f t="shared" si="78"/>
        <v>150</v>
      </c>
    </row>
    <row r="5045" spans="1:12" ht="25" customHeight="1">
      <c r="A5045" s="2" t="s">
        <v>12</v>
      </c>
      <c r="B5045" s="2" t="str">
        <f>HYPERLINK("http://bbs.12365auto.com/postcontent.aspx?tID=194590","再也不用魔改 15万直接能买到本田“法拉域”了")</f>
        <v>再也不用魔改 15万直接能买到本田“法拉域”了</v>
      </c>
      <c r="C5045" s="2" t="s">
        <v>13</v>
      </c>
      <c r="D5045" s="2" t="s">
        <v>12</v>
      </c>
      <c r="E5045" s="2" t="s">
        <v>214</v>
      </c>
      <c r="F5045" s="2" t="str">
        <f>HYPERLINK("http://bbs.12365auto.com/postcontent.aspx?tID=194590","http://bbs.12365auto.com/postcontent.aspx?tID=194590")</f>
        <v>http://bbs.12365auto.com/postcontent.aspx?tID=194590</v>
      </c>
      <c r="G5045" s="2"/>
      <c r="H5045" s="2" t="s">
        <v>6189</v>
      </c>
      <c r="I5045" s="2" t="s">
        <v>15</v>
      </c>
      <c r="J5045" s="2" t="s">
        <v>1386</v>
      </c>
      <c r="K5045" s="2" t="s">
        <v>7106</v>
      </c>
      <c r="L5045" s="2">
        <f t="shared" si="78"/>
        <v>150</v>
      </c>
    </row>
    <row r="5046" spans="1:12" ht="25" customHeight="1">
      <c r="A5046" s="2" t="s">
        <v>12</v>
      </c>
      <c r="B5046" s="2" t="str">
        <f>HYPERLINK("http://bbs.12365auto.com/postcontent.aspx?tID=194591","1月SUV榜单：哈弗H6销冠差点丢了 多匹黑马登榜")</f>
        <v>1月SUV榜单：哈弗H6销冠差点丢了 多匹黑马登榜</v>
      </c>
      <c r="C5046" s="2" t="s">
        <v>13</v>
      </c>
      <c r="D5046" s="2" t="s">
        <v>12</v>
      </c>
      <c r="E5046" s="2" t="s">
        <v>214</v>
      </c>
      <c r="F5046" s="2" t="str">
        <f>HYPERLINK("http://bbs.12365auto.com/postcontent.aspx?tID=194591","http://bbs.12365auto.com/postcontent.aspx?tID=194591")</f>
        <v>http://bbs.12365auto.com/postcontent.aspx?tID=194591</v>
      </c>
      <c r="G5046" s="2"/>
      <c r="H5046" s="2" t="s">
        <v>7113</v>
      </c>
      <c r="I5046" s="2" t="s">
        <v>15</v>
      </c>
      <c r="J5046" s="2" t="s">
        <v>1386</v>
      </c>
      <c r="K5046" s="2" t="s">
        <v>7106</v>
      </c>
      <c r="L5046" s="2">
        <f t="shared" si="78"/>
        <v>150</v>
      </c>
    </row>
    <row r="5047" spans="1:12" ht="25" customHeight="1">
      <c r="A5047" s="2" t="s">
        <v>12</v>
      </c>
      <c r="B5047" s="2" t="str">
        <f>HYPERLINK("http://bbs.12365auto.com/postcontent.aspx?tId=194587","名爵6新能源电瓶亏电质量太差了吧")</f>
        <v>名爵6新能源电瓶亏电质量太差了吧</v>
      </c>
      <c r="C5047" s="2" t="s">
        <v>13</v>
      </c>
      <c r="D5047" s="2" t="s">
        <v>12</v>
      </c>
      <c r="E5047" s="2" t="s">
        <v>66</v>
      </c>
      <c r="F5047" s="2" t="str">
        <f>HYPERLINK("http://bbs.12365auto.com/postcontent.aspx?tId=194587","http://bbs.12365auto.com/postcontent.aspx?tId=194587")</f>
        <v>http://bbs.12365auto.com/postcontent.aspx?tId=194587</v>
      </c>
      <c r="G5047" s="2"/>
      <c r="H5047" s="2" t="s">
        <v>7114</v>
      </c>
      <c r="I5047" s="2" t="s">
        <v>15</v>
      </c>
      <c r="J5047" s="2" t="s">
        <v>7115</v>
      </c>
      <c r="K5047" s="2" t="s">
        <v>7116</v>
      </c>
      <c r="L5047" s="2">
        <f t="shared" si="78"/>
        <v>150</v>
      </c>
    </row>
    <row r="5048" spans="1:12" ht="25" customHeight="1">
      <c r="A5048" s="2" t="s">
        <v>12</v>
      </c>
      <c r="B5048" s="2" t="str">
        <f>HYPERLINK("http://bbs.12365auto.com/postcontent.aspx?tID=194587","名爵6新能源电瓶亏电质量太差了吧")</f>
        <v>名爵6新能源电瓶亏电质量太差了吧</v>
      </c>
      <c r="C5048" s="2" t="s">
        <v>13</v>
      </c>
      <c r="D5048" s="2" t="s">
        <v>12</v>
      </c>
      <c r="E5048" s="2" t="s">
        <v>67</v>
      </c>
      <c r="F5048" s="2" t="str">
        <f>HYPERLINK("http://bbs.12365auto.com/postcontent.aspx?tID=194587","http://bbs.12365auto.com/postcontent.aspx?tID=194587")</f>
        <v>http://bbs.12365auto.com/postcontent.aspx?tID=194587</v>
      </c>
      <c r="G5048" s="2"/>
      <c r="H5048" s="2" t="s">
        <v>7117</v>
      </c>
      <c r="I5048" s="2" t="s">
        <v>15</v>
      </c>
      <c r="J5048" s="2" t="s">
        <v>7115</v>
      </c>
      <c r="K5048" s="2" t="s">
        <v>7116</v>
      </c>
      <c r="L5048" s="2">
        <f t="shared" si="78"/>
        <v>150</v>
      </c>
    </row>
    <row r="5049" spans="1:12" ht="25" customHeight="1">
      <c r="A5049" s="2" t="s">
        <v>12</v>
      </c>
      <c r="B5049" s="2" t="str">
        <f>HYPERLINK("http://m.12365auto.com/bbs/postcontent.aspx?tID=194587","名爵6新能源电瓶亏电质量太差了吧")</f>
        <v>名爵6新能源电瓶亏电质量太差了吧</v>
      </c>
      <c r="C5049" s="2" t="s">
        <v>13</v>
      </c>
      <c r="D5049" s="2" t="s">
        <v>23</v>
      </c>
      <c r="E5049" s="2"/>
      <c r="F5049" s="2" t="str">
        <f>HYPERLINK("http://m.12365auto.com/bbs/postcontent.aspx?tID=194587","http://m.12365auto.com/bbs/postcontent.aspx?tID=194587")</f>
        <v>http://m.12365auto.com/bbs/postcontent.aspx?tID=194587</v>
      </c>
      <c r="G5049" s="2"/>
      <c r="H5049" s="2" t="s">
        <v>7114</v>
      </c>
      <c r="I5049" s="2" t="s">
        <v>15</v>
      </c>
      <c r="J5049" s="2" t="s">
        <v>7115</v>
      </c>
      <c r="K5049" s="2" t="s">
        <v>7116</v>
      </c>
      <c r="L5049" s="2">
        <f t="shared" si="78"/>
        <v>150</v>
      </c>
    </row>
    <row r="5050" spans="1:12" ht="25" customHeight="1">
      <c r="A5050" s="2" t="s">
        <v>12</v>
      </c>
      <c r="B5050" s="2" t="str">
        <f>HYPERLINK("http://bbs.12365auto.com/postcontent.aspx?tId=194585","领克03的固特异轮胎质量太差了吧")</f>
        <v>领克03的固特异轮胎质量太差了吧</v>
      </c>
      <c r="C5050" s="2" t="s">
        <v>13</v>
      </c>
      <c r="D5050" s="2" t="s">
        <v>12</v>
      </c>
      <c r="E5050" s="2" t="s">
        <v>66</v>
      </c>
      <c r="F5050" s="2" t="str">
        <f>HYPERLINK("http://bbs.12365auto.com/postcontent.aspx?tId=194585","http://bbs.12365auto.com/postcontent.aspx?tId=194585")</f>
        <v>http://bbs.12365auto.com/postcontent.aspx?tId=194585</v>
      </c>
      <c r="G5050" s="2"/>
      <c r="H5050" s="2" t="s">
        <v>6363</v>
      </c>
      <c r="I5050" s="2" t="s">
        <v>15</v>
      </c>
      <c r="J5050" s="2" t="s">
        <v>7118</v>
      </c>
      <c r="K5050" s="2" t="s">
        <v>7119</v>
      </c>
      <c r="L5050" s="2">
        <f t="shared" si="78"/>
        <v>39</v>
      </c>
    </row>
    <row r="5051" spans="1:12" ht="25" customHeight="1">
      <c r="A5051" s="2" t="s">
        <v>12</v>
      </c>
      <c r="B5051" s="2" t="str">
        <f>HYPERLINK("http://bbs.12365auto.com/postcontent.aspx?tID=194585","领克03的固特异轮胎质量太差了吧")</f>
        <v>领克03的固特异轮胎质量太差了吧</v>
      </c>
      <c r="C5051" s="2" t="s">
        <v>13</v>
      </c>
      <c r="D5051" s="2" t="s">
        <v>12</v>
      </c>
      <c r="E5051" s="2" t="s">
        <v>67</v>
      </c>
      <c r="F5051" s="2" t="str">
        <f>HYPERLINK("http://bbs.12365auto.com/postcontent.aspx?tID=194585","http://bbs.12365auto.com/postcontent.aspx?tID=194585")</f>
        <v>http://bbs.12365auto.com/postcontent.aspx?tID=194585</v>
      </c>
      <c r="G5051" s="2"/>
      <c r="H5051" s="2" t="s">
        <v>7120</v>
      </c>
      <c r="I5051" s="2" t="s">
        <v>15</v>
      </c>
      <c r="J5051" s="2" t="s">
        <v>7118</v>
      </c>
      <c r="K5051" s="2" t="s">
        <v>7119</v>
      </c>
      <c r="L5051" s="2">
        <f t="shared" si="78"/>
        <v>55</v>
      </c>
    </row>
    <row r="5052" spans="1:12" ht="25" customHeight="1">
      <c r="A5052" s="2" t="s">
        <v>12</v>
      </c>
      <c r="B5052" s="2" t="str">
        <f>HYPERLINK("http://bbs.12365auto.com/postcontent.aspx?tId=194586","三大件都一样 20万就能买亚洲龙 为啥要花30万买雷克萨斯ES呢？")</f>
        <v>三大件都一样 20万就能买亚洲龙 为啥要花30万买雷克萨斯ES呢？</v>
      </c>
      <c r="C5052" s="2" t="s">
        <v>13</v>
      </c>
      <c r="D5052" s="2" t="s">
        <v>12</v>
      </c>
      <c r="E5052" s="2" t="s">
        <v>210</v>
      </c>
      <c r="F5052" s="2" t="str">
        <f>HYPERLINK("http://bbs.12365auto.com/postcontent.aspx?tId=194586","http://bbs.12365auto.com/postcontent.aspx?tId=194586")</f>
        <v>http://bbs.12365auto.com/postcontent.aspx?tId=194586</v>
      </c>
      <c r="G5052" s="2"/>
      <c r="H5052" s="2" t="s">
        <v>7121</v>
      </c>
      <c r="I5052" s="2" t="s">
        <v>15</v>
      </c>
      <c r="J5052" s="2" t="s">
        <v>1386</v>
      </c>
      <c r="K5052" s="2" t="s">
        <v>7119</v>
      </c>
      <c r="L5052" s="2">
        <f t="shared" si="78"/>
        <v>150</v>
      </c>
    </row>
    <row r="5053" spans="1:12" ht="25" customHeight="1">
      <c r="A5053" s="2" t="s">
        <v>12</v>
      </c>
      <c r="B5053" s="2" t="str">
        <f>HYPERLINK("http://bbs.12365auto.com/postcontent.aspx?tId=194584","2020款丰田凯美瑞TRD 搭载3.5升V6发动机 匹配8速变速箱")</f>
        <v>2020款丰田凯美瑞TRD 搭载3.5升V6发动机 匹配8速变速箱</v>
      </c>
      <c r="C5053" s="2" t="s">
        <v>13</v>
      </c>
      <c r="D5053" s="2" t="s">
        <v>12</v>
      </c>
      <c r="E5053" s="2" t="s">
        <v>210</v>
      </c>
      <c r="F5053" s="2" t="str">
        <f>HYPERLINK("http://bbs.12365auto.com/postcontent.aspx?tId=194584","http://bbs.12365auto.com/postcontent.aspx?tId=194584")</f>
        <v>http://bbs.12365auto.com/postcontent.aspx?tId=194584</v>
      </c>
      <c r="G5053" s="2"/>
      <c r="H5053" s="2" t="s">
        <v>5665</v>
      </c>
      <c r="I5053" s="2" t="s">
        <v>15</v>
      </c>
      <c r="J5053" s="2" t="s">
        <v>1386</v>
      </c>
      <c r="K5053" s="2" t="s">
        <v>7119</v>
      </c>
      <c r="L5053" s="2">
        <f t="shared" si="78"/>
        <v>150</v>
      </c>
    </row>
    <row r="5054" spans="1:12" ht="25" customHeight="1">
      <c r="A5054" s="2" t="s">
        <v>12</v>
      </c>
      <c r="B5054" s="2" t="str">
        <f>HYPERLINK("http://bbs.12365auto.com/postcontent.aspx?tID=194586","三大件都一样 20万就能买亚洲龙 为啥要花30万买雷克萨斯ES呢？")</f>
        <v>三大件都一样 20万就能买亚洲龙 为啥要花30万买雷克萨斯ES呢？</v>
      </c>
      <c r="C5054" s="2" t="s">
        <v>13</v>
      </c>
      <c r="D5054" s="2" t="s">
        <v>12</v>
      </c>
      <c r="E5054" s="2" t="s">
        <v>214</v>
      </c>
      <c r="F5054" s="2" t="str">
        <f>HYPERLINK("http://bbs.12365auto.com/postcontent.aspx?tID=194586","http://bbs.12365auto.com/postcontent.aspx?tID=194586")</f>
        <v>http://bbs.12365auto.com/postcontent.aspx?tID=194586</v>
      </c>
      <c r="G5054" s="2"/>
      <c r="H5054" s="2" t="s">
        <v>7122</v>
      </c>
      <c r="I5054" s="2" t="s">
        <v>15</v>
      </c>
      <c r="J5054" s="2" t="s">
        <v>1386</v>
      </c>
      <c r="K5054" s="2" t="s">
        <v>7119</v>
      </c>
      <c r="L5054" s="2">
        <f t="shared" si="78"/>
        <v>150</v>
      </c>
    </row>
    <row r="5055" spans="1:12" ht="25" customHeight="1">
      <c r="A5055" s="2" t="s">
        <v>12</v>
      </c>
      <c r="B5055" s="2" t="str">
        <f>HYPERLINK("http://bbs.12365auto.com/postcontent.aspx?tID=194584","2020款丰田凯美瑞TRD 搭载3.5升V6发动机 匹配8速变速箱")</f>
        <v>2020款丰田凯美瑞TRD 搭载3.5升V6发动机 匹配8速变速箱</v>
      </c>
      <c r="C5055" s="2" t="s">
        <v>13</v>
      </c>
      <c r="D5055" s="2" t="s">
        <v>12</v>
      </c>
      <c r="E5055" s="2" t="s">
        <v>214</v>
      </c>
      <c r="F5055" s="2" t="str">
        <f>HYPERLINK("http://bbs.12365auto.com/postcontent.aspx?tID=194584","http://bbs.12365auto.com/postcontent.aspx?tID=194584")</f>
        <v>http://bbs.12365auto.com/postcontent.aspx?tID=194584</v>
      </c>
      <c r="G5055" s="2"/>
      <c r="H5055" s="2" t="s">
        <v>7123</v>
      </c>
      <c r="I5055" s="2" t="s">
        <v>15</v>
      </c>
      <c r="J5055" s="2" t="s">
        <v>1386</v>
      </c>
      <c r="K5055" s="2" t="s">
        <v>7119</v>
      </c>
      <c r="L5055" s="2">
        <f t="shared" si="78"/>
        <v>150</v>
      </c>
    </row>
    <row r="5056" spans="1:12" ht="25" customHeight="1">
      <c r="A5056" s="2" t="s">
        <v>12</v>
      </c>
      <c r="B5056" s="2" t="str">
        <f>HYPERLINK("http://m.12365auto.com/bbs/postcontent.aspx?tID=194584","2020款丰田凯美瑞TRD 搭载3.5升V6发动机 匹配8速变速箱")</f>
        <v>2020款丰田凯美瑞TRD 搭载3.5升V6发动机 匹配8速变速箱</v>
      </c>
      <c r="C5056" s="2" t="s">
        <v>13</v>
      </c>
      <c r="D5056" s="2" t="s">
        <v>23</v>
      </c>
      <c r="E5056" s="2"/>
      <c r="F5056" s="2" t="str">
        <f>HYPERLINK("http://m.12365auto.com/bbs/postcontent.aspx?tID=194584","http://m.12365auto.com/bbs/postcontent.aspx?tID=194584")</f>
        <v>http://m.12365auto.com/bbs/postcontent.aspx?tID=194584</v>
      </c>
      <c r="G5056" s="2"/>
      <c r="H5056" s="2" t="s">
        <v>5665</v>
      </c>
      <c r="I5056" s="2" t="s">
        <v>15</v>
      </c>
      <c r="J5056" s="2" t="s">
        <v>1386</v>
      </c>
      <c r="K5056" s="2" t="s">
        <v>7119</v>
      </c>
      <c r="L5056" s="2">
        <f t="shared" si="78"/>
        <v>150</v>
      </c>
    </row>
    <row r="5057" spans="1:12" ht="25" customHeight="1">
      <c r="A5057" s="2" t="s">
        <v>12</v>
      </c>
      <c r="B5057" s="2" t="str">
        <f>HYPERLINK("http://m.12365auto.com/bbs/postcontent.aspx?tID=194585","领克03的固特异轮胎质量太差了吧")</f>
        <v>领克03的固特异轮胎质量太差了吧</v>
      </c>
      <c r="C5057" s="2" t="s">
        <v>13</v>
      </c>
      <c r="D5057" s="2" t="s">
        <v>23</v>
      </c>
      <c r="E5057" s="2"/>
      <c r="F5057" s="2" t="str">
        <f>HYPERLINK("http://m.12365auto.com/bbs/postcontent.aspx?tID=194585","http://m.12365auto.com/bbs/postcontent.aspx?tID=194585")</f>
        <v>http://m.12365auto.com/bbs/postcontent.aspx?tID=194585</v>
      </c>
      <c r="G5057" s="2"/>
      <c r="H5057" s="2" t="s">
        <v>6363</v>
      </c>
      <c r="I5057" s="2" t="s">
        <v>15</v>
      </c>
      <c r="J5057" s="2" t="s">
        <v>7118</v>
      </c>
      <c r="K5057" s="2" t="s">
        <v>7119</v>
      </c>
      <c r="L5057" s="2">
        <f t="shared" si="78"/>
        <v>39</v>
      </c>
    </row>
    <row r="5058" spans="1:12" ht="25" customHeight="1">
      <c r="A5058" s="2" t="s">
        <v>12</v>
      </c>
      <c r="B5058" s="2" t="str">
        <f>HYPERLINK("http://m.12365auto.com/bbs/postcontent.aspx?tID=194586","三大件都一样 20万就能买亚洲龙 为啥要花30万买雷克萨斯ES呢？")</f>
        <v>三大件都一样 20万就能买亚洲龙 为啥要花30万买雷克萨斯ES呢？</v>
      </c>
      <c r="C5058" s="2" t="s">
        <v>13</v>
      </c>
      <c r="D5058" s="2" t="s">
        <v>23</v>
      </c>
      <c r="E5058" s="2"/>
      <c r="F5058" s="2" t="str">
        <f>HYPERLINK("http://m.12365auto.com/bbs/postcontent.aspx?tID=194586","http://m.12365auto.com/bbs/postcontent.aspx?tID=194586")</f>
        <v>http://m.12365auto.com/bbs/postcontent.aspx?tID=194586</v>
      </c>
      <c r="G5058" s="2"/>
      <c r="H5058" s="2" t="s">
        <v>7121</v>
      </c>
      <c r="I5058" s="2" t="s">
        <v>15</v>
      </c>
      <c r="J5058" s="2" t="s">
        <v>1386</v>
      </c>
      <c r="K5058" s="2" t="s">
        <v>7119</v>
      </c>
      <c r="L5058" s="2">
        <f t="shared" si="78"/>
        <v>150</v>
      </c>
    </row>
    <row r="5059" spans="1:12" ht="25" customHeight="1">
      <c r="A5059" s="2" t="s">
        <v>12</v>
      </c>
      <c r="B5059" s="2" t="str">
        <f>HYPERLINK("http://bbs.12365auto.com/postcontent.aspx?tID=194583","13万多就能买中级车？帕萨特表示压力山大 这车比凯美瑞雅阁还帅")</f>
        <v>13万多就能买中级车？帕萨特表示压力山大 这车比凯美瑞雅阁还帅</v>
      </c>
      <c r="C5059" s="2" t="s">
        <v>13</v>
      </c>
      <c r="D5059" s="2" t="s">
        <v>12</v>
      </c>
      <c r="E5059" s="2" t="s">
        <v>214</v>
      </c>
      <c r="F5059" s="2" t="str">
        <f>HYPERLINK("http://bbs.12365auto.com/postcontent.aspx?tID=194583","http://bbs.12365auto.com/postcontent.aspx?tID=194583")</f>
        <v>http://bbs.12365auto.com/postcontent.aspx?tID=194583</v>
      </c>
      <c r="G5059" s="2"/>
      <c r="H5059" s="2" t="s">
        <v>7124</v>
      </c>
      <c r="I5059" s="2" t="s">
        <v>15</v>
      </c>
      <c r="J5059" s="2" t="s">
        <v>1386</v>
      </c>
      <c r="K5059" s="2" t="s">
        <v>7125</v>
      </c>
      <c r="L5059" s="2">
        <f t="shared" ref="L5059:L5122" si="79">LEN(H5059)</f>
        <v>150</v>
      </c>
    </row>
    <row r="5060" spans="1:12" ht="25" customHeight="1">
      <c r="A5060" s="2" t="s">
        <v>12</v>
      </c>
      <c r="B5060" s="2" t="str">
        <f>HYPERLINK("http://bbs.12365auto.com/postcontent.aspx?tId=194582","宝马3系变速箱故障灯亮是为什么？")</f>
        <v>宝马3系变速箱故障灯亮是为什么？</v>
      </c>
      <c r="C5060" s="2" t="s">
        <v>13</v>
      </c>
      <c r="D5060" s="2" t="s">
        <v>12</v>
      </c>
      <c r="E5060" s="2" t="s">
        <v>66</v>
      </c>
      <c r="F5060" s="2" t="str">
        <f>HYPERLINK("http://bbs.12365auto.com/postcontent.aspx?tId=194582","http://bbs.12365auto.com/postcontent.aspx?tId=194582")</f>
        <v>http://bbs.12365auto.com/postcontent.aspx?tId=194582</v>
      </c>
      <c r="G5060" s="2"/>
      <c r="H5060" s="2" t="s">
        <v>6325</v>
      </c>
      <c r="I5060" s="2" t="s">
        <v>15</v>
      </c>
      <c r="J5060" s="2" t="s">
        <v>7126</v>
      </c>
      <c r="K5060" s="2" t="s">
        <v>7125</v>
      </c>
      <c r="L5060" s="2">
        <f t="shared" si="79"/>
        <v>78</v>
      </c>
    </row>
    <row r="5061" spans="1:12" ht="25" customHeight="1">
      <c r="A5061" s="2" t="s">
        <v>12</v>
      </c>
      <c r="B5061" s="2" t="str">
        <f>HYPERLINK("http://bbs.12365auto.com/postcontent.aspx?tID=194582","宝马3系变速箱故障灯亮是为什么？")</f>
        <v>宝马3系变速箱故障灯亮是为什么？</v>
      </c>
      <c r="C5061" s="2" t="s">
        <v>13</v>
      </c>
      <c r="D5061" s="2" t="s">
        <v>12</v>
      </c>
      <c r="E5061" s="2" t="s">
        <v>67</v>
      </c>
      <c r="F5061" s="2" t="str">
        <f>HYPERLINK("http://bbs.12365auto.com/postcontent.aspx?tID=194582","http://bbs.12365auto.com/postcontent.aspx?tID=194582")</f>
        <v>http://bbs.12365auto.com/postcontent.aspx?tID=194582</v>
      </c>
      <c r="G5061" s="2"/>
      <c r="H5061" s="2" t="s">
        <v>7127</v>
      </c>
      <c r="I5061" s="2" t="s">
        <v>15</v>
      </c>
      <c r="J5061" s="2" t="s">
        <v>7126</v>
      </c>
      <c r="K5061" s="2" t="s">
        <v>7125</v>
      </c>
      <c r="L5061" s="2">
        <f t="shared" si="79"/>
        <v>94</v>
      </c>
    </row>
    <row r="5062" spans="1:12" ht="25" customHeight="1">
      <c r="A5062" s="2" t="s">
        <v>12</v>
      </c>
      <c r="B5062" s="2" t="str">
        <f>HYPERLINK("http://bbs.12365auto.com/postcontent.aspx?tId=194583","13万多就能买中级车？帕萨特表示压力山大 这车比凯美瑞雅阁还帅")</f>
        <v>13万多就能买中级车？帕萨特表示压力山大 这车比凯美瑞雅阁还帅</v>
      </c>
      <c r="C5062" s="2" t="s">
        <v>13</v>
      </c>
      <c r="D5062" s="2" t="s">
        <v>12</v>
      </c>
      <c r="E5062" s="2" t="s">
        <v>210</v>
      </c>
      <c r="F5062" s="2" t="str">
        <f>HYPERLINK("http://bbs.12365auto.com/postcontent.aspx?tId=194583","http://bbs.12365auto.com/postcontent.aspx?tId=194583")</f>
        <v>http://bbs.12365auto.com/postcontent.aspx?tId=194583</v>
      </c>
      <c r="G5062" s="2"/>
      <c r="H5062" s="2" t="s">
        <v>6892</v>
      </c>
      <c r="I5062" s="2" t="s">
        <v>15</v>
      </c>
      <c r="J5062" s="2" t="s">
        <v>1386</v>
      </c>
      <c r="K5062" s="2" t="s">
        <v>7125</v>
      </c>
      <c r="L5062" s="2">
        <f t="shared" si="79"/>
        <v>150</v>
      </c>
    </row>
    <row r="5063" spans="1:12" ht="25" customHeight="1">
      <c r="A5063" s="2" t="s">
        <v>12</v>
      </c>
      <c r="B5063" s="2" t="str">
        <f>HYPERLINK("http://m.12365auto.com/zjdy/20200220/121436.shtml","机油增多乳化现象会有哪些影响？")</f>
        <v>机油增多乳化现象会有哪些影响？</v>
      </c>
      <c r="C5063" s="2" t="s">
        <v>13</v>
      </c>
      <c r="D5063" s="2" t="s">
        <v>12</v>
      </c>
      <c r="E5063" s="2"/>
      <c r="F5063" s="2" t="str">
        <f>HYPERLINK("http://m.12365auto.com/zjdy/20200220/121436.shtml","http://m.12365auto.com/zjdy/20200220/121436.shtml")</f>
        <v>http://m.12365auto.com/zjdy/20200220/121436.shtml</v>
      </c>
      <c r="G5063" s="2"/>
      <c r="H5063" s="2" t="s">
        <v>7128</v>
      </c>
      <c r="I5063" s="2" t="s">
        <v>19</v>
      </c>
      <c r="J5063" s="2" t="s">
        <v>12</v>
      </c>
      <c r="K5063" s="2" t="s">
        <v>7129</v>
      </c>
      <c r="L5063" s="2">
        <f t="shared" si="79"/>
        <v>86</v>
      </c>
    </row>
    <row r="5064" spans="1:12" ht="25" customHeight="1">
      <c r="A5064" s="2" t="s">
        <v>12</v>
      </c>
      <c r="B5064" s="2" t="str">
        <f>HYPERLINK("http://bbs.12365auto.com/postcontent.aspx?tId=194581","RAV4荣放发动机异响 刹车异响")</f>
        <v>RAV4荣放发动机异响 刹车异响</v>
      </c>
      <c r="C5064" s="2" t="s">
        <v>13</v>
      </c>
      <c r="D5064" s="2" t="s">
        <v>12</v>
      </c>
      <c r="E5064" s="2" t="s">
        <v>66</v>
      </c>
      <c r="F5064" s="2" t="str">
        <f>HYPERLINK("http://bbs.12365auto.com/postcontent.aspx?tId=194581","http://bbs.12365auto.com/postcontent.aspx?tId=194581")</f>
        <v>http://bbs.12365auto.com/postcontent.aspx?tId=194581</v>
      </c>
      <c r="G5064" s="2"/>
      <c r="H5064" s="2" t="s">
        <v>7130</v>
      </c>
      <c r="I5064" s="2" t="s">
        <v>15</v>
      </c>
      <c r="J5064" s="2" t="s">
        <v>7131</v>
      </c>
      <c r="K5064" s="2" t="s">
        <v>7132</v>
      </c>
      <c r="L5064" s="2">
        <f t="shared" si="79"/>
        <v>41</v>
      </c>
    </row>
    <row r="5065" spans="1:12" ht="25" customHeight="1">
      <c r="A5065" s="2" t="s">
        <v>12</v>
      </c>
      <c r="B5065" s="2" t="str">
        <f>HYPERLINK("http://bbs.12365auto.com/postcontent.aspx?tID=194581","RAV4荣放发动机异响 刹车异响")</f>
        <v>RAV4荣放发动机异响 刹车异响</v>
      </c>
      <c r="C5065" s="2" t="s">
        <v>13</v>
      </c>
      <c r="D5065" s="2" t="s">
        <v>12</v>
      </c>
      <c r="E5065" s="2" t="s">
        <v>67</v>
      </c>
      <c r="F5065" s="2" t="str">
        <f>HYPERLINK("http://bbs.12365auto.com/postcontent.aspx?tID=194581","http://bbs.12365auto.com/postcontent.aspx?tID=194581")</f>
        <v>http://bbs.12365auto.com/postcontent.aspx?tID=194581</v>
      </c>
      <c r="G5065" s="2"/>
      <c r="H5065" s="2" t="s">
        <v>7133</v>
      </c>
      <c r="I5065" s="2" t="s">
        <v>15</v>
      </c>
      <c r="J5065" s="2" t="s">
        <v>7131</v>
      </c>
      <c r="K5065" s="2" t="s">
        <v>7132</v>
      </c>
      <c r="L5065" s="2">
        <f t="shared" si="79"/>
        <v>57</v>
      </c>
    </row>
    <row r="5066" spans="1:12" ht="25" customHeight="1">
      <c r="A5066" s="2" t="s">
        <v>12</v>
      </c>
      <c r="B5066" s="2" t="str">
        <f>HYPERLINK("http://bbs.12365auto.com/postcontent.aspx?tId=194580","帝豪GL发动机盖生锈到处生锈")</f>
        <v>帝豪GL发动机盖生锈到处生锈</v>
      </c>
      <c r="C5066" s="2" t="s">
        <v>13</v>
      </c>
      <c r="D5066" s="2" t="s">
        <v>12</v>
      </c>
      <c r="E5066" s="2" t="s">
        <v>66</v>
      </c>
      <c r="F5066" s="2" t="str">
        <f>HYPERLINK("http://bbs.12365auto.com/postcontent.aspx?tId=194580","http://bbs.12365auto.com/postcontent.aspx?tId=194580")</f>
        <v>http://bbs.12365auto.com/postcontent.aspx?tId=194580</v>
      </c>
      <c r="G5066" s="2"/>
      <c r="H5066" s="2" t="s">
        <v>6554</v>
      </c>
      <c r="I5066" s="2" t="s">
        <v>15</v>
      </c>
      <c r="J5066" s="2" t="s">
        <v>7134</v>
      </c>
      <c r="K5066" s="2" t="s">
        <v>7135</v>
      </c>
      <c r="L5066" s="2">
        <f t="shared" si="79"/>
        <v>105</v>
      </c>
    </row>
    <row r="5067" spans="1:12" ht="25" customHeight="1">
      <c r="A5067" s="2" t="s">
        <v>12</v>
      </c>
      <c r="B5067" s="2" t="str">
        <f>HYPERLINK("http://bbs.12365auto.com/postcontent.aspx?tID=194580","帝豪GL发动机盖生锈到处生锈")</f>
        <v>帝豪GL发动机盖生锈到处生锈</v>
      </c>
      <c r="C5067" s="2" t="s">
        <v>13</v>
      </c>
      <c r="D5067" s="2" t="s">
        <v>12</v>
      </c>
      <c r="E5067" s="2" t="s">
        <v>67</v>
      </c>
      <c r="F5067" s="2" t="str">
        <f>HYPERLINK("http://bbs.12365auto.com/postcontent.aspx?tID=194580","http://bbs.12365auto.com/postcontent.aspx?tID=194580")</f>
        <v>http://bbs.12365auto.com/postcontent.aspx?tID=194580</v>
      </c>
      <c r="G5067" s="2"/>
      <c r="H5067" s="2" t="s">
        <v>7136</v>
      </c>
      <c r="I5067" s="2" t="s">
        <v>15</v>
      </c>
      <c r="J5067" s="2" t="s">
        <v>7134</v>
      </c>
      <c r="K5067" s="2" t="s">
        <v>7135</v>
      </c>
      <c r="L5067" s="2">
        <f t="shared" si="79"/>
        <v>119</v>
      </c>
    </row>
    <row r="5068" spans="1:12" ht="25" customHeight="1">
      <c r="A5068" s="2" t="s">
        <v>12</v>
      </c>
      <c r="B5068" s="2" t="str">
        <f>HYPERLINK("http://bbs.12365auto.com/postcontent.aspx?tId=194578","标致308S油箱故障是怎么回事")</f>
        <v>标致308S油箱故障是怎么回事</v>
      </c>
      <c r="C5068" s="2" t="s">
        <v>13</v>
      </c>
      <c r="D5068" s="2" t="s">
        <v>12</v>
      </c>
      <c r="E5068" s="2" t="s">
        <v>66</v>
      </c>
      <c r="F5068" s="2" t="str">
        <f>HYPERLINK("http://bbs.12365auto.com/postcontent.aspx?tId=194578","http://bbs.12365auto.com/postcontent.aspx?tId=194578")</f>
        <v>http://bbs.12365auto.com/postcontent.aspx?tId=194578</v>
      </c>
      <c r="G5068" s="2"/>
      <c r="H5068" s="2" t="s">
        <v>7137</v>
      </c>
      <c r="I5068" s="2" t="s">
        <v>15</v>
      </c>
      <c r="J5068" s="2" t="s">
        <v>7138</v>
      </c>
      <c r="K5068" s="2" t="s">
        <v>7139</v>
      </c>
      <c r="L5068" s="2">
        <f t="shared" si="79"/>
        <v>50</v>
      </c>
    </row>
    <row r="5069" spans="1:12" ht="25" customHeight="1">
      <c r="A5069" s="2" t="s">
        <v>12</v>
      </c>
      <c r="B5069" s="2" t="str">
        <f>HYPERLINK("http://bbs.12365auto.com/postcontent.aspx?tID=194579","开完日产奇骏再换到丰田RAV4荣放  车主：差距明显")</f>
        <v>开完日产奇骏再换到丰田RAV4荣放  车主：差距明显</v>
      </c>
      <c r="C5069" s="2" t="s">
        <v>13</v>
      </c>
      <c r="D5069" s="2" t="s">
        <v>12</v>
      </c>
      <c r="E5069" s="2" t="s">
        <v>214</v>
      </c>
      <c r="F5069" s="2" t="str">
        <f>HYPERLINK("http://bbs.12365auto.com/postcontent.aspx?tID=194579","http://bbs.12365auto.com/postcontent.aspx?tID=194579")</f>
        <v>http://bbs.12365auto.com/postcontent.aspx?tID=194579</v>
      </c>
      <c r="G5069" s="2"/>
      <c r="H5069" s="2" t="s">
        <v>7140</v>
      </c>
      <c r="I5069" s="2" t="s">
        <v>15</v>
      </c>
      <c r="J5069" s="2" t="s">
        <v>1386</v>
      </c>
      <c r="K5069" s="2" t="s">
        <v>7139</v>
      </c>
      <c r="L5069" s="2">
        <f t="shared" si="79"/>
        <v>150</v>
      </c>
    </row>
    <row r="5070" spans="1:12" ht="25" customHeight="1">
      <c r="A5070" s="2" t="s">
        <v>12</v>
      </c>
      <c r="B5070" s="2" t="str">
        <f>HYPERLINK("http://bbs.12365auto.com/postcontent.aspx?tId=194579","开完日产奇骏再换到丰田RAV4荣放  车主：差距明显")</f>
        <v>开完日产奇骏再换到丰田RAV4荣放  车主：差距明显</v>
      </c>
      <c r="C5070" s="2" t="s">
        <v>13</v>
      </c>
      <c r="D5070" s="2" t="s">
        <v>12</v>
      </c>
      <c r="E5070" s="2" t="s">
        <v>210</v>
      </c>
      <c r="F5070" s="2" t="str">
        <f>HYPERLINK("http://bbs.12365auto.com/postcontent.aspx?tId=194579","http://bbs.12365auto.com/postcontent.aspx?tId=194579")</f>
        <v>http://bbs.12365auto.com/postcontent.aspx?tId=194579</v>
      </c>
      <c r="G5070" s="2"/>
      <c r="H5070" s="2" t="s">
        <v>7141</v>
      </c>
      <c r="I5070" s="2" t="s">
        <v>15</v>
      </c>
      <c r="J5070" s="2" t="s">
        <v>1386</v>
      </c>
      <c r="K5070" s="2" t="s">
        <v>7139</v>
      </c>
      <c r="L5070" s="2">
        <f t="shared" si="79"/>
        <v>150</v>
      </c>
    </row>
    <row r="5071" spans="1:12" ht="25" customHeight="1">
      <c r="A5071" s="2" t="s">
        <v>12</v>
      </c>
      <c r="B5071" s="2" t="str">
        <f>HYPERLINK("http://bbs.12365auto.com/postcontent.aspx?tID=194578","标致308S油箱故障是怎么回事")</f>
        <v>标致308S油箱故障是怎么回事</v>
      </c>
      <c r="C5071" s="2" t="s">
        <v>13</v>
      </c>
      <c r="D5071" s="2" t="s">
        <v>12</v>
      </c>
      <c r="E5071" s="2" t="s">
        <v>67</v>
      </c>
      <c r="F5071" s="2" t="str">
        <f>HYPERLINK("http://bbs.12365auto.com/postcontent.aspx?tID=194578","http://bbs.12365auto.com/postcontent.aspx?tID=194578")</f>
        <v>http://bbs.12365auto.com/postcontent.aspx?tID=194578</v>
      </c>
      <c r="G5071" s="2"/>
      <c r="H5071" s="2" t="s">
        <v>7142</v>
      </c>
      <c r="I5071" s="2" t="s">
        <v>15</v>
      </c>
      <c r="J5071" s="2" t="s">
        <v>7138</v>
      </c>
      <c r="K5071" s="2" t="s">
        <v>7139</v>
      </c>
      <c r="L5071" s="2">
        <f t="shared" si="79"/>
        <v>65</v>
      </c>
    </row>
    <row r="5072" spans="1:12" ht="25" customHeight="1">
      <c r="A5072" s="2" t="s">
        <v>12</v>
      </c>
      <c r="B5072" s="2" t="str">
        <f>HYPERLINK("http://bbs.12365auto.com/postcontent.aspx?tId=194577","吉利金刚的问题真是多，不是生锈就是无法启动")</f>
        <v>吉利金刚的问题真是多，不是生锈就是无法启动</v>
      </c>
      <c r="C5072" s="2" t="s">
        <v>13</v>
      </c>
      <c r="D5072" s="2" t="s">
        <v>12</v>
      </c>
      <c r="E5072" s="2" t="s">
        <v>66</v>
      </c>
      <c r="F5072" s="2" t="str">
        <f>HYPERLINK("http://bbs.12365auto.com/postcontent.aspx?tId=194577","http://bbs.12365auto.com/postcontent.aspx?tId=194577")</f>
        <v>http://bbs.12365auto.com/postcontent.aspx?tId=194577</v>
      </c>
      <c r="G5072" s="2"/>
      <c r="H5072" s="2" t="s">
        <v>7143</v>
      </c>
      <c r="I5072" s="2" t="s">
        <v>15</v>
      </c>
      <c r="J5072" s="2" t="s">
        <v>7144</v>
      </c>
      <c r="K5072" s="2" t="s">
        <v>7145</v>
      </c>
      <c r="L5072" s="2">
        <f t="shared" si="79"/>
        <v>150</v>
      </c>
    </row>
    <row r="5073" spans="1:12" ht="25" customHeight="1">
      <c r="A5073" s="2" t="s">
        <v>12</v>
      </c>
      <c r="B5073" s="2" t="str">
        <f>HYPERLINK("http://bbs.12365auto.com/postcontent.aspx?tID=194577","吉利金刚的问题真是多，不是生锈就是无法启动")</f>
        <v>吉利金刚的问题真是多，不是生锈就是无法启动</v>
      </c>
      <c r="C5073" s="2" t="s">
        <v>13</v>
      </c>
      <c r="D5073" s="2" t="s">
        <v>12</v>
      </c>
      <c r="E5073" s="2" t="s">
        <v>67</v>
      </c>
      <c r="F5073" s="2" t="str">
        <f>HYPERLINK("http://bbs.12365auto.com/postcontent.aspx?tID=194577","http://bbs.12365auto.com/postcontent.aspx?tID=194577")</f>
        <v>http://bbs.12365auto.com/postcontent.aspx?tID=194577</v>
      </c>
      <c r="G5073" s="2"/>
      <c r="H5073" s="2" t="s">
        <v>7146</v>
      </c>
      <c r="I5073" s="2" t="s">
        <v>15</v>
      </c>
      <c r="J5073" s="2" t="s">
        <v>7144</v>
      </c>
      <c r="K5073" s="2" t="s">
        <v>7145</v>
      </c>
      <c r="L5073" s="2">
        <f t="shared" si="79"/>
        <v>150</v>
      </c>
    </row>
    <row r="5074" spans="1:12" ht="25" customHeight="1">
      <c r="A5074" s="2" t="s">
        <v>12</v>
      </c>
      <c r="B5074" s="2" t="str">
        <f>HYPERLINK("http://bbs.12365auto.com/postcontent.aspx?tId=194576","本田飞度后轮内衬位置出现锈蚀腐烂")</f>
        <v>本田飞度后轮内衬位置出现锈蚀腐烂</v>
      </c>
      <c r="C5074" s="2" t="s">
        <v>13</v>
      </c>
      <c r="D5074" s="2" t="s">
        <v>12</v>
      </c>
      <c r="E5074" s="2" t="s">
        <v>66</v>
      </c>
      <c r="F5074" s="2" t="str">
        <f>HYPERLINK("http://bbs.12365auto.com/postcontent.aspx?tId=194576","http://bbs.12365auto.com/postcontent.aspx?tId=194576")</f>
        <v>http://bbs.12365auto.com/postcontent.aspx?tId=194576</v>
      </c>
      <c r="G5074" s="2"/>
      <c r="H5074" s="2" t="s">
        <v>7147</v>
      </c>
      <c r="I5074" s="2" t="s">
        <v>15</v>
      </c>
      <c r="J5074" s="2" t="s">
        <v>7148</v>
      </c>
      <c r="K5074" s="2" t="s">
        <v>7149</v>
      </c>
      <c r="L5074" s="2">
        <f t="shared" si="79"/>
        <v>90</v>
      </c>
    </row>
    <row r="5075" spans="1:12" ht="25" customHeight="1">
      <c r="A5075" s="2" t="s">
        <v>12</v>
      </c>
      <c r="B5075" s="2" t="str">
        <f>HYPERLINK("http://bbs.12365auto.com/postcontent.aspx?tID=194576","本田飞度后轮内衬位置出现锈蚀腐烂")</f>
        <v>本田飞度后轮内衬位置出现锈蚀腐烂</v>
      </c>
      <c r="C5075" s="2" t="s">
        <v>13</v>
      </c>
      <c r="D5075" s="2" t="s">
        <v>12</v>
      </c>
      <c r="E5075" s="2" t="s">
        <v>67</v>
      </c>
      <c r="F5075" s="2" t="str">
        <f>HYPERLINK("http://bbs.12365auto.com/postcontent.aspx?tID=194576","http://bbs.12365auto.com/postcontent.aspx?tID=194576")</f>
        <v>http://bbs.12365auto.com/postcontent.aspx?tID=194576</v>
      </c>
      <c r="G5075" s="2"/>
      <c r="H5075" s="2" t="s">
        <v>7150</v>
      </c>
      <c r="I5075" s="2" t="s">
        <v>15</v>
      </c>
      <c r="J5075" s="2" t="s">
        <v>7148</v>
      </c>
      <c r="K5075" s="2" t="s">
        <v>7149</v>
      </c>
      <c r="L5075" s="2">
        <f t="shared" si="79"/>
        <v>106</v>
      </c>
    </row>
    <row r="5076" spans="1:12" ht="25" customHeight="1">
      <c r="A5076" s="2" t="s">
        <v>12</v>
      </c>
      <c r="B5076" s="2" t="str">
        <f>HYPERLINK("http://bbs.12365auto.com/postcontent.aspx?tId=194575","宝骏560底盘异响导致车内共振声音大")</f>
        <v>宝骏560底盘异响导致车内共振声音大</v>
      </c>
      <c r="C5076" s="2" t="s">
        <v>13</v>
      </c>
      <c r="D5076" s="2" t="s">
        <v>12</v>
      </c>
      <c r="E5076" s="2" t="s">
        <v>66</v>
      </c>
      <c r="F5076" s="2" t="str">
        <f>HYPERLINK("http://bbs.12365auto.com/postcontent.aspx?tId=194575","http://bbs.12365auto.com/postcontent.aspx?tId=194575")</f>
        <v>http://bbs.12365auto.com/postcontent.aspx?tId=194575</v>
      </c>
      <c r="G5076" s="2"/>
      <c r="H5076" s="2" t="s">
        <v>7151</v>
      </c>
      <c r="I5076" s="2" t="s">
        <v>15</v>
      </c>
      <c r="J5076" s="2" t="s">
        <v>7152</v>
      </c>
      <c r="K5076" s="2" t="s">
        <v>7153</v>
      </c>
      <c r="L5076" s="2">
        <f t="shared" si="79"/>
        <v>44</v>
      </c>
    </row>
    <row r="5077" spans="1:12" ht="25" customHeight="1">
      <c r="A5077" s="2" t="s">
        <v>12</v>
      </c>
      <c r="B5077" s="2" t="str">
        <f>HYPERLINK("http://bbs.12365auto.com/postcontent.aspx?tID=194575","宝骏560底盘异响导致车内共振声音大")</f>
        <v>宝骏560底盘异响导致车内共振声音大</v>
      </c>
      <c r="C5077" s="2" t="s">
        <v>13</v>
      </c>
      <c r="D5077" s="2" t="s">
        <v>12</v>
      </c>
      <c r="E5077" s="2" t="s">
        <v>67</v>
      </c>
      <c r="F5077" s="2" t="str">
        <f>HYPERLINK("http://bbs.12365auto.com/postcontent.aspx?tID=194575","http://bbs.12365auto.com/postcontent.aspx?tID=194575")</f>
        <v>http://bbs.12365auto.com/postcontent.aspx?tID=194575</v>
      </c>
      <c r="G5077" s="2"/>
      <c r="H5077" s="2" t="s">
        <v>7154</v>
      </c>
      <c r="I5077" s="2" t="s">
        <v>15</v>
      </c>
      <c r="J5077" s="2" t="s">
        <v>7152</v>
      </c>
      <c r="K5077" s="2" t="s">
        <v>7153</v>
      </c>
      <c r="L5077" s="2">
        <f t="shared" si="79"/>
        <v>62</v>
      </c>
    </row>
    <row r="5078" spans="1:12" ht="25" customHeight="1">
      <c r="A5078" s="2" t="s">
        <v>12</v>
      </c>
      <c r="B5078" s="2" t="str">
        <f>HYPERLINK("http://bbs.12365auto.com/postcontent.aspx?tID=194575&amp;sId=1650&amp;ppage=1&amp;from=s","宝骏560底盘异响导致车内共振声音大")</f>
        <v>宝骏560底盘异响导致车内共振声音大</v>
      </c>
      <c r="C5078" s="2" t="s">
        <v>13</v>
      </c>
      <c r="D5078" s="2" t="s">
        <v>12</v>
      </c>
      <c r="E5078" s="2" t="s">
        <v>564</v>
      </c>
      <c r="F5078" s="2" t="str">
        <f>HYPERLINK("http://bbs.12365auto.com/postcontent.aspx?tID=194575&amp;sId=1650&amp;ppage=1&amp;from=s","http://bbs.12365auto.com/postcontent.aspx?tID=194575&amp;sId=1650&amp;ppage=1&amp;from=s")</f>
        <v>http://bbs.12365auto.com/postcontent.aspx?tID=194575&amp;sId=1650&amp;ppage=1&amp;from=s</v>
      </c>
      <c r="G5078" s="2"/>
      <c r="H5078" s="2" t="s">
        <v>7154</v>
      </c>
      <c r="I5078" s="2" t="s">
        <v>15</v>
      </c>
      <c r="J5078" s="2" t="s">
        <v>7155</v>
      </c>
      <c r="K5078" s="2" t="s">
        <v>7153</v>
      </c>
      <c r="L5078" s="2">
        <f t="shared" si="79"/>
        <v>62</v>
      </c>
    </row>
    <row r="5079" spans="1:12" ht="25" customHeight="1">
      <c r="A5079" s="2" t="s">
        <v>12</v>
      </c>
      <c r="B5079" s="2" t="str">
        <f>HYPERLINK("http://bbs.12365auto.com/postcontent.aspx?tId=194574","代号B-SUV，日内瓦车展首发，丰田发布全新SUV预告图")</f>
        <v>代号B-SUV，日内瓦车展首发，丰田发布全新SUV预告图</v>
      </c>
      <c r="C5079" s="2" t="s">
        <v>13</v>
      </c>
      <c r="D5079" s="2" t="s">
        <v>12</v>
      </c>
      <c r="E5079" s="2" t="s">
        <v>27</v>
      </c>
      <c r="F5079" s="2" t="str">
        <f>HYPERLINK("http://bbs.12365auto.com/postcontent.aspx?tId=194574","http://bbs.12365auto.com/postcontent.aspx?tId=194574")</f>
        <v>http://bbs.12365auto.com/postcontent.aspx?tId=194574</v>
      </c>
      <c r="G5079" s="2"/>
      <c r="H5079" s="2" t="s">
        <v>7156</v>
      </c>
      <c r="I5079" s="2" t="s">
        <v>15</v>
      </c>
      <c r="J5079" s="2" t="s">
        <v>2996</v>
      </c>
      <c r="K5079" s="2" t="s">
        <v>7157</v>
      </c>
      <c r="L5079" s="2">
        <f t="shared" si="79"/>
        <v>150</v>
      </c>
    </row>
    <row r="5080" spans="1:12" ht="25" customHeight="1">
      <c r="A5080" s="2" t="s">
        <v>12</v>
      </c>
      <c r="B5080" s="2" t="str">
        <f>HYPERLINK("http://bbs.12365auto.com/postcontent.aspx?tID=194574","代号B-SUV，日内瓦车展首发，丰田发布全新SUV预告图")</f>
        <v>代号B-SUV，日内瓦车展首发，丰田发布全新SUV预告图</v>
      </c>
      <c r="C5080" s="2" t="s">
        <v>13</v>
      </c>
      <c r="D5080" s="2" t="s">
        <v>12</v>
      </c>
      <c r="E5080" s="2" t="s">
        <v>28</v>
      </c>
      <c r="F5080" s="2" t="str">
        <f>HYPERLINK("http://bbs.12365auto.com/postcontent.aspx?tID=194574","http://bbs.12365auto.com/postcontent.aspx?tID=194574")</f>
        <v>http://bbs.12365auto.com/postcontent.aspx?tID=194574</v>
      </c>
      <c r="G5080" s="2"/>
      <c r="H5080" s="2" t="s">
        <v>7158</v>
      </c>
      <c r="I5080" s="2" t="s">
        <v>15</v>
      </c>
      <c r="J5080" s="2" t="s">
        <v>2996</v>
      </c>
      <c r="K5080" s="2" t="s">
        <v>7157</v>
      </c>
      <c r="L5080" s="2">
        <f t="shared" si="79"/>
        <v>150</v>
      </c>
    </row>
    <row r="5081" spans="1:12" ht="25" customHeight="1">
      <c r="A5081" s="2" t="s">
        <v>12</v>
      </c>
      <c r="B5081" s="2" t="str">
        <f>HYPERLINK("http://m.12365auto.com/bbs/postcontent.aspx?tID=194574","代号B-SUV，日内瓦车展首发，丰田发布全新SUV预告图")</f>
        <v>代号B-SUV，日内瓦车展首发，丰田发布全新SUV预告图</v>
      </c>
      <c r="C5081" s="2" t="s">
        <v>13</v>
      </c>
      <c r="D5081" s="2" t="s">
        <v>23</v>
      </c>
      <c r="E5081" s="2"/>
      <c r="F5081" s="2" t="str">
        <f>HYPERLINK("http://m.12365auto.com/bbs/postcontent.aspx?tID=194574","http://m.12365auto.com/bbs/postcontent.aspx?tID=194574")</f>
        <v>http://m.12365auto.com/bbs/postcontent.aspx?tID=194574</v>
      </c>
      <c r="G5081" s="2"/>
      <c r="H5081" s="2" t="s">
        <v>7156</v>
      </c>
      <c r="I5081" s="2" t="s">
        <v>15</v>
      </c>
      <c r="J5081" s="2" t="s">
        <v>2996</v>
      </c>
      <c r="K5081" s="2" t="s">
        <v>7157</v>
      </c>
      <c r="L5081" s="2">
        <f t="shared" si="79"/>
        <v>150</v>
      </c>
    </row>
    <row r="5082" spans="1:12" ht="25" customHeight="1">
      <c r="A5082" s="2" t="s">
        <v>12</v>
      </c>
      <c r="B5082" s="2" t="str">
        <f>HYPERLINK("http://m.12365auto.com/xcdg/20200220/419016.shtml","引领全新出行方式 捷豹路虎推出创新概念车")</f>
        <v>引领全新出行方式 捷豹路虎推出创新概念车</v>
      </c>
      <c r="C5082" s="2" t="s">
        <v>13</v>
      </c>
      <c r="D5082" s="2" t="s">
        <v>12</v>
      </c>
      <c r="E5082" s="2"/>
      <c r="F5082" s="2" t="str">
        <f>HYPERLINK("http://m.12365auto.com/xcdg/20200220/419016.shtml","http://m.12365auto.com/xcdg/20200220/419016.shtml")</f>
        <v>http://m.12365auto.com/xcdg/20200220/419016.shtml</v>
      </c>
      <c r="G5082" s="2"/>
      <c r="H5082" s="2" t="s">
        <v>7159</v>
      </c>
      <c r="I5082" s="2" t="s">
        <v>19</v>
      </c>
      <c r="J5082" s="2" t="s">
        <v>1250</v>
      </c>
      <c r="K5082" s="2" t="s">
        <v>7160</v>
      </c>
      <c r="L5082" s="2">
        <f t="shared" si="79"/>
        <v>150</v>
      </c>
    </row>
    <row r="5083" spans="1:12" ht="25" customHeight="1">
      <c r="A5083" s="2" t="s">
        <v>12</v>
      </c>
      <c r="B5083" s="2" t="str">
        <f>HYPERLINK("http://bbs.12365auto.com/postcontent.aspx?tId=194573","搭载2.4T发动机，丰田GR 86明年7月首发亮相")</f>
        <v>搭载2.4T发动机，丰田GR 86明年7月首发亮相</v>
      </c>
      <c r="C5083" s="2" t="s">
        <v>13</v>
      </c>
      <c r="D5083" s="2" t="s">
        <v>12</v>
      </c>
      <c r="E5083" s="2" t="s">
        <v>27</v>
      </c>
      <c r="F5083" s="2" t="str">
        <f>HYPERLINK("http://bbs.12365auto.com/postcontent.aspx?tId=194573","http://bbs.12365auto.com/postcontent.aspx?tId=194573")</f>
        <v>http://bbs.12365auto.com/postcontent.aspx?tId=194573</v>
      </c>
      <c r="G5083" s="2"/>
      <c r="H5083" s="2" t="s">
        <v>7161</v>
      </c>
      <c r="I5083" s="2" t="s">
        <v>15</v>
      </c>
      <c r="J5083" s="2" t="s">
        <v>2996</v>
      </c>
      <c r="K5083" s="2" t="s">
        <v>7160</v>
      </c>
      <c r="L5083" s="2">
        <f t="shared" si="79"/>
        <v>150</v>
      </c>
    </row>
    <row r="5084" spans="1:12" ht="25" customHeight="1">
      <c r="A5084" s="2" t="s">
        <v>12</v>
      </c>
      <c r="B5084" s="2" t="str">
        <f>HYPERLINK("http://bbs.12365auto.com/postcontent.aspx?tID=194573","搭载2.4T发动机，丰田GR 86明年7月首发亮相")</f>
        <v>搭载2.4T发动机，丰田GR 86明年7月首发亮相</v>
      </c>
      <c r="C5084" s="2" t="s">
        <v>13</v>
      </c>
      <c r="D5084" s="2" t="s">
        <v>12</v>
      </c>
      <c r="E5084" s="2" t="s">
        <v>28</v>
      </c>
      <c r="F5084" s="2" t="str">
        <f>HYPERLINK("http://bbs.12365auto.com/postcontent.aspx?tID=194573","http://bbs.12365auto.com/postcontent.aspx?tID=194573")</f>
        <v>http://bbs.12365auto.com/postcontent.aspx?tID=194573</v>
      </c>
      <c r="G5084" s="2"/>
      <c r="H5084" s="2" t="s">
        <v>7162</v>
      </c>
      <c r="I5084" s="2" t="s">
        <v>15</v>
      </c>
      <c r="J5084" s="2" t="s">
        <v>2996</v>
      </c>
      <c r="K5084" s="2" t="s">
        <v>7160</v>
      </c>
      <c r="L5084" s="2">
        <f t="shared" si="79"/>
        <v>150</v>
      </c>
    </row>
    <row r="5085" spans="1:12" ht="25" customHeight="1">
      <c r="A5085" s="2" t="s">
        <v>12</v>
      </c>
      <c r="B5085" s="2" t="str">
        <f>HYPERLINK("http://m.12365auto.com/bbs/postcontent.aspx?tID=194573","搭载2.4T发动机，丰田GR 86明年7月首发亮相")</f>
        <v>搭载2.4T发动机，丰田GR 86明年7月首发亮相</v>
      </c>
      <c r="C5085" s="2" t="s">
        <v>13</v>
      </c>
      <c r="D5085" s="2" t="s">
        <v>23</v>
      </c>
      <c r="E5085" s="2"/>
      <c r="F5085" s="2" t="str">
        <f>HYPERLINK("http://m.12365auto.com/bbs/postcontent.aspx?tID=194573","http://m.12365auto.com/bbs/postcontent.aspx?tID=194573")</f>
        <v>http://m.12365auto.com/bbs/postcontent.aspx?tID=194573</v>
      </c>
      <c r="G5085" s="2"/>
      <c r="H5085" s="2" t="s">
        <v>7161</v>
      </c>
      <c r="I5085" s="2" t="s">
        <v>15</v>
      </c>
      <c r="J5085" s="2" t="s">
        <v>2996</v>
      </c>
      <c r="K5085" s="2" t="s">
        <v>7160</v>
      </c>
      <c r="L5085" s="2">
        <f t="shared" si="79"/>
        <v>150</v>
      </c>
    </row>
    <row r="5086" spans="1:12" ht="25" customHeight="1">
      <c r="A5086" s="2" t="s">
        <v>12</v>
      </c>
      <c r="B5086" s="2" t="str">
        <f>HYPERLINK("http://www.12365auto.com/xcdg/20200220/419016.shtml","引领全新出行方式 捷豹路虎推出创新概念车")</f>
        <v>引领全新出行方式 捷豹路虎推出创新概念车</v>
      </c>
      <c r="C5086" s="2" t="s">
        <v>13</v>
      </c>
      <c r="D5086" s="2" t="s">
        <v>12</v>
      </c>
      <c r="E5086" s="2" t="s">
        <v>245</v>
      </c>
      <c r="F5086" s="2" t="str">
        <f>HYPERLINK("http://www.12365auto.com/xcdg/20200220/419016.shtml","http://www.12365auto.com/xcdg/20200220/419016.shtml")</f>
        <v>http://www.12365auto.com/xcdg/20200220/419016.shtml</v>
      </c>
      <c r="G5086" s="2"/>
      <c r="H5086" s="2" t="s">
        <v>7163</v>
      </c>
      <c r="I5086" s="2" t="s">
        <v>19</v>
      </c>
      <c r="J5086" s="2" t="s">
        <v>12</v>
      </c>
      <c r="K5086" s="2" t="s">
        <v>7160</v>
      </c>
      <c r="L5086" s="2">
        <f t="shared" si="79"/>
        <v>150</v>
      </c>
    </row>
    <row r="5087" spans="1:12" ht="25" customHeight="1">
      <c r="A5087" s="2" t="s">
        <v>12</v>
      </c>
      <c r="B5087" s="2" t="str">
        <f>HYPERLINK("http://bbs.12365auto.com/postcontent.aspx?tId=194572","宝马6系GT中期改款车型路试谍照曝光")</f>
        <v>宝马6系GT中期改款车型路试谍照曝光</v>
      </c>
      <c r="C5087" s="2" t="s">
        <v>13</v>
      </c>
      <c r="D5087" s="2" t="s">
        <v>12</v>
      </c>
      <c r="E5087" s="2" t="s">
        <v>27</v>
      </c>
      <c r="F5087" s="2" t="str">
        <f>HYPERLINK("http://bbs.12365auto.com/postcontent.aspx?tId=194572","http://bbs.12365auto.com/postcontent.aspx?tId=194572")</f>
        <v>http://bbs.12365auto.com/postcontent.aspx?tId=194572</v>
      </c>
      <c r="G5087" s="2"/>
      <c r="H5087" s="2" t="s">
        <v>7164</v>
      </c>
      <c r="I5087" s="2" t="s">
        <v>15</v>
      </c>
      <c r="J5087" s="2" t="s">
        <v>2996</v>
      </c>
      <c r="K5087" s="2" t="s">
        <v>7165</v>
      </c>
      <c r="L5087" s="2">
        <f t="shared" si="79"/>
        <v>150</v>
      </c>
    </row>
    <row r="5088" spans="1:12" ht="25" customHeight="1">
      <c r="A5088" s="2" t="s">
        <v>12</v>
      </c>
      <c r="B5088" s="2" t="str">
        <f>HYPERLINK("http://bbs.12365auto.com/postcontent.aspx?tId=194571","4.1秒破百！奥迪RS 4 Avant特别版官图发布")</f>
        <v>4.1秒破百！奥迪RS 4 Avant特别版官图发布</v>
      </c>
      <c r="C5088" s="2" t="s">
        <v>13</v>
      </c>
      <c r="D5088" s="2" t="s">
        <v>12</v>
      </c>
      <c r="E5088" s="2" t="s">
        <v>27</v>
      </c>
      <c r="F5088" s="2" t="str">
        <f>HYPERLINK("http://bbs.12365auto.com/postcontent.aspx?tId=194571","http://bbs.12365auto.com/postcontent.aspx?tId=194571")</f>
        <v>http://bbs.12365auto.com/postcontent.aspx?tId=194571</v>
      </c>
      <c r="G5088" s="2"/>
      <c r="H5088" s="2" t="s">
        <v>7166</v>
      </c>
      <c r="I5088" s="2" t="s">
        <v>15</v>
      </c>
      <c r="J5088" s="2" t="s">
        <v>2996</v>
      </c>
      <c r="K5088" s="2" t="s">
        <v>7165</v>
      </c>
      <c r="L5088" s="2">
        <f t="shared" si="79"/>
        <v>150</v>
      </c>
    </row>
    <row r="5089" spans="1:12" ht="25" customHeight="1">
      <c r="A5089" s="2" t="s">
        <v>12</v>
      </c>
      <c r="B5089" s="2" t="str">
        <f>HYPERLINK("http://bbs.12365auto.com/postcontent.aspx?tID=194571","4.1秒破百！奥迪RS 4 Avant特别版官图发布")</f>
        <v>4.1秒破百！奥迪RS 4 Avant特别版官图发布</v>
      </c>
      <c r="C5089" s="2" t="s">
        <v>13</v>
      </c>
      <c r="D5089" s="2" t="s">
        <v>12</v>
      </c>
      <c r="E5089" s="2" t="s">
        <v>28</v>
      </c>
      <c r="F5089" s="2" t="str">
        <f>HYPERLINK("http://bbs.12365auto.com/postcontent.aspx?tID=194571","http://bbs.12365auto.com/postcontent.aspx?tID=194571")</f>
        <v>http://bbs.12365auto.com/postcontent.aspx?tID=194571</v>
      </c>
      <c r="G5089" s="2"/>
      <c r="H5089" s="2" t="s">
        <v>7167</v>
      </c>
      <c r="I5089" s="2" t="s">
        <v>15</v>
      </c>
      <c r="J5089" s="2" t="s">
        <v>2996</v>
      </c>
      <c r="K5089" s="2" t="s">
        <v>7165</v>
      </c>
      <c r="L5089" s="2">
        <f t="shared" si="79"/>
        <v>150</v>
      </c>
    </row>
    <row r="5090" spans="1:12" ht="25" customHeight="1">
      <c r="A5090" s="2" t="s">
        <v>12</v>
      </c>
      <c r="B5090" s="2" t="str">
        <f>HYPERLINK("http://bbs.12365auto.com/postcontent.aspx?tID=194572","宝马6系GT中期改款车型路试谍照曝光")</f>
        <v>宝马6系GT中期改款车型路试谍照曝光</v>
      </c>
      <c r="C5090" s="2" t="s">
        <v>13</v>
      </c>
      <c r="D5090" s="2" t="s">
        <v>12</v>
      </c>
      <c r="E5090" s="2" t="s">
        <v>28</v>
      </c>
      <c r="F5090" s="2" t="str">
        <f>HYPERLINK("http://bbs.12365auto.com/postcontent.aspx?tID=194572","http://bbs.12365auto.com/postcontent.aspx?tID=194572")</f>
        <v>http://bbs.12365auto.com/postcontent.aspx?tID=194572</v>
      </c>
      <c r="G5090" s="2"/>
      <c r="H5090" s="2" t="s">
        <v>7168</v>
      </c>
      <c r="I5090" s="2" t="s">
        <v>15</v>
      </c>
      <c r="J5090" s="2" t="s">
        <v>2996</v>
      </c>
      <c r="K5090" s="2" t="s">
        <v>7165</v>
      </c>
      <c r="L5090" s="2">
        <f t="shared" si="79"/>
        <v>150</v>
      </c>
    </row>
    <row r="5091" spans="1:12" ht="25" customHeight="1">
      <c r="A5091" s="2" t="s">
        <v>12</v>
      </c>
      <c r="B5091" s="2" t="str">
        <f>HYPERLINK("http://m.12365auto.com/bbs/postcontent.aspx?tID=194572","宝马6系GT中期改款车型路试谍照曝光")</f>
        <v>宝马6系GT中期改款车型路试谍照曝光</v>
      </c>
      <c r="C5091" s="2" t="s">
        <v>13</v>
      </c>
      <c r="D5091" s="2" t="s">
        <v>23</v>
      </c>
      <c r="E5091" s="2"/>
      <c r="F5091" s="2" t="str">
        <f>HYPERLINK("http://m.12365auto.com/bbs/postcontent.aspx?tID=194572","http://m.12365auto.com/bbs/postcontent.aspx?tID=194572")</f>
        <v>http://m.12365auto.com/bbs/postcontent.aspx?tID=194572</v>
      </c>
      <c r="G5091" s="2"/>
      <c r="H5091" s="2" t="s">
        <v>7164</v>
      </c>
      <c r="I5091" s="2" t="s">
        <v>15</v>
      </c>
      <c r="J5091" s="2" t="s">
        <v>2996</v>
      </c>
      <c r="K5091" s="2" t="s">
        <v>7165</v>
      </c>
      <c r="L5091" s="2">
        <f t="shared" si="79"/>
        <v>150</v>
      </c>
    </row>
    <row r="5092" spans="1:12" ht="25" customHeight="1">
      <c r="A5092" s="2" t="s">
        <v>12</v>
      </c>
      <c r="B5092" s="2" t="str">
        <f>HYPERLINK("http://m.12365auto.com/bbs/postcontent.aspx?tID=194571","4.1秒破百！奥迪RS 4 Avant特别版官图发布")</f>
        <v>4.1秒破百！奥迪RS 4 Avant特别版官图发布</v>
      </c>
      <c r="C5092" s="2" t="s">
        <v>13</v>
      </c>
      <c r="D5092" s="2" t="s">
        <v>23</v>
      </c>
      <c r="E5092" s="2"/>
      <c r="F5092" s="2" t="str">
        <f>HYPERLINK("http://m.12365auto.com/bbs/postcontent.aspx?tID=194571","http://m.12365auto.com/bbs/postcontent.aspx?tID=194571")</f>
        <v>http://m.12365auto.com/bbs/postcontent.aspx?tID=194571</v>
      </c>
      <c r="G5092" s="2"/>
      <c r="H5092" s="2" t="s">
        <v>7166</v>
      </c>
      <c r="I5092" s="2" t="s">
        <v>15</v>
      </c>
      <c r="J5092" s="2" t="s">
        <v>2996</v>
      </c>
      <c r="K5092" s="2" t="s">
        <v>7165</v>
      </c>
      <c r="L5092" s="2">
        <f t="shared" si="79"/>
        <v>150</v>
      </c>
    </row>
    <row r="5093" spans="1:12" ht="25" customHeight="1">
      <c r="A5093" s="2" t="s">
        <v>12</v>
      </c>
      <c r="B5093" s="2" t="str">
        <f>HYPERLINK("http://m.12365auto.com/xcdg/20200220/419015.shtml","全新起亚索兰托动力信息曝光 首搭混动系统")</f>
        <v>全新起亚索兰托动力信息曝光 首搭混动系统</v>
      </c>
      <c r="C5093" s="2" t="s">
        <v>13</v>
      </c>
      <c r="D5093" s="2" t="s">
        <v>12</v>
      </c>
      <c r="E5093" s="2"/>
      <c r="F5093" s="2" t="str">
        <f>HYPERLINK("http://m.12365auto.com/xcdg/20200220/419015.shtml","http://m.12365auto.com/xcdg/20200220/419015.shtml")</f>
        <v>http://m.12365auto.com/xcdg/20200220/419015.shtml</v>
      </c>
      <c r="G5093" s="2"/>
      <c r="H5093" s="2" t="s">
        <v>7169</v>
      </c>
      <c r="I5093" s="2" t="s">
        <v>19</v>
      </c>
      <c r="J5093" s="2" t="s">
        <v>1241</v>
      </c>
      <c r="K5093" s="2" t="s">
        <v>7170</v>
      </c>
      <c r="L5093" s="2">
        <f t="shared" si="79"/>
        <v>150</v>
      </c>
    </row>
    <row r="5094" spans="1:12" ht="25" customHeight="1">
      <c r="A5094" s="2" t="s">
        <v>12</v>
      </c>
      <c r="B5094" s="2" t="str">
        <f>HYPERLINK("http://bbs.12365auto.com/postcontent.aspx?tId=194570","掌握的车险续保技巧 新手学会不吃亏")</f>
        <v>掌握的车险续保技巧 新手学会不吃亏</v>
      </c>
      <c r="C5094" s="2" t="s">
        <v>13</v>
      </c>
      <c r="D5094" s="2" t="s">
        <v>12</v>
      </c>
      <c r="E5094" s="2" t="s">
        <v>27</v>
      </c>
      <c r="F5094" s="2" t="str">
        <f>HYPERLINK("http://bbs.12365auto.com/postcontent.aspx?tId=194570","http://bbs.12365auto.com/postcontent.aspx?tId=194570")</f>
        <v>http://bbs.12365auto.com/postcontent.aspx?tId=194570</v>
      </c>
      <c r="G5094" s="2"/>
      <c r="H5094" s="2" t="s">
        <v>7171</v>
      </c>
      <c r="I5094" s="2" t="s">
        <v>15</v>
      </c>
      <c r="J5094" s="2" t="s">
        <v>2996</v>
      </c>
      <c r="K5094" s="2" t="s">
        <v>7170</v>
      </c>
      <c r="L5094" s="2">
        <f t="shared" si="79"/>
        <v>150</v>
      </c>
    </row>
    <row r="5095" spans="1:12" ht="25" customHeight="1">
      <c r="A5095" s="2" t="s">
        <v>12</v>
      </c>
      <c r="B5095" s="2" t="str">
        <f>HYPERLINK("http://bbs.12365auto.com/postcontent.aspx?tId=194569","为何费油 解析影响汽车油耗的三大因素")</f>
        <v>为何费油 解析影响汽车油耗的三大因素</v>
      </c>
      <c r="C5095" s="2" t="s">
        <v>13</v>
      </c>
      <c r="D5095" s="2" t="s">
        <v>12</v>
      </c>
      <c r="E5095" s="2" t="s">
        <v>27</v>
      </c>
      <c r="F5095" s="2" t="str">
        <f>HYPERLINK("http://bbs.12365auto.com/postcontent.aspx?tId=194569","http://bbs.12365auto.com/postcontent.aspx?tId=194569")</f>
        <v>http://bbs.12365auto.com/postcontent.aspx?tId=194569</v>
      </c>
      <c r="G5095" s="2"/>
      <c r="H5095" s="2" t="s">
        <v>7172</v>
      </c>
      <c r="I5095" s="2" t="s">
        <v>15</v>
      </c>
      <c r="J5095" s="2" t="s">
        <v>2996</v>
      </c>
      <c r="K5095" s="2" t="s">
        <v>7170</v>
      </c>
      <c r="L5095" s="2">
        <f t="shared" si="79"/>
        <v>150</v>
      </c>
    </row>
    <row r="5096" spans="1:12" ht="25" customHeight="1">
      <c r="A5096" s="2" t="s">
        <v>12</v>
      </c>
      <c r="B5096" s="2" t="str">
        <f>HYPERLINK("http://www.12365auto.com/xcdg/20200220/419015.shtml","全新起亚索兰托动力信息曝光 首搭混动系统")</f>
        <v>全新起亚索兰托动力信息曝光 首搭混动系统</v>
      </c>
      <c r="C5096" s="2" t="s">
        <v>13</v>
      </c>
      <c r="D5096" s="2" t="s">
        <v>12</v>
      </c>
      <c r="E5096" s="2" t="s">
        <v>216</v>
      </c>
      <c r="F5096" s="2" t="str">
        <f>HYPERLINK("http://www.12365auto.com/xcdg/20200220/419015.shtml","http://www.12365auto.com/xcdg/20200220/419015.shtml")</f>
        <v>http://www.12365auto.com/xcdg/20200220/419015.shtml</v>
      </c>
      <c r="G5096" s="2"/>
      <c r="H5096" s="2" t="s">
        <v>7173</v>
      </c>
      <c r="I5096" s="2" t="s">
        <v>15</v>
      </c>
      <c r="J5096" s="2" t="s">
        <v>12</v>
      </c>
      <c r="K5096" s="2" t="s">
        <v>7170</v>
      </c>
      <c r="L5096" s="2">
        <f t="shared" si="79"/>
        <v>150</v>
      </c>
    </row>
    <row r="5097" spans="1:12" ht="25" customHeight="1">
      <c r="A5097" s="2" t="s">
        <v>12</v>
      </c>
      <c r="B5097" s="2" t="str">
        <f>HYPERLINK("http://bbs.12365auto.com/postcontent.aspx?tID=194569","为何费油 解析影响汽车油耗的三大因素")</f>
        <v>为何费油 解析影响汽车油耗的三大因素</v>
      </c>
      <c r="C5097" s="2" t="s">
        <v>13</v>
      </c>
      <c r="D5097" s="2" t="s">
        <v>12</v>
      </c>
      <c r="E5097" s="2" t="s">
        <v>28</v>
      </c>
      <c r="F5097" s="2" t="str">
        <f>HYPERLINK("http://bbs.12365auto.com/postcontent.aspx?tID=194569","http://bbs.12365auto.com/postcontent.aspx?tID=194569")</f>
        <v>http://bbs.12365auto.com/postcontent.aspx?tID=194569</v>
      </c>
      <c r="G5097" s="2"/>
      <c r="H5097" s="2" t="s">
        <v>7174</v>
      </c>
      <c r="I5097" s="2" t="s">
        <v>15</v>
      </c>
      <c r="J5097" s="2" t="s">
        <v>2996</v>
      </c>
      <c r="K5097" s="2" t="s">
        <v>7170</v>
      </c>
      <c r="L5097" s="2">
        <f t="shared" si="79"/>
        <v>150</v>
      </c>
    </row>
    <row r="5098" spans="1:12" ht="25" customHeight="1">
      <c r="A5098" s="2" t="s">
        <v>12</v>
      </c>
      <c r="B5098" s="2" t="str">
        <f>HYPERLINK("http://bbs.12365auto.com/postcontent.aspx?tID=194570","掌握的车险续保技巧 新手学会不吃亏")</f>
        <v>掌握的车险续保技巧 新手学会不吃亏</v>
      </c>
      <c r="C5098" s="2" t="s">
        <v>13</v>
      </c>
      <c r="D5098" s="2" t="s">
        <v>12</v>
      </c>
      <c r="E5098" s="2" t="s">
        <v>28</v>
      </c>
      <c r="F5098" s="2" t="str">
        <f>HYPERLINK("http://bbs.12365auto.com/postcontent.aspx?tID=194570","http://bbs.12365auto.com/postcontent.aspx?tID=194570")</f>
        <v>http://bbs.12365auto.com/postcontent.aspx?tID=194570</v>
      </c>
      <c r="G5098" s="2"/>
      <c r="H5098" s="2" t="s">
        <v>7175</v>
      </c>
      <c r="I5098" s="2" t="s">
        <v>15</v>
      </c>
      <c r="J5098" s="2" t="s">
        <v>2996</v>
      </c>
      <c r="K5098" s="2" t="s">
        <v>7170</v>
      </c>
      <c r="L5098" s="2">
        <f t="shared" si="79"/>
        <v>150</v>
      </c>
    </row>
    <row r="5099" spans="1:12" ht="25" customHeight="1">
      <c r="A5099" s="2" t="s">
        <v>12</v>
      </c>
      <c r="B5099" s="2" t="str">
        <f>HYPERLINK("http://m.12365auto.com/bbs/postcontent.aspx?tID=194570","掌握的车险续保技巧 新手学会不吃亏")</f>
        <v>掌握的车险续保技巧 新手学会不吃亏</v>
      </c>
      <c r="C5099" s="2" t="s">
        <v>13</v>
      </c>
      <c r="D5099" s="2" t="s">
        <v>23</v>
      </c>
      <c r="E5099" s="2"/>
      <c r="F5099" s="2" t="str">
        <f>HYPERLINK("http://m.12365auto.com/bbs/postcontent.aspx?tID=194570","http://m.12365auto.com/bbs/postcontent.aspx?tID=194570")</f>
        <v>http://m.12365auto.com/bbs/postcontent.aspx?tID=194570</v>
      </c>
      <c r="G5099" s="2"/>
      <c r="H5099" s="2" t="s">
        <v>7171</v>
      </c>
      <c r="I5099" s="2" t="s">
        <v>15</v>
      </c>
      <c r="J5099" s="2" t="s">
        <v>2996</v>
      </c>
      <c r="K5099" s="2" t="s">
        <v>7170</v>
      </c>
      <c r="L5099" s="2">
        <f t="shared" si="79"/>
        <v>150</v>
      </c>
    </row>
    <row r="5100" spans="1:12" ht="25" customHeight="1">
      <c r="A5100" s="2" t="s">
        <v>12</v>
      </c>
      <c r="B5100" s="2" t="str">
        <f>HYPERLINK("http://m.12365auto.com/bbs/postcontent.aspx?tID=194569","为何费油 解析影响汽车油耗的三大因素")</f>
        <v>为何费油 解析影响汽车油耗的三大因素</v>
      </c>
      <c r="C5100" s="2" t="s">
        <v>13</v>
      </c>
      <c r="D5100" s="2" t="s">
        <v>23</v>
      </c>
      <c r="E5100" s="2"/>
      <c r="F5100" s="2" t="str">
        <f>HYPERLINK("http://m.12365auto.com/bbs/postcontent.aspx?tID=194569","http://m.12365auto.com/bbs/postcontent.aspx?tID=194569")</f>
        <v>http://m.12365auto.com/bbs/postcontent.aspx?tID=194569</v>
      </c>
      <c r="G5100" s="2"/>
      <c r="H5100" s="2" t="s">
        <v>7172</v>
      </c>
      <c r="I5100" s="2" t="s">
        <v>15</v>
      </c>
      <c r="J5100" s="2" t="s">
        <v>2996</v>
      </c>
      <c r="K5100" s="2" t="s">
        <v>7170</v>
      </c>
      <c r="L5100" s="2">
        <f t="shared" si="79"/>
        <v>150</v>
      </c>
    </row>
    <row r="5101" spans="1:12" ht="25" customHeight="1">
      <c r="A5101" s="2" t="s">
        <v>12</v>
      </c>
      <c r="B5101" s="2" t="str">
        <f>HYPERLINK("http://bbs.12365auto.com/postcontent.aspx?tId=194568","五条冷门交规 不少老司机都有中招")</f>
        <v>五条冷门交规 不少老司机都有中招</v>
      </c>
      <c r="C5101" s="2" t="s">
        <v>13</v>
      </c>
      <c r="D5101" s="2" t="s">
        <v>12</v>
      </c>
      <c r="E5101" s="2" t="s">
        <v>27</v>
      </c>
      <c r="F5101" s="2" t="str">
        <f>HYPERLINK("http://bbs.12365auto.com/postcontent.aspx?tId=194568","http://bbs.12365auto.com/postcontent.aspx?tId=194568")</f>
        <v>http://bbs.12365auto.com/postcontent.aspx?tId=194568</v>
      </c>
      <c r="G5101" s="2"/>
      <c r="H5101" s="2" t="s">
        <v>7176</v>
      </c>
      <c r="I5101" s="2" t="s">
        <v>15</v>
      </c>
      <c r="J5101" s="2" t="s">
        <v>2996</v>
      </c>
      <c r="K5101" s="2" t="s">
        <v>7177</v>
      </c>
      <c r="L5101" s="2">
        <f t="shared" si="79"/>
        <v>150</v>
      </c>
    </row>
    <row r="5102" spans="1:12" ht="25" customHeight="1">
      <c r="A5102" s="2" t="s">
        <v>12</v>
      </c>
      <c r="B5102" s="2" t="str">
        <f>HYPERLINK("http://bbs.12365auto.com/postcontent.aspx?tId=194567","卤素灯是蜡烛灯 为什么车主不愿更换")</f>
        <v>卤素灯是蜡烛灯 为什么车主不愿更换</v>
      </c>
      <c r="C5102" s="2" t="s">
        <v>13</v>
      </c>
      <c r="D5102" s="2" t="s">
        <v>12</v>
      </c>
      <c r="E5102" s="2" t="s">
        <v>27</v>
      </c>
      <c r="F5102" s="2" t="str">
        <f>HYPERLINK("http://bbs.12365auto.com/postcontent.aspx?tId=194567","http://bbs.12365auto.com/postcontent.aspx?tId=194567")</f>
        <v>http://bbs.12365auto.com/postcontent.aspx?tId=194567</v>
      </c>
      <c r="G5102" s="2"/>
      <c r="H5102" s="2" t="s">
        <v>7178</v>
      </c>
      <c r="I5102" s="2" t="s">
        <v>15</v>
      </c>
      <c r="J5102" s="2" t="s">
        <v>2996</v>
      </c>
      <c r="K5102" s="2" t="s">
        <v>7177</v>
      </c>
      <c r="L5102" s="2">
        <f t="shared" si="79"/>
        <v>150</v>
      </c>
    </row>
    <row r="5103" spans="1:12" ht="25" customHeight="1">
      <c r="A5103" s="2" t="s">
        <v>12</v>
      </c>
      <c r="B5103" s="2" t="str">
        <f>HYPERLINK("http://bbs.12365auto.com/postcontent.aspx?tID=194568","五条冷门交规 不少老司机都有中招")</f>
        <v>五条冷门交规 不少老司机都有中招</v>
      </c>
      <c r="C5103" s="2" t="s">
        <v>13</v>
      </c>
      <c r="D5103" s="2" t="s">
        <v>12</v>
      </c>
      <c r="E5103" s="2" t="s">
        <v>28</v>
      </c>
      <c r="F5103" s="2" t="str">
        <f>HYPERLINK("http://bbs.12365auto.com/postcontent.aspx?tID=194568","http://bbs.12365auto.com/postcontent.aspx?tID=194568")</f>
        <v>http://bbs.12365auto.com/postcontent.aspx?tID=194568</v>
      </c>
      <c r="G5103" s="2"/>
      <c r="H5103" s="2" t="s">
        <v>7179</v>
      </c>
      <c r="I5103" s="2" t="s">
        <v>15</v>
      </c>
      <c r="J5103" s="2" t="s">
        <v>2996</v>
      </c>
      <c r="K5103" s="2" t="s">
        <v>7177</v>
      </c>
      <c r="L5103" s="2">
        <f t="shared" si="79"/>
        <v>150</v>
      </c>
    </row>
    <row r="5104" spans="1:12" ht="25" customHeight="1">
      <c r="A5104" s="2" t="s">
        <v>12</v>
      </c>
      <c r="B5104" s="2" t="str">
        <f>HYPERLINK("http://bbs.12365auto.com/postcontent.aspx?tID=194567","卤素灯是蜡烛灯 为什么车主不愿更换")</f>
        <v>卤素灯是蜡烛灯 为什么车主不愿更换</v>
      </c>
      <c r="C5104" s="2" t="s">
        <v>13</v>
      </c>
      <c r="D5104" s="2" t="s">
        <v>12</v>
      </c>
      <c r="E5104" s="2" t="s">
        <v>28</v>
      </c>
      <c r="F5104" s="2" t="str">
        <f>HYPERLINK("http://bbs.12365auto.com/postcontent.aspx?tID=194567","http://bbs.12365auto.com/postcontent.aspx?tID=194567")</f>
        <v>http://bbs.12365auto.com/postcontent.aspx?tID=194567</v>
      </c>
      <c r="G5104" s="2"/>
      <c r="H5104" s="2" t="s">
        <v>7180</v>
      </c>
      <c r="I5104" s="2" t="s">
        <v>15</v>
      </c>
      <c r="J5104" s="2" t="s">
        <v>2996</v>
      </c>
      <c r="K5104" s="2" t="s">
        <v>7177</v>
      </c>
      <c r="L5104" s="2">
        <f t="shared" si="79"/>
        <v>150</v>
      </c>
    </row>
    <row r="5105" spans="1:12" ht="25" customHeight="1">
      <c r="A5105" s="2" t="s">
        <v>12</v>
      </c>
      <c r="B5105" s="2" t="str">
        <f>HYPERLINK("http://m.12365auto.com/bbs/postcontent.aspx?tID=194568","五条冷门交规 不少老司机都有中招")</f>
        <v>五条冷门交规 不少老司机都有中招</v>
      </c>
      <c r="C5105" s="2" t="s">
        <v>13</v>
      </c>
      <c r="D5105" s="2" t="s">
        <v>23</v>
      </c>
      <c r="E5105" s="2"/>
      <c r="F5105" s="2" t="str">
        <f>HYPERLINK("http://m.12365auto.com/bbs/postcontent.aspx?tID=194568","http://m.12365auto.com/bbs/postcontent.aspx?tID=194568")</f>
        <v>http://m.12365auto.com/bbs/postcontent.aspx?tID=194568</v>
      </c>
      <c r="G5105" s="2"/>
      <c r="H5105" s="2" t="s">
        <v>7176</v>
      </c>
      <c r="I5105" s="2" t="s">
        <v>15</v>
      </c>
      <c r="J5105" s="2" t="s">
        <v>2996</v>
      </c>
      <c r="K5105" s="2" t="s">
        <v>7177</v>
      </c>
      <c r="L5105" s="2">
        <f t="shared" si="79"/>
        <v>150</v>
      </c>
    </row>
    <row r="5106" spans="1:12" ht="25" customHeight="1">
      <c r="A5106" s="2" t="s">
        <v>12</v>
      </c>
      <c r="B5106" s="2" t="str">
        <f>HYPERLINK("http://m.12365auto.com/bbs/postcontent.aspx?tID=194567","卤素灯是蜡烛灯 为什么车主不愿更换")</f>
        <v>卤素灯是蜡烛灯 为什么车主不愿更换</v>
      </c>
      <c r="C5106" s="2" t="s">
        <v>13</v>
      </c>
      <c r="D5106" s="2" t="s">
        <v>23</v>
      </c>
      <c r="E5106" s="2"/>
      <c r="F5106" s="2" t="str">
        <f>HYPERLINK("http://m.12365auto.com/bbs/postcontent.aspx?tID=194567","http://m.12365auto.com/bbs/postcontent.aspx?tID=194567")</f>
        <v>http://m.12365auto.com/bbs/postcontent.aspx?tID=194567</v>
      </c>
      <c r="G5106" s="2"/>
      <c r="H5106" s="2" t="s">
        <v>7178</v>
      </c>
      <c r="I5106" s="2" t="s">
        <v>15</v>
      </c>
      <c r="J5106" s="2" t="s">
        <v>2996</v>
      </c>
      <c r="K5106" s="2" t="s">
        <v>7177</v>
      </c>
      <c r="L5106" s="2">
        <f t="shared" si="79"/>
        <v>150</v>
      </c>
    </row>
    <row r="5107" spans="1:12" ht="25" customHeight="1">
      <c r="A5107" s="2" t="s">
        <v>12</v>
      </c>
      <c r="B5107" s="2" t="str">
        <f>HYPERLINK("http://bbs.12365auto.com/postcontent.aspx?tId=194565","车子停路边被水淹 保险公司赔全款吗")</f>
        <v>车子停路边被水淹 保险公司赔全款吗</v>
      </c>
      <c r="C5107" s="2" t="s">
        <v>13</v>
      </c>
      <c r="D5107" s="2" t="s">
        <v>12</v>
      </c>
      <c r="E5107" s="2" t="s">
        <v>27</v>
      </c>
      <c r="F5107" s="2" t="str">
        <f>HYPERLINK("http://bbs.12365auto.com/postcontent.aspx?tId=194565","http://bbs.12365auto.com/postcontent.aspx?tId=194565")</f>
        <v>http://bbs.12365auto.com/postcontent.aspx?tId=194565</v>
      </c>
      <c r="G5107" s="2"/>
      <c r="H5107" s="2" t="s">
        <v>7181</v>
      </c>
      <c r="I5107" s="2" t="s">
        <v>15</v>
      </c>
      <c r="J5107" s="2" t="s">
        <v>2996</v>
      </c>
      <c r="K5107" s="2" t="s">
        <v>7182</v>
      </c>
      <c r="L5107" s="2">
        <f t="shared" si="79"/>
        <v>150</v>
      </c>
    </row>
    <row r="5108" spans="1:12" ht="25" customHeight="1">
      <c r="A5108" s="2" t="s">
        <v>12</v>
      </c>
      <c r="B5108" s="2" t="str">
        <f>HYPERLINK("http://bbs.12365auto.com/postcontent.aspx?tId=194566","大众兄弟SUV车型，上汽大众途观L对比一汽-大众探岳！")</f>
        <v>大众兄弟SUV车型，上汽大众途观L对比一汽-大众探岳！</v>
      </c>
      <c r="C5108" s="2" t="s">
        <v>13</v>
      </c>
      <c r="D5108" s="2" t="s">
        <v>12</v>
      </c>
      <c r="E5108" s="2" t="s">
        <v>27</v>
      </c>
      <c r="F5108" s="2" t="str">
        <f>HYPERLINK("http://bbs.12365auto.com/postcontent.aspx?tId=194566","http://bbs.12365auto.com/postcontent.aspx?tId=194566")</f>
        <v>http://bbs.12365auto.com/postcontent.aspx?tId=194566</v>
      </c>
      <c r="G5108" s="2"/>
      <c r="H5108" s="2" t="s">
        <v>7183</v>
      </c>
      <c r="I5108" s="2" t="s">
        <v>15</v>
      </c>
      <c r="J5108" s="2" t="s">
        <v>2996</v>
      </c>
      <c r="K5108" s="2" t="s">
        <v>7182</v>
      </c>
      <c r="L5108" s="2">
        <f t="shared" si="79"/>
        <v>150</v>
      </c>
    </row>
    <row r="5109" spans="1:12" ht="25" customHeight="1">
      <c r="A5109" s="2" t="s">
        <v>12</v>
      </c>
      <c r="B5109" s="2" t="str">
        <f>HYPERLINK("http://www.12365auto.com/xcdg/20200220/419017.shtml","整体时尚动感 全新现代i20内饰预告图发布")</f>
        <v>整体时尚动感 全新现代i20内饰预告图发布</v>
      </c>
      <c r="C5109" s="2" t="s">
        <v>13</v>
      </c>
      <c r="D5109" s="2" t="s">
        <v>12</v>
      </c>
      <c r="E5109" s="2" t="s">
        <v>216</v>
      </c>
      <c r="F5109" s="2" t="str">
        <f>HYPERLINK("http://www.12365auto.com/xcdg/20200220/419017.shtml","http://www.12365auto.com/xcdg/20200220/419017.shtml")</f>
        <v>http://www.12365auto.com/xcdg/20200220/419017.shtml</v>
      </c>
      <c r="G5109" s="2"/>
      <c r="H5109" s="2" t="s">
        <v>7184</v>
      </c>
      <c r="I5109" s="2" t="s">
        <v>15</v>
      </c>
      <c r="J5109" s="2" t="s">
        <v>12</v>
      </c>
      <c r="K5109" s="2" t="s">
        <v>7182</v>
      </c>
      <c r="L5109" s="2">
        <f t="shared" si="79"/>
        <v>150</v>
      </c>
    </row>
    <row r="5110" spans="1:12" ht="25" customHeight="1">
      <c r="A5110" s="2" t="s">
        <v>12</v>
      </c>
      <c r="B5110" s="2" t="str">
        <f>HYPERLINK("http://m.12365auto.com/xcdg/20200220/419017.shtml","整体时尚动感 全新现代i20内饰预告图发布")</f>
        <v>整体时尚动感 全新现代i20内饰预告图发布</v>
      </c>
      <c r="C5110" s="2" t="s">
        <v>13</v>
      </c>
      <c r="D5110" s="2" t="s">
        <v>12</v>
      </c>
      <c r="E5110" s="2"/>
      <c r="F5110" s="2" t="str">
        <f>HYPERLINK("http://m.12365auto.com/xcdg/20200220/419017.shtml","http://m.12365auto.com/xcdg/20200220/419017.shtml")</f>
        <v>http://m.12365auto.com/xcdg/20200220/419017.shtml</v>
      </c>
      <c r="G5110" s="2"/>
      <c r="H5110" s="2" t="s">
        <v>7185</v>
      </c>
      <c r="I5110" s="2" t="s">
        <v>19</v>
      </c>
      <c r="J5110" s="2" t="s">
        <v>1230</v>
      </c>
      <c r="K5110" s="2" t="s">
        <v>7182</v>
      </c>
      <c r="L5110" s="2">
        <f t="shared" si="79"/>
        <v>150</v>
      </c>
    </row>
    <row r="5111" spans="1:12" ht="25" customHeight="1">
      <c r="A5111" s="2" t="s">
        <v>12</v>
      </c>
      <c r="B5111" s="2" t="str">
        <f>HYPERLINK("http://bbs.12365auto.com/postcontent.aspx?tID=194565","车子停路边被水淹 保险公司赔全款吗")</f>
        <v>车子停路边被水淹 保险公司赔全款吗</v>
      </c>
      <c r="C5111" s="2" t="s">
        <v>13</v>
      </c>
      <c r="D5111" s="2" t="s">
        <v>12</v>
      </c>
      <c r="E5111" s="2" t="s">
        <v>28</v>
      </c>
      <c r="F5111" s="2" t="str">
        <f>HYPERLINK("http://bbs.12365auto.com/postcontent.aspx?tID=194565","http://bbs.12365auto.com/postcontent.aspx?tID=194565")</f>
        <v>http://bbs.12365auto.com/postcontent.aspx?tID=194565</v>
      </c>
      <c r="G5111" s="2"/>
      <c r="H5111" s="2" t="s">
        <v>7186</v>
      </c>
      <c r="I5111" s="2" t="s">
        <v>15</v>
      </c>
      <c r="J5111" s="2" t="s">
        <v>2996</v>
      </c>
      <c r="K5111" s="2" t="s">
        <v>7182</v>
      </c>
      <c r="L5111" s="2">
        <f t="shared" si="79"/>
        <v>150</v>
      </c>
    </row>
    <row r="5112" spans="1:12" ht="25" customHeight="1">
      <c r="A5112" s="2" t="s">
        <v>12</v>
      </c>
      <c r="B5112" s="2" t="str">
        <f>HYPERLINK("http://bbs.12365auto.com/postcontent.aspx?tID=194566","大众兄弟SUV车型，上汽大众途观L对比一汽-大众探岳！")</f>
        <v>大众兄弟SUV车型，上汽大众途观L对比一汽-大众探岳！</v>
      </c>
      <c r="C5112" s="2" t="s">
        <v>13</v>
      </c>
      <c r="D5112" s="2" t="s">
        <v>12</v>
      </c>
      <c r="E5112" s="2" t="s">
        <v>28</v>
      </c>
      <c r="F5112" s="2" t="str">
        <f>HYPERLINK("http://bbs.12365auto.com/postcontent.aspx?tID=194566","http://bbs.12365auto.com/postcontent.aspx?tID=194566")</f>
        <v>http://bbs.12365auto.com/postcontent.aspx?tID=194566</v>
      </c>
      <c r="G5112" s="2"/>
      <c r="H5112" s="2" t="s">
        <v>7187</v>
      </c>
      <c r="I5112" s="2" t="s">
        <v>15</v>
      </c>
      <c r="J5112" s="2" t="s">
        <v>2996</v>
      </c>
      <c r="K5112" s="2" t="s">
        <v>7182</v>
      </c>
      <c r="L5112" s="2">
        <f t="shared" si="79"/>
        <v>150</v>
      </c>
    </row>
    <row r="5113" spans="1:12" ht="25" customHeight="1">
      <c r="A5113" s="2" t="s">
        <v>12</v>
      </c>
      <c r="B5113" s="2" t="str">
        <f>HYPERLINK("http://m.12365auto.com/bbs/postcontent.aspx?tID=194566","大众兄弟SUV车型，上汽大众途观L对比一汽-大众探岳！")</f>
        <v>大众兄弟SUV车型，上汽大众途观L对比一汽-大众探岳！</v>
      </c>
      <c r="C5113" s="2" t="s">
        <v>13</v>
      </c>
      <c r="D5113" s="2" t="s">
        <v>23</v>
      </c>
      <c r="E5113" s="2"/>
      <c r="F5113" s="2" t="str">
        <f>HYPERLINK("http://m.12365auto.com/bbs/postcontent.aspx?tID=194566","http://m.12365auto.com/bbs/postcontent.aspx?tID=194566")</f>
        <v>http://m.12365auto.com/bbs/postcontent.aspx?tID=194566</v>
      </c>
      <c r="G5113" s="2"/>
      <c r="H5113" s="2" t="s">
        <v>7183</v>
      </c>
      <c r="I5113" s="2" t="s">
        <v>15</v>
      </c>
      <c r="J5113" s="2" t="s">
        <v>2996</v>
      </c>
      <c r="K5113" s="2" t="s">
        <v>7182</v>
      </c>
      <c r="L5113" s="2">
        <f t="shared" si="79"/>
        <v>150</v>
      </c>
    </row>
    <row r="5114" spans="1:12" ht="25" customHeight="1">
      <c r="A5114" s="2" t="s">
        <v>12</v>
      </c>
      <c r="B5114" s="2" t="str">
        <f>HYPERLINK("http://m.12365auto.com/bbs/postcontent.aspx?tID=194565","车子停路边被水淹 保险公司赔全款吗")</f>
        <v>车子停路边被水淹 保险公司赔全款吗</v>
      </c>
      <c r="C5114" s="2" t="s">
        <v>13</v>
      </c>
      <c r="D5114" s="2" t="s">
        <v>23</v>
      </c>
      <c r="E5114" s="2"/>
      <c r="F5114" s="2" t="str">
        <f>HYPERLINK("http://m.12365auto.com/bbs/postcontent.aspx?tID=194565","http://m.12365auto.com/bbs/postcontent.aspx?tID=194565")</f>
        <v>http://m.12365auto.com/bbs/postcontent.aspx?tID=194565</v>
      </c>
      <c r="G5114" s="2"/>
      <c r="H5114" s="2" t="s">
        <v>7181</v>
      </c>
      <c r="I5114" s="2" t="s">
        <v>15</v>
      </c>
      <c r="J5114" s="2" t="s">
        <v>2996</v>
      </c>
      <c r="K5114" s="2" t="s">
        <v>7182</v>
      </c>
      <c r="L5114" s="2">
        <f t="shared" si="79"/>
        <v>150</v>
      </c>
    </row>
    <row r="5115" spans="1:12" ht="25" customHeight="1">
      <c r="A5115" s="2" t="s">
        <v>12</v>
      </c>
      <c r="B5115" s="2" t="str">
        <f>HYPERLINK("http://bbs.12365auto.com/postcontent.aspx?tID=194564","2019年度盘点：30万内最受欢迎的豪华SUV")</f>
        <v>2019年度盘点：30万内最受欢迎的豪华SUV</v>
      </c>
      <c r="C5115" s="2" t="s">
        <v>13</v>
      </c>
      <c r="D5115" s="2" t="s">
        <v>12</v>
      </c>
      <c r="E5115" s="2" t="s">
        <v>28</v>
      </c>
      <c r="F5115" s="2" t="str">
        <f>HYPERLINK("http://bbs.12365auto.com/postcontent.aspx?tID=194564","http://bbs.12365auto.com/postcontent.aspx?tID=194564")</f>
        <v>http://bbs.12365auto.com/postcontent.aspx?tID=194564</v>
      </c>
      <c r="G5115" s="2"/>
      <c r="H5115" s="2" t="s">
        <v>7188</v>
      </c>
      <c r="I5115" s="2" t="s">
        <v>15</v>
      </c>
      <c r="J5115" s="2" t="s">
        <v>1276</v>
      </c>
      <c r="K5115" s="2" t="s">
        <v>7189</v>
      </c>
      <c r="L5115" s="2">
        <f t="shared" si="79"/>
        <v>150</v>
      </c>
    </row>
    <row r="5116" spans="1:12" ht="25" customHeight="1">
      <c r="A5116" s="2" t="s">
        <v>12</v>
      </c>
      <c r="B5116" s="2" t="str">
        <f>HYPERLINK("http://m.12365auto.com/bbs/postcontent.aspx?tID=194564","2019年度盘点：30万内最受欢迎的豪华SUV")</f>
        <v>2019年度盘点：30万内最受欢迎的豪华SUV</v>
      </c>
      <c r="C5116" s="2" t="s">
        <v>13</v>
      </c>
      <c r="D5116" s="2" t="s">
        <v>23</v>
      </c>
      <c r="E5116" s="2"/>
      <c r="F5116" s="2" t="str">
        <f>HYPERLINK("http://m.12365auto.com/bbs/postcontent.aspx?tID=194564","http://m.12365auto.com/bbs/postcontent.aspx?tID=194564")</f>
        <v>http://m.12365auto.com/bbs/postcontent.aspx?tID=194564</v>
      </c>
      <c r="G5116" s="2"/>
      <c r="H5116" s="2" t="s">
        <v>7190</v>
      </c>
      <c r="I5116" s="2" t="s">
        <v>15</v>
      </c>
      <c r="J5116" s="2" t="s">
        <v>1276</v>
      </c>
      <c r="K5116" s="2" t="s">
        <v>7189</v>
      </c>
      <c r="L5116" s="2">
        <f t="shared" si="79"/>
        <v>150</v>
      </c>
    </row>
    <row r="5117" spans="1:12" ht="25" customHeight="1">
      <c r="A5117" s="2" t="s">
        <v>12</v>
      </c>
      <c r="B5117" s="2" t="str">
        <f>HYPERLINK("http://bbs.12365auto.com/postcontent.aspx?tId=194564","2019年度盘点：30万内最受欢迎的豪华SUV")</f>
        <v>2019年度盘点：30万内最受欢迎的豪华SUV</v>
      </c>
      <c r="C5117" s="2" t="s">
        <v>13</v>
      </c>
      <c r="D5117" s="2" t="s">
        <v>12</v>
      </c>
      <c r="E5117" s="2" t="s">
        <v>27</v>
      </c>
      <c r="F5117" s="2" t="str">
        <f>HYPERLINK("http://bbs.12365auto.com/postcontent.aspx?tId=194564","http://bbs.12365auto.com/postcontent.aspx?tId=194564")</f>
        <v>http://bbs.12365auto.com/postcontent.aspx?tId=194564</v>
      </c>
      <c r="G5117" s="2"/>
      <c r="H5117" s="2" t="s">
        <v>7190</v>
      </c>
      <c r="I5117" s="2" t="s">
        <v>15</v>
      </c>
      <c r="J5117" s="2" t="s">
        <v>1276</v>
      </c>
      <c r="K5117" s="2" t="s">
        <v>7189</v>
      </c>
      <c r="L5117" s="2">
        <f t="shared" si="79"/>
        <v>150</v>
      </c>
    </row>
    <row r="5118" spans="1:12" ht="25" customHeight="1">
      <c r="A5118" s="2" t="s">
        <v>12</v>
      </c>
      <c r="B5118" s="2" t="str">
        <f>HYPERLINK("http://bbs.12365auto.com/postcontent.aspx?tID=194563","20万左右适合撩妹的四款车推荐 还有豪华品牌")</f>
        <v>20万左右适合撩妹的四款车推荐 还有豪华品牌</v>
      </c>
      <c r="C5118" s="2" t="s">
        <v>13</v>
      </c>
      <c r="D5118" s="2" t="s">
        <v>12</v>
      </c>
      <c r="E5118" s="2" t="s">
        <v>28</v>
      </c>
      <c r="F5118" s="2" t="str">
        <f>HYPERLINK("http://bbs.12365auto.com/postcontent.aspx?tID=194563","http://bbs.12365auto.com/postcontent.aspx?tID=194563")</f>
        <v>http://bbs.12365auto.com/postcontent.aspx?tID=194563</v>
      </c>
      <c r="G5118" s="2"/>
      <c r="H5118" s="2" t="s">
        <v>7191</v>
      </c>
      <c r="I5118" s="2" t="s">
        <v>15</v>
      </c>
      <c r="J5118" s="2" t="s">
        <v>1276</v>
      </c>
      <c r="K5118" s="2" t="s">
        <v>7192</v>
      </c>
      <c r="L5118" s="2">
        <f t="shared" si="79"/>
        <v>150</v>
      </c>
    </row>
    <row r="5119" spans="1:12" ht="25" customHeight="1">
      <c r="A5119" s="2" t="s">
        <v>12</v>
      </c>
      <c r="B5119" s="2" t="str">
        <f>HYPERLINK("http://m.12365auto.com/bbs/postcontent.aspx?tID=194563","20万左右适合撩妹的四款车推荐 还有豪华品牌")</f>
        <v>20万左右适合撩妹的四款车推荐 还有豪华品牌</v>
      </c>
      <c r="C5119" s="2" t="s">
        <v>13</v>
      </c>
      <c r="D5119" s="2" t="s">
        <v>23</v>
      </c>
      <c r="E5119" s="2"/>
      <c r="F5119" s="2" t="str">
        <f>HYPERLINK("http://m.12365auto.com/bbs/postcontent.aspx?tID=194563","http://m.12365auto.com/bbs/postcontent.aspx?tID=194563")</f>
        <v>http://m.12365auto.com/bbs/postcontent.aspx?tID=194563</v>
      </c>
      <c r="G5119" s="2"/>
      <c r="H5119" s="2" t="s">
        <v>7193</v>
      </c>
      <c r="I5119" s="2" t="s">
        <v>15</v>
      </c>
      <c r="J5119" s="2" t="s">
        <v>1276</v>
      </c>
      <c r="K5119" s="2" t="s">
        <v>7192</v>
      </c>
      <c r="L5119" s="2">
        <f t="shared" si="79"/>
        <v>150</v>
      </c>
    </row>
    <row r="5120" spans="1:12" ht="25" customHeight="1">
      <c r="A5120" s="2" t="s">
        <v>12</v>
      </c>
      <c r="B5120" s="2" t="str">
        <f>HYPERLINK("http://bbs.12365auto.com/postcontent.aspx?tId=194563","20万左右适合撩妹的四款车推荐 还有豪华品牌")</f>
        <v>20万左右适合撩妹的四款车推荐 还有豪华品牌</v>
      </c>
      <c r="C5120" s="2" t="s">
        <v>13</v>
      </c>
      <c r="D5120" s="2" t="s">
        <v>12</v>
      </c>
      <c r="E5120" s="2" t="s">
        <v>27</v>
      </c>
      <c r="F5120" s="2" t="str">
        <f>HYPERLINK("http://bbs.12365auto.com/postcontent.aspx?tId=194563","http://bbs.12365auto.com/postcontent.aspx?tId=194563")</f>
        <v>http://bbs.12365auto.com/postcontent.aspx?tId=194563</v>
      </c>
      <c r="G5120" s="2"/>
      <c r="H5120" s="2" t="s">
        <v>7193</v>
      </c>
      <c r="I5120" s="2" t="s">
        <v>15</v>
      </c>
      <c r="J5120" s="2" t="s">
        <v>1276</v>
      </c>
      <c r="K5120" s="2" t="s">
        <v>7192</v>
      </c>
      <c r="L5120" s="2">
        <f t="shared" si="79"/>
        <v>150</v>
      </c>
    </row>
    <row r="5121" spans="1:12" ht="25" customHeight="1">
      <c r="A5121" s="2" t="s">
        <v>12</v>
      </c>
      <c r="B5121" s="2" t="str">
        <f>HYPERLINK("http://www.12365auto.com/xcdg/20200220/419011.shtml","整体风格激进 爱驰汽车发布U6 ion设计图")</f>
        <v>整体风格激进 爱驰汽车发布U6 ion设计图</v>
      </c>
      <c r="C5121" s="2" t="s">
        <v>13</v>
      </c>
      <c r="D5121" s="2" t="s">
        <v>12</v>
      </c>
      <c r="E5121" s="2" t="s">
        <v>216</v>
      </c>
      <c r="F5121" s="2" t="str">
        <f>HYPERLINK("http://www.12365auto.com/xcdg/20200220/419011.shtml","http://www.12365auto.com/xcdg/20200220/419011.shtml")</f>
        <v>http://www.12365auto.com/xcdg/20200220/419011.shtml</v>
      </c>
      <c r="G5121" s="2"/>
      <c r="H5121" s="2" t="s">
        <v>7194</v>
      </c>
      <c r="I5121" s="2" t="s">
        <v>15</v>
      </c>
      <c r="J5121" s="2" t="s">
        <v>12</v>
      </c>
      <c r="K5121" s="2" t="s">
        <v>7195</v>
      </c>
      <c r="L5121" s="2">
        <f t="shared" si="79"/>
        <v>150</v>
      </c>
    </row>
    <row r="5122" spans="1:12" ht="25" customHeight="1">
      <c r="A5122" s="2" t="s">
        <v>12</v>
      </c>
      <c r="B5122" s="2" t="str">
        <f>HYPERLINK("http://m.12365auto.com/xcdg/20200220/419011.shtml","整体风格激进 爱驰汽车发布U6 ion设计图")</f>
        <v>整体风格激进 爱驰汽车发布U6 ion设计图</v>
      </c>
      <c r="C5122" s="2" t="s">
        <v>13</v>
      </c>
      <c r="D5122" s="2" t="s">
        <v>12</v>
      </c>
      <c r="E5122" s="2"/>
      <c r="F5122" s="2" t="str">
        <f>HYPERLINK("http://m.12365auto.com/xcdg/20200220/419011.shtml","http://m.12365auto.com/xcdg/20200220/419011.shtml")</f>
        <v>http://m.12365auto.com/xcdg/20200220/419011.shtml</v>
      </c>
      <c r="G5122" s="2"/>
      <c r="H5122" s="2" t="s">
        <v>7196</v>
      </c>
      <c r="I5122" s="2" t="s">
        <v>19</v>
      </c>
      <c r="J5122" s="2" t="s">
        <v>371</v>
      </c>
      <c r="K5122" s="2" t="s">
        <v>7195</v>
      </c>
      <c r="L5122" s="2">
        <f t="shared" si="79"/>
        <v>150</v>
      </c>
    </row>
    <row r="5123" spans="1:12" ht="25" customHeight="1">
      <c r="A5123" s="2" t="s">
        <v>12</v>
      </c>
      <c r="B5123" s="2" t="str">
        <f>HYPERLINK("http://bbs.12365auto.com/postcontent.aspx?tID=194562","自动挡SUV怎么选？看看这几款国六版SUV")</f>
        <v>自动挡SUV怎么选？看看这几款国六版SUV</v>
      </c>
      <c r="C5123" s="2" t="s">
        <v>13</v>
      </c>
      <c r="D5123" s="2" t="s">
        <v>12</v>
      </c>
      <c r="E5123" s="2" t="s">
        <v>28</v>
      </c>
      <c r="F5123" s="2" t="str">
        <f>HYPERLINK("http://bbs.12365auto.com/postcontent.aspx?tID=194562","http://bbs.12365auto.com/postcontent.aspx?tID=194562")</f>
        <v>http://bbs.12365auto.com/postcontent.aspx?tID=194562</v>
      </c>
      <c r="G5123" s="2"/>
      <c r="H5123" s="2" t="s">
        <v>7197</v>
      </c>
      <c r="I5123" s="2" t="s">
        <v>15</v>
      </c>
      <c r="J5123" s="2" t="s">
        <v>7198</v>
      </c>
      <c r="K5123" s="2" t="s">
        <v>7199</v>
      </c>
      <c r="L5123" s="2">
        <f t="shared" ref="L5123:L5186" si="80">LEN(H5123)</f>
        <v>150</v>
      </c>
    </row>
    <row r="5124" spans="1:12" ht="25" customHeight="1">
      <c r="A5124" s="2" t="s">
        <v>12</v>
      </c>
      <c r="B5124" s="2" t="str">
        <f>HYPERLINK("http://m.12365auto.com/bbs/postcontent.aspx?tID=194562","自动挡SUV怎么选？看看这几款国六版SUV")</f>
        <v>自动挡SUV怎么选？看看这几款国六版SUV</v>
      </c>
      <c r="C5124" s="2" t="s">
        <v>13</v>
      </c>
      <c r="D5124" s="2" t="s">
        <v>23</v>
      </c>
      <c r="E5124" s="2"/>
      <c r="F5124" s="2" t="str">
        <f>HYPERLINK("http://m.12365auto.com/bbs/postcontent.aspx?tID=194562","http://m.12365auto.com/bbs/postcontent.aspx?tID=194562")</f>
        <v>http://m.12365auto.com/bbs/postcontent.aspx?tID=194562</v>
      </c>
      <c r="G5124" s="2"/>
      <c r="H5124" s="2" t="s">
        <v>7200</v>
      </c>
      <c r="I5124" s="2" t="s">
        <v>15</v>
      </c>
      <c r="J5124" s="2" t="s">
        <v>7198</v>
      </c>
      <c r="K5124" s="2" t="s">
        <v>7199</v>
      </c>
      <c r="L5124" s="2">
        <f t="shared" si="80"/>
        <v>150</v>
      </c>
    </row>
    <row r="5125" spans="1:12" ht="25" customHeight="1">
      <c r="A5125" s="2" t="s">
        <v>12</v>
      </c>
      <c r="B5125" s="2" t="str">
        <f>HYPERLINK("http://bbs.12365auto.com/postcontent.aspx?tId=194562","自动挡SUV怎么选？看看这几款国六版SUV")</f>
        <v>自动挡SUV怎么选？看看这几款国六版SUV</v>
      </c>
      <c r="C5125" s="2" t="s">
        <v>13</v>
      </c>
      <c r="D5125" s="2" t="s">
        <v>12</v>
      </c>
      <c r="E5125" s="2" t="s">
        <v>27</v>
      </c>
      <c r="F5125" s="2" t="str">
        <f>HYPERLINK("http://bbs.12365auto.com/postcontent.aspx?tId=194562","http://bbs.12365auto.com/postcontent.aspx?tId=194562")</f>
        <v>http://bbs.12365auto.com/postcontent.aspx?tId=194562</v>
      </c>
      <c r="G5125" s="2"/>
      <c r="H5125" s="2" t="s">
        <v>7200</v>
      </c>
      <c r="I5125" s="2" t="s">
        <v>15</v>
      </c>
      <c r="J5125" s="2" t="s">
        <v>7198</v>
      </c>
      <c r="K5125" s="2" t="s">
        <v>7199</v>
      </c>
      <c r="L5125" s="2">
        <f t="shared" si="80"/>
        <v>150</v>
      </c>
    </row>
    <row r="5126" spans="1:12" ht="25" customHeight="1">
      <c r="A5126" s="2" t="s">
        <v>12</v>
      </c>
      <c r="B5126" s="2" t="str">
        <f>HYPERLINK("http://bbs.12365auto.com/postcontent.aspx?tID=194561","13万即可拥有大空间 这三款旅行车值得你选")</f>
        <v>13万即可拥有大空间 这三款旅行车值得你选</v>
      </c>
      <c r="C5126" s="2" t="s">
        <v>13</v>
      </c>
      <c r="D5126" s="2" t="s">
        <v>12</v>
      </c>
      <c r="E5126" s="2" t="s">
        <v>28</v>
      </c>
      <c r="F5126" s="2" t="str">
        <f>HYPERLINK("http://bbs.12365auto.com/postcontent.aspx?tID=194561","http://bbs.12365auto.com/postcontent.aspx?tID=194561")</f>
        <v>http://bbs.12365auto.com/postcontent.aspx?tID=194561</v>
      </c>
      <c r="G5126" s="2"/>
      <c r="H5126" s="2" t="s">
        <v>7201</v>
      </c>
      <c r="I5126" s="2" t="s">
        <v>15</v>
      </c>
      <c r="J5126" s="2" t="s">
        <v>7198</v>
      </c>
      <c r="K5126" s="2" t="s">
        <v>7202</v>
      </c>
      <c r="L5126" s="2">
        <f t="shared" si="80"/>
        <v>150</v>
      </c>
    </row>
    <row r="5127" spans="1:12" ht="25" customHeight="1">
      <c r="A5127" s="2" t="s">
        <v>12</v>
      </c>
      <c r="B5127" s="2" t="str">
        <f>HYPERLINK("http://m.12365auto.com/bbs/postcontent.aspx?tID=194561","13万即可拥有大空间 这三款旅行车值得你选")</f>
        <v>13万即可拥有大空间 这三款旅行车值得你选</v>
      </c>
      <c r="C5127" s="2" t="s">
        <v>13</v>
      </c>
      <c r="D5127" s="2" t="s">
        <v>23</v>
      </c>
      <c r="E5127" s="2"/>
      <c r="F5127" s="2" t="str">
        <f>HYPERLINK("http://m.12365auto.com/bbs/postcontent.aspx?tID=194561","http://m.12365auto.com/bbs/postcontent.aspx?tID=194561")</f>
        <v>http://m.12365auto.com/bbs/postcontent.aspx?tID=194561</v>
      </c>
      <c r="G5127" s="2"/>
      <c r="H5127" s="2" t="s">
        <v>7203</v>
      </c>
      <c r="I5127" s="2" t="s">
        <v>15</v>
      </c>
      <c r="J5127" s="2" t="s">
        <v>7198</v>
      </c>
      <c r="K5127" s="2" t="s">
        <v>7202</v>
      </c>
      <c r="L5127" s="2">
        <f t="shared" si="80"/>
        <v>150</v>
      </c>
    </row>
    <row r="5128" spans="1:12" ht="25" customHeight="1">
      <c r="A5128" s="2" t="s">
        <v>12</v>
      </c>
      <c r="B5128" s="2" t="str">
        <f>HYPERLINK("http://bbs.12365auto.com/postcontent.aspx?tId=194561","13万即可拥有大空间 这三款旅行车值得你选")</f>
        <v>13万即可拥有大空间 这三款旅行车值得你选</v>
      </c>
      <c r="C5128" s="2" t="s">
        <v>13</v>
      </c>
      <c r="D5128" s="2" t="s">
        <v>12</v>
      </c>
      <c r="E5128" s="2" t="s">
        <v>27</v>
      </c>
      <c r="F5128" s="2" t="str">
        <f>HYPERLINK("http://bbs.12365auto.com/postcontent.aspx?tId=194561","http://bbs.12365auto.com/postcontent.aspx?tId=194561")</f>
        <v>http://bbs.12365auto.com/postcontent.aspx?tId=194561</v>
      </c>
      <c r="G5128" s="2"/>
      <c r="H5128" s="2" t="s">
        <v>7203</v>
      </c>
      <c r="I5128" s="2" t="s">
        <v>15</v>
      </c>
      <c r="J5128" s="2" t="s">
        <v>7198</v>
      </c>
      <c r="K5128" s="2" t="s">
        <v>7202</v>
      </c>
      <c r="L5128" s="2">
        <f t="shared" si="80"/>
        <v>150</v>
      </c>
    </row>
    <row r="5129" spans="1:12" ht="25" customHeight="1">
      <c r="A5129" s="2" t="s">
        <v>12</v>
      </c>
      <c r="B5129" s="2" t="str">
        <f>HYPERLINK("http://m.12365auto.com/zjdy/20200220/121434.shtml","车辆的发动机故障灯亮了还能行驶吗？")</f>
        <v>车辆的发动机故障灯亮了还能行驶吗？</v>
      </c>
      <c r="C5129" s="2" t="s">
        <v>13</v>
      </c>
      <c r="D5129" s="2" t="s">
        <v>12</v>
      </c>
      <c r="E5129" s="2"/>
      <c r="F5129" s="2" t="str">
        <f>HYPERLINK("http://m.12365auto.com/zjdy/20200220/121434.shtml","http://m.12365auto.com/zjdy/20200220/121434.shtml")</f>
        <v>http://m.12365auto.com/zjdy/20200220/121434.shtml</v>
      </c>
      <c r="G5129" s="2"/>
      <c r="H5129" s="2" t="s">
        <v>7204</v>
      </c>
      <c r="I5129" s="2" t="s">
        <v>19</v>
      </c>
      <c r="J5129" s="2" t="s">
        <v>12</v>
      </c>
      <c r="K5129" s="2" t="s">
        <v>7205</v>
      </c>
      <c r="L5129" s="2">
        <f t="shared" si="80"/>
        <v>54</v>
      </c>
    </row>
    <row r="5130" spans="1:12" ht="25" customHeight="1">
      <c r="A5130" s="2" t="s">
        <v>12</v>
      </c>
      <c r="B5130" s="2" t="str">
        <f>HYPERLINK("http://www.12365auto.com/zlts/20200220/447841.shtml","广汽菲克Jeep指南者电瓶亏电 启停失灵")</f>
        <v>广汽菲克Jeep指南者电瓶亏电 启停失灵</v>
      </c>
      <c r="C5130" s="2" t="s">
        <v>13</v>
      </c>
      <c r="D5130" s="2" t="s">
        <v>12</v>
      </c>
      <c r="E5130" s="2"/>
      <c r="F5130" s="2" t="str">
        <f>HYPERLINK("http://www.12365auto.com/zlts/20200220/447841.shtml","http://www.12365auto.com/zlts/20200220/447841.shtml")</f>
        <v>http://www.12365auto.com/zlts/20200220/447841.shtml</v>
      </c>
      <c r="G5130" s="2"/>
      <c r="H5130" s="2" t="s">
        <v>7207</v>
      </c>
      <c r="I5130" s="2" t="s">
        <v>15</v>
      </c>
      <c r="J5130" s="2" t="s">
        <v>12</v>
      </c>
      <c r="K5130" s="2" t="s">
        <v>7206</v>
      </c>
      <c r="L5130" s="2">
        <f t="shared" si="80"/>
        <v>87</v>
      </c>
    </row>
    <row r="5131" spans="1:12" ht="25" customHeight="1">
      <c r="A5131" s="2" t="s">
        <v>12</v>
      </c>
      <c r="B5131" s="2" t="str">
        <f>HYPERLINK("http://www.12365auto.com/zlts/20200220/447842.shtml","吉利帝豪GL发动机盖生锈 车机音量过大")</f>
        <v>吉利帝豪GL发动机盖生锈 车机音量过大</v>
      </c>
      <c r="C5131" s="2" t="s">
        <v>13</v>
      </c>
      <c r="D5131" s="2" t="s">
        <v>12</v>
      </c>
      <c r="E5131" s="2" t="s">
        <v>17</v>
      </c>
      <c r="F5131" s="2" t="str">
        <f>HYPERLINK("http://www.12365auto.com/zlts/20200220/447842.shtml","http://www.12365auto.com/zlts/20200220/447842.shtml")</f>
        <v>http://www.12365auto.com/zlts/20200220/447842.shtml</v>
      </c>
      <c r="G5131" s="2"/>
      <c r="H5131" s="2" t="s">
        <v>7208</v>
      </c>
      <c r="I5131" s="2" t="s">
        <v>19</v>
      </c>
      <c r="J5131" s="2" t="s">
        <v>12</v>
      </c>
      <c r="K5131" s="2" t="s">
        <v>7209</v>
      </c>
      <c r="L5131" s="2">
        <f t="shared" si="80"/>
        <v>150</v>
      </c>
    </row>
    <row r="5132" spans="1:12" ht="25" customHeight="1">
      <c r="A5132" s="2" t="s">
        <v>12</v>
      </c>
      <c r="B5132" s="2" t="str">
        <f>HYPERLINK("http://www.12365auto.com/xcdg/20200220/419012.shtml","日内瓦车展首发 911 Turbo S无伪谍照曝光")</f>
        <v>日内瓦车展首发 911 Turbo S无伪谍照曝光</v>
      </c>
      <c r="C5132" s="2" t="s">
        <v>13</v>
      </c>
      <c r="D5132" s="2" t="s">
        <v>12</v>
      </c>
      <c r="E5132" s="2" t="s">
        <v>216</v>
      </c>
      <c r="F5132" s="2" t="str">
        <f>HYPERLINK("http://www.12365auto.com/xcdg/20200220/419012.shtml","http://www.12365auto.com/xcdg/20200220/419012.shtml")</f>
        <v>http://www.12365auto.com/xcdg/20200220/419012.shtml</v>
      </c>
      <c r="G5132" s="2"/>
      <c r="H5132" s="2" t="s">
        <v>7210</v>
      </c>
      <c r="I5132" s="2" t="s">
        <v>15</v>
      </c>
      <c r="J5132" s="2" t="s">
        <v>12</v>
      </c>
      <c r="K5132" s="2" t="s">
        <v>7211</v>
      </c>
      <c r="L5132" s="2">
        <f t="shared" si="80"/>
        <v>150</v>
      </c>
    </row>
    <row r="5133" spans="1:12" ht="25" customHeight="1">
      <c r="A5133" s="2" t="s">
        <v>12</v>
      </c>
      <c r="B5133" s="2" t="str">
        <f>HYPERLINK("http://m.12365auto.com/xcdg/20200220/419012.shtml","日内瓦车展首发 911 Turbo S无伪谍照曝光")</f>
        <v>日内瓦车展首发 911 Turbo S无伪谍照曝光</v>
      </c>
      <c r="C5133" s="2" t="s">
        <v>13</v>
      </c>
      <c r="D5133" s="2" t="s">
        <v>12</v>
      </c>
      <c r="E5133" s="2"/>
      <c r="F5133" s="2" t="str">
        <f>HYPERLINK("http://m.12365auto.com/xcdg/20200220/419012.shtml","http://m.12365auto.com/xcdg/20200220/419012.shtml")</f>
        <v>http://m.12365auto.com/xcdg/20200220/419012.shtml</v>
      </c>
      <c r="G5133" s="2"/>
      <c r="H5133" s="2" t="s">
        <v>7212</v>
      </c>
      <c r="I5133" s="2" t="s">
        <v>19</v>
      </c>
      <c r="J5133" s="2" t="s">
        <v>369</v>
      </c>
      <c r="K5133" s="2" t="s">
        <v>7211</v>
      </c>
      <c r="L5133" s="2">
        <f t="shared" si="80"/>
        <v>150</v>
      </c>
    </row>
    <row r="5134" spans="1:12" ht="25" customHeight="1">
      <c r="A5134" s="2" t="s">
        <v>12</v>
      </c>
      <c r="B5134" s="2" t="str">
        <f>HYPERLINK("http://m.12365auto.com/zjdy/20200219/121428.shtml","丰田RAV4荣放前保险杠缝隙过大是为什么？")</f>
        <v>丰田RAV4荣放前保险杠缝隙过大是为什么？</v>
      </c>
      <c r="C5134" s="2" t="s">
        <v>13</v>
      </c>
      <c r="D5134" s="2" t="s">
        <v>12</v>
      </c>
      <c r="E5134" s="2"/>
      <c r="F5134" s="2" t="str">
        <f>HYPERLINK("http://m.12365auto.com/zjdy/20200219/121428.shtml","http://m.12365auto.com/zjdy/20200219/121428.shtml")</f>
        <v>http://m.12365auto.com/zjdy/20200219/121428.shtml</v>
      </c>
      <c r="G5134" s="2"/>
      <c r="H5134" s="2" t="s">
        <v>7213</v>
      </c>
      <c r="I5134" s="2" t="s">
        <v>19</v>
      </c>
      <c r="J5134" s="2" t="s">
        <v>12</v>
      </c>
      <c r="K5134" s="2" t="s">
        <v>7214</v>
      </c>
      <c r="L5134" s="2">
        <f t="shared" si="80"/>
        <v>90</v>
      </c>
    </row>
    <row r="5135" spans="1:12" ht="25" customHeight="1">
      <c r="A5135" s="2" t="s">
        <v>12</v>
      </c>
      <c r="B5135" s="2" t="str">
        <f>HYPERLINK("http://m.12365auto.com/zjdy/20200219/121427.shtml","威朗一缸缸压不足发动机怠速抖动怎么办？")</f>
        <v>威朗一缸缸压不足发动机怠速抖动怎么办？</v>
      </c>
      <c r="C5135" s="2" t="s">
        <v>13</v>
      </c>
      <c r="D5135" s="2" t="s">
        <v>12</v>
      </c>
      <c r="E5135" s="2"/>
      <c r="F5135" s="2" t="str">
        <f>HYPERLINK("http://m.12365auto.com/zjdy/20200219/121427.shtml","http://m.12365auto.com/zjdy/20200219/121427.shtml")</f>
        <v>http://m.12365auto.com/zjdy/20200219/121427.shtml</v>
      </c>
      <c r="G5135" s="2"/>
      <c r="H5135" s="2" t="s">
        <v>7215</v>
      </c>
      <c r="I5135" s="2" t="s">
        <v>19</v>
      </c>
      <c r="J5135" s="2" t="s">
        <v>12</v>
      </c>
      <c r="K5135" s="2" t="s">
        <v>7216</v>
      </c>
      <c r="L5135" s="2">
        <f t="shared" si="80"/>
        <v>35</v>
      </c>
    </row>
    <row r="5136" spans="1:12" ht="25" customHeight="1">
      <c r="A5136" s="2" t="s">
        <v>12</v>
      </c>
      <c r="B5136" s="2" t="str">
        <f>HYPERLINK("http://m.12365auto.com/zjdy/20200220/121431.shtml","吉利博瑞MHEV怎么样耐用性如何？")</f>
        <v>吉利博瑞MHEV怎么样耐用性如何？</v>
      </c>
      <c r="C5136" s="2" t="s">
        <v>13</v>
      </c>
      <c r="D5136" s="2" t="s">
        <v>12</v>
      </c>
      <c r="E5136" s="2"/>
      <c r="F5136" s="2" t="str">
        <f>HYPERLINK("http://m.12365auto.com/zjdy/20200220/121431.shtml","http://m.12365auto.com/zjdy/20200220/121431.shtml")</f>
        <v>http://m.12365auto.com/zjdy/20200220/121431.shtml</v>
      </c>
      <c r="G5136" s="2"/>
      <c r="H5136" s="2" t="s">
        <v>7217</v>
      </c>
      <c r="I5136" s="2" t="s">
        <v>19</v>
      </c>
      <c r="J5136" s="2" t="s">
        <v>12</v>
      </c>
      <c r="K5136" s="2" t="s">
        <v>7216</v>
      </c>
      <c r="L5136" s="2">
        <f t="shared" si="80"/>
        <v>43</v>
      </c>
    </row>
    <row r="5137" spans="1:12" ht="25" customHeight="1">
      <c r="A5137" s="2" t="s">
        <v>12</v>
      </c>
      <c r="B5137" s="2" t="str">
        <f>HYPERLINK("http://m.12365auto.com/zjdy/20200219/121426.shtml","星途这个品牌的车型质量怎么样值得买吗？")</f>
        <v>星途这个品牌的车型质量怎么样值得买吗？</v>
      </c>
      <c r="C5137" s="2" t="s">
        <v>13</v>
      </c>
      <c r="D5137" s="2" t="s">
        <v>12</v>
      </c>
      <c r="E5137" s="2"/>
      <c r="F5137" s="2" t="str">
        <f>HYPERLINK("http://m.12365auto.com/zjdy/20200219/121426.shtml","http://m.12365auto.com/zjdy/20200219/121426.shtml")</f>
        <v>http://m.12365auto.com/zjdy/20200219/121426.shtml</v>
      </c>
      <c r="G5137" s="2"/>
      <c r="H5137" s="2" t="s">
        <v>7218</v>
      </c>
      <c r="I5137" s="2" t="s">
        <v>19</v>
      </c>
      <c r="J5137" s="2" t="s">
        <v>12</v>
      </c>
      <c r="K5137" s="2" t="s">
        <v>7219</v>
      </c>
      <c r="L5137" s="2">
        <f t="shared" si="80"/>
        <v>35</v>
      </c>
    </row>
    <row r="5138" spans="1:12" ht="25" customHeight="1">
      <c r="A5138" s="2" t="s">
        <v>12</v>
      </c>
      <c r="B5138" s="2" t="str">
        <f>HYPERLINK("http://m.12365auto.com/zjdy/20200219/121423.shtml","哈弗H6 Coupe这款车质量如何值得购买吗？")</f>
        <v>哈弗H6 Coupe这款车质量如何值得购买吗？</v>
      </c>
      <c r="C5138" s="2" t="s">
        <v>13</v>
      </c>
      <c r="D5138" s="2" t="s">
        <v>12</v>
      </c>
      <c r="E5138" s="2"/>
      <c r="F5138" s="2" t="str">
        <f>HYPERLINK("http://m.12365auto.com/zjdy/20200219/121423.shtml","http://m.12365auto.com/zjdy/20200219/121423.shtml")</f>
        <v>http://m.12365auto.com/zjdy/20200219/121423.shtml</v>
      </c>
      <c r="G5138" s="2"/>
      <c r="H5138" s="2" t="s">
        <v>7220</v>
      </c>
      <c r="I5138" s="2" t="s">
        <v>19</v>
      </c>
      <c r="J5138" s="2" t="s">
        <v>12</v>
      </c>
      <c r="K5138" s="2" t="s">
        <v>7221</v>
      </c>
      <c r="L5138" s="2">
        <f t="shared" si="80"/>
        <v>35</v>
      </c>
    </row>
    <row r="5139" spans="1:12" ht="25" customHeight="1">
      <c r="A5139" s="2" t="s">
        <v>12</v>
      </c>
      <c r="B5139" s="2" t="str">
        <f>HYPERLINK("http://m.12365auto.com/zjdy/20200219/121425.shtml","东南V3自动挡变速箱故障失速应该如何处理？")</f>
        <v>东南V3自动挡变速箱故障失速应该如何处理？</v>
      </c>
      <c r="C5139" s="2" t="s">
        <v>13</v>
      </c>
      <c r="D5139" s="2" t="s">
        <v>12</v>
      </c>
      <c r="E5139" s="2"/>
      <c r="F5139" s="2" t="str">
        <f>HYPERLINK("http://m.12365auto.com/zjdy/20200219/121425.shtml","http://m.12365auto.com/zjdy/20200219/121425.shtml")</f>
        <v>http://m.12365auto.com/zjdy/20200219/121425.shtml</v>
      </c>
      <c r="G5139" s="2"/>
      <c r="H5139" s="2" t="s">
        <v>7222</v>
      </c>
      <c r="I5139" s="2" t="s">
        <v>19</v>
      </c>
      <c r="J5139" s="2" t="s">
        <v>12</v>
      </c>
      <c r="K5139" s="2" t="s">
        <v>7221</v>
      </c>
      <c r="L5139" s="2">
        <f t="shared" si="80"/>
        <v>47</v>
      </c>
    </row>
    <row r="5140" spans="1:12" ht="25" customHeight="1">
      <c r="A5140" s="2" t="s">
        <v>12</v>
      </c>
      <c r="B5140" s="2" t="str">
        <f>HYPERLINK("http://m.12365auto.com/zjdy/20200220/121433.shtml","现在奇瑞瑞虎8手动精英值得入手吗？")</f>
        <v>现在奇瑞瑞虎8手动精英值得入手吗？</v>
      </c>
      <c r="C5140" s="2" t="s">
        <v>13</v>
      </c>
      <c r="D5140" s="2" t="s">
        <v>12</v>
      </c>
      <c r="E5140" s="2"/>
      <c r="F5140" s="2" t="str">
        <f>HYPERLINK("http://m.12365auto.com/zjdy/20200220/121433.shtml","http://m.12365auto.com/zjdy/20200220/121433.shtml")</f>
        <v>http://m.12365auto.com/zjdy/20200220/121433.shtml</v>
      </c>
      <c r="G5140" s="2"/>
      <c r="H5140" s="2" t="s">
        <v>7223</v>
      </c>
      <c r="I5140" s="2" t="s">
        <v>19</v>
      </c>
      <c r="J5140" s="2" t="s">
        <v>12</v>
      </c>
      <c r="K5140" s="2" t="s">
        <v>7221</v>
      </c>
      <c r="L5140" s="2">
        <f t="shared" si="80"/>
        <v>36</v>
      </c>
    </row>
    <row r="5141" spans="1:12" ht="25" customHeight="1">
      <c r="A5141" s="2" t="s">
        <v>12</v>
      </c>
      <c r="B5141" s="2" t="str">
        <f>HYPERLINK("http://m.12365auto.com/zjdy/20200220/121432.shtml","别克君威混动与蒙迪欧混动相比哪个更好？")</f>
        <v>别克君威混动与蒙迪欧混动相比哪个更好？</v>
      </c>
      <c r="C5141" s="2" t="s">
        <v>13</v>
      </c>
      <c r="D5141" s="2" t="s">
        <v>12</v>
      </c>
      <c r="E5141" s="2"/>
      <c r="F5141" s="2" t="str">
        <f>HYPERLINK("http://m.12365auto.com/zjdy/20200220/121432.shtml","http://m.12365auto.com/zjdy/20200220/121432.shtml")</f>
        <v>http://m.12365auto.com/zjdy/20200220/121432.shtml</v>
      </c>
      <c r="G5141" s="2"/>
      <c r="H5141" s="2" t="s">
        <v>7224</v>
      </c>
      <c r="I5141" s="2" t="s">
        <v>19</v>
      </c>
      <c r="J5141" s="2" t="s">
        <v>12</v>
      </c>
      <c r="K5141" s="2" t="s">
        <v>7225</v>
      </c>
      <c r="L5141" s="2">
        <f t="shared" si="80"/>
        <v>34</v>
      </c>
    </row>
    <row r="5142" spans="1:12" ht="25" customHeight="1">
      <c r="A5142" s="2" t="s">
        <v>12</v>
      </c>
      <c r="B5142" s="2" t="str">
        <f>HYPERLINK("http://m.12365auto.com/zjdy/20200219/121422.shtml","丰田奕泽这款车质量如何可以入手吗？")</f>
        <v>丰田奕泽这款车质量如何可以入手吗？</v>
      </c>
      <c r="C5142" s="2" t="s">
        <v>13</v>
      </c>
      <c r="D5142" s="2" t="s">
        <v>12</v>
      </c>
      <c r="E5142" s="2"/>
      <c r="F5142" s="2" t="str">
        <f>HYPERLINK("http://m.12365auto.com/zjdy/20200219/121422.shtml","http://m.12365auto.com/zjdy/20200219/121422.shtml")</f>
        <v>http://m.12365auto.com/zjdy/20200219/121422.shtml</v>
      </c>
      <c r="G5142" s="2"/>
      <c r="H5142" s="2" t="s">
        <v>7226</v>
      </c>
      <c r="I5142" s="2" t="s">
        <v>19</v>
      </c>
      <c r="J5142" s="2" t="s">
        <v>12</v>
      </c>
      <c r="K5142" s="2" t="s">
        <v>7225</v>
      </c>
      <c r="L5142" s="2">
        <f t="shared" si="80"/>
        <v>23</v>
      </c>
    </row>
    <row r="5143" spans="1:12" ht="25" customHeight="1">
      <c r="A5143" s="2" t="s">
        <v>12</v>
      </c>
      <c r="B5143" s="2" t="str">
        <f>HYPERLINK("http://m.12365auto.com/zjdy/20200219/121424.shtml","出现问题一直告知正常还出具了报告怎么办？")</f>
        <v>出现问题一直告知正常还出具了报告怎么办？</v>
      </c>
      <c r="C5143" s="2" t="s">
        <v>13</v>
      </c>
      <c r="D5143" s="2" t="s">
        <v>12</v>
      </c>
      <c r="E5143" s="2"/>
      <c r="F5143" s="2" t="str">
        <f>HYPERLINK("http://m.12365auto.com/zjdy/20200219/121424.shtml","http://m.12365auto.com/zjdy/20200219/121424.shtml")</f>
        <v>http://m.12365auto.com/zjdy/20200219/121424.shtml</v>
      </c>
      <c r="G5143" s="2"/>
      <c r="H5143" s="2" t="s">
        <v>7227</v>
      </c>
      <c r="I5143" s="2" t="s">
        <v>19</v>
      </c>
      <c r="J5143" s="2" t="s">
        <v>12</v>
      </c>
      <c r="K5143" s="2" t="s">
        <v>7225</v>
      </c>
      <c r="L5143" s="2">
        <f t="shared" si="80"/>
        <v>27</v>
      </c>
    </row>
    <row r="5144" spans="1:12" ht="25" customHeight="1">
      <c r="A5144" s="2" t="s">
        <v>12</v>
      </c>
      <c r="B5144" s="2" t="str">
        <f>HYPERLINK("http://www.12365auto.com/xcdg/20200220/419013.shtml","日内瓦车展首秀 西雅特El-Born谍照曝光")</f>
        <v>日内瓦车展首秀 西雅特El-Born谍照曝光</v>
      </c>
      <c r="C5144" s="2" t="s">
        <v>13</v>
      </c>
      <c r="D5144" s="2" t="s">
        <v>12</v>
      </c>
      <c r="E5144" s="2" t="s">
        <v>216</v>
      </c>
      <c r="F5144" s="2" t="str">
        <f>HYPERLINK("http://www.12365auto.com/xcdg/20200220/419013.shtml","http://www.12365auto.com/xcdg/20200220/419013.shtml")</f>
        <v>http://www.12365auto.com/xcdg/20200220/419013.shtml</v>
      </c>
      <c r="G5144" s="2"/>
      <c r="H5144" s="2" t="s">
        <v>7228</v>
      </c>
      <c r="I5144" s="2" t="s">
        <v>15</v>
      </c>
      <c r="J5144" s="2" t="s">
        <v>12</v>
      </c>
      <c r="K5144" s="2" t="s">
        <v>7229</v>
      </c>
      <c r="L5144" s="2">
        <f t="shared" si="80"/>
        <v>150</v>
      </c>
    </row>
    <row r="5145" spans="1:12" ht="25" customHeight="1">
      <c r="A5145" s="2" t="s">
        <v>12</v>
      </c>
      <c r="B5145" s="2" t="str">
        <f>HYPERLINK("http://m.12365auto.com/xcdg/20200220/419013.shtml","日内瓦车展首秀 西雅特El-Born谍照曝光")</f>
        <v>日内瓦车展首秀 西雅特El-Born谍照曝光</v>
      </c>
      <c r="C5145" s="2" t="s">
        <v>13</v>
      </c>
      <c r="D5145" s="2" t="s">
        <v>12</v>
      </c>
      <c r="E5145" s="2"/>
      <c r="F5145" s="2" t="str">
        <f>HYPERLINK("http://m.12365auto.com/xcdg/20200220/419013.shtml","http://m.12365auto.com/xcdg/20200220/419013.shtml")</f>
        <v>http://m.12365auto.com/xcdg/20200220/419013.shtml</v>
      </c>
      <c r="G5145" s="2"/>
      <c r="H5145" s="2" t="s">
        <v>7230</v>
      </c>
      <c r="I5145" s="2" t="s">
        <v>19</v>
      </c>
      <c r="J5145" s="2" t="s">
        <v>1326</v>
      </c>
      <c r="K5145" s="2" t="s">
        <v>7229</v>
      </c>
      <c r="L5145" s="2">
        <f t="shared" si="80"/>
        <v>150</v>
      </c>
    </row>
    <row r="5146" spans="1:12" ht="25" customHeight="1">
      <c r="A5146" s="2" t="s">
        <v>12</v>
      </c>
      <c r="B5146" s="2" t="str">
        <f>HYPERLINK("http://m.12365auto.com/zjdy/20200219/121420.shtml","电瓶容易亏电是什么原因应该怎么办？")</f>
        <v>电瓶容易亏电是什么原因应该怎么办？</v>
      </c>
      <c r="C5146" s="2" t="s">
        <v>13</v>
      </c>
      <c r="D5146" s="2" t="s">
        <v>12</v>
      </c>
      <c r="E5146" s="2"/>
      <c r="F5146" s="2" t="str">
        <f>HYPERLINK("http://m.12365auto.com/zjdy/20200219/121420.shtml","http://m.12365auto.com/zjdy/20200219/121420.shtml")</f>
        <v>http://m.12365auto.com/zjdy/20200219/121420.shtml</v>
      </c>
      <c r="G5146" s="2"/>
      <c r="H5146" s="2" t="s">
        <v>7231</v>
      </c>
      <c r="I5146" s="2" t="s">
        <v>19</v>
      </c>
      <c r="J5146" s="2" t="s">
        <v>12</v>
      </c>
      <c r="K5146" s="2" t="s">
        <v>7232</v>
      </c>
      <c r="L5146" s="2">
        <f t="shared" si="80"/>
        <v>41</v>
      </c>
    </row>
    <row r="5147" spans="1:12" ht="25" customHeight="1">
      <c r="A5147" s="2" t="s">
        <v>12</v>
      </c>
      <c r="B5147" s="2" t="str">
        <f>HYPERLINK("http://m.12365auto.com/zjdy/20200219/121412.shtml","更换车辆的发动机需要的价格是多少？")</f>
        <v>更换车辆的发动机需要的价格是多少？</v>
      </c>
      <c r="C5147" s="2" t="s">
        <v>13</v>
      </c>
      <c r="D5147" s="2" t="s">
        <v>12</v>
      </c>
      <c r="E5147" s="2"/>
      <c r="F5147" s="2" t="str">
        <f>HYPERLINK("http://m.12365auto.com/zjdy/20200219/121412.shtml","http://m.12365auto.com/zjdy/20200219/121412.shtml")</f>
        <v>http://m.12365auto.com/zjdy/20200219/121412.shtml</v>
      </c>
      <c r="G5147" s="2"/>
      <c r="H5147" s="2" t="s">
        <v>7233</v>
      </c>
      <c r="I5147" s="2" t="s">
        <v>19</v>
      </c>
      <c r="J5147" s="2" t="s">
        <v>12</v>
      </c>
      <c r="K5147" s="2" t="s">
        <v>7232</v>
      </c>
      <c r="L5147" s="2">
        <f t="shared" si="80"/>
        <v>20</v>
      </c>
    </row>
    <row r="5148" spans="1:12" ht="25" customHeight="1">
      <c r="A5148" s="2" t="s">
        <v>12</v>
      </c>
      <c r="B5148" s="2" t="str">
        <f>HYPERLINK("http://m.12365auto.com/zjdy/20200219/121421.shtml","新车颠簸路面底盘有异响应该怎么解决？")</f>
        <v>新车颠簸路面底盘有异响应该怎么解决？</v>
      </c>
      <c r="C5148" s="2" t="s">
        <v>13</v>
      </c>
      <c r="D5148" s="2" t="s">
        <v>12</v>
      </c>
      <c r="E5148" s="2"/>
      <c r="F5148" s="2" t="str">
        <f>HYPERLINK("http://m.12365auto.com/zjdy/20200219/121421.shtml","http://m.12365auto.com/zjdy/20200219/121421.shtml")</f>
        <v>http://m.12365auto.com/zjdy/20200219/121421.shtml</v>
      </c>
      <c r="G5148" s="2"/>
      <c r="H5148" s="2" t="s">
        <v>7234</v>
      </c>
      <c r="I5148" s="2" t="s">
        <v>19</v>
      </c>
      <c r="J5148" s="2" t="s">
        <v>12</v>
      </c>
      <c r="K5148" s="2" t="s">
        <v>7235</v>
      </c>
      <c r="L5148" s="2">
        <f t="shared" si="80"/>
        <v>28</v>
      </c>
    </row>
    <row r="5149" spans="1:12" ht="25" customHeight="1">
      <c r="A5149" s="2" t="s">
        <v>12</v>
      </c>
      <c r="B5149" s="2" t="str">
        <f>HYPERLINK("http://m.12365auto.com/zjdy/20200219/121419.shtml","汽车熄火后拔点烟器一直有电怎么回事？")</f>
        <v>汽车熄火后拔点烟器一直有电怎么回事？</v>
      </c>
      <c r="C5149" s="2" t="s">
        <v>13</v>
      </c>
      <c r="D5149" s="2" t="s">
        <v>12</v>
      </c>
      <c r="E5149" s="2"/>
      <c r="F5149" s="2" t="str">
        <f>HYPERLINK("http://m.12365auto.com/zjdy/20200219/121419.shtml","http://m.12365auto.com/zjdy/20200219/121419.shtml")</f>
        <v>http://m.12365auto.com/zjdy/20200219/121419.shtml</v>
      </c>
      <c r="G5149" s="2"/>
      <c r="H5149" s="2" t="s">
        <v>7236</v>
      </c>
      <c r="I5149" s="2" t="s">
        <v>19</v>
      </c>
      <c r="J5149" s="2" t="s">
        <v>12</v>
      </c>
      <c r="K5149" s="2" t="s">
        <v>7235</v>
      </c>
      <c r="L5149" s="2">
        <f t="shared" si="80"/>
        <v>50</v>
      </c>
    </row>
    <row r="5150" spans="1:12" ht="25" customHeight="1">
      <c r="A5150" s="2" t="s">
        <v>12</v>
      </c>
      <c r="B5150" s="2" t="str">
        <f>HYPERLINK("http://m.12365auto.com/xcdg/20200220/419010.shtml","大众Arteon R低伪谍照曝光 或将于年底亮相")</f>
        <v>大众Arteon R低伪谍照曝光 或将于年底亮相</v>
      </c>
      <c r="C5150" s="2" t="s">
        <v>13</v>
      </c>
      <c r="D5150" s="2" t="s">
        <v>12</v>
      </c>
      <c r="E5150" s="2"/>
      <c r="F5150" s="2" t="str">
        <f>HYPERLINK("http://m.12365auto.com/xcdg/20200220/419010.shtml","http://m.12365auto.com/xcdg/20200220/419010.shtml")</f>
        <v>http://m.12365auto.com/xcdg/20200220/419010.shtml</v>
      </c>
      <c r="G5150" s="2"/>
      <c r="H5150" s="2" t="s">
        <v>7237</v>
      </c>
      <c r="I5150" s="2" t="s">
        <v>19</v>
      </c>
      <c r="J5150" s="2" t="s">
        <v>1305</v>
      </c>
      <c r="K5150" s="2" t="s">
        <v>7238</v>
      </c>
      <c r="L5150" s="2">
        <f t="shared" si="80"/>
        <v>150</v>
      </c>
    </row>
    <row r="5151" spans="1:12" ht="25" customHeight="1">
      <c r="A5151" s="2" t="s">
        <v>12</v>
      </c>
      <c r="B5151" s="2" t="str">
        <f>HYPERLINK("http://www.12365auto.com/xcdg/20200220/419010.shtml","大众Arteon R低伪谍照曝光 或将于年底亮相")</f>
        <v>大众Arteon R低伪谍照曝光 或将于年底亮相</v>
      </c>
      <c r="C5151" s="2" t="s">
        <v>13</v>
      </c>
      <c r="D5151" s="2" t="s">
        <v>12</v>
      </c>
      <c r="E5151" s="2" t="s">
        <v>216</v>
      </c>
      <c r="F5151" s="2" t="str">
        <f>HYPERLINK("http://www.12365auto.com/xcdg/20200220/419010.shtml","http://www.12365auto.com/xcdg/20200220/419010.shtml")</f>
        <v>http://www.12365auto.com/xcdg/20200220/419010.shtml</v>
      </c>
      <c r="G5151" s="2"/>
      <c r="H5151" s="2" t="s">
        <v>7239</v>
      </c>
      <c r="I5151" s="2" t="s">
        <v>15</v>
      </c>
      <c r="J5151" s="2" t="s">
        <v>12</v>
      </c>
      <c r="K5151" s="2" t="s">
        <v>7238</v>
      </c>
      <c r="L5151" s="2">
        <f t="shared" si="80"/>
        <v>150</v>
      </c>
    </row>
    <row r="5152" spans="1:12" ht="25" customHeight="1">
      <c r="A5152" s="2" t="s">
        <v>12</v>
      </c>
      <c r="B5152" s="2" t="str">
        <f>HYPERLINK("http://m.12365auto.com/news/20200220/419009.shtml","这些坏习惯不改 永远别指望开出低油耗")</f>
        <v>这些坏习惯不改 永远别指望开出低油耗</v>
      </c>
      <c r="C5152" s="2" t="s">
        <v>13</v>
      </c>
      <c r="D5152" s="2" t="s">
        <v>12</v>
      </c>
      <c r="E5152" s="2"/>
      <c r="F5152" s="2" t="str">
        <f>HYPERLINK("http://m.12365auto.com/news/20200220/419009.shtml","http://m.12365auto.com/news/20200220/419009.shtml")</f>
        <v>http://m.12365auto.com/news/20200220/419009.shtml</v>
      </c>
      <c r="G5152" s="2"/>
      <c r="H5152" s="2" t="s">
        <v>7240</v>
      </c>
      <c r="I5152" s="2" t="s">
        <v>19</v>
      </c>
      <c r="J5152" s="2" t="s">
        <v>369</v>
      </c>
      <c r="K5152" s="2" t="s">
        <v>7241</v>
      </c>
      <c r="L5152" s="2">
        <f t="shared" si="80"/>
        <v>150</v>
      </c>
    </row>
    <row r="5153" spans="1:12" ht="25" customHeight="1">
      <c r="A5153" s="2" t="s">
        <v>12</v>
      </c>
      <c r="B5153" s="2" t="str">
        <f>HYPERLINK("http://m.12365auto.com/dcbg/20200220/419008.shtml","二手车购买指数：一汽-大众CC")</f>
        <v>二手车购买指数：一汽-大众CC</v>
      </c>
      <c r="C5153" s="2" t="s">
        <v>13</v>
      </c>
      <c r="D5153" s="2" t="s">
        <v>12</v>
      </c>
      <c r="E5153" s="2"/>
      <c r="F5153" s="2" t="str">
        <f>HYPERLINK("http://m.12365auto.com/dcbg/20200220/419008.shtml","http://m.12365auto.com/dcbg/20200220/419008.shtml")</f>
        <v>http://m.12365auto.com/dcbg/20200220/419008.shtml</v>
      </c>
      <c r="G5153" s="2"/>
      <c r="H5153" s="2" t="s">
        <v>7242</v>
      </c>
      <c r="I5153" s="2" t="s">
        <v>19</v>
      </c>
      <c r="J5153" s="2" t="s">
        <v>369</v>
      </c>
      <c r="K5153" s="2" t="s">
        <v>7241</v>
      </c>
      <c r="L5153" s="2">
        <f t="shared" si="80"/>
        <v>150</v>
      </c>
    </row>
    <row r="5154" spans="1:12" ht="25" customHeight="1">
      <c r="A5154" s="2" t="s">
        <v>12</v>
      </c>
      <c r="B5154" s="2" t="str">
        <f>HYPERLINK("http://www.12365auto.com/news/20200220/419009.shtml","这些坏习惯不改 永远别指望开出低油耗")</f>
        <v>这些坏习惯不改 永远别指望开出低油耗</v>
      </c>
      <c r="C5154" s="2" t="s">
        <v>13</v>
      </c>
      <c r="D5154" s="2" t="s">
        <v>12</v>
      </c>
      <c r="E5154" s="2" t="s">
        <v>372</v>
      </c>
      <c r="F5154" s="2" t="str">
        <f>HYPERLINK("http://www.12365auto.com/news/20200220/419009.shtml","http://www.12365auto.com/news/20200220/419009.shtml")</f>
        <v>http://www.12365auto.com/news/20200220/419009.shtml</v>
      </c>
      <c r="G5154" s="2"/>
      <c r="H5154" s="2" t="s">
        <v>7243</v>
      </c>
      <c r="I5154" s="2" t="s">
        <v>15</v>
      </c>
      <c r="J5154" s="2" t="s">
        <v>12</v>
      </c>
      <c r="K5154" s="2" t="s">
        <v>7241</v>
      </c>
      <c r="L5154" s="2">
        <f t="shared" si="80"/>
        <v>150</v>
      </c>
    </row>
    <row r="5155" spans="1:12" ht="25" customHeight="1">
      <c r="A5155" s="2" t="s">
        <v>12</v>
      </c>
      <c r="B5155" s="2" t="str">
        <f>HYPERLINK("http://www.12365auto.com/dcbg/20200220/419008.shtml","二手车购买指数：一汽-大众CC")</f>
        <v>二手车购买指数：一汽-大众CC</v>
      </c>
      <c r="C5155" s="2" t="s">
        <v>13</v>
      </c>
      <c r="D5155" s="2" t="s">
        <v>12</v>
      </c>
      <c r="E5155" s="2" t="s">
        <v>1319</v>
      </c>
      <c r="F5155" s="2" t="str">
        <f>HYPERLINK("http://www.12365auto.com/dcbg/20200220/419008.shtml","http://www.12365auto.com/dcbg/20200220/419008.shtml")</f>
        <v>http://www.12365auto.com/dcbg/20200220/419008.shtml</v>
      </c>
      <c r="G5155" s="2"/>
      <c r="H5155" s="2" t="s">
        <v>7244</v>
      </c>
      <c r="I5155" s="2" t="s">
        <v>15</v>
      </c>
      <c r="J5155" s="2" t="s">
        <v>12</v>
      </c>
      <c r="K5155" s="2" t="s">
        <v>7241</v>
      </c>
      <c r="L5155" s="2">
        <f t="shared" si="80"/>
        <v>150</v>
      </c>
    </row>
    <row r="5156" spans="1:12" ht="25" customHeight="1">
      <c r="A5156" s="2" t="s">
        <v>12</v>
      </c>
      <c r="B5156" s="2" t="str">
        <f>HYPERLINK("http://www.12365auto.com/zlts/20200220/447840.shtml","1后大梁断裂、2装配问题")</f>
        <v>1后大梁断裂、2装配问题</v>
      </c>
      <c r="C5156" s="2" t="s">
        <v>13</v>
      </c>
      <c r="D5156" s="2" t="s">
        <v>12</v>
      </c>
      <c r="E5156" s="2"/>
      <c r="F5156" s="2" t="str">
        <f>HYPERLINK("http://www.12365auto.com/zlts/20200220/447840.shtml","http://www.12365auto.com/zlts/20200220/447840.shtml")</f>
        <v>http://www.12365auto.com/zlts/20200220/447840.shtml</v>
      </c>
      <c r="G5156" s="2"/>
      <c r="H5156" s="2" t="s">
        <v>7246</v>
      </c>
      <c r="I5156" s="2" t="s">
        <v>15</v>
      </c>
      <c r="J5156" s="2" t="s">
        <v>12</v>
      </c>
      <c r="K5156" s="2" t="s">
        <v>7245</v>
      </c>
      <c r="L5156" s="2">
        <f t="shared" si="80"/>
        <v>87</v>
      </c>
    </row>
    <row r="5157" spans="1:12" ht="25" customHeight="1">
      <c r="A5157" s="2" t="s">
        <v>12</v>
      </c>
      <c r="B5157" s="2" t="str">
        <f>HYPERLINK("http://www.12365auto.com/zlts/20200219/447833.shtml","别克英朗变速箱无法升档导致车辆无法使用")</f>
        <v>别克英朗变速箱无法升档导致车辆无法使用</v>
      </c>
      <c r="C5157" s="2" t="s">
        <v>13</v>
      </c>
      <c r="D5157" s="2" t="s">
        <v>12</v>
      </c>
      <c r="E5157" s="2"/>
      <c r="F5157" s="2" t="str">
        <f>HYPERLINK("http://www.12365auto.com/zlts/20200219/447833.shtml","http://www.12365auto.com/zlts/20200219/447833.shtml")</f>
        <v>http://www.12365auto.com/zlts/20200219/447833.shtml</v>
      </c>
      <c r="G5157" s="2"/>
      <c r="H5157" s="2" t="s">
        <v>7248</v>
      </c>
      <c r="I5157" s="2" t="s">
        <v>15</v>
      </c>
      <c r="J5157" s="2" t="s">
        <v>12</v>
      </c>
      <c r="K5157" s="2" t="s">
        <v>7247</v>
      </c>
      <c r="L5157" s="2">
        <f t="shared" si="80"/>
        <v>84</v>
      </c>
    </row>
    <row r="5158" spans="1:12" ht="25" customHeight="1">
      <c r="A5158" s="2" t="s">
        <v>12</v>
      </c>
      <c r="B5158" s="2" t="str">
        <f>HYPERLINK("http://www.12365auto.com/zlts/20200219/447837.shtml","发动机异响！刹车不伶俐？")</f>
        <v>发动机异响！刹车不伶俐？</v>
      </c>
      <c r="C5158" s="2" t="s">
        <v>13</v>
      </c>
      <c r="D5158" s="2" t="s">
        <v>12</v>
      </c>
      <c r="E5158" s="2"/>
      <c r="F5158" s="2" t="str">
        <f>HYPERLINK("http://www.12365auto.com/zlts/20200219/447837.shtml","http://www.12365auto.com/zlts/20200219/447837.shtml")</f>
        <v>http://www.12365auto.com/zlts/20200219/447837.shtml</v>
      </c>
      <c r="G5158" s="2"/>
      <c r="H5158" s="2" t="s">
        <v>7249</v>
      </c>
      <c r="I5158" s="2" t="s">
        <v>15</v>
      </c>
      <c r="J5158" s="2" t="s">
        <v>12</v>
      </c>
      <c r="K5158" s="2" t="s">
        <v>7247</v>
      </c>
      <c r="L5158" s="2">
        <f t="shared" si="80"/>
        <v>92</v>
      </c>
    </row>
    <row r="5159" spans="1:12" ht="25" customHeight="1">
      <c r="A5159" s="2" t="s">
        <v>12</v>
      </c>
      <c r="B5159" s="2" t="str">
        <f>HYPERLINK("http://www.12365auto.com/zlts/20200219/447838.shtml","东风标致308S油箱故障导致报警希望处理")</f>
        <v>东风标致308S油箱故障导致报警希望处理</v>
      </c>
      <c r="C5159" s="2" t="s">
        <v>13</v>
      </c>
      <c r="D5159" s="2" t="s">
        <v>12</v>
      </c>
      <c r="E5159" s="2" t="s">
        <v>17</v>
      </c>
      <c r="F5159" s="2" t="str">
        <f>HYPERLINK("http://www.12365auto.com/zlts/20200219/447838.shtml","http://www.12365auto.com/zlts/20200219/447838.shtml")</f>
        <v>http://www.12365auto.com/zlts/20200219/447838.shtml</v>
      </c>
      <c r="G5159" s="2"/>
      <c r="H5159" s="2" t="s">
        <v>7250</v>
      </c>
      <c r="I5159" s="2" t="s">
        <v>19</v>
      </c>
      <c r="J5159" s="2" t="s">
        <v>12</v>
      </c>
      <c r="K5159" s="2" t="s">
        <v>7251</v>
      </c>
      <c r="L5159" s="2">
        <f t="shared" si="80"/>
        <v>150</v>
      </c>
    </row>
    <row r="5160" spans="1:12" ht="25" customHeight="1">
      <c r="A5160" s="2" t="s">
        <v>12</v>
      </c>
      <c r="B5160" s="2" t="str">
        <f>HYPERLINK("http://www.12365auto.com/zlts/20200219/447831.shtml","2013款飞度后轮内衬位置出现锈蚀腐烂")</f>
        <v>2013款飞度后轮内衬位置出现锈蚀腐烂</v>
      </c>
      <c r="C5160" s="2" t="s">
        <v>13</v>
      </c>
      <c r="D5160" s="2" t="s">
        <v>12</v>
      </c>
      <c r="E5160" s="2"/>
      <c r="F5160" s="2" t="str">
        <f>HYPERLINK("http://www.12365auto.com/zlts/20200219/447831.shtml","http://www.12365auto.com/zlts/20200219/447831.shtml")</f>
        <v>http://www.12365auto.com/zlts/20200219/447831.shtml</v>
      </c>
      <c r="G5160" s="2"/>
      <c r="H5160" s="2" t="s">
        <v>7253</v>
      </c>
      <c r="I5160" s="2" t="s">
        <v>15</v>
      </c>
      <c r="J5160" s="2" t="s">
        <v>12</v>
      </c>
      <c r="K5160" s="2" t="s">
        <v>7252</v>
      </c>
      <c r="L5160" s="2">
        <f t="shared" si="80"/>
        <v>82</v>
      </c>
    </row>
    <row r="5161" spans="1:12" ht="25" customHeight="1">
      <c r="A5161" s="2" t="s">
        <v>12</v>
      </c>
      <c r="B5161" s="2" t="str">
        <f>HYPERLINK("http://www.12365auto.com/zlts/20200219/447832.shtml","宝骏560底盘异响导致车内共振声音大")</f>
        <v>宝骏560底盘异响导致车内共振声音大</v>
      </c>
      <c r="C5161" s="2" t="s">
        <v>13</v>
      </c>
      <c r="D5161" s="2" t="s">
        <v>12</v>
      </c>
      <c r="E5161" s="2" t="s">
        <v>17</v>
      </c>
      <c r="F5161" s="2" t="str">
        <f>HYPERLINK("http://www.12365auto.com/zlts/20200219/447832.shtml","http://www.12365auto.com/zlts/20200219/447832.shtml")</f>
        <v>http://www.12365auto.com/zlts/20200219/447832.shtml</v>
      </c>
      <c r="G5161" s="2"/>
      <c r="H5161" s="2" t="s">
        <v>7254</v>
      </c>
      <c r="I5161" s="2" t="s">
        <v>19</v>
      </c>
      <c r="J5161" s="2" t="s">
        <v>12</v>
      </c>
      <c r="K5161" s="2" t="s">
        <v>7255</v>
      </c>
      <c r="L5161" s="2">
        <f t="shared" si="80"/>
        <v>150</v>
      </c>
    </row>
    <row r="5162" spans="1:12" ht="25" customHeight="1">
      <c r="A5162" s="2" t="s">
        <v>12</v>
      </c>
      <c r="B5162" s="2" t="str">
        <f>HYPERLINK("http://www.12365auto.com/zlts/20200219/447826.shtml","高速行驶时由5挡自动脱为空挡")</f>
        <v>高速行驶时由5挡自动脱为空挡</v>
      </c>
      <c r="C5162" s="2" t="s">
        <v>13</v>
      </c>
      <c r="D5162" s="2" t="s">
        <v>12</v>
      </c>
      <c r="E5162" s="2"/>
      <c r="F5162" s="2" t="str">
        <f>HYPERLINK("http://www.12365auto.com/zlts/20200219/447826.shtml","http://www.12365auto.com/zlts/20200219/447826.shtml")</f>
        <v>http://www.12365auto.com/zlts/20200219/447826.shtml</v>
      </c>
      <c r="G5162" s="2"/>
      <c r="H5162" s="2" t="s">
        <v>7257</v>
      </c>
      <c r="I5162" s="2" t="s">
        <v>15</v>
      </c>
      <c r="J5162" s="2" t="s">
        <v>12</v>
      </c>
      <c r="K5162" s="2" t="s">
        <v>7256</v>
      </c>
      <c r="L5162" s="2">
        <f t="shared" si="80"/>
        <v>81</v>
      </c>
    </row>
    <row r="5163" spans="1:12" ht="25" customHeight="1">
      <c r="A5163" s="2" t="s">
        <v>12</v>
      </c>
      <c r="B5163" s="2" t="str">
        <f>HYPERLINK("http://www.12365auto.com/zlts/20200219/447830.shtml","发动机噪音大，低速滋啦滋啦响")</f>
        <v>发动机噪音大，低速滋啦滋啦响</v>
      </c>
      <c r="C5163" s="2" t="s">
        <v>13</v>
      </c>
      <c r="D5163" s="2" t="s">
        <v>12</v>
      </c>
      <c r="E5163" s="2"/>
      <c r="F5163" s="2" t="str">
        <f>HYPERLINK("http://www.12365auto.com/zlts/20200219/447830.shtml","http://www.12365auto.com/zlts/20200219/447830.shtml")</f>
        <v>http://www.12365auto.com/zlts/20200219/447830.shtml</v>
      </c>
      <c r="G5163" s="2"/>
      <c r="H5163" s="2" t="s">
        <v>7259</v>
      </c>
      <c r="I5163" s="2" t="s">
        <v>15</v>
      </c>
      <c r="J5163" s="2" t="s">
        <v>12</v>
      </c>
      <c r="K5163" s="2" t="s">
        <v>7258</v>
      </c>
      <c r="L5163" s="2">
        <f t="shared" si="80"/>
        <v>83</v>
      </c>
    </row>
    <row r="5164" spans="1:12" ht="25" customHeight="1">
      <c r="A5164" s="2" t="s">
        <v>12</v>
      </c>
      <c r="B5164" s="2" t="str">
        <f>HYPERLINK("http://www.12365auto.com/zlts/20200219/447829.shtml","东风日产玛驰后备箱备胎槽积水严重")</f>
        <v>东风日产玛驰后备箱备胎槽积水严重</v>
      </c>
      <c r="C5164" s="2" t="s">
        <v>13</v>
      </c>
      <c r="D5164" s="2" t="s">
        <v>12</v>
      </c>
      <c r="E5164" s="2" t="s">
        <v>17</v>
      </c>
      <c r="F5164" s="2" t="str">
        <f>HYPERLINK("http://www.12365auto.com/zlts/20200219/447829.shtml","http://www.12365auto.com/zlts/20200219/447829.shtml")</f>
        <v>http://www.12365auto.com/zlts/20200219/447829.shtml</v>
      </c>
      <c r="G5164" s="2"/>
      <c r="H5164" s="2" t="s">
        <v>7260</v>
      </c>
      <c r="I5164" s="2" t="s">
        <v>19</v>
      </c>
      <c r="J5164" s="2" t="s">
        <v>12</v>
      </c>
      <c r="K5164" s="2" t="s">
        <v>7261</v>
      </c>
      <c r="L5164" s="2">
        <f t="shared" si="80"/>
        <v>150</v>
      </c>
    </row>
    <row r="5165" spans="1:12" ht="25" customHeight="1">
      <c r="A5165" s="2" t="s">
        <v>12</v>
      </c>
      <c r="B5165" s="2" t="str">
        <f>HYPERLINK("http://www.12365auto.com/zlts/20200219/447828.shtml","吉利金刚无法启动 轮胎偏磨 车身生锈")</f>
        <v>吉利金刚无法启动 轮胎偏磨 车身生锈</v>
      </c>
      <c r="C5165" s="2" t="s">
        <v>13</v>
      </c>
      <c r="D5165" s="2" t="s">
        <v>12</v>
      </c>
      <c r="E5165" s="2" t="s">
        <v>17</v>
      </c>
      <c r="F5165" s="2" t="str">
        <f>HYPERLINK("http://www.12365auto.com/zlts/20200219/447828.shtml","http://www.12365auto.com/zlts/20200219/447828.shtml")</f>
        <v>http://www.12365auto.com/zlts/20200219/447828.shtml</v>
      </c>
      <c r="G5165" s="2"/>
      <c r="H5165" s="2" t="s">
        <v>7262</v>
      </c>
      <c r="I5165" s="2" t="s">
        <v>19</v>
      </c>
      <c r="J5165" s="2" t="s">
        <v>12</v>
      </c>
      <c r="K5165" s="2" t="s">
        <v>7263</v>
      </c>
      <c r="L5165" s="2">
        <f t="shared" si="80"/>
        <v>150</v>
      </c>
    </row>
    <row r="5166" spans="1:12" ht="25" customHeight="1">
      <c r="A5166" s="2" t="s">
        <v>12</v>
      </c>
      <c r="B5166" s="2" t="str">
        <f>HYPERLINK("http://www.12365auto.com/zlts/20200219/447825.shtml","2019款帕萨特偷工减料")</f>
        <v>2019款帕萨特偷工减料</v>
      </c>
      <c r="C5166" s="2" t="s">
        <v>13</v>
      </c>
      <c r="D5166" s="2" t="s">
        <v>12</v>
      </c>
      <c r="E5166" s="2"/>
      <c r="F5166" s="2" t="str">
        <f>HYPERLINK("http://www.12365auto.com/zlts/20200219/447825.shtml","http://www.12365auto.com/zlts/20200219/447825.shtml")</f>
        <v>http://www.12365auto.com/zlts/20200219/447825.shtml</v>
      </c>
      <c r="G5166" s="2"/>
      <c r="H5166" s="2" t="s">
        <v>7265</v>
      </c>
      <c r="I5166" s="2" t="s">
        <v>15</v>
      </c>
      <c r="J5166" s="2" t="s">
        <v>12</v>
      </c>
      <c r="K5166" s="2" t="s">
        <v>7264</v>
      </c>
      <c r="L5166" s="2">
        <f t="shared" si="80"/>
        <v>83</v>
      </c>
    </row>
    <row r="5167" spans="1:12" ht="25" customHeight="1">
      <c r="A5167" s="2" t="s">
        <v>12</v>
      </c>
      <c r="B5167" s="2" t="str">
        <f>HYPERLINK("http://www.12365auto.com/zlts/20200219/447819.shtml","跑高速时找不到中心点，时左时右。")</f>
        <v>跑高速时找不到中心点，时左时右。</v>
      </c>
      <c r="C5167" s="2" t="s">
        <v>13</v>
      </c>
      <c r="D5167" s="2" t="s">
        <v>12</v>
      </c>
      <c r="E5167" s="2"/>
      <c r="F5167" s="2" t="str">
        <f>HYPERLINK("http://www.12365auto.com/zlts/20200219/447819.shtml","http://www.12365auto.com/zlts/20200219/447819.shtml")</f>
        <v>http://www.12365auto.com/zlts/20200219/447819.shtml</v>
      </c>
      <c r="G5167" s="2"/>
      <c r="H5167" s="2" t="s">
        <v>7267</v>
      </c>
      <c r="I5167" s="2" t="s">
        <v>15</v>
      </c>
      <c r="J5167" s="2" t="s">
        <v>12</v>
      </c>
      <c r="K5167" s="2" t="s">
        <v>7266</v>
      </c>
      <c r="L5167" s="2">
        <f t="shared" si="80"/>
        <v>84</v>
      </c>
    </row>
    <row r="5168" spans="1:12" ht="25" customHeight="1">
      <c r="A5168" s="2" t="s">
        <v>12</v>
      </c>
      <c r="B5168" s="2" t="str">
        <f>HYPERLINK("http://www.12365auto.com/zlts/20200219/447818.shtml","转向卡滞右前轮吃胎严重")</f>
        <v>转向卡滞右前轮吃胎严重</v>
      </c>
      <c r="C5168" s="2" t="s">
        <v>13</v>
      </c>
      <c r="D5168" s="2" t="s">
        <v>12</v>
      </c>
      <c r="E5168" s="2"/>
      <c r="F5168" s="2" t="str">
        <f>HYPERLINK("http://www.12365auto.com/zlts/20200219/447818.shtml","http://www.12365auto.com/zlts/20200219/447818.shtml")</f>
        <v>http://www.12365auto.com/zlts/20200219/447818.shtml</v>
      </c>
      <c r="G5168" s="2"/>
      <c r="H5168" s="2" t="s">
        <v>7269</v>
      </c>
      <c r="I5168" s="2" t="s">
        <v>15</v>
      </c>
      <c r="J5168" s="2" t="s">
        <v>12</v>
      </c>
      <c r="K5168" s="2" t="s">
        <v>7268</v>
      </c>
      <c r="L5168" s="2">
        <f t="shared" si="80"/>
        <v>81</v>
      </c>
    </row>
    <row r="5169" spans="1:12" ht="25" customHeight="1">
      <c r="A5169" s="2" t="s">
        <v>12</v>
      </c>
      <c r="B5169" s="2" t="str">
        <f>HYPERLINK("http://www.12365auto.com/zlts/20200219/447817.shtml","华晨宝马1系刹车片异常磨损 制动效果降低")</f>
        <v>华晨宝马1系刹车片异常磨损 制动效果降低</v>
      </c>
      <c r="C5169" s="2" t="s">
        <v>13</v>
      </c>
      <c r="D5169" s="2" t="s">
        <v>12</v>
      </c>
      <c r="E5169" s="2" t="s">
        <v>17</v>
      </c>
      <c r="F5169" s="2" t="str">
        <f>HYPERLINK("http://www.12365auto.com/zlts/20200219/447817.shtml","http://www.12365auto.com/zlts/20200219/447817.shtml")</f>
        <v>http://www.12365auto.com/zlts/20200219/447817.shtml</v>
      </c>
      <c r="G5169" s="2"/>
      <c r="H5169" s="2" t="s">
        <v>7270</v>
      </c>
      <c r="I5169" s="2" t="s">
        <v>19</v>
      </c>
      <c r="J5169" s="2" t="s">
        <v>12</v>
      </c>
      <c r="K5169" s="2" t="s">
        <v>7271</v>
      </c>
      <c r="L5169" s="2">
        <f t="shared" si="80"/>
        <v>150</v>
      </c>
    </row>
    <row r="5170" spans="1:12" ht="25" customHeight="1">
      <c r="A5170" s="2" t="s">
        <v>12</v>
      </c>
      <c r="B5170" s="2" t="str">
        <f>HYPERLINK("http://www.12365auto.com/zlts/20200219/447813.shtml","一汽丰田RAV4荣放发动机报警 不显示挡位")</f>
        <v>一汽丰田RAV4荣放发动机报警 不显示挡位</v>
      </c>
      <c r="C5170" s="2" t="s">
        <v>13</v>
      </c>
      <c r="D5170" s="2" t="s">
        <v>12</v>
      </c>
      <c r="E5170" s="2" t="s">
        <v>17</v>
      </c>
      <c r="F5170" s="2" t="str">
        <f>HYPERLINK("http://www.12365auto.com/zlts/20200219/447813.shtml","http://www.12365auto.com/zlts/20200219/447813.shtml")</f>
        <v>http://www.12365auto.com/zlts/20200219/447813.shtml</v>
      </c>
      <c r="G5170" s="2"/>
      <c r="H5170" s="2" t="s">
        <v>7272</v>
      </c>
      <c r="I5170" s="2" t="s">
        <v>19</v>
      </c>
      <c r="J5170" s="2" t="s">
        <v>12</v>
      </c>
      <c r="K5170" s="2" t="s">
        <v>7273</v>
      </c>
      <c r="L5170" s="2">
        <f t="shared" si="80"/>
        <v>150</v>
      </c>
    </row>
    <row r="5171" spans="1:12" ht="25" customHeight="1">
      <c r="A5171" s="2" t="s">
        <v>12</v>
      </c>
      <c r="B5171" s="2" t="str">
        <f>HYPERLINK("http://bbs.12365auto.com/postcontent.aspx?tId=194560","帕萨特新能源用车小结")</f>
        <v>帕萨特新能源用车小结</v>
      </c>
      <c r="C5171" s="2" t="s">
        <v>13</v>
      </c>
      <c r="D5171" s="2" t="s">
        <v>12</v>
      </c>
      <c r="E5171" s="2" t="s">
        <v>1397</v>
      </c>
      <c r="F5171" s="2" t="str">
        <f>HYPERLINK("http://bbs.12365auto.com/postcontent.aspx?tId=194560","http://bbs.12365auto.com/postcontent.aspx?tId=194560")</f>
        <v>http://bbs.12365auto.com/postcontent.aspx?tId=194560</v>
      </c>
      <c r="G5171" s="2"/>
      <c r="H5171" s="2" t="s">
        <v>7274</v>
      </c>
      <c r="I5171" s="2" t="s">
        <v>15</v>
      </c>
      <c r="J5171" s="2" t="s">
        <v>7275</v>
      </c>
      <c r="K5171" s="2" t="s">
        <v>7276</v>
      </c>
      <c r="L5171" s="2">
        <f t="shared" si="80"/>
        <v>150</v>
      </c>
    </row>
    <row r="5172" spans="1:12" ht="25" customHeight="1">
      <c r="A5172" s="2" t="s">
        <v>12</v>
      </c>
      <c r="B5172" s="2" t="str">
        <f>HYPERLINK("http://bbs.12365auto.com/postcontent.aspx?tID=194560","帕萨特新能源用车小结")</f>
        <v>帕萨特新能源用车小结</v>
      </c>
      <c r="C5172" s="2" t="s">
        <v>13</v>
      </c>
      <c r="D5172" s="2" t="s">
        <v>12</v>
      </c>
      <c r="E5172" s="2" t="s">
        <v>1393</v>
      </c>
      <c r="F5172" s="2" t="str">
        <f>HYPERLINK("http://bbs.12365auto.com/postcontent.aspx?tID=194560","http://bbs.12365auto.com/postcontent.aspx?tID=194560")</f>
        <v>http://bbs.12365auto.com/postcontent.aspx?tID=194560</v>
      </c>
      <c r="G5172" s="2"/>
      <c r="H5172" s="2" t="s">
        <v>7277</v>
      </c>
      <c r="I5172" s="2" t="s">
        <v>15</v>
      </c>
      <c r="J5172" s="2" t="s">
        <v>7275</v>
      </c>
      <c r="K5172" s="2" t="s">
        <v>7276</v>
      </c>
      <c r="L5172" s="2">
        <f t="shared" si="80"/>
        <v>150</v>
      </c>
    </row>
    <row r="5173" spans="1:12" ht="25" customHeight="1">
      <c r="A5173" s="2" t="s">
        <v>12</v>
      </c>
      <c r="B5173" s="2" t="str">
        <f>HYPERLINK("http://m.12365auto.com/bbs/postcontent.aspx?tID=194560","帕萨特新能源用车小结")</f>
        <v>帕萨特新能源用车小结</v>
      </c>
      <c r="C5173" s="2" t="s">
        <v>13</v>
      </c>
      <c r="D5173" s="2" t="s">
        <v>23</v>
      </c>
      <c r="E5173" s="2"/>
      <c r="F5173" s="2" t="str">
        <f>HYPERLINK("http://m.12365auto.com/bbs/postcontent.aspx?tID=194560","http://m.12365auto.com/bbs/postcontent.aspx?tID=194560")</f>
        <v>http://m.12365auto.com/bbs/postcontent.aspx?tID=194560</v>
      </c>
      <c r="G5173" s="2"/>
      <c r="H5173" s="2" t="s">
        <v>7274</v>
      </c>
      <c r="I5173" s="2" t="s">
        <v>15</v>
      </c>
      <c r="J5173" s="2" t="s">
        <v>7275</v>
      </c>
      <c r="K5173" s="2" t="s">
        <v>7276</v>
      </c>
      <c r="L5173" s="2">
        <f t="shared" si="80"/>
        <v>150</v>
      </c>
    </row>
    <row r="5174" spans="1:12" ht="25" customHeight="1">
      <c r="A5174" s="2" t="s">
        <v>12</v>
      </c>
      <c r="B5174" s="2" t="str">
        <f>HYPERLINK("http://bbs.12365auto.com/postcontent.aspx?tID=194559","跟随心意 最后选择了自己喜欢的帕萨特")</f>
        <v>跟随心意 最后选择了自己喜欢的帕萨特</v>
      </c>
      <c r="C5174" s="2" t="s">
        <v>13</v>
      </c>
      <c r="D5174" s="2" t="s">
        <v>12</v>
      </c>
      <c r="E5174" s="2" t="s">
        <v>214</v>
      </c>
      <c r="F5174" s="2" t="str">
        <f>HYPERLINK("http://bbs.12365auto.com/postcontent.aspx?tID=194559","http://bbs.12365auto.com/postcontent.aspx?tID=194559")</f>
        <v>http://bbs.12365auto.com/postcontent.aspx?tID=194559</v>
      </c>
      <c r="G5174" s="2"/>
      <c r="H5174" s="2" t="s">
        <v>7278</v>
      </c>
      <c r="I5174" s="2" t="s">
        <v>15</v>
      </c>
      <c r="J5174" s="2" t="s">
        <v>2276</v>
      </c>
      <c r="K5174" s="2" t="s">
        <v>7279</v>
      </c>
      <c r="L5174" s="2">
        <f t="shared" si="80"/>
        <v>150</v>
      </c>
    </row>
    <row r="5175" spans="1:12" ht="25" customHeight="1">
      <c r="A5175" s="2" t="s">
        <v>12</v>
      </c>
      <c r="B5175" s="2" t="str">
        <f>HYPERLINK("http://bbs.12365auto.com/postcontent.aspx?tId=194559","跟随心意 最后选择了自己喜欢的帕萨特")</f>
        <v>跟随心意 最后选择了自己喜欢的帕萨特</v>
      </c>
      <c r="C5175" s="2" t="s">
        <v>13</v>
      </c>
      <c r="D5175" s="2" t="s">
        <v>12</v>
      </c>
      <c r="E5175" s="2" t="s">
        <v>210</v>
      </c>
      <c r="F5175" s="2" t="str">
        <f>HYPERLINK("http://bbs.12365auto.com/postcontent.aspx?tId=194559","http://bbs.12365auto.com/postcontent.aspx?tId=194559")</f>
        <v>http://bbs.12365auto.com/postcontent.aspx?tId=194559</v>
      </c>
      <c r="G5175" s="2"/>
      <c r="H5175" s="2" t="s">
        <v>7280</v>
      </c>
      <c r="I5175" s="2" t="s">
        <v>15</v>
      </c>
      <c r="J5175" s="2" t="s">
        <v>2276</v>
      </c>
      <c r="K5175" s="2" t="s">
        <v>7279</v>
      </c>
      <c r="L5175" s="2">
        <f t="shared" si="80"/>
        <v>150</v>
      </c>
    </row>
    <row r="5176" spans="1:12" ht="25" customHeight="1">
      <c r="A5176" s="2" t="s">
        <v>12</v>
      </c>
      <c r="B5176" s="2" t="str">
        <f>HYPERLINK("http://m.12365auto.com/bbs/postcontent.aspx?tID=194559","跟随心意 最后选择了自己喜欢的帕萨特")</f>
        <v>跟随心意 最后选择了自己喜欢的帕萨特</v>
      </c>
      <c r="C5176" s="2" t="s">
        <v>13</v>
      </c>
      <c r="D5176" s="2" t="s">
        <v>23</v>
      </c>
      <c r="E5176" s="2"/>
      <c r="F5176" s="2" t="str">
        <f>HYPERLINK("http://m.12365auto.com/bbs/postcontent.aspx?tID=194559","http://m.12365auto.com/bbs/postcontent.aspx?tID=194559")</f>
        <v>http://m.12365auto.com/bbs/postcontent.aspx?tID=194559</v>
      </c>
      <c r="G5176" s="2"/>
      <c r="H5176" s="2" t="s">
        <v>7280</v>
      </c>
      <c r="I5176" s="2" t="s">
        <v>15</v>
      </c>
      <c r="J5176" s="2" t="s">
        <v>2276</v>
      </c>
      <c r="K5176" s="2" t="s">
        <v>7279</v>
      </c>
      <c r="L5176" s="2">
        <f t="shared" si="80"/>
        <v>150</v>
      </c>
    </row>
    <row r="5177" spans="1:12" ht="25" customHeight="1">
      <c r="A5177" s="2" t="s">
        <v>12</v>
      </c>
      <c r="B5177" s="2" t="str">
        <f>HYPERLINK("http://m.12365auto.com/bbs/postcontent.aspx?tID=194558","车主上线 客观说说迈腾的优缺点")</f>
        <v>车主上线 客观说说迈腾的优缺点</v>
      </c>
      <c r="C5177" s="2" t="s">
        <v>13</v>
      </c>
      <c r="D5177" s="2" t="s">
        <v>23</v>
      </c>
      <c r="E5177" s="2"/>
      <c r="F5177" s="2" t="str">
        <f>HYPERLINK("http://m.12365auto.com/bbs/postcontent.aspx?tID=194558","http://m.12365auto.com/bbs/postcontent.aspx?tID=194558")</f>
        <v>http://m.12365auto.com/bbs/postcontent.aspx?tID=194558</v>
      </c>
      <c r="G5177" s="2"/>
      <c r="H5177" s="2" t="s">
        <v>7281</v>
      </c>
      <c r="I5177" s="2" t="s">
        <v>15</v>
      </c>
      <c r="J5177" s="2" t="s">
        <v>2281</v>
      </c>
      <c r="K5177" s="2" t="s">
        <v>7282</v>
      </c>
      <c r="L5177" s="2">
        <f t="shared" si="80"/>
        <v>150</v>
      </c>
    </row>
    <row r="5178" spans="1:12" ht="25" customHeight="1">
      <c r="A5178" s="2" t="s">
        <v>12</v>
      </c>
      <c r="B5178" s="2" t="str">
        <f>HYPERLINK("http://bbs.12365auto.com/postcontent.aspx?tId=194558","车主上线 客观说说迈腾的优缺点")</f>
        <v>车主上线 客观说说迈腾的优缺点</v>
      </c>
      <c r="C5178" s="2" t="s">
        <v>13</v>
      </c>
      <c r="D5178" s="2" t="s">
        <v>12</v>
      </c>
      <c r="E5178" s="2" t="s">
        <v>1397</v>
      </c>
      <c r="F5178" s="2" t="str">
        <f>HYPERLINK("http://bbs.12365auto.com/postcontent.aspx?tId=194558","http://bbs.12365auto.com/postcontent.aspx?tId=194558")</f>
        <v>http://bbs.12365auto.com/postcontent.aspx?tId=194558</v>
      </c>
      <c r="G5178" s="2"/>
      <c r="H5178" s="2" t="s">
        <v>7281</v>
      </c>
      <c r="I5178" s="2" t="s">
        <v>15</v>
      </c>
      <c r="J5178" s="2" t="s">
        <v>2281</v>
      </c>
      <c r="K5178" s="2" t="s">
        <v>7282</v>
      </c>
      <c r="L5178" s="2">
        <f t="shared" si="80"/>
        <v>150</v>
      </c>
    </row>
    <row r="5179" spans="1:12" ht="25" customHeight="1">
      <c r="A5179" s="2" t="s">
        <v>12</v>
      </c>
      <c r="B5179" s="2" t="str">
        <f>HYPERLINK("http://bbs.12365auto.com/postcontent.aspx?tID=194558","车主上线 客观说说迈腾的优缺点")</f>
        <v>车主上线 客观说说迈腾的优缺点</v>
      </c>
      <c r="C5179" s="2" t="s">
        <v>13</v>
      </c>
      <c r="D5179" s="2" t="s">
        <v>12</v>
      </c>
      <c r="E5179" s="2" t="s">
        <v>1393</v>
      </c>
      <c r="F5179" s="2" t="str">
        <f>HYPERLINK("http://bbs.12365auto.com/postcontent.aspx?tID=194558","http://bbs.12365auto.com/postcontent.aspx?tID=194558")</f>
        <v>http://bbs.12365auto.com/postcontent.aspx?tID=194558</v>
      </c>
      <c r="G5179" s="2"/>
      <c r="H5179" s="2" t="s">
        <v>7283</v>
      </c>
      <c r="I5179" s="2" t="s">
        <v>15</v>
      </c>
      <c r="J5179" s="2" t="s">
        <v>2281</v>
      </c>
      <c r="K5179" s="2" t="s">
        <v>7282</v>
      </c>
      <c r="L5179" s="2">
        <f t="shared" si="80"/>
        <v>150</v>
      </c>
    </row>
    <row r="5180" spans="1:12" ht="25" customHeight="1">
      <c r="A5180" s="2" t="s">
        <v>12</v>
      </c>
      <c r="B5180" s="2" t="str">
        <f>HYPERLINK("http://bbs.12365auto.com/postcontent.aspx?tId=194557","看帕萨特老司机谈2019款帕萨特用车感受")</f>
        <v>看帕萨特老司机谈2019款帕萨特用车感受</v>
      </c>
      <c r="C5180" s="2" t="s">
        <v>13</v>
      </c>
      <c r="D5180" s="2" t="s">
        <v>12</v>
      </c>
      <c r="E5180" s="2" t="s">
        <v>1397</v>
      </c>
      <c r="F5180" s="2" t="str">
        <f>HYPERLINK("http://bbs.12365auto.com/postcontent.aspx?tId=194557","http://bbs.12365auto.com/postcontent.aspx?tId=194557")</f>
        <v>http://bbs.12365auto.com/postcontent.aspx?tId=194557</v>
      </c>
      <c r="G5180" s="2"/>
      <c r="H5180" s="2" t="s">
        <v>7284</v>
      </c>
      <c r="I5180" s="2" t="s">
        <v>15</v>
      </c>
      <c r="J5180" s="2" t="s">
        <v>2285</v>
      </c>
      <c r="K5180" s="2" t="s">
        <v>7285</v>
      </c>
      <c r="L5180" s="2">
        <f t="shared" si="80"/>
        <v>150</v>
      </c>
    </row>
    <row r="5181" spans="1:12" ht="25" customHeight="1">
      <c r="A5181" s="2" t="s">
        <v>12</v>
      </c>
      <c r="B5181" s="2" t="str">
        <f>HYPERLINK("http://m.12365auto.com/bbs/postcontent.aspx?tID=194557","看帕萨特老司机谈2019款帕萨特用车感受")</f>
        <v>看帕萨特老司机谈2019款帕萨特用车感受</v>
      </c>
      <c r="C5181" s="2" t="s">
        <v>13</v>
      </c>
      <c r="D5181" s="2" t="s">
        <v>23</v>
      </c>
      <c r="E5181" s="2"/>
      <c r="F5181" s="2" t="str">
        <f>HYPERLINK("http://m.12365auto.com/bbs/postcontent.aspx?tID=194557","http://m.12365auto.com/bbs/postcontent.aspx?tID=194557")</f>
        <v>http://m.12365auto.com/bbs/postcontent.aspx?tID=194557</v>
      </c>
      <c r="G5181" s="2"/>
      <c r="H5181" s="2" t="s">
        <v>7284</v>
      </c>
      <c r="I5181" s="2" t="s">
        <v>15</v>
      </c>
      <c r="J5181" s="2" t="s">
        <v>2285</v>
      </c>
      <c r="K5181" s="2" t="s">
        <v>7285</v>
      </c>
      <c r="L5181" s="2">
        <f t="shared" si="80"/>
        <v>150</v>
      </c>
    </row>
    <row r="5182" spans="1:12" ht="25" customHeight="1">
      <c r="A5182" s="2" t="s">
        <v>12</v>
      </c>
      <c r="B5182" s="2" t="str">
        <f>HYPERLINK("http://bbs.12365auto.com/postcontent.aspx?tID=194557","看帕萨特老司机谈2019款帕萨特用车感受")</f>
        <v>看帕萨特老司机谈2019款帕萨特用车感受</v>
      </c>
      <c r="C5182" s="2" t="s">
        <v>13</v>
      </c>
      <c r="D5182" s="2" t="s">
        <v>12</v>
      </c>
      <c r="E5182" s="2" t="s">
        <v>1393</v>
      </c>
      <c r="F5182" s="2" t="str">
        <f>HYPERLINK("http://bbs.12365auto.com/postcontent.aspx?tID=194557","http://bbs.12365auto.com/postcontent.aspx?tID=194557")</f>
        <v>http://bbs.12365auto.com/postcontent.aspx?tID=194557</v>
      </c>
      <c r="G5182" s="2"/>
      <c r="H5182" s="2" t="s">
        <v>7286</v>
      </c>
      <c r="I5182" s="2" t="s">
        <v>15</v>
      </c>
      <c r="J5182" s="2" t="s">
        <v>2285</v>
      </c>
      <c r="K5182" s="2" t="s">
        <v>7285</v>
      </c>
      <c r="L5182" s="2">
        <f t="shared" si="80"/>
        <v>150</v>
      </c>
    </row>
    <row r="5183" spans="1:12" ht="25" customHeight="1">
      <c r="A5183" s="2" t="s">
        <v>12</v>
      </c>
      <c r="B5183" s="2" t="str">
        <f>HYPERLINK("http://bbs.12365auto.com/postcontent.aspx?tID=194556","帕萨特到底好不好 看看六个月老车主的说法")</f>
        <v>帕萨特到底好不好 看看六个月老车主的说法</v>
      </c>
      <c r="C5183" s="2" t="s">
        <v>13</v>
      </c>
      <c r="D5183" s="2" t="s">
        <v>12</v>
      </c>
      <c r="E5183" s="2" t="s">
        <v>28</v>
      </c>
      <c r="F5183" s="2" t="str">
        <f>HYPERLINK("http://bbs.12365auto.com/postcontent.aspx?tID=194556","http://bbs.12365auto.com/postcontent.aspx?tID=194556")</f>
        <v>http://bbs.12365auto.com/postcontent.aspx?tID=194556</v>
      </c>
      <c r="G5183" s="2"/>
      <c r="H5183" s="2" t="s">
        <v>7287</v>
      </c>
      <c r="I5183" s="2" t="s">
        <v>15</v>
      </c>
      <c r="J5183" s="2" t="s">
        <v>2294</v>
      </c>
      <c r="K5183" s="2" t="s">
        <v>7288</v>
      </c>
      <c r="L5183" s="2">
        <f t="shared" si="80"/>
        <v>150</v>
      </c>
    </row>
    <row r="5184" spans="1:12" ht="25" customHeight="1">
      <c r="A5184" s="2" t="s">
        <v>12</v>
      </c>
      <c r="B5184" s="2" t="str">
        <f>HYPERLINK("http://bbs.12365auto.com/postcontent.aspx?tId=194556","帕萨特到底好不好 看看六个月老车主的说法")</f>
        <v>帕萨特到底好不好 看看六个月老车主的说法</v>
      </c>
      <c r="C5184" s="2" t="s">
        <v>13</v>
      </c>
      <c r="D5184" s="2" t="s">
        <v>12</v>
      </c>
      <c r="E5184" s="2" t="s">
        <v>27</v>
      </c>
      <c r="F5184" s="2" t="str">
        <f>HYPERLINK("http://bbs.12365auto.com/postcontent.aspx?tId=194556","http://bbs.12365auto.com/postcontent.aspx?tId=194556")</f>
        <v>http://bbs.12365auto.com/postcontent.aspx?tId=194556</v>
      </c>
      <c r="G5184" s="2"/>
      <c r="H5184" s="2" t="s">
        <v>7289</v>
      </c>
      <c r="I5184" s="2" t="s">
        <v>15</v>
      </c>
      <c r="J5184" s="2" t="s">
        <v>2294</v>
      </c>
      <c r="K5184" s="2" t="s">
        <v>7288</v>
      </c>
      <c r="L5184" s="2">
        <f t="shared" si="80"/>
        <v>150</v>
      </c>
    </row>
    <row r="5185" spans="1:12" ht="25" customHeight="1">
      <c r="A5185" s="2" t="s">
        <v>12</v>
      </c>
      <c r="B5185" s="2" t="str">
        <f>HYPERLINK("http://m.12365auto.com/bbs/postcontent.aspx?tID=194556","帕萨特到底好不好 看看六个月老车主的说法")</f>
        <v>帕萨特到底好不好 看看六个月老车主的说法</v>
      </c>
      <c r="C5185" s="2" t="s">
        <v>13</v>
      </c>
      <c r="D5185" s="2" t="s">
        <v>23</v>
      </c>
      <c r="E5185" s="2"/>
      <c r="F5185" s="2" t="str">
        <f>HYPERLINK("http://m.12365auto.com/bbs/postcontent.aspx?tID=194556","http://m.12365auto.com/bbs/postcontent.aspx?tID=194556")</f>
        <v>http://m.12365auto.com/bbs/postcontent.aspx?tID=194556</v>
      </c>
      <c r="G5185" s="2"/>
      <c r="H5185" s="2" t="s">
        <v>7289</v>
      </c>
      <c r="I5185" s="2" t="s">
        <v>15</v>
      </c>
      <c r="J5185" s="2" t="s">
        <v>2294</v>
      </c>
      <c r="K5185" s="2" t="s">
        <v>7288</v>
      </c>
      <c r="L5185" s="2">
        <f t="shared" si="80"/>
        <v>150</v>
      </c>
    </row>
    <row r="5186" spans="1:12" ht="25" customHeight="1">
      <c r="A5186" s="2" t="s">
        <v>12</v>
      </c>
      <c r="B5186" s="2" t="str">
        <f>HYPERLINK("http://m.12365auto.com/zjdy/20200219/121411.shtml","车辆引擎盖打不开到底是什么原因？")</f>
        <v>车辆引擎盖打不开到底是什么原因？</v>
      </c>
      <c r="C5186" s="2" t="s">
        <v>13</v>
      </c>
      <c r="D5186" s="2" t="s">
        <v>12</v>
      </c>
      <c r="E5186" s="2"/>
      <c r="F5186" s="2" t="str">
        <f>HYPERLINK("http://m.12365auto.com/zjdy/20200219/121411.shtml","http://m.12365auto.com/zjdy/20200219/121411.shtml")</f>
        <v>http://m.12365auto.com/zjdy/20200219/121411.shtml</v>
      </c>
      <c r="G5186" s="2"/>
      <c r="H5186" s="2" t="s">
        <v>7290</v>
      </c>
      <c r="I5186" s="2" t="s">
        <v>19</v>
      </c>
      <c r="J5186" s="2" t="s">
        <v>12</v>
      </c>
      <c r="K5186" s="2" t="s">
        <v>7291</v>
      </c>
      <c r="L5186" s="2">
        <f t="shared" si="80"/>
        <v>20</v>
      </c>
    </row>
    <row r="5187" spans="1:12" ht="25" customHeight="1">
      <c r="A5187" s="2" t="s">
        <v>12</v>
      </c>
      <c r="B5187" s="2" t="str">
        <f>HYPERLINK("http://bbs.12365auto.com/postcontent.aspx?tId=194554","做个晒车狂魔 因为爱所以爱")</f>
        <v>做个晒车狂魔 因为爱所以爱</v>
      </c>
      <c r="C5187" s="2" t="s">
        <v>13</v>
      </c>
      <c r="D5187" s="2" t="s">
        <v>12</v>
      </c>
      <c r="E5187" s="2" t="s">
        <v>210</v>
      </c>
      <c r="F5187" s="2" t="str">
        <f>HYPERLINK("http://bbs.12365auto.com/postcontent.aspx?tId=194554","http://bbs.12365auto.com/postcontent.aspx?tId=194554")</f>
        <v>http://bbs.12365auto.com/postcontent.aspx?tId=194554</v>
      </c>
      <c r="G5187" s="2"/>
      <c r="H5187" s="2" t="s">
        <v>7292</v>
      </c>
      <c r="I5187" s="2" t="s">
        <v>15</v>
      </c>
      <c r="J5187" s="2" t="s">
        <v>2294</v>
      </c>
      <c r="K5187" s="2" t="s">
        <v>7293</v>
      </c>
      <c r="L5187" s="2">
        <f t="shared" ref="L5187:L5250" si="81">LEN(H5187)</f>
        <v>150</v>
      </c>
    </row>
    <row r="5188" spans="1:12" ht="25" customHeight="1">
      <c r="A5188" s="2" t="s">
        <v>12</v>
      </c>
      <c r="B5188" s="2" t="str">
        <f>HYPERLINK("http://m.12365auto.com/bbs/postcontent.aspx?tID=194554","做个晒车狂魔 因为爱所以爱")</f>
        <v>做个晒车狂魔 因为爱所以爱</v>
      </c>
      <c r="C5188" s="2" t="s">
        <v>13</v>
      </c>
      <c r="D5188" s="2" t="s">
        <v>23</v>
      </c>
      <c r="E5188" s="2"/>
      <c r="F5188" s="2" t="str">
        <f>HYPERLINK("http://m.12365auto.com/bbs/postcontent.aspx?tID=194554","http://m.12365auto.com/bbs/postcontent.aspx?tID=194554")</f>
        <v>http://m.12365auto.com/bbs/postcontent.aspx?tID=194554</v>
      </c>
      <c r="G5188" s="2"/>
      <c r="H5188" s="2" t="s">
        <v>7292</v>
      </c>
      <c r="I5188" s="2" t="s">
        <v>15</v>
      </c>
      <c r="J5188" s="2" t="s">
        <v>2294</v>
      </c>
      <c r="K5188" s="2" t="s">
        <v>7293</v>
      </c>
      <c r="L5188" s="2">
        <f t="shared" si="81"/>
        <v>150</v>
      </c>
    </row>
    <row r="5189" spans="1:12" ht="25" customHeight="1">
      <c r="A5189" s="2" t="s">
        <v>12</v>
      </c>
      <c r="B5189" s="2" t="str">
        <f>HYPERLINK("http://bbs.12365auto.com/postcontent.aspx?tID=194554","做个晒车狂魔 因为爱所以爱")</f>
        <v>做个晒车狂魔 因为爱所以爱</v>
      </c>
      <c r="C5189" s="2" t="s">
        <v>13</v>
      </c>
      <c r="D5189" s="2" t="s">
        <v>12</v>
      </c>
      <c r="E5189" s="2" t="s">
        <v>214</v>
      </c>
      <c r="F5189" s="2" t="str">
        <f>HYPERLINK("http://bbs.12365auto.com/postcontent.aspx?tID=194554","http://bbs.12365auto.com/postcontent.aspx?tID=194554")</f>
        <v>http://bbs.12365auto.com/postcontent.aspx?tID=194554</v>
      </c>
      <c r="G5189" s="2"/>
      <c r="H5189" s="2" t="s">
        <v>7294</v>
      </c>
      <c r="I5189" s="2" t="s">
        <v>15</v>
      </c>
      <c r="J5189" s="2" t="s">
        <v>2294</v>
      </c>
      <c r="K5189" s="2" t="s">
        <v>7293</v>
      </c>
      <c r="L5189" s="2">
        <f t="shared" si="81"/>
        <v>150</v>
      </c>
    </row>
    <row r="5190" spans="1:12" ht="25" customHeight="1">
      <c r="A5190" s="2" t="s">
        <v>12</v>
      </c>
      <c r="B5190" s="2" t="str">
        <f>HYPERLINK("http://m.12365auto.com/topic/20200219/419007.shtml","车内环保专委会参与疫情防控阻击战")</f>
        <v>车内环保专委会参与疫情防控阻击战</v>
      </c>
      <c r="C5190" s="2" t="s">
        <v>13</v>
      </c>
      <c r="D5190" s="2" t="s">
        <v>12</v>
      </c>
      <c r="E5190" s="2"/>
      <c r="F5190" s="2" t="str">
        <f>HYPERLINK("http://m.12365auto.com/topic/20200219/419007.shtml","http://m.12365auto.com/topic/20200219/419007.shtml")</f>
        <v>http://m.12365auto.com/topic/20200219/419007.shtml</v>
      </c>
      <c r="G5190" s="2"/>
      <c r="H5190" s="2" t="s">
        <v>7295</v>
      </c>
      <c r="I5190" s="2" t="s">
        <v>19</v>
      </c>
      <c r="J5190" s="2" t="s">
        <v>12</v>
      </c>
      <c r="K5190" s="2" t="s">
        <v>7296</v>
      </c>
      <c r="L5190" s="2">
        <f t="shared" si="81"/>
        <v>150</v>
      </c>
    </row>
    <row r="5191" spans="1:12" ht="25" customHeight="1">
      <c r="A5191" s="2" t="s">
        <v>12</v>
      </c>
      <c r="B5191" s="2" t="str">
        <f>HYPERLINK("http://www.12365auto.com/zlts/20200219/447810.shtml","上汽大众帕萨特A柱强度不够 前轮异响")</f>
        <v>上汽大众帕萨特A柱强度不够 前轮异响</v>
      </c>
      <c r="C5191" s="2" t="s">
        <v>13</v>
      </c>
      <c r="D5191" s="2" t="s">
        <v>12</v>
      </c>
      <c r="E5191" s="2" t="s">
        <v>17</v>
      </c>
      <c r="F5191" s="2" t="str">
        <f>HYPERLINK("http://www.12365auto.com/zlts/20200219/447810.shtml","http://www.12365auto.com/zlts/20200219/447810.shtml")</f>
        <v>http://www.12365auto.com/zlts/20200219/447810.shtml</v>
      </c>
      <c r="G5191" s="2"/>
      <c r="H5191" s="2" t="s">
        <v>7297</v>
      </c>
      <c r="I5191" s="2" t="s">
        <v>19</v>
      </c>
      <c r="J5191" s="2" t="s">
        <v>12</v>
      </c>
      <c r="K5191" s="2" t="s">
        <v>7298</v>
      </c>
      <c r="L5191" s="2">
        <f t="shared" si="81"/>
        <v>150</v>
      </c>
    </row>
    <row r="5192" spans="1:12" ht="25" customHeight="1">
      <c r="A5192" s="2" t="s">
        <v>12</v>
      </c>
      <c r="B5192" s="2" t="str">
        <f>HYPERLINK("http://www.12365auto.com/zlts/20200219/447808.shtml","上汽荣威350发动机缺缸 无法启动")</f>
        <v>上汽荣威350发动机缺缸 无法启动</v>
      </c>
      <c r="C5192" s="2" t="s">
        <v>13</v>
      </c>
      <c r="D5192" s="2" t="s">
        <v>12</v>
      </c>
      <c r="E5192" s="2" t="s">
        <v>17</v>
      </c>
      <c r="F5192" s="2" t="str">
        <f>HYPERLINK("http://www.12365auto.com/zlts/20200219/447808.shtml","http://www.12365auto.com/zlts/20200219/447808.shtml")</f>
        <v>http://www.12365auto.com/zlts/20200219/447808.shtml</v>
      </c>
      <c r="G5192" s="2"/>
      <c r="H5192" s="2" t="s">
        <v>7299</v>
      </c>
      <c r="I5192" s="2" t="s">
        <v>19</v>
      </c>
      <c r="J5192" s="2" t="s">
        <v>12</v>
      </c>
      <c r="K5192" s="2" t="s">
        <v>7300</v>
      </c>
      <c r="L5192" s="2">
        <f t="shared" si="81"/>
        <v>150</v>
      </c>
    </row>
    <row r="5193" spans="1:12" ht="25" customHeight="1">
      <c r="A5193" s="2" t="s">
        <v>12</v>
      </c>
      <c r="B5193" s="2" t="str">
        <f>HYPERLINK("http://www.12365auto.com/zlts/20200219/447805.shtml","广汽菲亚特菲翔蓝牙连接异常影响使用")</f>
        <v>广汽菲亚特菲翔蓝牙连接异常影响使用</v>
      </c>
      <c r="C5193" s="2" t="s">
        <v>13</v>
      </c>
      <c r="D5193" s="2" t="s">
        <v>12</v>
      </c>
      <c r="E5193" s="2" t="s">
        <v>17</v>
      </c>
      <c r="F5193" s="2" t="str">
        <f>HYPERLINK("http://www.12365auto.com/zlts/20200219/447805.shtml","http://www.12365auto.com/zlts/20200219/447805.shtml")</f>
        <v>http://www.12365auto.com/zlts/20200219/447805.shtml</v>
      </c>
      <c r="G5193" s="2"/>
      <c r="H5193" s="2" t="s">
        <v>7301</v>
      </c>
      <c r="I5193" s="2" t="s">
        <v>15</v>
      </c>
      <c r="J5193" s="2" t="s">
        <v>12</v>
      </c>
      <c r="K5193" s="2" t="s">
        <v>7302</v>
      </c>
      <c r="L5193" s="2">
        <f t="shared" si="81"/>
        <v>150</v>
      </c>
    </row>
    <row r="5194" spans="1:12" ht="25" customHeight="1">
      <c r="A5194" s="2" t="s">
        <v>12</v>
      </c>
      <c r="B5194" s="2" t="str">
        <f>HYPERLINK("http://www.12365auto.com/zlts/20200219/447806.shtml","长安睿骋胎压监测故障灯亮希望厂家处理")</f>
        <v>长安睿骋胎压监测故障灯亮希望厂家处理</v>
      </c>
      <c r="C5194" s="2" t="s">
        <v>13</v>
      </c>
      <c r="D5194" s="2" t="s">
        <v>12</v>
      </c>
      <c r="E5194" s="2" t="s">
        <v>17</v>
      </c>
      <c r="F5194" s="2" t="str">
        <f>HYPERLINK("http://www.12365auto.com/zlts/20200219/447806.shtml","http://www.12365auto.com/zlts/20200219/447806.shtml")</f>
        <v>http://www.12365auto.com/zlts/20200219/447806.shtml</v>
      </c>
      <c r="G5194" s="2"/>
      <c r="H5194" s="2" t="s">
        <v>7303</v>
      </c>
      <c r="I5194" s="2" t="s">
        <v>19</v>
      </c>
      <c r="J5194" s="2" t="s">
        <v>12</v>
      </c>
      <c r="K5194" s="2" t="s">
        <v>7302</v>
      </c>
      <c r="L5194" s="2">
        <f t="shared" si="81"/>
        <v>150</v>
      </c>
    </row>
    <row r="5195" spans="1:12" ht="25" customHeight="1">
      <c r="A5195" s="2" t="s">
        <v>12</v>
      </c>
      <c r="B5195" s="2" t="str">
        <f>HYPERLINK("http://www.12365auto.com/zlts/20200219/447803.shtml","吉利远景X3贷款收取违约金与销售承诺不符")</f>
        <v>吉利远景X3贷款收取违约金与销售承诺不符</v>
      </c>
      <c r="C5195" s="2" t="s">
        <v>13</v>
      </c>
      <c r="D5195" s="2" t="s">
        <v>12</v>
      </c>
      <c r="E5195" s="2" t="s">
        <v>17</v>
      </c>
      <c r="F5195" s="2" t="str">
        <f>HYPERLINK("http://www.12365auto.com/zlts/20200219/447803.shtml","http://www.12365auto.com/zlts/20200219/447803.shtml")</f>
        <v>http://www.12365auto.com/zlts/20200219/447803.shtml</v>
      </c>
      <c r="G5195" s="2"/>
      <c r="H5195" s="2" t="s">
        <v>7304</v>
      </c>
      <c r="I5195" s="2" t="s">
        <v>15</v>
      </c>
      <c r="J5195" s="2" t="s">
        <v>12</v>
      </c>
      <c r="K5195" s="2" t="s">
        <v>7305</v>
      </c>
      <c r="L5195" s="2">
        <f t="shared" si="81"/>
        <v>150</v>
      </c>
    </row>
    <row r="5196" spans="1:12" ht="25" customHeight="1">
      <c r="A5196" s="2" t="s">
        <v>12</v>
      </c>
      <c r="B5196" s="2" t="str">
        <f>HYPERLINK("http://www.12365auto.com/zlts/20200219/447802.shtml","上汽大众帕萨特A柱碰撞测试不合格")</f>
        <v>上汽大众帕萨特A柱碰撞测试不合格</v>
      </c>
      <c r="C5196" s="2" t="s">
        <v>13</v>
      </c>
      <c r="D5196" s="2" t="s">
        <v>12</v>
      </c>
      <c r="E5196" s="2" t="s">
        <v>17</v>
      </c>
      <c r="F5196" s="2" t="str">
        <f>HYPERLINK("http://www.12365auto.com/zlts/20200219/447802.shtml","http://www.12365auto.com/zlts/20200219/447802.shtml")</f>
        <v>http://www.12365auto.com/zlts/20200219/447802.shtml</v>
      </c>
      <c r="G5196" s="2"/>
      <c r="H5196" s="2" t="s">
        <v>7306</v>
      </c>
      <c r="I5196" s="2" t="s">
        <v>15</v>
      </c>
      <c r="J5196" s="2" t="s">
        <v>12</v>
      </c>
      <c r="K5196" s="2" t="s">
        <v>7307</v>
      </c>
      <c r="L5196" s="2">
        <f t="shared" si="81"/>
        <v>150</v>
      </c>
    </row>
    <row r="5197" spans="1:12" ht="25" customHeight="1">
      <c r="A5197" s="2" t="s">
        <v>12</v>
      </c>
      <c r="B5197" s="2" t="str">
        <f>HYPERLINK("http://bbs.12365auto.com/postcontent.aspx?tID=194553","帕萨特早期车主小表用车心得感受")</f>
        <v>帕萨特早期车主小表用车心得感受</v>
      </c>
      <c r="C5197" s="2" t="s">
        <v>13</v>
      </c>
      <c r="D5197" s="2" t="s">
        <v>12</v>
      </c>
      <c r="E5197" s="2" t="s">
        <v>1393</v>
      </c>
      <c r="F5197" s="2" t="str">
        <f>HYPERLINK("http://bbs.12365auto.com/postcontent.aspx?tID=194553","http://bbs.12365auto.com/postcontent.aspx?tID=194553")</f>
        <v>http://bbs.12365auto.com/postcontent.aspx?tID=194553</v>
      </c>
      <c r="G5197" s="2"/>
      <c r="H5197" s="2" t="s">
        <v>7308</v>
      </c>
      <c r="I5197" s="2" t="s">
        <v>15</v>
      </c>
      <c r="J5197" s="2" t="s">
        <v>2311</v>
      </c>
      <c r="K5197" s="2" t="s">
        <v>7309</v>
      </c>
      <c r="L5197" s="2">
        <f t="shared" si="81"/>
        <v>150</v>
      </c>
    </row>
    <row r="5198" spans="1:12" ht="25" customHeight="1">
      <c r="A5198" s="2" t="s">
        <v>12</v>
      </c>
      <c r="B5198" s="2" t="str">
        <f>HYPERLINK("http://bbs.12365auto.com/postcontent.aspx?tId=194553","帕萨特早期车主小表用车心得感受")</f>
        <v>帕萨特早期车主小表用车心得感受</v>
      </c>
      <c r="C5198" s="2" t="s">
        <v>13</v>
      </c>
      <c r="D5198" s="2" t="s">
        <v>12</v>
      </c>
      <c r="E5198" s="2" t="s">
        <v>1397</v>
      </c>
      <c r="F5198" s="2" t="str">
        <f>HYPERLINK("http://bbs.12365auto.com/postcontent.aspx?tId=194553","http://bbs.12365auto.com/postcontent.aspx?tId=194553")</f>
        <v>http://bbs.12365auto.com/postcontent.aspx?tId=194553</v>
      </c>
      <c r="G5198" s="2"/>
      <c r="H5198" s="2" t="s">
        <v>7310</v>
      </c>
      <c r="I5198" s="2" t="s">
        <v>15</v>
      </c>
      <c r="J5198" s="2" t="s">
        <v>2311</v>
      </c>
      <c r="K5198" s="2" t="s">
        <v>7309</v>
      </c>
      <c r="L5198" s="2">
        <f t="shared" si="81"/>
        <v>150</v>
      </c>
    </row>
    <row r="5199" spans="1:12" ht="25" customHeight="1">
      <c r="A5199" s="2" t="s">
        <v>12</v>
      </c>
      <c r="B5199" s="2" t="str">
        <f>HYPERLINK("http://m.12365auto.com/bbs/postcontent.aspx?tID=194553","帕萨特早期车主小表用车心得感受")</f>
        <v>帕萨特早期车主小表用车心得感受</v>
      </c>
      <c r="C5199" s="2" t="s">
        <v>13</v>
      </c>
      <c r="D5199" s="2" t="s">
        <v>23</v>
      </c>
      <c r="E5199" s="2"/>
      <c r="F5199" s="2" t="str">
        <f>HYPERLINK("http://m.12365auto.com/bbs/postcontent.aspx?tID=194553","http://m.12365auto.com/bbs/postcontent.aspx?tID=194553")</f>
        <v>http://m.12365auto.com/bbs/postcontent.aspx?tID=194553</v>
      </c>
      <c r="G5199" s="2"/>
      <c r="H5199" s="2" t="s">
        <v>7310</v>
      </c>
      <c r="I5199" s="2" t="s">
        <v>15</v>
      </c>
      <c r="J5199" s="2" t="s">
        <v>2311</v>
      </c>
      <c r="K5199" s="2" t="s">
        <v>7309</v>
      </c>
      <c r="L5199" s="2">
        <f t="shared" si="81"/>
        <v>150</v>
      </c>
    </row>
    <row r="5200" spans="1:12" ht="25" customHeight="1">
      <c r="A5200" s="2" t="s">
        <v>12</v>
      </c>
      <c r="B5200" s="2" t="str">
        <f>HYPERLINK("http://bbs.12365auto.com/postcontent.aspx?tID=194552","说说帕萨特的一些使用小技巧")</f>
        <v>说说帕萨特的一些使用小技巧</v>
      </c>
      <c r="C5200" s="2" t="s">
        <v>13</v>
      </c>
      <c r="D5200" s="2" t="s">
        <v>12</v>
      </c>
      <c r="E5200" s="2" t="s">
        <v>1393</v>
      </c>
      <c r="F5200" s="2" t="str">
        <f>HYPERLINK("http://bbs.12365auto.com/postcontent.aspx?tID=194552","http://bbs.12365auto.com/postcontent.aspx?tID=194552")</f>
        <v>http://bbs.12365auto.com/postcontent.aspx?tID=194552</v>
      </c>
      <c r="G5200" s="2"/>
      <c r="H5200" s="2" t="s">
        <v>7311</v>
      </c>
      <c r="I5200" s="2" t="s">
        <v>15</v>
      </c>
      <c r="J5200" s="2" t="s">
        <v>5745</v>
      </c>
      <c r="K5200" s="2" t="s">
        <v>7312</v>
      </c>
      <c r="L5200" s="2">
        <f t="shared" si="81"/>
        <v>150</v>
      </c>
    </row>
    <row r="5201" spans="1:12" ht="25" customHeight="1">
      <c r="A5201" s="2" t="s">
        <v>12</v>
      </c>
      <c r="B5201" s="2" t="str">
        <f>HYPERLINK("http://bbs.12365auto.com/postcontent.aspx?tId=194552","说说帕萨特的一些使用小技巧")</f>
        <v>说说帕萨特的一些使用小技巧</v>
      </c>
      <c r="C5201" s="2" t="s">
        <v>13</v>
      </c>
      <c r="D5201" s="2" t="s">
        <v>12</v>
      </c>
      <c r="E5201" s="2" t="s">
        <v>1397</v>
      </c>
      <c r="F5201" s="2" t="str">
        <f>HYPERLINK("http://bbs.12365auto.com/postcontent.aspx?tId=194552","http://bbs.12365auto.com/postcontent.aspx?tId=194552")</f>
        <v>http://bbs.12365auto.com/postcontent.aspx?tId=194552</v>
      </c>
      <c r="G5201" s="2"/>
      <c r="H5201" s="2" t="s">
        <v>7313</v>
      </c>
      <c r="I5201" s="2" t="s">
        <v>15</v>
      </c>
      <c r="J5201" s="2" t="s">
        <v>5745</v>
      </c>
      <c r="K5201" s="2" t="s">
        <v>7312</v>
      </c>
      <c r="L5201" s="2">
        <f t="shared" si="81"/>
        <v>150</v>
      </c>
    </row>
    <row r="5202" spans="1:12" ht="25" customHeight="1">
      <c r="A5202" s="2" t="s">
        <v>12</v>
      </c>
      <c r="B5202" s="2" t="str">
        <f>HYPERLINK("http://m.12365auto.com/bbs/postcontent.aspx?tID=194552","说说帕萨特的一些使用小技巧")</f>
        <v>说说帕萨特的一些使用小技巧</v>
      </c>
      <c r="C5202" s="2" t="s">
        <v>13</v>
      </c>
      <c r="D5202" s="2" t="s">
        <v>23</v>
      </c>
      <c r="E5202" s="2"/>
      <c r="F5202" s="2" t="str">
        <f>HYPERLINK("http://m.12365auto.com/bbs/postcontent.aspx?tID=194552","http://m.12365auto.com/bbs/postcontent.aspx?tID=194552")</f>
        <v>http://m.12365auto.com/bbs/postcontent.aspx?tID=194552</v>
      </c>
      <c r="G5202" s="2"/>
      <c r="H5202" s="2" t="s">
        <v>7313</v>
      </c>
      <c r="I5202" s="2" t="s">
        <v>15</v>
      </c>
      <c r="J5202" s="2" t="s">
        <v>5745</v>
      </c>
      <c r="K5202" s="2" t="s">
        <v>7312</v>
      </c>
      <c r="L5202" s="2">
        <f t="shared" si="81"/>
        <v>150</v>
      </c>
    </row>
    <row r="5203" spans="1:12" ht="25" customHeight="1">
      <c r="A5203" s="2" t="s">
        <v>12</v>
      </c>
      <c r="B5203" s="2" t="str">
        <f>HYPERLINK("http://bbs.12365auto.com/postcontent.aspx?tID=194551","新帕萨特提车4个月咯 第一次感觉德系这么省油")</f>
        <v>新帕萨特提车4个月咯 第一次感觉德系这么省油</v>
      </c>
      <c r="C5203" s="2" t="s">
        <v>13</v>
      </c>
      <c r="D5203" s="2" t="s">
        <v>12</v>
      </c>
      <c r="E5203" s="2" t="s">
        <v>214</v>
      </c>
      <c r="F5203" s="2" t="str">
        <f>HYPERLINK("http://bbs.12365auto.com/postcontent.aspx?tID=194551","http://bbs.12365auto.com/postcontent.aspx?tID=194551")</f>
        <v>http://bbs.12365auto.com/postcontent.aspx?tID=194551</v>
      </c>
      <c r="G5203" s="2"/>
      <c r="H5203" s="2" t="s">
        <v>7314</v>
      </c>
      <c r="I5203" s="2" t="s">
        <v>15</v>
      </c>
      <c r="J5203" s="2" t="s">
        <v>2821</v>
      </c>
      <c r="K5203" s="2" t="s">
        <v>7315</v>
      </c>
      <c r="L5203" s="2">
        <f t="shared" si="81"/>
        <v>150</v>
      </c>
    </row>
    <row r="5204" spans="1:12" ht="25" customHeight="1">
      <c r="A5204" s="2" t="s">
        <v>12</v>
      </c>
      <c r="B5204" s="2" t="str">
        <f>HYPERLINK("http://bbs.12365auto.com/postcontent.aspx?tId=194551","新帕萨特提车4个月咯 第一次感觉德系这么省油")</f>
        <v>新帕萨特提车4个月咯 第一次感觉德系这么省油</v>
      </c>
      <c r="C5204" s="2" t="s">
        <v>13</v>
      </c>
      <c r="D5204" s="2" t="s">
        <v>12</v>
      </c>
      <c r="E5204" s="2" t="s">
        <v>210</v>
      </c>
      <c r="F5204" s="2" t="str">
        <f>HYPERLINK("http://bbs.12365auto.com/postcontent.aspx?tId=194551","http://bbs.12365auto.com/postcontent.aspx?tId=194551")</f>
        <v>http://bbs.12365auto.com/postcontent.aspx?tId=194551</v>
      </c>
      <c r="G5204" s="2"/>
      <c r="H5204" s="2" t="s">
        <v>7316</v>
      </c>
      <c r="I5204" s="2" t="s">
        <v>15</v>
      </c>
      <c r="J5204" s="2" t="s">
        <v>2821</v>
      </c>
      <c r="K5204" s="2" t="s">
        <v>7315</v>
      </c>
      <c r="L5204" s="2">
        <f t="shared" si="81"/>
        <v>150</v>
      </c>
    </row>
    <row r="5205" spans="1:12" ht="25" customHeight="1">
      <c r="A5205" s="2" t="s">
        <v>12</v>
      </c>
      <c r="B5205" s="2" t="str">
        <f>HYPERLINK("http://m.12365auto.com/bbs/postcontent.aspx?tID=194551","新帕萨特提车4个月咯 第一次感觉德系这么省油")</f>
        <v>新帕萨特提车4个月咯 第一次感觉德系这么省油</v>
      </c>
      <c r="C5205" s="2" t="s">
        <v>13</v>
      </c>
      <c r="D5205" s="2" t="s">
        <v>23</v>
      </c>
      <c r="E5205" s="2"/>
      <c r="F5205" s="2" t="str">
        <f>HYPERLINK("http://m.12365auto.com/bbs/postcontent.aspx?tID=194551","http://m.12365auto.com/bbs/postcontent.aspx?tID=194551")</f>
        <v>http://m.12365auto.com/bbs/postcontent.aspx?tID=194551</v>
      </c>
      <c r="G5205" s="2"/>
      <c r="H5205" s="2" t="s">
        <v>7316</v>
      </c>
      <c r="I5205" s="2" t="s">
        <v>15</v>
      </c>
      <c r="J5205" s="2" t="s">
        <v>2821</v>
      </c>
      <c r="K5205" s="2" t="s">
        <v>7315</v>
      </c>
      <c r="L5205" s="2">
        <f t="shared" si="81"/>
        <v>150</v>
      </c>
    </row>
    <row r="5206" spans="1:12" ht="25" customHeight="1">
      <c r="A5206" s="2" t="s">
        <v>12</v>
      </c>
      <c r="B5206" s="2" t="str">
        <f>HYPERLINK("http://www.12365auto.com/zlts/20200219/447798.shtml","上汽大众帕萨特A柱碰撞测试严重变形")</f>
        <v>上汽大众帕萨特A柱碰撞测试严重变形</v>
      </c>
      <c r="C5206" s="2" t="s">
        <v>13</v>
      </c>
      <c r="D5206" s="2" t="s">
        <v>12</v>
      </c>
      <c r="E5206" s="2" t="s">
        <v>17</v>
      </c>
      <c r="F5206" s="2" t="str">
        <f>HYPERLINK("http://www.12365auto.com/zlts/20200219/447798.shtml","http://www.12365auto.com/zlts/20200219/447798.shtml")</f>
        <v>http://www.12365auto.com/zlts/20200219/447798.shtml</v>
      </c>
      <c r="G5206" s="2"/>
      <c r="H5206" s="2" t="s">
        <v>7317</v>
      </c>
      <c r="I5206" s="2" t="s">
        <v>19</v>
      </c>
      <c r="J5206" s="2" t="s">
        <v>12</v>
      </c>
      <c r="K5206" s="2" t="s">
        <v>7318</v>
      </c>
      <c r="L5206" s="2">
        <f t="shared" si="81"/>
        <v>150</v>
      </c>
    </row>
    <row r="5207" spans="1:12" ht="25" customHeight="1">
      <c r="A5207" s="2" t="s">
        <v>12</v>
      </c>
      <c r="B5207" s="2" t="str">
        <f>HYPERLINK("http://www.12365auto.com/zlts/20200219/447797.shtml","东风日产轩逸方向跑偏厂家不解决问题")</f>
        <v>东风日产轩逸方向跑偏厂家不解决问题</v>
      </c>
      <c r="C5207" s="2" t="s">
        <v>13</v>
      </c>
      <c r="D5207" s="2" t="s">
        <v>12</v>
      </c>
      <c r="E5207" s="2" t="s">
        <v>17</v>
      </c>
      <c r="F5207" s="2" t="str">
        <f>HYPERLINK("http://www.12365auto.com/zlts/20200219/447797.shtml","http://www.12365auto.com/zlts/20200219/447797.shtml")</f>
        <v>http://www.12365auto.com/zlts/20200219/447797.shtml</v>
      </c>
      <c r="G5207" s="2"/>
      <c r="H5207" s="2" t="s">
        <v>7319</v>
      </c>
      <c r="I5207" s="2" t="s">
        <v>19</v>
      </c>
      <c r="J5207" s="2" t="s">
        <v>12</v>
      </c>
      <c r="K5207" s="2" t="s">
        <v>7320</v>
      </c>
      <c r="L5207" s="2">
        <f t="shared" si="81"/>
        <v>150</v>
      </c>
    </row>
    <row r="5208" spans="1:12" ht="25" customHeight="1">
      <c r="A5208" s="2" t="s">
        <v>12</v>
      </c>
      <c r="B5208" s="2" t="str">
        <f>HYPERLINK("http://www.12365auto.com/zlts/20200219/447796.shtml","上汽名爵6新能源电瓶亏电导致无法启动")</f>
        <v>上汽名爵6新能源电瓶亏电导致无法启动</v>
      </c>
      <c r="C5208" s="2" t="s">
        <v>13</v>
      </c>
      <c r="D5208" s="2" t="s">
        <v>12</v>
      </c>
      <c r="E5208" s="2" t="s">
        <v>17</v>
      </c>
      <c r="F5208" s="2" t="str">
        <f>HYPERLINK("http://www.12365auto.com/zlts/20200219/447796.shtml","http://www.12365auto.com/zlts/20200219/447796.shtml")</f>
        <v>http://www.12365auto.com/zlts/20200219/447796.shtml</v>
      </c>
      <c r="G5208" s="2"/>
      <c r="H5208" s="2" t="s">
        <v>7321</v>
      </c>
      <c r="I5208" s="2" t="s">
        <v>19</v>
      </c>
      <c r="J5208" s="2" t="s">
        <v>12</v>
      </c>
      <c r="K5208" s="2" t="s">
        <v>7322</v>
      </c>
      <c r="L5208" s="2">
        <f t="shared" si="81"/>
        <v>150</v>
      </c>
    </row>
    <row r="5209" spans="1:12" ht="25" customHeight="1">
      <c r="A5209" s="2" t="s">
        <v>12</v>
      </c>
      <c r="B5209" s="2" t="str">
        <f>HYPERLINK("http://www.12365auto.com/zlts/20200219/447795.shtml","上汽大众帕萨特A柱偷工减料存在安全隐患")</f>
        <v>上汽大众帕萨特A柱偷工减料存在安全隐患</v>
      </c>
      <c r="C5209" s="2" t="s">
        <v>13</v>
      </c>
      <c r="D5209" s="2" t="s">
        <v>12</v>
      </c>
      <c r="E5209" s="2" t="s">
        <v>17</v>
      </c>
      <c r="F5209" s="2" t="str">
        <f>HYPERLINK("http://www.12365auto.com/zlts/20200219/447795.shtml","http://www.12365auto.com/zlts/20200219/447795.shtml")</f>
        <v>http://www.12365auto.com/zlts/20200219/447795.shtml</v>
      </c>
      <c r="G5209" s="2"/>
      <c r="H5209" s="2" t="s">
        <v>7323</v>
      </c>
      <c r="I5209" s="2" t="s">
        <v>19</v>
      </c>
      <c r="J5209" s="2" t="s">
        <v>12</v>
      </c>
      <c r="K5209" s="2" t="s">
        <v>7324</v>
      </c>
      <c r="L5209" s="2">
        <f t="shared" si="81"/>
        <v>150</v>
      </c>
    </row>
    <row r="5210" spans="1:12" ht="25" customHeight="1">
      <c r="A5210" s="2" t="s">
        <v>12</v>
      </c>
      <c r="B5210" s="2" t="str">
        <f>HYPERLINK("http://www.12365auto.com/zlts/20200219/447794.shtml","领克03使用的固特异轮胎开裂希望厂家处理")</f>
        <v>领克03使用的固特异轮胎开裂希望厂家处理</v>
      </c>
      <c r="C5210" s="2" t="s">
        <v>13</v>
      </c>
      <c r="D5210" s="2" t="s">
        <v>12</v>
      </c>
      <c r="E5210" s="2" t="s">
        <v>17</v>
      </c>
      <c r="F5210" s="2" t="str">
        <f>HYPERLINK("http://www.12365auto.com/zlts/20200219/447794.shtml","http://www.12365auto.com/zlts/20200219/447794.shtml")</f>
        <v>http://www.12365auto.com/zlts/20200219/447794.shtml</v>
      </c>
      <c r="G5210" s="2"/>
      <c r="H5210" s="2" t="s">
        <v>7325</v>
      </c>
      <c r="I5210" s="2" t="s">
        <v>19</v>
      </c>
      <c r="J5210" s="2" t="s">
        <v>12</v>
      </c>
      <c r="K5210" s="2" t="s">
        <v>7326</v>
      </c>
      <c r="L5210" s="2">
        <f t="shared" si="81"/>
        <v>150</v>
      </c>
    </row>
    <row r="5211" spans="1:12" ht="25" customHeight="1">
      <c r="A5211" s="2" t="s">
        <v>12</v>
      </c>
      <c r="B5211" s="2" t="str">
        <f>HYPERLINK("http://www.12365auto.com/zlts/20200219/447793.shtml","华晨宝马3系变速箱故障灯亮无法加速")</f>
        <v>华晨宝马3系变速箱故障灯亮无法加速</v>
      </c>
      <c r="C5211" s="2" t="s">
        <v>13</v>
      </c>
      <c r="D5211" s="2" t="s">
        <v>12</v>
      </c>
      <c r="E5211" s="2" t="s">
        <v>17</v>
      </c>
      <c r="F5211" s="2" t="str">
        <f>HYPERLINK("http://www.12365auto.com/zlts/20200219/447793.shtml","http://www.12365auto.com/zlts/20200219/447793.shtml")</f>
        <v>http://www.12365auto.com/zlts/20200219/447793.shtml</v>
      </c>
      <c r="G5211" s="2"/>
      <c r="H5211" s="2" t="s">
        <v>7327</v>
      </c>
      <c r="I5211" s="2" t="s">
        <v>15</v>
      </c>
      <c r="J5211" s="2" t="s">
        <v>12</v>
      </c>
      <c r="K5211" s="2" t="s">
        <v>7328</v>
      </c>
      <c r="L5211" s="2">
        <f t="shared" si="81"/>
        <v>150</v>
      </c>
    </row>
    <row r="5212" spans="1:12" ht="25" customHeight="1">
      <c r="A5212" s="2" t="s">
        <v>12</v>
      </c>
      <c r="B5212" s="2" t="str">
        <f>HYPERLINK("http://www.12365auto.com/zlts/20200219/447792.shtml","华晨中华H230车辆OBD系统故障无法验车")</f>
        <v>华晨中华H230车辆OBD系统故障无法验车</v>
      </c>
      <c r="C5212" s="2" t="s">
        <v>13</v>
      </c>
      <c r="D5212" s="2" t="s">
        <v>12</v>
      </c>
      <c r="E5212" s="2" t="s">
        <v>17</v>
      </c>
      <c r="F5212" s="2" t="str">
        <f>HYPERLINK("http://www.12365auto.com/zlts/20200219/447792.shtml","http://www.12365auto.com/zlts/20200219/447792.shtml")</f>
        <v>http://www.12365auto.com/zlts/20200219/447792.shtml</v>
      </c>
      <c r="G5212" s="2"/>
      <c r="H5212" s="2" t="s">
        <v>7329</v>
      </c>
      <c r="I5212" s="2" t="s">
        <v>19</v>
      </c>
      <c r="J5212" s="2" t="s">
        <v>12</v>
      </c>
      <c r="K5212" s="2" t="s">
        <v>7330</v>
      </c>
      <c r="L5212" s="2">
        <f t="shared" si="81"/>
        <v>150</v>
      </c>
    </row>
    <row r="5213" spans="1:12" ht="25" customHeight="1">
      <c r="A5213" s="2" t="s">
        <v>12</v>
      </c>
      <c r="B5213" s="2" t="str">
        <f>HYPERLINK("http://www.12365auto.com/zlts/20200219/447791.shtml","一汽大众捷达发动机机油异常消耗")</f>
        <v>一汽大众捷达发动机机油异常消耗</v>
      </c>
      <c r="C5213" s="2" t="s">
        <v>13</v>
      </c>
      <c r="D5213" s="2" t="s">
        <v>12</v>
      </c>
      <c r="E5213" s="2" t="s">
        <v>17</v>
      </c>
      <c r="F5213" s="2" t="str">
        <f>HYPERLINK("http://www.12365auto.com/zlts/20200219/447791.shtml","http://www.12365auto.com/zlts/20200219/447791.shtml")</f>
        <v>http://www.12365auto.com/zlts/20200219/447791.shtml</v>
      </c>
      <c r="G5213" s="2"/>
      <c r="H5213" s="2" t="s">
        <v>7331</v>
      </c>
      <c r="I5213" s="2" t="s">
        <v>15</v>
      </c>
      <c r="J5213" s="2" t="s">
        <v>12</v>
      </c>
      <c r="K5213" s="2" t="s">
        <v>7332</v>
      </c>
      <c r="L5213" s="2">
        <f t="shared" si="81"/>
        <v>150</v>
      </c>
    </row>
    <row r="5214" spans="1:12" ht="25" customHeight="1">
      <c r="A5214" s="2" t="s">
        <v>12</v>
      </c>
      <c r="B5214" s="2" t="str">
        <f>HYPERLINK("http://www.12365auto.com/zlts/20200219/447790.shtml","上汽通用五菱宏光车身抖动后发动机熄火")</f>
        <v>上汽通用五菱宏光车身抖动后发动机熄火</v>
      </c>
      <c r="C5214" s="2" t="s">
        <v>13</v>
      </c>
      <c r="D5214" s="2" t="s">
        <v>12</v>
      </c>
      <c r="E5214" s="2" t="s">
        <v>17</v>
      </c>
      <c r="F5214" s="2" t="str">
        <f>HYPERLINK("http://www.12365auto.com/zlts/20200219/447790.shtml","http://www.12365auto.com/zlts/20200219/447790.shtml")</f>
        <v>http://www.12365auto.com/zlts/20200219/447790.shtml</v>
      </c>
      <c r="G5214" s="2"/>
      <c r="H5214" s="2" t="s">
        <v>7333</v>
      </c>
      <c r="I5214" s="2" t="s">
        <v>19</v>
      </c>
      <c r="J5214" s="2" t="s">
        <v>12</v>
      </c>
      <c r="K5214" s="2" t="s">
        <v>7334</v>
      </c>
      <c r="L5214" s="2">
        <f t="shared" si="81"/>
        <v>150</v>
      </c>
    </row>
    <row r="5215" spans="1:12" ht="25" customHeight="1">
      <c r="A5215" s="2" t="s">
        <v>12</v>
      </c>
      <c r="B5215" s="2" t="str">
        <f>HYPERLINK("http://m.12365auto.com/zjdy/20200219/121410.shtml","车辆出现问题4S店一直告知正常怎么办？")</f>
        <v>车辆出现问题4S店一直告知正常怎么办？</v>
      </c>
      <c r="C5215" s="2" t="s">
        <v>13</v>
      </c>
      <c r="D5215" s="2" t="s">
        <v>12</v>
      </c>
      <c r="E5215" s="2"/>
      <c r="F5215" s="2" t="str">
        <f>HYPERLINK("http://m.12365auto.com/zjdy/20200219/121410.shtml","http://m.12365auto.com/zjdy/20200219/121410.shtml")</f>
        <v>http://m.12365auto.com/zjdy/20200219/121410.shtml</v>
      </c>
      <c r="G5215" s="2"/>
      <c r="H5215" s="2" t="s">
        <v>7335</v>
      </c>
      <c r="I5215" s="2" t="s">
        <v>19</v>
      </c>
      <c r="J5215" s="2" t="s">
        <v>12</v>
      </c>
      <c r="K5215" s="2" t="s">
        <v>7336</v>
      </c>
      <c r="L5215" s="2">
        <f t="shared" si="81"/>
        <v>73</v>
      </c>
    </row>
    <row r="5216" spans="1:12" ht="25" customHeight="1">
      <c r="A5216" s="2" t="s">
        <v>12</v>
      </c>
      <c r="B5216" s="2" t="str">
        <f>HYPERLINK("http://m.12365auto.com/zjdy/20200219/121409.shtml","名爵ZS手动挡挂倒挡异响是什么原因？")</f>
        <v>名爵ZS手动挡挂倒挡异响是什么原因？</v>
      </c>
      <c r="C5216" s="2" t="s">
        <v>13</v>
      </c>
      <c r="D5216" s="2" t="s">
        <v>12</v>
      </c>
      <c r="E5216" s="2"/>
      <c r="F5216" s="2" t="str">
        <f>HYPERLINK("http://m.12365auto.com/zjdy/20200219/121409.shtml","http://m.12365auto.com/zjdy/20200219/121409.shtml")</f>
        <v>http://m.12365auto.com/zjdy/20200219/121409.shtml</v>
      </c>
      <c r="G5216" s="2"/>
      <c r="H5216" s="2" t="s">
        <v>7337</v>
      </c>
      <c r="I5216" s="2" t="s">
        <v>19</v>
      </c>
      <c r="J5216" s="2" t="s">
        <v>12</v>
      </c>
      <c r="K5216" s="2" t="s">
        <v>7338</v>
      </c>
      <c r="L5216" s="2">
        <f t="shared" si="81"/>
        <v>20</v>
      </c>
    </row>
    <row r="5217" spans="1:12" ht="25" customHeight="1">
      <c r="A5217" s="2" t="s">
        <v>12</v>
      </c>
      <c r="B5217" s="2" t="str">
        <f>HYPERLINK("http://www.12365auto.com/zlts/20200219/447787.shtml","吉利嘉际新能源轮毂内侧有裂痕导致漏气")</f>
        <v>吉利嘉际新能源轮毂内侧有裂痕导致漏气</v>
      </c>
      <c r="C5217" s="2" t="s">
        <v>13</v>
      </c>
      <c r="D5217" s="2" t="s">
        <v>12</v>
      </c>
      <c r="E5217" s="2" t="s">
        <v>17</v>
      </c>
      <c r="F5217" s="2" t="str">
        <f>HYPERLINK("http://www.12365auto.com/zlts/20200219/447787.shtml","http://www.12365auto.com/zlts/20200219/447787.shtml")</f>
        <v>http://www.12365auto.com/zlts/20200219/447787.shtml</v>
      </c>
      <c r="G5217" s="2"/>
      <c r="H5217" s="2" t="s">
        <v>7339</v>
      </c>
      <c r="I5217" s="2" t="s">
        <v>19</v>
      </c>
      <c r="J5217" s="2" t="s">
        <v>12</v>
      </c>
      <c r="K5217" s="2" t="s">
        <v>7340</v>
      </c>
      <c r="L5217" s="2">
        <f t="shared" si="81"/>
        <v>150</v>
      </c>
    </row>
    <row r="5218" spans="1:12" ht="25" customHeight="1">
      <c r="A5218" s="2" t="s">
        <v>12</v>
      </c>
      <c r="B5218" s="2" t="str">
        <f>HYPERLINK("http://www.12365auto.com/zlts/20200219/447784.shtml","上汽名爵ZS中控触摸屏黑屏希望厂家处理")</f>
        <v>上汽名爵ZS中控触摸屏黑屏希望厂家处理</v>
      </c>
      <c r="C5218" s="2" t="s">
        <v>13</v>
      </c>
      <c r="D5218" s="2" t="s">
        <v>12</v>
      </c>
      <c r="E5218" s="2" t="s">
        <v>17</v>
      </c>
      <c r="F5218" s="2" t="str">
        <f>HYPERLINK("http://www.12365auto.com/zlts/20200219/447784.shtml","http://www.12365auto.com/zlts/20200219/447784.shtml")</f>
        <v>http://www.12365auto.com/zlts/20200219/447784.shtml</v>
      </c>
      <c r="G5218" s="2"/>
      <c r="H5218" s="2" t="s">
        <v>7341</v>
      </c>
      <c r="I5218" s="2" t="s">
        <v>19</v>
      </c>
      <c r="J5218" s="2" t="s">
        <v>12</v>
      </c>
      <c r="K5218" s="2" t="s">
        <v>7342</v>
      </c>
      <c r="L5218" s="2">
        <f t="shared" si="81"/>
        <v>150</v>
      </c>
    </row>
    <row r="5219" spans="1:12" ht="25" customHeight="1">
      <c r="A5219" s="2" t="s">
        <v>12</v>
      </c>
      <c r="B5219" s="2" t="str">
        <f>HYPERLINK("http://www.12365auto.com/zlts/20200219/447776.shtml","北京现代ix35电瓶频繁亏电疑似漏电")</f>
        <v>北京现代ix35电瓶频繁亏电疑似漏电</v>
      </c>
      <c r="C5219" s="2" t="s">
        <v>13</v>
      </c>
      <c r="D5219" s="2" t="s">
        <v>12</v>
      </c>
      <c r="E5219" s="2"/>
      <c r="F5219" s="2" t="str">
        <f>HYPERLINK("http://www.12365auto.com/zlts/20200219/447776.shtml","http://www.12365auto.com/zlts/20200219/447776.shtml")</f>
        <v>http://www.12365auto.com/zlts/20200219/447776.shtml</v>
      </c>
      <c r="G5219" s="2"/>
      <c r="H5219" s="2" t="s">
        <v>7344</v>
      </c>
      <c r="I5219" s="2" t="s">
        <v>15</v>
      </c>
      <c r="J5219" s="2" t="s">
        <v>12</v>
      </c>
      <c r="K5219" s="2" t="s">
        <v>7343</v>
      </c>
      <c r="L5219" s="2">
        <f t="shared" si="81"/>
        <v>94</v>
      </c>
    </row>
    <row r="5220" spans="1:12" ht="25" customHeight="1">
      <c r="A5220" s="2" t="s">
        <v>12</v>
      </c>
      <c r="B5220" s="2" t="str">
        <f>HYPERLINK("http://www.12365auto.com/zlts/20200219/447782.shtml","上汽名爵HS电瓶亏电两次导致车辆无法启动")</f>
        <v>上汽名爵HS电瓶亏电两次导致车辆无法启动</v>
      </c>
      <c r="C5220" s="2" t="s">
        <v>13</v>
      </c>
      <c r="D5220" s="2" t="s">
        <v>12</v>
      </c>
      <c r="E5220" s="2" t="s">
        <v>17</v>
      </c>
      <c r="F5220" s="2" t="str">
        <f>HYPERLINK("http://www.12365auto.com/zlts/20200219/447782.shtml","http://www.12365auto.com/zlts/20200219/447782.shtml")</f>
        <v>http://www.12365auto.com/zlts/20200219/447782.shtml</v>
      </c>
      <c r="G5220" s="2"/>
      <c r="H5220" s="2" t="s">
        <v>7345</v>
      </c>
      <c r="I5220" s="2" t="s">
        <v>19</v>
      </c>
      <c r="J5220" s="2" t="s">
        <v>12</v>
      </c>
      <c r="K5220" s="2" t="s">
        <v>7346</v>
      </c>
      <c r="L5220" s="2">
        <f t="shared" si="81"/>
        <v>150</v>
      </c>
    </row>
    <row r="5221" spans="1:12" ht="25" customHeight="1">
      <c r="A5221" s="2" t="s">
        <v>12</v>
      </c>
      <c r="B5221" s="2" t="str">
        <f>HYPERLINK("http://www.12365auto.com/zlts/20200219/447781.shtml","奔驰GLE发动机报警检测提示变速箱阀体故障")</f>
        <v>奔驰GLE发动机报警检测提示变速箱阀体故障</v>
      </c>
      <c r="C5221" s="2" t="s">
        <v>13</v>
      </c>
      <c r="D5221" s="2" t="s">
        <v>12</v>
      </c>
      <c r="E5221" s="2" t="s">
        <v>17</v>
      </c>
      <c r="F5221" s="2" t="str">
        <f>HYPERLINK("http://www.12365auto.com/zlts/20200219/447781.shtml","http://www.12365auto.com/zlts/20200219/447781.shtml")</f>
        <v>http://www.12365auto.com/zlts/20200219/447781.shtml</v>
      </c>
      <c r="G5221" s="2"/>
      <c r="H5221" s="2" t="s">
        <v>7347</v>
      </c>
      <c r="I5221" s="2" t="s">
        <v>15</v>
      </c>
      <c r="J5221" s="2" t="s">
        <v>12</v>
      </c>
      <c r="K5221" s="2" t="s">
        <v>7346</v>
      </c>
      <c r="L5221" s="2">
        <f t="shared" si="81"/>
        <v>150</v>
      </c>
    </row>
    <row r="5222" spans="1:12" ht="25" customHeight="1">
      <c r="A5222" s="2" t="s">
        <v>12</v>
      </c>
      <c r="B5222" s="2" t="str">
        <f>HYPERLINK("http://m.12365auto.com/zjdy/20200219/121408.shtml","奔腾B50自动挡变速箱挂挡冲击大如何处理？")</f>
        <v>奔腾B50自动挡变速箱挂挡冲击大如何处理？</v>
      </c>
      <c r="C5222" s="2" t="s">
        <v>13</v>
      </c>
      <c r="D5222" s="2" t="s">
        <v>12</v>
      </c>
      <c r="E5222" s="2"/>
      <c r="F5222" s="2" t="str">
        <f>HYPERLINK("http://m.12365auto.com/zjdy/20200219/121408.shtml","http://m.12365auto.com/zjdy/20200219/121408.shtml")</f>
        <v>http://m.12365auto.com/zjdy/20200219/121408.shtml</v>
      </c>
      <c r="G5222" s="2"/>
      <c r="H5222" s="2" t="s">
        <v>7348</v>
      </c>
      <c r="I5222" s="2" t="s">
        <v>19</v>
      </c>
      <c r="J5222" s="2" t="s">
        <v>12</v>
      </c>
      <c r="K5222" s="2" t="s">
        <v>7349</v>
      </c>
      <c r="L5222" s="2">
        <f t="shared" si="81"/>
        <v>28</v>
      </c>
    </row>
    <row r="5223" spans="1:12" ht="25" customHeight="1">
      <c r="A5223" s="2" t="s">
        <v>12</v>
      </c>
      <c r="B5223" s="2" t="str">
        <f>HYPERLINK("http://www.12365auto.com/zlts/20200219/447780.shtml","一汽大众速腾飞轮生锈售后不予质保")</f>
        <v>一汽大众速腾飞轮生锈售后不予质保</v>
      </c>
      <c r="C5223" s="2" t="s">
        <v>13</v>
      </c>
      <c r="D5223" s="2" t="s">
        <v>12</v>
      </c>
      <c r="E5223" s="2" t="s">
        <v>17</v>
      </c>
      <c r="F5223" s="2" t="str">
        <f>HYPERLINK("http://www.12365auto.com/zlts/20200219/447780.shtml","http://www.12365auto.com/zlts/20200219/447780.shtml")</f>
        <v>http://www.12365auto.com/zlts/20200219/447780.shtml</v>
      </c>
      <c r="G5223" s="2"/>
      <c r="H5223" s="2" t="s">
        <v>7350</v>
      </c>
      <c r="I5223" s="2" t="s">
        <v>19</v>
      </c>
      <c r="J5223" s="2" t="s">
        <v>12</v>
      </c>
      <c r="K5223" s="2" t="s">
        <v>7351</v>
      </c>
      <c r="L5223" s="2">
        <f t="shared" si="81"/>
        <v>150</v>
      </c>
    </row>
    <row r="5224" spans="1:12" ht="25" customHeight="1">
      <c r="A5224" s="2" t="s">
        <v>12</v>
      </c>
      <c r="B5224" s="2" t="str">
        <f>HYPERLINK("http://m.12365auto.com/zjdy/20200219/121407.shtml","绅宝X35经常出现ESP故障码如何解决？")</f>
        <v>绅宝X35经常出现ESP故障码如何解决？</v>
      </c>
      <c r="C5224" s="2" t="s">
        <v>13</v>
      </c>
      <c r="D5224" s="2" t="s">
        <v>12</v>
      </c>
      <c r="E5224" s="2"/>
      <c r="F5224" s="2" t="str">
        <f>HYPERLINK("http://m.12365auto.com/zjdy/20200219/121407.shtml","http://m.12365auto.com/zjdy/20200219/121407.shtml")</f>
        <v>http://m.12365auto.com/zjdy/20200219/121407.shtml</v>
      </c>
      <c r="G5224" s="2"/>
      <c r="H5224" s="2" t="s">
        <v>7352</v>
      </c>
      <c r="I5224" s="2" t="s">
        <v>19</v>
      </c>
      <c r="J5224" s="2" t="s">
        <v>12</v>
      </c>
      <c r="K5224" s="2" t="s">
        <v>7353</v>
      </c>
      <c r="L5224" s="2">
        <f t="shared" si="81"/>
        <v>26</v>
      </c>
    </row>
    <row r="5225" spans="1:12" ht="25" customHeight="1">
      <c r="A5225" s="2" t="s">
        <v>12</v>
      </c>
      <c r="B5225" s="2" t="str">
        <f>HYPERLINK("http://bbs.12365auto.com/postcontent.aspx?tId=194550","2019年，最让人意想不到的五款SUV")</f>
        <v>2019年，最让人意想不到的五款SUV</v>
      </c>
      <c r="C5225" s="2" t="s">
        <v>13</v>
      </c>
      <c r="D5225" s="2" t="s">
        <v>12</v>
      </c>
      <c r="E5225" s="2" t="s">
        <v>210</v>
      </c>
      <c r="F5225" s="2" t="str">
        <f>HYPERLINK("http://bbs.12365auto.com/postcontent.aspx?tId=194550","http://bbs.12365auto.com/postcontent.aspx?tId=194550")</f>
        <v>http://bbs.12365auto.com/postcontent.aspx?tId=194550</v>
      </c>
      <c r="G5225" s="2"/>
      <c r="H5225" s="2" t="s">
        <v>7354</v>
      </c>
      <c r="I5225" s="2" t="s">
        <v>15</v>
      </c>
      <c r="J5225" s="2" t="s">
        <v>6699</v>
      </c>
      <c r="K5225" s="2" t="s">
        <v>7355</v>
      </c>
      <c r="L5225" s="2">
        <f t="shared" si="81"/>
        <v>150</v>
      </c>
    </row>
    <row r="5226" spans="1:12" ht="25" customHeight="1">
      <c r="A5226" s="2" t="s">
        <v>12</v>
      </c>
      <c r="B5226" s="2" t="str">
        <f>HYPERLINK("http://bbs.12365auto.com/postcontent.aspx?tId=194549","最便宜的豪华7座SUV 这三款最低30万就可购买")</f>
        <v>最便宜的豪华7座SUV 这三款最低30万就可购买</v>
      </c>
      <c r="C5226" s="2" t="s">
        <v>13</v>
      </c>
      <c r="D5226" s="2" t="s">
        <v>12</v>
      </c>
      <c r="E5226" s="2" t="s">
        <v>210</v>
      </c>
      <c r="F5226" s="2" t="str">
        <f>HYPERLINK("http://bbs.12365auto.com/postcontent.aspx?tId=194549","http://bbs.12365auto.com/postcontent.aspx?tId=194549")</f>
        <v>http://bbs.12365auto.com/postcontent.aspx?tId=194549</v>
      </c>
      <c r="G5226" s="2"/>
      <c r="H5226" s="2" t="s">
        <v>6478</v>
      </c>
      <c r="I5226" s="2" t="s">
        <v>15</v>
      </c>
      <c r="J5226" s="2" t="s">
        <v>6699</v>
      </c>
      <c r="K5226" s="2" t="s">
        <v>7355</v>
      </c>
      <c r="L5226" s="2">
        <f t="shared" si="81"/>
        <v>150</v>
      </c>
    </row>
    <row r="5227" spans="1:12" ht="25" customHeight="1">
      <c r="A5227" s="2" t="s">
        <v>12</v>
      </c>
      <c r="B5227" s="2" t="str">
        <f>HYPERLINK("http://bbs.12365auto.com/postcontent.aspx?tId=194548","什么车值得等先看看这些豪华品牌")</f>
        <v>什么车值得等先看看这些豪华品牌</v>
      </c>
      <c r="C5227" s="2" t="s">
        <v>13</v>
      </c>
      <c r="D5227" s="2" t="s">
        <v>12</v>
      </c>
      <c r="E5227" s="2" t="s">
        <v>210</v>
      </c>
      <c r="F5227" s="2" t="str">
        <f>HYPERLINK("http://bbs.12365auto.com/postcontent.aspx?tId=194548","http://bbs.12365auto.com/postcontent.aspx?tId=194548")</f>
        <v>http://bbs.12365auto.com/postcontent.aspx?tId=194548</v>
      </c>
      <c r="G5227" s="2"/>
      <c r="H5227" s="2" t="s">
        <v>7356</v>
      </c>
      <c r="I5227" s="2" t="s">
        <v>15</v>
      </c>
      <c r="J5227" s="2" t="s">
        <v>6699</v>
      </c>
      <c r="K5227" s="2" t="s">
        <v>7355</v>
      </c>
      <c r="L5227" s="2">
        <f t="shared" si="81"/>
        <v>150</v>
      </c>
    </row>
    <row r="5228" spans="1:12" ht="25" customHeight="1">
      <c r="A5228" s="2" t="s">
        <v>12</v>
      </c>
      <c r="B5228" s="2" t="str">
        <f>HYPERLINK("http://m.12365auto.com/bbs/postcontent.aspx?tID=194550","2019年，最让人意想不到的五款SUV")</f>
        <v>2019年，最让人意想不到的五款SUV</v>
      </c>
      <c r="C5228" s="2" t="s">
        <v>13</v>
      </c>
      <c r="D5228" s="2" t="s">
        <v>23</v>
      </c>
      <c r="E5228" s="2"/>
      <c r="F5228" s="2" t="str">
        <f>HYPERLINK("http://m.12365auto.com/bbs/postcontent.aspx?tID=194550","http://m.12365auto.com/bbs/postcontent.aspx?tID=194550")</f>
        <v>http://m.12365auto.com/bbs/postcontent.aspx?tID=194550</v>
      </c>
      <c r="G5228" s="2"/>
      <c r="H5228" s="2" t="s">
        <v>7354</v>
      </c>
      <c r="I5228" s="2" t="s">
        <v>15</v>
      </c>
      <c r="J5228" s="2" t="s">
        <v>6699</v>
      </c>
      <c r="K5228" s="2" t="s">
        <v>7355</v>
      </c>
      <c r="L5228" s="2">
        <f t="shared" si="81"/>
        <v>150</v>
      </c>
    </row>
    <row r="5229" spans="1:12" ht="25" customHeight="1">
      <c r="A5229" s="2" t="s">
        <v>12</v>
      </c>
      <c r="B5229" s="2" t="str">
        <f>HYPERLINK("http://m.12365auto.com/bbs/postcontent.aspx?tID=194549","最便宜的豪华7座SUV 这三款最低30万就可购买")</f>
        <v>最便宜的豪华7座SUV 这三款最低30万就可购买</v>
      </c>
      <c r="C5229" s="2" t="s">
        <v>13</v>
      </c>
      <c r="D5229" s="2" t="s">
        <v>23</v>
      </c>
      <c r="E5229" s="2"/>
      <c r="F5229" s="2" t="str">
        <f>HYPERLINK("http://m.12365auto.com/bbs/postcontent.aspx?tID=194549","http://m.12365auto.com/bbs/postcontent.aspx?tID=194549")</f>
        <v>http://m.12365auto.com/bbs/postcontent.aspx?tID=194549</v>
      </c>
      <c r="G5229" s="2"/>
      <c r="H5229" s="2" t="s">
        <v>6478</v>
      </c>
      <c r="I5229" s="2" t="s">
        <v>15</v>
      </c>
      <c r="J5229" s="2" t="s">
        <v>6699</v>
      </c>
      <c r="K5229" s="2" t="s">
        <v>7355</v>
      </c>
      <c r="L5229" s="2">
        <f t="shared" si="81"/>
        <v>150</v>
      </c>
    </row>
    <row r="5230" spans="1:12" ht="25" customHeight="1">
      <c r="A5230" s="2" t="s">
        <v>12</v>
      </c>
      <c r="B5230" s="2" t="str">
        <f>HYPERLINK("http://m.12365auto.com/bbs/postcontent.aspx?tID=194548","什么车值得等先看看这些豪华品牌")</f>
        <v>什么车值得等先看看这些豪华品牌</v>
      </c>
      <c r="C5230" s="2" t="s">
        <v>13</v>
      </c>
      <c r="D5230" s="2" t="s">
        <v>23</v>
      </c>
      <c r="E5230" s="2"/>
      <c r="F5230" s="2" t="str">
        <f>HYPERLINK("http://m.12365auto.com/bbs/postcontent.aspx?tID=194548","http://m.12365auto.com/bbs/postcontent.aspx?tID=194548")</f>
        <v>http://m.12365auto.com/bbs/postcontent.aspx?tID=194548</v>
      </c>
      <c r="G5230" s="2"/>
      <c r="H5230" s="2" t="s">
        <v>7356</v>
      </c>
      <c r="I5230" s="2" t="s">
        <v>15</v>
      </c>
      <c r="J5230" s="2" t="s">
        <v>6699</v>
      </c>
      <c r="K5230" s="2" t="s">
        <v>7355</v>
      </c>
      <c r="L5230" s="2">
        <f t="shared" si="81"/>
        <v>150</v>
      </c>
    </row>
    <row r="5231" spans="1:12" ht="25" customHeight="1">
      <c r="A5231" s="2" t="s">
        <v>12</v>
      </c>
      <c r="B5231" s="2" t="str">
        <f>HYPERLINK("http://bbs.12365auto.com/postcontent.aspx?tID=194548","什么车值得等先看看这些豪华品牌")</f>
        <v>什么车值得等先看看这些豪华品牌</v>
      </c>
      <c r="C5231" s="2" t="s">
        <v>13</v>
      </c>
      <c r="D5231" s="2" t="s">
        <v>12</v>
      </c>
      <c r="E5231" s="2" t="s">
        <v>214</v>
      </c>
      <c r="F5231" s="2" t="str">
        <f>HYPERLINK("http://bbs.12365auto.com/postcontent.aspx?tID=194548","http://bbs.12365auto.com/postcontent.aspx?tID=194548")</f>
        <v>http://bbs.12365auto.com/postcontent.aspx?tID=194548</v>
      </c>
      <c r="G5231" s="2"/>
      <c r="H5231" s="2" t="s">
        <v>7357</v>
      </c>
      <c r="I5231" s="2" t="s">
        <v>15</v>
      </c>
      <c r="J5231" s="2" t="s">
        <v>6699</v>
      </c>
      <c r="K5231" s="2" t="s">
        <v>7355</v>
      </c>
      <c r="L5231" s="2">
        <f t="shared" si="81"/>
        <v>150</v>
      </c>
    </row>
    <row r="5232" spans="1:12" ht="25" customHeight="1">
      <c r="A5232" s="2" t="s">
        <v>12</v>
      </c>
      <c r="B5232" s="2" t="str">
        <f>HYPERLINK("http://bbs.12365auto.com/postcontent.aspx?tID=194549","最便宜的豪华7座SUV 这三款最低30万就可购买")</f>
        <v>最便宜的豪华7座SUV 这三款最低30万就可购买</v>
      </c>
      <c r="C5232" s="2" t="s">
        <v>13</v>
      </c>
      <c r="D5232" s="2" t="s">
        <v>12</v>
      </c>
      <c r="E5232" s="2" t="s">
        <v>214</v>
      </c>
      <c r="F5232" s="2" t="str">
        <f>HYPERLINK("http://bbs.12365auto.com/postcontent.aspx?tID=194549","http://bbs.12365auto.com/postcontent.aspx?tID=194549")</f>
        <v>http://bbs.12365auto.com/postcontent.aspx?tID=194549</v>
      </c>
      <c r="G5232" s="2"/>
      <c r="H5232" s="2" t="s">
        <v>6480</v>
      </c>
      <c r="I5232" s="2" t="s">
        <v>15</v>
      </c>
      <c r="J5232" s="2" t="s">
        <v>6699</v>
      </c>
      <c r="K5232" s="2" t="s">
        <v>7355</v>
      </c>
      <c r="L5232" s="2">
        <f t="shared" si="81"/>
        <v>150</v>
      </c>
    </row>
    <row r="5233" spans="1:12" ht="25" customHeight="1">
      <c r="A5233" s="2" t="s">
        <v>12</v>
      </c>
      <c r="B5233" s="2" t="str">
        <f>HYPERLINK("http://bbs.12365auto.com/postcontent.aspx?tID=194550","2019年，最让人意想不到的五款SUV")</f>
        <v>2019年，最让人意想不到的五款SUV</v>
      </c>
      <c r="C5233" s="2" t="s">
        <v>13</v>
      </c>
      <c r="D5233" s="2" t="s">
        <v>12</v>
      </c>
      <c r="E5233" s="2" t="s">
        <v>214</v>
      </c>
      <c r="F5233" s="2" t="str">
        <f>HYPERLINK("http://bbs.12365auto.com/postcontent.aspx?tID=194550","http://bbs.12365auto.com/postcontent.aspx?tID=194550")</f>
        <v>http://bbs.12365auto.com/postcontent.aspx?tID=194550</v>
      </c>
      <c r="G5233" s="2"/>
      <c r="H5233" s="2" t="s">
        <v>7358</v>
      </c>
      <c r="I5233" s="2" t="s">
        <v>15</v>
      </c>
      <c r="J5233" s="2" t="s">
        <v>6699</v>
      </c>
      <c r="K5233" s="2" t="s">
        <v>7355</v>
      </c>
      <c r="L5233" s="2">
        <f t="shared" si="81"/>
        <v>150</v>
      </c>
    </row>
    <row r="5234" spans="1:12" ht="25" customHeight="1">
      <c r="A5234" s="2" t="s">
        <v>12</v>
      </c>
      <c r="B5234" s="2" t="str">
        <f>HYPERLINK("http://www.12365auto.com/zlts/20200219/447779.shtml","庆铃100P最高行驶20迈售后一直未解决")</f>
        <v>庆铃100P最高行驶20迈售后一直未解决</v>
      </c>
      <c r="C5234" s="2" t="s">
        <v>13</v>
      </c>
      <c r="D5234" s="2" t="s">
        <v>12</v>
      </c>
      <c r="E5234" s="2" t="s">
        <v>17</v>
      </c>
      <c r="F5234" s="2" t="str">
        <f>HYPERLINK("http://www.12365auto.com/zlts/20200219/447779.shtml","http://www.12365auto.com/zlts/20200219/447779.shtml")</f>
        <v>http://www.12365auto.com/zlts/20200219/447779.shtml</v>
      </c>
      <c r="G5234" s="2"/>
      <c r="H5234" s="2" t="s">
        <v>7359</v>
      </c>
      <c r="I5234" s="2" t="s">
        <v>19</v>
      </c>
      <c r="J5234" s="2" t="s">
        <v>12</v>
      </c>
      <c r="K5234" s="2" t="s">
        <v>7355</v>
      </c>
      <c r="L5234" s="2">
        <f t="shared" si="81"/>
        <v>150</v>
      </c>
    </row>
    <row r="5235" spans="1:12" ht="25" customHeight="1">
      <c r="A5235" s="2" t="s">
        <v>12</v>
      </c>
      <c r="B5235" s="2" t="str">
        <f>HYPERLINK("http://bbs.12365auto.com/postcontent.aspx?tId=194547","七座SUV之王出全新版本，这得加多少万？")</f>
        <v>七座SUV之王出全新版本，这得加多少万？</v>
      </c>
      <c r="C5235" s="2" t="s">
        <v>13</v>
      </c>
      <c r="D5235" s="2" t="s">
        <v>12</v>
      </c>
      <c r="E5235" s="2" t="s">
        <v>210</v>
      </c>
      <c r="F5235" s="2" t="str">
        <f>HYPERLINK("http://bbs.12365auto.com/postcontent.aspx?tId=194547","http://bbs.12365auto.com/postcontent.aspx?tId=194547")</f>
        <v>http://bbs.12365auto.com/postcontent.aspx?tId=194547</v>
      </c>
      <c r="G5235" s="2"/>
      <c r="H5235" s="2" t="s">
        <v>7360</v>
      </c>
      <c r="I5235" s="2" t="s">
        <v>15</v>
      </c>
      <c r="J5235" s="2" t="s">
        <v>6699</v>
      </c>
      <c r="K5235" s="2" t="s">
        <v>7361</v>
      </c>
      <c r="L5235" s="2">
        <f t="shared" si="81"/>
        <v>150</v>
      </c>
    </row>
    <row r="5236" spans="1:12" ht="25" customHeight="1">
      <c r="A5236" s="2" t="s">
        <v>12</v>
      </c>
      <c r="B5236" s="2" t="str">
        <f>HYPERLINK("http://bbs.12365auto.com/postcontent.aspx?tId=194546","预售订单火爆！这款全新SUV将于月底发售")</f>
        <v>预售订单火爆！这款全新SUV将于月底发售</v>
      </c>
      <c r="C5236" s="2" t="s">
        <v>13</v>
      </c>
      <c r="D5236" s="2" t="s">
        <v>12</v>
      </c>
      <c r="E5236" s="2" t="s">
        <v>210</v>
      </c>
      <c r="F5236" s="2" t="str">
        <f>HYPERLINK("http://bbs.12365auto.com/postcontent.aspx?tId=194546","http://bbs.12365auto.com/postcontent.aspx?tId=194546")</f>
        <v>http://bbs.12365auto.com/postcontent.aspx?tId=194546</v>
      </c>
      <c r="G5236" s="2"/>
      <c r="H5236" s="2" t="s">
        <v>7362</v>
      </c>
      <c r="I5236" s="2" t="s">
        <v>15</v>
      </c>
      <c r="J5236" s="2" t="s">
        <v>6699</v>
      </c>
      <c r="K5236" s="2" t="s">
        <v>7361</v>
      </c>
      <c r="L5236" s="2">
        <f t="shared" si="81"/>
        <v>150</v>
      </c>
    </row>
    <row r="5237" spans="1:12" ht="25" customHeight="1">
      <c r="A5237" s="2" t="s">
        <v>12</v>
      </c>
      <c r="B5237" s="2" t="str">
        <f>HYPERLINK("http://m.12365auto.com/bbs/postcontent.aspx?tID=194547","七座SUV之王出全新版本，这得加多少万？")</f>
        <v>七座SUV之王出全新版本，这得加多少万？</v>
      </c>
      <c r="C5237" s="2" t="s">
        <v>13</v>
      </c>
      <c r="D5237" s="2" t="s">
        <v>23</v>
      </c>
      <c r="E5237" s="2"/>
      <c r="F5237" s="2" t="str">
        <f>HYPERLINK("http://m.12365auto.com/bbs/postcontent.aspx?tID=194547","http://m.12365auto.com/bbs/postcontent.aspx?tID=194547")</f>
        <v>http://m.12365auto.com/bbs/postcontent.aspx?tID=194547</v>
      </c>
      <c r="G5237" s="2"/>
      <c r="H5237" s="2" t="s">
        <v>7360</v>
      </c>
      <c r="I5237" s="2" t="s">
        <v>15</v>
      </c>
      <c r="J5237" s="2" t="s">
        <v>6699</v>
      </c>
      <c r="K5237" s="2" t="s">
        <v>7361</v>
      </c>
      <c r="L5237" s="2">
        <f t="shared" si="81"/>
        <v>150</v>
      </c>
    </row>
    <row r="5238" spans="1:12" ht="25" customHeight="1">
      <c r="A5238" s="2" t="s">
        <v>12</v>
      </c>
      <c r="B5238" s="2" t="str">
        <f>HYPERLINK("http://m.12365auto.com/bbs/postcontent.aspx?tID=194546","预售订单火爆！这款全新SUV将于月底发售")</f>
        <v>预售订单火爆！这款全新SUV将于月底发售</v>
      </c>
      <c r="C5238" s="2" t="s">
        <v>13</v>
      </c>
      <c r="D5238" s="2" t="s">
        <v>23</v>
      </c>
      <c r="E5238" s="2"/>
      <c r="F5238" s="2" t="str">
        <f>HYPERLINK("http://m.12365auto.com/bbs/postcontent.aspx?tID=194546","http://m.12365auto.com/bbs/postcontent.aspx?tID=194546")</f>
        <v>http://m.12365auto.com/bbs/postcontent.aspx?tID=194546</v>
      </c>
      <c r="G5238" s="2"/>
      <c r="H5238" s="2" t="s">
        <v>7362</v>
      </c>
      <c r="I5238" s="2" t="s">
        <v>15</v>
      </c>
      <c r="J5238" s="2" t="s">
        <v>6699</v>
      </c>
      <c r="K5238" s="2" t="s">
        <v>7361</v>
      </c>
      <c r="L5238" s="2">
        <f t="shared" si="81"/>
        <v>150</v>
      </c>
    </row>
    <row r="5239" spans="1:12" ht="25" customHeight="1">
      <c r="A5239" s="2" t="s">
        <v>12</v>
      </c>
      <c r="B5239" s="2" t="str">
        <f>HYPERLINK("http://bbs.12365auto.com/postcontent.aspx?tID=194546","预售订单火爆！这款全新SUV将于月底发售")</f>
        <v>预售订单火爆！这款全新SUV将于月底发售</v>
      </c>
      <c r="C5239" s="2" t="s">
        <v>13</v>
      </c>
      <c r="D5239" s="2" t="s">
        <v>12</v>
      </c>
      <c r="E5239" s="2" t="s">
        <v>214</v>
      </c>
      <c r="F5239" s="2" t="str">
        <f>HYPERLINK("http://bbs.12365auto.com/postcontent.aspx?tID=194546","http://bbs.12365auto.com/postcontent.aspx?tID=194546")</f>
        <v>http://bbs.12365auto.com/postcontent.aspx?tID=194546</v>
      </c>
      <c r="G5239" s="2"/>
      <c r="H5239" s="2" t="s">
        <v>7363</v>
      </c>
      <c r="I5239" s="2" t="s">
        <v>15</v>
      </c>
      <c r="J5239" s="2" t="s">
        <v>6699</v>
      </c>
      <c r="K5239" s="2" t="s">
        <v>7361</v>
      </c>
      <c r="L5239" s="2">
        <f t="shared" si="81"/>
        <v>150</v>
      </c>
    </row>
    <row r="5240" spans="1:12" ht="25" customHeight="1">
      <c r="A5240" s="2" t="s">
        <v>12</v>
      </c>
      <c r="B5240" s="2" t="str">
        <f>HYPERLINK("http://bbs.12365auto.com/postcontent.aspx?tID=194547","七座SUV之王出全新版本，这得加多少万？")</f>
        <v>七座SUV之王出全新版本，这得加多少万？</v>
      </c>
      <c r="C5240" s="2" t="s">
        <v>13</v>
      </c>
      <c r="D5240" s="2" t="s">
        <v>12</v>
      </c>
      <c r="E5240" s="2" t="s">
        <v>214</v>
      </c>
      <c r="F5240" s="2" t="str">
        <f>HYPERLINK("http://bbs.12365auto.com/postcontent.aspx?tID=194547","http://bbs.12365auto.com/postcontent.aspx?tID=194547")</f>
        <v>http://bbs.12365auto.com/postcontent.aspx?tID=194547</v>
      </c>
      <c r="G5240" s="2"/>
      <c r="H5240" s="2" t="s">
        <v>7364</v>
      </c>
      <c r="I5240" s="2" t="s">
        <v>15</v>
      </c>
      <c r="J5240" s="2" t="s">
        <v>6699</v>
      </c>
      <c r="K5240" s="2" t="s">
        <v>7361</v>
      </c>
      <c r="L5240" s="2">
        <f t="shared" si="81"/>
        <v>150</v>
      </c>
    </row>
    <row r="5241" spans="1:12" ht="25" customHeight="1">
      <c r="A5241" s="2" t="s">
        <v>12</v>
      </c>
      <c r="B5241" s="2" t="str">
        <f>HYPERLINK("http://bbs.12365auto.com/postcontent.aspx?tId=194545","开不坏的车才是真的牛！这四款车皮实耐造")</f>
        <v>开不坏的车才是真的牛！这四款车皮实耐造</v>
      </c>
      <c r="C5241" s="2" t="s">
        <v>13</v>
      </c>
      <c r="D5241" s="2" t="s">
        <v>12</v>
      </c>
      <c r="E5241" s="2" t="s">
        <v>210</v>
      </c>
      <c r="F5241" s="2" t="str">
        <f>HYPERLINK("http://bbs.12365auto.com/postcontent.aspx?tId=194545","http://bbs.12365auto.com/postcontent.aspx?tId=194545")</f>
        <v>http://bbs.12365auto.com/postcontent.aspx?tId=194545</v>
      </c>
      <c r="G5241" s="2"/>
      <c r="H5241" s="2" t="s">
        <v>7365</v>
      </c>
      <c r="I5241" s="2" t="s">
        <v>15</v>
      </c>
      <c r="J5241" s="2" t="s">
        <v>6699</v>
      </c>
      <c r="K5241" s="2" t="s">
        <v>7366</v>
      </c>
      <c r="L5241" s="2">
        <f t="shared" si="81"/>
        <v>150</v>
      </c>
    </row>
    <row r="5242" spans="1:12" ht="25" customHeight="1">
      <c r="A5242" s="2" t="s">
        <v>12</v>
      </c>
      <c r="B5242" s="2" t="str">
        <f>HYPERLINK("http://m.12365auto.com/bbs/postcontent.aspx?tID=194545","开不坏的车才是真的牛！这四款车皮实耐造")</f>
        <v>开不坏的车才是真的牛！这四款车皮实耐造</v>
      </c>
      <c r="C5242" s="2" t="s">
        <v>13</v>
      </c>
      <c r="D5242" s="2" t="s">
        <v>23</v>
      </c>
      <c r="E5242" s="2"/>
      <c r="F5242" s="2" t="str">
        <f>HYPERLINK("http://m.12365auto.com/bbs/postcontent.aspx?tID=194545","http://m.12365auto.com/bbs/postcontent.aspx?tID=194545")</f>
        <v>http://m.12365auto.com/bbs/postcontent.aspx?tID=194545</v>
      </c>
      <c r="G5242" s="2"/>
      <c r="H5242" s="2" t="s">
        <v>7365</v>
      </c>
      <c r="I5242" s="2" t="s">
        <v>15</v>
      </c>
      <c r="J5242" s="2" t="s">
        <v>6699</v>
      </c>
      <c r="K5242" s="2" t="s">
        <v>7366</v>
      </c>
      <c r="L5242" s="2">
        <f t="shared" si="81"/>
        <v>150</v>
      </c>
    </row>
    <row r="5243" spans="1:12" ht="25" customHeight="1">
      <c r="A5243" s="2" t="s">
        <v>12</v>
      </c>
      <c r="B5243" s="2" t="str">
        <f>HYPERLINK("http://bbs.12365auto.com/postcontent.aspx?tID=194545","开不坏的车才是真的牛！这四款车皮实耐造")</f>
        <v>开不坏的车才是真的牛！这四款车皮实耐造</v>
      </c>
      <c r="C5243" s="2" t="s">
        <v>13</v>
      </c>
      <c r="D5243" s="2" t="s">
        <v>12</v>
      </c>
      <c r="E5243" s="2" t="s">
        <v>214</v>
      </c>
      <c r="F5243" s="2" t="str">
        <f>HYPERLINK("http://bbs.12365auto.com/postcontent.aspx?tID=194545","http://bbs.12365auto.com/postcontent.aspx?tID=194545")</f>
        <v>http://bbs.12365auto.com/postcontent.aspx?tID=194545</v>
      </c>
      <c r="G5243" s="2"/>
      <c r="H5243" s="2" t="s">
        <v>7367</v>
      </c>
      <c r="I5243" s="2" t="s">
        <v>15</v>
      </c>
      <c r="J5243" s="2" t="s">
        <v>6699</v>
      </c>
      <c r="K5243" s="2" t="s">
        <v>7366</v>
      </c>
      <c r="L5243" s="2">
        <f t="shared" si="81"/>
        <v>150</v>
      </c>
    </row>
    <row r="5244" spans="1:12" ht="25" customHeight="1">
      <c r="A5244" s="2" t="s">
        <v>12</v>
      </c>
      <c r="B5244" s="2" t="str">
        <f>HYPERLINK("http://bbs.12365auto.com/postcontent.aspx?tId=194544","你眼中不行的国产车，靠出口挣了老外近千亿")</f>
        <v>你眼中不行的国产车，靠出口挣了老外近千亿</v>
      </c>
      <c r="C5244" s="2" t="s">
        <v>13</v>
      </c>
      <c r="D5244" s="2" t="s">
        <v>12</v>
      </c>
      <c r="E5244" s="2" t="s">
        <v>210</v>
      </c>
      <c r="F5244" s="2" t="str">
        <f>HYPERLINK("http://bbs.12365auto.com/postcontent.aspx?tId=194544","http://bbs.12365auto.com/postcontent.aspx?tId=194544")</f>
        <v>http://bbs.12365auto.com/postcontent.aspx?tId=194544</v>
      </c>
      <c r="G5244" s="2"/>
      <c r="H5244" s="2" t="s">
        <v>7368</v>
      </c>
      <c r="I5244" s="2" t="s">
        <v>15</v>
      </c>
      <c r="J5244" s="2" t="s">
        <v>6699</v>
      </c>
      <c r="K5244" s="2" t="s">
        <v>7369</v>
      </c>
      <c r="L5244" s="2">
        <f t="shared" si="81"/>
        <v>150</v>
      </c>
    </row>
    <row r="5245" spans="1:12" ht="25" customHeight="1">
      <c r="A5245" s="2" t="s">
        <v>12</v>
      </c>
      <c r="B5245" s="2" t="str">
        <f>HYPERLINK("http://m.12365auto.com/bbs/postcontent.aspx?tID=194544","你眼中不行的国产车，靠出口挣了老外近千亿")</f>
        <v>你眼中不行的国产车，靠出口挣了老外近千亿</v>
      </c>
      <c r="C5245" s="2" t="s">
        <v>13</v>
      </c>
      <c r="D5245" s="2" t="s">
        <v>23</v>
      </c>
      <c r="E5245" s="2"/>
      <c r="F5245" s="2" t="str">
        <f>HYPERLINK("http://m.12365auto.com/bbs/postcontent.aspx?tID=194544","http://m.12365auto.com/bbs/postcontent.aspx?tID=194544")</f>
        <v>http://m.12365auto.com/bbs/postcontent.aspx?tID=194544</v>
      </c>
      <c r="G5245" s="2"/>
      <c r="H5245" s="2" t="s">
        <v>7368</v>
      </c>
      <c r="I5245" s="2" t="s">
        <v>15</v>
      </c>
      <c r="J5245" s="2" t="s">
        <v>6699</v>
      </c>
      <c r="K5245" s="2" t="s">
        <v>7369</v>
      </c>
      <c r="L5245" s="2">
        <f t="shared" si="81"/>
        <v>150</v>
      </c>
    </row>
    <row r="5246" spans="1:12" ht="25" customHeight="1">
      <c r="A5246" s="2" t="s">
        <v>12</v>
      </c>
      <c r="B5246" s="2" t="str">
        <f>HYPERLINK("http://bbs.12365auto.com/postcontent.aspx?tID=194544","你眼中不行的国产车，靠出口挣了老外近千亿")</f>
        <v>你眼中不行的国产车，靠出口挣了老外近千亿</v>
      </c>
      <c r="C5246" s="2" t="s">
        <v>13</v>
      </c>
      <c r="D5246" s="2" t="s">
        <v>12</v>
      </c>
      <c r="E5246" s="2" t="s">
        <v>214</v>
      </c>
      <c r="F5246" s="2" t="str">
        <f>HYPERLINK("http://bbs.12365auto.com/postcontent.aspx?tID=194544","http://bbs.12365auto.com/postcontent.aspx?tID=194544")</f>
        <v>http://bbs.12365auto.com/postcontent.aspx?tID=194544</v>
      </c>
      <c r="G5246" s="2"/>
      <c r="H5246" s="2" t="s">
        <v>7370</v>
      </c>
      <c r="I5246" s="2" t="s">
        <v>15</v>
      </c>
      <c r="J5246" s="2" t="s">
        <v>6699</v>
      </c>
      <c r="K5246" s="2" t="s">
        <v>7369</v>
      </c>
      <c r="L5246" s="2">
        <f t="shared" si="81"/>
        <v>150</v>
      </c>
    </row>
    <row r="5247" spans="1:12" ht="25" customHeight="1">
      <c r="A5247" s="2" t="s">
        <v>12</v>
      </c>
      <c r="B5247" s="2" t="str">
        <f>HYPERLINK("http://bbs.12365auto.com/postcontent.aspx?tID=194543","车辆保养不当会加速汽车损坏你知道吗？")</f>
        <v>车辆保养不当会加速汽车损坏你知道吗？</v>
      </c>
      <c r="C5247" s="2" t="s">
        <v>13</v>
      </c>
      <c r="D5247" s="2" t="s">
        <v>12</v>
      </c>
      <c r="E5247" s="2" t="s">
        <v>28</v>
      </c>
      <c r="F5247" s="2" t="str">
        <f>HYPERLINK("http://bbs.12365auto.com/postcontent.aspx?tID=194543","http://bbs.12365auto.com/postcontent.aspx?tID=194543")</f>
        <v>http://bbs.12365auto.com/postcontent.aspx?tID=194543</v>
      </c>
      <c r="G5247" s="2"/>
      <c r="H5247" s="2" t="s">
        <v>7371</v>
      </c>
      <c r="I5247" s="2" t="s">
        <v>15</v>
      </c>
      <c r="J5247" s="2" t="s">
        <v>1446</v>
      </c>
      <c r="K5247" s="2" t="s">
        <v>7372</v>
      </c>
      <c r="L5247" s="2">
        <f t="shared" si="81"/>
        <v>150</v>
      </c>
    </row>
    <row r="5248" spans="1:12" ht="25" customHeight="1">
      <c r="A5248" s="2" t="s">
        <v>12</v>
      </c>
      <c r="B5248" s="2" t="str">
        <f>HYPERLINK("http://bbs.12365auto.com/postcontent.aspx?tId=194543","车辆保养不当会加速汽车损坏你知道吗？")</f>
        <v>车辆保养不当会加速汽车损坏你知道吗？</v>
      </c>
      <c r="C5248" s="2" t="s">
        <v>13</v>
      </c>
      <c r="D5248" s="2" t="s">
        <v>12</v>
      </c>
      <c r="E5248" s="2" t="s">
        <v>27</v>
      </c>
      <c r="F5248" s="2" t="str">
        <f>HYPERLINK("http://bbs.12365auto.com/postcontent.aspx?tId=194543","http://bbs.12365auto.com/postcontent.aspx?tId=194543")</f>
        <v>http://bbs.12365auto.com/postcontent.aspx?tId=194543</v>
      </c>
      <c r="G5248" s="2"/>
      <c r="H5248" s="2" t="s">
        <v>7373</v>
      </c>
      <c r="I5248" s="2" t="s">
        <v>15</v>
      </c>
      <c r="J5248" s="2" t="s">
        <v>1446</v>
      </c>
      <c r="K5248" s="2" t="s">
        <v>7372</v>
      </c>
      <c r="L5248" s="2">
        <f t="shared" si="81"/>
        <v>150</v>
      </c>
    </row>
    <row r="5249" spans="1:12" ht="25" customHeight="1">
      <c r="A5249" s="2" t="s">
        <v>12</v>
      </c>
      <c r="B5249" s="2" t="str">
        <f>HYPERLINK("http://www.12365auto.com/zlts/20200219/447775.shtml","斯柯达速派变速箱故障灯反复亮起")</f>
        <v>斯柯达速派变速箱故障灯反复亮起</v>
      </c>
      <c r="C5249" s="2" t="s">
        <v>13</v>
      </c>
      <c r="D5249" s="2" t="s">
        <v>12</v>
      </c>
      <c r="E5249" s="2" t="s">
        <v>17</v>
      </c>
      <c r="F5249" s="2" t="str">
        <f>HYPERLINK("http://www.12365auto.com/zlts/20200219/447775.shtml","http://www.12365auto.com/zlts/20200219/447775.shtml")</f>
        <v>http://www.12365auto.com/zlts/20200219/447775.shtml</v>
      </c>
      <c r="G5249" s="2"/>
      <c r="H5249" s="2" t="s">
        <v>7374</v>
      </c>
      <c r="I5249" s="2" t="s">
        <v>19</v>
      </c>
      <c r="J5249" s="2" t="s">
        <v>12</v>
      </c>
      <c r="K5249" s="2" t="s">
        <v>7375</v>
      </c>
      <c r="L5249" s="2">
        <f t="shared" si="81"/>
        <v>150</v>
      </c>
    </row>
    <row r="5250" spans="1:12" ht="25" customHeight="1">
      <c r="A5250" s="2" t="s">
        <v>12</v>
      </c>
      <c r="B5250" s="2" t="str">
        <f>HYPERLINK("http://www.12365auto.com/zlts/20200219/447774.shtml","长安标致雪铁龙DS6发动机抖动 加速无力")</f>
        <v>长安标致雪铁龙DS6发动机抖动 加速无力</v>
      </c>
      <c r="C5250" s="2" t="s">
        <v>13</v>
      </c>
      <c r="D5250" s="2" t="s">
        <v>12</v>
      </c>
      <c r="E5250" s="2" t="s">
        <v>17</v>
      </c>
      <c r="F5250" s="2" t="str">
        <f>HYPERLINK("http://www.12365auto.com/zlts/20200219/447774.shtml","http://www.12365auto.com/zlts/20200219/447774.shtml")</f>
        <v>http://www.12365auto.com/zlts/20200219/447774.shtml</v>
      </c>
      <c r="G5250" s="2"/>
      <c r="H5250" s="2" t="s">
        <v>7376</v>
      </c>
      <c r="I5250" s="2" t="s">
        <v>19</v>
      </c>
      <c r="J5250" s="2" t="s">
        <v>12</v>
      </c>
      <c r="K5250" s="2" t="s">
        <v>7377</v>
      </c>
      <c r="L5250" s="2">
        <f t="shared" si="81"/>
        <v>150</v>
      </c>
    </row>
    <row r="5251" spans="1:12" ht="25" customHeight="1">
      <c r="A5251" s="2" t="s">
        <v>12</v>
      </c>
      <c r="B5251" s="2" t="str">
        <f>HYPERLINK("http://www.12365auto.com/zlts/20200219/447772.shtml","宝骏560发动机漏油 冷车起步抖动")</f>
        <v>宝骏560发动机漏油 冷车起步抖动</v>
      </c>
      <c r="C5251" s="2" t="s">
        <v>13</v>
      </c>
      <c r="D5251" s="2" t="s">
        <v>12</v>
      </c>
      <c r="E5251" s="2" t="s">
        <v>17</v>
      </c>
      <c r="F5251" s="2" t="str">
        <f>HYPERLINK("http://www.12365auto.com/zlts/20200219/447772.shtml","http://www.12365auto.com/zlts/20200219/447772.shtml")</f>
        <v>http://www.12365auto.com/zlts/20200219/447772.shtml</v>
      </c>
      <c r="G5251" s="2"/>
      <c r="H5251" s="2" t="s">
        <v>7378</v>
      </c>
      <c r="I5251" s="2" t="s">
        <v>19</v>
      </c>
      <c r="J5251" s="2" t="s">
        <v>12</v>
      </c>
      <c r="K5251" s="2" t="s">
        <v>7379</v>
      </c>
      <c r="L5251" s="2">
        <f t="shared" ref="L5251:L5314" si="82">LEN(H5251)</f>
        <v>150</v>
      </c>
    </row>
    <row r="5252" spans="1:12" ht="25" customHeight="1">
      <c r="A5252" s="2" t="s">
        <v>12</v>
      </c>
      <c r="B5252" s="2" t="str">
        <f>HYPERLINK("http://m.12365auto.com/zjdy/20200219/121406.shtml","长安逸动XT涡轮增压车型什么时间上市？")</f>
        <v>长安逸动XT涡轮增压车型什么时间上市？</v>
      </c>
      <c r="C5252" s="2" t="s">
        <v>13</v>
      </c>
      <c r="D5252" s="2" t="s">
        <v>12</v>
      </c>
      <c r="E5252" s="2"/>
      <c r="F5252" s="2" t="str">
        <f>HYPERLINK("http://m.12365auto.com/zjdy/20200219/121406.shtml","http://m.12365auto.com/zjdy/20200219/121406.shtml")</f>
        <v>http://m.12365auto.com/zjdy/20200219/121406.shtml</v>
      </c>
      <c r="G5252" s="2"/>
      <c r="H5252" s="2" t="s">
        <v>7380</v>
      </c>
      <c r="I5252" s="2" t="s">
        <v>19</v>
      </c>
      <c r="J5252" s="2" t="s">
        <v>12</v>
      </c>
      <c r="K5252" s="2" t="s">
        <v>7381</v>
      </c>
      <c r="L5252" s="2">
        <f t="shared" si="82"/>
        <v>27</v>
      </c>
    </row>
    <row r="5253" spans="1:12" ht="25" customHeight="1">
      <c r="A5253" s="2" t="s">
        <v>12</v>
      </c>
      <c r="B5253" s="2" t="str">
        <f>HYPERLINK("http://www.12365auto.com/zlts/20200219/447768.shtml","一汽大众速腾半离合状态下发动机转速升高")</f>
        <v>一汽大众速腾半离合状态下发动机转速升高</v>
      </c>
      <c r="C5253" s="2" t="s">
        <v>13</v>
      </c>
      <c r="D5253" s="2" t="s">
        <v>12</v>
      </c>
      <c r="E5253" s="2" t="s">
        <v>17</v>
      </c>
      <c r="F5253" s="2" t="str">
        <f>HYPERLINK("http://www.12365auto.com/zlts/20200219/447768.shtml","http://www.12365auto.com/zlts/20200219/447768.shtml")</f>
        <v>http://www.12365auto.com/zlts/20200219/447768.shtml</v>
      </c>
      <c r="G5253" s="2"/>
      <c r="H5253" s="2" t="s">
        <v>7382</v>
      </c>
      <c r="I5253" s="2" t="s">
        <v>19</v>
      </c>
      <c r="J5253" s="2" t="s">
        <v>12</v>
      </c>
      <c r="K5253" s="2" t="s">
        <v>7383</v>
      </c>
      <c r="L5253" s="2">
        <f t="shared" si="82"/>
        <v>150</v>
      </c>
    </row>
    <row r="5254" spans="1:12" ht="25" customHeight="1">
      <c r="A5254" s="2" t="s">
        <v>12</v>
      </c>
      <c r="B5254" s="2" t="str">
        <f>HYPERLINK("http://m.12365auto.com/zjdy/20200219/121405.shtml","2011款科鲁兹热车后怠速抖动什么原因？")</f>
        <v>2011款科鲁兹热车后怠速抖动什么原因？</v>
      </c>
      <c r="C5254" s="2" t="s">
        <v>13</v>
      </c>
      <c r="D5254" s="2" t="s">
        <v>12</v>
      </c>
      <c r="E5254" s="2"/>
      <c r="F5254" s="2" t="str">
        <f>HYPERLINK("http://m.12365auto.com/zjdy/20200219/121405.shtml","http://m.12365auto.com/zjdy/20200219/121405.shtml")</f>
        <v>http://m.12365auto.com/zjdy/20200219/121405.shtml</v>
      </c>
      <c r="G5254" s="2"/>
      <c r="H5254" s="2" t="s">
        <v>7384</v>
      </c>
      <c r="I5254" s="2" t="s">
        <v>19</v>
      </c>
      <c r="J5254" s="2" t="s">
        <v>12</v>
      </c>
      <c r="K5254" s="2" t="s">
        <v>7385</v>
      </c>
      <c r="L5254" s="2">
        <f t="shared" si="82"/>
        <v>26</v>
      </c>
    </row>
    <row r="5255" spans="1:12" ht="25" customHeight="1">
      <c r="A5255" s="2" t="s">
        <v>12</v>
      </c>
      <c r="B5255" s="2" t="str">
        <f>HYPERLINK("http://m.12365auto.com/zjdy/20200219/121404.shtml","一汽大众宝来传奇款存在敲缸现象吗？")</f>
        <v>一汽大众宝来传奇款存在敲缸现象吗？</v>
      </c>
      <c r="C5255" s="2" t="s">
        <v>13</v>
      </c>
      <c r="D5255" s="2" t="s">
        <v>12</v>
      </c>
      <c r="E5255" s="2"/>
      <c r="F5255" s="2" t="str">
        <f>HYPERLINK("http://m.12365auto.com/zjdy/20200219/121404.shtml","http://m.12365auto.com/zjdy/20200219/121404.shtml")</f>
        <v>http://m.12365auto.com/zjdy/20200219/121404.shtml</v>
      </c>
      <c r="G5255" s="2"/>
      <c r="H5255" s="2" t="s">
        <v>7386</v>
      </c>
      <c r="I5255" s="2" t="s">
        <v>19</v>
      </c>
      <c r="J5255" s="2" t="s">
        <v>12</v>
      </c>
      <c r="K5255" s="2" t="s">
        <v>7387</v>
      </c>
      <c r="L5255" s="2">
        <f t="shared" si="82"/>
        <v>52</v>
      </c>
    </row>
    <row r="5256" spans="1:12" ht="25" customHeight="1">
      <c r="A5256" s="2" t="s">
        <v>12</v>
      </c>
      <c r="B5256" s="2" t="str">
        <f>HYPERLINK("http://bbs.12365auto.com/postcontent.aspx?tID=194542","中华H230去验车OBD无法连接")</f>
        <v>中华H230去验车OBD无法连接</v>
      </c>
      <c r="C5256" s="2" t="s">
        <v>13</v>
      </c>
      <c r="D5256" s="2" t="s">
        <v>12</v>
      </c>
      <c r="E5256" s="2" t="s">
        <v>67</v>
      </c>
      <c r="F5256" s="2" t="str">
        <f>HYPERLINK("http://bbs.12365auto.com/postcontent.aspx?tID=194542","http://bbs.12365auto.com/postcontent.aspx?tID=194542")</f>
        <v>http://bbs.12365auto.com/postcontent.aspx?tID=194542</v>
      </c>
      <c r="G5256" s="2"/>
      <c r="H5256" s="2" t="s">
        <v>7388</v>
      </c>
      <c r="I5256" s="2" t="s">
        <v>15</v>
      </c>
      <c r="J5256" s="2" t="s">
        <v>7389</v>
      </c>
      <c r="K5256" s="2" t="s">
        <v>7390</v>
      </c>
      <c r="L5256" s="2">
        <f t="shared" si="82"/>
        <v>32</v>
      </c>
    </row>
    <row r="5257" spans="1:12" ht="25" customHeight="1">
      <c r="A5257" s="2" t="s">
        <v>12</v>
      </c>
      <c r="B5257" s="2" t="str">
        <f>HYPERLINK("http://bbs.12365auto.com/postcontent.aspx?tId=194542","中华H230去验车OBD无法连接")</f>
        <v>中华H230去验车OBD无法连接</v>
      </c>
      <c r="C5257" s="2" t="s">
        <v>13</v>
      </c>
      <c r="D5257" s="2" t="s">
        <v>12</v>
      </c>
      <c r="E5257" s="2" t="s">
        <v>66</v>
      </c>
      <c r="F5257" s="2" t="str">
        <f>HYPERLINK("http://bbs.12365auto.com/postcontent.aspx?tId=194542","http://bbs.12365auto.com/postcontent.aspx?tId=194542")</f>
        <v>http://bbs.12365auto.com/postcontent.aspx?tId=194542</v>
      </c>
      <c r="G5257" s="2"/>
      <c r="H5257" s="2" t="s">
        <v>7391</v>
      </c>
      <c r="I5257" s="2" t="s">
        <v>15</v>
      </c>
      <c r="J5257" s="2" t="s">
        <v>7389</v>
      </c>
      <c r="K5257" s="2" t="s">
        <v>7390</v>
      </c>
      <c r="L5257" s="2">
        <f t="shared" si="82"/>
        <v>16</v>
      </c>
    </row>
    <row r="5258" spans="1:12" ht="25" customHeight="1">
      <c r="A5258" s="2" t="s">
        <v>12</v>
      </c>
      <c r="B5258" s="2" t="str">
        <f>HYPERLINK("http://m.12365auto.com/zjdy/20200219/121403.shtml","电瓶亏电购买应急启动电源有效果吗？")</f>
        <v>电瓶亏电购买应急启动电源有效果吗？</v>
      </c>
      <c r="C5258" s="2" t="s">
        <v>13</v>
      </c>
      <c r="D5258" s="2" t="s">
        <v>12</v>
      </c>
      <c r="E5258" s="2"/>
      <c r="F5258" s="2" t="str">
        <f>HYPERLINK("http://m.12365auto.com/zjdy/20200219/121403.shtml","http://m.12365auto.com/zjdy/20200219/121403.shtml")</f>
        <v>http://m.12365auto.com/zjdy/20200219/121403.shtml</v>
      </c>
      <c r="G5258" s="2"/>
      <c r="H5258" s="2" t="s">
        <v>7392</v>
      </c>
      <c r="I5258" s="2" t="s">
        <v>19</v>
      </c>
      <c r="J5258" s="2" t="s">
        <v>12</v>
      </c>
      <c r="K5258" s="2" t="s">
        <v>7393</v>
      </c>
      <c r="L5258" s="2">
        <f t="shared" si="82"/>
        <v>61</v>
      </c>
    </row>
    <row r="5259" spans="1:12" ht="25" customHeight="1">
      <c r="A5259" s="2" t="s">
        <v>12</v>
      </c>
      <c r="B5259" s="2" t="str">
        <f>HYPERLINK("http://m.12365auto.com/zjdy/20200219/121402.shtml","宝来传奇版质量如何是否存在敲缸问题？")</f>
        <v>宝来传奇版质量如何是否存在敲缸问题？</v>
      </c>
      <c r="C5259" s="2" t="s">
        <v>13</v>
      </c>
      <c r="D5259" s="2" t="s">
        <v>12</v>
      </c>
      <c r="E5259" s="2"/>
      <c r="F5259" s="2" t="str">
        <f>HYPERLINK("http://m.12365auto.com/zjdy/20200219/121402.shtml","http://m.12365auto.com/zjdy/20200219/121402.shtml")</f>
        <v>http://m.12365auto.com/zjdy/20200219/121402.shtml</v>
      </c>
      <c r="G5259" s="2"/>
      <c r="H5259" s="2" t="s">
        <v>7394</v>
      </c>
      <c r="I5259" s="2" t="s">
        <v>19</v>
      </c>
      <c r="J5259" s="2" t="s">
        <v>12</v>
      </c>
      <c r="K5259" s="2" t="s">
        <v>7393</v>
      </c>
      <c r="L5259" s="2">
        <f t="shared" si="82"/>
        <v>45</v>
      </c>
    </row>
    <row r="5260" spans="1:12" ht="25" customHeight="1">
      <c r="A5260" s="2" t="s">
        <v>12</v>
      </c>
      <c r="B5260" s="2" t="str">
        <f>HYPERLINK("http://www.12365auto.com/zlts/20200219/447766.shtml","吉利远景电瓶频繁亏电一直无解决方案")</f>
        <v>吉利远景电瓶频繁亏电一直无解决方案</v>
      </c>
      <c r="C5260" s="2" t="s">
        <v>13</v>
      </c>
      <c r="D5260" s="2" t="s">
        <v>12</v>
      </c>
      <c r="E5260" s="2" t="s">
        <v>17</v>
      </c>
      <c r="F5260" s="2" t="str">
        <f>HYPERLINK("http://www.12365auto.com/zlts/20200219/447766.shtml","http://www.12365auto.com/zlts/20200219/447766.shtml")</f>
        <v>http://www.12365auto.com/zlts/20200219/447766.shtml</v>
      </c>
      <c r="G5260" s="2"/>
      <c r="H5260" s="2" t="s">
        <v>7395</v>
      </c>
      <c r="I5260" s="2" t="s">
        <v>15</v>
      </c>
      <c r="J5260" s="2" t="s">
        <v>12</v>
      </c>
      <c r="K5260" s="2" t="s">
        <v>7396</v>
      </c>
      <c r="L5260" s="2">
        <f t="shared" si="82"/>
        <v>150</v>
      </c>
    </row>
    <row r="5261" spans="1:12" ht="25" customHeight="1">
      <c r="A5261" s="2" t="s">
        <v>12</v>
      </c>
      <c r="B5261" s="2" t="str">
        <f>HYPERLINK("http://www.12365auto.com/zlts/20200219/447764.shtml","一汽大众奥迪Q3高压油泵异响存在质量问题")</f>
        <v>一汽大众奥迪Q3高压油泵异响存在质量问题</v>
      </c>
      <c r="C5261" s="2" t="s">
        <v>13</v>
      </c>
      <c r="D5261" s="2" t="s">
        <v>12</v>
      </c>
      <c r="E5261" s="2" t="s">
        <v>17</v>
      </c>
      <c r="F5261" s="2" t="str">
        <f>HYPERLINK("http://www.12365auto.com/zlts/20200219/447764.shtml","http://www.12365auto.com/zlts/20200219/447764.shtml")</f>
        <v>http://www.12365auto.com/zlts/20200219/447764.shtml</v>
      </c>
      <c r="G5261" s="2"/>
      <c r="H5261" s="2" t="s">
        <v>7397</v>
      </c>
      <c r="I5261" s="2" t="s">
        <v>19</v>
      </c>
      <c r="J5261" s="2" t="s">
        <v>12</v>
      </c>
      <c r="K5261" s="2" t="s">
        <v>7398</v>
      </c>
      <c r="L5261" s="2">
        <f t="shared" si="82"/>
        <v>150</v>
      </c>
    </row>
    <row r="5262" spans="1:12" ht="25" customHeight="1">
      <c r="A5262" s="2" t="s">
        <v>12</v>
      </c>
      <c r="B5262" s="2" t="str">
        <f>HYPERLINK("http://www.12365auto.com/zlts/20200219/447763.shtml","长安马自达昂克赛拉发动机故障灯亮")</f>
        <v>长安马自达昂克赛拉发动机故障灯亮</v>
      </c>
      <c r="C5262" s="2" t="s">
        <v>13</v>
      </c>
      <c r="D5262" s="2" t="s">
        <v>12</v>
      </c>
      <c r="E5262" s="2" t="s">
        <v>17</v>
      </c>
      <c r="F5262" s="2" t="str">
        <f>HYPERLINK("http://www.12365auto.com/zlts/20200219/447763.shtml","http://www.12365auto.com/zlts/20200219/447763.shtml")</f>
        <v>http://www.12365auto.com/zlts/20200219/447763.shtml</v>
      </c>
      <c r="G5262" s="2"/>
      <c r="H5262" s="2" t="s">
        <v>7399</v>
      </c>
      <c r="I5262" s="2" t="s">
        <v>19</v>
      </c>
      <c r="J5262" s="2" t="s">
        <v>12</v>
      </c>
      <c r="K5262" s="2" t="s">
        <v>7400</v>
      </c>
      <c r="L5262" s="2">
        <f t="shared" si="82"/>
        <v>150</v>
      </c>
    </row>
    <row r="5263" spans="1:12" ht="25" customHeight="1">
      <c r="A5263" s="2" t="s">
        <v>12</v>
      </c>
      <c r="B5263" s="2" t="str">
        <f>HYPERLINK("http://www.12365auto.com/zlts/20200219/447762.shtml","一汽大众探岳变速箱和发动机异响希望厂家处理")</f>
        <v>一汽大众探岳变速箱和发动机异响希望厂家处理</v>
      </c>
      <c r="C5263" s="2" t="s">
        <v>13</v>
      </c>
      <c r="D5263" s="2" t="s">
        <v>12</v>
      </c>
      <c r="E5263" s="2" t="s">
        <v>17</v>
      </c>
      <c r="F5263" s="2" t="str">
        <f>HYPERLINK("http://www.12365auto.com/zlts/20200219/447762.shtml","http://www.12365auto.com/zlts/20200219/447762.shtml")</f>
        <v>http://www.12365auto.com/zlts/20200219/447762.shtml</v>
      </c>
      <c r="G5263" s="2"/>
      <c r="H5263" s="2" t="s">
        <v>7401</v>
      </c>
      <c r="I5263" s="2" t="s">
        <v>19</v>
      </c>
      <c r="J5263" s="2" t="s">
        <v>12</v>
      </c>
      <c r="K5263" s="2" t="s">
        <v>7402</v>
      </c>
      <c r="L5263" s="2">
        <f t="shared" si="82"/>
        <v>150</v>
      </c>
    </row>
    <row r="5264" spans="1:12" ht="25" customHeight="1">
      <c r="A5264" s="2" t="s">
        <v>12</v>
      </c>
      <c r="B5264" s="2" t="str">
        <f>HYPERLINK("http://www.12365auto.com/zlts/20200219/447760.shtml","广汽丰田雷凌发动机抖动清洗节气门未解决")</f>
        <v>广汽丰田雷凌发动机抖动清洗节气门未解决</v>
      </c>
      <c r="C5264" s="2" t="s">
        <v>13</v>
      </c>
      <c r="D5264" s="2" t="s">
        <v>12</v>
      </c>
      <c r="E5264" s="2" t="s">
        <v>17</v>
      </c>
      <c r="F5264" s="2" t="str">
        <f>HYPERLINK("http://www.12365auto.com/zlts/20200219/447760.shtml","http://www.12365auto.com/zlts/20200219/447760.shtml")</f>
        <v>http://www.12365auto.com/zlts/20200219/447760.shtml</v>
      </c>
      <c r="G5264" s="2"/>
      <c r="H5264" s="2" t="s">
        <v>7403</v>
      </c>
      <c r="I5264" s="2" t="s">
        <v>19</v>
      </c>
      <c r="J5264" s="2" t="s">
        <v>12</v>
      </c>
      <c r="K5264" s="2" t="s">
        <v>7404</v>
      </c>
      <c r="L5264" s="2">
        <f t="shared" si="82"/>
        <v>150</v>
      </c>
    </row>
    <row r="5265" spans="1:12" ht="25" customHeight="1">
      <c r="A5265" s="2" t="s">
        <v>12</v>
      </c>
      <c r="B5265" s="2" t="str">
        <f>HYPERLINK("http://www.12365auto.com/zlts/20200219/447757.shtml","一汽大众速腾天窗车门以及中控台异响")</f>
        <v>一汽大众速腾天窗车门以及中控台异响</v>
      </c>
      <c r="C5265" s="2" t="s">
        <v>13</v>
      </c>
      <c r="D5265" s="2" t="s">
        <v>12</v>
      </c>
      <c r="E5265" s="2" t="s">
        <v>17</v>
      </c>
      <c r="F5265" s="2" t="str">
        <f>HYPERLINK("http://www.12365auto.com/zlts/20200219/447757.shtml","http://www.12365auto.com/zlts/20200219/447757.shtml")</f>
        <v>http://www.12365auto.com/zlts/20200219/447757.shtml</v>
      </c>
      <c r="G5265" s="2"/>
      <c r="H5265" s="2" t="s">
        <v>7405</v>
      </c>
      <c r="I5265" s="2" t="s">
        <v>19</v>
      </c>
      <c r="J5265" s="2" t="s">
        <v>12</v>
      </c>
      <c r="K5265" s="2" t="s">
        <v>7406</v>
      </c>
      <c r="L5265" s="2">
        <f t="shared" si="82"/>
        <v>150</v>
      </c>
    </row>
    <row r="5266" spans="1:12" ht="25" customHeight="1">
      <c r="A5266" s="2" t="s">
        <v>12</v>
      </c>
      <c r="B5266" s="2" t="str">
        <f>HYPERLINK("http://www.12365auto.com/zlts/20200219/447756.shtml","一汽大众速腾韩泰轮胎龟裂要求厂家处理")</f>
        <v>一汽大众速腾韩泰轮胎龟裂要求厂家处理</v>
      </c>
      <c r="C5266" s="2" t="s">
        <v>13</v>
      </c>
      <c r="D5266" s="2" t="s">
        <v>12</v>
      </c>
      <c r="E5266" s="2" t="s">
        <v>17</v>
      </c>
      <c r="F5266" s="2" t="str">
        <f>HYPERLINK("http://www.12365auto.com/zlts/20200219/447756.shtml","http://www.12365auto.com/zlts/20200219/447756.shtml")</f>
        <v>http://www.12365auto.com/zlts/20200219/447756.shtml</v>
      </c>
      <c r="G5266" s="2"/>
      <c r="H5266" s="2" t="s">
        <v>7407</v>
      </c>
      <c r="I5266" s="2" t="s">
        <v>19</v>
      </c>
      <c r="J5266" s="2" t="s">
        <v>12</v>
      </c>
      <c r="K5266" s="2" t="s">
        <v>7408</v>
      </c>
      <c r="L5266" s="2">
        <f t="shared" si="82"/>
        <v>150</v>
      </c>
    </row>
    <row r="5267" spans="1:12" ht="25" customHeight="1">
      <c r="A5267" s="2" t="s">
        <v>12</v>
      </c>
      <c r="B5267" s="2" t="str">
        <f>HYPERLINK("http://www.12365auto.com/zlts/20200219/447755.shtml","压缩泵抱死烧坏皮带")</f>
        <v>压缩泵抱死烧坏皮带</v>
      </c>
      <c r="C5267" s="2" t="s">
        <v>13</v>
      </c>
      <c r="D5267" s="2" t="s">
        <v>12</v>
      </c>
      <c r="E5267" s="2"/>
      <c r="F5267" s="2" t="str">
        <f>HYPERLINK("http://www.12365auto.com/zlts/20200219/447755.shtml","http://www.12365auto.com/zlts/20200219/447755.shtml")</f>
        <v>http://www.12365auto.com/zlts/20200219/447755.shtml</v>
      </c>
      <c r="G5267" s="2"/>
      <c r="H5267" s="2" t="s">
        <v>7410</v>
      </c>
      <c r="I5267" s="2" t="s">
        <v>15</v>
      </c>
      <c r="J5267" s="2" t="s">
        <v>12</v>
      </c>
      <c r="K5267" s="2" t="s">
        <v>7409</v>
      </c>
      <c r="L5267" s="2">
        <f t="shared" si="82"/>
        <v>82</v>
      </c>
    </row>
    <row r="5268" spans="1:12" ht="25" customHeight="1">
      <c r="A5268" s="2" t="s">
        <v>12</v>
      </c>
      <c r="B5268" s="2" t="str">
        <f>HYPERLINK("http://www.12365auto.com/zlts/20200219/447753.shtml","上汽大众帕萨特碰撞测试中A柱断裂")</f>
        <v>上汽大众帕萨特碰撞测试中A柱断裂</v>
      </c>
      <c r="C5268" s="2" t="s">
        <v>13</v>
      </c>
      <c r="D5268" s="2" t="s">
        <v>12</v>
      </c>
      <c r="E5268" s="2"/>
      <c r="F5268" s="2" t="str">
        <f>HYPERLINK("http://www.12365auto.com/zlts/20200219/447753.shtml","http://www.12365auto.com/zlts/20200219/447753.shtml")</f>
        <v>http://www.12365auto.com/zlts/20200219/447753.shtml</v>
      </c>
      <c r="G5268" s="2"/>
      <c r="H5268" s="2" t="s">
        <v>7412</v>
      </c>
      <c r="I5268" s="2" t="s">
        <v>15</v>
      </c>
      <c r="J5268" s="2" t="s">
        <v>12</v>
      </c>
      <c r="K5268" s="2" t="s">
        <v>7411</v>
      </c>
      <c r="L5268" s="2">
        <f t="shared" si="82"/>
        <v>84</v>
      </c>
    </row>
    <row r="5269" spans="1:12" ht="25" customHeight="1">
      <c r="A5269" s="2" t="s">
        <v>12</v>
      </c>
      <c r="B5269" s="2" t="str">
        <f>HYPERLINK("http://m.12365auto.com/zjdy/20200219/121401.shtml","传祺GS4发动机故障灯亮抖动是什么原因？")</f>
        <v>传祺GS4发动机故障灯亮抖动是什么原因？</v>
      </c>
      <c r="C5269" s="2" t="s">
        <v>13</v>
      </c>
      <c r="D5269" s="2" t="s">
        <v>12</v>
      </c>
      <c r="E5269" s="2"/>
      <c r="F5269" s="2" t="str">
        <f>HYPERLINK("http://m.12365auto.com/zjdy/20200219/121401.shtml","http://m.12365auto.com/zjdy/20200219/121401.shtml")</f>
        <v>http://m.12365auto.com/zjdy/20200219/121401.shtml</v>
      </c>
      <c r="G5269" s="2"/>
      <c r="H5269" s="2" t="s">
        <v>7413</v>
      </c>
      <c r="I5269" s="2" t="s">
        <v>19</v>
      </c>
      <c r="J5269" s="2" t="s">
        <v>12</v>
      </c>
      <c r="K5269" s="2" t="s">
        <v>7414</v>
      </c>
      <c r="L5269" s="2">
        <f t="shared" si="82"/>
        <v>18</v>
      </c>
    </row>
    <row r="5270" spans="1:12" ht="25" customHeight="1">
      <c r="A5270" s="2" t="s">
        <v>12</v>
      </c>
      <c r="B5270" s="2" t="str">
        <f>HYPERLINK("http://m.12365auto.com/zjdy/20200219/121400.shtml","奔驰A级整体质量如何值得购买吗？")</f>
        <v>奔驰A级整体质量如何值得购买吗？</v>
      </c>
      <c r="C5270" s="2" t="s">
        <v>13</v>
      </c>
      <c r="D5270" s="2" t="s">
        <v>12</v>
      </c>
      <c r="E5270" s="2"/>
      <c r="F5270" s="2" t="str">
        <f>HYPERLINK("http://m.12365auto.com/zjdy/20200219/121400.shtml","http://m.12365auto.com/zjdy/20200219/121400.shtml")</f>
        <v>http://m.12365auto.com/zjdy/20200219/121400.shtml</v>
      </c>
      <c r="G5270" s="2"/>
      <c r="H5270" s="2" t="s">
        <v>7415</v>
      </c>
      <c r="I5270" s="2" t="s">
        <v>19</v>
      </c>
      <c r="J5270" s="2" t="s">
        <v>12</v>
      </c>
      <c r="K5270" s="2" t="s">
        <v>7416</v>
      </c>
      <c r="L5270" s="2">
        <f t="shared" si="82"/>
        <v>30</v>
      </c>
    </row>
    <row r="5271" spans="1:12" ht="25" customHeight="1">
      <c r="A5271" s="2" t="s">
        <v>12</v>
      </c>
      <c r="B5271" s="2" t="str">
        <f>HYPERLINK("http://www.12365auto.com/zlts/20200219/447751.shtml","广汽丰田雷凌发动机舱内进泥浆存在缺陷")</f>
        <v>广汽丰田雷凌发动机舱内进泥浆存在缺陷</v>
      </c>
      <c r="C5271" s="2" t="s">
        <v>13</v>
      </c>
      <c r="D5271" s="2" t="s">
        <v>12</v>
      </c>
      <c r="E5271" s="2" t="s">
        <v>17</v>
      </c>
      <c r="F5271" s="2" t="str">
        <f>HYPERLINK("http://www.12365auto.com/zlts/20200219/447751.shtml","http://www.12365auto.com/zlts/20200219/447751.shtml")</f>
        <v>http://www.12365auto.com/zlts/20200219/447751.shtml</v>
      </c>
      <c r="G5271" s="2"/>
      <c r="H5271" s="2" t="s">
        <v>7417</v>
      </c>
      <c r="I5271" s="2" t="s">
        <v>19</v>
      </c>
      <c r="J5271" s="2" t="s">
        <v>12</v>
      </c>
      <c r="K5271" s="2" t="s">
        <v>7418</v>
      </c>
      <c r="L5271" s="2">
        <f t="shared" si="82"/>
        <v>150</v>
      </c>
    </row>
    <row r="5272" spans="1:12" ht="25" customHeight="1">
      <c r="A5272" s="2" t="s">
        <v>12</v>
      </c>
      <c r="B5272" s="2" t="str">
        <f>HYPERLINK("http://m.12365auto.com/zjdy/20200219/121399.shtml","汽车电瓶停放几天后亏电无法启动正常吗？")</f>
        <v>汽车电瓶停放几天后亏电无法启动正常吗？</v>
      </c>
      <c r="C5272" s="2" t="s">
        <v>13</v>
      </c>
      <c r="D5272" s="2" t="s">
        <v>12</v>
      </c>
      <c r="E5272" s="2"/>
      <c r="F5272" s="2" t="str">
        <f>HYPERLINK("http://m.12365auto.com/zjdy/20200219/121399.shtml","http://m.12365auto.com/zjdy/20200219/121399.shtml")</f>
        <v>http://m.12365auto.com/zjdy/20200219/121399.shtml</v>
      </c>
      <c r="G5272" s="2"/>
      <c r="H5272" s="2" t="s">
        <v>7419</v>
      </c>
      <c r="I5272" s="2" t="s">
        <v>19</v>
      </c>
      <c r="J5272" s="2" t="s">
        <v>12</v>
      </c>
      <c r="K5272" s="2" t="s">
        <v>7420</v>
      </c>
      <c r="L5272" s="2">
        <f t="shared" si="82"/>
        <v>18</v>
      </c>
    </row>
    <row r="5273" spans="1:12" ht="25" customHeight="1">
      <c r="A5273" s="2" t="s">
        <v>12</v>
      </c>
      <c r="B5273" s="2" t="str">
        <f>HYPERLINK("http://bbs.12365auto.com/postcontent.aspx?tId=194540","空间超大/性能超优的国产越野房车 你值得一看")</f>
        <v>空间超大/性能超优的国产越野房车 你值得一看</v>
      </c>
      <c r="C5273" s="2" t="s">
        <v>13</v>
      </c>
      <c r="D5273" s="2" t="s">
        <v>12</v>
      </c>
      <c r="E5273" s="2" t="s">
        <v>210</v>
      </c>
      <c r="F5273" s="2" t="str">
        <f>HYPERLINK("http://bbs.12365auto.com/postcontent.aspx?tId=194540","http://bbs.12365auto.com/postcontent.aspx?tId=194540")</f>
        <v>http://bbs.12365auto.com/postcontent.aspx?tId=194540</v>
      </c>
      <c r="G5273" s="2"/>
      <c r="H5273" s="2" t="s">
        <v>7421</v>
      </c>
      <c r="I5273" s="2" t="s">
        <v>15</v>
      </c>
      <c r="J5273" s="2" t="s">
        <v>3269</v>
      </c>
      <c r="K5273" s="2" t="s">
        <v>7422</v>
      </c>
      <c r="L5273" s="2">
        <f t="shared" si="82"/>
        <v>150</v>
      </c>
    </row>
    <row r="5274" spans="1:12" ht="25" customHeight="1">
      <c r="A5274" s="2" t="s">
        <v>12</v>
      </c>
      <c r="B5274" s="2" t="str">
        <f>HYPERLINK("http://m.12365auto.com/bbs/postcontent.aspx?tID=194540","空间超大/性能超优的国产越野房车 你值得一看")</f>
        <v>空间超大/性能超优的国产越野房车 你值得一看</v>
      </c>
      <c r="C5274" s="2" t="s">
        <v>13</v>
      </c>
      <c r="D5274" s="2" t="s">
        <v>23</v>
      </c>
      <c r="E5274" s="2"/>
      <c r="F5274" s="2" t="str">
        <f>HYPERLINK("http://m.12365auto.com/bbs/postcontent.aspx?tID=194540","http://m.12365auto.com/bbs/postcontent.aspx?tID=194540")</f>
        <v>http://m.12365auto.com/bbs/postcontent.aspx?tID=194540</v>
      </c>
      <c r="G5274" s="2"/>
      <c r="H5274" s="2" t="s">
        <v>7421</v>
      </c>
      <c r="I5274" s="2" t="s">
        <v>15</v>
      </c>
      <c r="J5274" s="2" t="s">
        <v>3269</v>
      </c>
      <c r="K5274" s="2" t="s">
        <v>7422</v>
      </c>
      <c r="L5274" s="2">
        <f t="shared" si="82"/>
        <v>150</v>
      </c>
    </row>
    <row r="5275" spans="1:12" ht="25" customHeight="1">
      <c r="A5275" s="2" t="s">
        <v>12</v>
      </c>
      <c r="B5275" s="2" t="str">
        <f>HYPERLINK("http://bbs.12365auto.com/postcontent.aspx?tID=194540","空间超大/性能超优的国产越野房车 你值得一看")</f>
        <v>空间超大/性能超优的国产越野房车 你值得一看</v>
      </c>
      <c r="C5275" s="2" t="s">
        <v>13</v>
      </c>
      <c r="D5275" s="2" t="s">
        <v>12</v>
      </c>
      <c r="E5275" s="2" t="s">
        <v>214</v>
      </c>
      <c r="F5275" s="2" t="str">
        <f>HYPERLINK("http://bbs.12365auto.com/postcontent.aspx?tID=194540","http://bbs.12365auto.com/postcontent.aspx?tID=194540")</f>
        <v>http://bbs.12365auto.com/postcontent.aspx?tID=194540</v>
      </c>
      <c r="G5275" s="2"/>
      <c r="H5275" s="2" t="s">
        <v>7423</v>
      </c>
      <c r="I5275" s="2" t="s">
        <v>15</v>
      </c>
      <c r="J5275" s="2" t="s">
        <v>3269</v>
      </c>
      <c r="K5275" s="2" t="s">
        <v>7422</v>
      </c>
      <c r="L5275" s="2">
        <f t="shared" si="82"/>
        <v>150</v>
      </c>
    </row>
    <row r="5276" spans="1:12" ht="25" customHeight="1">
      <c r="A5276" s="2" t="s">
        <v>12</v>
      </c>
      <c r="B5276" s="2" t="str">
        <f>HYPERLINK("http://www.12365auto.com/zlts/20200219/447749.shtml","哈弗H6 Coupe电瓶亏电 启停功能失灵")</f>
        <v>哈弗H6 Coupe电瓶亏电 启停功能失灵</v>
      </c>
      <c r="C5276" s="2" t="s">
        <v>13</v>
      </c>
      <c r="D5276" s="2" t="s">
        <v>12</v>
      </c>
      <c r="E5276" s="2" t="s">
        <v>17</v>
      </c>
      <c r="F5276" s="2" t="str">
        <f>HYPERLINK("http://www.12365auto.com/zlts/20200219/447749.shtml","http://www.12365auto.com/zlts/20200219/447749.shtml")</f>
        <v>http://www.12365auto.com/zlts/20200219/447749.shtml</v>
      </c>
      <c r="G5276" s="2"/>
      <c r="H5276" s="2" t="s">
        <v>7424</v>
      </c>
      <c r="I5276" s="2" t="s">
        <v>19</v>
      </c>
      <c r="J5276" s="2" t="s">
        <v>12</v>
      </c>
      <c r="K5276" s="2" t="s">
        <v>7425</v>
      </c>
      <c r="L5276" s="2">
        <f t="shared" si="82"/>
        <v>150</v>
      </c>
    </row>
    <row r="5277" spans="1:12" ht="25" customHeight="1">
      <c r="A5277" s="2" t="s">
        <v>12</v>
      </c>
      <c r="B5277" s="2" t="str">
        <f>HYPERLINK("http://www.12365auto.com/zlts/20200219/447747.shtml","东风日产骐达发动机机油增多 车窗上升异响")</f>
        <v>东风日产骐达发动机机油增多 车窗上升异响</v>
      </c>
      <c r="C5277" s="2" t="s">
        <v>13</v>
      </c>
      <c r="D5277" s="2" t="s">
        <v>12</v>
      </c>
      <c r="E5277" s="2" t="s">
        <v>17</v>
      </c>
      <c r="F5277" s="2" t="str">
        <f>HYPERLINK("http://www.12365auto.com/zlts/20200219/447747.shtml","http://www.12365auto.com/zlts/20200219/447747.shtml")</f>
        <v>http://www.12365auto.com/zlts/20200219/447747.shtml</v>
      </c>
      <c r="G5277" s="2"/>
      <c r="H5277" s="2" t="s">
        <v>7426</v>
      </c>
      <c r="I5277" s="2" t="s">
        <v>19</v>
      </c>
      <c r="J5277" s="2" t="s">
        <v>12</v>
      </c>
      <c r="K5277" s="2" t="s">
        <v>7427</v>
      </c>
      <c r="L5277" s="2">
        <f t="shared" si="82"/>
        <v>150</v>
      </c>
    </row>
    <row r="5278" spans="1:12" ht="25" customHeight="1">
      <c r="A5278" s="2" t="s">
        <v>12</v>
      </c>
      <c r="B5278" s="2" t="str">
        <f>HYPERLINK("http://www.12365auto.com/zlts/20200219/447746.shtml","上汽MAXUS G20出现GPF满载故障码")</f>
        <v>上汽MAXUS G20出现GPF满载故障码</v>
      </c>
      <c r="C5278" s="2" t="s">
        <v>13</v>
      </c>
      <c r="D5278" s="2" t="s">
        <v>12</v>
      </c>
      <c r="E5278" s="2" t="s">
        <v>17</v>
      </c>
      <c r="F5278" s="2" t="str">
        <f>HYPERLINK("http://www.12365auto.com/zlts/20200219/447746.shtml","http://www.12365auto.com/zlts/20200219/447746.shtml")</f>
        <v>http://www.12365auto.com/zlts/20200219/447746.shtml</v>
      </c>
      <c r="G5278" s="2"/>
      <c r="H5278" s="2" t="s">
        <v>7428</v>
      </c>
      <c r="I5278" s="2" t="s">
        <v>15</v>
      </c>
      <c r="J5278" s="2" t="s">
        <v>12</v>
      </c>
      <c r="K5278" s="2" t="s">
        <v>7429</v>
      </c>
      <c r="L5278" s="2">
        <f t="shared" si="82"/>
        <v>150</v>
      </c>
    </row>
    <row r="5279" spans="1:12" ht="25" customHeight="1">
      <c r="A5279" s="2" t="s">
        <v>12</v>
      </c>
      <c r="B5279" s="2" t="str">
        <f>HYPERLINK("http://www.12365auto.com/zlts/20200219/447745.shtml","一汽丰田RAV4荣放优科豪马轮胎高速爆胎")</f>
        <v>一汽丰田RAV4荣放优科豪马轮胎高速爆胎</v>
      </c>
      <c r="C5279" s="2" t="s">
        <v>13</v>
      </c>
      <c r="D5279" s="2" t="s">
        <v>12</v>
      </c>
      <c r="E5279" s="2" t="s">
        <v>17</v>
      </c>
      <c r="F5279" s="2" t="str">
        <f>HYPERLINK("http://www.12365auto.com/zlts/20200219/447745.shtml","http://www.12365auto.com/zlts/20200219/447745.shtml")</f>
        <v>http://www.12365auto.com/zlts/20200219/447745.shtml</v>
      </c>
      <c r="G5279" s="2"/>
      <c r="H5279" s="2" t="s">
        <v>7430</v>
      </c>
      <c r="I5279" s="2" t="s">
        <v>19</v>
      </c>
      <c r="J5279" s="2" t="s">
        <v>12</v>
      </c>
      <c r="K5279" s="2" t="s">
        <v>7431</v>
      </c>
      <c r="L5279" s="2">
        <f t="shared" si="82"/>
        <v>150</v>
      </c>
    </row>
    <row r="5280" spans="1:12" ht="25" customHeight="1">
      <c r="A5280" s="2" t="s">
        <v>12</v>
      </c>
      <c r="B5280" s="2" t="str">
        <f>HYPERLINK("http://m.12365auto.com/zjdy/20200219/121398.shtml","手动变速箱与自动变速箱哪个质量更加稳定？")</f>
        <v>手动变速箱与自动变速箱哪个质量更加稳定？</v>
      </c>
      <c r="C5280" s="2" t="s">
        <v>13</v>
      </c>
      <c r="D5280" s="2" t="s">
        <v>12</v>
      </c>
      <c r="E5280" s="2"/>
      <c r="F5280" s="2" t="str">
        <f>HYPERLINK("http://m.12365auto.com/zjdy/20200219/121398.shtml","http://m.12365auto.com/zjdy/20200219/121398.shtml")</f>
        <v>http://m.12365auto.com/zjdy/20200219/121398.shtml</v>
      </c>
      <c r="G5280" s="2"/>
      <c r="H5280" s="2" t="s">
        <v>7432</v>
      </c>
      <c r="I5280" s="2" t="s">
        <v>19</v>
      </c>
      <c r="J5280" s="2" t="s">
        <v>12</v>
      </c>
      <c r="K5280" s="2" t="s">
        <v>7433</v>
      </c>
      <c r="L5280" s="2">
        <f t="shared" si="82"/>
        <v>77</v>
      </c>
    </row>
    <row r="5281" spans="1:12" ht="25" customHeight="1">
      <c r="A5281" s="2" t="s">
        <v>12</v>
      </c>
      <c r="B5281" s="2" t="str">
        <f>HYPERLINK("http://www.12365auto.com/news/20200219/419004.shtml","油路清洗注意事项 让爱车有活力")</f>
        <v>油路清洗注意事项 让爱车有活力</v>
      </c>
      <c r="C5281" s="2" t="s">
        <v>13</v>
      </c>
      <c r="D5281" s="2" t="s">
        <v>12</v>
      </c>
      <c r="E5281" s="2" t="s">
        <v>372</v>
      </c>
      <c r="F5281" s="2" t="str">
        <f>HYPERLINK("http://www.12365auto.com/news/20200219/419004.shtml","http://www.12365auto.com/news/20200219/419004.shtml")</f>
        <v>http://www.12365auto.com/news/20200219/419004.shtml</v>
      </c>
      <c r="G5281" s="2"/>
      <c r="H5281" s="2" t="s">
        <v>7434</v>
      </c>
      <c r="I5281" s="2" t="s">
        <v>15</v>
      </c>
      <c r="J5281" s="2" t="s">
        <v>12</v>
      </c>
      <c r="K5281" s="2" t="s">
        <v>7435</v>
      </c>
      <c r="L5281" s="2">
        <f t="shared" si="82"/>
        <v>150</v>
      </c>
    </row>
    <row r="5282" spans="1:12" ht="25" customHeight="1">
      <c r="A5282" s="2" t="s">
        <v>12</v>
      </c>
      <c r="B5282" s="2" t="str">
        <f>HYPERLINK("http://m.12365auto.com/news/20200219/419004.shtml","油路清洗注意事项 让爱车有活力")</f>
        <v>油路清洗注意事项 让爱车有活力</v>
      </c>
      <c r="C5282" s="2" t="s">
        <v>13</v>
      </c>
      <c r="D5282" s="2" t="s">
        <v>12</v>
      </c>
      <c r="E5282" s="2"/>
      <c r="F5282" s="2" t="str">
        <f>HYPERLINK("http://m.12365auto.com/news/20200219/419004.shtml","http://m.12365auto.com/news/20200219/419004.shtml")</f>
        <v>http://m.12365auto.com/news/20200219/419004.shtml</v>
      </c>
      <c r="G5282" s="2"/>
      <c r="H5282" s="2" t="s">
        <v>7436</v>
      </c>
      <c r="I5282" s="2" t="s">
        <v>19</v>
      </c>
      <c r="J5282" s="2" t="s">
        <v>7437</v>
      </c>
      <c r="K5282" s="2" t="s">
        <v>7435</v>
      </c>
      <c r="L5282" s="2">
        <f t="shared" si="82"/>
        <v>150</v>
      </c>
    </row>
    <row r="5283" spans="1:12" ht="25" customHeight="1">
      <c r="A5283" s="2" t="s">
        <v>12</v>
      </c>
      <c r="B5283" s="2" t="str">
        <f>HYPERLINK("http://www.12365auto.com/news/20200219/419003.shtml","冬季保养雨刷器 挑选六要素")</f>
        <v>冬季保养雨刷器 挑选六要素</v>
      </c>
      <c r="C5283" s="2" t="s">
        <v>13</v>
      </c>
      <c r="D5283" s="2" t="s">
        <v>12</v>
      </c>
      <c r="E5283" s="2" t="s">
        <v>372</v>
      </c>
      <c r="F5283" s="2" t="str">
        <f>HYPERLINK("http://www.12365auto.com/news/20200219/419003.shtml","http://www.12365auto.com/news/20200219/419003.shtml")</f>
        <v>http://www.12365auto.com/news/20200219/419003.shtml</v>
      </c>
      <c r="G5283" s="2"/>
      <c r="H5283" s="2" t="s">
        <v>7438</v>
      </c>
      <c r="I5283" s="2" t="s">
        <v>15</v>
      </c>
      <c r="J5283" s="2" t="s">
        <v>12</v>
      </c>
      <c r="K5283" s="2" t="s">
        <v>7439</v>
      </c>
      <c r="L5283" s="2">
        <f t="shared" si="82"/>
        <v>150</v>
      </c>
    </row>
    <row r="5284" spans="1:12" ht="25" customHeight="1">
      <c r="A5284" s="2" t="s">
        <v>12</v>
      </c>
      <c r="B5284" s="2" t="str">
        <f>HYPERLINK("http://m.12365auto.com/news/20200219/419003.shtml","冬季保养雨刷器 挑选六要素")</f>
        <v>冬季保养雨刷器 挑选六要素</v>
      </c>
      <c r="C5284" s="2" t="s">
        <v>13</v>
      </c>
      <c r="D5284" s="2" t="s">
        <v>12</v>
      </c>
      <c r="E5284" s="2"/>
      <c r="F5284" s="2" t="str">
        <f>HYPERLINK("http://m.12365auto.com/news/20200219/419003.shtml","http://m.12365auto.com/news/20200219/419003.shtml")</f>
        <v>http://m.12365auto.com/news/20200219/419003.shtml</v>
      </c>
      <c r="G5284" s="2"/>
      <c r="H5284" s="2" t="s">
        <v>7440</v>
      </c>
      <c r="I5284" s="2" t="s">
        <v>19</v>
      </c>
      <c r="J5284" s="2" t="s">
        <v>751</v>
      </c>
      <c r="K5284" s="2" t="s">
        <v>7439</v>
      </c>
      <c r="L5284" s="2">
        <f t="shared" si="82"/>
        <v>150</v>
      </c>
    </row>
    <row r="5285" spans="1:12" ht="25" customHeight="1">
      <c r="A5285" s="2" t="s">
        <v>12</v>
      </c>
      <c r="B5285" s="2" t="str">
        <f>HYPERLINK("http://m.12365auto.com/zjdy/20200219/121397.shtml","传祺GS4和长安CS75 PLUS哪个后期问题少？")</f>
        <v>传祺GS4和长安CS75 PLUS哪个后期问题少？</v>
      </c>
      <c r="C5285" s="2" t="s">
        <v>13</v>
      </c>
      <c r="D5285" s="2" t="s">
        <v>12</v>
      </c>
      <c r="E5285" s="2"/>
      <c r="F5285" s="2" t="str">
        <f>HYPERLINK("http://m.12365auto.com/zjdy/20200219/121397.shtml","http://m.12365auto.com/zjdy/20200219/121397.shtml")</f>
        <v>http://m.12365auto.com/zjdy/20200219/121397.shtml</v>
      </c>
      <c r="G5285" s="2"/>
      <c r="H5285" s="2" t="s">
        <v>7441</v>
      </c>
      <c r="I5285" s="2" t="s">
        <v>19</v>
      </c>
      <c r="J5285" s="2" t="s">
        <v>12</v>
      </c>
      <c r="K5285" s="2" t="s">
        <v>7442</v>
      </c>
      <c r="L5285" s="2">
        <f t="shared" si="82"/>
        <v>33</v>
      </c>
    </row>
    <row r="5286" spans="1:12" ht="25" customHeight="1">
      <c r="A5286" s="2" t="s">
        <v>12</v>
      </c>
      <c r="B5286" s="2" t="str">
        <f>HYPERLINK("http://www.12365auto.com/news/20200219/419002.shtml","别让爱车受伤 冬季用车油液注意事项")</f>
        <v>别让爱车受伤 冬季用车油液注意事项</v>
      </c>
      <c r="C5286" s="2" t="s">
        <v>13</v>
      </c>
      <c r="D5286" s="2" t="s">
        <v>12</v>
      </c>
      <c r="E5286" s="2" t="s">
        <v>372</v>
      </c>
      <c r="F5286" s="2" t="str">
        <f>HYPERLINK("http://www.12365auto.com/news/20200219/419002.shtml","http://www.12365auto.com/news/20200219/419002.shtml")</f>
        <v>http://www.12365auto.com/news/20200219/419002.shtml</v>
      </c>
      <c r="G5286" s="2"/>
      <c r="H5286" s="2" t="s">
        <v>7443</v>
      </c>
      <c r="I5286" s="2" t="s">
        <v>15</v>
      </c>
      <c r="J5286" s="2" t="s">
        <v>12</v>
      </c>
      <c r="K5286" s="2" t="s">
        <v>7444</v>
      </c>
      <c r="L5286" s="2">
        <f t="shared" si="82"/>
        <v>150</v>
      </c>
    </row>
    <row r="5287" spans="1:12" ht="25" customHeight="1">
      <c r="A5287" s="2" t="s">
        <v>12</v>
      </c>
      <c r="B5287" s="2" t="str">
        <f>HYPERLINK("http://m.12365auto.com/news/20200219/419002.shtml","别让爱车受伤 冬季用车油液注意事项")</f>
        <v>别让爱车受伤 冬季用车油液注意事项</v>
      </c>
      <c r="C5287" s="2" t="s">
        <v>13</v>
      </c>
      <c r="D5287" s="2" t="s">
        <v>12</v>
      </c>
      <c r="E5287" s="2"/>
      <c r="F5287" s="2" t="str">
        <f>HYPERLINK("http://m.12365auto.com/news/20200219/419002.shtml","http://m.12365auto.com/news/20200219/419002.shtml")</f>
        <v>http://m.12365auto.com/news/20200219/419002.shtml</v>
      </c>
      <c r="G5287" s="2"/>
      <c r="H5287" s="2" t="s">
        <v>7445</v>
      </c>
      <c r="I5287" s="2" t="s">
        <v>19</v>
      </c>
      <c r="J5287" s="2" t="s">
        <v>7437</v>
      </c>
      <c r="K5287" s="2" t="s">
        <v>7444</v>
      </c>
      <c r="L5287" s="2">
        <f t="shared" si="82"/>
        <v>150</v>
      </c>
    </row>
    <row r="5288" spans="1:12" ht="25" customHeight="1">
      <c r="A5288" s="2" t="s">
        <v>12</v>
      </c>
      <c r="B5288" s="2" t="str">
        <f>HYPERLINK("http://m.12365auto.com/zjdy/20200219/121396.shtml","大众速腾变速箱异响应该如何处理？")</f>
        <v>大众速腾变速箱异响应该如何处理？</v>
      </c>
      <c r="C5288" s="2" t="s">
        <v>13</v>
      </c>
      <c r="D5288" s="2" t="s">
        <v>12</v>
      </c>
      <c r="E5288" s="2"/>
      <c r="F5288" s="2" t="str">
        <f>HYPERLINK("http://m.12365auto.com/zjdy/20200219/121396.shtml","http://m.12365auto.com/zjdy/20200219/121396.shtml")</f>
        <v>http://m.12365auto.com/zjdy/20200219/121396.shtml</v>
      </c>
      <c r="G5288" s="2"/>
      <c r="H5288" s="2" t="s">
        <v>7446</v>
      </c>
      <c r="I5288" s="2" t="s">
        <v>19</v>
      </c>
      <c r="J5288" s="2" t="s">
        <v>12</v>
      </c>
      <c r="K5288" s="2" t="s">
        <v>7447</v>
      </c>
      <c r="L5288" s="2">
        <f t="shared" si="82"/>
        <v>150</v>
      </c>
    </row>
    <row r="5289" spans="1:12" ht="25" customHeight="1">
      <c r="A5289" s="2" t="s">
        <v>12</v>
      </c>
      <c r="B5289" s="2" t="str">
        <f>HYPERLINK("http://www.12365auto.com/xcdg/20200219/419001.shtml","内部人员爆料 探秘丰田未来多款新车计划")</f>
        <v>内部人员爆料 探秘丰田未来多款新车计划</v>
      </c>
      <c r="C5289" s="2" t="s">
        <v>13</v>
      </c>
      <c r="D5289" s="2" t="s">
        <v>12</v>
      </c>
      <c r="E5289" s="2" t="s">
        <v>216</v>
      </c>
      <c r="F5289" s="2" t="str">
        <f>HYPERLINK("http://www.12365auto.com/xcdg/20200219/419001.shtml","http://www.12365auto.com/xcdg/20200219/419001.shtml")</f>
        <v>http://www.12365auto.com/xcdg/20200219/419001.shtml</v>
      </c>
      <c r="G5289" s="2"/>
      <c r="H5289" s="2" t="s">
        <v>7448</v>
      </c>
      <c r="I5289" s="2" t="s">
        <v>15</v>
      </c>
      <c r="J5289" s="2" t="s">
        <v>12</v>
      </c>
      <c r="K5289" s="2" t="s">
        <v>7449</v>
      </c>
      <c r="L5289" s="2">
        <f t="shared" si="82"/>
        <v>150</v>
      </c>
    </row>
    <row r="5290" spans="1:12" ht="25" customHeight="1">
      <c r="A5290" s="2" t="s">
        <v>12</v>
      </c>
      <c r="B5290" s="2" t="str">
        <f>HYPERLINK("http://m.12365auto.com/xcdg/20200219/419001.shtml","内部人员爆料 探秘丰田未来多款新车计划")</f>
        <v>内部人员爆料 探秘丰田未来多款新车计划</v>
      </c>
      <c r="C5290" s="2" t="s">
        <v>13</v>
      </c>
      <c r="D5290" s="2" t="s">
        <v>12</v>
      </c>
      <c r="E5290" s="2"/>
      <c r="F5290" s="2" t="str">
        <f>HYPERLINK("http://m.12365auto.com/xcdg/20200219/419001.shtml","http://m.12365auto.com/xcdg/20200219/419001.shtml")</f>
        <v>http://m.12365auto.com/xcdg/20200219/419001.shtml</v>
      </c>
      <c r="G5290" s="2"/>
      <c r="H5290" s="2" t="s">
        <v>7450</v>
      </c>
      <c r="I5290" s="2" t="s">
        <v>19</v>
      </c>
      <c r="J5290" s="2" t="s">
        <v>2572</v>
      </c>
      <c r="K5290" s="2" t="s">
        <v>7449</v>
      </c>
      <c r="L5290" s="2">
        <f t="shared" si="82"/>
        <v>150</v>
      </c>
    </row>
    <row r="5291" spans="1:12" ht="25" customHeight="1">
      <c r="A5291" s="2" t="s">
        <v>12</v>
      </c>
      <c r="B5291" s="2" t="str">
        <f>HYPERLINK("http://www.12365auto.com/zlts/20200219/447744.shtml","吉利博瑞发动机异响严重无法行驶")</f>
        <v>吉利博瑞发动机异响严重无法行驶</v>
      </c>
      <c r="C5291" s="2" t="s">
        <v>13</v>
      </c>
      <c r="D5291" s="2" t="s">
        <v>12</v>
      </c>
      <c r="E5291" s="2" t="s">
        <v>17</v>
      </c>
      <c r="F5291" s="2" t="str">
        <f>HYPERLINK("http://www.12365auto.com/zlts/20200219/447744.shtml","http://www.12365auto.com/zlts/20200219/447744.shtml")</f>
        <v>http://www.12365auto.com/zlts/20200219/447744.shtml</v>
      </c>
      <c r="G5291" s="2"/>
      <c r="H5291" s="2" t="s">
        <v>7451</v>
      </c>
      <c r="I5291" s="2" t="s">
        <v>19</v>
      </c>
      <c r="J5291" s="2" t="s">
        <v>12</v>
      </c>
      <c r="K5291" s="2" t="s">
        <v>7452</v>
      </c>
      <c r="L5291" s="2">
        <f t="shared" si="82"/>
        <v>150</v>
      </c>
    </row>
    <row r="5292" spans="1:12" ht="25" customHeight="1">
      <c r="A5292" s="2" t="s">
        <v>12</v>
      </c>
      <c r="B5292" s="2" t="str">
        <f>HYPERLINK("http://www.12365auto.com/xcdg/20200219/419000.shtml","丰富插混产品矩阵 宝马再推三款3系车型")</f>
        <v>丰富插混产品矩阵 宝马再推三款3系车型</v>
      </c>
      <c r="C5292" s="2" t="s">
        <v>13</v>
      </c>
      <c r="D5292" s="2" t="s">
        <v>12</v>
      </c>
      <c r="E5292" s="2" t="s">
        <v>216</v>
      </c>
      <c r="F5292" s="2" t="str">
        <f>HYPERLINK("http://www.12365auto.com/xcdg/20200219/419000.shtml","http://www.12365auto.com/xcdg/20200219/419000.shtml")</f>
        <v>http://www.12365auto.com/xcdg/20200219/419000.shtml</v>
      </c>
      <c r="G5292" s="2"/>
      <c r="H5292" s="2" t="s">
        <v>7453</v>
      </c>
      <c r="I5292" s="2" t="s">
        <v>15</v>
      </c>
      <c r="J5292" s="2" t="s">
        <v>12</v>
      </c>
      <c r="K5292" s="2" t="s">
        <v>7454</v>
      </c>
      <c r="L5292" s="2">
        <f t="shared" si="82"/>
        <v>150</v>
      </c>
    </row>
    <row r="5293" spans="1:12" ht="25" customHeight="1">
      <c r="A5293" s="2" t="s">
        <v>12</v>
      </c>
      <c r="B5293" s="2" t="str">
        <f>HYPERLINK("http://m.12365auto.com/xcdg/20200219/419000.shtml","丰富插混产品矩阵 宝马再推三款3系车型")</f>
        <v>丰富插混产品矩阵 宝马再推三款3系车型</v>
      </c>
      <c r="C5293" s="2" t="s">
        <v>13</v>
      </c>
      <c r="D5293" s="2" t="s">
        <v>12</v>
      </c>
      <c r="E5293" s="2"/>
      <c r="F5293" s="2" t="str">
        <f>HYPERLINK("http://m.12365auto.com/xcdg/20200219/419000.shtml","http://m.12365auto.com/xcdg/20200219/419000.shtml")</f>
        <v>http://m.12365auto.com/xcdg/20200219/419000.shtml</v>
      </c>
      <c r="G5293" s="2"/>
      <c r="H5293" s="2" t="s">
        <v>7455</v>
      </c>
      <c r="I5293" s="2" t="s">
        <v>19</v>
      </c>
      <c r="J5293" s="2" t="s">
        <v>855</v>
      </c>
      <c r="K5293" s="2" t="s">
        <v>7454</v>
      </c>
      <c r="L5293" s="2">
        <f t="shared" si="82"/>
        <v>150</v>
      </c>
    </row>
    <row r="5294" spans="1:12" ht="25" customHeight="1">
      <c r="A5294" s="2" t="s">
        <v>12</v>
      </c>
      <c r="B5294" s="2" t="str">
        <f>HYPERLINK("http://www.12365auto.com/news/20200219/418999.shtml","发动机升级 宝马采用双流道涡轮增压器")</f>
        <v>发动机升级 宝马采用双流道涡轮增压器</v>
      </c>
      <c r="C5294" s="2" t="s">
        <v>13</v>
      </c>
      <c r="D5294" s="2" t="s">
        <v>12</v>
      </c>
      <c r="E5294" s="2" t="s">
        <v>276</v>
      </c>
      <c r="F5294" s="2" t="str">
        <f>HYPERLINK("http://www.12365auto.com/news/20200219/418999.shtml","http://www.12365auto.com/news/20200219/418999.shtml")</f>
        <v>http://www.12365auto.com/news/20200219/418999.shtml</v>
      </c>
      <c r="G5294" s="2"/>
      <c r="H5294" s="2" t="s">
        <v>7456</v>
      </c>
      <c r="I5294" s="2" t="s">
        <v>15</v>
      </c>
      <c r="J5294" s="2" t="s">
        <v>12</v>
      </c>
      <c r="K5294" s="2" t="s">
        <v>7457</v>
      </c>
      <c r="L5294" s="2">
        <f t="shared" si="82"/>
        <v>150</v>
      </c>
    </row>
    <row r="5295" spans="1:12" ht="25" customHeight="1">
      <c r="A5295" s="2" t="s">
        <v>12</v>
      </c>
      <c r="B5295" s="2" t="str">
        <f>HYPERLINK("http://m.12365auto.com/news/20200219/418999.shtml","发动机升级 宝马采用双流道涡轮增压器")</f>
        <v>发动机升级 宝马采用双流道涡轮增压器</v>
      </c>
      <c r="C5295" s="2" t="s">
        <v>13</v>
      </c>
      <c r="D5295" s="2" t="s">
        <v>12</v>
      </c>
      <c r="E5295" s="2"/>
      <c r="F5295" s="2" t="str">
        <f>HYPERLINK("http://m.12365auto.com/news/20200219/418999.shtml","http://m.12365auto.com/news/20200219/418999.shtml")</f>
        <v>http://m.12365auto.com/news/20200219/418999.shtml</v>
      </c>
      <c r="G5295" s="2"/>
      <c r="H5295" s="2" t="s">
        <v>7458</v>
      </c>
      <c r="I5295" s="2" t="s">
        <v>19</v>
      </c>
      <c r="J5295" s="2" t="s">
        <v>1653</v>
      </c>
      <c r="K5295" s="2" t="s">
        <v>7457</v>
      </c>
      <c r="L5295" s="2">
        <f t="shared" si="82"/>
        <v>150</v>
      </c>
    </row>
    <row r="5296" spans="1:12" ht="25" customHeight="1">
      <c r="A5296" s="2" t="s">
        <v>12</v>
      </c>
      <c r="B5296" s="2" t="str">
        <f>HYPERLINK("http://www.12365auto.com/news/20200219/418998.shtml","销售新能源车 欧宝将在2021年重返日本")</f>
        <v>销售新能源车 欧宝将在2021年重返日本</v>
      </c>
      <c r="C5296" s="2" t="s">
        <v>13</v>
      </c>
      <c r="D5296" s="2" t="s">
        <v>12</v>
      </c>
      <c r="E5296" s="2" t="s">
        <v>276</v>
      </c>
      <c r="F5296" s="2" t="str">
        <f>HYPERLINK("http://www.12365auto.com/news/20200219/418998.shtml","http://www.12365auto.com/news/20200219/418998.shtml")</f>
        <v>http://www.12365auto.com/news/20200219/418998.shtml</v>
      </c>
      <c r="G5296" s="2"/>
      <c r="H5296" s="2" t="s">
        <v>7459</v>
      </c>
      <c r="I5296" s="2" t="s">
        <v>15</v>
      </c>
      <c r="J5296" s="2" t="s">
        <v>12</v>
      </c>
      <c r="K5296" s="2" t="s">
        <v>7460</v>
      </c>
      <c r="L5296" s="2">
        <f t="shared" si="82"/>
        <v>150</v>
      </c>
    </row>
    <row r="5297" spans="1:12" ht="25" customHeight="1">
      <c r="A5297" s="2" t="s">
        <v>12</v>
      </c>
      <c r="B5297" s="2" t="str">
        <f>HYPERLINK("http://m.12365auto.com/news/20200219/418998.shtml","销售新能源车 欧宝将在2021年重返日本")</f>
        <v>销售新能源车 欧宝将在2021年重返日本</v>
      </c>
      <c r="C5297" s="2" t="s">
        <v>13</v>
      </c>
      <c r="D5297" s="2" t="s">
        <v>12</v>
      </c>
      <c r="E5297" s="2"/>
      <c r="F5297" s="2" t="str">
        <f>HYPERLINK("http://m.12365auto.com/news/20200219/418998.shtml","http://m.12365auto.com/news/20200219/418998.shtml")</f>
        <v>http://m.12365auto.com/news/20200219/418998.shtml</v>
      </c>
      <c r="G5297" s="2"/>
      <c r="H5297" s="2" t="s">
        <v>7461</v>
      </c>
      <c r="I5297" s="2" t="s">
        <v>19</v>
      </c>
      <c r="J5297" s="2" t="s">
        <v>781</v>
      </c>
      <c r="K5297" s="2" t="s">
        <v>7460</v>
      </c>
      <c r="L5297" s="2">
        <f t="shared" si="82"/>
        <v>150</v>
      </c>
    </row>
    <row r="5298" spans="1:12" ht="25" customHeight="1">
      <c r="A5298" s="2" t="s">
        <v>12</v>
      </c>
      <c r="B5298" s="2" t="str">
        <f>HYPERLINK("http://www.12365auto.com/xcdg/20200219/418997.shtml","全面加速电气化研发 雷克萨斯透露新车计划")</f>
        <v>全面加速电气化研发 雷克萨斯透露新车计划</v>
      </c>
      <c r="C5298" s="2" t="s">
        <v>13</v>
      </c>
      <c r="D5298" s="2" t="s">
        <v>12</v>
      </c>
      <c r="E5298" s="2" t="s">
        <v>216</v>
      </c>
      <c r="F5298" s="2" t="str">
        <f>HYPERLINK("http://www.12365auto.com/xcdg/20200219/418997.shtml","http://www.12365auto.com/xcdg/20200219/418997.shtml")</f>
        <v>http://www.12365auto.com/xcdg/20200219/418997.shtml</v>
      </c>
      <c r="G5298" s="2"/>
      <c r="H5298" s="2" t="s">
        <v>7462</v>
      </c>
      <c r="I5298" s="2" t="s">
        <v>15</v>
      </c>
      <c r="J5298" s="2" t="s">
        <v>12</v>
      </c>
      <c r="K5298" s="2" t="s">
        <v>7463</v>
      </c>
      <c r="L5298" s="2">
        <f t="shared" si="82"/>
        <v>150</v>
      </c>
    </row>
    <row r="5299" spans="1:12" ht="25" customHeight="1">
      <c r="A5299" s="2" t="s">
        <v>12</v>
      </c>
      <c r="B5299" s="2" t="str">
        <f>HYPERLINK("http://m.12365auto.com/xcdg/20200219/418997.shtml","全面加速电气化研发 雷克萨斯透露新车计划")</f>
        <v>全面加速电气化研发 雷克萨斯透露新车计划</v>
      </c>
      <c r="C5299" s="2" t="s">
        <v>13</v>
      </c>
      <c r="D5299" s="2" t="s">
        <v>12</v>
      </c>
      <c r="E5299" s="2"/>
      <c r="F5299" s="2" t="str">
        <f>HYPERLINK("http://m.12365auto.com/xcdg/20200219/418997.shtml","http://m.12365auto.com/xcdg/20200219/418997.shtml")</f>
        <v>http://m.12365auto.com/xcdg/20200219/418997.shtml</v>
      </c>
      <c r="G5299" s="2"/>
      <c r="H5299" s="2" t="s">
        <v>7464</v>
      </c>
      <c r="I5299" s="2" t="s">
        <v>19</v>
      </c>
      <c r="J5299" s="2" t="s">
        <v>2589</v>
      </c>
      <c r="K5299" s="2" t="s">
        <v>7463</v>
      </c>
      <c r="L5299" s="2">
        <f t="shared" si="82"/>
        <v>150</v>
      </c>
    </row>
    <row r="5300" spans="1:12" ht="25" customHeight="1">
      <c r="A5300" s="2" t="s">
        <v>12</v>
      </c>
      <c r="B5300" s="2" t="str">
        <f>HYPERLINK("http://www.12365auto.com/xcdg/20200219/418996.shtml","战神中的战斗机 日产GT-R50将首发亮相")</f>
        <v>战神中的战斗机 日产GT-R50将首发亮相</v>
      </c>
      <c r="C5300" s="2" t="s">
        <v>13</v>
      </c>
      <c r="D5300" s="2" t="s">
        <v>12</v>
      </c>
      <c r="E5300" s="2" t="s">
        <v>216</v>
      </c>
      <c r="F5300" s="2" t="str">
        <f>HYPERLINK("http://www.12365auto.com/xcdg/20200219/418996.shtml","http://www.12365auto.com/xcdg/20200219/418996.shtml")</f>
        <v>http://www.12365auto.com/xcdg/20200219/418996.shtml</v>
      </c>
      <c r="G5300" s="2"/>
      <c r="H5300" s="2" t="s">
        <v>7465</v>
      </c>
      <c r="I5300" s="2" t="s">
        <v>15</v>
      </c>
      <c r="J5300" s="2" t="s">
        <v>12</v>
      </c>
      <c r="K5300" s="2" t="s">
        <v>7466</v>
      </c>
      <c r="L5300" s="2">
        <f t="shared" si="82"/>
        <v>150</v>
      </c>
    </row>
    <row r="5301" spans="1:12" ht="25" customHeight="1">
      <c r="A5301" s="2" t="s">
        <v>12</v>
      </c>
      <c r="B5301" s="2" t="str">
        <f>HYPERLINK("http://m.12365auto.com/xcdg/20200219/418996.shtml","战神中的战斗机 日产GT-R50将首发亮相")</f>
        <v>战神中的战斗机 日产GT-R50将首发亮相</v>
      </c>
      <c r="C5301" s="2" t="s">
        <v>13</v>
      </c>
      <c r="D5301" s="2" t="s">
        <v>12</v>
      </c>
      <c r="E5301" s="2"/>
      <c r="F5301" s="2" t="str">
        <f>HYPERLINK("http://m.12365auto.com/xcdg/20200219/418996.shtml","http://m.12365auto.com/xcdg/20200219/418996.shtml")</f>
        <v>http://m.12365auto.com/xcdg/20200219/418996.shtml</v>
      </c>
      <c r="G5301" s="2"/>
      <c r="H5301" s="2" t="s">
        <v>7467</v>
      </c>
      <c r="I5301" s="2" t="s">
        <v>19</v>
      </c>
      <c r="J5301" s="2" t="s">
        <v>1623</v>
      </c>
      <c r="K5301" s="2" t="s">
        <v>7466</v>
      </c>
      <c r="L5301" s="2">
        <f t="shared" si="82"/>
        <v>150</v>
      </c>
    </row>
    <row r="5302" spans="1:12" ht="25" customHeight="1">
      <c r="A5302" s="2" t="s">
        <v>12</v>
      </c>
      <c r="B5302" s="2" t="str">
        <f>HYPERLINK("http://www.12365auto.com/xcdg/20200219/418995.shtml","奔腾C105将第二季度上市 续航里程450km")</f>
        <v>奔腾C105将第二季度上市 续航里程450km</v>
      </c>
      <c r="C5302" s="2" t="s">
        <v>13</v>
      </c>
      <c r="D5302" s="2" t="s">
        <v>12</v>
      </c>
      <c r="E5302" s="2" t="s">
        <v>245</v>
      </c>
      <c r="F5302" s="2" t="str">
        <f>HYPERLINK("http://www.12365auto.com/xcdg/20200219/418995.shtml","http://www.12365auto.com/xcdg/20200219/418995.shtml")</f>
        <v>http://www.12365auto.com/xcdg/20200219/418995.shtml</v>
      </c>
      <c r="G5302" s="2"/>
      <c r="H5302" s="2" t="s">
        <v>7468</v>
      </c>
      <c r="I5302" s="2" t="s">
        <v>19</v>
      </c>
      <c r="J5302" s="2" t="s">
        <v>12</v>
      </c>
      <c r="K5302" s="2" t="s">
        <v>7469</v>
      </c>
      <c r="L5302" s="2">
        <f t="shared" si="82"/>
        <v>150</v>
      </c>
    </row>
    <row r="5303" spans="1:12" ht="25" customHeight="1">
      <c r="A5303" s="2" t="s">
        <v>12</v>
      </c>
      <c r="B5303" s="2" t="str">
        <f>HYPERLINK("http://m.12365auto.com/xcdg/20200219/418995.shtml","奔腾C105将第二季度上市 续航里程450km")</f>
        <v>奔腾C105将第二季度上市 续航里程450km</v>
      </c>
      <c r="C5303" s="2" t="s">
        <v>13</v>
      </c>
      <c r="D5303" s="2" t="s">
        <v>12</v>
      </c>
      <c r="E5303" s="2"/>
      <c r="F5303" s="2" t="str">
        <f>HYPERLINK("http://m.12365auto.com/xcdg/20200219/418995.shtml","http://m.12365auto.com/xcdg/20200219/418995.shtml")</f>
        <v>http://m.12365auto.com/xcdg/20200219/418995.shtml</v>
      </c>
      <c r="G5303" s="2"/>
      <c r="H5303" s="2" t="s">
        <v>7470</v>
      </c>
      <c r="I5303" s="2" t="s">
        <v>19</v>
      </c>
      <c r="J5303" s="2" t="s">
        <v>1657</v>
      </c>
      <c r="K5303" s="2" t="s">
        <v>7469</v>
      </c>
      <c r="L5303" s="2">
        <f t="shared" si="82"/>
        <v>150</v>
      </c>
    </row>
    <row r="5304" spans="1:12" ht="25" customHeight="1">
      <c r="A5304" s="2" t="s">
        <v>12</v>
      </c>
      <c r="B5304" s="2" t="str">
        <f>HYPERLINK("http://www.12365auto.com/xcdg/20200219/418994.shtml","新款大众朗逸纯电信息曝光 续航346km")</f>
        <v>新款大众朗逸纯电信息曝光 续航346km</v>
      </c>
      <c r="C5304" s="2" t="s">
        <v>13</v>
      </c>
      <c r="D5304" s="2" t="s">
        <v>12</v>
      </c>
      <c r="E5304" s="2" t="s">
        <v>245</v>
      </c>
      <c r="F5304" s="2" t="str">
        <f>HYPERLINK("http://www.12365auto.com/xcdg/20200219/418994.shtml","http://www.12365auto.com/xcdg/20200219/418994.shtml")</f>
        <v>http://www.12365auto.com/xcdg/20200219/418994.shtml</v>
      </c>
      <c r="G5304" s="2"/>
      <c r="H5304" s="2" t="s">
        <v>7471</v>
      </c>
      <c r="I5304" s="2" t="s">
        <v>19</v>
      </c>
      <c r="J5304" s="2" t="s">
        <v>12</v>
      </c>
      <c r="K5304" s="2" t="s">
        <v>7472</v>
      </c>
      <c r="L5304" s="2">
        <f t="shared" si="82"/>
        <v>150</v>
      </c>
    </row>
    <row r="5305" spans="1:12" ht="25" customHeight="1">
      <c r="A5305" s="2" t="s">
        <v>12</v>
      </c>
      <c r="B5305" s="2" t="str">
        <f>HYPERLINK("http://m.12365auto.com/xcdg/20200219/418994.shtml","新款大众朗逸纯电信息曝光 续航346km")</f>
        <v>新款大众朗逸纯电信息曝光 续航346km</v>
      </c>
      <c r="C5305" s="2" t="s">
        <v>13</v>
      </c>
      <c r="D5305" s="2" t="s">
        <v>12</v>
      </c>
      <c r="E5305" s="2"/>
      <c r="F5305" s="2" t="str">
        <f>HYPERLINK("http://m.12365auto.com/xcdg/20200219/418994.shtml","http://m.12365auto.com/xcdg/20200219/418994.shtml")</f>
        <v>http://m.12365auto.com/xcdg/20200219/418994.shtml</v>
      </c>
      <c r="G5305" s="2"/>
      <c r="H5305" s="2" t="s">
        <v>7473</v>
      </c>
      <c r="I5305" s="2" t="s">
        <v>19</v>
      </c>
      <c r="J5305" s="2" t="s">
        <v>1657</v>
      </c>
      <c r="K5305" s="2" t="s">
        <v>7472</v>
      </c>
      <c r="L5305" s="2">
        <f t="shared" si="82"/>
        <v>150</v>
      </c>
    </row>
    <row r="5306" spans="1:12" ht="25" customHeight="1">
      <c r="A5306" s="2" t="s">
        <v>12</v>
      </c>
      <c r="B5306" s="2" t="str">
        <f>HYPERLINK("http://m.12365auto.com/news/20200219/418993.shtml","疫情过后 新上路的车手们请注意")</f>
        <v>疫情过后 新上路的车手们请注意</v>
      </c>
      <c r="C5306" s="2" t="s">
        <v>13</v>
      </c>
      <c r="D5306" s="2" t="s">
        <v>12</v>
      </c>
      <c r="E5306" s="2"/>
      <c r="F5306" s="2" t="str">
        <f>HYPERLINK("http://m.12365auto.com/news/20200219/418993.shtml","http://m.12365auto.com/news/20200219/418993.shtml")</f>
        <v>http://m.12365auto.com/news/20200219/418993.shtml</v>
      </c>
      <c r="G5306" s="2"/>
      <c r="H5306" s="2" t="s">
        <v>7474</v>
      </c>
      <c r="I5306" s="2" t="s">
        <v>19</v>
      </c>
      <c r="J5306" s="2" t="s">
        <v>12</v>
      </c>
      <c r="K5306" s="2" t="s">
        <v>7475</v>
      </c>
      <c r="L5306" s="2">
        <f t="shared" si="82"/>
        <v>150</v>
      </c>
    </row>
    <row r="5307" spans="1:12" ht="25" customHeight="1">
      <c r="A5307" s="2" t="s">
        <v>12</v>
      </c>
      <c r="B5307" s="2" t="str">
        <f>HYPERLINK("http://www.12365auto.com/news/20200219/418993.shtml","疫情过后 新上路的车手们请注意")</f>
        <v>疫情过后 新上路的车手们请注意</v>
      </c>
      <c r="C5307" s="2" t="s">
        <v>13</v>
      </c>
      <c r="D5307" s="2" t="s">
        <v>12</v>
      </c>
      <c r="E5307" s="2" t="s">
        <v>372</v>
      </c>
      <c r="F5307" s="2" t="str">
        <f>HYPERLINK("http://www.12365auto.com/news/20200219/418993.shtml","http://www.12365auto.com/news/20200219/418993.shtml")</f>
        <v>http://www.12365auto.com/news/20200219/418993.shtml</v>
      </c>
      <c r="G5307" s="2"/>
      <c r="H5307" s="2" t="s">
        <v>7476</v>
      </c>
      <c r="I5307" s="2" t="s">
        <v>15</v>
      </c>
      <c r="J5307" s="2" t="s">
        <v>12</v>
      </c>
      <c r="K5307" s="2" t="s">
        <v>7475</v>
      </c>
      <c r="L5307" s="2">
        <f t="shared" si="82"/>
        <v>150</v>
      </c>
    </row>
    <row r="5308" spans="1:12" ht="25" customHeight="1">
      <c r="A5308" s="2" t="s">
        <v>12</v>
      </c>
      <c r="B5308" s="2" t="str">
        <f>HYPERLINK("http://m.12365auto.com/news/20200219/418992.shtml","爱车上的八个“隐藏功能” 你都用过吗？")</f>
        <v>爱车上的八个“隐藏功能” 你都用过吗？</v>
      </c>
      <c r="C5308" s="2" t="s">
        <v>13</v>
      </c>
      <c r="D5308" s="2" t="s">
        <v>12</v>
      </c>
      <c r="E5308" s="2"/>
      <c r="F5308" s="2" t="str">
        <f>HYPERLINK("http://m.12365auto.com/news/20200219/418992.shtml","http://m.12365auto.com/news/20200219/418992.shtml")</f>
        <v>http://m.12365auto.com/news/20200219/418992.shtml</v>
      </c>
      <c r="G5308" s="2"/>
      <c r="H5308" s="2" t="s">
        <v>7477</v>
      </c>
      <c r="I5308" s="2" t="s">
        <v>19</v>
      </c>
      <c r="J5308" s="2" t="s">
        <v>12</v>
      </c>
      <c r="K5308" s="2" t="s">
        <v>7478</v>
      </c>
      <c r="L5308" s="2">
        <f t="shared" si="82"/>
        <v>150</v>
      </c>
    </row>
    <row r="5309" spans="1:12" ht="25" customHeight="1">
      <c r="A5309" s="2" t="s">
        <v>12</v>
      </c>
      <c r="B5309" s="2" t="str">
        <f>HYPERLINK("http://www.12365auto.com/news/20200219/418992.shtml","爱车上的八个“隐藏功能” 你都用过吗？")</f>
        <v>爱车上的八个“隐藏功能” 你都用过吗？</v>
      </c>
      <c r="C5309" s="2" t="s">
        <v>13</v>
      </c>
      <c r="D5309" s="2" t="s">
        <v>12</v>
      </c>
      <c r="E5309" s="2" t="s">
        <v>372</v>
      </c>
      <c r="F5309" s="2" t="str">
        <f>HYPERLINK("http://www.12365auto.com/news/20200219/418992.shtml","http://www.12365auto.com/news/20200219/418992.shtml")</f>
        <v>http://www.12365auto.com/news/20200219/418992.shtml</v>
      </c>
      <c r="G5309" s="2"/>
      <c r="H5309" s="2" t="s">
        <v>7479</v>
      </c>
      <c r="I5309" s="2" t="s">
        <v>15</v>
      </c>
      <c r="J5309" s="2" t="s">
        <v>12</v>
      </c>
      <c r="K5309" s="2" t="s">
        <v>7478</v>
      </c>
      <c r="L5309" s="2">
        <f t="shared" si="82"/>
        <v>150</v>
      </c>
    </row>
    <row r="5310" spans="1:12" ht="25" customHeight="1">
      <c r="A5310" s="2" t="s">
        <v>12</v>
      </c>
      <c r="B5310" s="2" t="str">
        <f>HYPERLINK("http://www.12365auto.com/xcdg/20200219/418991.shtml","奔驰GLE 63 S Coupe官图 今年秋季上市开售")</f>
        <v>奔驰GLE 63 S Coupe官图 今年秋季上市开售</v>
      </c>
      <c r="C5310" s="2" t="s">
        <v>13</v>
      </c>
      <c r="D5310" s="2" t="s">
        <v>12</v>
      </c>
      <c r="E5310" s="2" t="s">
        <v>245</v>
      </c>
      <c r="F5310" s="2" t="str">
        <f>HYPERLINK("http://www.12365auto.com/xcdg/20200219/418991.shtml","http://www.12365auto.com/xcdg/20200219/418991.shtml")</f>
        <v>http://www.12365auto.com/xcdg/20200219/418991.shtml</v>
      </c>
      <c r="G5310" s="2"/>
      <c r="H5310" s="2" t="s">
        <v>7480</v>
      </c>
      <c r="I5310" s="2" t="s">
        <v>19</v>
      </c>
      <c r="J5310" s="2" t="s">
        <v>12</v>
      </c>
      <c r="K5310" s="2" t="s">
        <v>7481</v>
      </c>
      <c r="L5310" s="2">
        <f t="shared" si="82"/>
        <v>150</v>
      </c>
    </row>
    <row r="5311" spans="1:12" ht="25" customHeight="1">
      <c r="A5311" s="2" t="s">
        <v>12</v>
      </c>
      <c r="B5311" s="2" t="str">
        <f>HYPERLINK("http://m.12365auto.com/xcdg/20200219/418991.shtml","奔驰GLE 63 S Coupe官图 今年秋季上市开售")</f>
        <v>奔驰GLE 63 S Coupe官图 今年秋季上市开售</v>
      </c>
      <c r="C5311" s="2" t="s">
        <v>13</v>
      </c>
      <c r="D5311" s="2" t="s">
        <v>12</v>
      </c>
      <c r="E5311" s="2"/>
      <c r="F5311" s="2" t="str">
        <f>HYPERLINK("http://m.12365auto.com/xcdg/20200219/418991.shtml","http://m.12365auto.com/xcdg/20200219/418991.shtml")</f>
        <v>http://m.12365auto.com/xcdg/20200219/418991.shtml</v>
      </c>
      <c r="G5311" s="2"/>
      <c r="H5311" s="2" t="s">
        <v>7482</v>
      </c>
      <c r="I5311" s="2" t="s">
        <v>19</v>
      </c>
      <c r="J5311" s="2" t="s">
        <v>220</v>
      </c>
      <c r="K5311" s="2" t="s">
        <v>7481</v>
      </c>
      <c r="L5311" s="2">
        <f t="shared" si="82"/>
        <v>150</v>
      </c>
    </row>
    <row r="5312" spans="1:12" ht="25" customHeight="1">
      <c r="A5312" s="2" t="s">
        <v>12</v>
      </c>
      <c r="B5312" s="2" t="str">
        <f>HYPERLINK("http://www.12365auto.com/zlts/20200219/447743.shtml","郑州日产途达停放一天后无法启动")</f>
        <v>郑州日产途达停放一天后无法启动</v>
      </c>
      <c r="C5312" s="2" t="s">
        <v>13</v>
      </c>
      <c r="D5312" s="2" t="s">
        <v>12</v>
      </c>
      <c r="E5312" s="2" t="s">
        <v>17</v>
      </c>
      <c r="F5312" s="2" t="str">
        <f>HYPERLINK("http://www.12365auto.com/zlts/20200219/447743.shtml","http://www.12365auto.com/zlts/20200219/447743.shtml")</f>
        <v>http://www.12365auto.com/zlts/20200219/447743.shtml</v>
      </c>
      <c r="G5312" s="2"/>
      <c r="H5312" s="2" t="s">
        <v>7483</v>
      </c>
      <c r="I5312" s="2" t="s">
        <v>19</v>
      </c>
      <c r="J5312" s="2" t="s">
        <v>12</v>
      </c>
      <c r="K5312" s="2" t="s">
        <v>7484</v>
      </c>
      <c r="L5312" s="2">
        <f t="shared" si="82"/>
        <v>150</v>
      </c>
    </row>
    <row r="5313" spans="1:12" ht="25" customHeight="1">
      <c r="A5313" s="2" t="s">
        <v>12</v>
      </c>
      <c r="B5313" s="2" t="str">
        <f>HYPERLINK("http://www.12365auto.com/zlts/20200219/447742.shtml","东风日产天籁自动刹车 车机及导航死机")</f>
        <v>东风日产天籁自动刹车 车机及导航死机</v>
      </c>
      <c r="C5313" s="2" t="s">
        <v>13</v>
      </c>
      <c r="D5313" s="2" t="s">
        <v>12</v>
      </c>
      <c r="E5313" s="2" t="s">
        <v>17</v>
      </c>
      <c r="F5313" s="2" t="str">
        <f>HYPERLINK("http://www.12365auto.com/zlts/20200219/447742.shtml","http://www.12365auto.com/zlts/20200219/447742.shtml")</f>
        <v>http://www.12365auto.com/zlts/20200219/447742.shtml</v>
      </c>
      <c r="G5313" s="2"/>
      <c r="H5313" s="2" t="s">
        <v>7485</v>
      </c>
      <c r="I5313" s="2" t="s">
        <v>15</v>
      </c>
      <c r="J5313" s="2" t="s">
        <v>12</v>
      </c>
      <c r="K5313" s="2" t="s">
        <v>7486</v>
      </c>
      <c r="L5313" s="2">
        <f t="shared" si="82"/>
        <v>150</v>
      </c>
    </row>
    <row r="5314" spans="1:12" ht="25" customHeight="1">
      <c r="A5314" s="2" t="s">
        <v>12</v>
      </c>
      <c r="B5314" s="2" t="str">
        <f>HYPERLINK("http://www.12365auto.com/zlts/20200219/447741.shtml","东风日产骐达变速箱异响车身生锈严重")</f>
        <v>东风日产骐达变速箱异响车身生锈严重</v>
      </c>
      <c r="C5314" s="2" t="s">
        <v>13</v>
      </c>
      <c r="D5314" s="2" t="s">
        <v>12</v>
      </c>
      <c r="E5314" s="2" t="s">
        <v>17</v>
      </c>
      <c r="F5314" s="2" t="str">
        <f>HYPERLINK("http://www.12365auto.com/zlts/20200219/447741.shtml","http://www.12365auto.com/zlts/20200219/447741.shtml")</f>
        <v>http://www.12365auto.com/zlts/20200219/447741.shtml</v>
      </c>
      <c r="G5314" s="2"/>
      <c r="H5314" s="2" t="s">
        <v>7487</v>
      </c>
      <c r="I5314" s="2" t="s">
        <v>19</v>
      </c>
      <c r="J5314" s="2" t="s">
        <v>12</v>
      </c>
      <c r="K5314" s="2" t="s">
        <v>7488</v>
      </c>
      <c r="L5314" s="2">
        <f t="shared" si="82"/>
        <v>150</v>
      </c>
    </row>
    <row r="5315" spans="1:12" ht="25" customHeight="1">
      <c r="A5315" s="2" t="s">
        <v>12</v>
      </c>
      <c r="B5315" s="2" t="str">
        <f>HYPERLINK("http://m.12365auto.com/zjdy/20200219/121395.shtml","雪铁龙C5为什么没有国六版的车型？")</f>
        <v>雪铁龙C5为什么没有国六版的车型？</v>
      </c>
      <c r="C5315" s="2" t="s">
        <v>13</v>
      </c>
      <c r="D5315" s="2" t="s">
        <v>12</v>
      </c>
      <c r="E5315" s="2"/>
      <c r="F5315" s="2" t="str">
        <f>HYPERLINK("http://m.12365auto.com/zjdy/20200219/121395.shtml","http://m.12365auto.com/zjdy/20200219/121395.shtml")</f>
        <v>http://m.12365auto.com/zjdy/20200219/121395.shtml</v>
      </c>
      <c r="G5315" s="2"/>
      <c r="H5315" s="2" t="s">
        <v>7489</v>
      </c>
      <c r="I5315" s="2" t="s">
        <v>19</v>
      </c>
      <c r="J5315" s="2" t="s">
        <v>12</v>
      </c>
      <c r="K5315" s="2" t="s">
        <v>7490</v>
      </c>
      <c r="L5315" s="2">
        <f t="shared" ref="L5315:L5378" si="83">LEN(H5315)</f>
        <v>64</v>
      </c>
    </row>
    <row r="5316" spans="1:12" ht="25" customHeight="1">
      <c r="A5316" s="2" t="s">
        <v>12</v>
      </c>
      <c r="B5316" s="2" t="str">
        <f>HYPERLINK("http://m.12365auto.com/zjdy/20200219/121394.shtml","广汽和长安的车的质量和技术哪个比较好？")</f>
        <v>广汽和长安的车的质量和技术哪个比较好？</v>
      </c>
      <c r="C5316" s="2" t="s">
        <v>13</v>
      </c>
      <c r="D5316" s="2" t="s">
        <v>12</v>
      </c>
      <c r="E5316" s="2"/>
      <c r="F5316" s="2" t="str">
        <f>HYPERLINK("http://m.12365auto.com/zjdy/20200219/121394.shtml","http://m.12365auto.com/zjdy/20200219/121394.shtml")</f>
        <v>http://m.12365auto.com/zjdy/20200219/121394.shtml</v>
      </c>
      <c r="G5316" s="2"/>
      <c r="H5316" s="2" t="s">
        <v>7491</v>
      </c>
      <c r="I5316" s="2" t="s">
        <v>19</v>
      </c>
      <c r="J5316" s="2" t="s">
        <v>12</v>
      </c>
      <c r="K5316" s="2" t="s">
        <v>7492</v>
      </c>
      <c r="L5316" s="2">
        <f t="shared" si="83"/>
        <v>45</v>
      </c>
    </row>
    <row r="5317" spans="1:12" ht="25" customHeight="1">
      <c r="A5317" s="2" t="s">
        <v>12</v>
      </c>
      <c r="B5317" s="2" t="str">
        <f>HYPERLINK("http://www.12365auto.com/xcdg/20200219/418990.shtml","亚洲龙赛道版宽体套件实车曝光")</f>
        <v>亚洲龙赛道版宽体套件实车曝光</v>
      </c>
      <c r="C5317" s="2" t="s">
        <v>13</v>
      </c>
      <c r="D5317" s="2" t="s">
        <v>12</v>
      </c>
      <c r="E5317" s="2" t="s">
        <v>245</v>
      </c>
      <c r="F5317" s="2" t="str">
        <f>HYPERLINK("http://www.12365auto.com/xcdg/20200219/418990.shtml","http://www.12365auto.com/xcdg/20200219/418990.shtml")</f>
        <v>http://www.12365auto.com/xcdg/20200219/418990.shtml</v>
      </c>
      <c r="G5317" s="2"/>
      <c r="H5317" s="2" t="s">
        <v>7493</v>
      </c>
      <c r="I5317" s="2" t="s">
        <v>19</v>
      </c>
      <c r="J5317" s="2" t="s">
        <v>12</v>
      </c>
      <c r="K5317" s="2" t="s">
        <v>7494</v>
      </c>
      <c r="L5317" s="2">
        <f t="shared" si="83"/>
        <v>150</v>
      </c>
    </row>
    <row r="5318" spans="1:12" ht="25" customHeight="1">
      <c r="A5318" s="2" t="s">
        <v>12</v>
      </c>
      <c r="B5318" s="2" t="str">
        <f>HYPERLINK("http://m.12365auto.com/xcdg/20200219/418990.shtml","亚洲龙赛道版宽体套件实车曝光")</f>
        <v>亚洲龙赛道版宽体套件实车曝光</v>
      </c>
      <c r="C5318" s="2" t="s">
        <v>13</v>
      </c>
      <c r="D5318" s="2" t="s">
        <v>12</v>
      </c>
      <c r="E5318" s="2"/>
      <c r="F5318" s="2" t="str">
        <f>HYPERLINK("http://m.12365auto.com/xcdg/20200219/418990.shtml","http://m.12365auto.com/xcdg/20200219/418990.shtml")</f>
        <v>http://m.12365auto.com/xcdg/20200219/418990.shtml</v>
      </c>
      <c r="G5318" s="2"/>
      <c r="H5318" s="2" t="s">
        <v>7495</v>
      </c>
      <c r="I5318" s="2" t="s">
        <v>19</v>
      </c>
      <c r="J5318" s="2" t="s">
        <v>222</v>
      </c>
      <c r="K5318" s="2" t="s">
        <v>7494</v>
      </c>
      <c r="L5318" s="2">
        <f t="shared" si="83"/>
        <v>150</v>
      </c>
    </row>
    <row r="5319" spans="1:12" ht="25" customHeight="1">
      <c r="A5319" s="2" t="s">
        <v>12</v>
      </c>
      <c r="B5319" s="2" t="str">
        <f>HYPERLINK("http://www.12365auto.com/zlts/20200219/447739.shtml","上汽大众途观发动机漏油希望厂家处理")</f>
        <v>上汽大众途观发动机漏油希望厂家处理</v>
      </c>
      <c r="C5319" s="2" t="s">
        <v>13</v>
      </c>
      <c r="D5319" s="2" t="s">
        <v>12</v>
      </c>
      <c r="E5319" s="2" t="s">
        <v>17</v>
      </c>
      <c r="F5319" s="2" t="str">
        <f>HYPERLINK("http://www.12365auto.com/zlts/20200219/447739.shtml","http://www.12365auto.com/zlts/20200219/447739.shtml")</f>
        <v>http://www.12365auto.com/zlts/20200219/447739.shtml</v>
      </c>
      <c r="G5319" s="2"/>
      <c r="H5319" s="2" t="s">
        <v>7496</v>
      </c>
      <c r="I5319" s="2" t="s">
        <v>19</v>
      </c>
      <c r="J5319" s="2" t="s">
        <v>12</v>
      </c>
      <c r="K5319" s="2" t="s">
        <v>7497</v>
      </c>
      <c r="L5319" s="2">
        <f t="shared" si="83"/>
        <v>150</v>
      </c>
    </row>
    <row r="5320" spans="1:12" ht="25" customHeight="1">
      <c r="A5320" s="2" t="s">
        <v>12</v>
      </c>
      <c r="B5320" s="2" t="str">
        <f>HYPERLINK("http://bbs.12365auto.com/postcontent.aspx?tId=194539","强强对决！迈腾 VS 雅阁，谁才是“B级车之王”？")</f>
        <v>强强对决！迈腾 VS 雅阁，谁才是“B级车之王”？</v>
      </c>
      <c r="C5320" s="2" t="s">
        <v>13</v>
      </c>
      <c r="D5320" s="2" t="s">
        <v>12</v>
      </c>
      <c r="E5320" s="2" t="s">
        <v>27</v>
      </c>
      <c r="F5320" s="2" t="str">
        <f>HYPERLINK("http://bbs.12365auto.com/postcontent.aspx?tId=194539","http://bbs.12365auto.com/postcontent.aspx?tId=194539")</f>
        <v>http://bbs.12365auto.com/postcontent.aspx?tId=194539</v>
      </c>
      <c r="G5320" s="2"/>
      <c r="H5320" s="2" t="s">
        <v>7498</v>
      </c>
      <c r="I5320" s="2" t="s">
        <v>15</v>
      </c>
      <c r="J5320" s="2" t="s">
        <v>7499</v>
      </c>
      <c r="K5320" s="2" t="s">
        <v>7500</v>
      </c>
      <c r="L5320" s="2">
        <f t="shared" si="83"/>
        <v>150</v>
      </c>
    </row>
    <row r="5321" spans="1:12" ht="25" customHeight="1">
      <c r="A5321" s="2" t="s">
        <v>12</v>
      </c>
      <c r="B5321" s="2" t="str">
        <f>HYPERLINK("http://www.12365auto.com/xcdg/20200219/418989.shtml","丰田/雷克萨斯新车规划 卡罗拉将推跨界版")</f>
        <v>丰田/雷克萨斯新车规划 卡罗拉将推跨界版</v>
      </c>
      <c r="C5321" s="2" t="s">
        <v>13</v>
      </c>
      <c r="D5321" s="2" t="s">
        <v>12</v>
      </c>
      <c r="E5321" s="2" t="s">
        <v>216</v>
      </c>
      <c r="F5321" s="2" t="str">
        <f>HYPERLINK("http://www.12365auto.com/xcdg/20200219/418989.shtml","http://www.12365auto.com/xcdg/20200219/418989.shtml")</f>
        <v>http://www.12365auto.com/xcdg/20200219/418989.shtml</v>
      </c>
      <c r="G5321" s="2"/>
      <c r="H5321" s="2" t="s">
        <v>7501</v>
      </c>
      <c r="I5321" s="2" t="s">
        <v>15</v>
      </c>
      <c r="J5321" s="2" t="s">
        <v>12</v>
      </c>
      <c r="K5321" s="2" t="s">
        <v>7500</v>
      </c>
      <c r="L5321" s="2">
        <f t="shared" si="83"/>
        <v>150</v>
      </c>
    </row>
    <row r="5322" spans="1:12" ht="25" customHeight="1">
      <c r="A5322" s="2" t="s">
        <v>12</v>
      </c>
      <c r="B5322" s="2" t="str">
        <f>HYPERLINK("http://bbs.12365auto.com/postcontent.aspx?tID=194539","强强对决！迈腾 VS 雅阁，谁才是“B级车之王”？")</f>
        <v>强强对决！迈腾 VS 雅阁，谁才是“B级车之王”？</v>
      </c>
      <c r="C5322" s="2" t="s">
        <v>13</v>
      </c>
      <c r="D5322" s="2" t="s">
        <v>12</v>
      </c>
      <c r="E5322" s="2" t="s">
        <v>28</v>
      </c>
      <c r="F5322" s="2" t="str">
        <f>HYPERLINK("http://bbs.12365auto.com/postcontent.aspx?tID=194539","http://bbs.12365auto.com/postcontent.aspx?tID=194539")</f>
        <v>http://bbs.12365auto.com/postcontent.aspx?tID=194539</v>
      </c>
      <c r="G5322" s="2"/>
      <c r="H5322" s="2" t="s">
        <v>7502</v>
      </c>
      <c r="I5322" s="2" t="s">
        <v>15</v>
      </c>
      <c r="J5322" s="2" t="s">
        <v>7499</v>
      </c>
      <c r="K5322" s="2" t="s">
        <v>7500</v>
      </c>
      <c r="L5322" s="2">
        <f t="shared" si="83"/>
        <v>150</v>
      </c>
    </row>
    <row r="5323" spans="1:12" ht="25" customHeight="1">
      <c r="A5323" s="2" t="s">
        <v>12</v>
      </c>
      <c r="B5323" s="2" t="str">
        <f>HYPERLINK("http://m.12365auto.com/xcdg/20200219/418989.shtml","丰田/雷克萨斯新车规划 卡罗拉将推跨界版")</f>
        <v>丰田/雷克萨斯新车规划 卡罗拉将推跨界版</v>
      </c>
      <c r="C5323" s="2" t="s">
        <v>13</v>
      </c>
      <c r="D5323" s="2" t="s">
        <v>12</v>
      </c>
      <c r="E5323" s="2"/>
      <c r="F5323" s="2" t="str">
        <f>HYPERLINK("http://m.12365auto.com/xcdg/20200219/418989.shtml","http://m.12365auto.com/xcdg/20200219/418989.shtml")</f>
        <v>http://m.12365auto.com/xcdg/20200219/418989.shtml</v>
      </c>
      <c r="G5323" s="2"/>
      <c r="H5323" s="2" t="s">
        <v>7503</v>
      </c>
      <c r="I5323" s="2" t="s">
        <v>19</v>
      </c>
      <c r="J5323" s="2" t="s">
        <v>5774</v>
      </c>
      <c r="K5323" s="2" t="s">
        <v>7500</v>
      </c>
      <c r="L5323" s="2">
        <f t="shared" si="83"/>
        <v>150</v>
      </c>
    </row>
    <row r="5324" spans="1:12" ht="25" customHeight="1">
      <c r="A5324" s="2" t="s">
        <v>12</v>
      </c>
      <c r="B5324" s="2" t="str">
        <f>HYPERLINK("http://m.12365auto.com/bbs/postcontent.aspx?tID=194539","强强对决！迈腾 VS 雅阁，谁才是“B级车之王”？")</f>
        <v>强强对决！迈腾 VS 雅阁，谁才是“B级车之王”？</v>
      </c>
      <c r="C5324" s="2" t="s">
        <v>13</v>
      </c>
      <c r="D5324" s="2" t="s">
        <v>23</v>
      </c>
      <c r="E5324" s="2"/>
      <c r="F5324" s="2" t="str">
        <f>HYPERLINK("http://m.12365auto.com/bbs/postcontent.aspx?tID=194539","http://m.12365auto.com/bbs/postcontent.aspx?tID=194539")</f>
        <v>http://m.12365auto.com/bbs/postcontent.aspx?tID=194539</v>
      </c>
      <c r="G5324" s="2"/>
      <c r="H5324" s="2" t="s">
        <v>7498</v>
      </c>
      <c r="I5324" s="2" t="s">
        <v>15</v>
      </c>
      <c r="J5324" s="2" t="s">
        <v>7499</v>
      </c>
      <c r="K5324" s="2" t="s">
        <v>7500</v>
      </c>
      <c r="L5324" s="2">
        <f t="shared" si="83"/>
        <v>150</v>
      </c>
    </row>
    <row r="5325" spans="1:12" ht="25" customHeight="1">
      <c r="A5325" s="2" t="s">
        <v>12</v>
      </c>
      <c r="B5325" s="2" t="str">
        <f>HYPERLINK("http://bbs.12365auto.com/postcontent.aspx?tId=194538","奥迪四门A5不如买A4？这篇文章告诉你，奥迪A5到底是个什么存在")</f>
        <v>奥迪四门A5不如买A4？这篇文章告诉你，奥迪A5到底是个什么存在</v>
      </c>
      <c r="C5325" s="2" t="s">
        <v>13</v>
      </c>
      <c r="D5325" s="2" t="s">
        <v>12</v>
      </c>
      <c r="E5325" s="2" t="s">
        <v>27</v>
      </c>
      <c r="F5325" s="2" t="str">
        <f>HYPERLINK("http://bbs.12365auto.com/postcontent.aspx?tId=194538","http://bbs.12365auto.com/postcontent.aspx?tId=194538")</f>
        <v>http://bbs.12365auto.com/postcontent.aspx?tId=194538</v>
      </c>
      <c r="G5325" s="2"/>
      <c r="H5325" s="2" t="s">
        <v>7504</v>
      </c>
      <c r="I5325" s="2" t="s">
        <v>15</v>
      </c>
      <c r="J5325" s="2" t="s">
        <v>7499</v>
      </c>
      <c r="K5325" s="2" t="s">
        <v>7505</v>
      </c>
      <c r="L5325" s="2">
        <f t="shared" si="83"/>
        <v>150</v>
      </c>
    </row>
    <row r="5326" spans="1:12" ht="25" customHeight="1">
      <c r="A5326" s="2" t="s">
        <v>12</v>
      </c>
      <c r="B5326" s="2" t="str">
        <f>HYPERLINK("http://bbs.12365auto.com/postcontent.aspx?tID=194538","奥迪四门A5不如买A4？这篇文章告诉你，奥迪A5到底是个什么存在")</f>
        <v>奥迪四门A5不如买A4？这篇文章告诉你，奥迪A5到底是个什么存在</v>
      </c>
      <c r="C5326" s="2" t="s">
        <v>13</v>
      </c>
      <c r="D5326" s="2" t="s">
        <v>12</v>
      </c>
      <c r="E5326" s="2" t="s">
        <v>28</v>
      </c>
      <c r="F5326" s="2" t="str">
        <f>HYPERLINK("http://bbs.12365auto.com/postcontent.aspx?tID=194538","http://bbs.12365auto.com/postcontent.aspx?tID=194538")</f>
        <v>http://bbs.12365auto.com/postcontent.aspx?tID=194538</v>
      </c>
      <c r="G5326" s="2"/>
      <c r="H5326" s="2" t="s">
        <v>7506</v>
      </c>
      <c r="I5326" s="2" t="s">
        <v>15</v>
      </c>
      <c r="J5326" s="2" t="s">
        <v>7499</v>
      </c>
      <c r="K5326" s="2" t="s">
        <v>7505</v>
      </c>
      <c r="L5326" s="2">
        <f t="shared" si="83"/>
        <v>150</v>
      </c>
    </row>
    <row r="5327" spans="1:12" ht="25" customHeight="1">
      <c r="A5327" s="2" t="s">
        <v>12</v>
      </c>
      <c r="B5327" s="2" t="str">
        <f>HYPERLINK("http://m.12365auto.com/bbs/postcontent.aspx?tID=194538","奥迪四门A5不如买A4？这篇文章告诉你，奥迪A5到底是个什么存在")</f>
        <v>奥迪四门A5不如买A4？这篇文章告诉你，奥迪A5到底是个什么存在</v>
      </c>
      <c r="C5327" s="2" t="s">
        <v>13</v>
      </c>
      <c r="D5327" s="2" t="s">
        <v>23</v>
      </c>
      <c r="E5327" s="2"/>
      <c r="F5327" s="2" t="str">
        <f>HYPERLINK("http://m.12365auto.com/bbs/postcontent.aspx?tID=194538","http://m.12365auto.com/bbs/postcontent.aspx?tID=194538")</f>
        <v>http://m.12365auto.com/bbs/postcontent.aspx?tID=194538</v>
      </c>
      <c r="G5327" s="2"/>
      <c r="H5327" s="2" t="s">
        <v>7504</v>
      </c>
      <c r="I5327" s="2" t="s">
        <v>15</v>
      </c>
      <c r="J5327" s="2" t="s">
        <v>7499</v>
      </c>
      <c r="K5327" s="2" t="s">
        <v>7505</v>
      </c>
      <c r="L5327" s="2">
        <f t="shared" si="83"/>
        <v>150</v>
      </c>
    </row>
    <row r="5328" spans="1:12" ht="25" customHeight="1">
      <c r="A5328" s="2" t="s">
        <v>12</v>
      </c>
      <c r="B5328" s="2" t="str">
        <f>HYPERLINK("http://m.12365auto.com/bbs/postcontent.aspx?tID=194537","2020年第一季度即将上市的新车，就属这几款最值得等待了")</f>
        <v>2020年第一季度即将上市的新车，就属这几款最值得等待了</v>
      </c>
      <c r="C5328" s="2" t="s">
        <v>13</v>
      </c>
      <c r="D5328" s="2" t="s">
        <v>23</v>
      </c>
      <c r="E5328" s="2"/>
      <c r="F5328" s="2" t="str">
        <f>HYPERLINK("http://m.12365auto.com/bbs/postcontent.aspx?tID=194537","http://m.12365auto.com/bbs/postcontent.aspx?tID=194537")</f>
        <v>http://m.12365auto.com/bbs/postcontent.aspx?tID=194537</v>
      </c>
      <c r="G5328" s="2"/>
      <c r="H5328" s="2" t="s">
        <v>7507</v>
      </c>
      <c r="I5328" s="2" t="s">
        <v>15</v>
      </c>
      <c r="J5328" s="2" t="s">
        <v>7499</v>
      </c>
      <c r="K5328" s="2" t="s">
        <v>7508</v>
      </c>
      <c r="L5328" s="2">
        <f t="shared" si="83"/>
        <v>150</v>
      </c>
    </row>
    <row r="5329" spans="1:12" ht="25" customHeight="1">
      <c r="A5329" s="2" t="s">
        <v>12</v>
      </c>
      <c r="B5329" s="2" t="str">
        <f>HYPERLINK("http://bbs.12365auto.com/postcontent.aspx?tId=194537","2020年第一季度即将上市的新车，就属这几款最值得等待了")</f>
        <v>2020年第一季度即将上市的新车，就属这几款最值得等待了</v>
      </c>
      <c r="C5329" s="2" t="s">
        <v>13</v>
      </c>
      <c r="D5329" s="2" t="s">
        <v>12</v>
      </c>
      <c r="E5329" s="2" t="s">
        <v>27</v>
      </c>
      <c r="F5329" s="2" t="str">
        <f>HYPERLINK("http://bbs.12365auto.com/postcontent.aspx?tId=194537","http://bbs.12365auto.com/postcontent.aspx?tId=194537")</f>
        <v>http://bbs.12365auto.com/postcontent.aspx?tId=194537</v>
      </c>
      <c r="G5329" s="2"/>
      <c r="H5329" s="2" t="s">
        <v>7507</v>
      </c>
      <c r="I5329" s="2" t="s">
        <v>15</v>
      </c>
      <c r="J5329" s="2" t="s">
        <v>7499</v>
      </c>
      <c r="K5329" s="2" t="s">
        <v>7508</v>
      </c>
      <c r="L5329" s="2">
        <f t="shared" si="83"/>
        <v>150</v>
      </c>
    </row>
    <row r="5330" spans="1:12" ht="25" customHeight="1">
      <c r="A5330" s="2" t="s">
        <v>12</v>
      </c>
      <c r="B5330" s="2" t="str">
        <f>HYPERLINK("http://www.12365auto.com/xcdg/20200219/418988.shtml","日产纳瓦拉高端皮卡推新款 内外配置升级")</f>
        <v>日产纳瓦拉高端皮卡推新款 内外配置升级</v>
      </c>
      <c r="C5330" s="2" t="s">
        <v>13</v>
      </c>
      <c r="D5330" s="2" t="s">
        <v>12</v>
      </c>
      <c r="E5330" s="2" t="s">
        <v>216</v>
      </c>
      <c r="F5330" s="2" t="str">
        <f>HYPERLINK("http://www.12365auto.com/xcdg/20200219/418988.shtml","http://www.12365auto.com/xcdg/20200219/418988.shtml")</f>
        <v>http://www.12365auto.com/xcdg/20200219/418988.shtml</v>
      </c>
      <c r="G5330" s="2"/>
      <c r="H5330" s="2" t="s">
        <v>7509</v>
      </c>
      <c r="I5330" s="2" t="s">
        <v>15</v>
      </c>
      <c r="J5330" s="2" t="s">
        <v>12</v>
      </c>
      <c r="K5330" s="2" t="s">
        <v>7508</v>
      </c>
      <c r="L5330" s="2">
        <f t="shared" si="83"/>
        <v>150</v>
      </c>
    </row>
    <row r="5331" spans="1:12" ht="25" customHeight="1">
      <c r="A5331" s="2" t="s">
        <v>12</v>
      </c>
      <c r="B5331" s="2" t="str">
        <f>HYPERLINK("http://bbs.12365auto.com/postcontent.aspx?tID=194537","2020年第一季度即将上市的新车，就属这几款最值得等待了")</f>
        <v>2020年第一季度即将上市的新车，就属这几款最值得等待了</v>
      </c>
      <c r="C5331" s="2" t="s">
        <v>13</v>
      </c>
      <c r="D5331" s="2" t="s">
        <v>12</v>
      </c>
      <c r="E5331" s="2" t="s">
        <v>28</v>
      </c>
      <c r="F5331" s="2" t="str">
        <f>HYPERLINK("http://bbs.12365auto.com/postcontent.aspx?tID=194537","http://bbs.12365auto.com/postcontent.aspx?tID=194537")</f>
        <v>http://bbs.12365auto.com/postcontent.aspx?tID=194537</v>
      </c>
      <c r="G5331" s="2"/>
      <c r="H5331" s="2" t="s">
        <v>7510</v>
      </c>
      <c r="I5331" s="2" t="s">
        <v>15</v>
      </c>
      <c r="J5331" s="2" t="s">
        <v>7499</v>
      </c>
      <c r="K5331" s="2" t="s">
        <v>7508</v>
      </c>
      <c r="L5331" s="2">
        <f t="shared" si="83"/>
        <v>150</v>
      </c>
    </row>
    <row r="5332" spans="1:12" ht="25" customHeight="1">
      <c r="A5332" s="2" t="s">
        <v>12</v>
      </c>
      <c r="B5332" s="2" t="str">
        <f>HYPERLINK("http://m.12365auto.com/xcdg/20200219/418988.shtml","日产纳瓦拉高端皮卡推新款 内外配置升级")</f>
        <v>日产纳瓦拉高端皮卡推新款 内外配置升级</v>
      </c>
      <c r="C5332" s="2" t="s">
        <v>13</v>
      </c>
      <c r="D5332" s="2" t="s">
        <v>12</v>
      </c>
      <c r="E5332" s="2"/>
      <c r="F5332" s="2" t="str">
        <f>HYPERLINK("http://m.12365auto.com/xcdg/20200219/418988.shtml","http://m.12365auto.com/xcdg/20200219/418988.shtml")</f>
        <v>http://m.12365auto.com/xcdg/20200219/418988.shtml</v>
      </c>
      <c r="G5332" s="2"/>
      <c r="H5332" s="2" t="s">
        <v>7511</v>
      </c>
      <c r="I5332" s="2" t="s">
        <v>19</v>
      </c>
      <c r="J5332" s="2" t="s">
        <v>5774</v>
      </c>
      <c r="K5332" s="2" t="s">
        <v>7508</v>
      </c>
      <c r="L5332" s="2">
        <f t="shared" si="83"/>
        <v>150</v>
      </c>
    </row>
    <row r="5333" spans="1:12" ht="25" customHeight="1">
      <c r="A5333" s="2" t="s">
        <v>12</v>
      </c>
      <c r="B5333" s="2" t="str">
        <f>HYPERLINK("http://m.12365auto.com/bbs/postcontent.aspx?tID=194536","10万级别的价格，几十万的内饰和配置，这三款SUV值得一看")</f>
        <v>10万级别的价格，几十万的内饰和配置，这三款SUV值得一看</v>
      </c>
      <c r="C5333" s="2" t="s">
        <v>13</v>
      </c>
      <c r="D5333" s="2" t="s">
        <v>23</v>
      </c>
      <c r="E5333" s="2"/>
      <c r="F5333" s="2" t="str">
        <f>HYPERLINK("http://m.12365auto.com/bbs/postcontent.aspx?tID=194536","http://m.12365auto.com/bbs/postcontent.aspx?tID=194536")</f>
        <v>http://m.12365auto.com/bbs/postcontent.aspx?tID=194536</v>
      </c>
      <c r="G5333" s="2"/>
      <c r="H5333" s="2" t="s">
        <v>7512</v>
      </c>
      <c r="I5333" s="2" t="s">
        <v>15</v>
      </c>
      <c r="J5333" s="2" t="s">
        <v>7499</v>
      </c>
      <c r="K5333" s="2" t="s">
        <v>7513</v>
      </c>
      <c r="L5333" s="2">
        <f t="shared" si="83"/>
        <v>150</v>
      </c>
    </row>
    <row r="5334" spans="1:12" ht="25" customHeight="1">
      <c r="A5334" s="2" t="s">
        <v>12</v>
      </c>
      <c r="B5334" s="2" t="str">
        <f>HYPERLINK("http://bbs.12365auto.com/postcontent.aspx?tID=194536","10万级别的价格，几十万的内饰和配置，这三款SUV值得一看")</f>
        <v>10万级别的价格，几十万的内饰和配置，这三款SUV值得一看</v>
      </c>
      <c r="C5334" s="2" t="s">
        <v>13</v>
      </c>
      <c r="D5334" s="2" t="s">
        <v>12</v>
      </c>
      <c r="E5334" s="2" t="s">
        <v>28</v>
      </c>
      <c r="F5334" s="2" t="str">
        <f>HYPERLINK("http://bbs.12365auto.com/postcontent.aspx?tID=194536","http://bbs.12365auto.com/postcontent.aspx?tID=194536")</f>
        <v>http://bbs.12365auto.com/postcontent.aspx?tID=194536</v>
      </c>
      <c r="G5334" s="2"/>
      <c r="H5334" s="2" t="s">
        <v>7514</v>
      </c>
      <c r="I5334" s="2" t="s">
        <v>15</v>
      </c>
      <c r="J5334" s="2" t="s">
        <v>7499</v>
      </c>
      <c r="K5334" s="2" t="s">
        <v>7513</v>
      </c>
      <c r="L5334" s="2">
        <f t="shared" si="83"/>
        <v>150</v>
      </c>
    </row>
    <row r="5335" spans="1:12" ht="25" customHeight="1">
      <c r="A5335" s="2" t="s">
        <v>12</v>
      </c>
      <c r="B5335" s="2" t="str">
        <f>HYPERLINK("http://bbs.12365auto.com/postcontent.aspx?tId=194536","10万级别的价格，几十万的内饰和配置，这三款SUV值得一看")</f>
        <v>10万级别的价格，几十万的内饰和配置，这三款SUV值得一看</v>
      </c>
      <c r="C5335" s="2" t="s">
        <v>13</v>
      </c>
      <c r="D5335" s="2" t="s">
        <v>12</v>
      </c>
      <c r="E5335" s="2" t="s">
        <v>27</v>
      </c>
      <c r="F5335" s="2" t="str">
        <f>HYPERLINK("http://bbs.12365auto.com/postcontent.aspx?tId=194536","http://bbs.12365auto.com/postcontent.aspx?tId=194536")</f>
        <v>http://bbs.12365auto.com/postcontent.aspx?tId=194536</v>
      </c>
      <c r="G5335" s="2"/>
      <c r="H5335" s="2" t="s">
        <v>7512</v>
      </c>
      <c r="I5335" s="2" t="s">
        <v>15</v>
      </c>
      <c r="J5335" s="2" t="s">
        <v>7499</v>
      </c>
      <c r="K5335" s="2" t="s">
        <v>7513</v>
      </c>
      <c r="L5335" s="2">
        <f t="shared" si="83"/>
        <v>150</v>
      </c>
    </row>
    <row r="5336" spans="1:12" ht="25" customHeight="1">
      <c r="A5336" s="2" t="s">
        <v>12</v>
      </c>
      <c r="B5336" s="2" t="str">
        <f>HYPERLINK("http://m.12365auto.com/bbs/postcontent.aspx?tID=194535","不只是2.9秒破百！比亚迪“汉”最新消息来了")</f>
        <v>不只是2.9秒破百！比亚迪“汉”最新消息来了</v>
      </c>
      <c r="C5336" s="2" t="s">
        <v>13</v>
      </c>
      <c r="D5336" s="2" t="s">
        <v>23</v>
      </c>
      <c r="E5336" s="2"/>
      <c r="F5336" s="2" t="str">
        <f>HYPERLINK("http://m.12365auto.com/bbs/postcontent.aspx?tID=194535","http://m.12365auto.com/bbs/postcontent.aspx?tID=194535")</f>
        <v>http://m.12365auto.com/bbs/postcontent.aspx?tID=194535</v>
      </c>
      <c r="G5336" s="2"/>
      <c r="H5336" s="2" t="s">
        <v>7515</v>
      </c>
      <c r="I5336" s="2" t="s">
        <v>15</v>
      </c>
      <c r="J5336" s="2" t="s">
        <v>7499</v>
      </c>
      <c r="K5336" s="2" t="s">
        <v>7516</v>
      </c>
      <c r="L5336" s="2">
        <f t="shared" si="83"/>
        <v>150</v>
      </c>
    </row>
    <row r="5337" spans="1:12" ht="25" customHeight="1">
      <c r="A5337" s="2" t="s">
        <v>12</v>
      </c>
      <c r="B5337" s="2" t="str">
        <f>HYPERLINK("http://bbs.12365auto.com/postcontent.aspx?tID=194535","不只是2.9秒破百！比亚迪“汉”最新消息来了")</f>
        <v>不只是2.9秒破百！比亚迪“汉”最新消息来了</v>
      </c>
      <c r="C5337" s="2" t="s">
        <v>13</v>
      </c>
      <c r="D5337" s="2" t="s">
        <v>12</v>
      </c>
      <c r="E5337" s="2" t="s">
        <v>28</v>
      </c>
      <c r="F5337" s="2" t="str">
        <f>HYPERLINK("http://bbs.12365auto.com/postcontent.aspx?tID=194535","http://bbs.12365auto.com/postcontent.aspx?tID=194535")</f>
        <v>http://bbs.12365auto.com/postcontent.aspx?tID=194535</v>
      </c>
      <c r="G5337" s="2"/>
      <c r="H5337" s="2" t="s">
        <v>7517</v>
      </c>
      <c r="I5337" s="2" t="s">
        <v>15</v>
      </c>
      <c r="J5337" s="2" t="s">
        <v>7499</v>
      </c>
      <c r="K5337" s="2" t="s">
        <v>7516</v>
      </c>
      <c r="L5337" s="2">
        <f t="shared" si="83"/>
        <v>150</v>
      </c>
    </row>
    <row r="5338" spans="1:12" ht="25" customHeight="1">
      <c r="A5338" s="2" t="s">
        <v>12</v>
      </c>
      <c r="B5338" s="2" t="str">
        <f>HYPERLINK("http://www.12365auto.com/xcdg/20200219/418987.shtml","2022款路虎揽胜Sport谍照曝光 2021年发布")</f>
        <v>2022款路虎揽胜Sport谍照曝光 2021年发布</v>
      </c>
      <c r="C5338" s="2" t="s">
        <v>13</v>
      </c>
      <c r="D5338" s="2" t="s">
        <v>12</v>
      </c>
      <c r="E5338" s="2" t="s">
        <v>224</v>
      </c>
      <c r="F5338" s="2" t="str">
        <f>HYPERLINK("http://www.12365auto.com/xcdg/20200219/418987.shtml","http://www.12365auto.com/xcdg/20200219/418987.shtml")</f>
        <v>http://www.12365auto.com/xcdg/20200219/418987.shtml</v>
      </c>
      <c r="G5338" s="2"/>
      <c r="H5338" s="2" t="s">
        <v>7518</v>
      </c>
      <c r="I5338" s="2" t="s">
        <v>15</v>
      </c>
      <c r="J5338" s="2" t="s">
        <v>12</v>
      </c>
      <c r="K5338" s="2" t="s">
        <v>7516</v>
      </c>
      <c r="L5338" s="2">
        <f t="shared" si="83"/>
        <v>150</v>
      </c>
    </row>
    <row r="5339" spans="1:12" ht="25" customHeight="1">
      <c r="A5339" s="2" t="s">
        <v>12</v>
      </c>
      <c r="B5339" s="2" t="str">
        <f>HYPERLINK("http://bbs.12365auto.com/postcontent.aspx?tId=194535","不只是2.9秒破百！比亚迪“汉”最新消息来了")</f>
        <v>不只是2.9秒破百！比亚迪“汉”最新消息来了</v>
      </c>
      <c r="C5339" s="2" t="s">
        <v>13</v>
      </c>
      <c r="D5339" s="2" t="s">
        <v>12</v>
      </c>
      <c r="E5339" s="2" t="s">
        <v>27</v>
      </c>
      <c r="F5339" s="2" t="str">
        <f>HYPERLINK("http://bbs.12365auto.com/postcontent.aspx?tId=194535","http://bbs.12365auto.com/postcontent.aspx?tId=194535")</f>
        <v>http://bbs.12365auto.com/postcontent.aspx?tId=194535</v>
      </c>
      <c r="G5339" s="2"/>
      <c r="H5339" s="2" t="s">
        <v>7515</v>
      </c>
      <c r="I5339" s="2" t="s">
        <v>15</v>
      </c>
      <c r="J5339" s="2" t="s">
        <v>7499</v>
      </c>
      <c r="K5339" s="2" t="s">
        <v>7516</v>
      </c>
      <c r="L5339" s="2">
        <f t="shared" si="83"/>
        <v>150</v>
      </c>
    </row>
    <row r="5340" spans="1:12" ht="25" customHeight="1">
      <c r="A5340" s="2" t="s">
        <v>12</v>
      </c>
      <c r="B5340" s="2" t="str">
        <f>HYPERLINK("http://m.12365auto.com/xcdg/20200219/418987.shtml","2022款路虎揽胜Sport谍照曝光 2021年发布")</f>
        <v>2022款路虎揽胜Sport谍照曝光 2021年发布</v>
      </c>
      <c r="C5340" s="2" t="s">
        <v>13</v>
      </c>
      <c r="D5340" s="2" t="s">
        <v>12</v>
      </c>
      <c r="E5340" s="2"/>
      <c r="F5340" s="2" t="str">
        <f>HYPERLINK("http://m.12365auto.com/xcdg/20200219/418987.shtml","http://m.12365auto.com/xcdg/20200219/418987.shtml")</f>
        <v>http://m.12365auto.com/xcdg/20200219/418987.shtml</v>
      </c>
      <c r="G5340" s="2"/>
      <c r="H5340" s="2" t="s">
        <v>7519</v>
      </c>
      <c r="I5340" s="2" t="s">
        <v>19</v>
      </c>
      <c r="J5340" s="2" t="s">
        <v>5774</v>
      </c>
      <c r="K5340" s="2" t="s">
        <v>7516</v>
      </c>
      <c r="L5340" s="2">
        <f t="shared" si="83"/>
        <v>150</v>
      </c>
    </row>
    <row r="5341" spans="1:12" ht="25" customHeight="1">
      <c r="A5341" s="2" t="s">
        <v>12</v>
      </c>
      <c r="B5341" s="2" t="str">
        <f>HYPERLINK("http://m.12365auto.com/bbs/postcontent.aspx?tID=194533","七万多可以考虑的家用车，动力足油耗低空间大，还是本田")</f>
        <v>七万多可以考虑的家用车，动力足油耗低空间大，还是本田</v>
      </c>
      <c r="C5341" s="2" t="s">
        <v>13</v>
      </c>
      <c r="D5341" s="2" t="s">
        <v>23</v>
      </c>
      <c r="E5341" s="2"/>
      <c r="F5341" s="2" t="str">
        <f>HYPERLINK("http://m.12365auto.com/bbs/postcontent.aspx?tID=194533","http://m.12365auto.com/bbs/postcontent.aspx?tID=194533")</f>
        <v>http://m.12365auto.com/bbs/postcontent.aspx?tID=194533</v>
      </c>
      <c r="G5341" s="2"/>
      <c r="H5341" s="2" t="s">
        <v>7520</v>
      </c>
      <c r="I5341" s="2" t="s">
        <v>15</v>
      </c>
      <c r="J5341" s="2" t="s">
        <v>7499</v>
      </c>
      <c r="K5341" s="2" t="s">
        <v>7521</v>
      </c>
      <c r="L5341" s="2">
        <f t="shared" si="83"/>
        <v>150</v>
      </c>
    </row>
    <row r="5342" spans="1:12" ht="25" customHeight="1">
      <c r="A5342" s="2" t="s">
        <v>12</v>
      </c>
      <c r="B5342" s="2" t="str">
        <f>HYPERLINK("http://bbs.12365auto.com/postcontent.aspx?tID=194533","七万多可以考虑的家用车，动力足油耗低空间大，还是本田")</f>
        <v>七万多可以考虑的家用车，动力足油耗低空间大，还是本田</v>
      </c>
      <c r="C5342" s="2" t="s">
        <v>13</v>
      </c>
      <c r="D5342" s="2" t="s">
        <v>12</v>
      </c>
      <c r="E5342" s="2" t="s">
        <v>28</v>
      </c>
      <c r="F5342" s="2" t="str">
        <f>HYPERLINK("http://bbs.12365auto.com/postcontent.aspx?tID=194533","http://bbs.12365auto.com/postcontent.aspx?tID=194533")</f>
        <v>http://bbs.12365auto.com/postcontent.aspx?tID=194533</v>
      </c>
      <c r="G5342" s="2"/>
      <c r="H5342" s="2" t="s">
        <v>7522</v>
      </c>
      <c r="I5342" s="2" t="s">
        <v>15</v>
      </c>
      <c r="J5342" s="2" t="s">
        <v>7499</v>
      </c>
      <c r="K5342" s="2" t="s">
        <v>7521</v>
      </c>
      <c r="L5342" s="2">
        <f t="shared" si="83"/>
        <v>150</v>
      </c>
    </row>
    <row r="5343" spans="1:12" ht="25" customHeight="1">
      <c r="A5343" s="2" t="s">
        <v>12</v>
      </c>
      <c r="B5343" s="2" t="str">
        <f>HYPERLINK("http://bbs.12365auto.com/postcontent.aspx?tID=194534","哈弗H6推出了高性能运动版，超越了许多合资品牌SUV，仅售十多万")</f>
        <v>哈弗H6推出了高性能运动版，超越了许多合资品牌SUV，仅售十多万</v>
      </c>
      <c r="C5343" s="2" t="s">
        <v>13</v>
      </c>
      <c r="D5343" s="2" t="s">
        <v>12</v>
      </c>
      <c r="E5343" s="2" t="s">
        <v>28</v>
      </c>
      <c r="F5343" s="2" t="str">
        <f>HYPERLINK("http://bbs.12365auto.com/postcontent.aspx?tID=194534","http://bbs.12365auto.com/postcontent.aspx?tID=194534")</f>
        <v>http://bbs.12365auto.com/postcontent.aspx?tID=194534</v>
      </c>
      <c r="G5343" s="2"/>
      <c r="H5343" s="2" t="s">
        <v>7523</v>
      </c>
      <c r="I5343" s="2" t="s">
        <v>15</v>
      </c>
      <c r="J5343" s="2" t="s">
        <v>7499</v>
      </c>
      <c r="K5343" s="2" t="s">
        <v>7521</v>
      </c>
      <c r="L5343" s="2">
        <f t="shared" si="83"/>
        <v>150</v>
      </c>
    </row>
    <row r="5344" spans="1:12" ht="25" customHeight="1">
      <c r="A5344" s="2" t="s">
        <v>12</v>
      </c>
      <c r="B5344" s="2" t="str">
        <f>HYPERLINK("http://bbs.12365auto.com/postcontent.aspx?tId=194534","哈弗H6推出了高性能运动版，超越了许多合资品牌SUV，仅售十多万")</f>
        <v>哈弗H6推出了高性能运动版，超越了许多合资品牌SUV，仅售十多万</v>
      </c>
      <c r="C5344" s="2" t="s">
        <v>13</v>
      </c>
      <c r="D5344" s="2" t="s">
        <v>12</v>
      </c>
      <c r="E5344" s="2" t="s">
        <v>27</v>
      </c>
      <c r="F5344" s="2" t="str">
        <f>HYPERLINK("http://bbs.12365auto.com/postcontent.aspx?tId=194534","http://bbs.12365auto.com/postcontent.aspx?tId=194534")</f>
        <v>http://bbs.12365auto.com/postcontent.aspx?tId=194534</v>
      </c>
      <c r="G5344" s="2"/>
      <c r="H5344" s="2" t="s">
        <v>7524</v>
      </c>
      <c r="I5344" s="2" t="s">
        <v>15</v>
      </c>
      <c r="J5344" s="2" t="s">
        <v>7499</v>
      </c>
      <c r="K5344" s="2" t="s">
        <v>7521</v>
      </c>
      <c r="L5344" s="2">
        <f t="shared" si="83"/>
        <v>150</v>
      </c>
    </row>
    <row r="5345" spans="1:12" ht="25" customHeight="1">
      <c r="A5345" s="2" t="s">
        <v>12</v>
      </c>
      <c r="B5345" s="2" t="str">
        <f>HYPERLINK("http://bbs.12365auto.com/postcontent.aspx?tId=194533","七万多可以考虑的家用车，动力足油耗低空间大，还是本田")</f>
        <v>七万多可以考虑的家用车，动力足油耗低空间大，还是本田</v>
      </c>
      <c r="C5345" s="2" t="s">
        <v>13</v>
      </c>
      <c r="D5345" s="2" t="s">
        <v>12</v>
      </c>
      <c r="E5345" s="2" t="s">
        <v>27</v>
      </c>
      <c r="F5345" s="2" t="str">
        <f>HYPERLINK("http://bbs.12365auto.com/postcontent.aspx?tId=194533","http://bbs.12365auto.com/postcontent.aspx?tId=194533")</f>
        <v>http://bbs.12365auto.com/postcontent.aspx?tId=194533</v>
      </c>
      <c r="G5345" s="2"/>
      <c r="H5345" s="2" t="s">
        <v>7520</v>
      </c>
      <c r="I5345" s="2" t="s">
        <v>15</v>
      </c>
      <c r="J5345" s="2" t="s">
        <v>7499</v>
      </c>
      <c r="K5345" s="2" t="s">
        <v>7521</v>
      </c>
      <c r="L5345" s="2">
        <f t="shared" si="83"/>
        <v>150</v>
      </c>
    </row>
    <row r="5346" spans="1:12" ht="25" customHeight="1">
      <c r="A5346" s="2" t="s">
        <v>12</v>
      </c>
      <c r="B5346" s="2" t="str">
        <f>HYPERLINK("http://m.12365auto.com/bbs/postcontent.aspx?tID=194534","哈弗H6推出了高性能运动版，超越了许多合资品牌SUV，仅售十多万")</f>
        <v>哈弗H6推出了高性能运动版，超越了许多合资品牌SUV，仅售十多万</v>
      </c>
      <c r="C5346" s="2" t="s">
        <v>13</v>
      </c>
      <c r="D5346" s="2" t="s">
        <v>23</v>
      </c>
      <c r="E5346" s="2"/>
      <c r="F5346" s="2" t="str">
        <f>HYPERLINK("http://m.12365auto.com/bbs/postcontent.aspx?tID=194534","http://m.12365auto.com/bbs/postcontent.aspx?tID=194534")</f>
        <v>http://m.12365auto.com/bbs/postcontent.aspx?tID=194534</v>
      </c>
      <c r="G5346" s="2"/>
      <c r="H5346" s="2" t="s">
        <v>7524</v>
      </c>
      <c r="I5346" s="2" t="s">
        <v>15</v>
      </c>
      <c r="J5346" s="2" t="s">
        <v>7499</v>
      </c>
      <c r="K5346" s="2" t="s">
        <v>7521</v>
      </c>
      <c r="L5346" s="2">
        <f t="shared" si="83"/>
        <v>150</v>
      </c>
    </row>
    <row r="5347" spans="1:12" ht="25" customHeight="1">
      <c r="A5347" s="2" t="s">
        <v>12</v>
      </c>
      <c r="B5347" s="2" t="str">
        <f>HYPERLINK("http://m.12365auto.com/bbs/postcontent.aspx?tID=194531","10万级的“家用利器”，卡罗拉、轩逸和宝来怎么选？")</f>
        <v>10万级的“家用利器”，卡罗拉、轩逸和宝来怎么选？</v>
      </c>
      <c r="C5347" s="2" t="s">
        <v>13</v>
      </c>
      <c r="D5347" s="2" t="s">
        <v>23</v>
      </c>
      <c r="E5347" s="2"/>
      <c r="F5347" s="2" t="str">
        <f>HYPERLINK("http://m.12365auto.com/bbs/postcontent.aspx?tID=194531","http://m.12365auto.com/bbs/postcontent.aspx?tID=194531")</f>
        <v>http://m.12365auto.com/bbs/postcontent.aspx?tID=194531</v>
      </c>
      <c r="G5347" s="2"/>
      <c r="H5347" s="2" t="s">
        <v>6882</v>
      </c>
      <c r="I5347" s="2" t="s">
        <v>15</v>
      </c>
      <c r="J5347" s="2" t="s">
        <v>7499</v>
      </c>
      <c r="K5347" s="2" t="s">
        <v>7525</v>
      </c>
      <c r="L5347" s="2">
        <f t="shared" si="83"/>
        <v>150</v>
      </c>
    </row>
    <row r="5348" spans="1:12" ht="25" customHeight="1">
      <c r="A5348" s="2" t="s">
        <v>12</v>
      </c>
      <c r="B5348" s="2" t="str">
        <f>HYPERLINK("http://bbs.12365auto.com/postcontent.aspx?tID=194531","10万级的“家用利器”，卡罗拉、轩逸和宝来怎么选？")</f>
        <v>10万级的“家用利器”，卡罗拉、轩逸和宝来怎么选？</v>
      </c>
      <c r="C5348" s="2" t="s">
        <v>13</v>
      </c>
      <c r="D5348" s="2" t="s">
        <v>12</v>
      </c>
      <c r="E5348" s="2" t="s">
        <v>28</v>
      </c>
      <c r="F5348" s="2" t="str">
        <f>HYPERLINK("http://bbs.12365auto.com/postcontent.aspx?tID=194531","http://bbs.12365auto.com/postcontent.aspx?tID=194531")</f>
        <v>http://bbs.12365auto.com/postcontent.aspx?tID=194531</v>
      </c>
      <c r="G5348" s="2"/>
      <c r="H5348" s="2" t="s">
        <v>7526</v>
      </c>
      <c r="I5348" s="2" t="s">
        <v>15</v>
      </c>
      <c r="J5348" s="2" t="s">
        <v>7499</v>
      </c>
      <c r="K5348" s="2" t="s">
        <v>7525</v>
      </c>
      <c r="L5348" s="2">
        <f t="shared" si="83"/>
        <v>150</v>
      </c>
    </row>
    <row r="5349" spans="1:12" ht="25" customHeight="1">
      <c r="A5349" s="2" t="s">
        <v>12</v>
      </c>
      <c r="B5349" s="2" t="str">
        <f>HYPERLINK("http://bbs.12365auto.com/postcontent.aspx?tID=194532","手握20万，开完日产奇骏，再换到丰田RAV4荣放上，车主：差距明显")</f>
        <v>手握20万，开完日产奇骏，再换到丰田RAV4荣放上，车主：差距明显</v>
      </c>
      <c r="C5349" s="2" t="s">
        <v>13</v>
      </c>
      <c r="D5349" s="2" t="s">
        <v>12</v>
      </c>
      <c r="E5349" s="2" t="s">
        <v>28</v>
      </c>
      <c r="F5349" s="2" t="str">
        <f>HYPERLINK("http://bbs.12365auto.com/postcontent.aspx?tID=194532","http://bbs.12365auto.com/postcontent.aspx?tID=194532")</f>
        <v>http://bbs.12365auto.com/postcontent.aspx?tID=194532</v>
      </c>
      <c r="G5349" s="2"/>
      <c r="H5349" s="2" t="s">
        <v>7527</v>
      </c>
      <c r="I5349" s="2" t="s">
        <v>15</v>
      </c>
      <c r="J5349" s="2" t="s">
        <v>7499</v>
      </c>
      <c r="K5349" s="2" t="s">
        <v>7525</v>
      </c>
      <c r="L5349" s="2">
        <f t="shared" si="83"/>
        <v>150</v>
      </c>
    </row>
    <row r="5350" spans="1:12" ht="25" customHeight="1">
      <c r="A5350" s="2" t="s">
        <v>12</v>
      </c>
      <c r="B5350" s="2" t="str">
        <f>HYPERLINK("http://www.12365auto.com/xcdg/20200219/418986.shtml","沃尔沃XC60 B5官图曝光 搭载轻混系统")</f>
        <v>沃尔沃XC60 B5官图曝光 搭载轻混系统</v>
      </c>
      <c r="C5350" s="2" t="s">
        <v>13</v>
      </c>
      <c r="D5350" s="2" t="s">
        <v>12</v>
      </c>
      <c r="E5350" s="2" t="s">
        <v>216</v>
      </c>
      <c r="F5350" s="2" t="str">
        <f>HYPERLINK("http://www.12365auto.com/xcdg/20200219/418986.shtml","http://www.12365auto.com/xcdg/20200219/418986.shtml")</f>
        <v>http://www.12365auto.com/xcdg/20200219/418986.shtml</v>
      </c>
      <c r="G5350" s="2"/>
      <c r="H5350" s="2" t="s">
        <v>7528</v>
      </c>
      <c r="I5350" s="2" t="s">
        <v>15</v>
      </c>
      <c r="J5350" s="2" t="s">
        <v>12</v>
      </c>
      <c r="K5350" s="2" t="s">
        <v>7525</v>
      </c>
      <c r="L5350" s="2">
        <f t="shared" si="83"/>
        <v>150</v>
      </c>
    </row>
    <row r="5351" spans="1:12" ht="25" customHeight="1">
      <c r="A5351" s="2" t="s">
        <v>12</v>
      </c>
      <c r="B5351" s="2" t="str">
        <f>HYPERLINK("http://bbs.12365auto.com/postcontent.aspx?tId=194532","手握20万，开完日产奇骏，再换到丰田RAV4荣放上，车主：差距明显")</f>
        <v>手握20万，开完日产奇骏，再换到丰田RAV4荣放上，车主：差距明显</v>
      </c>
      <c r="C5351" s="2" t="s">
        <v>13</v>
      </c>
      <c r="D5351" s="2" t="s">
        <v>12</v>
      </c>
      <c r="E5351" s="2" t="s">
        <v>27</v>
      </c>
      <c r="F5351" s="2" t="str">
        <f>HYPERLINK("http://bbs.12365auto.com/postcontent.aspx?tId=194532","http://bbs.12365auto.com/postcontent.aspx?tId=194532")</f>
        <v>http://bbs.12365auto.com/postcontent.aspx?tId=194532</v>
      </c>
      <c r="G5351" s="2"/>
      <c r="H5351" s="2" t="s">
        <v>7141</v>
      </c>
      <c r="I5351" s="2" t="s">
        <v>15</v>
      </c>
      <c r="J5351" s="2" t="s">
        <v>7499</v>
      </c>
      <c r="K5351" s="2" t="s">
        <v>7525</v>
      </c>
      <c r="L5351" s="2">
        <f t="shared" si="83"/>
        <v>150</v>
      </c>
    </row>
    <row r="5352" spans="1:12" ht="25" customHeight="1">
      <c r="A5352" s="2" t="s">
        <v>12</v>
      </c>
      <c r="B5352" s="2" t="str">
        <f>HYPERLINK("http://bbs.12365auto.com/postcontent.aspx?tId=194531","10万级的“家用利器”，卡罗拉、轩逸和宝来怎么选？")</f>
        <v>10万级的“家用利器”，卡罗拉、轩逸和宝来怎么选？</v>
      </c>
      <c r="C5352" s="2" t="s">
        <v>13</v>
      </c>
      <c r="D5352" s="2" t="s">
        <v>12</v>
      </c>
      <c r="E5352" s="2" t="s">
        <v>27</v>
      </c>
      <c r="F5352" s="2" t="str">
        <f>HYPERLINK("http://bbs.12365auto.com/postcontent.aspx?tId=194531","http://bbs.12365auto.com/postcontent.aspx?tId=194531")</f>
        <v>http://bbs.12365auto.com/postcontent.aspx?tId=194531</v>
      </c>
      <c r="G5352" s="2"/>
      <c r="H5352" s="2" t="s">
        <v>6882</v>
      </c>
      <c r="I5352" s="2" t="s">
        <v>15</v>
      </c>
      <c r="J5352" s="2" t="s">
        <v>7499</v>
      </c>
      <c r="K5352" s="2" t="s">
        <v>7525</v>
      </c>
      <c r="L5352" s="2">
        <f t="shared" si="83"/>
        <v>150</v>
      </c>
    </row>
    <row r="5353" spans="1:12" ht="25" customHeight="1">
      <c r="A5353" s="2" t="s">
        <v>12</v>
      </c>
      <c r="B5353" s="2" t="str">
        <f>HYPERLINK("http://m.12365auto.com/xcdg/20200219/418986.shtml","沃尔沃XC60 B5官图曝光 搭载轻混系统")</f>
        <v>沃尔沃XC60 B5官图曝光 搭载轻混系统</v>
      </c>
      <c r="C5353" s="2" t="s">
        <v>13</v>
      </c>
      <c r="D5353" s="2" t="s">
        <v>12</v>
      </c>
      <c r="E5353" s="2"/>
      <c r="F5353" s="2" t="str">
        <f>HYPERLINK("http://m.12365auto.com/xcdg/20200219/418986.shtml","http://m.12365auto.com/xcdg/20200219/418986.shtml")</f>
        <v>http://m.12365auto.com/xcdg/20200219/418986.shtml</v>
      </c>
      <c r="G5353" s="2"/>
      <c r="H5353" s="2" t="s">
        <v>7529</v>
      </c>
      <c r="I5353" s="2" t="s">
        <v>19</v>
      </c>
      <c r="J5353" s="2" t="s">
        <v>5774</v>
      </c>
      <c r="K5353" s="2" t="s">
        <v>7525</v>
      </c>
      <c r="L5353" s="2">
        <f t="shared" si="83"/>
        <v>150</v>
      </c>
    </row>
    <row r="5354" spans="1:12" ht="25" customHeight="1">
      <c r="A5354" s="2" t="s">
        <v>12</v>
      </c>
      <c r="B5354" s="2" t="str">
        <f>HYPERLINK("http://m.12365auto.com/bbs/postcontent.aspx?tID=194532","手握20万，开完日产奇骏，再换到丰田RAV4荣放上，车主：差距明显")</f>
        <v>手握20万，开完日产奇骏，再换到丰田RAV4荣放上，车主：差距明显</v>
      </c>
      <c r="C5354" s="2" t="s">
        <v>13</v>
      </c>
      <c r="D5354" s="2" t="s">
        <v>23</v>
      </c>
      <c r="E5354" s="2"/>
      <c r="F5354" s="2" t="str">
        <f>HYPERLINK("http://m.12365auto.com/bbs/postcontent.aspx?tID=194532","http://m.12365auto.com/bbs/postcontent.aspx?tID=194532")</f>
        <v>http://m.12365auto.com/bbs/postcontent.aspx?tID=194532</v>
      </c>
      <c r="G5354" s="2"/>
      <c r="H5354" s="2" t="s">
        <v>7141</v>
      </c>
      <c r="I5354" s="2" t="s">
        <v>15</v>
      </c>
      <c r="J5354" s="2" t="s">
        <v>7499</v>
      </c>
      <c r="K5354" s="2" t="s">
        <v>7525</v>
      </c>
      <c r="L5354" s="2">
        <f t="shared" si="83"/>
        <v>150</v>
      </c>
    </row>
    <row r="5355" spans="1:12" ht="25" customHeight="1">
      <c r="A5355" s="2" t="s">
        <v>12</v>
      </c>
      <c r="B5355" s="2" t="str">
        <f>HYPERLINK("http://m.12365auto.com/bbs/postcontent.aspx?tID=194530","再也不用魔改 15万直接能买到本田“法拉域”了")</f>
        <v>再也不用魔改 15万直接能买到本田“法拉域”了</v>
      </c>
      <c r="C5355" s="2" t="s">
        <v>13</v>
      </c>
      <c r="D5355" s="2" t="s">
        <v>23</v>
      </c>
      <c r="E5355" s="2"/>
      <c r="F5355" s="2" t="str">
        <f>HYPERLINK("http://m.12365auto.com/bbs/postcontent.aspx?tID=194530","http://m.12365auto.com/bbs/postcontent.aspx?tID=194530")</f>
        <v>http://m.12365auto.com/bbs/postcontent.aspx?tID=194530</v>
      </c>
      <c r="G5355" s="2"/>
      <c r="H5355" s="2" t="s">
        <v>6192</v>
      </c>
      <c r="I5355" s="2" t="s">
        <v>15</v>
      </c>
      <c r="J5355" s="2" t="s">
        <v>7499</v>
      </c>
      <c r="K5355" s="2" t="s">
        <v>7530</v>
      </c>
      <c r="L5355" s="2">
        <f t="shared" si="83"/>
        <v>150</v>
      </c>
    </row>
    <row r="5356" spans="1:12" ht="25" customHeight="1">
      <c r="A5356" s="2" t="s">
        <v>12</v>
      </c>
      <c r="B5356" s="2" t="str">
        <f>HYPERLINK("http://bbs.12365auto.com/postcontent.aspx?tID=194530","再也不用魔改 15万直接能买到本田“法拉域”了")</f>
        <v>再也不用魔改 15万直接能买到本田“法拉域”了</v>
      </c>
      <c r="C5356" s="2" t="s">
        <v>13</v>
      </c>
      <c r="D5356" s="2" t="s">
        <v>12</v>
      </c>
      <c r="E5356" s="2" t="s">
        <v>28</v>
      </c>
      <c r="F5356" s="2" t="str">
        <f>HYPERLINK("http://bbs.12365auto.com/postcontent.aspx?tID=194530","http://bbs.12365auto.com/postcontent.aspx?tID=194530")</f>
        <v>http://bbs.12365auto.com/postcontent.aspx?tID=194530</v>
      </c>
      <c r="G5356" s="2"/>
      <c r="H5356" s="2" t="s">
        <v>6189</v>
      </c>
      <c r="I5356" s="2" t="s">
        <v>15</v>
      </c>
      <c r="J5356" s="2" t="s">
        <v>7499</v>
      </c>
      <c r="K5356" s="2" t="s">
        <v>7530</v>
      </c>
      <c r="L5356" s="2">
        <f t="shared" si="83"/>
        <v>150</v>
      </c>
    </row>
    <row r="5357" spans="1:12" ht="25" customHeight="1">
      <c r="A5357" s="2" t="s">
        <v>12</v>
      </c>
      <c r="B5357" s="2" t="str">
        <f>HYPERLINK("http://www.12365auto.com/xcdg/20200219/418985.shtml","限量300台 瑞典全新超级跑车即将亮相")</f>
        <v>限量300台 瑞典全新超级跑车即将亮相</v>
      </c>
      <c r="C5357" s="2" t="s">
        <v>13</v>
      </c>
      <c r="D5357" s="2" t="s">
        <v>12</v>
      </c>
      <c r="E5357" s="2" t="s">
        <v>216</v>
      </c>
      <c r="F5357" s="2" t="str">
        <f>HYPERLINK("http://www.12365auto.com/xcdg/20200219/418985.shtml","http://www.12365auto.com/xcdg/20200219/418985.shtml")</f>
        <v>http://www.12365auto.com/xcdg/20200219/418985.shtml</v>
      </c>
      <c r="G5357" s="2"/>
      <c r="H5357" s="2" t="s">
        <v>7531</v>
      </c>
      <c r="I5357" s="2" t="s">
        <v>15</v>
      </c>
      <c r="J5357" s="2" t="s">
        <v>12</v>
      </c>
      <c r="K5357" s="2" t="s">
        <v>7530</v>
      </c>
      <c r="L5357" s="2">
        <f t="shared" si="83"/>
        <v>150</v>
      </c>
    </row>
    <row r="5358" spans="1:12" ht="25" customHeight="1">
      <c r="A5358" s="2" t="s">
        <v>12</v>
      </c>
      <c r="B5358" s="2" t="str">
        <f>HYPERLINK("http://bbs.12365auto.com/postcontent.aspx?tId=194530","再也不用魔改 15万直接能买到本田“法拉域”了")</f>
        <v>再也不用魔改 15万直接能买到本田“法拉域”了</v>
      </c>
      <c r="C5358" s="2" t="s">
        <v>13</v>
      </c>
      <c r="D5358" s="2" t="s">
        <v>12</v>
      </c>
      <c r="E5358" s="2" t="s">
        <v>27</v>
      </c>
      <c r="F5358" s="2" t="str">
        <f>HYPERLINK("http://bbs.12365auto.com/postcontent.aspx?tId=194530","http://bbs.12365auto.com/postcontent.aspx?tId=194530")</f>
        <v>http://bbs.12365auto.com/postcontent.aspx?tId=194530</v>
      </c>
      <c r="G5358" s="2"/>
      <c r="H5358" s="2" t="s">
        <v>6192</v>
      </c>
      <c r="I5358" s="2" t="s">
        <v>15</v>
      </c>
      <c r="J5358" s="2" t="s">
        <v>7499</v>
      </c>
      <c r="K5358" s="2" t="s">
        <v>7530</v>
      </c>
      <c r="L5358" s="2">
        <f t="shared" si="83"/>
        <v>150</v>
      </c>
    </row>
    <row r="5359" spans="1:12" ht="25" customHeight="1">
      <c r="A5359" s="2" t="s">
        <v>12</v>
      </c>
      <c r="B5359" s="2" t="str">
        <f>HYPERLINK("http://m.12365auto.com/xcdg/20200219/418985.shtml","限量300台 瑞典全新超级跑车即将亮相")</f>
        <v>限量300台 瑞典全新超级跑车即将亮相</v>
      </c>
      <c r="C5359" s="2" t="s">
        <v>13</v>
      </c>
      <c r="D5359" s="2" t="s">
        <v>12</v>
      </c>
      <c r="E5359" s="2"/>
      <c r="F5359" s="2" t="str">
        <f>HYPERLINK("http://m.12365auto.com/xcdg/20200219/418985.shtml","http://m.12365auto.com/xcdg/20200219/418985.shtml")</f>
        <v>http://m.12365auto.com/xcdg/20200219/418985.shtml</v>
      </c>
      <c r="G5359" s="2"/>
      <c r="H5359" s="2" t="s">
        <v>7532</v>
      </c>
      <c r="I5359" s="2" t="s">
        <v>19</v>
      </c>
      <c r="J5359" s="2" t="s">
        <v>12</v>
      </c>
      <c r="K5359" s="2" t="s">
        <v>7530</v>
      </c>
      <c r="L5359" s="2">
        <f t="shared" si="83"/>
        <v>150</v>
      </c>
    </row>
    <row r="5360" spans="1:12" ht="25" customHeight="1">
      <c r="A5360" s="2" t="s">
        <v>12</v>
      </c>
      <c r="B5360" s="2" t="str">
        <f>HYPERLINK("http://www.12365auto.com/news/20200219/418966.shtml","下滑超50% 1月国内动力电池装机量腰斩")</f>
        <v>下滑超50% 1月国内动力电池装机量腰斩</v>
      </c>
      <c r="C5360" s="2" t="s">
        <v>13</v>
      </c>
      <c r="D5360" s="2" t="s">
        <v>12</v>
      </c>
      <c r="E5360" s="2"/>
      <c r="F5360" s="2" t="str">
        <f>HYPERLINK("http://www.12365auto.com/news/20200219/418966.shtml","http://www.12365auto.com/news/20200219/418966.shtml")</f>
        <v>http://www.12365auto.com/news/20200219/418966.shtml</v>
      </c>
      <c r="G5360" s="2"/>
      <c r="H5360" s="2" t="s">
        <v>7533</v>
      </c>
      <c r="I5360" s="2" t="s">
        <v>7534</v>
      </c>
      <c r="J5360" s="2" t="s">
        <v>12</v>
      </c>
      <c r="K5360" s="2" t="s">
        <v>7535</v>
      </c>
      <c r="L5360" s="2">
        <f t="shared" si="83"/>
        <v>150</v>
      </c>
    </row>
    <row r="5361" spans="1:12" ht="25" customHeight="1">
      <c r="A5361" s="2" t="s">
        <v>12</v>
      </c>
      <c r="B5361" s="2" t="str">
        <f>HYPERLINK("http://bbs.12365auto.com/postcontent.aspx?tID=194526","国产Model 3拟采用磷酸铁锂电池？")</f>
        <v>国产Model 3拟采用磷酸铁锂电池？</v>
      </c>
      <c r="C5361" s="2" t="s">
        <v>13</v>
      </c>
      <c r="D5361" s="2" t="s">
        <v>12</v>
      </c>
      <c r="E5361" s="2" t="s">
        <v>28</v>
      </c>
      <c r="F5361" s="2" t="str">
        <f>HYPERLINK("http://bbs.12365auto.com/postcontent.aspx?tID=194526","http://bbs.12365auto.com/postcontent.aspx?tID=194526")</f>
        <v>http://bbs.12365auto.com/postcontent.aspx?tID=194526</v>
      </c>
      <c r="G5361" s="2"/>
      <c r="H5361" s="2" t="s">
        <v>7536</v>
      </c>
      <c r="I5361" s="2" t="s">
        <v>15</v>
      </c>
      <c r="J5361" s="2" t="s">
        <v>7499</v>
      </c>
      <c r="K5361" s="2" t="s">
        <v>7537</v>
      </c>
      <c r="L5361" s="2">
        <f t="shared" si="83"/>
        <v>150</v>
      </c>
    </row>
    <row r="5362" spans="1:12" ht="25" customHeight="1">
      <c r="A5362" s="2" t="s">
        <v>12</v>
      </c>
      <c r="B5362" s="2" t="str">
        <f>HYPERLINK("http://bbs.12365auto.com/postcontent.aspx?tID=194528","这五款“不保值”的二手车，买就完事了")</f>
        <v>这五款“不保值”的二手车，买就完事了</v>
      </c>
      <c r="C5362" s="2" t="s">
        <v>13</v>
      </c>
      <c r="D5362" s="2" t="s">
        <v>12</v>
      </c>
      <c r="E5362" s="2" t="s">
        <v>28</v>
      </c>
      <c r="F5362" s="2" t="str">
        <f>HYPERLINK("http://bbs.12365auto.com/postcontent.aspx?tID=194528","http://bbs.12365auto.com/postcontent.aspx?tID=194528")</f>
        <v>http://bbs.12365auto.com/postcontent.aspx?tID=194528</v>
      </c>
      <c r="G5362" s="2"/>
      <c r="H5362" s="2" t="s">
        <v>7538</v>
      </c>
      <c r="I5362" s="2" t="s">
        <v>15</v>
      </c>
      <c r="J5362" s="2" t="s">
        <v>7499</v>
      </c>
      <c r="K5362" s="2" t="s">
        <v>7537</v>
      </c>
      <c r="L5362" s="2">
        <f t="shared" si="83"/>
        <v>150</v>
      </c>
    </row>
    <row r="5363" spans="1:12" ht="25" customHeight="1">
      <c r="A5363" s="2" t="s">
        <v>12</v>
      </c>
      <c r="B5363" s="2" t="str">
        <f>HYPERLINK("http://bbs.12365auto.com/postcontent.aspx?tID=194529","买车选配置怕被忽悠 看这个就行了")</f>
        <v>买车选配置怕被忽悠 看这个就行了</v>
      </c>
      <c r="C5363" s="2" t="s">
        <v>13</v>
      </c>
      <c r="D5363" s="2" t="s">
        <v>12</v>
      </c>
      <c r="E5363" s="2" t="s">
        <v>214</v>
      </c>
      <c r="F5363" s="2" t="str">
        <f>HYPERLINK("http://bbs.12365auto.com/postcontent.aspx?tID=194529","http://bbs.12365auto.com/postcontent.aspx?tID=194529")</f>
        <v>http://bbs.12365auto.com/postcontent.aspx?tID=194529</v>
      </c>
      <c r="G5363" s="2"/>
      <c r="H5363" s="2" t="s">
        <v>7539</v>
      </c>
      <c r="I5363" s="2" t="s">
        <v>15</v>
      </c>
      <c r="J5363" s="2" t="s">
        <v>7540</v>
      </c>
      <c r="K5363" s="2" t="s">
        <v>7537</v>
      </c>
      <c r="L5363" s="2">
        <f t="shared" si="83"/>
        <v>150</v>
      </c>
    </row>
    <row r="5364" spans="1:12" ht="25" customHeight="1">
      <c r="A5364" s="2" t="s">
        <v>12</v>
      </c>
      <c r="B5364" s="2" t="str">
        <f>HYPERLINK("http://bbs.12365auto.com/postcontent.aspx?tID=194527","“汽车上那些没啥用的配置”之——分区空调")</f>
        <v>“汽车上那些没啥用的配置”之——分区空调</v>
      </c>
      <c r="C5364" s="2" t="s">
        <v>13</v>
      </c>
      <c r="D5364" s="2" t="s">
        <v>12</v>
      </c>
      <c r="E5364" s="2" t="s">
        <v>214</v>
      </c>
      <c r="F5364" s="2" t="str">
        <f>HYPERLINK("http://bbs.12365auto.com/postcontent.aspx?tID=194527","http://bbs.12365auto.com/postcontent.aspx?tID=194527")</f>
        <v>http://bbs.12365auto.com/postcontent.aspx?tID=194527</v>
      </c>
      <c r="G5364" s="2"/>
      <c r="H5364" s="2" t="s">
        <v>7541</v>
      </c>
      <c r="I5364" s="2" t="s">
        <v>15</v>
      </c>
      <c r="J5364" s="2" t="s">
        <v>7540</v>
      </c>
      <c r="K5364" s="2" t="s">
        <v>7537</v>
      </c>
      <c r="L5364" s="2">
        <f t="shared" si="83"/>
        <v>150</v>
      </c>
    </row>
    <row r="5365" spans="1:12" ht="25" customHeight="1">
      <c r="A5365" s="2" t="s">
        <v>12</v>
      </c>
      <c r="B5365" s="2" t="str">
        <f>HYPERLINK("http://bbs.12365auto.com/postcontent.aspx?tId=194529","买车选配置怕被忽悠 看这个就行了")</f>
        <v>买车选配置怕被忽悠 看这个就行了</v>
      </c>
      <c r="C5365" s="2" t="s">
        <v>13</v>
      </c>
      <c r="D5365" s="2" t="s">
        <v>12</v>
      </c>
      <c r="E5365" s="2" t="s">
        <v>210</v>
      </c>
      <c r="F5365" s="2" t="str">
        <f>HYPERLINK("http://bbs.12365auto.com/postcontent.aspx?tId=194529","http://bbs.12365auto.com/postcontent.aspx?tId=194529")</f>
        <v>http://bbs.12365auto.com/postcontent.aspx?tId=194529</v>
      </c>
      <c r="G5365" s="2"/>
      <c r="H5365" s="2" t="s">
        <v>7542</v>
      </c>
      <c r="I5365" s="2" t="s">
        <v>15</v>
      </c>
      <c r="J5365" s="2" t="s">
        <v>7540</v>
      </c>
      <c r="K5365" s="2" t="s">
        <v>7537</v>
      </c>
      <c r="L5365" s="2">
        <f t="shared" si="83"/>
        <v>150</v>
      </c>
    </row>
    <row r="5366" spans="1:12" ht="25" customHeight="1">
      <c r="A5366" s="2" t="s">
        <v>12</v>
      </c>
      <c r="B5366" s="2" t="str">
        <f>HYPERLINK("http://bbs.12365auto.com/postcontent.aspx?tId=194527","“汽车上那些没啥用的配置”之——分区空调")</f>
        <v>“汽车上那些没啥用的配置”之——分区空调</v>
      </c>
      <c r="C5366" s="2" t="s">
        <v>13</v>
      </c>
      <c r="D5366" s="2" t="s">
        <v>12</v>
      </c>
      <c r="E5366" s="2" t="s">
        <v>210</v>
      </c>
      <c r="F5366" s="2" t="str">
        <f>HYPERLINK("http://bbs.12365auto.com/postcontent.aspx?tId=194527","http://bbs.12365auto.com/postcontent.aspx?tId=194527")</f>
        <v>http://bbs.12365auto.com/postcontent.aspx?tId=194527</v>
      </c>
      <c r="G5366" s="2"/>
      <c r="H5366" s="2" t="s">
        <v>7543</v>
      </c>
      <c r="I5366" s="2" t="s">
        <v>15</v>
      </c>
      <c r="J5366" s="2" t="s">
        <v>7540</v>
      </c>
      <c r="K5366" s="2" t="s">
        <v>7537</v>
      </c>
      <c r="L5366" s="2">
        <f t="shared" si="83"/>
        <v>150</v>
      </c>
    </row>
    <row r="5367" spans="1:12" ht="25" customHeight="1">
      <c r="A5367" s="2" t="s">
        <v>12</v>
      </c>
      <c r="B5367" s="2" t="str">
        <f>HYPERLINK("http://bbs.12365auto.com/postcontent.aspx?tId=194528","这五款“不保值”的二手车，买就完事了")</f>
        <v>这五款“不保值”的二手车，买就完事了</v>
      </c>
      <c r="C5367" s="2" t="s">
        <v>13</v>
      </c>
      <c r="D5367" s="2" t="s">
        <v>12</v>
      </c>
      <c r="E5367" s="2" t="s">
        <v>27</v>
      </c>
      <c r="F5367" s="2" t="str">
        <f>HYPERLINK("http://bbs.12365auto.com/postcontent.aspx?tId=194528","http://bbs.12365auto.com/postcontent.aspx?tId=194528")</f>
        <v>http://bbs.12365auto.com/postcontent.aspx?tId=194528</v>
      </c>
      <c r="G5367" s="2"/>
      <c r="H5367" s="2" t="s">
        <v>7544</v>
      </c>
      <c r="I5367" s="2" t="s">
        <v>15</v>
      </c>
      <c r="J5367" s="2" t="s">
        <v>7499</v>
      </c>
      <c r="K5367" s="2" t="s">
        <v>7537</v>
      </c>
      <c r="L5367" s="2">
        <f t="shared" si="83"/>
        <v>150</v>
      </c>
    </row>
    <row r="5368" spans="1:12" ht="25" customHeight="1">
      <c r="A5368" s="2" t="s">
        <v>12</v>
      </c>
      <c r="B5368" s="2" t="str">
        <f>HYPERLINK("http://bbs.12365auto.com/postcontent.aspx?tId=194526","国产Model 3拟采用磷酸铁锂电池？外媒：特斯拉正与宁德时代磋商")</f>
        <v>国产Model 3拟采用磷酸铁锂电池？外媒：特斯拉正与宁德时代磋商</v>
      </c>
      <c r="C5368" s="2" t="s">
        <v>13</v>
      </c>
      <c r="D5368" s="2" t="s">
        <v>12</v>
      </c>
      <c r="E5368" s="2" t="s">
        <v>27</v>
      </c>
      <c r="F5368" s="2" t="str">
        <f>HYPERLINK("http://bbs.12365auto.com/postcontent.aspx?tId=194526","http://bbs.12365auto.com/postcontent.aspx?tId=194526")</f>
        <v>http://bbs.12365auto.com/postcontent.aspx?tId=194526</v>
      </c>
      <c r="G5368" s="2"/>
      <c r="H5368" s="2" t="s">
        <v>7545</v>
      </c>
      <c r="I5368" s="2" t="s">
        <v>15</v>
      </c>
      <c r="J5368" s="2" t="s">
        <v>7499</v>
      </c>
      <c r="K5368" s="2" t="s">
        <v>7537</v>
      </c>
      <c r="L5368" s="2">
        <f t="shared" si="83"/>
        <v>150</v>
      </c>
    </row>
    <row r="5369" spans="1:12" ht="25" customHeight="1">
      <c r="A5369" s="2" t="s">
        <v>12</v>
      </c>
      <c r="B5369" s="2" t="str">
        <f>HYPERLINK("http://bbs.12365auto.com/postcontent.aspx?tID=194525","德系日系的发动机寿命哪个长")</f>
        <v>德系日系的发动机寿命哪个长</v>
      </c>
      <c r="C5369" s="2" t="s">
        <v>13</v>
      </c>
      <c r="D5369" s="2" t="s">
        <v>12</v>
      </c>
      <c r="E5369" s="2" t="s">
        <v>214</v>
      </c>
      <c r="F5369" s="2" t="str">
        <f>HYPERLINK("http://bbs.12365auto.com/postcontent.aspx?tID=194525","http://bbs.12365auto.com/postcontent.aspx?tID=194525")</f>
        <v>http://bbs.12365auto.com/postcontent.aspx?tID=194525</v>
      </c>
      <c r="G5369" s="2"/>
      <c r="H5369" s="2" t="s">
        <v>7546</v>
      </c>
      <c r="I5369" s="2" t="s">
        <v>15</v>
      </c>
      <c r="J5369" s="2" t="s">
        <v>7540</v>
      </c>
      <c r="K5369" s="2" t="s">
        <v>7547</v>
      </c>
      <c r="L5369" s="2">
        <f t="shared" si="83"/>
        <v>150</v>
      </c>
    </row>
    <row r="5370" spans="1:12" ht="25" customHeight="1">
      <c r="A5370" s="2" t="s">
        <v>12</v>
      </c>
      <c r="B5370" s="2" t="str">
        <f>HYPERLINK("http://bbs.12365auto.com/postcontent.aspx?tID=194524","燃油车禁售提前 看目前哪些引擎值得收藏")</f>
        <v>燃油车禁售提前 看目前哪些引擎值得收藏</v>
      </c>
      <c r="C5370" s="2" t="s">
        <v>13</v>
      </c>
      <c r="D5370" s="2" t="s">
        <v>12</v>
      </c>
      <c r="E5370" s="2" t="s">
        <v>214</v>
      </c>
      <c r="F5370" s="2" t="str">
        <f>HYPERLINK("http://bbs.12365auto.com/postcontent.aspx?tID=194524","http://bbs.12365auto.com/postcontent.aspx?tID=194524")</f>
        <v>http://bbs.12365auto.com/postcontent.aspx?tID=194524</v>
      </c>
      <c r="G5370" s="2"/>
      <c r="H5370" s="2" t="s">
        <v>7548</v>
      </c>
      <c r="I5370" s="2" t="s">
        <v>15</v>
      </c>
      <c r="J5370" s="2" t="s">
        <v>7540</v>
      </c>
      <c r="K5370" s="2" t="s">
        <v>7547</v>
      </c>
      <c r="L5370" s="2">
        <f t="shared" si="83"/>
        <v>150</v>
      </c>
    </row>
    <row r="5371" spans="1:12" ht="25" customHeight="1">
      <c r="A5371" s="2" t="s">
        <v>12</v>
      </c>
      <c r="B5371" s="2" t="str">
        <f>HYPERLINK("http://bbs.12365auto.com/postcontent.aspx?tId=194525","德系日系的发动机寿命哪个长")</f>
        <v>德系日系的发动机寿命哪个长</v>
      </c>
      <c r="C5371" s="2" t="s">
        <v>13</v>
      </c>
      <c r="D5371" s="2" t="s">
        <v>12</v>
      </c>
      <c r="E5371" s="2" t="s">
        <v>210</v>
      </c>
      <c r="F5371" s="2" t="str">
        <f>HYPERLINK("http://bbs.12365auto.com/postcontent.aspx?tId=194525","http://bbs.12365auto.com/postcontent.aspx?tId=194525")</f>
        <v>http://bbs.12365auto.com/postcontent.aspx?tId=194525</v>
      </c>
      <c r="G5371" s="2"/>
      <c r="H5371" s="2" t="s">
        <v>7549</v>
      </c>
      <c r="I5371" s="2" t="s">
        <v>15</v>
      </c>
      <c r="J5371" s="2" t="s">
        <v>7540</v>
      </c>
      <c r="K5371" s="2" t="s">
        <v>7547</v>
      </c>
      <c r="L5371" s="2">
        <f t="shared" si="83"/>
        <v>150</v>
      </c>
    </row>
    <row r="5372" spans="1:12" ht="25" customHeight="1">
      <c r="A5372" s="2" t="s">
        <v>12</v>
      </c>
      <c r="B5372" s="2" t="str">
        <f>HYPERLINK("http://bbs.12365auto.com/postcontent.aspx?tId=194524","燃油车禁售提前 看目前哪些引擎值得收藏")</f>
        <v>燃油车禁售提前 看目前哪些引擎值得收藏</v>
      </c>
      <c r="C5372" s="2" t="s">
        <v>13</v>
      </c>
      <c r="D5372" s="2" t="s">
        <v>12</v>
      </c>
      <c r="E5372" s="2" t="s">
        <v>210</v>
      </c>
      <c r="F5372" s="2" t="str">
        <f>HYPERLINK("http://bbs.12365auto.com/postcontent.aspx?tId=194524","http://bbs.12365auto.com/postcontent.aspx?tId=194524")</f>
        <v>http://bbs.12365auto.com/postcontent.aspx?tId=194524</v>
      </c>
      <c r="G5372" s="2"/>
      <c r="H5372" s="2" t="s">
        <v>7550</v>
      </c>
      <c r="I5372" s="2" t="s">
        <v>15</v>
      </c>
      <c r="J5372" s="2" t="s">
        <v>7540</v>
      </c>
      <c r="K5372" s="2" t="s">
        <v>7547</v>
      </c>
      <c r="L5372" s="2">
        <f t="shared" si="83"/>
        <v>150</v>
      </c>
    </row>
    <row r="5373" spans="1:12" ht="25" customHeight="1">
      <c r="A5373" s="2" t="s">
        <v>12</v>
      </c>
      <c r="B5373" s="2" t="str">
        <f>HYPERLINK("http://bbs.12365auto.com/postcontent.aspx?tID=194522","用插排给纯电动汽车充电应该注意什么")</f>
        <v>用插排给纯电动汽车充电应该注意什么</v>
      </c>
      <c r="C5373" s="2" t="s">
        <v>13</v>
      </c>
      <c r="D5373" s="2" t="s">
        <v>12</v>
      </c>
      <c r="E5373" s="2" t="s">
        <v>214</v>
      </c>
      <c r="F5373" s="2" t="str">
        <f>HYPERLINK("http://bbs.12365auto.com/postcontent.aspx?tID=194522","http://bbs.12365auto.com/postcontent.aspx?tID=194522")</f>
        <v>http://bbs.12365auto.com/postcontent.aspx?tID=194522</v>
      </c>
      <c r="G5373" s="2"/>
      <c r="H5373" s="2" t="s">
        <v>7551</v>
      </c>
      <c r="I5373" s="2" t="s">
        <v>15</v>
      </c>
      <c r="J5373" s="2" t="s">
        <v>7540</v>
      </c>
      <c r="K5373" s="2" t="s">
        <v>7552</v>
      </c>
      <c r="L5373" s="2">
        <f t="shared" si="83"/>
        <v>150</v>
      </c>
    </row>
    <row r="5374" spans="1:12" ht="25" customHeight="1">
      <c r="A5374" s="2" t="s">
        <v>12</v>
      </c>
      <c r="B5374" s="2" t="str">
        <f>HYPERLINK("http://bbs.12365auto.com/postcontent.aspx?tID=194523","纯电动汽车长时间不开会对蓄电池有什么影响")</f>
        <v>纯电动汽车长时间不开会对蓄电池有什么影响</v>
      </c>
      <c r="C5374" s="2" t="s">
        <v>13</v>
      </c>
      <c r="D5374" s="2" t="s">
        <v>12</v>
      </c>
      <c r="E5374" s="2" t="s">
        <v>214</v>
      </c>
      <c r="F5374" s="2" t="str">
        <f>HYPERLINK("http://bbs.12365auto.com/postcontent.aspx?tID=194523","http://bbs.12365auto.com/postcontent.aspx?tID=194523")</f>
        <v>http://bbs.12365auto.com/postcontent.aspx?tID=194523</v>
      </c>
      <c r="G5374" s="2"/>
      <c r="H5374" s="2" t="s">
        <v>7553</v>
      </c>
      <c r="I5374" s="2" t="s">
        <v>15</v>
      </c>
      <c r="J5374" s="2" t="s">
        <v>7540</v>
      </c>
      <c r="K5374" s="2" t="s">
        <v>7552</v>
      </c>
      <c r="L5374" s="2">
        <f t="shared" si="83"/>
        <v>150</v>
      </c>
    </row>
    <row r="5375" spans="1:12" ht="25" customHeight="1">
      <c r="A5375" s="2" t="s">
        <v>12</v>
      </c>
      <c r="B5375" s="2" t="str">
        <f>HYPERLINK("http://bbs.12365auto.com/postcontent.aspx?tId=194522","用插排给纯电动汽车充电应该注意什么")</f>
        <v>用插排给纯电动汽车充电应该注意什么</v>
      </c>
      <c r="C5375" s="2" t="s">
        <v>13</v>
      </c>
      <c r="D5375" s="2" t="s">
        <v>12</v>
      </c>
      <c r="E5375" s="2" t="s">
        <v>210</v>
      </c>
      <c r="F5375" s="2" t="str">
        <f>HYPERLINK("http://bbs.12365auto.com/postcontent.aspx?tId=194522","http://bbs.12365auto.com/postcontent.aspx?tId=194522")</f>
        <v>http://bbs.12365auto.com/postcontent.aspx?tId=194522</v>
      </c>
      <c r="G5375" s="2"/>
      <c r="H5375" s="2" t="s">
        <v>7554</v>
      </c>
      <c r="I5375" s="2" t="s">
        <v>15</v>
      </c>
      <c r="J5375" s="2" t="s">
        <v>7540</v>
      </c>
      <c r="K5375" s="2" t="s">
        <v>7552</v>
      </c>
      <c r="L5375" s="2">
        <f t="shared" si="83"/>
        <v>150</v>
      </c>
    </row>
    <row r="5376" spans="1:12" ht="25" customHeight="1">
      <c r="A5376" s="2" t="s">
        <v>12</v>
      </c>
      <c r="B5376" s="2" t="str">
        <f>HYPERLINK("http://bbs.12365auto.com/postcontent.aspx?tId=194523","纯电动汽车长时间不开会对蓄电池有什么影响")</f>
        <v>纯电动汽车长时间不开会对蓄电池有什么影响</v>
      </c>
      <c r="C5376" s="2" t="s">
        <v>13</v>
      </c>
      <c r="D5376" s="2" t="s">
        <v>12</v>
      </c>
      <c r="E5376" s="2" t="s">
        <v>210</v>
      </c>
      <c r="F5376" s="2" t="str">
        <f>HYPERLINK("http://bbs.12365auto.com/postcontent.aspx?tId=194523","http://bbs.12365auto.com/postcontent.aspx?tId=194523")</f>
        <v>http://bbs.12365auto.com/postcontent.aspx?tId=194523</v>
      </c>
      <c r="G5376" s="2"/>
      <c r="H5376" s="2" t="s">
        <v>7555</v>
      </c>
      <c r="I5376" s="2" t="s">
        <v>15</v>
      </c>
      <c r="J5376" s="2" t="s">
        <v>7540</v>
      </c>
      <c r="K5376" s="2" t="s">
        <v>7552</v>
      </c>
      <c r="L5376" s="2">
        <f t="shared" si="83"/>
        <v>150</v>
      </c>
    </row>
    <row r="5377" spans="1:12" ht="25" customHeight="1">
      <c r="A5377" s="2" t="s">
        <v>12</v>
      </c>
      <c r="B5377" s="2" t="str">
        <f>HYPERLINK("http://bbs.12365auto.com/postcontent.aspx?tId=194521","发生碰撞纯电动车和燃油车哪个更容易发生爆炸")</f>
        <v>发生碰撞纯电动车和燃油车哪个更容易发生爆炸</v>
      </c>
      <c r="C5377" s="2" t="s">
        <v>13</v>
      </c>
      <c r="D5377" s="2" t="s">
        <v>12</v>
      </c>
      <c r="E5377" s="2" t="s">
        <v>210</v>
      </c>
      <c r="F5377" s="2" t="str">
        <f>HYPERLINK("http://bbs.12365auto.com/postcontent.aspx?tId=194521","http://bbs.12365auto.com/postcontent.aspx?tId=194521")</f>
        <v>http://bbs.12365auto.com/postcontent.aspx?tId=194521</v>
      </c>
      <c r="G5377" s="2"/>
      <c r="H5377" s="2" t="s">
        <v>7556</v>
      </c>
      <c r="I5377" s="2" t="s">
        <v>15</v>
      </c>
      <c r="J5377" s="2" t="s">
        <v>7540</v>
      </c>
      <c r="K5377" s="2" t="s">
        <v>7552</v>
      </c>
      <c r="L5377" s="2">
        <f t="shared" si="83"/>
        <v>150</v>
      </c>
    </row>
    <row r="5378" spans="1:12" ht="25" customHeight="1">
      <c r="A5378" s="2" t="s">
        <v>12</v>
      </c>
      <c r="B5378" s="2" t="str">
        <f>HYPERLINK("http://bbs.12365auto.com/postcontent.aspx?tID=194521","发生碰撞纯电动车和燃油车哪个更容易发生爆炸")</f>
        <v>发生碰撞纯电动车和燃油车哪个更容易发生爆炸</v>
      </c>
      <c r="C5378" s="2" t="s">
        <v>13</v>
      </c>
      <c r="D5378" s="2" t="s">
        <v>12</v>
      </c>
      <c r="E5378" s="2" t="s">
        <v>214</v>
      </c>
      <c r="F5378" s="2" t="str">
        <f>HYPERLINK("http://bbs.12365auto.com/postcontent.aspx?tID=194521","http://bbs.12365auto.com/postcontent.aspx?tID=194521")</f>
        <v>http://bbs.12365auto.com/postcontent.aspx?tID=194521</v>
      </c>
      <c r="G5378" s="2"/>
      <c r="H5378" s="2" t="s">
        <v>7557</v>
      </c>
      <c r="I5378" s="2" t="s">
        <v>15</v>
      </c>
      <c r="J5378" s="2" t="s">
        <v>7540</v>
      </c>
      <c r="K5378" s="2" t="s">
        <v>7552</v>
      </c>
      <c r="L5378" s="2">
        <f t="shared" si="83"/>
        <v>150</v>
      </c>
    </row>
    <row r="5379" spans="1:12" ht="25" customHeight="1">
      <c r="A5379" s="2" t="s">
        <v>12</v>
      </c>
      <c r="B5379" s="2" t="str">
        <f>HYPERLINK("http://bbs.12365auto.com/postcontent.aspx?tID=194519","手机锂电池寿命2年 电动汽车电池为何质保时间更长")</f>
        <v>手机锂电池寿命2年 电动汽车电池为何质保时间更长</v>
      </c>
      <c r="C5379" s="2" t="s">
        <v>13</v>
      </c>
      <c r="D5379" s="2" t="s">
        <v>12</v>
      </c>
      <c r="E5379" s="2" t="s">
        <v>214</v>
      </c>
      <c r="F5379" s="2" t="str">
        <f>HYPERLINK("http://bbs.12365auto.com/postcontent.aspx?tID=194519","http://bbs.12365auto.com/postcontent.aspx?tID=194519")</f>
        <v>http://bbs.12365auto.com/postcontent.aspx?tID=194519</v>
      </c>
      <c r="G5379" s="2"/>
      <c r="H5379" s="2" t="s">
        <v>7558</v>
      </c>
      <c r="I5379" s="2" t="s">
        <v>15</v>
      </c>
      <c r="J5379" s="2" t="s">
        <v>7540</v>
      </c>
      <c r="K5379" s="2" t="s">
        <v>7559</v>
      </c>
      <c r="L5379" s="2">
        <f t="shared" ref="L5379:L5442" si="84">LEN(H5379)</f>
        <v>150</v>
      </c>
    </row>
    <row r="5380" spans="1:12" ht="25" customHeight="1">
      <c r="A5380" s="2" t="s">
        <v>12</v>
      </c>
      <c r="B5380" s="2" t="str">
        <f>HYPERLINK("http://bbs.12365auto.com/postcontent.aspx?tId=194520","越野电动车是不是很耗电")</f>
        <v>越野电动车是不是很耗电</v>
      </c>
      <c r="C5380" s="2" t="s">
        <v>13</v>
      </c>
      <c r="D5380" s="2" t="s">
        <v>12</v>
      </c>
      <c r="E5380" s="2" t="s">
        <v>210</v>
      </c>
      <c r="F5380" s="2" t="str">
        <f>HYPERLINK("http://bbs.12365auto.com/postcontent.aspx?tId=194520","http://bbs.12365auto.com/postcontent.aspx?tId=194520")</f>
        <v>http://bbs.12365auto.com/postcontent.aspx?tId=194520</v>
      </c>
      <c r="G5380" s="2"/>
      <c r="H5380" s="2" t="s">
        <v>7560</v>
      </c>
      <c r="I5380" s="2" t="s">
        <v>15</v>
      </c>
      <c r="J5380" s="2" t="s">
        <v>7540</v>
      </c>
      <c r="K5380" s="2" t="s">
        <v>7559</v>
      </c>
      <c r="L5380" s="2">
        <f t="shared" si="84"/>
        <v>150</v>
      </c>
    </row>
    <row r="5381" spans="1:12" ht="25" customHeight="1">
      <c r="A5381" s="2" t="s">
        <v>12</v>
      </c>
      <c r="B5381" s="2" t="str">
        <f>HYPERLINK("http://bbs.12365auto.com/postcontent.aspx?tId=194519","手机锂电池寿命2年 电动汽车电池为何质保时间更长")</f>
        <v>手机锂电池寿命2年 电动汽车电池为何质保时间更长</v>
      </c>
      <c r="C5381" s="2" t="s">
        <v>13</v>
      </c>
      <c r="D5381" s="2" t="s">
        <v>12</v>
      </c>
      <c r="E5381" s="2" t="s">
        <v>210</v>
      </c>
      <c r="F5381" s="2" t="str">
        <f>HYPERLINK("http://bbs.12365auto.com/postcontent.aspx?tId=194519","http://bbs.12365auto.com/postcontent.aspx?tId=194519")</f>
        <v>http://bbs.12365auto.com/postcontent.aspx?tId=194519</v>
      </c>
      <c r="G5381" s="2"/>
      <c r="H5381" s="2" t="s">
        <v>7561</v>
      </c>
      <c r="I5381" s="2" t="s">
        <v>15</v>
      </c>
      <c r="J5381" s="2" t="s">
        <v>7540</v>
      </c>
      <c r="K5381" s="2" t="s">
        <v>7559</v>
      </c>
      <c r="L5381" s="2">
        <f t="shared" si="84"/>
        <v>150</v>
      </c>
    </row>
    <row r="5382" spans="1:12" ht="25" customHeight="1">
      <c r="A5382" s="2" t="s">
        <v>12</v>
      </c>
      <c r="B5382" s="2" t="str">
        <f>HYPERLINK("http://m.12365auto.com/scbg/20200219/418984.shtml","内外兼修 测长安CS75 PLUS 1.5T尊贵型")</f>
        <v>内外兼修 测长安CS75 PLUS 1.5T尊贵型</v>
      </c>
      <c r="C5382" s="2" t="s">
        <v>13</v>
      </c>
      <c r="D5382" s="2" t="s">
        <v>12</v>
      </c>
      <c r="E5382" s="2"/>
      <c r="F5382" s="2" t="str">
        <f>HYPERLINK("http://m.12365auto.com/scbg/20200219/418984.shtml","http://m.12365auto.com/scbg/20200219/418984.shtml")</f>
        <v>http://m.12365auto.com/scbg/20200219/418984.shtml</v>
      </c>
      <c r="G5382" s="2"/>
      <c r="H5382" s="2" t="s">
        <v>7562</v>
      </c>
      <c r="I5382" s="2" t="s">
        <v>19</v>
      </c>
      <c r="J5382" s="2" t="s">
        <v>7563</v>
      </c>
      <c r="K5382" s="2" t="s">
        <v>7559</v>
      </c>
      <c r="L5382" s="2">
        <f t="shared" si="84"/>
        <v>150</v>
      </c>
    </row>
    <row r="5383" spans="1:12" ht="25" customHeight="1">
      <c r="A5383" s="2" t="s">
        <v>12</v>
      </c>
      <c r="B5383" s="2" t="str">
        <f>HYPERLINK("http://bbs.12365auto.com/postcontent.aspx?tID=194520","越野电动车是不是很耗电")</f>
        <v>越野电动车是不是很耗电</v>
      </c>
      <c r="C5383" s="2" t="s">
        <v>13</v>
      </c>
      <c r="D5383" s="2" t="s">
        <v>12</v>
      </c>
      <c r="E5383" s="2" t="s">
        <v>214</v>
      </c>
      <c r="F5383" s="2" t="str">
        <f>HYPERLINK("http://bbs.12365auto.com/postcontent.aspx?tID=194520","http://bbs.12365auto.com/postcontent.aspx?tID=194520")</f>
        <v>http://bbs.12365auto.com/postcontent.aspx?tID=194520</v>
      </c>
      <c r="G5383" s="2"/>
      <c r="H5383" s="2" t="s">
        <v>7564</v>
      </c>
      <c r="I5383" s="2" t="s">
        <v>15</v>
      </c>
      <c r="J5383" s="2" t="s">
        <v>7540</v>
      </c>
      <c r="K5383" s="2" t="s">
        <v>7559</v>
      </c>
      <c r="L5383" s="2">
        <f t="shared" si="84"/>
        <v>150</v>
      </c>
    </row>
    <row r="5384" spans="1:12" ht="25" customHeight="1">
      <c r="A5384" s="2" t="s">
        <v>12</v>
      </c>
      <c r="B5384" s="2" t="str">
        <f>HYPERLINK("http://www.12365auto.com/scbg/20200219/418984.shtml","内外兼修 测长安CS75 PLUS 1.5T尊贵型")</f>
        <v>内外兼修 测长安CS75 PLUS 1.5T尊贵型</v>
      </c>
      <c r="C5384" s="2" t="s">
        <v>13</v>
      </c>
      <c r="D5384" s="2" t="s">
        <v>12</v>
      </c>
      <c r="E5384" s="2" t="s">
        <v>1548</v>
      </c>
      <c r="F5384" s="2" t="str">
        <f>HYPERLINK("http://www.12365auto.com/scbg/20200219/418984.shtml","http://www.12365auto.com/scbg/20200219/418984.shtml")</f>
        <v>http://www.12365auto.com/scbg/20200219/418984.shtml</v>
      </c>
      <c r="G5384" s="2"/>
      <c r="H5384" s="2" t="s">
        <v>7565</v>
      </c>
      <c r="I5384" s="2" t="s">
        <v>15</v>
      </c>
      <c r="J5384" s="2" t="s">
        <v>12</v>
      </c>
      <c r="K5384" s="2" t="s">
        <v>7559</v>
      </c>
      <c r="L5384" s="2">
        <f t="shared" si="84"/>
        <v>150</v>
      </c>
    </row>
    <row r="5385" spans="1:12" ht="25" customHeight="1">
      <c r="A5385" s="2" t="s">
        <v>12</v>
      </c>
      <c r="B5385" s="2" t="str">
        <f>HYPERLINK("http://bbs.12365auto.com/postcontent.aspx?tID=194518","为什么造车新势力推出的汽车比传统车企更智能")</f>
        <v>为什么造车新势力推出的汽车比传统车企更智能</v>
      </c>
      <c r="C5385" s="2" t="s">
        <v>13</v>
      </c>
      <c r="D5385" s="2" t="s">
        <v>12</v>
      </c>
      <c r="E5385" s="2" t="s">
        <v>214</v>
      </c>
      <c r="F5385" s="2" t="str">
        <f>HYPERLINK("http://bbs.12365auto.com/postcontent.aspx?tID=194518","http://bbs.12365auto.com/postcontent.aspx?tID=194518")</f>
        <v>http://bbs.12365auto.com/postcontent.aspx?tID=194518</v>
      </c>
      <c r="G5385" s="2"/>
      <c r="H5385" s="2" t="s">
        <v>7566</v>
      </c>
      <c r="I5385" s="2" t="s">
        <v>15</v>
      </c>
      <c r="J5385" s="2" t="s">
        <v>7540</v>
      </c>
      <c r="K5385" s="2" t="s">
        <v>7567</v>
      </c>
      <c r="L5385" s="2">
        <f t="shared" si="84"/>
        <v>150</v>
      </c>
    </row>
    <row r="5386" spans="1:12" ht="25" customHeight="1">
      <c r="A5386" s="2" t="s">
        <v>12</v>
      </c>
      <c r="B5386" s="2" t="str">
        <f>HYPERLINK("http://bbs.12365auto.com/postcontent.aspx?tId=194518","为什么造车新势力推出的汽车比传统车企更智能")</f>
        <v>为什么造车新势力推出的汽车比传统车企更智能</v>
      </c>
      <c r="C5386" s="2" t="s">
        <v>13</v>
      </c>
      <c r="D5386" s="2" t="s">
        <v>12</v>
      </c>
      <c r="E5386" s="2" t="s">
        <v>210</v>
      </c>
      <c r="F5386" s="2" t="str">
        <f>HYPERLINK("http://bbs.12365auto.com/postcontent.aspx?tId=194518","http://bbs.12365auto.com/postcontent.aspx?tId=194518")</f>
        <v>http://bbs.12365auto.com/postcontent.aspx?tId=194518</v>
      </c>
      <c r="G5386" s="2"/>
      <c r="H5386" s="2" t="s">
        <v>7568</v>
      </c>
      <c r="I5386" s="2" t="s">
        <v>15</v>
      </c>
      <c r="J5386" s="2" t="s">
        <v>7540</v>
      </c>
      <c r="K5386" s="2" t="s">
        <v>7567</v>
      </c>
      <c r="L5386" s="2">
        <f t="shared" si="84"/>
        <v>150</v>
      </c>
    </row>
    <row r="5387" spans="1:12" ht="25" customHeight="1">
      <c r="A5387" s="2" t="s">
        <v>12</v>
      </c>
      <c r="B5387" s="2" t="str">
        <f>HYPERLINK("http://m.12365auto.com/xcdg/20200219/418983.shtml","外观更具攻击性 新高尔夫R有望6月亮相")</f>
        <v>外观更具攻击性 新高尔夫R有望6月亮相</v>
      </c>
      <c r="C5387" s="2" t="s">
        <v>13</v>
      </c>
      <c r="D5387" s="2" t="s">
        <v>12</v>
      </c>
      <c r="E5387" s="2"/>
      <c r="F5387" s="2" t="str">
        <f>HYPERLINK("http://m.12365auto.com/xcdg/20200219/418983.shtml","http://m.12365auto.com/xcdg/20200219/418983.shtml")</f>
        <v>http://m.12365auto.com/xcdg/20200219/418983.shtml</v>
      </c>
      <c r="G5387" s="2"/>
      <c r="H5387" s="2" t="s">
        <v>7569</v>
      </c>
      <c r="I5387" s="2" t="s">
        <v>19</v>
      </c>
      <c r="J5387" s="2" t="s">
        <v>317</v>
      </c>
      <c r="K5387" s="2" t="s">
        <v>7567</v>
      </c>
      <c r="L5387" s="2">
        <f t="shared" si="84"/>
        <v>150</v>
      </c>
    </row>
    <row r="5388" spans="1:12" ht="25" customHeight="1">
      <c r="A5388" s="2" t="s">
        <v>12</v>
      </c>
      <c r="B5388" s="2" t="str">
        <f>HYPERLINK("http://www.12365auto.com/xcdg/20200219/418983.shtml","外观更具攻击性 新高尔夫R有望6月亮相")</f>
        <v>外观更具攻击性 新高尔夫R有望6月亮相</v>
      </c>
      <c r="C5388" s="2" t="s">
        <v>13</v>
      </c>
      <c r="D5388" s="2" t="s">
        <v>12</v>
      </c>
      <c r="E5388" s="2" t="s">
        <v>224</v>
      </c>
      <c r="F5388" s="2" t="str">
        <f>HYPERLINK("http://www.12365auto.com/xcdg/20200219/418983.shtml","http://www.12365auto.com/xcdg/20200219/418983.shtml")</f>
        <v>http://www.12365auto.com/xcdg/20200219/418983.shtml</v>
      </c>
      <c r="G5388" s="2"/>
      <c r="H5388" s="2" t="s">
        <v>7570</v>
      </c>
      <c r="I5388" s="2" t="s">
        <v>15</v>
      </c>
      <c r="J5388" s="2" t="s">
        <v>12</v>
      </c>
      <c r="K5388" s="2" t="s">
        <v>7567</v>
      </c>
      <c r="L5388" s="2">
        <f t="shared" si="84"/>
        <v>150</v>
      </c>
    </row>
    <row r="5389" spans="1:12" ht="25" customHeight="1">
      <c r="A5389" s="2" t="s">
        <v>12</v>
      </c>
      <c r="B5389" s="2" t="str">
        <f>HYPERLINK("http://www.12365auto.com/zlts/20200219/447737.shtml","广汽本田锋范车门及引擎盖多处生锈")</f>
        <v>广汽本田锋范车门及引擎盖多处生锈</v>
      </c>
      <c r="C5389" s="2" t="s">
        <v>13</v>
      </c>
      <c r="D5389" s="2" t="s">
        <v>12</v>
      </c>
      <c r="E5389" s="2" t="s">
        <v>17</v>
      </c>
      <c r="F5389" s="2" t="str">
        <f>HYPERLINK("http://www.12365auto.com/zlts/20200219/447737.shtml","http://www.12365auto.com/zlts/20200219/447737.shtml")</f>
        <v>http://www.12365auto.com/zlts/20200219/447737.shtml</v>
      </c>
      <c r="G5389" s="2"/>
      <c r="H5389" s="2" t="s">
        <v>7571</v>
      </c>
      <c r="I5389" s="2" t="s">
        <v>19</v>
      </c>
      <c r="J5389" s="2" t="s">
        <v>12</v>
      </c>
      <c r="K5389" s="2" t="s">
        <v>7572</v>
      </c>
      <c r="L5389" s="2">
        <f t="shared" si="84"/>
        <v>150</v>
      </c>
    </row>
    <row r="5390" spans="1:12" ht="25" customHeight="1">
      <c r="A5390" s="2" t="s">
        <v>12</v>
      </c>
      <c r="B5390" s="2" t="str">
        <f>HYPERLINK("http://m.12365auto.com/news/20200219/418982.shtml","新加坡宣布计划2040年前逐步淘汰燃油车")</f>
        <v>新加坡宣布计划2040年前逐步淘汰燃油车</v>
      </c>
      <c r="C5390" s="2" t="s">
        <v>13</v>
      </c>
      <c r="D5390" s="2" t="s">
        <v>12</v>
      </c>
      <c r="E5390" s="2"/>
      <c r="F5390" s="2" t="str">
        <f>HYPERLINK("http://m.12365auto.com/news/20200219/418982.shtml","http://m.12365auto.com/news/20200219/418982.shtml")</f>
        <v>http://m.12365auto.com/news/20200219/418982.shtml</v>
      </c>
      <c r="G5390" s="2"/>
      <c r="H5390" s="2" t="s">
        <v>7573</v>
      </c>
      <c r="I5390" s="2" t="s">
        <v>19</v>
      </c>
      <c r="J5390" s="2" t="s">
        <v>1170</v>
      </c>
      <c r="K5390" s="2" t="s">
        <v>7574</v>
      </c>
      <c r="L5390" s="2">
        <f t="shared" si="84"/>
        <v>150</v>
      </c>
    </row>
    <row r="5391" spans="1:12" ht="25" customHeight="1">
      <c r="A5391" s="2" t="s">
        <v>12</v>
      </c>
      <c r="B5391" s="2" t="str">
        <f>HYPERLINK("http://www.12365auto.com/news/20200219/418982.shtml","新加坡宣布计划2040年前逐步淘汰燃油车")</f>
        <v>新加坡宣布计划2040年前逐步淘汰燃油车</v>
      </c>
      <c r="C5391" s="2" t="s">
        <v>13</v>
      </c>
      <c r="D5391" s="2" t="s">
        <v>12</v>
      </c>
      <c r="E5391" s="2" t="s">
        <v>276</v>
      </c>
      <c r="F5391" s="2" t="str">
        <f>HYPERLINK("http://www.12365auto.com/news/20200219/418982.shtml","http://www.12365auto.com/news/20200219/418982.shtml")</f>
        <v>http://www.12365auto.com/news/20200219/418982.shtml</v>
      </c>
      <c r="G5391" s="2"/>
      <c r="H5391" s="2" t="s">
        <v>7575</v>
      </c>
      <c r="I5391" s="2" t="s">
        <v>15</v>
      </c>
      <c r="J5391" s="2" t="s">
        <v>12</v>
      </c>
      <c r="K5391" s="2" t="s">
        <v>7574</v>
      </c>
      <c r="L5391" s="2">
        <f t="shared" si="84"/>
        <v>150</v>
      </c>
    </row>
    <row r="5392" spans="1:12" ht="25" customHeight="1">
      <c r="A5392" s="2" t="s">
        <v>12</v>
      </c>
      <c r="B5392" s="2" t="str">
        <f>HYPERLINK("http://www.12365auto.com/zlts/20200219/447736.shtml","广汽丰田凯美瑞半轴防尘套漏油质量差")</f>
        <v>广汽丰田凯美瑞半轴防尘套漏油质量差</v>
      </c>
      <c r="C5392" s="2" t="s">
        <v>13</v>
      </c>
      <c r="D5392" s="2" t="s">
        <v>12</v>
      </c>
      <c r="E5392" s="2" t="s">
        <v>17</v>
      </c>
      <c r="F5392" s="2" t="str">
        <f>HYPERLINK("http://www.12365auto.com/zlts/20200219/447736.shtml","http://www.12365auto.com/zlts/20200219/447736.shtml")</f>
        <v>http://www.12365auto.com/zlts/20200219/447736.shtml</v>
      </c>
      <c r="G5392" s="2"/>
      <c r="H5392" s="2" t="s">
        <v>7576</v>
      </c>
      <c r="I5392" s="2" t="s">
        <v>19</v>
      </c>
      <c r="J5392" s="2" t="s">
        <v>12</v>
      </c>
      <c r="K5392" s="2" t="s">
        <v>7577</v>
      </c>
      <c r="L5392" s="2">
        <f t="shared" si="84"/>
        <v>150</v>
      </c>
    </row>
    <row r="5393" spans="1:12" ht="25" customHeight="1">
      <c r="A5393" s="2" t="s">
        <v>12</v>
      </c>
      <c r="B5393" s="2" t="str">
        <f>HYPERLINK("http://m.12365auto.com/xcdg/20200219/418981.shtml","采用全新设计理念 江淮S432设计图发布")</f>
        <v>采用全新设计理念 江淮S432设计图发布</v>
      </c>
      <c r="C5393" s="2" t="s">
        <v>13</v>
      </c>
      <c r="D5393" s="2" t="s">
        <v>12</v>
      </c>
      <c r="E5393" s="2"/>
      <c r="F5393" s="2" t="str">
        <f>HYPERLINK("http://m.12365auto.com/xcdg/20200219/418981.shtml","http://m.12365auto.com/xcdg/20200219/418981.shtml")</f>
        <v>http://m.12365auto.com/xcdg/20200219/418981.shtml</v>
      </c>
      <c r="G5393" s="2"/>
      <c r="H5393" s="2" t="s">
        <v>7578</v>
      </c>
      <c r="I5393" s="2" t="s">
        <v>19</v>
      </c>
      <c r="J5393" s="2" t="s">
        <v>317</v>
      </c>
      <c r="K5393" s="2" t="s">
        <v>7577</v>
      </c>
      <c r="L5393" s="2">
        <f t="shared" si="84"/>
        <v>150</v>
      </c>
    </row>
    <row r="5394" spans="1:12" ht="25" customHeight="1">
      <c r="A5394" s="2" t="s">
        <v>12</v>
      </c>
      <c r="B5394" s="2" t="str">
        <f>HYPERLINK("http://www.12365auto.com/xcdg/20200219/418981.shtml","采用全新设计理念 江淮S432设计图发布")</f>
        <v>采用全新设计理念 江淮S432设计图发布</v>
      </c>
      <c r="C5394" s="2" t="s">
        <v>13</v>
      </c>
      <c r="D5394" s="2" t="s">
        <v>12</v>
      </c>
      <c r="E5394" s="2" t="s">
        <v>216</v>
      </c>
      <c r="F5394" s="2" t="str">
        <f>HYPERLINK("http://www.12365auto.com/xcdg/20200219/418981.shtml","http://www.12365auto.com/xcdg/20200219/418981.shtml")</f>
        <v>http://www.12365auto.com/xcdg/20200219/418981.shtml</v>
      </c>
      <c r="G5394" s="2"/>
      <c r="H5394" s="2" t="s">
        <v>7579</v>
      </c>
      <c r="I5394" s="2" t="s">
        <v>15</v>
      </c>
      <c r="J5394" s="2" t="s">
        <v>12</v>
      </c>
      <c r="K5394" s="2" t="s">
        <v>7577</v>
      </c>
      <c r="L5394" s="2">
        <f t="shared" si="84"/>
        <v>150</v>
      </c>
    </row>
    <row r="5395" spans="1:12" ht="25" customHeight="1">
      <c r="A5395" s="2" t="s">
        <v>12</v>
      </c>
      <c r="B5395" s="2" t="str">
        <f>HYPERLINK("http://m.12365auto.com/news/20200219/418980.shtml","凯迪拉克2020年1月销售新车1.96万辆")</f>
        <v>凯迪拉克2020年1月销售新车1.96万辆</v>
      </c>
      <c r="C5395" s="2" t="s">
        <v>13</v>
      </c>
      <c r="D5395" s="2" t="s">
        <v>12</v>
      </c>
      <c r="E5395" s="2"/>
      <c r="F5395" s="2" t="str">
        <f>HYPERLINK("http://m.12365auto.com/news/20200219/418980.shtml","http://m.12365auto.com/news/20200219/418980.shtml")</f>
        <v>http://m.12365auto.com/news/20200219/418980.shtml</v>
      </c>
      <c r="G5395" s="2"/>
      <c r="H5395" s="2" t="s">
        <v>7580</v>
      </c>
      <c r="I5395" s="2" t="s">
        <v>19</v>
      </c>
      <c r="J5395" s="2" t="s">
        <v>274</v>
      </c>
      <c r="K5395" s="2" t="s">
        <v>7581</v>
      </c>
      <c r="L5395" s="2">
        <f t="shared" si="84"/>
        <v>150</v>
      </c>
    </row>
    <row r="5396" spans="1:12" ht="25" customHeight="1">
      <c r="A5396" s="2" t="s">
        <v>12</v>
      </c>
      <c r="B5396" s="2" t="str">
        <f>HYPERLINK("http://www.12365auto.com/news/20200219/418980.shtml","凯迪拉克2020年1月销售新车1.96万辆")</f>
        <v>凯迪拉克2020年1月销售新车1.96万辆</v>
      </c>
      <c r="C5396" s="2" t="s">
        <v>13</v>
      </c>
      <c r="D5396" s="2" t="s">
        <v>12</v>
      </c>
      <c r="E5396" s="2" t="s">
        <v>276</v>
      </c>
      <c r="F5396" s="2" t="str">
        <f>HYPERLINK("http://www.12365auto.com/news/20200219/418980.shtml","http://www.12365auto.com/news/20200219/418980.shtml")</f>
        <v>http://www.12365auto.com/news/20200219/418980.shtml</v>
      </c>
      <c r="G5396" s="2"/>
      <c r="H5396" s="2" t="s">
        <v>7582</v>
      </c>
      <c r="I5396" s="2" t="s">
        <v>15</v>
      </c>
      <c r="J5396" s="2" t="s">
        <v>12</v>
      </c>
      <c r="K5396" s="2" t="s">
        <v>7581</v>
      </c>
      <c r="L5396" s="2">
        <f t="shared" si="84"/>
        <v>150</v>
      </c>
    </row>
    <row r="5397" spans="1:12" ht="25" customHeight="1">
      <c r="A5397" s="2" t="s">
        <v>12</v>
      </c>
      <c r="B5397" s="2" t="str">
        <f>HYPERLINK("http://www.12365auto.com/zlts/20200219/447735.shtml","长安标致雪铁龙DS6尾门开裂希望厂家质保")</f>
        <v>长安标致雪铁龙DS6尾门开裂希望厂家质保</v>
      </c>
      <c r="C5397" s="2" t="s">
        <v>13</v>
      </c>
      <c r="D5397" s="2" t="s">
        <v>12</v>
      </c>
      <c r="E5397" s="2" t="s">
        <v>17</v>
      </c>
      <c r="F5397" s="2" t="str">
        <f>HYPERLINK("http://www.12365auto.com/zlts/20200219/447735.shtml","http://www.12365auto.com/zlts/20200219/447735.shtml")</f>
        <v>http://www.12365auto.com/zlts/20200219/447735.shtml</v>
      </c>
      <c r="G5397" s="2"/>
      <c r="H5397" s="2" t="s">
        <v>7583</v>
      </c>
      <c r="I5397" s="2" t="s">
        <v>19</v>
      </c>
      <c r="J5397" s="2" t="s">
        <v>12</v>
      </c>
      <c r="K5397" s="2" t="s">
        <v>7584</v>
      </c>
      <c r="L5397" s="2">
        <f t="shared" si="84"/>
        <v>150</v>
      </c>
    </row>
    <row r="5398" spans="1:12" ht="25" customHeight="1">
      <c r="A5398" s="2" t="s">
        <v>12</v>
      </c>
      <c r="B5398" s="2" t="str">
        <f>HYPERLINK("http://www.12365auto.com/xcdg/20200219/418979.shtml","捷途X70 Coupe或5月上市 预售9.1万元起")</f>
        <v>捷途X70 Coupe或5月上市 预售9.1万元起</v>
      </c>
      <c r="C5398" s="2" t="s">
        <v>13</v>
      </c>
      <c r="D5398" s="2" t="s">
        <v>12</v>
      </c>
      <c r="E5398" s="2" t="s">
        <v>216</v>
      </c>
      <c r="F5398" s="2" t="str">
        <f>HYPERLINK("http://www.12365auto.com/xcdg/20200219/418979.shtml","http://www.12365auto.com/xcdg/20200219/418979.shtml")</f>
        <v>http://www.12365auto.com/xcdg/20200219/418979.shtml</v>
      </c>
      <c r="G5398" s="2"/>
      <c r="H5398" s="2" t="s">
        <v>7585</v>
      </c>
      <c r="I5398" s="2" t="s">
        <v>15</v>
      </c>
      <c r="J5398" s="2" t="s">
        <v>12</v>
      </c>
      <c r="K5398" s="2" t="s">
        <v>7586</v>
      </c>
      <c r="L5398" s="2">
        <f t="shared" si="84"/>
        <v>150</v>
      </c>
    </row>
    <row r="5399" spans="1:12" ht="25" customHeight="1">
      <c r="A5399" s="2" t="s">
        <v>12</v>
      </c>
      <c r="B5399" s="2" t="str">
        <f>HYPERLINK("http://m.12365auto.com/xcdg/20200219/418979.shtml","捷途X70 Coupe或5月上市 预售9.1万元起")</f>
        <v>捷途X70 Coupe或5月上市 预售9.1万元起</v>
      </c>
      <c r="C5399" s="2" t="s">
        <v>13</v>
      </c>
      <c r="D5399" s="2" t="s">
        <v>12</v>
      </c>
      <c r="E5399" s="2"/>
      <c r="F5399" s="2" t="str">
        <f>HYPERLINK("http://m.12365auto.com/xcdg/20200219/418979.shtml","http://m.12365auto.com/xcdg/20200219/418979.shtml")</f>
        <v>http://m.12365auto.com/xcdg/20200219/418979.shtml</v>
      </c>
      <c r="G5399" s="2"/>
      <c r="H5399" s="2" t="s">
        <v>7587</v>
      </c>
      <c r="I5399" s="2" t="s">
        <v>19</v>
      </c>
      <c r="J5399" s="2" t="s">
        <v>1222</v>
      </c>
      <c r="K5399" s="2" t="s">
        <v>7586</v>
      </c>
      <c r="L5399" s="2">
        <f t="shared" si="84"/>
        <v>150</v>
      </c>
    </row>
    <row r="5400" spans="1:12" ht="25" customHeight="1">
      <c r="A5400" s="2" t="s">
        <v>12</v>
      </c>
      <c r="B5400" s="2" t="str">
        <f>HYPERLINK("http://www.12365auto.com/xcdg/20200219/418978.shtml","新款奔驰E级将亮相日内瓦车展 全面升级")</f>
        <v>新款奔驰E级将亮相日内瓦车展 全面升级</v>
      </c>
      <c r="C5400" s="2" t="s">
        <v>13</v>
      </c>
      <c r="D5400" s="2" t="s">
        <v>12</v>
      </c>
      <c r="E5400" s="2" t="s">
        <v>216</v>
      </c>
      <c r="F5400" s="2" t="str">
        <f>HYPERLINK("http://www.12365auto.com/xcdg/20200219/418978.shtml","http://www.12365auto.com/xcdg/20200219/418978.shtml")</f>
        <v>http://www.12365auto.com/xcdg/20200219/418978.shtml</v>
      </c>
      <c r="G5400" s="2"/>
      <c r="H5400" s="2" t="s">
        <v>7588</v>
      </c>
      <c r="I5400" s="2" t="s">
        <v>15</v>
      </c>
      <c r="J5400" s="2" t="s">
        <v>12</v>
      </c>
      <c r="K5400" s="2" t="s">
        <v>7589</v>
      </c>
      <c r="L5400" s="2">
        <f t="shared" si="84"/>
        <v>150</v>
      </c>
    </row>
    <row r="5401" spans="1:12" ht="25" customHeight="1">
      <c r="A5401" s="2" t="s">
        <v>12</v>
      </c>
      <c r="B5401" s="2" t="str">
        <f>HYPERLINK("http://m.12365auto.com/xcdg/20200219/418978.shtml","新款奔驰E级将亮相日内瓦车展 全面升级")</f>
        <v>新款奔驰E级将亮相日内瓦车展 全面升级</v>
      </c>
      <c r="C5401" s="2" t="s">
        <v>13</v>
      </c>
      <c r="D5401" s="2" t="s">
        <v>12</v>
      </c>
      <c r="E5401" s="2"/>
      <c r="F5401" s="2" t="str">
        <f>HYPERLINK("http://m.12365auto.com/xcdg/20200219/418978.shtml","http://m.12365auto.com/xcdg/20200219/418978.shtml")</f>
        <v>http://m.12365auto.com/xcdg/20200219/418978.shtml</v>
      </c>
      <c r="G5401" s="2"/>
      <c r="H5401" s="2" t="s">
        <v>7590</v>
      </c>
      <c r="I5401" s="2" t="s">
        <v>19</v>
      </c>
      <c r="J5401" s="2" t="s">
        <v>1657</v>
      </c>
      <c r="K5401" s="2" t="s">
        <v>7589</v>
      </c>
      <c r="L5401" s="2">
        <f t="shared" si="84"/>
        <v>150</v>
      </c>
    </row>
    <row r="5402" spans="1:12" ht="25" customHeight="1">
      <c r="A5402" s="2" t="s">
        <v>12</v>
      </c>
      <c r="B5402" s="2" t="str">
        <f>HYPERLINK("http://www.12365auto.com/zlts/20200219/447733.shtml","长城C30左右前门底部漆面鼓包生锈")</f>
        <v>长城C30左右前门底部漆面鼓包生锈</v>
      </c>
      <c r="C5402" s="2" t="s">
        <v>13</v>
      </c>
      <c r="D5402" s="2" t="s">
        <v>12</v>
      </c>
      <c r="E5402" s="2" t="s">
        <v>17</v>
      </c>
      <c r="F5402" s="2" t="str">
        <f>HYPERLINK("http://www.12365auto.com/zlts/20200219/447733.shtml","http://www.12365auto.com/zlts/20200219/447733.shtml")</f>
        <v>http://www.12365auto.com/zlts/20200219/447733.shtml</v>
      </c>
      <c r="G5402" s="2"/>
      <c r="H5402" s="2" t="s">
        <v>7591</v>
      </c>
      <c r="I5402" s="2" t="s">
        <v>19</v>
      </c>
      <c r="J5402" s="2" t="s">
        <v>12</v>
      </c>
      <c r="K5402" s="2" t="s">
        <v>7592</v>
      </c>
      <c r="L5402" s="2">
        <f t="shared" si="84"/>
        <v>150</v>
      </c>
    </row>
    <row r="5403" spans="1:12" ht="25" customHeight="1">
      <c r="A5403" s="2" t="s">
        <v>12</v>
      </c>
      <c r="B5403" s="2" t="str">
        <f>HYPERLINK("http://www.12365auto.com/news/20200219/418977.shtml","汽车的口罩 吉利CN95空调滤芯试制成功")</f>
        <v>汽车的口罩 吉利CN95空调滤芯试制成功</v>
      </c>
      <c r="C5403" s="2" t="s">
        <v>13</v>
      </c>
      <c r="D5403" s="2" t="s">
        <v>12</v>
      </c>
      <c r="E5403" s="2" t="s">
        <v>276</v>
      </c>
      <c r="F5403" s="2" t="str">
        <f>HYPERLINK("http://www.12365auto.com/news/20200219/418977.shtml","http://www.12365auto.com/news/20200219/418977.shtml")</f>
        <v>http://www.12365auto.com/news/20200219/418977.shtml</v>
      </c>
      <c r="G5403" s="2"/>
      <c r="H5403" s="2" t="s">
        <v>7593</v>
      </c>
      <c r="I5403" s="2" t="s">
        <v>15</v>
      </c>
      <c r="J5403" s="2" t="s">
        <v>12</v>
      </c>
      <c r="K5403" s="2" t="s">
        <v>7594</v>
      </c>
      <c r="L5403" s="2">
        <f t="shared" si="84"/>
        <v>150</v>
      </c>
    </row>
    <row r="5404" spans="1:12" ht="25" customHeight="1">
      <c r="A5404" s="2" t="s">
        <v>12</v>
      </c>
      <c r="B5404" s="2" t="str">
        <f>HYPERLINK("http://m.12365auto.com/news/20200219/418977.shtml","汽车的口罩 吉利CN95空调滤芯试制成功")</f>
        <v>汽车的口罩 吉利CN95空调滤芯试制成功</v>
      </c>
      <c r="C5404" s="2" t="s">
        <v>13</v>
      </c>
      <c r="D5404" s="2" t="s">
        <v>12</v>
      </c>
      <c r="E5404" s="2"/>
      <c r="F5404" s="2" t="str">
        <f>HYPERLINK("http://m.12365auto.com/news/20200219/418977.shtml","http://m.12365auto.com/news/20200219/418977.shtml")</f>
        <v>http://m.12365auto.com/news/20200219/418977.shtml</v>
      </c>
      <c r="G5404" s="2"/>
      <c r="H5404" s="2" t="s">
        <v>7595</v>
      </c>
      <c r="I5404" s="2" t="s">
        <v>19</v>
      </c>
      <c r="J5404" s="2" t="s">
        <v>7596</v>
      </c>
      <c r="K5404" s="2" t="s">
        <v>7594</v>
      </c>
      <c r="L5404" s="2">
        <f t="shared" si="84"/>
        <v>150</v>
      </c>
    </row>
    <row r="5405" spans="1:12" ht="25" customHeight="1">
      <c r="A5405" s="2" t="s">
        <v>12</v>
      </c>
      <c r="B5405" s="2" t="str">
        <f>HYPERLINK("http://www.12365auto.com/news/20200219/418976.shtml","保生产 广汽集团旗下整车企业陆续复产")</f>
        <v>保生产 广汽集团旗下整车企业陆续复产</v>
      </c>
      <c r="C5405" s="2" t="s">
        <v>13</v>
      </c>
      <c r="D5405" s="2" t="s">
        <v>12</v>
      </c>
      <c r="E5405" s="2" t="s">
        <v>276</v>
      </c>
      <c r="F5405" s="2" t="str">
        <f>HYPERLINK("http://www.12365auto.com/news/20200219/418976.shtml","http://www.12365auto.com/news/20200219/418976.shtml")</f>
        <v>http://www.12365auto.com/news/20200219/418976.shtml</v>
      </c>
      <c r="G5405" s="2"/>
      <c r="H5405" s="2" t="s">
        <v>7597</v>
      </c>
      <c r="I5405" s="2" t="s">
        <v>15</v>
      </c>
      <c r="J5405" s="2" t="s">
        <v>12</v>
      </c>
      <c r="K5405" s="2" t="s">
        <v>7598</v>
      </c>
      <c r="L5405" s="2">
        <f t="shared" si="84"/>
        <v>150</v>
      </c>
    </row>
    <row r="5406" spans="1:12" ht="25" customHeight="1">
      <c r="A5406" s="2" t="s">
        <v>12</v>
      </c>
      <c r="B5406" s="2" t="str">
        <f>HYPERLINK("http://m.12365auto.com/news/20200219/418976.shtml","保生产 广汽集团旗下整车企业陆续复产")</f>
        <v>保生产 广汽集团旗下整车企业陆续复产</v>
      </c>
      <c r="C5406" s="2" t="s">
        <v>13</v>
      </c>
      <c r="D5406" s="2" t="s">
        <v>12</v>
      </c>
      <c r="E5406" s="2"/>
      <c r="F5406" s="2" t="str">
        <f>HYPERLINK("http://m.12365auto.com/news/20200219/418976.shtml","http://m.12365auto.com/news/20200219/418976.shtml")</f>
        <v>http://m.12365auto.com/news/20200219/418976.shtml</v>
      </c>
      <c r="G5406" s="2"/>
      <c r="H5406" s="2" t="s">
        <v>7599</v>
      </c>
      <c r="I5406" s="2" t="s">
        <v>19</v>
      </c>
      <c r="J5406" s="2" t="s">
        <v>1222</v>
      </c>
      <c r="K5406" s="2" t="s">
        <v>7598</v>
      </c>
      <c r="L5406" s="2">
        <f t="shared" si="84"/>
        <v>150</v>
      </c>
    </row>
    <row r="5407" spans="1:12" ht="25" customHeight="1">
      <c r="A5407" s="2" t="s">
        <v>12</v>
      </c>
      <c r="B5407" s="2" t="str">
        <f>HYPERLINK("http://m.12365auto.com/zjdy/20200219/121393.shtml","行驶中发动机故障灯亮重启消失什么原因？")</f>
        <v>行驶中发动机故障灯亮重启消失什么原因？</v>
      </c>
      <c r="C5407" s="2" t="s">
        <v>13</v>
      </c>
      <c r="D5407" s="2" t="s">
        <v>12</v>
      </c>
      <c r="E5407" s="2"/>
      <c r="F5407" s="2" t="str">
        <f>HYPERLINK("http://m.12365auto.com/zjdy/20200219/121393.shtml","http://m.12365auto.com/zjdy/20200219/121393.shtml")</f>
        <v>http://m.12365auto.com/zjdy/20200219/121393.shtml</v>
      </c>
      <c r="G5407" s="2"/>
      <c r="H5407" s="2" t="s">
        <v>7600</v>
      </c>
      <c r="I5407" s="2" t="s">
        <v>19</v>
      </c>
      <c r="J5407" s="2" t="s">
        <v>12</v>
      </c>
      <c r="K5407" s="2" t="s">
        <v>7601</v>
      </c>
      <c r="L5407" s="2">
        <f t="shared" si="84"/>
        <v>20</v>
      </c>
    </row>
    <row r="5408" spans="1:12" ht="25" customHeight="1">
      <c r="A5408" s="2" t="s">
        <v>12</v>
      </c>
      <c r="B5408" s="2" t="str">
        <f>HYPERLINK("http://www.12365auto.com/zlts/20200219/447731.shtml","众泰大迈X5变速箱挂挡困难多次维修未解决")</f>
        <v>众泰大迈X5变速箱挂挡困难多次维修未解决</v>
      </c>
      <c r="C5408" s="2" t="s">
        <v>13</v>
      </c>
      <c r="D5408" s="2" t="s">
        <v>12</v>
      </c>
      <c r="E5408" s="2" t="s">
        <v>17</v>
      </c>
      <c r="F5408" s="2" t="str">
        <f>HYPERLINK("http://www.12365auto.com/zlts/20200219/447731.shtml","http://www.12365auto.com/zlts/20200219/447731.shtml")</f>
        <v>http://www.12365auto.com/zlts/20200219/447731.shtml</v>
      </c>
      <c r="G5408" s="2"/>
      <c r="H5408" s="2" t="s">
        <v>7602</v>
      </c>
      <c r="I5408" s="2" t="s">
        <v>19</v>
      </c>
      <c r="J5408" s="2" t="s">
        <v>12</v>
      </c>
      <c r="K5408" s="2" t="s">
        <v>7603</v>
      </c>
      <c r="L5408" s="2">
        <f t="shared" si="84"/>
        <v>150</v>
      </c>
    </row>
    <row r="5409" spans="1:12" ht="25" customHeight="1">
      <c r="A5409" s="2" t="s">
        <v>12</v>
      </c>
      <c r="B5409" s="2" t="str">
        <f>HYPERLINK("http://m.12365auto.com/xcdg/20200219/418975.shtml","加赛一局 捷豹XEL静态对比凯迪拉克CT5")</f>
        <v>加赛一局 捷豹XEL静态对比凯迪拉克CT5</v>
      </c>
      <c r="C5409" s="2" t="s">
        <v>13</v>
      </c>
      <c r="D5409" s="2" t="s">
        <v>12</v>
      </c>
      <c r="E5409" s="2"/>
      <c r="F5409" s="2" t="str">
        <f>HYPERLINK("http://m.12365auto.com/xcdg/20200219/418975.shtml","http://m.12365auto.com/xcdg/20200219/418975.shtml")</f>
        <v>http://m.12365auto.com/xcdg/20200219/418975.shtml</v>
      </c>
      <c r="G5409" s="2"/>
      <c r="H5409" s="2" t="s">
        <v>7604</v>
      </c>
      <c r="I5409" s="2" t="s">
        <v>19</v>
      </c>
      <c r="J5409" s="2" t="s">
        <v>2830</v>
      </c>
      <c r="K5409" s="2" t="s">
        <v>7605</v>
      </c>
      <c r="L5409" s="2">
        <f t="shared" si="84"/>
        <v>150</v>
      </c>
    </row>
    <row r="5410" spans="1:12" ht="25" customHeight="1">
      <c r="A5410" s="2" t="s">
        <v>12</v>
      </c>
      <c r="B5410" s="2" t="str">
        <f>HYPERLINK("http://m.12365auto.com/zjdy/20200219/121391.shtml","桑塔纳停放一段时间轮胎亏气什么原因？")</f>
        <v>桑塔纳停放一段时间轮胎亏气什么原因？</v>
      </c>
      <c r="C5410" s="2" t="s">
        <v>13</v>
      </c>
      <c r="D5410" s="2" t="s">
        <v>12</v>
      </c>
      <c r="E5410" s="2"/>
      <c r="F5410" s="2" t="str">
        <f>HYPERLINK("http://m.12365auto.com/zjdy/20200219/121391.shtml","http://m.12365auto.com/zjdy/20200219/121391.shtml")</f>
        <v>http://m.12365auto.com/zjdy/20200219/121391.shtml</v>
      </c>
      <c r="G5410" s="2"/>
      <c r="H5410" s="2" t="s">
        <v>7606</v>
      </c>
      <c r="I5410" s="2" t="s">
        <v>19</v>
      </c>
      <c r="J5410" s="2" t="s">
        <v>12</v>
      </c>
      <c r="K5410" s="2" t="s">
        <v>7607</v>
      </c>
      <c r="L5410" s="2">
        <f t="shared" si="84"/>
        <v>41</v>
      </c>
    </row>
    <row r="5411" spans="1:12" ht="25" customHeight="1">
      <c r="A5411" s="2" t="s">
        <v>12</v>
      </c>
      <c r="B5411" s="2" t="str">
        <f>HYPERLINK("http://www.12365auto.com/zlts/20200219/447728.shtml","上汽名爵6新能源电瓶故障导致启动困难")</f>
        <v>上汽名爵6新能源电瓶故障导致启动困难</v>
      </c>
      <c r="C5411" s="2" t="s">
        <v>13</v>
      </c>
      <c r="D5411" s="2" t="s">
        <v>12</v>
      </c>
      <c r="E5411" s="2" t="s">
        <v>17</v>
      </c>
      <c r="F5411" s="2" t="str">
        <f>HYPERLINK("http://www.12365auto.com/zlts/20200219/447728.shtml","http://www.12365auto.com/zlts/20200219/447728.shtml")</f>
        <v>http://www.12365auto.com/zlts/20200219/447728.shtml</v>
      </c>
      <c r="G5411" s="2"/>
      <c r="H5411" s="2" t="s">
        <v>7608</v>
      </c>
      <c r="I5411" s="2" t="s">
        <v>19</v>
      </c>
      <c r="J5411" s="2" t="s">
        <v>12</v>
      </c>
      <c r="K5411" s="2" t="s">
        <v>7609</v>
      </c>
      <c r="L5411" s="2">
        <f t="shared" si="84"/>
        <v>150</v>
      </c>
    </row>
    <row r="5412" spans="1:12" ht="25" customHeight="1">
      <c r="A5412" s="2" t="s">
        <v>12</v>
      </c>
      <c r="B5412" s="2" t="str">
        <f>HYPERLINK("http://www.12365auto.com/zlts/20200219/447729.shtml","上汽大众途观耦合器共振异响希望厂家处理")</f>
        <v>上汽大众途观耦合器共振异响希望厂家处理</v>
      </c>
      <c r="C5412" s="2" t="s">
        <v>13</v>
      </c>
      <c r="D5412" s="2" t="s">
        <v>12</v>
      </c>
      <c r="E5412" s="2" t="s">
        <v>17</v>
      </c>
      <c r="F5412" s="2" t="str">
        <f>HYPERLINK("http://www.12365auto.com/zlts/20200219/447729.shtml","http://www.12365auto.com/zlts/20200219/447729.shtml")</f>
        <v>http://www.12365auto.com/zlts/20200219/447729.shtml</v>
      </c>
      <c r="G5412" s="2"/>
      <c r="H5412" s="2" t="s">
        <v>7610</v>
      </c>
      <c r="I5412" s="2" t="s">
        <v>15</v>
      </c>
      <c r="J5412" s="2" t="s">
        <v>12</v>
      </c>
      <c r="K5412" s="2" t="s">
        <v>7609</v>
      </c>
      <c r="L5412" s="2">
        <f t="shared" si="84"/>
        <v>150</v>
      </c>
    </row>
    <row r="5413" spans="1:12" ht="25" customHeight="1">
      <c r="A5413" s="2" t="s">
        <v>12</v>
      </c>
      <c r="B5413" s="2" t="str">
        <f>HYPERLINK("http://www.12365auto.com/news/20200219/418974.shtml","扩充产能 玲珑轮胎为荆门基地募资20亿")</f>
        <v>扩充产能 玲珑轮胎为荆门基地募资20亿</v>
      </c>
      <c r="C5413" s="2" t="s">
        <v>13</v>
      </c>
      <c r="D5413" s="2" t="s">
        <v>12</v>
      </c>
      <c r="E5413" s="2" t="s">
        <v>276</v>
      </c>
      <c r="F5413" s="2" t="str">
        <f>HYPERLINK("http://www.12365auto.com/news/20200219/418974.shtml","http://www.12365auto.com/news/20200219/418974.shtml")</f>
        <v>http://www.12365auto.com/news/20200219/418974.shtml</v>
      </c>
      <c r="G5413" s="2"/>
      <c r="H5413" s="2" t="s">
        <v>7611</v>
      </c>
      <c r="I5413" s="2" t="s">
        <v>15</v>
      </c>
      <c r="J5413" s="2" t="s">
        <v>12</v>
      </c>
      <c r="K5413" s="2" t="s">
        <v>7612</v>
      </c>
      <c r="L5413" s="2">
        <f t="shared" si="84"/>
        <v>150</v>
      </c>
    </row>
    <row r="5414" spans="1:12" ht="25" customHeight="1">
      <c r="A5414" s="2" t="s">
        <v>12</v>
      </c>
      <c r="B5414" s="2" t="str">
        <f>HYPERLINK("http://m.12365auto.com/news/20200219/418974.shtml","扩充产能 玲珑轮胎为荆门基地募资20亿")</f>
        <v>扩充产能 玲珑轮胎为荆门基地募资20亿</v>
      </c>
      <c r="C5414" s="2" t="s">
        <v>13</v>
      </c>
      <c r="D5414" s="2" t="s">
        <v>12</v>
      </c>
      <c r="E5414" s="2"/>
      <c r="F5414" s="2" t="str">
        <f>HYPERLINK("http://m.12365auto.com/news/20200219/418974.shtml","http://m.12365auto.com/news/20200219/418974.shtml")</f>
        <v>http://m.12365auto.com/news/20200219/418974.shtml</v>
      </c>
      <c r="G5414" s="2"/>
      <c r="H5414" s="2" t="s">
        <v>7613</v>
      </c>
      <c r="I5414" s="2" t="s">
        <v>19</v>
      </c>
      <c r="J5414" s="2" t="s">
        <v>1643</v>
      </c>
      <c r="K5414" s="2" t="s">
        <v>7612</v>
      </c>
      <c r="L5414" s="2">
        <f t="shared" si="84"/>
        <v>150</v>
      </c>
    </row>
    <row r="5415" spans="1:12" ht="25" customHeight="1">
      <c r="A5415" s="2" t="s">
        <v>12</v>
      </c>
      <c r="B5415" s="2" t="str">
        <f>HYPERLINK("http://m.12365auto.com/zjdy/20200219/121390.shtml","一汽大众宝来改款后无ESP开关怎么办？")</f>
        <v>一汽大众宝来改款后无ESP开关怎么办？</v>
      </c>
      <c r="C5415" s="2" t="s">
        <v>13</v>
      </c>
      <c r="D5415" s="2" t="s">
        <v>12</v>
      </c>
      <c r="E5415" s="2"/>
      <c r="F5415" s="2" t="str">
        <f>HYPERLINK("http://m.12365auto.com/zjdy/20200219/121390.shtml","http://m.12365auto.com/zjdy/20200219/121390.shtml")</f>
        <v>http://m.12365auto.com/zjdy/20200219/121390.shtml</v>
      </c>
      <c r="G5415" s="2"/>
      <c r="H5415" s="2" t="s">
        <v>7614</v>
      </c>
      <c r="I5415" s="2" t="s">
        <v>19</v>
      </c>
      <c r="J5415" s="2" t="s">
        <v>12</v>
      </c>
      <c r="K5415" s="2" t="s">
        <v>7615</v>
      </c>
      <c r="L5415" s="2">
        <f t="shared" si="84"/>
        <v>57</v>
      </c>
    </row>
    <row r="5416" spans="1:12" ht="25" customHeight="1">
      <c r="A5416" s="2" t="s">
        <v>12</v>
      </c>
      <c r="B5416" s="2" t="str">
        <f>HYPERLINK("http://www.12365auto.com/news/20200219/418973.shtml","涨70% 特斯拉2019年在华营收约208亿元")</f>
        <v>涨70% 特斯拉2019年在华营收约208亿元</v>
      </c>
      <c r="C5416" s="2" t="s">
        <v>13</v>
      </c>
      <c r="D5416" s="2" t="s">
        <v>12</v>
      </c>
      <c r="E5416" s="2" t="s">
        <v>276</v>
      </c>
      <c r="F5416" s="2" t="str">
        <f>HYPERLINK("http://www.12365auto.com/news/20200219/418973.shtml","http://www.12365auto.com/news/20200219/418973.shtml")</f>
        <v>http://www.12365auto.com/news/20200219/418973.shtml</v>
      </c>
      <c r="G5416" s="2"/>
      <c r="H5416" s="2" t="s">
        <v>7616</v>
      </c>
      <c r="I5416" s="2" t="s">
        <v>15</v>
      </c>
      <c r="J5416" s="2" t="s">
        <v>12</v>
      </c>
      <c r="K5416" s="2" t="s">
        <v>7617</v>
      </c>
      <c r="L5416" s="2">
        <f t="shared" si="84"/>
        <v>150</v>
      </c>
    </row>
    <row r="5417" spans="1:12" ht="25" customHeight="1">
      <c r="A5417" s="2" t="s">
        <v>12</v>
      </c>
      <c r="B5417" s="2" t="str">
        <f>HYPERLINK("http://m.12365auto.com/news/20200219/418973.shtml","涨70% 特斯拉2019年在华营收约208亿元")</f>
        <v>涨70% 特斯拉2019年在华营收约208亿元</v>
      </c>
      <c r="C5417" s="2" t="s">
        <v>13</v>
      </c>
      <c r="D5417" s="2" t="s">
        <v>12</v>
      </c>
      <c r="E5417" s="2"/>
      <c r="F5417" s="2" t="str">
        <f>HYPERLINK("http://m.12365auto.com/news/20200219/418973.shtml","http://m.12365auto.com/news/20200219/418973.shtml")</f>
        <v>http://m.12365auto.com/news/20200219/418973.shtml</v>
      </c>
      <c r="G5417" s="2"/>
      <c r="H5417" s="2" t="s">
        <v>7618</v>
      </c>
      <c r="I5417" s="2" t="s">
        <v>19</v>
      </c>
      <c r="J5417" s="2" t="s">
        <v>274</v>
      </c>
      <c r="K5417" s="2" t="s">
        <v>7617</v>
      </c>
      <c r="L5417" s="2">
        <f t="shared" si="84"/>
        <v>150</v>
      </c>
    </row>
    <row r="5418" spans="1:12" ht="25" customHeight="1">
      <c r="A5418" s="2" t="s">
        <v>12</v>
      </c>
      <c r="B5418" s="2" t="str">
        <f>HYPERLINK("http://www.12365auto.com/news/20200219/418972.shtml","SK败诉 大众/福特动力电池供应或遇阻")</f>
        <v>SK败诉 大众/福特动力电池供应或遇阻</v>
      </c>
      <c r="C5418" s="2" t="s">
        <v>13</v>
      </c>
      <c r="D5418" s="2" t="s">
        <v>12</v>
      </c>
      <c r="E5418" s="2" t="s">
        <v>276</v>
      </c>
      <c r="F5418" s="2" t="str">
        <f>HYPERLINK("http://www.12365auto.com/news/20200219/418972.shtml","http://www.12365auto.com/news/20200219/418972.shtml")</f>
        <v>http://www.12365auto.com/news/20200219/418972.shtml</v>
      </c>
      <c r="G5418" s="2"/>
      <c r="H5418" s="2" t="s">
        <v>7619</v>
      </c>
      <c r="I5418" s="2" t="s">
        <v>15</v>
      </c>
      <c r="J5418" s="2" t="s">
        <v>12</v>
      </c>
      <c r="K5418" s="2" t="s">
        <v>7620</v>
      </c>
      <c r="L5418" s="2">
        <f t="shared" si="84"/>
        <v>150</v>
      </c>
    </row>
    <row r="5419" spans="1:12" ht="25" customHeight="1">
      <c r="A5419" s="2" t="s">
        <v>12</v>
      </c>
      <c r="B5419" s="2" t="str">
        <f>HYPERLINK("http://m.12365auto.com/news/20200219/418972.shtml","SK败诉 大众/福特动力电池供应或遇阻")</f>
        <v>SK败诉 大众/福特动力电池供应或遇阻</v>
      </c>
      <c r="C5419" s="2" t="s">
        <v>13</v>
      </c>
      <c r="D5419" s="2" t="s">
        <v>12</v>
      </c>
      <c r="E5419" s="2"/>
      <c r="F5419" s="2" t="str">
        <f>HYPERLINK("http://m.12365auto.com/news/20200219/418972.shtml","http://m.12365auto.com/news/20200219/418972.shtml")</f>
        <v>http://m.12365auto.com/news/20200219/418972.shtml</v>
      </c>
      <c r="G5419" s="2"/>
      <c r="H5419" s="2" t="s">
        <v>7621</v>
      </c>
      <c r="I5419" s="2" t="s">
        <v>19</v>
      </c>
      <c r="J5419" s="2" t="s">
        <v>1543</v>
      </c>
      <c r="K5419" s="2" t="s">
        <v>7620</v>
      </c>
      <c r="L5419" s="2">
        <f t="shared" si="84"/>
        <v>150</v>
      </c>
    </row>
    <row r="5420" spans="1:12" ht="25" customHeight="1">
      <c r="A5420" s="2" t="s">
        <v>12</v>
      </c>
      <c r="B5420" s="2" t="str">
        <f>HYPERLINK("http://www.12365auto.com/news/20200219/418971.shtml","宁德时代与特斯拉商讨无钴电池技术")</f>
        <v>宁德时代与特斯拉商讨无钴电池技术</v>
      </c>
      <c r="C5420" s="2" t="s">
        <v>13</v>
      </c>
      <c r="D5420" s="2" t="s">
        <v>12</v>
      </c>
      <c r="E5420" s="2" t="s">
        <v>276</v>
      </c>
      <c r="F5420" s="2" t="str">
        <f>HYPERLINK("http://www.12365auto.com/news/20200219/418971.shtml","http://www.12365auto.com/news/20200219/418971.shtml")</f>
        <v>http://www.12365auto.com/news/20200219/418971.shtml</v>
      </c>
      <c r="G5420" s="2"/>
      <c r="H5420" s="2" t="s">
        <v>7622</v>
      </c>
      <c r="I5420" s="2" t="s">
        <v>15</v>
      </c>
      <c r="J5420" s="2" t="s">
        <v>12</v>
      </c>
      <c r="K5420" s="2" t="s">
        <v>7623</v>
      </c>
      <c r="L5420" s="2">
        <f t="shared" si="84"/>
        <v>150</v>
      </c>
    </row>
    <row r="5421" spans="1:12" ht="25" customHeight="1">
      <c r="A5421" s="2" t="s">
        <v>12</v>
      </c>
      <c r="B5421" s="2" t="str">
        <f>HYPERLINK("http://m.12365auto.com/news/20200219/418971.shtml","宁德时代与特斯拉商讨无钴电池技术")</f>
        <v>宁德时代与特斯拉商讨无钴电池技术</v>
      </c>
      <c r="C5421" s="2" t="s">
        <v>13</v>
      </c>
      <c r="D5421" s="2" t="s">
        <v>12</v>
      </c>
      <c r="E5421" s="2"/>
      <c r="F5421" s="2" t="str">
        <f>HYPERLINK("http://m.12365auto.com/news/20200219/418971.shtml","http://m.12365auto.com/news/20200219/418971.shtml")</f>
        <v>http://m.12365auto.com/news/20200219/418971.shtml</v>
      </c>
      <c r="G5421" s="2"/>
      <c r="H5421" s="2" t="s">
        <v>7624</v>
      </c>
      <c r="I5421" s="2" t="s">
        <v>19</v>
      </c>
      <c r="J5421" s="2" t="s">
        <v>6734</v>
      </c>
      <c r="K5421" s="2" t="s">
        <v>7623</v>
      </c>
      <c r="L5421" s="2">
        <f t="shared" si="84"/>
        <v>150</v>
      </c>
    </row>
    <row r="5422" spans="1:12" ht="25" customHeight="1">
      <c r="A5422" s="2" t="s">
        <v>12</v>
      </c>
      <c r="B5422" s="2" t="str">
        <f>HYPERLINK("http://www.12365auto.com/news/20200219/418970.shtml","高功率/高开放度 超级充电桩技术盘点")</f>
        <v>高功率/高开放度 超级充电桩技术盘点</v>
      </c>
      <c r="C5422" s="2" t="s">
        <v>13</v>
      </c>
      <c r="D5422" s="2" t="s">
        <v>12</v>
      </c>
      <c r="E5422" s="2" t="s">
        <v>276</v>
      </c>
      <c r="F5422" s="2" t="str">
        <f>HYPERLINK("http://www.12365auto.com/news/20200219/418970.shtml","http://www.12365auto.com/news/20200219/418970.shtml")</f>
        <v>http://www.12365auto.com/news/20200219/418970.shtml</v>
      </c>
      <c r="G5422" s="2"/>
      <c r="H5422" s="2" t="s">
        <v>7625</v>
      </c>
      <c r="I5422" s="2" t="s">
        <v>15</v>
      </c>
      <c r="J5422" s="2" t="s">
        <v>12</v>
      </c>
      <c r="K5422" s="2" t="s">
        <v>7626</v>
      </c>
      <c r="L5422" s="2">
        <f t="shared" si="84"/>
        <v>150</v>
      </c>
    </row>
    <row r="5423" spans="1:12" ht="25" customHeight="1">
      <c r="A5423" s="2" t="s">
        <v>12</v>
      </c>
      <c r="B5423" s="2" t="str">
        <f>HYPERLINK("http://m.12365auto.com/news/20200219/418970.shtml","高功率/高开放度 超级充电桩技术盘点")</f>
        <v>高功率/高开放度 超级充电桩技术盘点</v>
      </c>
      <c r="C5423" s="2" t="s">
        <v>13</v>
      </c>
      <c r="D5423" s="2" t="s">
        <v>12</v>
      </c>
      <c r="E5423" s="2"/>
      <c r="F5423" s="2" t="str">
        <f>HYPERLINK("http://m.12365auto.com/news/20200219/418970.shtml","http://m.12365auto.com/news/20200219/418970.shtml")</f>
        <v>http://m.12365auto.com/news/20200219/418970.shtml</v>
      </c>
      <c r="G5423" s="2"/>
      <c r="H5423" s="2" t="s">
        <v>7627</v>
      </c>
      <c r="I5423" s="2" t="s">
        <v>19</v>
      </c>
      <c r="J5423" s="2" t="s">
        <v>330</v>
      </c>
      <c r="K5423" s="2" t="s">
        <v>7626</v>
      </c>
      <c r="L5423" s="2">
        <f t="shared" si="84"/>
        <v>150</v>
      </c>
    </row>
    <row r="5424" spans="1:12" ht="25" customHeight="1">
      <c r="A5424" s="2" t="s">
        <v>12</v>
      </c>
      <c r="B5424" s="2" t="str">
        <f>HYPERLINK("http://www.12365auto.com/news/20200219/418969.shtml","推进整体上市 一汽轿车资产重组获通过")</f>
        <v>推进整体上市 一汽轿车资产重组获通过</v>
      </c>
      <c r="C5424" s="2" t="s">
        <v>13</v>
      </c>
      <c r="D5424" s="2" t="s">
        <v>12</v>
      </c>
      <c r="E5424" s="2" t="s">
        <v>282</v>
      </c>
      <c r="F5424" s="2" t="str">
        <f>HYPERLINK("http://www.12365auto.com/news/20200219/418969.shtml","http://www.12365auto.com/news/20200219/418969.shtml")</f>
        <v>http://www.12365auto.com/news/20200219/418969.shtml</v>
      </c>
      <c r="G5424" s="2"/>
      <c r="H5424" s="2" t="s">
        <v>7628</v>
      </c>
      <c r="I5424" s="2" t="s">
        <v>19</v>
      </c>
      <c r="J5424" s="2" t="s">
        <v>12</v>
      </c>
      <c r="K5424" s="2" t="s">
        <v>7629</v>
      </c>
      <c r="L5424" s="2">
        <f t="shared" si="84"/>
        <v>150</v>
      </c>
    </row>
    <row r="5425" spans="1:12" ht="25" customHeight="1">
      <c r="A5425" s="2" t="s">
        <v>12</v>
      </c>
      <c r="B5425" s="2" t="str">
        <f>HYPERLINK("http://m.12365auto.com/news/20200219/418969.shtml","推进整体上市 一汽轿车资产重组获通过")</f>
        <v>推进整体上市 一汽轿车资产重组获通过</v>
      </c>
      <c r="C5425" s="2" t="s">
        <v>13</v>
      </c>
      <c r="D5425" s="2" t="s">
        <v>12</v>
      </c>
      <c r="E5425" s="2"/>
      <c r="F5425" s="2" t="str">
        <f>HYPERLINK("http://m.12365auto.com/news/20200219/418969.shtml","http://m.12365auto.com/news/20200219/418969.shtml")</f>
        <v>http://m.12365auto.com/news/20200219/418969.shtml</v>
      </c>
      <c r="G5425" s="2"/>
      <c r="H5425" s="2" t="s">
        <v>7630</v>
      </c>
      <c r="I5425" s="2" t="s">
        <v>19</v>
      </c>
      <c r="J5425" s="2" t="s">
        <v>7631</v>
      </c>
      <c r="K5425" s="2" t="s">
        <v>7629</v>
      </c>
      <c r="L5425" s="2">
        <f t="shared" si="84"/>
        <v>150</v>
      </c>
    </row>
    <row r="5426" spans="1:12" ht="25" customHeight="1">
      <c r="A5426" s="2" t="s">
        <v>12</v>
      </c>
      <c r="B5426" s="2" t="str">
        <f>HYPERLINK("http://m.12365auto.com/zjdy/20200219/121387.shtml","吉利帝豪GL和宋Pro哪款值得购买？")</f>
        <v>吉利帝豪GL和宋Pro哪款值得购买？</v>
      </c>
      <c r="C5426" s="2" t="s">
        <v>13</v>
      </c>
      <c r="D5426" s="2" t="s">
        <v>12</v>
      </c>
      <c r="E5426" s="2"/>
      <c r="F5426" s="2" t="str">
        <f>HYPERLINK("http://m.12365auto.com/zjdy/20200219/121387.shtml","http://m.12365auto.com/zjdy/20200219/121387.shtml")</f>
        <v>http://m.12365auto.com/zjdy/20200219/121387.shtml</v>
      </c>
      <c r="G5426" s="2"/>
      <c r="H5426" s="2" t="s">
        <v>7632</v>
      </c>
      <c r="I5426" s="2" t="s">
        <v>19</v>
      </c>
      <c r="J5426" s="2" t="s">
        <v>12</v>
      </c>
      <c r="K5426" s="2" t="s">
        <v>7633</v>
      </c>
      <c r="L5426" s="2">
        <f t="shared" si="84"/>
        <v>45</v>
      </c>
    </row>
    <row r="5427" spans="1:12" ht="25" customHeight="1">
      <c r="A5427" s="2" t="s">
        <v>12</v>
      </c>
      <c r="B5427" s="2" t="str">
        <f>HYPERLINK("http://m.12365auto.com/zjdy/20200219/121388.shtml","比亚迪秦手动豪华和自动豪华怎么选？")</f>
        <v>比亚迪秦手动豪华和自动豪华怎么选？</v>
      </c>
      <c r="C5427" s="2" t="s">
        <v>13</v>
      </c>
      <c r="D5427" s="2" t="s">
        <v>12</v>
      </c>
      <c r="E5427" s="2"/>
      <c r="F5427" s="2" t="str">
        <f>HYPERLINK("http://m.12365auto.com/zjdy/20200219/121388.shtml","http://m.12365auto.com/zjdy/20200219/121388.shtml")</f>
        <v>http://m.12365auto.com/zjdy/20200219/121388.shtml</v>
      </c>
      <c r="G5427" s="2"/>
      <c r="H5427" s="2" t="s">
        <v>7634</v>
      </c>
      <c r="I5427" s="2" t="s">
        <v>19</v>
      </c>
      <c r="J5427" s="2" t="s">
        <v>12</v>
      </c>
      <c r="K5427" s="2" t="s">
        <v>7635</v>
      </c>
      <c r="L5427" s="2">
        <f t="shared" si="84"/>
        <v>55</v>
      </c>
    </row>
    <row r="5428" spans="1:12" ht="25" customHeight="1">
      <c r="A5428" s="2" t="s">
        <v>12</v>
      </c>
      <c r="B5428" s="2" t="str">
        <f>HYPERLINK("http://m.12365auto.com/xcdg/20200219/418968.shtml","解读低配车 实拍最便宜的上汽大众途铠")</f>
        <v>解读低配车 实拍最便宜的上汽大众途铠</v>
      </c>
      <c r="C5428" s="2" t="s">
        <v>13</v>
      </c>
      <c r="D5428" s="2" t="s">
        <v>12</v>
      </c>
      <c r="E5428" s="2"/>
      <c r="F5428" s="2" t="str">
        <f>HYPERLINK("http://m.12365auto.com/xcdg/20200219/418968.shtml","http://m.12365auto.com/xcdg/20200219/418968.shtml")</f>
        <v>http://m.12365auto.com/xcdg/20200219/418968.shtml</v>
      </c>
      <c r="G5428" s="2"/>
      <c r="H5428" s="2" t="s">
        <v>7636</v>
      </c>
      <c r="I5428" s="2" t="s">
        <v>19</v>
      </c>
      <c r="J5428" s="2" t="s">
        <v>7637</v>
      </c>
      <c r="K5428" s="2" t="s">
        <v>7638</v>
      </c>
      <c r="L5428" s="2">
        <f t="shared" si="84"/>
        <v>150</v>
      </c>
    </row>
    <row r="5429" spans="1:12" ht="25" customHeight="1">
      <c r="A5429" s="2" t="s">
        <v>12</v>
      </c>
      <c r="B5429" s="2" t="str">
        <f>HYPERLINK("http://www.12365auto.com/news/20200219/418967.shtml","日产CEO立军令状：不能改善盈利就辞职")</f>
        <v>日产CEO立军令状：不能改善盈利就辞职</v>
      </c>
      <c r="C5429" s="2" t="s">
        <v>13</v>
      </c>
      <c r="D5429" s="2" t="s">
        <v>12</v>
      </c>
      <c r="E5429" s="2" t="s">
        <v>276</v>
      </c>
      <c r="F5429" s="2" t="str">
        <f>HYPERLINK("http://www.12365auto.com/news/20200219/418967.shtml","http://www.12365auto.com/news/20200219/418967.shtml")</f>
        <v>http://www.12365auto.com/news/20200219/418967.shtml</v>
      </c>
      <c r="G5429" s="2"/>
      <c r="H5429" s="2" t="s">
        <v>7639</v>
      </c>
      <c r="I5429" s="2" t="s">
        <v>15</v>
      </c>
      <c r="J5429" s="2" t="s">
        <v>12</v>
      </c>
      <c r="K5429" s="2" t="s">
        <v>7640</v>
      </c>
      <c r="L5429" s="2">
        <f t="shared" si="84"/>
        <v>150</v>
      </c>
    </row>
    <row r="5430" spans="1:12" ht="25" customHeight="1">
      <c r="A5430" s="2" t="s">
        <v>12</v>
      </c>
      <c r="B5430" s="2" t="str">
        <f>HYPERLINK("http://m.12365auto.com/news/20200219/418967.shtml","日产CEO立军令状：不能改善盈利就辞职")</f>
        <v>日产CEO立军令状：不能改善盈利就辞职</v>
      </c>
      <c r="C5430" s="2" t="s">
        <v>13</v>
      </c>
      <c r="D5430" s="2" t="s">
        <v>12</v>
      </c>
      <c r="E5430" s="2"/>
      <c r="F5430" s="2" t="str">
        <f>HYPERLINK("http://m.12365auto.com/news/20200219/418967.shtml","http://m.12365auto.com/news/20200219/418967.shtml")</f>
        <v>http://m.12365auto.com/news/20200219/418967.shtml</v>
      </c>
      <c r="G5430" s="2"/>
      <c r="H5430" s="2" t="s">
        <v>7641</v>
      </c>
      <c r="I5430" s="2" t="s">
        <v>19</v>
      </c>
      <c r="J5430" s="2" t="s">
        <v>274</v>
      </c>
      <c r="K5430" s="2" t="s">
        <v>7640</v>
      </c>
      <c r="L5430" s="2">
        <f t="shared" si="84"/>
        <v>150</v>
      </c>
    </row>
    <row r="5431" spans="1:12" ht="25" customHeight="1">
      <c r="A5431" s="2" t="s">
        <v>12</v>
      </c>
      <c r="B5431" s="2" t="str">
        <f>HYPERLINK("http://m.12365auto.com/news/20200219/418966.shtml","下滑超50% 1月国内动力电池装机量腰斩")</f>
        <v>下滑超50% 1月国内动力电池装机量腰斩</v>
      </c>
      <c r="C5431" s="2" t="s">
        <v>13</v>
      </c>
      <c r="D5431" s="2" t="s">
        <v>12</v>
      </c>
      <c r="E5431" s="2"/>
      <c r="F5431" s="2" t="str">
        <f>HYPERLINK("http://m.12365auto.com/news/20200219/418966.shtml","http://m.12365auto.com/news/20200219/418966.shtml")</f>
        <v>http://m.12365auto.com/news/20200219/418966.shtml</v>
      </c>
      <c r="G5431" s="2"/>
      <c r="H5431" s="2" t="s">
        <v>7642</v>
      </c>
      <c r="I5431" s="2" t="s">
        <v>19</v>
      </c>
      <c r="J5431" s="2" t="s">
        <v>1653</v>
      </c>
      <c r="K5431" s="2" t="s">
        <v>7643</v>
      </c>
      <c r="L5431" s="2">
        <f t="shared" si="84"/>
        <v>150</v>
      </c>
    </row>
    <row r="5432" spans="1:12" ht="25" customHeight="1">
      <c r="A5432" s="2" t="s">
        <v>12</v>
      </c>
      <c r="B5432" s="2" t="str">
        <f>HYPERLINK("http://www.12365auto.com/news/20200219/418965.shtml","思域/CR-V销量大涨 本田1月增幅行业No.1")</f>
        <v>思域/CR-V销量大涨 本田1月增幅行业No.1</v>
      </c>
      <c r="C5432" s="2" t="s">
        <v>13</v>
      </c>
      <c r="D5432" s="2" t="s">
        <v>12</v>
      </c>
      <c r="E5432" s="2" t="s">
        <v>276</v>
      </c>
      <c r="F5432" s="2" t="str">
        <f>HYPERLINK("http://www.12365auto.com/news/20200219/418965.shtml","http://www.12365auto.com/news/20200219/418965.shtml")</f>
        <v>http://www.12365auto.com/news/20200219/418965.shtml</v>
      </c>
      <c r="G5432" s="2"/>
      <c r="H5432" s="2" t="s">
        <v>7644</v>
      </c>
      <c r="I5432" s="2" t="s">
        <v>15</v>
      </c>
      <c r="J5432" s="2" t="s">
        <v>12</v>
      </c>
      <c r="K5432" s="2" t="s">
        <v>7645</v>
      </c>
      <c r="L5432" s="2">
        <f t="shared" si="84"/>
        <v>150</v>
      </c>
    </row>
    <row r="5433" spans="1:12" ht="25" customHeight="1">
      <c r="A5433" s="2" t="s">
        <v>12</v>
      </c>
      <c r="B5433" s="2" t="str">
        <f>HYPERLINK("http://m.12365auto.com/news/20200219/418965.shtml","思域/CR-V销量大涨 本田1月增幅行业No.1")</f>
        <v>思域/CR-V销量大涨 本田1月增幅行业No.1</v>
      </c>
      <c r="C5433" s="2" t="s">
        <v>13</v>
      </c>
      <c r="D5433" s="2" t="s">
        <v>12</v>
      </c>
      <c r="E5433" s="2"/>
      <c r="F5433" s="2" t="str">
        <f>HYPERLINK("http://m.12365auto.com/news/20200219/418965.shtml","http://m.12365auto.com/news/20200219/418965.shtml")</f>
        <v>http://m.12365auto.com/news/20200219/418965.shtml</v>
      </c>
      <c r="G5433" s="2"/>
      <c r="H5433" s="2" t="s">
        <v>7646</v>
      </c>
      <c r="I5433" s="2" t="s">
        <v>19</v>
      </c>
      <c r="J5433" s="2" t="s">
        <v>739</v>
      </c>
      <c r="K5433" s="2" t="s">
        <v>7645</v>
      </c>
      <c r="L5433" s="2">
        <f t="shared" si="84"/>
        <v>150</v>
      </c>
    </row>
    <row r="5434" spans="1:12" ht="25" customHeight="1">
      <c r="A5434" s="2" t="s">
        <v>12</v>
      </c>
      <c r="B5434" s="2" t="str">
        <f>HYPERLINK("http://m.12365auto.com/zjdy/20200219/121386.shtml","宋Pro发动机和变速箱是自主的吗？")</f>
        <v>宋Pro发动机和变速箱是自主的吗？</v>
      </c>
      <c r="C5434" s="2" t="s">
        <v>13</v>
      </c>
      <c r="D5434" s="2" t="s">
        <v>12</v>
      </c>
      <c r="E5434" s="2"/>
      <c r="F5434" s="2" t="str">
        <f>HYPERLINK("http://m.12365auto.com/zjdy/20200219/121386.shtml","http://m.12365auto.com/zjdy/20200219/121386.shtml")</f>
        <v>http://m.12365auto.com/zjdy/20200219/121386.shtml</v>
      </c>
      <c r="G5434" s="2"/>
      <c r="H5434" s="2" t="s">
        <v>7647</v>
      </c>
      <c r="I5434" s="2" t="s">
        <v>19</v>
      </c>
      <c r="J5434" s="2" t="s">
        <v>12</v>
      </c>
      <c r="K5434" s="2" t="s">
        <v>7648</v>
      </c>
      <c r="L5434" s="2">
        <f t="shared" si="84"/>
        <v>47</v>
      </c>
    </row>
    <row r="5435" spans="1:12" ht="25" customHeight="1">
      <c r="A5435" s="2" t="s">
        <v>12</v>
      </c>
      <c r="B5435" s="2" t="str">
        <f>HYPERLINK("http://www.12365auto.com/xcdg/20200219/418964.shtml","东风风行新菱智M5三月底开卖撞脸雷克萨斯")</f>
        <v>东风风行新菱智M5三月底开卖撞脸雷克萨斯</v>
      </c>
      <c r="C5435" s="2" t="s">
        <v>13</v>
      </c>
      <c r="D5435" s="2" t="s">
        <v>12</v>
      </c>
      <c r="E5435" s="2" t="s">
        <v>216</v>
      </c>
      <c r="F5435" s="2" t="str">
        <f>HYPERLINK("http://www.12365auto.com/xcdg/20200219/418964.shtml","http://www.12365auto.com/xcdg/20200219/418964.shtml")</f>
        <v>http://www.12365auto.com/xcdg/20200219/418964.shtml</v>
      </c>
      <c r="G5435" s="2"/>
      <c r="H5435" s="2" t="s">
        <v>7649</v>
      </c>
      <c r="I5435" s="2" t="s">
        <v>15</v>
      </c>
      <c r="J5435" s="2" t="s">
        <v>12</v>
      </c>
      <c r="K5435" s="2" t="s">
        <v>7650</v>
      </c>
      <c r="L5435" s="2">
        <f t="shared" si="84"/>
        <v>150</v>
      </c>
    </row>
    <row r="5436" spans="1:12" ht="25" customHeight="1">
      <c r="A5436" s="2" t="s">
        <v>12</v>
      </c>
      <c r="B5436" s="2" t="str">
        <f>HYPERLINK("http://m.12365auto.com/xcdg/20200219/418964.shtml","东风风行新菱智M5三月底开卖撞脸雷克萨斯")</f>
        <v>东风风行新菱智M5三月底开卖撞脸雷克萨斯</v>
      </c>
      <c r="C5436" s="2" t="s">
        <v>13</v>
      </c>
      <c r="D5436" s="2" t="s">
        <v>12</v>
      </c>
      <c r="E5436" s="2"/>
      <c r="F5436" s="2" t="str">
        <f>HYPERLINK("http://m.12365auto.com/xcdg/20200219/418964.shtml","http://m.12365auto.com/xcdg/20200219/418964.shtml")</f>
        <v>http://m.12365auto.com/xcdg/20200219/418964.shtml</v>
      </c>
      <c r="G5436" s="2"/>
      <c r="H5436" s="2" t="s">
        <v>7651</v>
      </c>
      <c r="I5436" s="2" t="s">
        <v>19</v>
      </c>
      <c r="J5436" s="2" t="s">
        <v>6086</v>
      </c>
      <c r="K5436" s="2" t="s">
        <v>7650</v>
      </c>
      <c r="L5436" s="2">
        <f t="shared" si="84"/>
        <v>150</v>
      </c>
    </row>
    <row r="5437" spans="1:12" ht="25" customHeight="1">
      <c r="A5437" s="2" t="s">
        <v>12</v>
      </c>
      <c r="B5437" s="2" t="str">
        <f>HYPERLINK("http://www.12365auto.com/xcdg/20200219/418963.shtml","别克全新纯电动SUV动力曝光 续航达500km")</f>
        <v>别克全新纯电动SUV动力曝光 续航达500km</v>
      </c>
      <c r="C5437" s="2" t="s">
        <v>13</v>
      </c>
      <c r="D5437" s="2" t="s">
        <v>12</v>
      </c>
      <c r="E5437" s="2" t="s">
        <v>216</v>
      </c>
      <c r="F5437" s="2" t="str">
        <f>HYPERLINK("http://www.12365auto.com/xcdg/20200219/418963.shtml","http://www.12365auto.com/xcdg/20200219/418963.shtml")</f>
        <v>http://www.12365auto.com/xcdg/20200219/418963.shtml</v>
      </c>
      <c r="G5437" s="2"/>
      <c r="H5437" s="2" t="s">
        <v>7652</v>
      </c>
      <c r="I5437" s="2" t="s">
        <v>15</v>
      </c>
      <c r="J5437" s="2" t="s">
        <v>12</v>
      </c>
      <c r="K5437" s="2" t="s">
        <v>7653</v>
      </c>
      <c r="L5437" s="2">
        <f t="shared" si="84"/>
        <v>150</v>
      </c>
    </row>
    <row r="5438" spans="1:12" ht="25" customHeight="1">
      <c r="A5438" s="2" t="s">
        <v>12</v>
      </c>
      <c r="B5438" s="2" t="str">
        <f>HYPERLINK("http://m.12365auto.com/xcdg/20200219/418963.shtml","别克全新纯电动SUV动力曝光 续航达500km")</f>
        <v>别克全新纯电动SUV动力曝光 续航达500km</v>
      </c>
      <c r="C5438" s="2" t="s">
        <v>13</v>
      </c>
      <c r="D5438" s="2" t="s">
        <v>12</v>
      </c>
      <c r="E5438" s="2"/>
      <c r="F5438" s="2" t="str">
        <f>HYPERLINK("http://m.12365auto.com/xcdg/20200219/418963.shtml","http://m.12365auto.com/xcdg/20200219/418963.shtml")</f>
        <v>http://m.12365auto.com/xcdg/20200219/418963.shtml</v>
      </c>
      <c r="G5438" s="2"/>
      <c r="H5438" s="2" t="s">
        <v>7654</v>
      </c>
      <c r="I5438" s="2" t="s">
        <v>19</v>
      </c>
      <c r="J5438" s="2" t="s">
        <v>12</v>
      </c>
      <c r="K5438" s="2" t="s">
        <v>7653</v>
      </c>
      <c r="L5438" s="2">
        <f t="shared" si="84"/>
        <v>150</v>
      </c>
    </row>
    <row r="5439" spans="1:12" ht="25" customHeight="1">
      <c r="A5439" s="2" t="s">
        <v>12</v>
      </c>
      <c r="B5439" s="2" t="str">
        <f>HYPERLINK("http://www.12365auto.com/xcdg/20200219/418962.shtml","玛莎拉蒂三款新车信息曝光 5月北京车展亮相")</f>
        <v>玛莎拉蒂三款新车信息曝光 5月北京车展亮相</v>
      </c>
      <c r="C5439" s="2" t="s">
        <v>13</v>
      </c>
      <c r="D5439" s="2" t="s">
        <v>12</v>
      </c>
      <c r="E5439" s="2" t="s">
        <v>216</v>
      </c>
      <c r="F5439" s="2" t="str">
        <f>HYPERLINK("http://www.12365auto.com/xcdg/20200219/418962.shtml","http://www.12365auto.com/xcdg/20200219/418962.shtml")</f>
        <v>http://www.12365auto.com/xcdg/20200219/418962.shtml</v>
      </c>
      <c r="G5439" s="2"/>
      <c r="H5439" s="2" t="s">
        <v>7655</v>
      </c>
      <c r="I5439" s="2" t="s">
        <v>15</v>
      </c>
      <c r="J5439" s="2" t="s">
        <v>12</v>
      </c>
      <c r="K5439" s="2" t="s">
        <v>7656</v>
      </c>
      <c r="L5439" s="2">
        <f t="shared" si="84"/>
        <v>150</v>
      </c>
    </row>
    <row r="5440" spans="1:12" ht="25" customHeight="1">
      <c r="A5440" s="2" t="s">
        <v>12</v>
      </c>
      <c r="B5440" s="2" t="str">
        <f>HYPERLINK("http://m.12365auto.com/xcdg/20200219/418962.shtml","玛莎拉蒂三款新车信息曝光 5月北京车展亮相")</f>
        <v>玛莎拉蒂三款新车信息曝光 5月北京车展亮相</v>
      </c>
      <c r="C5440" s="2" t="s">
        <v>13</v>
      </c>
      <c r="D5440" s="2" t="s">
        <v>12</v>
      </c>
      <c r="E5440" s="2"/>
      <c r="F5440" s="2" t="str">
        <f>HYPERLINK("http://m.12365auto.com/xcdg/20200219/418962.shtml","http://m.12365auto.com/xcdg/20200219/418962.shtml")</f>
        <v>http://m.12365auto.com/xcdg/20200219/418962.shtml</v>
      </c>
      <c r="G5440" s="2"/>
      <c r="H5440" s="2" t="s">
        <v>7657</v>
      </c>
      <c r="I5440" s="2" t="s">
        <v>19</v>
      </c>
      <c r="J5440" s="2" t="s">
        <v>220</v>
      </c>
      <c r="K5440" s="2" t="s">
        <v>7656</v>
      </c>
      <c r="L5440" s="2">
        <f t="shared" si="84"/>
        <v>150</v>
      </c>
    </row>
    <row r="5441" spans="1:12" ht="25" customHeight="1">
      <c r="A5441" s="2" t="s">
        <v>12</v>
      </c>
      <c r="B5441" s="2" t="str">
        <f>HYPERLINK("http://www.12365auto.com/news/20200219/418961.shtml","北京奔驰逆势增长18.8% E级破2万辆")</f>
        <v>北京奔驰逆势增长18.8% E级破2万辆</v>
      </c>
      <c r="C5441" s="2" t="s">
        <v>13</v>
      </c>
      <c r="D5441" s="2" t="s">
        <v>12</v>
      </c>
      <c r="E5441" s="2" t="s">
        <v>276</v>
      </c>
      <c r="F5441" s="2" t="str">
        <f>HYPERLINK("http://www.12365auto.com/news/20200219/418961.shtml","http://www.12365auto.com/news/20200219/418961.shtml")</f>
        <v>http://www.12365auto.com/news/20200219/418961.shtml</v>
      </c>
      <c r="G5441" s="2"/>
      <c r="H5441" s="2" t="s">
        <v>7658</v>
      </c>
      <c r="I5441" s="2" t="s">
        <v>15</v>
      </c>
      <c r="J5441" s="2" t="s">
        <v>12</v>
      </c>
      <c r="K5441" s="2" t="s">
        <v>7659</v>
      </c>
      <c r="L5441" s="2">
        <f t="shared" si="84"/>
        <v>150</v>
      </c>
    </row>
    <row r="5442" spans="1:12" ht="25" customHeight="1">
      <c r="A5442" s="2" t="s">
        <v>12</v>
      </c>
      <c r="B5442" s="2" t="str">
        <f>HYPERLINK("http://m.12365auto.com/news/20200219/418961.shtml","北京奔驰逆势增长18.8% E级破2万辆")</f>
        <v>北京奔驰逆势增长18.8% E级破2万辆</v>
      </c>
      <c r="C5442" s="2" t="s">
        <v>13</v>
      </c>
      <c r="D5442" s="2" t="s">
        <v>12</v>
      </c>
      <c r="E5442" s="2"/>
      <c r="F5442" s="2" t="str">
        <f>HYPERLINK("http://m.12365auto.com/news/20200219/418961.shtml","http://m.12365auto.com/news/20200219/418961.shtml")</f>
        <v>http://m.12365auto.com/news/20200219/418961.shtml</v>
      </c>
      <c r="G5442" s="2"/>
      <c r="H5442" s="2" t="s">
        <v>7660</v>
      </c>
      <c r="I5442" s="2" t="s">
        <v>19</v>
      </c>
      <c r="J5442" s="2" t="s">
        <v>732</v>
      </c>
      <c r="K5442" s="2" t="s">
        <v>7659</v>
      </c>
      <c r="L5442" s="2">
        <f t="shared" si="84"/>
        <v>150</v>
      </c>
    </row>
    <row r="5443" spans="1:12" ht="25" customHeight="1">
      <c r="A5443" s="2" t="s">
        <v>12</v>
      </c>
      <c r="B5443" s="2" t="str">
        <f>HYPERLINK("http://m.12365auto.com/news/20200219/418960.shtml","海马轿车/MPV全面停产 SUV销量逆势增7.7%")</f>
        <v>海马轿车/MPV全面停产 SUV销量逆势增7.7%</v>
      </c>
      <c r="C5443" s="2" t="s">
        <v>13</v>
      </c>
      <c r="D5443" s="2" t="s">
        <v>12</v>
      </c>
      <c r="E5443" s="2"/>
      <c r="F5443" s="2" t="str">
        <f>HYPERLINK("http://m.12365auto.com/news/20200219/418960.shtml","http://m.12365auto.com/news/20200219/418960.shtml")</f>
        <v>http://m.12365auto.com/news/20200219/418960.shtml</v>
      </c>
      <c r="G5443" s="2"/>
      <c r="H5443" s="2" t="s">
        <v>7661</v>
      </c>
      <c r="I5443" s="2" t="s">
        <v>19</v>
      </c>
      <c r="J5443" s="2" t="s">
        <v>6086</v>
      </c>
      <c r="K5443" s="2" t="s">
        <v>7662</v>
      </c>
      <c r="L5443" s="2">
        <f t="shared" ref="L5443:L5506" si="85">LEN(H5443)</f>
        <v>150</v>
      </c>
    </row>
    <row r="5444" spans="1:12" ht="25" customHeight="1">
      <c r="A5444" s="2" t="s">
        <v>12</v>
      </c>
      <c r="B5444" s="2" t="str">
        <f>HYPERLINK("http://www.12365auto.com/news/20200219/418960.shtml","海马轿车/MPV全面停产 SUV销量逆势增7.7%")</f>
        <v>海马轿车/MPV全面停产 SUV销量逆势增7.7%</v>
      </c>
      <c r="C5444" s="2" t="s">
        <v>13</v>
      </c>
      <c r="D5444" s="2" t="s">
        <v>12</v>
      </c>
      <c r="E5444" s="2" t="s">
        <v>276</v>
      </c>
      <c r="F5444" s="2" t="str">
        <f>HYPERLINK("http://www.12365auto.com/news/20200219/418960.shtml","http://www.12365auto.com/news/20200219/418960.shtml")</f>
        <v>http://www.12365auto.com/news/20200219/418960.shtml</v>
      </c>
      <c r="G5444" s="2"/>
      <c r="H5444" s="2" t="s">
        <v>7663</v>
      </c>
      <c r="I5444" s="2" t="s">
        <v>15</v>
      </c>
      <c r="J5444" s="2" t="s">
        <v>12</v>
      </c>
      <c r="K5444" s="2" t="s">
        <v>7662</v>
      </c>
      <c r="L5444" s="2">
        <f t="shared" si="85"/>
        <v>150</v>
      </c>
    </row>
    <row r="5445" spans="1:12" ht="25" customHeight="1">
      <c r="A5445" s="2" t="s">
        <v>12</v>
      </c>
      <c r="B5445" s="2" t="str">
        <f>HYPERLINK("http://www.12365auto.com/zlts/20200219/447723.shtml","长安马自达昂克赛拉普利司通轮胎鼓包")</f>
        <v>长安马自达昂克赛拉普利司通轮胎鼓包</v>
      </c>
      <c r="C5445" s="2" t="s">
        <v>13</v>
      </c>
      <c r="D5445" s="2" t="s">
        <v>12</v>
      </c>
      <c r="E5445" s="2" t="s">
        <v>17</v>
      </c>
      <c r="F5445" s="2" t="str">
        <f>HYPERLINK("http://www.12365auto.com/zlts/20200219/447723.shtml","http://www.12365auto.com/zlts/20200219/447723.shtml")</f>
        <v>http://www.12365auto.com/zlts/20200219/447723.shtml</v>
      </c>
      <c r="G5445" s="2"/>
      <c r="H5445" s="2" t="s">
        <v>7664</v>
      </c>
      <c r="I5445" s="2" t="s">
        <v>19</v>
      </c>
      <c r="J5445" s="2" t="s">
        <v>12</v>
      </c>
      <c r="K5445" s="2" t="s">
        <v>7662</v>
      </c>
      <c r="L5445" s="2">
        <f t="shared" si="85"/>
        <v>150</v>
      </c>
    </row>
    <row r="5446" spans="1:12" ht="25" customHeight="1">
      <c r="A5446" s="2" t="s">
        <v>12</v>
      </c>
      <c r="B5446" s="2" t="str">
        <f>HYPERLINK("http://m.12365auto.com/xcdg/20200219/418959.shtml","奔驰全新CLA实拍 最快1季度引入/搭2.0T引擎")</f>
        <v>奔驰全新CLA实拍 最快1季度引入/搭2.0T引擎</v>
      </c>
      <c r="C5446" s="2" t="s">
        <v>13</v>
      </c>
      <c r="D5446" s="2" t="s">
        <v>12</v>
      </c>
      <c r="E5446" s="2"/>
      <c r="F5446" s="2" t="str">
        <f>HYPERLINK("http://m.12365auto.com/xcdg/20200219/418959.shtml","http://m.12365auto.com/xcdg/20200219/418959.shtml")</f>
        <v>http://m.12365auto.com/xcdg/20200219/418959.shtml</v>
      </c>
      <c r="G5446" s="2"/>
      <c r="H5446" s="2" t="s">
        <v>7665</v>
      </c>
      <c r="I5446" s="2" t="s">
        <v>19</v>
      </c>
      <c r="J5446" s="2" t="s">
        <v>220</v>
      </c>
      <c r="K5446" s="2" t="s">
        <v>7666</v>
      </c>
      <c r="L5446" s="2">
        <f t="shared" si="85"/>
        <v>150</v>
      </c>
    </row>
    <row r="5447" spans="1:12" ht="25" customHeight="1">
      <c r="A5447" s="2" t="s">
        <v>12</v>
      </c>
      <c r="B5447" s="2" t="str">
        <f>HYPERLINK("http://www.12365auto.com/xcdg/20200219/418959.shtml","奔驰全新CLA实拍 最快1季度引入/搭2.0T引擎")</f>
        <v>奔驰全新CLA实拍 最快1季度引入/搭2.0T引擎</v>
      </c>
      <c r="C5447" s="2" t="s">
        <v>13</v>
      </c>
      <c r="D5447" s="2" t="s">
        <v>12</v>
      </c>
      <c r="E5447" s="2" t="s">
        <v>216</v>
      </c>
      <c r="F5447" s="2" t="str">
        <f>HYPERLINK("http://www.12365auto.com/xcdg/20200219/418959.shtml","http://www.12365auto.com/xcdg/20200219/418959.shtml")</f>
        <v>http://www.12365auto.com/xcdg/20200219/418959.shtml</v>
      </c>
      <c r="G5447" s="2"/>
      <c r="H5447" s="2" t="s">
        <v>7667</v>
      </c>
      <c r="I5447" s="2" t="s">
        <v>15</v>
      </c>
      <c r="J5447" s="2" t="s">
        <v>12</v>
      </c>
      <c r="K5447" s="2" t="s">
        <v>7666</v>
      </c>
      <c r="L5447" s="2">
        <f t="shared" si="85"/>
        <v>150</v>
      </c>
    </row>
    <row r="5448" spans="1:12" ht="25" customHeight="1">
      <c r="A5448" s="2" t="s">
        <v>12</v>
      </c>
      <c r="B5448" s="2" t="str">
        <f>HYPERLINK("http://www.12365auto.com/xcdg/20200219/418958.shtml","起亚全新Rio谍照曝光 搭1.0T引擎")</f>
        <v>起亚全新Rio谍照曝光 搭1.0T引擎</v>
      </c>
      <c r="C5448" s="2" t="s">
        <v>13</v>
      </c>
      <c r="D5448" s="2" t="s">
        <v>12</v>
      </c>
      <c r="E5448" s="2" t="s">
        <v>224</v>
      </c>
      <c r="F5448" s="2" t="str">
        <f>HYPERLINK("http://www.12365auto.com/xcdg/20200219/418958.shtml","http://www.12365auto.com/xcdg/20200219/418958.shtml")</f>
        <v>http://www.12365auto.com/xcdg/20200219/418958.shtml</v>
      </c>
      <c r="G5448" s="2"/>
      <c r="H5448" s="2" t="s">
        <v>7668</v>
      </c>
      <c r="I5448" s="2" t="s">
        <v>15</v>
      </c>
      <c r="J5448" s="2" t="s">
        <v>12</v>
      </c>
      <c r="K5448" s="2" t="s">
        <v>7669</v>
      </c>
      <c r="L5448" s="2">
        <f t="shared" si="85"/>
        <v>150</v>
      </c>
    </row>
    <row r="5449" spans="1:12" ht="25" customHeight="1">
      <c r="A5449" s="2" t="s">
        <v>12</v>
      </c>
      <c r="B5449" s="2" t="str">
        <f>HYPERLINK("http://m.12365auto.com/xcdg/20200219/418958.shtml","起亚全新Rio谍照曝光 搭1.0T引擎")</f>
        <v>起亚全新Rio谍照曝光 搭1.0T引擎</v>
      </c>
      <c r="C5449" s="2" t="s">
        <v>13</v>
      </c>
      <c r="D5449" s="2" t="s">
        <v>12</v>
      </c>
      <c r="E5449" s="2"/>
      <c r="F5449" s="2" t="str">
        <f>HYPERLINK("http://m.12365auto.com/xcdg/20200219/418958.shtml","http://m.12365auto.com/xcdg/20200219/418958.shtml")</f>
        <v>http://m.12365auto.com/xcdg/20200219/418958.shtml</v>
      </c>
      <c r="G5449" s="2"/>
      <c r="H5449" s="2" t="s">
        <v>7670</v>
      </c>
      <c r="I5449" s="2" t="s">
        <v>19</v>
      </c>
      <c r="J5449" s="2" t="s">
        <v>222</v>
      </c>
      <c r="K5449" s="2" t="s">
        <v>7669</v>
      </c>
      <c r="L5449" s="2">
        <f t="shared" si="85"/>
        <v>150</v>
      </c>
    </row>
    <row r="5450" spans="1:12" ht="25" customHeight="1">
      <c r="A5450" s="2" t="s">
        <v>12</v>
      </c>
      <c r="B5450" s="2" t="str">
        <f>HYPERLINK("http://www.12365auto.com/xcdg/20200219/418957.shtml","奔驰7款新车亮相 新E级/GLA最受关注")</f>
        <v>奔驰7款新车亮相 新E级/GLA最受关注</v>
      </c>
      <c r="C5450" s="2" t="s">
        <v>13</v>
      </c>
      <c r="D5450" s="2" t="s">
        <v>12</v>
      </c>
      <c r="E5450" s="2" t="s">
        <v>216</v>
      </c>
      <c r="F5450" s="2" t="str">
        <f>HYPERLINK("http://www.12365auto.com/xcdg/20200219/418957.shtml","http://www.12365auto.com/xcdg/20200219/418957.shtml")</f>
        <v>http://www.12365auto.com/xcdg/20200219/418957.shtml</v>
      </c>
      <c r="G5450" s="2"/>
      <c r="H5450" s="2" t="s">
        <v>7671</v>
      </c>
      <c r="I5450" s="2" t="s">
        <v>15</v>
      </c>
      <c r="J5450" s="2" t="s">
        <v>12</v>
      </c>
      <c r="K5450" s="2" t="s">
        <v>7672</v>
      </c>
      <c r="L5450" s="2">
        <f t="shared" si="85"/>
        <v>150</v>
      </c>
    </row>
    <row r="5451" spans="1:12" ht="25" customHeight="1">
      <c r="A5451" s="2" t="s">
        <v>12</v>
      </c>
      <c r="B5451" s="2" t="str">
        <f>HYPERLINK("http://m.12365auto.com/xcdg/20200219/418957.shtml","奔驰7款新车亮相 新E级/GLA最受关注")</f>
        <v>奔驰7款新车亮相 新E级/GLA最受关注</v>
      </c>
      <c r="C5451" s="2" t="s">
        <v>13</v>
      </c>
      <c r="D5451" s="2" t="s">
        <v>12</v>
      </c>
      <c r="E5451" s="2"/>
      <c r="F5451" s="2" t="str">
        <f>HYPERLINK("http://m.12365auto.com/xcdg/20200219/418957.shtml","http://m.12365auto.com/xcdg/20200219/418957.shtml")</f>
        <v>http://m.12365auto.com/xcdg/20200219/418957.shtml</v>
      </c>
      <c r="G5451" s="2"/>
      <c r="H5451" s="2" t="s">
        <v>7673</v>
      </c>
      <c r="I5451" s="2" t="s">
        <v>19</v>
      </c>
      <c r="J5451" s="2" t="s">
        <v>6086</v>
      </c>
      <c r="K5451" s="2" t="s">
        <v>7672</v>
      </c>
      <c r="L5451" s="2">
        <f t="shared" si="85"/>
        <v>150</v>
      </c>
    </row>
    <row r="5452" spans="1:12" ht="25" customHeight="1">
      <c r="A5452" s="2" t="s">
        <v>12</v>
      </c>
      <c r="B5452" s="2" t="str">
        <f>HYPERLINK("http://www.12365auto.com/news/20200219/418956.shtml","北汽新能源新车规划曝光 覆盖大中小各级别")</f>
        <v>北汽新能源新车规划曝光 覆盖大中小各级别</v>
      </c>
      <c r="C5452" s="2" t="s">
        <v>13</v>
      </c>
      <c r="D5452" s="2" t="s">
        <v>12</v>
      </c>
      <c r="E5452" s="2" t="s">
        <v>276</v>
      </c>
      <c r="F5452" s="2" t="str">
        <f>HYPERLINK("http://www.12365auto.com/news/20200219/418956.shtml","http://www.12365auto.com/news/20200219/418956.shtml")</f>
        <v>http://www.12365auto.com/news/20200219/418956.shtml</v>
      </c>
      <c r="G5452" s="2"/>
      <c r="H5452" s="2" t="s">
        <v>7674</v>
      </c>
      <c r="I5452" s="2" t="s">
        <v>15</v>
      </c>
      <c r="J5452" s="2" t="s">
        <v>12</v>
      </c>
      <c r="K5452" s="2" t="s">
        <v>7675</v>
      </c>
      <c r="L5452" s="2">
        <f t="shared" si="85"/>
        <v>150</v>
      </c>
    </row>
    <row r="5453" spans="1:12" ht="25" customHeight="1">
      <c r="A5453" s="2" t="s">
        <v>12</v>
      </c>
      <c r="B5453" s="2" t="str">
        <f>HYPERLINK("http://www.12365auto.com/zlts/20200219/447721.shtml","东风标致3008倒车影像黑屏希望厂家处理")</f>
        <v>东风标致3008倒车影像黑屏希望厂家处理</v>
      </c>
      <c r="C5453" s="2" t="s">
        <v>13</v>
      </c>
      <c r="D5453" s="2" t="s">
        <v>12</v>
      </c>
      <c r="E5453" s="2" t="s">
        <v>17</v>
      </c>
      <c r="F5453" s="2" t="str">
        <f>HYPERLINK("http://www.12365auto.com/zlts/20200219/447721.shtml","http://www.12365auto.com/zlts/20200219/447721.shtml")</f>
        <v>http://www.12365auto.com/zlts/20200219/447721.shtml</v>
      </c>
      <c r="G5453" s="2"/>
      <c r="H5453" s="2" t="s">
        <v>7676</v>
      </c>
      <c r="I5453" s="2" t="s">
        <v>19</v>
      </c>
      <c r="J5453" s="2" t="s">
        <v>12</v>
      </c>
      <c r="K5453" s="2" t="s">
        <v>7675</v>
      </c>
      <c r="L5453" s="2">
        <f t="shared" si="85"/>
        <v>150</v>
      </c>
    </row>
    <row r="5454" spans="1:12" ht="25" customHeight="1">
      <c r="A5454" s="2" t="s">
        <v>12</v>
      </c>
      <c r="B5454" s="2" t="str">
        <f>HYPERLINK("http://m.12365auto.com/news/20200219/418956.shtml","北汽新能源新车规划曝光 覆盖大中小各级别")</f>
        <v>北汽新能源新车规划曝光 覆盖大中小各级别</v>
      </c>
      <c r="C5454" s="2" t="s">
        <v>13</v>
      </c>
      <c r="D5454" s="2" t="s">
        <v>12</v>
      </c>
      <c r="E5454" s="2"/>
      <c r="F5454" s="2" t="str">
        <f>HYPERLINK("http://m.12365auto.com/news/20200219/418956.shtml","http://m.12365auto.com/news/20200219/418956.shtml")</f>
        <v>http://m.12365auto.com/news/20200219/418956.shtml</v>
      </c>
      <c r="G5454" s="2"/>
      <c r="H5454" s="2" t="s">
        <v>7677</v>
      </c>
      <c r="I5454" s="2" t="s">
        <v>19</v>
      </c>
      <c r="J5454" s="2" t="s">
        <v>257</v>
      </c>
      <c r="K5454" s="2" t="s">
        <v>7675</v>
      </c>
      <c r="L5454" s="2">
        <f t="shared" si="85"/>
        <v>150</v>
      </c>
    </row>
    <row r="5455" spans="1:12" ht="25" customHeight="1">
      <c r="A5455" s="2" t="s">
        <v>12</v>
      </c>
      <c r="B5455" s="2" t="str">
        <f>HYPERLINK("http://m.12365auto.com/xcdg/20200219/418955.shtml","奇瑞新款瑞虎5x谍照曝光 前脸酷似奔驰")</f>
        <v>奇瑞新款瑞虎5x谍照曝光 前脸酷似奔驰</v>
      </c>
      <c r="C5455" s="2" t="s">
        <v>13</v>
      </c>
      <c r="D5455" s="2" t="s">
        <v>12</v>
      </c>
      <c r="E5455" s="2"/>
      <c r="F5455" s="2" t="str">
        <f>HYPERLINK("http://m.12365auto.com/xcdg/20200219/418955.shtml","http://m.12365auto.com/xcdg/20200219/418955.shtml")</f>
        <v>http://m.12365auto.com/xcdg/20200219/418955.shtml</v>
      </c>
      <c r="G5455" s="2"/>
      <c r="H5455" s="2" t="s">
        <v>7678</v>
      </c>
      <c r="I5455" s="2" t="s">
        <v>19</v>
      </c>
      <c r="J5455" s="2" t="s">
        <v>732</v>
      </c>
      <c r="K5455" s="2" t="s">
        <v>7679</v>
      </c>
      <c r="L5455" s="2">
        <f t="shared" si="85"/>
        <v>150</v>
      </c>
    </row>
    <row r="5456" spans="1:12" ht="25" customHeight="1">
      <c r="A5456" s="2" t="s">
        <v>12</v>
      </c>
      <c r="B5456" s="2" t="str">
        <f>HYPERLINK("http://www.12365auto.com/xcdg/20200219/418955.shtml","奇瑞新款瑞虎5x谍照曝光 前脸酷似奔驰")</f>
        <v>奇瑞新款瑞虎5x谍照曝光 前脸酷似奔驰</v>
      </c>
      <c r="C5456" s="2" t="s">
        <v>13</v>
      </c>
      <c r="D5456" s="2" t="s">
        <v>12</v>
      </c>
      <c r="E5456" s="2" t="s">
        <v>224</v>
      </c>
      <c r="F5456" s="2" t="str">
        <f>HYPERLINK("http://www.12365auto.com/xcdg/20200219/418955.shtml","http://www.12365auto.com/xcdg/20200219/418955.shtml")</f>
        <v>http://www.12365auto.com/xcdg/20200219/418955.shtml</v>
      </c>
      <c r="G5456" s="2"/>
      <c r="H5456" s="2" t="s">
        <v>7680</v>
      </c>
      <c r="I5456" s="2" t="s">
        <v>15</v>
      </c>
      <c r="J5456" s="2" t="s">
        <v>12</v>
      </c>
      <c r="K5456" s="2" t="s">
        <v>7679</v>
      </c>
      <c r="L5456" s="2">
        <f t="shared" si="85"/>
        <v>150</v>
      </c>
    </row>
    <row r="5457" spans="1:12" ht="25" customHeight="1">
      <c r="A5457" s="2" t="s">
        <v>12</v>
      </c>
      <c r="B5457" s="2" t="str">
        <f>HYPERLINK("http://www.12365auto.com/news/20200219/418954.shtml","雪佛兰1月销量近3.5万 SUV探界者大涨61.5%")</f>
        <v>雪佛兰1月销量近3.5万 SUV探界者大涨61.5%</v>
      </c>
      <c r="C5457" s="2" t="s">
        <v>13</v>
      </c>
      <c r="D5457" s="2" t="s">
        <v>12</v>
      </c>
      <c r="E5457" s="2" t="s">
        <v>276</v>
      </c>
      <c r="F5457" s="2" t="str">
        <f>HYPERLINK("http://www.12365auto.com/news/20200219/418954.shtml","http://www.12365auto.com/news/20200219/418954.shtml")</f>
        <v>http://www.12365auto.com/news/20200219/418954.shtml</v>
      </c>
      <c r="G5457" s="2"/>
      <c r="H5457" s="2" t="s">
        <v>7681</v>
      </c>
      <c r="I5457" s="2" t="s">
        <v>15</v>
      </c>
      <c r="J5457" s="2" t="s">
        <v>12</v>
      </c>
      <c r="K5457" s="2" t="s">
        <v>7682</v>
      </c>
      <c r="L5457" s="2">
        <f t="shared" si="85"/>
        <v>150</v>
      </c>
    </row>
    <row r="5458" spans="1:12" ht="25" customHeight="1">
      <c r="A5458" s="2" t="s">
        <v>12</v>
      </c>
      <c r="B5458" s="2" t="str">
        <f>HYPERLINK("http://bbs.12365auto.com/postcontent.aspx?tID=194517","大众tiguan有时停车落锁后突然报警的问题如何解决")</f>
        <v>大众tiguan有时停车落锁后突然报警的问题如何解决</v>
      </c>
      <c r="C5458" s="2" t="s">
        <v>13</v>
      </c>
      <c r="D5458" s="2" t="s">
        <v>12</v>
      </c>
      <c r="E5458" s="2" t="s">
        <v>67</v>
      </c>
      <c r="F5458" s="2" t="str">
        <f>HYPERLINK("http://bbs.12365auto.com/postcontent.aspx?tID=194517","http://bbs.12365auto.com/postcontent.aspx?tID=194517")</f>
        <v>http://bbs.12365auto.com/postcontent.aspx?tID=194517</v>
      </c>
      <c r="G5458" s="2"/>
      <c r="H5458" s="2" t="s">
        <v>7683</v>
      </c>
      <c r="I5458" s="2" t="s">
        <v>15</v>
      </c>
      <c r="J5458" s="2" t="s">
        <v>7684</v>
      </c>
      <c r="K5458" s="2" t="s">
        <v>7682</v>
      </c>
      <c r="L5458" s="2">
        <f t="shared" si="85"/>
        <v>150</v>
      </c>
    </row>
    <row r="5459" spans="1:12" ht="25" customHeight="1">
      <c r="A5459" s="2" t="s">
        <v>12</v>
      </c>
      <c r="B5459" s="2" t="str">
        <f>HYPERLINK("http://m.12365auto.com/news/20200219/418954.shtml","雪佛兰1月销量近3.5万 SUV探界者大涨61.5%")</f>
        <v>雪佛兰1月销量近3.5万 SUV探界者大涨61.5%</v>
      </c>
      <c r="C5459" s="2" t="s">
        <v>13</v>
      </c>
      <c r="D5459" s="2" t="s">
        <v>12</v>
      </c>
      <c r="E5459" s="2"/>
      <c r="F5459" s="2" t="str">
        <f>HYPERLINK("http://m.12365auto.com/news/20200219/418954.shtml","http://m.12365auto.com/news/20200219/418954.shtml")</f>
        <v>http://m.12365auto.com/news/20200219/418954.shtml</v>
      </c>
      <c r="G5459" s="2"/>
      <c r="H5459" s="2" t="s">
        <v>7685</v>
      </c>
      <c r="I5459" s="2" t="s">
        <v>19</v>
      </c>
      <c r="J5459" s="2" t="s">
        <v>2603</v>
      </c>
      <c r="K5459" s="2" t="s">
        <v>7682</v>
      </c>
      <c r="L5459" s="2">
        <f t="shared" si="85"/>
        <v>150</v>
      </c>
    </row>
    <row r="5460" spans="1:12" ht="25" customHeight="1">
      <c r="A5460" s="2" t="s">
        <v>12</v>
      </c>
      <c r="B5460" s="2" t="str">
        <f>HYPERLINK("http://www.12365auto.com/zlts/20200219/447720.shtml","斯威X7副驾驶车窗升降继电器损坏")</f>
        <v>斯威X7副驾驶车窗升降继电器损坏</v>
      </c>
      <c r="C5460" s="2" t="s">
        <v>13</v>
      </c>
      <c r="D5460" s="2" t="s">
        <v>12</v>
      </c>
      <c r="E5460" s="2" t="s">
        <v>17</v>
      </c>
      <c r="F5460" s="2" t="str">
        <f>HYPERLINK("http://www.12365auto.com/zlts/20200219/447720.shtml","http://www.12365auto.com/zlts/20200219/447720.shtml")</f>
        <v>http://www.12365auto.com/zlts/20200219/447720.shtml</v>
      </c>
      <c r="G5460" s="2"/>
      <c r="H5460" s="2" t="s">
        <v>7686</v>
      </c>
      <c r="I5460" s="2" t="s">
        <v>15</v>
      </c>
      <c r="J5460" s="2" t="s">
        <v>12</v>
      </c>
      <c r="K5460" s="2" t="s">
        <v>7687</v>
      </c>
      <c r="L5460" s="2">
        <f t="shared" si="85"/>
        <v>150</v>
      </c>
    </row>
    <row r="5461" spans="1:12" ht="25" customHeight="1">
      <c r="A5461" s="2" t="s">
        <v>12</v>
      </c>
      <c r="B5461" s="2" t="str">
        <f>HYPERLINK("http://m.12365auto.com/news/20200219/418953.shtml","上汽大众1月销量跑赢大盘 途岳SUV逆涨22%")</f>
        <v>上汽大众1月销量跑赢大盘 途岳SUV逆涨22%</v>
      </c>
      <c r="C5461" s="2" t="s">
        <v>13</v>
      </c>
      <c r="D5461" s="2" t="s">
        <v>12</v>
      </c>
      <c r="E5461" s="2"/>
      <c r="F5461" s="2" t="str">
        <f>HYPERLINK("http://m.12365auto.com/news/20200219/418953.shtml","http://m.12365auto.com/news/20200219/418953.shtml")</f>
        <v>http://m.12365auto.com/news/20200219/418953.shtml</v>
      </c>
      <c r="G5461" s="2"/>
      <c r="H5461" s="2" t="s">
        <v>7688</v>
      </c>
      <c r="I5461" s="2" t="s">
        <v>19</v>
      </c>
      <c r="J5461" s="2" t="s">
        <v>732</v>
      </c>
      <c r="K5461" s="2" t="s">
        <v>7689</v>
      </c>
      <c r="L5461" s="2">
        <f t="shared" si="85"/>
        <v>150</v>
      </c>
    </row>
    <row r="5462" spans="1:12" ht="25" customHeight="1">
      <c r="A5462" s="2" t="s">
        <v>12</v>
      </c>
      <c r="B5462" s="2" t="str">
        <f>HYPERLINK("http://www.12365auto.com/news/20200219/418953.shtml","上汽大众1月销量跑赢大盘 途岳SUV逆涨22%")</f>
        <v>上汽大众1月销量跑赢大盘 途岳SUV逆涨22%</v>
      </c>
      <c r="C5462" s="2" t="s">
        <v>13</v>
      </c>
      <c r="D5462" s="2" t="s">
        <v>12</v>
      </c>
      <c r="E5462" s="2" t="s">
        <v>282</v>
      </c>
      <c r="F5462" s="2" t="str">
        <f>HYPERLINK("http://www.12365auto.com/news/20200219/418953.shtml","http://www.12365auto.com/news/20200219/418953.shtml")</f>
        <v>http://www.12365auto.com/news/20200219/418953.shtml</v>
      </c>
      <c r="G5462" s="2"/>
      <c r="H5462" s="2" t="s">
        <v>7690</v>
      </c>
      <c r="I5462" s="2" t="s">
        <v>19</v>
      </c>
      <c r="J5462" s="2" t="s">
        <v>12</v>
      </c>
      <c r="K5462" s="2" t="s">
        <v>7689</v>
      </c>
      <c r="L5462" s="2">
        <f t="shared" si="85"/>
        <v>150</v>
      </c>
    </row>
    <row r="5463" spans="1:12" ht="25" customHeight="1">
      <c r="A5463" s="2" t="s">
        <v>12</v>
      </c>
      <c r="B5463" s="2" t="str">
        <f>HYPERLINK("http://m.12365auto.com/xcdg/20200219/418952.shtml","荣威Ei6纯电轿车动力曝光 续航达605km")</f>
        <v>荣威Ei6纯电轿车动力曝光 续航达605km</v>
      </c>
      <c r="C5463" s="2" t="s">
        <v>13</v>
      </c>
      <c r="D5463" s="2" t="s">
        <v>12</v>
      </c>
      <c r="E5463" s="2"/>
      <c r="F5463" s="2" t="str">
        <f>HYPERLINK("http://m.12365auto.com/xcdg/20200219/418952.shtml","http://m.12365auto.com/xcdg/20200219/418952.shtml")</f>
        <v>http://m.12365auto.com/xcdg/20200219/418952.shtml</v>
      </c>
      <c r="G5463" s="2"/>
      <c r="H5463" s="2" t="s">
        <v>7691</v>
      </c>
      <c r="I5463" s="2" t="s">
        <v>19</v>
      </c>
      <c r="J5463" s="2" t="s">
        <v>732</v>
      </c>
      <c r="K5463" s="2" t="s">
        <v>7692</v>
      </c>
      <c r="L5463" s="2">
        <f t="shared" si="85"/>
        <v>150</v>
      </c>
    </row>
    <row r="5464" spans="1:12" ht="25" customHeight="1">
      <c r="A5464" s="2" t="s">
        <v>12</v>
      </c>
      <c r="B5464" s="2" t="str">
        <f>HYPERLINK("http://www.12365auto.com/xcdg/20200219/418952.shtml","荣威Ei6纯电轿车动力曝光 续航达605km")</f>
        <v>荣威Ei6纯电轿车动力曝光 续航达605km</v>
      </c>
      <c r="C5464" s="2" t="s">
        <v>13</v>
      </c>
      <c r="D5464" s="2" t="s">
        <v>12</v>
      </c>
      <c r="E5464" s="2" t="s">
        <v>245</v>
      </c>
      <c r="F5464" s="2" t="str">
        <f>HYPERLINK("http://www.12365auto.com/xcdg/20200219/418952.shtml","http://www.12365auto.com/xcdg/20200219/418952.shtml")</f>
        <v>http://www.12365auto.com/xcdg/20200219/418952.shtml</v>
      </c>
      <c r="G5464" s="2"/>
      <c r="H5464" s="2" t="s">
        <v>7693</v>
      </c>
      <c r="I5464" s="2" t="s">
        <v>19</v>
      </c>
      <c r="J5464" s="2" t="s">
        <v>12</v>
      </c>
      <c r="K5464" s="2" t="s">
        <v>7692</v>
      </c>
      <c r="L5464" s="2">
        <f t="shared" si="85"/>
        <v>150</v>
      </c>
    </row>
    <row r="5465" spans="1:12" ht="25" customHeight="1">
      <c r="A5465" s="2" t="s">
        <v>12</v>
      </c>
      <c r="B5465" s="2" t="str">
        <f>HYPERLINK("http://m.12365auto.com/xcdg/20200219/418951.shtml","4.5秒破百的奥迪Q3见过吗？RS Q3开箱解读")</f>
        <v>4.5秒破百的奥迪Q3见过吗？RS Q3开箱解读</v>
      </c>
      <c r="C5465" s="2" t="s">
        <v>13</v>
      </c>
      <c r="D5465" s="2" t="s">
        <v>12</v>
      </c>
      <c r="E5465" s="2"/>
      <c r="F5465" s="2" t="str">
        <f>HYPERLINK("http://m.12365auto.com/xcdg/20200219/418951.shtml","http://m.12365auto.com/xcdg/20200219/418951.shtml")</f>
        <v>http://m.12365auto.com/xcdg/20200219/418951.shtml</v>
      </c>
      <c r="G5465" s="2"/>
      <c r="H5465" s="2" t="s">
        <v>7694</v>
      </c>
      <c r="I5465" s="2" t="s">
        <v>19</v>
      </c>
      <c r="J5465" s="2" t="s">
        <v>1247</v>
      </c>
      <c r="K5465" s="2" t="s">
        <v>7695</v>
      </c>
      <c r="L5465" s="2">
        <f t="shared" si="85"/>
        <v>150</v>
      </c>
    </row>
    <row r="5466" spans="1:12" ht="25" customHeight="1">
      <c r="A5466" s="2" t="s">
        <v>12</v>
      </c>
      <c r="B5466" s="2" t="str">
        <f>HYPERLINK("http://m.12365auto.com/xcdg/20200219/418950.shtml","中保研碰撞优等生  长安CS75 PLUS内功解析")</f>
        <v>中保研碰撞优等生  长安CS75 PLUS内功解析</v>
      </c>
      <c r="C5466" s="2" t="s">
        <v>13</v>
      </c>
      <c r="D5466" s="2" t="s">
        <v>12</v>
      </c>
      <c r="E5466" s="2"/>
      <c r="F5466" s="2" t="str">
        <f>HYPERLINK("http://m.12365auto.com/xcdg/20200219/418950.shtml","http://m.12365auto.com/xcdg/20200219/418950.shtml")</f>
        <v>http://m.12365auto.com/xcdg/20200219/418950.shtml</v>
      </c>
      <c r="G5466" s="2"/>
      <c r="H5466" s="2" t="s">
        <v>7696</v>
      </c>
      <c r="I5466" s="2" t="s">
        <v>19</v>
      </c>
      <c r="J5466" s="2" t="s">
        <v>3823</v>
      </c>
      <c r="K5466" s="2" t="s">
        <v>7697</v>
      </c>
      <c r="L5466" s="2">
        <f t="shared" si="85"/>
        <v>150</v>
      </c>
    </row>
    <row r="5467" spans="1:12" ht="25" customHeight="1">
      <c r="A5467" s="2" t="s">
        <v>12</v>
      </c>
      <c r="B5467" s="2" t="str">
        <f>HYPERLINK("http://m.12365auto.com/xcdg/20200219/418949.shtml","低价高配 长安欧尚X7买哪款最合适？")</f>
        <v>低价高配 长安欧尚X7买哪款最合适？</v>
      </c>
      <c r="C5467" s="2" t="s">
        <v>13</v>
      </c>
      <c r="D5467" s="2" t="s">
        <v>12</v>
      </c>
      <c r="E5467" s="2"/>
      <c r="F5467" s="2" t="str">
        <f>HYPERLINK("http://m.12365auto.com/xcdg/20200219/418949.shtml","http://m.12365auto.com/xcdg/20200219/418949.shtml")</f>
        <v>http://m.12365auto.com/xcdg/20200219/418949.shtml</v>
      </c>
      <c r="G5467" s="2"/>
      <c r="H5467" s="2" t="s">
        <v>7698</v>
      </c>
      <c r="I5467" s="2" t="s">
        <v>19</v>
      </c>
      <c r="J5467" s="2" t="s">
        <v>1255</v>
      </c>
      <c r="K5467" s="2" t="s">
        <v>7699</v>
      </c>
      <c r="L5467" s="2">
        <f t="shared" si="85"/>
        <v>150</v>
      </c>
    </row>
    <row r="5468" spans="1:12" ht="25" customHeight="1">
      <c r="A5468" s="2" t="s">
        <v>12</v>
      </c>
      <c r="B5468" s="2" t="str">
        <f>HYPERLINK("http://bbs.12365auto.com/postcontent.aspx?tID=194516","再也不用魔改 15万直接能买到本田“法拉域”了")</f>
        <v>再也不用魔改 15万直接能买到本田“法拉域”了</v>
      </c>
      <c r="C5468" s="2" t="s">
        <v>13</v>
      </c>
      <c r="D5468" s="2" t="s">
        <v>12</v>
      </c>
      <c r="E5468" s="2" t="s">
        <v>214</v>
      </c>
      <c r="F5468" s="2" t="str">
        <f>HYPERLINK("http://bbs.12365auto.com/postcontent.aspx?tID=194516","http://bbs.12365auto.com/postcontent.aspx?tID=194516")</f>
        <v>http://bbs.12365auto.com/postcontent.aspx?tID=194516</v>
      </c>
      <c r="G5468" s="2"/>
      <c r="H5468" s="2" t="s">
        <v>7700</v>
      </c>
      <c r="I5468" s="2" t="s">
        <v>15</v>
      </c>
      <c r="J5468" s="2" t="s">
        <v>7701</v>
      </c>
      <c r="K5468" s="2" t="s">
        <v>7702</v>
      </c>
      <c r="L5468" s="2">
        <f t="shared" si="85"/>
        <v>150</v>
      </c>
    </row>
    <row r="5469" spans="1:12" ht="25" customHeight="1">
      <c r="A5469" s="2" t="s">
        <v>12</v>
      </c>
      <c r="B5469" s="2" t="str">
        <f>HYPERLINK("http://bbs.12365auto.com/postcontent.aspx?tID=194515","1月SUV榜单：哈弗H6销冠差点丢了 多匹黑马登榜")</f>
        <v>1月SUV榜单：哈弗H6销冠差点丢了 多匹黑马登榜</v>
      </c>
      <c r="C5469" s="2" t="s">
        <v>13</v>
      </c>
      <c r="D5469" s="2" t="s">
        <v>12</v>
      </c>
      <c r="E5469" s="2" t="s">
        <v>214</v>
      </c>
      <c r="F5469" s="2" t="str">
        <f>HYPERLINK("http://bbs.12365auto.com/postcontent.aspx?tID=194515","http://bbs.12365auto.com/postcontent.aspx?tID=194515")</f>
        <v>http://bbs.12365auto.com/postcontent.aspx?tID=194515</v>
      </c>
      <c r="G5469" s="2"/>
      <c r="H5469" s="2" t="s">
        <v>7703</v>
      </c>
      <c r="I5469" s="2" t="s">
        <v>15</v>
      </c>
      <c r="J5469" s="2" t="s">
        <v>7701</v>
      </c>
      <c r="K5469" s="2" t="s">
        <v>7702</v>
      </c>
      <c r="L5469" s="2">
        <f t="shared" si="85"/>
        <v>150</v>
      </c>
    </row>
    <row r="5470" spans="1:12" ht="25" customHeight="1">
      <c r="A5470" s="2" t="s">
        <v>12</v>
      </c>
      <c r="B5470" s="2" t="str">
        <f>HYPERLINK("http://m.12365auto.com/bbs/postcontent.aspx?tID=194516","再也不用魔改 15万直接能买到本田“法拉域”了")</f>
        <v>再也不用魔改 15万直接能买到本田“法拉域”了</v>
      </c>
      <c r="C5470" s="2" t="s">
        <v>13</v>
      </c>
      <c r="D5470" s="2" t="s">
        <v>23</v>
      </c>
      <c r="E5470" s="2"/>
      <c r="F5470" s="2" t="str">
        <f>HYPERLINK("http://m.12365auto.com/bbs/postcontent.aspx?tID=194516","http://m.12365auto.com/bbs/postcontent.aspx?tID=194516")</f>
        <v>http://m.12365auto.com/bbs/postcontent.aspx?tID=194516</v>
      </c>
      <c r="G5470" s="2"/>
      <c r="H5470" s="2" t="s">
        <v>7704</v>
      </c>
      <c r="I5470" s="2" t="s">
        <v>15</v>
      </c>
      <c r="J5470" s="2" t="s">
        <v>7701</v>
      </c>
      <c r="K5470" s="2" t="s">
        <v>7702</v>
      </c>
      <c r="L5470" s="2">
        <f t="shared" si="85"/>
        <v>150</v>
      </c>
    </row>
    <row r="5471" spans="1:12" ht="25" customHeight="1">
      <c r="A5471" s="2" t="s">
        <v>12</v>
      </c>
      <c r="B5471" s="2" t="str">
        <f>HYPERLINK("http://m.12365auto.com/bbs/postcontent.aspx?tID=194515","1月SUV榜单：哈弗H6销冠差点丢了 多匹黑马登榜")</f>
        <v>1月SUV榜单：哈弗H6销冠差点丢了 多匹黑马登榜</v>
      </c>
      <c r="C5471" s="2" t="s">
        <v>13</v>
      </c>
      <c r="D5471" s="2" t="s">
        <v>23</v>
      </c>
      <c r="E5471" s="2"/>
      <c r="F5471" s="2" t="str">
        <f>HYPERLINK("http://m.12365auto.com/bbs/postcontent.aspx?tID=194515","http://m.12365auto.com/bbs/postcontent.aspx?tID=194515")</f>
        <v>http://m.12365auto.com/bbs/postcontent.aspx?tID=194515</v>
      </c>
      <c r="G5471" s="2"/>
      <c r="H5471" s="2" t="s">
        <v>7705</v>
      </c>
      <c r="I5471" s="2" t="s">
        <v>15</v>
      </c>
      <c r="J5471" s="2" t="s">
        <v>7701</v>
      </c>
      <c r="K5471" s="2" t="s">
        <v>7702</v>
      </c>
      <c r="L5471" s="2">
        <f t="shared" si="85"/>
        <v>150</v>
      </c>
    </row>
    <row r="5472" spans="1:12" ht="25" customHeight="1">
      <c r="A5472" s="2" t="s">
        <v>12</v>
      </c>
      <c r="B5472" s="2" t="str">
        <f>HYPERLINK("http://bbs.12365auto.com/postcontent.aspx?tId=194516","再也不用魔改 15万直接能买到本田“法拉域”了")</f>
        <v>再也不用魔改 15万直接能买到本田“法拉域”了</v>
      </c>
      <c r="C5472" s="2" t="s">
        <v>13</v>
      </c>
      <c r="D5472" s="2" t="s">
        <v>12</v>
      </c>
      <c r="E5472" s="2" t="s">
        <v>210</v>
      </c>
      <c r="F5472" s="2" t="str">
        <f>HYPERLINK("http://bbs.12365auto.com/postcontent.aspx?tId=194516","http://bbs.12365auto.com/postcontent.aspx?tId=194516")</f>
        <v>http://bbs.12365auto.com/postcontent.aspx?tId=194516</v>
      </c>
      <c r="G5472" s="2"/>
      <c r="H5472" s="2" t="s">
        <v>7704</v>
      </c>
      <c r="I5472" s="2" t="s">
        <v>15</v>
      </c>
      <c r="J5472" s="2" t="s">
        <v>7701</v>
      </c>
      <c r="K5472" s="2" t="s">
        <v>7702</v>
      </c>
      <c r="L5472" s="2">
        <f t="shared" si="85"/>
        <v>150</v>
      </c>
    </row>
    <row r="5473" spans="1:12" ht="25" customHeight="1">
      <c r="A5473" s="2" t="s">
        <v>12</v>
      </c>
      <c r="B5473" s="2" t="str">
        <f>HYPERLINK("http://bbs.12365auto.com/postcontent.aspx?tId=194515","1月SUV榜单：哈弗H6销冠差点丢了 多匹黑马登榜")</f>
        <v>1月SUV榜单：哈弗H6销冠差点丢了 多匹黑马登榜</v>
      </c>
      <c r="C5473" s="2" t="s">
        <v>13</v>
      </c>
      <c r="D5473" s="2" t="s">
        <v>12</v>
      </c>
      <c r="E5473" s="2" t="s">
        <v>210</v>
      </c>
      <c r="F5473" s="2" t="str">
        <f>HYPERLINK("http://bbs.12365auto.com/postcontent.aspx?tId=194515","http://bbs.12365auto.com/postcontent.aspx?tId=194515")</f>
        <v>http://bbs.12365auto.com/postcontent.aspx?tId=194515</v>
      </c>
      <c r="G5473" s="2"/>
      <c r="H5473" s="2" t="s">
        <v>7705</v>
      </c>
      <c r="I5473" s="2" t="s">
        <v>15</v>
      </c>
      <c r="J5473" s="2" t="s">
        <v>7701</v>
      </c>
      <c r="K5473" s="2" t="s">
        <v>7702</v>
      </c>
      <c r="L5473" s="2">
        <f t="shared" si="85"/>
        <v>150</v>
      </c>
    </row>
    <row r="5474" spans="1:12" ht="25" customHeight="1">
      <c r="A5474" s="2" t="s">
        <v>12</v>
      </c>
      <c r="B5474" s="2" t="str">
        <f>HYPERLINK("http://www.12365auto.com/news/20200219/418948.shtml","东风再捐1200余万元物资 累捐赠8200万元")</f>
        <v>东风再捐1200余万元物资 累捐赠8200万元</v>
      </c>
      <c r="C5474" s="2" t="s">
        <v>13</v>
      </c>
      <c r="D5474" s="2" t="s">
        <v>12</v>
      </c>
      <c r="E5474" s="2" t="s">
        <v>276</v>
      </c>
      <c r="F5474" s="2" t="str">
        <f>HYPERLINK("http://www.12365auto.com/news/20200219/418948.shtml","http://www.12365auto.com/news/20200219/418948.shtml")</f>
        <v>http://www.12365auto.com/news/20200219/418948.shtml</v>
      </c>
      <c r="G5474" s="2"/>
      <c r="H5474" s="2" t="s">
        <v>7706</v>
      </c>
      <c r="I5474" s="2" t="s">
        <v>15</v>
      </c>
      <c r="J5474" s="2" t="s">
        <v>12</v>
      </c>
      <c r="K5474" s="2" t="s">
        <v>7702</v>
      </c>
      <c r="L5474" s="2">
        <f t="shared" si="85"/>
        <v>150</v>
      </c>
    </row>
    <row r="5475" spans="1:12" ht="25" customHeight="1">
      <c r="A5475" s="2" t="s">
        <v>12</v>
      </c>
      <c r="B5475" s="2" t="str">
        <f>HYPERLINK("http://m.12365auto.com/news/20200219/418948.shtml","东风再捐1200余万元物资 累捐赠8200万元")</f>
        <v>东风再捐1200余万元物资 累捐赠8200万元</v>
      </c>
      <c r="C5475" s="2" t="s">
        <v>13</v>
      </c>
      <c r="D5475" s="2" t="s">
        <v>12</v>
      </c>
      <c r="E5475" s="2"/>
      <c r="F5475" s="2" t="str">
        <f>HYPERLINK("http://m.12365auto.com/news/20200219/418948.shtml","http://m.12365auto.com/news/20200219/418948.shtml")</f>
        <v>http://m.12365auto.com/news/20200219/418948.shtml</v>
      </c>
      <c r="G5475" s="2"/>
      <c r="H5475" s="2" t="s">
        <v>7707</v>
      </c>
      <c r="I5475" s="2" t="s">
        <v>19</v>
      </c>
      <c r="J5475" s="2" t="s">
        <v>236</v>
      </c>
      <c r="K5475" s="2" t="s">
        <v>7702</v>
      </c>
      <c r="L5475" s="2">
        <f t="shared" si="85"/>
        <v>150</v>
      </c>
    </row>
    <row r="5476" spans="1:12" ht="25" customHeight="1">
      <c r="A5476" s="2" t="s">
        <v>12</v>
      </c>
      <c r="B5476" s="2" t="str">
        <f>HYPERLINK("http://www.12365auto.com/xcdg/20200219/418947.shtml","确定是学生作品？ 曝布加迪勒芒赛车渲染图")</f>
        <v>确定是学生作品？ 曝布加迪勒芒赛车渲染图</v>
      </c>
      <c r="C5476" s="2" t="s">
        <v>13</v>
      </c>
      <c r="D5476" s="2" t="s">
        <v>12</v>
      </c>
      <c r="E5476" s="2" t="s">
        <v>216</v>
      </c>
      <c r="F5476" s="2" t="str">
        <f>HYPERLINK("http://www.12365auto.com/xcdg/20200219/418947.shtml","http://www.12365auto.com/xcdg/20200219/418947.shtml")</f>
        <v>http://www.12365auto.com/xcdg/20200219/418947.shtml</v>
      </c>
      <c r="G5476" s="2"/>
      <c r="H5476" s="2" t="s">
        <v>7708</v>
      </c>
      <c r="I5476" s="2" t="s">
        <v>15</v>
      </c>
      <c r="J5476" s="2" t="s">
        <v>12</v>
      </c>
      <c r="K5476" s="2" t="s">
        <v>7709</v>
      </c>
      <c r="L5476" s="2">
        <f t="shared" si="85"/>
        <v>150</v>
      </c>
    </row>
    <row r="5477" spans="1:12" ht="25" customHeight="1">
      <c r="A5477" s="2" t="s">
        <v>12</v>
      </c>
      <c r="B5477" s="2" t="str">
        <f>HYPERLINK("http://m.12365auto.com/xcdg/20200219/418947.shtml","确定是学生作品？ 曝布加迪勒芒赛车渲染图")</f>
        <v>确定是学生作品？ 曝布加迪勒芒赛车渲染图</v>
      </c>
      <c r="C5477" s="2" t="s">
        <v>13</v>
      </c>
      <c r="D5477" s="2" t="s">
        <v>12</v>
      </c>
      <c r="E5477" s="2"/>
      <c r="F5477" s="2" t="str">
        <f>HYPERLINK("http://m.12365auto.com/xcdg/20200219/418947.shtml","http://m.12365auto.com/xcdg/20200219/418947.shtml")</f>
        <v>http://m.12365auto.com/xcdg/20200219/418947.shtml</v>
      </c>
      <c r="G5477" s="2"/>
      <c r="H5477" s="2" t="s">
        <v>7710</v>
      </c>
      <c r="I5477" s="2" t="s">
        <v>19</v>
      </c>
      <c r="J5477" s="2" t="s">
        <v>1076</v>
      </c>
      <c r="K5477" s="2" t="s">
        <v>7709</v>
      </c>
      <c r="L5477" s="2">
        <f t="shared" si="85"/>
        <v>150</v>
      </c>
    </row>
    <row r="5478" spans="1:12" ht="25" customHeight="1">
      <c r="A5478" s="2" t="s">
        <v>12</v>
      </c>
      <c r="B5478" s="2" t="str">
        <f>HYPERLINK("http://bbs.12365auto.com/postcontent.aspx?tID=194514","帅就完事！30万以内要无边框车门就看这几款 全是撩妹神器")</f>
        <v>帅就完事！30万以内要无边框车门就看这几款 全是撩妹神器</v>
      </c>
      <c r="C5478" s="2" t="s">
        <v>13</v>
      </c>
      <c r="D5478" s="2" t="s">
        <v>12</v>
      </c>
      <c r="E5478" s="2" t="s">
        <v>214</v>
      </c>
      <c r="F5478" s="2" t="str">
        <f>HYPERLINK("http://bbs.12365auto.com/postcontent.aspx?tID=194514","http://bbs.12365auto.com/postcontent.aspx?tID=194514")</f>
        <v>http://bbs.12365auto.com/postcontent.aspx?tID=194514</v>
      </c>
      <c r="G5478" s="2"/>
      <c r="H5478" s="2" t="s">
        <v>7711</v>
      </c>
      <c r="I5478" s="2" t="s">
        <v>15</v>
      </c>
      <c r="J5478" s="2" t="s">
        <v>7701</v>
      </c>
      <c r="K5478" s="2" t="s">
        <v>7712</v>
      </c>
      <c r="L5478" s="2">
        <f t="shared" si="85"/>
        <v>150</v>
      </c>
    </row>
    <row r="5479" spans="1:12" ht="25" customHeight="1">
      <c r="A5479" s="2" t="s">
        <v>12</v>
      </c>
      <c r="B5479" s="2" t="str">
        <f>HYPERLINK("http://m.12365auto.com/bbs/postcontent.aspx?tID=194514","帅就完事！30万以内要无边框车门就看这几款 全是撩妹神器")</f>
        <v>帅就完事！30万以内要无边框车门就看这几款 全是撩妹神器</v>
      </c>
      <c r="C5479" s="2" t="s">
        <v>13</v>
      </c>
      <c r="D5479" s="2" t="s">
        <v>23</v>
      </c>
      <c r="E5479" s="2"/>
      <c r="F5479" s="2" t="str">
        <f>HYPERLINK("http://m.12365auto.com/bbs/postcontent.aspx?tID=194514","http://m.12365auto.com/bbs/postcontent.aspx?tID=194514")</f>
        <v>http://m.12365auto.com/bbs/postcontent.aspx?tID=194514</v>
      </c>
      <c r="G5479" s="2"/>
      <c r="H5479" s="2" t="s">
        <v>7713</v>
      </c>
      <c r="I5479" s="2" t="s">
        <v>15</v>
      </c>
      <c r="J5479" s="2" t="s">
        <v>7701</v>
      </c>
      <c r="K5479" s="2" t="s">
        <v>7712</v>
      </c>
      <c r="L5479" s="2">
        <f t="shared" si="85"/>
        <v>150</v>
      </c>
    </row>
    <row r="5480" spans="1:12" ht="25" customHeight="1">
      <c r="A5480" s="2" t="s">
        <v>12</v>
      </c>
      <c r="B5480" s="2" t="str">
        <f>HYPERLINK("http://bbs.12365auto.com/postcontent.aspx?tId=194514","帅就完事！30万以内要无边框车门就看这几款 全是撩妹神器")</f>
        <v>帅就完事！30万以内要无边框车门就看这几款 全是撩妹神器</v>
      </c>
      <c r="C5480" s="2" t="s">
        <v>13</v>
      </c>
      <c r="D5480" s="2" t="s">
        <v>12</v>
      </c>
      <c r="E5480" s="2" t="s">
        <v>210</v>
      </c>
      <c r="F5480" s="2" t="str">
        <f>HYPERLINK("http://bbs.12365auto.com/postcontent.aspx?tId=194514","http://bbs.12365auto.com/postcontent.aspx?tId=194514")</f>
        <v>http://bbs.12365auto.com/postcontent.aspx?tId=194514</v>
      </c>
      <c r="G5480" s="2"/>
      <c r="H5480" s="2" t="s">
        <v>7713</v>
      </c>
      <c r="I5480" s="2" t="s">
        <v>15</v>
      </c>
      <c r="J5480" s="2" t="s">
        <v>7701</v>
      </c>
      <c r="K5480" s="2" t="s">
        <v>7712</v>
      </c>
      <c r="L5480" s="2">
        <f t="shared" si="85"/>
        <v>150</v>
      </c>
    </row>
    <row r="5481" spans="1:12" ht="25" customHeight="1">
      <c r="A5481" s="2" t="s">
        <v>12</v>
      </c>
      <c r="B5481" s="2" t="str">
        <f>HYPERLINK("http://bbs.12365auto.com/postcontent.aspx?tID=194512","在辉腾辉昂相继失败后 不服输的大众 再次推出辉道")</f>
        <v>在辉腾辉昂相继失败后 不服输的大众 再次推出辉道</v>
      </c>
      <c r="C5481" s="2" t="s">
        <v>13</v>
      </c>
      <c r="D5481" s="2" t="s">
        <v>12</v>
      </c>
      <c r="E5481" s="2" t="s">
        <v>214</v>
      </c>
      <c r="F5481" s="2" t="str">
        <f>HYPERLINK("http://bbs.12365auto.com/postcontent.aspx?tID=194512","http://bbs.12365auto.com/postcontent.aspx?tID=194512")</f>
        <v>http://bbs.12365auto.com/postcontent.aspx?tID=194512</v>
      </c>
      <c r="G5481" s="2"/>
      <c r="H5481" s="2" t="s">
        <v>7714</v>
      </c>
      <c r="I5481" s="2" t="s">
        <v>15</v>
      </c>
      <c r="J5481" s="2" t="s">
        <v>7701</v>
      </c>
      <c r="K5481" s="2" t="s">
        <v>7715</v>
      </c>
      <c r="L5481" s="2">
        <f t="shared" si="85"/>
        <v>150</v>
      </c>
    </row>
    <row r="5482" spans="1:12" ht="25" customHeight="1">
      <c r="A5482" s="2" t="s">
        <v>12</v>
      </c>
      <c r="B5482" s="2" t="str">
        <f>HYPERLINK("http://bbs.12365auto.com/postcontent.aspx?tID=194513","不只是2.9秒破百！比亚迪“汉”最新消息来了")</f>
        <v>不只是2.9秒破百！比亚迪“汉”最新消息来了</v>
      </c>
      <c r="C5482" s="2" t="s">
        <v>13</v>
      </c>
      <c r="D5482" s="2" t="s">
        <v>12</v>
      </c>
      <c r="E5482" s="2" t="s">
        <v>214</v>
      </c>
      <c r="F5482" s="2" t="str">
        <f>HYPERLINK("http://bbs.12365auto.com/postcontent.aspx?tID=194513","http://bbs.12365auto.com/postcontent.aspx?tID=194513")</f>
        <v>http://bbs.12365auto.com/postcontent.aspx?tID=194513</v>
      </c>
      <c r="G5482" s="2"/>
      <c r="H5482" s="2" t="s">
        <v>7716</v>
      </c>
      <c r="I5482" s="2" t="s">
        <v>15</v>
      </c>
      <c r="J5482" s="2" t="s">
        <v>7701</v>
      </c>
      <c r="K5482" s="2" t="s">
        <v>7715</v>
      </c>
      <c r="L5482" s="2">
        <f t="shared" si="85"/>
        <v>150</v>
      </c>
    </row>
    <row r="5483" spans="1:12" ht="25" customHeight="1">
      <c r="A5483" s="2" t="s">
        <v>12</v>
      </c>
      <c r="B5483" s="2" t="str">
        <f>HYPERLINK("http://m.12365auto.com/bbs/postcontent.aspx?tID=194513","不只是2.9秒破百！比亚迪“汉”最新消息来了")</f>
        <v>不只是2.9秒破百！比亚迪“汉”最新消息来了</v>
      </c>
      <c r="C5483" s="2" t="s">
        <v>13</v>
      </c>
      <c r="D5483" s="2" t="s">
        <v>23</v>
      </c>
      <c r="E5483" s="2"/>
      <c r="F5483" s="2" t="str">
        <f>HYPERLINK("http://m.12365auto.com/bbs/postcontent.aspx?tID=194513","http://m.12365auto.com/bbs/postcontent.aspx?tID=194513")</f>
        <v>http://m.12365auto.com/bbs/postcontent.aspx?tID=194513</v>
      </c>
      <c r="G5483" s="2"/>
      <c r="H5483" s="2" t="s">
        <v>7717</v>
      </c>
      <c r="I5483" s="2" t="s">
        <v>15</v>
      </c>
      <c r="J5483" s="2" t="s">
        <v>7701</v>
      </c>
      <c r="K5483" s="2" t="s">
        <v>7715</v>
      </c>
      <c r="L5483" s="2">
        <f t="shared" si="85"/>
        <v>150</v>
      </c>
    </row>
    <row r="5484" spans="1:12" ht="25" customHeight="1">
      <c r="A5484" s="2" t="s">
        <v>12</v>
      </c>
      <c r="B5484" s="2" t="str">
        <f>HYPERLINK("http://m.12365auto.com/bbs/postcontent.aspx?tID=194512","在辉腾辉昂相继失败后 不服输的大众 再次推出辉道")</f>
        <v>在辉腾辉昂相继失败后 不服输的大众 再次推出辉道</v>
      </c>
      <c r="C5484" s="2" t="s">
        <v>13</v>
      </c>
      <c r="D5484" s="2" t="s">
        <v>23</v>
      </c>
      <c r="E5484" s="2"/>
      <c r="F5484" s="2" t="str">
        <f>HYPERLINK("http://m.12365auto.com/bbs/postcontent.aspx?tID=194512","http://m.12365auto.com/bbs/postcontent.aspx?tID=194512")</f>
        <v>http://m.12365auto.com/bbs/postcontent.aspx?tID=194512</v>
      </c>
      <c r="G5484" s="2"/>
      <c r="H5484" s="2" t="s">
        <v>7718</v>
      </c>
      <c r="I5484" s="2" t="s">
        <v>15</v>
      </c>
      <c r="J5484" s="2" t="s">
        <v>7701</v>
      </c>
      <c r="K5484" s="2" t="s">
        <v>7715</v>
      </c>
      <c r="L5484" s="2">
        <f t="shared" si="85"/>
        <v>150</v>
      </c>
    </row>
    <row r="5485" spans="1:12" ht="25" customHeight="1">
      <c r="A5485" s="2" t="s">
        <v>12</v>
      </c>
      <c r="B5485" s="2" t="str">
        <f>HYPERLINK("http://bbs.12365auto.com/postcontent.aspx?tId=194513","不只是2.9秒破百！比亚迪“汉”最新消息来了")</f>
        <v>不只是2.9秒破百！比亚迪“汉”最新消息来了</v>
      </c>
      <c r="C5485" s="2" t="s">
        <v>13</v>
      </c>
      <c r="D5485" s="2" t="s">
        <v>12</v>
      </c>
      <c r="E5485" s="2" t="s">
        <v>210</v>
      </c>
      <c r="F5485" s="2" t="str">
        <f>HYPERLINK("http://bbs.12365auto.com/postcontent.aspx?tId=194513","http://bbs.12365auto.com/postcontent.aspx?tId=194513")</f>
        <v>http://bbs.12365auto.com/postcontent.aspx?tId=194513</v>
      </c>
      <c r="G5485" s="2"/>
      <c r="H5485" s="2" t="s">
        <v>7717</v>
      </c>
      <c r="I5485" s="2" t="s">
        <v>15</v>
      </c>
      <c r="J5485" s="2" t="s">
        <v>7701</v>
      </c>
      <c r="K5485" s="2" t="s">
        <v>7715</v>
      </c>
      <c r="L5485" s="2">
        <f t="shared" si="85"/>
        <v>150</v>
      </c>
    </row>
    <row r="5486" spans="1:12" ht="25" customHeight="1">
      <c r="A5486" s="2" t="s">
        <v>12</v>
      </c>
      <c r="B5486" s="2" t="str">
        <f>HYPERLINK("http://bbs.12365auto.com/postcontent.aspx?tId=194512","在辉腾辉昂相继失败后 不服输的大众 再次推出辉道")</f>
        <v>在辉腾辉昂相继失败后 不服输的大众 再次推出辉道</v>
      </c>
      <c r="C5486" s="2" t="s">
        <v>13</v>
      </c>
      <c r="D5486" s="2" t="s">
        <v>12</v>
      </c>
      <c r="E5486" s="2" t="s">
        <v>210</v>
      </c>
      <c r="F5486" s="2" t="str">
        <f>HYPERLINK("http://bbs.12365auto.com/postcontent.aspx?tId=194512","http://bbs.12365auto.com/postcontent.aspx?tId=194512")</f>
        <v>http://bbs.12365auto.com/postcontent.aspx?tId=194512</v>
      </c>
      <c r="G5486" s="2"/>
      <c r="H5486" s="2" t="s">
        <v>7718</v>
      </c>
      <c r="I5486" s="2" t="s">
        <v>15</v>
      </c>
      <c r="J5486" s="2" t="s">
        <v>7701</v>
      </c>
      <c r="K5486" s="2" t="s">
        <v>7715</v>
      </c>
      <c r="L5486" s="2">
        <f t="shared" si="85"/>
        <v>150</v>
      </c>
    </row>
    <row r="5487" spans="1:12" ht="25" customHeight="1">
      <c r="A5487" s="2" t="s">
        <v>12</v>
      </c>
      <c r="B5487" s="2" t="str">
        <f>HYPERLINK("http://www.12365auto.com/xcdg/20200219/418946.shtml","线条硬朗 丰田全新小型SUV将亮相日内瓦车展")</f>
        <v>线条硬朗 丰田全新小型SUV将亮相日内瓦车展</v>
      </c>
      <c r="C5487" s="2" t="s">
        <v>13</v>
      </c>
      <c r="D5487" s="2" t="s">
        <v>12</v>
      </c>
      <c r="E5487" s="2" t="s">
        <v>216</v>
      </c>
      <c r="F5487" s="2" t="str">
        <f>HYPERLINK("http://www.12365auto.com/xcdg/20200219/418946.shtml","http://www.12365auto.com/xcdg/20200219/418946.shtml")</f>
        <v>http://www.12365auto.com/xcdg/20200219/418946.shtml</v>
      </c>
      <c r="G5487" s="2"/>
      <c r="H5487" s="2" t="s">
        <v>7719</v>
      </c>
      <c r="I5487" s="2" t="s">
        <v>15</v>
      </c>
      <c r="J5487" s="2" t="s">
        <v>12</v>
      </c>
      <c r="K5487" s="2" t="s">
        <v>7715</v>
      </c>
      <c r="L5487" s="2">
        <f t="shared" si="85"/>
        <v>150</v>
      </c>
    </row>
    <row r="5488" spans="1:12" ht="25" customHeight="1">
      <c r="A5488" s="2" t="s">
        <v>12</v>
      </c>
      <c r="B5488" s="2" t="str">
        <f>HYPERLINK("http://m.12365auto.com/xcdg/20200219/418946.shtml","线条硬朗 丰田全新小型SUV将亮相日内瓦车展")</f>
        <v>线条硬朗 丰田全新小型SUV将亮相日内瓦车展</v>
      </c>
      <c r="C5488" s="2" t="s">
        <v>13</v>
      </c>
      <c r="D5488" s="2" t="s">
        <v>12</v>
      </c>
      <c r="E5488" s="2"/>
      <c r="F5488" s="2" t="str">
        <f>HYPERLINK("http://m.12365auto.com/xcdg/20200219/418946.shtml","http://m.12365auto.com/xcdg/20200219/418946.shtml")</f>
        <v>http://m.12365auto.com/xcdg/20200219/418946.shtml</v>
      </c>
      <c r="G5488" s="2"/>
      <c r="H5488" s="2" t="s">
        <v>7720</v>
      </c>
      <c r="I5488" s="2" t="s">
        <v>19</v>
      </c>
      <c r="J5488" s="2" t="s">
        <v>1074</v>
      </c>
      <c r="K5488" s="2" t="s">
        <v>7715</v>
      </c>
      <c r="L5488" s="2">
        <f t="shared" si="85"/>
        <v>150</v>
      </c>
    </row>
    <row r="5489" spans="1:12" ht="25" customHeight="1">
      <c r="A5489" s="2" t="s">
        <v>12</v>
      </c>
      <c r="B5489" s="2" t="str">
        <f>HYPERLINK("http://www.12365auto.com/xcdg/20200219/418945.shtml","斯里兰卡的超跑 Vega EVX将亮相日内瓦车展")</f>
        <v>斯里兰卡的超跑 Vega EVX将亮相日内瓦车展</v>
      </c>
      <c r="C5489" s="2" t="s">
        <v>13</v>
      </c>
      <c r="D5489" s="2" t="s">
        <v>12</v>
      </c>
      <c r="E5489" s="2" t="s">
        <v>216</v>
      </c>
      <c r="F5489" s="2" t="str">
        <f>HYPERLINK("http://www.12365auto.com/xcdg/20200219/418945.shtml","http://www.12365auto.com/xcdg/20200219/418945.shtml")</f>
        <v>http://www.12365auto.com/xcdg/20200219/418945.shtml</v>
      </c>
      <c r="G5489" s="2"/>
      <c r="H5489" s="2" t="s">
        <v>7721</v>
      </c>
      <c r="I5489" s="2" t="s">
        <v>15</v>
      </c>
      <c r="J5489" s="2" t="s">
        <v>12</v>
      </c>
      <c r="K5489" s="2" t="s">
        <v>7722</v>
      </c>
      <c r="L5489" s="2">
        <f t="shared" si="85"/>
        <v>150</v>
      </c>
    </row>
    <row r="5490" spans="1:12" ht="25" customHeight="1">
      <c r="A5490" s="2" t="s">
        <v>12</v>
      </c>
      <c r="B5490" s="2" t="str">
        <f>HYPERLINK("http://m.12365auto.com/xcdg/20200219/418945.shtml","斯里兰卡的超跑 Vega EVX将亮相日内瓦车展")</f>
        <v>斯里兰卡的超跑 Vega EVX将亮相日内瓦车展</v>
      </c>
      <c r="C5490" s="2" t="s">
        <v>13</v>
      </c>
      <c r="D5490" s="2" t="s">
        <v>12</v>
      </c>
      <c r="E5490" s="2"/>
      <c r="F5490" s="2" t="str">
        <f>HYPERLINK("http://m.12365auto.com/xcdg/20200219/418945.shtml","http://m.12365auto.com/xcdg/20200219/418945.shtml")</f>
        <v>http://m.12365auto.com/xcdg/20200219/418945.shtml</v>
      </c>
      <c r="G5490" s="2"/>
      <c r="H5490" s="2" t="s">
        <v>7723</v>
      </c>
      <c r="I5490" s="2" t="s">
        <v>19</v>
      </c>
      <c r="J5490" s="2" t="s">
        <v>238</v>
      </c>
      <c r="K5490" s="2" t="s">
        <v>7722</v>
      </c>
      <c r="L5490" s="2">
        <f t="shared" si="85"/>
        <v>150</v>
      </c>
    </row>
    <row r="5491" spans="1:12" ht="25" customHeight="1">
      <c r="A5491" s="2" t="s">
        <v>12</v>
      </c>
      <c r="B5491" s="2" t="str">
        <f>HYPERLINK("http://bbs.12365auto.com/postcontent.aspx?tID=194511","小姐姐都喜欢奔驰大G 但大部分人都不知道车内原来是这样")</f>
        <v>小姐姐都喜欢奔驰大G 但大部分人都不知道车内原来是这样</v>
      </c>
      <c r="C5491" s="2" t="s">
        <v>13</v>
      </c>
      <c r="D5491" s="2" t="s">
        <v>12</v>
      </c>
      <c r="E5491" s="2" t="s">
        <v>214</v>
      </c>
      <c r="F5491" s="2" t="str">
        <f>HYPERLINK("http://bbs.12365auto.com/postcontent.aspx?tID=194511","http://bbs.12365auto.com/postcontent.aspx?tID=194511")</f>
        <v>http://bbs.12365auto.com/postcontent.aspx?tID=194511</v>
      </c>
      <c r="G5491" s="2"/>
      <c r="H5491" s="2" t="s">
        <v>7724</v>
      </c>
      <c r="I5491" s="2" t="s">
        <v>15</v>
      </c>
      <c r="J5491" s="2" t="s">
        <v>7701</v>
      </c>
      <c r="K5491" s="2" t="s">
        <v>7725</v>
      </c>
      <c r="L5491" s="2">
        <f t="shared" si="85"/>
        <v>150</v>
      </c>
    </row>
    <row r="5492" spans="1:12" ht="25" customHeight="1">
      <c r="A5492" s="2" t="s">
        <v>12</v>
      </c>
      <c r="B5492" s="2" t="str">
        <f>HYPERLINK("http://m.12365auto.com/bbs/postcontent.aspx?tID=194511","小姐姐都喜欢奔驰大G 但大部分人都不知道车内原来是这样")</f>
        <v>小姐姐都喜欢奔驰大G 但大部分人都不知道车内原来是这样</v>
      </c>
      <c r="C5492" s="2" t="s">
        <v>13</v>
      </c>
      <c r="D5492" s="2" t="s">
        <v>23</v>
      </c>
      <c r="E5492" s="2"/>
      <c r="F5492" s="2" t="str">
        <f>HYPERLINK("http://m.12365auto.com/bbs/postcontent.aspx?tID=194511","http://m.12365auto.com/bbs/postcontent.aspx?tID=194511")</f>
        <v>http://m.12365auto.com/bbs/postcontent.aspx?tID=194511</v>
      </c>
      <c r="G5492" s="2"/>
      <c r="H5492" s="2" t="s">
        <v>6890</v>
      </c>
      <c r="I5492" s="2" t="s">
        <v>15</v>
      </c>
      <c r="J5492" s="2" t="s">
        <v>7701</v>
      </c>
      <c r="K5492" s="2" t="s">
        <v>7725</v>
      </c>
      <c r="L5492" s="2">
        <f t="shared" si="85"/>
        <v>150</v>
      </c>
    </row>
    <row r="5493" spans="1:12" ht="25" customHeight="1">
      <c r="A5493" s="2" t="s">
        <v>12</v>
      </c>
      <c r="B5493" s="2" t="str">
        <f>HYPERLINK("http://bbs.12365auto.com/postcontent.aspx?tId=194511","小姐姐都喜欢奔驰大G 但大部分人都不知道车内原来是这样")</f>
        <v>小姐姐都喜欢奔驰大G 但大部分人都不知道车内原来是这样</v>
      </c>
      <c r="C5493" s="2" t="s">
        <v>13</v>
      </c>
      <c r="D5493" s="2" t="s">
        <v>12</v>
      </c>
      <c r="E5493" s="2" t="s">
        <v>210</v>
      </c>
      <c r="F5493" s="2" t="str">
        <f>HYPERLINK("http://bbs.12365auto.com/postcontent.aspx?tId=194511","http://bbs.12365auto.com/postcontent.aspx?tId=194511")</f>
        <v>http://bbs.12365auto.com/postcontent.aspx?tId=194511</v>
      </c>
      <c r="G5493" s="2"/>
      <c r="H5493" s="2" t="s">
        <v>6890</v>
      </c>
      <c r="I5493" s="2" t="s">
        <v>15</v>
      </c>
      <c r="J5493" s="2" t="s">
        <v>7701</v>
      </c>
      <c r="K5493" s="2" t="s">
        <v>7725</v>
      </c>
      <c r="L5493" s="2">
        <f t="shared" si="85"/>
        <v>150</v>
      </c>
    </row>
    <row r="5494" spans="1:12" ht="25" customHeight="1">
      <c r="A5494" s="2" t="s">
        <v>12</v>
      </c>
      <c r="B5494" s="2" t="str">
        <f>HYPERLINK("http://bbs.12365auto.com/postcontent.aspx?tID=194510","奥迪新款A4L外观小幅改动 预计2020年4月上市")</f>
        <v>奥迪新款A4L外观小幅改动 预计2020年4月上市</v>
      </c>
      <c r="C5494" s="2" t="s">
        <v>13</v>
      </c>
      <c r="D5494" s="2" t="s">
        <v>12</v>
      </c>
      <c r="E5494" s="2" t="s">
        <v>214</v>
      </c>
      <c r="F5494" s="2" t="str">
        <f>HYPERLINK("http://bbs.12365auto.com/postcontent.aspx?tID=194510","http://bbs.12365auto.com/postcontent.aspx?tID=194510")</f>
        <v>http://bbs.12365auto.com/postcontent.aspx?tID=194510</v>
      </c>
      <c r="G5494" s="2"/>
      <c r="H5494" s="2" t="s">
        <v>5712</v>
      </c>
      <c r="I5494" s="2" t="s">
        <v>15</v>
      </c>
      <c r="J5494" s="2" t="s">
        <v>7701</v>
      </c>
      <c r="K5494" s="2" t="s">
        <v>7726</v>
      </c>
      <c r="L5494" s="2">
        <f t="shared" si="85"/>
        <v>150</v>
      </c>
    </row>
    <row r="5495" spans="1:12" ht="25" customHeight="1">
      <c r="A5495" s="2" t="s">
        <v>12</v>
      </c>
      <c r="B5495" s="2" t="str">
        <f>HYPERLINK("http://bbs.12365auto.com/postcontent.aspx?tID=194509","买车也要讲究缘分/差点错过的——朗逸两厢")</f>
        <v>买车也要讲究缘分/差点错过的——朗逸两厢</v>
      </c>
      <c r="C5495" s="2" t="s">
        <v>13</v>
      </c>
      <c r="D5495" s="2" t="s">
        <v>12</v>
      </c>
      <c r="E5495" s="2" t="s">
        <v>214</v>
      </c>
      <c r="F5495" s="2" t="str">
        <f>HYPERLINK("http://bbs.12365auto.com/postcontent.aspx?tID=194509","http://bbs.12365auto.com/postcontent.aspx?tID=194509")</f>
        <v>http://bbs.12365auto.com/postcontent.aspx?tID=194509</v>
      </c>
      <c r="G5495" s="2"/>
      <c r="H5495" s="2" t="s">
        <v>7727</v>
      </c>
      <c r="I5495" s="2" t="s">
        <v>15</v>
      </c>
      <c r="J5495" s="2" t="s">
        <v>2276</v>
      </c>
      <c r="K5495" s="2" t="s">
        <v>7726</v>
      </c>
      <c r="L5495" s="2">
        <f t="shared" si="85"/>
        <v>150</v>
      </c>
    </row>
    <row r="5496" spans="1:12" ht="25" customHeight="1">
      <c r="A5496" s="2" t="s">
        <v>12</v>
      </c>
      <c r="B5496" s="2" t="str">
        <f>HYPERLINK("http://m.12365auto.com/bbs/postcontent.aspx?tID=194510","奥迪新款A4L外观小幅改动 预计2020年4月上市")</f>
        <v>奥迪新款A4L外观小幅改动 预计2020年4月上市</v>
      </c>
      <c r="C5496" s="2" t="s">
        <v>13</v>
      </c>
      <c r="D5496" s="2" t="s">
        <v>23</v>
      </c>
      <c r="E5496" s="2"/>
      <c r="F5496" s="2" t="str">
        <f>HYPERLINK("http://m.12365auto.com/bbs/postcontent.aspx?tID=194510","http://m.12365auto.com/bbs/postcontent.aspx?tID=194510")</f>
        <v>http://m.12365auto.com/bbs/postcontent.aspx?tID=194510</v>
      </c>
      <c r="G5496" s="2"/>
      <c r="H5496" s="2" t="s">
        <v>5711</v>
      </c>
      <c r="I5496" s="2" t="s">
        <v>15</v>
      </c>
      <c r="J5496" s="2" t="s">
        <v>7701</v>
      </c>
      <c r="K5496" s="2" t="s">
        <v>7726</v>
      </c>
      <c r="L5496" s="2">
        <f t="shared" si="85"/>
        <v>150</v>
      </c>
    </row>
    <row r="5497" spans="1:12" ht="25" customHeight="1">
      <c r="A5497" s="2" t="s">
        <v>12</v>
      </c>
      <c r="B5497" s="2" t="str">
        <f>HYPERLINK("http://bbs.12365auto.com/postcontent.aspx?tId=194510","奥迪新款A4L外观小幅改动 预计2020年4月上市")</f>
        <v>奥迪新款A4L外观小幅改动 预计2020年4月上市</v>
      </c>
      <c r="C5497" s="2" t="s">
        <v>13</v>
      </c>
      <c r="D5497" s="2" t="s">
        <v>12</v>
      </c>
      <c r="E5497" s="2" t="s">
        <v>210</v>
      </c>
      <c r="F5497" s="2" t="str">
        <f>HYPERLINK("http://bbs.12365auto.com/postcontent.aspx?tId=194510","http://bbs.12365auto.com/postcontent.aspx?tId=194510")</f>
        <v>http://bbs.12365auto.com/postcontent.aspx?tId=194510</v>
      </c>
      <c r="G5497" s="2"/>
      <c r="H5497" s="2" t="s">
        <v>5711</v>
      </c>
      <c r="I5497" s="2" t="s">
        <v>15</v>
      </c>
      <c r="J5497" s="2" t="s">
        <v>7701</v>
      </c>
      <c r="K5497" s="2" t="s">
        <v>7726</v>
      </c>
      <c r="L5497" s="2">
        <f t="shared" si="85"/>
        <v>150</v>
      </c>
    </row>
    <row r="5498" spans="1:12" ht="25" customHeight="1">
      <c r="A5498" s="2" t="s">
        <v>12</v>
      </c>
      <c r="B5498" s="2" t="str">
        <f>HYPERLINK("http://www.12365auto.com/news/20200219/418944.shtml","业内首家获此殊荣 奥迪获得ASI绩效标准认证")</f>
        <v>业内首家获此殊荣 奥迪获得ASI绩效标准认证</v>
      </c>
      <c r="C5498" s="2" t="s">
        <v>13</v>
      </c>
      <c r="D5498" s="2" t="s">
        <v>12</v>
      </c>
      <c r="E5498" s="2" t="s">
        <v>276</v>
      </c>
      <c r="F5498" s="2" t="str">
        <f>HYPERLINK("http://www.12365auto.com/news/20200219/418944.shtml","http://www.12365auto.com/news/20200219/418944.shtml")</f>
        <v>http://www.12365auto.com/news/20200219/418944.shtml</v>
      </c>
      <c r="G5498" s="2"/>
      <c r="H5498" s="2" t="s">
        <v>7728</v>
      </c>
      <c r="I5498" s="2" t="s">
        <v>15</v>
      </c>
      <c r="J5498" s="2" t="s">
        <v>12</v>
      </c>
      <c r="K5498" s="2" t="s">
        <v>7726</v>
      </c>
      <c r="L5498" s="2">
        <f t="shared" si="85"/>
        <v>150</v>
      </c>
    </row>
    <row r="5499" spans="1:12" ht="25" customHeight="1">
      <c r="A5499" s="2" t="s">
        <v>12</v>
      </c>
      <c r="B5499" s="2" t="str">
        <f>HYPERLINK("http://m.12365auto.com/news/20200219/418944.shtml","业内首家获此殊荣 奥迪获得ASI绩效标准认证")</f>
        <v>业内首家获此殊荣 奥迪获得ASI绩效标准认证</v>
      </c>
      <c r="C5499" s="2" t="s">
        <v>13</v>
      </c>
      <c r="D5499" s="2" t="s">
        <v>12</v>
      </c>
      <c r="E5499" s="2"/>
      <c r="F5499" s="2" t="str">
        <f>HYPERLINK("http://m.12365auto.com/news/20200219/418944.shtml","http://m.12365auto.com/news/20200219/418944.shtml")</f>
        <v>http://m.12365auto.com/news/20200219/418944.shtml</v>
      </c>
      <c r="G5499" s="2"/>
      <c r="H5499" s="2" t="s">
        <v>7729</v>
      </c>
      <c r="I5499" s="2" t="s">
        <v>19</v>
      </c>
      <c r="J5499" s="2" t="s">
        <v>1117</v>
      </c>
      <c r="K5499" s="2" t="s">
        <v>7726</v>
      </c>
      <c r="L5499" s="2">
        <f t="shared" si="85"/>
        <v>150</v>
      </c>
    </row>
    <row r="5500" spans="1:12" ht="25" customHeight="1">
      <c r="A5500" s="2" t="s">
        <v>12</v>
      </c>
      <c r="B5500" s="2" t="str">
        <f>HYPERLINK("http://bbs.12365auto.com/postcontent.aspx?tID=194508","百公里油耗3.7L 这款铃木房车刷新认知 售价15万厨房大床全都有")</f>
        <v>百公里油耗3.7L 这款铃木房车刷新认知 售价15万厨房大床全都有</v>
      </c>
      <c r="C5500" s="2" t="s">
        <v>13</v>
      </c>
      <c r="D5500" s="2" t="s">
        <v>12</v>
      </c>
      <c r="E5500" s="2" t="s">
        <v>4209</v>
      </c>
      <c r="F5500" s="2" t="str">
        <f>HYPERLINK("http://bbs.12365auto.com/postcontent.aspx?tID=194508","http://bbs.12365auto.com/postcontent.aspx?tID=194508")</f>
        <v>http://bbs.12365auto.com/postcontent.aspx?tID=194508</v>
      </c>
      <c r="G5500" s="2"/>
      <c r="H5500" s="2" t="s">
        <v>7730</v>
      </c>
      <c r="I5500" s="2" t="s">
        <v>15</v>
      </c>
      <c r="J5500" s="2" t="s">
        <v>7701</v>
      </c>
      <c r="K5500" s="2" t="s">
        <v>7731</v>
      </c>
      <c r="L5500" s="2">
        <f t="shared" si="85"/>
        <v>150</v>
      </c>
    </row>
    <row r="5501" spans="1:12" ht="25" customHeight="1">
      <c r="A5501" s="2" t="s">
        <v>12</v>
      </c>
      <c r="B5501" s="2" t="str">
        <f>HYPERLINK("http://m.12365auto.com/bbs/postcontent.aspx?tID=194508","百公里油耗3.7L 这款铃木房车刷新认知 售价15万厨房大床全都有")</f>
        <v>百公里油耗3.7L 这款铃木房车刷新认知 售价15万厨房大床全都有</v>
      </c>
      <c r="C5501" s="2" t="s">
        <v>13</v>
      </c>
      <c r="D5501" s="2" t="s">
        <v>23</v>
      </c>
      <c r="E5501" s="2"/>
      <c r="F5501" s="2" t="str">
        <f>HYPERLINK("http://m.12365auto.com/bbs/postcontent.aspx?tID=194508","http://m.12365auto.com/bbs/postcontent.aspx?tID=194508")</f>
        <v>http://m.12365auto.com/bbs/postcontent.aspx?tID=194508</v>
      </c>
      <c r="G5501" s="2"/>
      <c r="H5501" s="2" t="s">
        <v>7732</v>
      </c>
      <c r="I5501" s="2" t="s">
        <v>15</v>
      </c>
      <c r="J5501" s="2" t="s">
        <v>7701</v>
      </c>
      <c r="K5501" s="2" t="s">
        <v>7731</v>
      </c>
      <c r="L5501" s="2">
        <f t="shared" si="85"/>
        <v>150</v>
      </c>
    </row>
    <row r="5502" spans="1:12" ht="25" customHeight="1">
      <c r="A5502" s="2" t="s">
        <v>12</v>
      </c>
      <c r="B5502" s="2" t="str">
        <f>HYPERLINK("http://bbs.12365auto.com/postcontent.aspx?tId=194508","百公里油耗3.7L 这款铃木房车刷新认知 售价15万厨房大床全都有")</f>
        <v>百公里油耗3.7L 这款铃木房车刷新认知 售价15万厨房大床全都有</v>
      </c>
      <c r="C5502" s="2" t="s">
        <v>13</v>
      </c>
      <c r="D5502" s="2" t="s">
        <v>12</v>
      </c>
      <c r="E5502" s="2" t="s">
        <v>4212</v>
      </c>
      <c r="F5502" s="2" t="str">
        <f>HYPERLINK("http://bbs.12365auto.com/postcontent.aspx?tId=194508","http://bbs.12365auto.com/postcontent.aspx?tId=194508")</f>
        <v>http://bbs.12365auto.com/postcontent.aspx?tId=194508</v>
      </c>
      <c r="G5502" s="2"/>
      <c r="H5502" s="2" t="s">
        <v>7732</v>
      </c>
      <c r="I5502" s="2" t="s">
        <v>15</v>
      </c>
      <c r="J5502" s="2" t="s">
        <v>7701</v>
      </c>
      <c r="K5502" s="2" t="s">
        <v>7731</v>
      </c>
      <c r="L5502" s="2">
        <f t="shared" si="85"/>
        <v>150</v>
      </c>
    </row>
    <row r="5503" spans="1:12" ht="25" customHeight="1">
      <c r="A5503" s="2" t="s">
        <v>12</v>
      </c>
      <c r="B5503" s="2" t="str">
        <f>HYPERLINK("http://www.12365auto.com/news/20200219/418943.shtml","买车不用去4S店了？大众探索汽车销售新模式")</f>
        <v>买车不用去4S店了？大众探索汽车销售新模式</v>
      </c>
      <c r="C5503" s="2" t="s">
        <v>13</v>
      </c>
      <c r="D5503" s="2" t="s">
        <v>12</v>
      </c>
      <c r="E5503" s="2" t="s">
        <v>276</v>
      </c>
      <c r="F5503" s="2" t="str">
        <f>HYPERLINK("http://www.12365auto.com/news/20200219/418943.shtml","http://www.12365auto.com/news/20200219/418943.shtml")</f>
        <v>http://www.12365auto.com/news/20200219/418943.shtml</v>
      </c>
      <c r="G5503" s="2"/>
      <c r="H5503" s="2" t="s">
        <v>7733</v>
      </c>
      <c r="I5503" s="2" t="s">
        <v>15</v>
      </c>
      <c r="J5503" s="2" t="s">
        <v>12</v>
      </c>
      <c r="K5503" s="2" t="s">
        <v>7734</v>
      </c>
      <c r="L5503" s="2">
        <f t="shared" si="85"/>
        <v>150</v>
      </c>
    </row>
    <row r="5504" spans="1:12" ht="25" customHeight="1">
      <c r="A5504" s="2" t="s">
        <v>12</v>
      </c>
      <c r="B5504" s="2" t="str">
        <f>HYPERLINK("http://m.12365auto.com/news/20200219/418943.shtml","买车不用去4S店了？大众探索汽车销售新模式")</f>
        <v>买车不用去4S店了？大众探索汽车销售新模式</v>
      </c>
      <c r="C5504" s="2" t="s">
        <v>13</v>
      </c>
      <c r="D5504" s="2" t="s">
        <v>12</v>
      </c>
      <c r="E5504" s="2"/>
      <c r="F5504" s="2" t="str">
        <f>HYPERLINK("http://m.12365auto.com/news/20200219/418943.shtml","http://m.12365auto.com/news/20200219/418943.shtml")</f>
        <v>http://m.12365auto.com/news/20200219/418943.shtml</v>
      </c>
      <c r="G5504" s="2"/>
      <c r="H5504" s="2" t="s">
        <v>7735</v>
      </c>
      <c r="I5504" s="2" t="s">
        <v>19</v>
      </c>
      <c r="J5504" s="2" t="s">
        <v>1117</v>
      </c>
      <c r="K5504" s="2" t="s">
        <v>7734</v>
      </c>
      <c r="L5504" s="2">
        <f t="shared" si="85"/>
        <v>150</v>
      </c>
    </row>
    <row r="5505" spans="1:12" ht="25" customHeight="1">
      <c r="A5505" s="2" t="s">
        <v>12</v>
      </c>
      <c r="B5505" s="2" t="str">
        <f>HYPERLINK("http://www.12365auto.com/news/20200219/418942.shtml","今日24时起下调 92号汽油每升下调0.33元")</f>
        <v>今日24时起下调 92号汽油每升下调0.33元</v>
      </c>
      <c r="C5505" s="2" t="s">
        <v>13</v>
      </c>
      <c r="D5505" s="2" t="s">
        <v>12</v>
      </c>
      <c r="E5505" s="2" t="s">
        <v>276</v>
      </c>
      <c r="F5505" s="2" t="str">
        <f>HYPERLINK("http://www.12365auto.com/news/20200219/418942.shtml","http://www.12365auto.com/news/20200219/418942.shtml")</f>
        <v>http://www.12365auto.com/news/20200219/418942.shtml</v>
      </c>
      <c r="G5505" s="2"/>
      <c r="H5505" s="2" t="s">
        <v>7736</v>
      </c>
      <c r="I5505" s="2" t="s">
        <v>15</v>
      </c>
      <c r="J5505" s="2" t="s">
        <v>12</v>
      </c>
      <c r="K5505" s="2" t="s">
        <v>7737</v>
      </c>
      <c r="L5505" s="2">
        <f t="shared" si="85"/>
        <v>150</v>
      </c>
    </row>
    <row r="5506" spans="1:12" ht="25" customHeight="1">
      <c r="A5506" s="2" t="s">
        <v>12</v>
      </c>
      <c r="B5506" s="2" t="str">
        <f>HYPERLINK("http://m.12365auto.com/news/20200219/418942.shtml","今日24时起下调 92号汽油每升下调0.33元")</f>
        <v>今日24时起下调 92号汽油每升下调0.33元</v>
      </c>
      <c r="C5506" s="2" t="s">
        <v>13</v>
      </c>
      <c r="D5506" s="2" t="s">
        <v>12</v>
      </c>
      <c r="E5506" s="2"/>
      <c r="F5506" s="2" t="str">
        <f>HYPERLINK("http://m.12365auto.com/news/20200219/418942.shtml","http://m.12365auto.com/news/20200219/418942.shtml")</f>
        <v>http://m.12365auto.com/news/20200219/418942.shtml</v>
      </c>
      <c r="G5506" s="2"/>
      <c r="H5506" s="2" t="s">
        <v>7738</v>
      </c>
      <c r="I5506" s="2" t="s">
        <v>19</v>
      </c>
      <c r="J5506" s="2" t="s">
        <v>5854</v>
      </c>
      <c r="K5506" s="2" t="s">
        <v>7737</v>
      </c>
      <c r="L5506" s="2">
        <f t="shared" si="85"/>
        <v>150</v>
      </c>
    </row>
    <row r="5507" spans="1:12" ht="25" customHeight="1">
      <c r="A5507" s="2" t="s">
        <v>12</v>
      </c>
      <c r="B5507" s="2" t="str">
        <f>HYPERLINK("http://www.12365auto.com/xcdg/20200219/418941.shtml","雪佛兰畅巡将上市 NEDC续航里程达410公里")</f>
        <v>雪佛兰畅巡将上市 NEDC续航里程达410公里</v>
      </c>
      <c r="C5507" s="2" t="s">
        <v>13</v>
      </c>
      <c r="D5507" s="2" t="s">
        <v>12</v>
      </c>
      <c r="E5507" s="2" t="s">
        <v>216</v>
      </c>
      <c r="F5507" s="2" t="str">
        <f>HYPERLINK("http://www.12365auto.com/xcdg/20200219/418941.shtml","http://www.12365auto.com/xcdg/20200219/418941.shtml")</f>
        <v>http://www.12365auto.com/xcdg/20200219/418941.shtml</v>
      </c>
      <c r="G5507" s="2"/>
      <c r="H5507" s="2" t="s">
        <v>7739</v>
      </c>
      <c r="I5507" s="2" t="s">
        <v>15</v>
      </c>
      <c r="J5507" s="2" t="s">
        <v>12</v>
      </c>
      <c r="K5507" s="2" t="s">
        <v>7740</v>
      </c>
      <c r="L5507" s="2">
        <f t="shared" ref="L5507:L5570" si="86">LEN(H5507)</f>
        <v>150</v>
      </c>
    </row>
    <row r="5508" spans="1:12" ht="25" customHeight="1">
      <c r="A5508" s="2" t="s">
        <v>12</v>
      </c>
      <c r="B5508" s="2" t="str">
        <f>HYPERLINK("http://m.12365auto.com/xcdg/20200219/418941.shtml","雪佛兰畅巡将上市 NEDC续航里程达410公里")</f>
        <v>雪佛兰畅巡将上市 NEDC续航里程达410公里</v>
      </c>
      <c r="C5508" s="2" t="s">
        <v>13</v>
      </c>
      <c r="D5508" s="2" t="s">
        <v>12</v>
      </c>
      <c r="E5508" s="2"/>
      <c r="F5508" s="2" t="str">
        <f>HYPERLINK("http://m.12365auto.com/xcdg/20200219/418941.shtml","http://m.12365auto.com/xcdg/20200219/418941.shtml")</f>
        <v>http://m.12365auto.com/xcdg/20200219/418941.shtml</v>
      </c>
      <c r="G5508" s="2"/>
      <c r="H5508" s="2" t="s">
        <v>7741</v>
      </c>
      <c r="I5508" s="2" t="s">
        <v>19</v>
      </c>
      <c r="J5508" s="2" t="s">
        <v>2660</v>
      </c>
      <c r="K5508" s="2" t="s">
        <v>7740</v>
      </c>
      <c r="L5508" s="2">
        <f t="shared" si="86"/>
        <v>150</v>
      </c>
    </row>
    <row r="5509" spans="1:12" ht="25" customHeight="1">
      <c r="A5509" s="2" t="s">
        <v>12</v>
      </c>
      <c r="B5509" s="2" t="str">
        <f>HYPERLINK("http://www.12365auto.com/xcdg/20200219/418940.shtml","硬派外形4X4电动SUV计划2023年推出")</f>
        <v>硬派外形4X4电动SUV计划2023年推出</v>
      </c>
      <c r="C5509" s="2" t="s">
        <v>13</v>
      </c>
      <c r="D5509" s="2" t="s">
        <v>12</v>
      </c>
      <c r="E5509" s="2" t="s">
        <v>216</v>
      </c>
      <c r="F5509" s="2" t="str">
        <f>HYPERLINK("http://www.12365auto.com/xcdg/20200219/418940.shtml","http://www.12365auto.com/xcdg/20200219/418940.shtml")</f>
        <v>http://www.12365auto.com/xcdg/20200219/418940.shtml</v>
      </c>
      <c r="G5509" s="2"/>
      <c r="H5509" s="2" t="s">
        <v>7742</v>
      </c>
      <c r="I5509" s="2" t="s">
        <v>15</v>
      </c>
      <c r="J5509" s="2" t="s">
        <v>12</v>
      </c>
      <c r="K5509" s="2" t="s">
        <v>7743</v>
      </c>
      <c r="L5509" s="2">
        <f t="shared" si="86"/>
        <v>150</v>
      </c>
    </row>
    <row r="5510" spans="1:12" ht="25" customHeight="1">
      <c r="A5510" s="2" t="s">
        <v>12</v>
      </c>
      <c r="B5510" s="2" t="str">
        <f>HYPERLINK("http://m.12365auto.com/xcdg/20200219/418940.shtml","硬派外形4X4电动SUV计划2023年推出")</f>
        <v>硬派外形4X4电动SUV计划2023年推出</v>
      </c>
      <c r="C5510" s="2" t="s">
        <v>13</v>
      </c>
      <c r="D5510" s="2" t="s">
        <v>12</v>
      </c>
      <c r="E5510" s="2"/>
      <c r="F5510" s="2" t="str">
        <f>HYPERLINK("http://m.12365auto.com/xcdg/20200219/418940.shtml","http://m.12365auto.com/xcdg/20200219/418940.shtml")</f>
        <v>http://m.12365auto.com/xcdg/20200219/418940.shtml</v>
      </c>
      <c r="G5510" s="2"/>
      <c r="H5510" s="2" t="s">
        <v>7744</v>
      </c>
      <c r="I5510" s="2" t="s">
        <v>19</v>
      </c>
      <c r="J5510" s="2" t="s">
        <v>7745</v>
      </c>
      <c r="K5510" s="2" t="s">
        <v>7743</v>
      </c>
      <c r="L5510" s="2">
        <f t="shared" si="86"/>
        <v>150</v>
      </c>
    </row>
    <row r="5511" spans="1:12" ht="25" customHeight="1">
      <c r="A5511" s="2" t="s">
        <v>12</v>
      </c>
      <c r="B5511" s="2" t="str">
        <f>HYPERLINK("http://m.12365auto.com/xcdg/20200219/418939.shtml","更年轻更智能 实拍新款斯柯达昕锐")</f>
        <v>更年轻更智能 实拍新款斯柯达昕锐</v>
      </c>
      <c r="C5511" s="2" t="s">
        <v>13</v>
      </c>
      <c r="D5511" s="2" t="s">
        <v>12</v>
      </c>
      <c r="E5511" s="2"/>
      <c r="F5511" s="2" t="str">
        <f>HYPERLINK("http://m.12365auto.com/xcdg/20200219/418939.shtml","http://m.12365auto.com/xcdg/20200219/418939.shtml")</f>
        <v>http://m.12365auto.com/xcdg/20200219/418939.shtml</v>
      </c>
      <c r="G5511" s="2"/>
      <c r="H5511" s="2" t="s">
        <v>7746</v>
      </c>
      <c r="I5511" s="2" t="s">
        <v>19</v>
      </c>
      <c r="J5511" s="2" t="s">
        <v>3527</v>
      </c>
      <c r="K5511" s="2" t="s">
        <v>7747</v>
      </c>
      <c r="L5511" s="2">
        <f t="shared" si="86"/>
        <v>141</v>
      </c>
    </row>
    <row r="5512" spans="1:12" ht="25" customHeight="1">
      <c r="A5512" s="2" t="s">
        <v>12</v>
      </c>
      <c r="B5512" s="2" t="str">
        <f>HYPERLINK("http://www.12365auto.com/news/20200219/418938.shtml","小鹏汽车成立全新公司 注册资本1亿元")</f>
        <v>小鹏汽车成立全新公司 注册资本1亿元</v>
      </c>
      <c r="C5512" s="2" t="s">
        <v>13</v>
      </c>
      <c r="D5512" s="2" t="s">
        <v>12</v>
      </c>
      <c r="E5512" s="2" t="s">
        <v>276</v>
      </c>
      <c r="F5512" s="2" t="str">
        <f>HYPERLINK("http://www.12365auto.com/news/20200219/418938.shtml","http://www.12365auto.com/news/20200219/418938.shtml")</f>
        <v>http://www.12365auto.com/news/20200219/418938.shtml</v>
      </c>
      <c r="G5512" s="2"/>
      <c r="H5512" s="2" t="s">
        <v>7748</v>
      </c>
      <c r="I5512" s="2" t="s">
        <v>15</v>
      </c>
      <c r="J5512" s="2" t="s">
        <v>12</v>
      </c>
      <c r="K5512" s="2" t="s">
        <v>7749</v>
      </c>
      <c r="L5512" s="2">
        <f t="shared" si="86"/>
        <v>150</v>
      </c>
    </row>
    <row r="5513" spans="1:12" ht="25" customHeight="1">
      <c r="A5513" s="2" t="s">
        <v>12</v>
      </c>
      <c r="B5513" s="2" t="str">
        <f>HYPERLINK("http://m.12365auto.com/news/20200219/418938.shtml","小鹏汽车成立全新公司 注册资本1亿元")</f>
        <v>小鹏汽车成立全新公司 注册资本1亿元</v>
      </c>
      <c r="C5513" s="2" t="s">
        <v>13</v>
      </c>
      <c r="D5513" s="2" t="s">
        <v>12</v>
      </c>
      <c r="E5513" s="2"/>
      <c r="F5513" s="2" t="str">
        <f>HYPERLINK("http://m.12365auto.com/news/20200219/418938.shtml","http://m.12365auto.com/news/20200219/418938.shtml")</f>
        <v>http://m.12365auto.com/news/20200219/418938.shtml</v>
      </c>
      <c r="G5513" s="2"/>
      <c r="H5513" s="2" t="s">
        <v>7750</v>
      </c>
      <c r="I5513" s="2" t="s">
        <v>19</v>
      </c>
      <c r="J5513" s="2" t="s">
        <v>3373</v>
      </c>
      <c r="K5513" s="2" t="s">
        <v>7749</v>
      </c>
      <c r="L5513" s="2">
        <f t="shared" si="86"/>
        <v>150</v>
      </c>
    </row>
    <row r="5514" spans="1:12" ht="25" customHeight="1">
      <c r="A5514" s="2" t="s">
        <v>12</v>
      </c>
      <c r="B5514" s="2" t="str">
        <f>HYPERLINK("http://www.12365auto.com/news/20200219/418937.shtml","奇瑞集团1月销售汽车5.31万辆 保持稳步增长")</f>
        <v>奇瑞集团1月销售汽车5.31万辆 保持稳步增长</v>
      </c>
      <c r="C5514" s="2" t="s">
        <v>13</v>
      </c>
      <c r="D5514" s="2" t="s">
        <v>12</v>
      </c>
      <c r="E5514" s="2" t="s">
        <v>276</v>
      </c>
      <c r="F5514" s="2" t="str">
        <f>HYPERLINK("http://www.12365auto.com/news/20200219/418937.shtml","http://www.12365auto.com/news/20200219/418937.shtml")</f>
        <v>http://www.12365auto.com/news/20200219/418937.shtml</v>
      </c>
      <c r="G5514" s="2"/>
      <c r="H5514" s="2" t="s">
        <v>7751</v>
      </c>
      <c r="I5514" s="2" t="s">
        <v>15</v>
      </c>
      <c r="J5514" s="2" t="s">
        <v>12</v>
      </c>
      <c r="K5514" s="2" t="s">
        <v>7752</v>
      </c>
      <c r="L5514" s="2">
        <f t="shared" si="86"/>
        <v>150</v>
      </c>
    </row>
    <row r="5515" spans="1:12" ht="25" customHeight="1">
      <c r="A5515" s="2" t="s">
        <v>12</v>
      </c>
      <c r="B5515" s="2" t="str">
        <f>HYPERLINK("http://m.12365auto.com/news/20200219/418937.shtml","奇瑞集团1月销售汽车5.31万辆 保持稳步增长")</f>
        <v>奇瑞集团1月销售汽车5.31万辆 保持稳步增长</v>
      </c>
      <c r="C5515" s="2" t="s">
        <v>13</v>
      </c>
      <c r="D5515" s="2" t="s">
        <v>12</v>
      </c>
      <c r="E5515" s="2"/>
      <c r="F5515" s="2" t="str">
        <f>HYPERLINK("http://m.12365auto.com/news/20200219/418937.shtml","http://m.12365auto.com/news/20200219/418937.shtml")</f>
        <v>http://m.12365auto.com/news/20200219/418937.shtml</v>
      </c>
      <c r="G5515" s="2"/>
      <c r="H5515" s="2" t="s">
        <v>7753</v>
      </c>
      <c r="I5515" s="2" t="s">
        <v>19</v>
      </c>
      <c r="J5515" s="2" t="s">
        <v>7754</v>
      </c>
      <c r="K5515" s="2" t="s">
        <v>7752</v>
      </c>
      <c r="L5515" s="2">
        <f t="shared" si="86"/>
        <v>150</v>
      </c>
    </row>
    <row r="5516" spans="1:12" ht="25" customHeight="1">
      <c r="A5516" s="2" t="s">
        <v>12</v>
      </c>
      <c r="B5516" s="2" t="str">
        <f>HYPERLINK("http://m.12365auto.com/xcdg/20200219/418936.shtml","几乎同样的价格 买高配的A4L还是低配的A6L")</f>
        <v>几乎同样的价格 买高配的A4L还是低配的A6L</v>
      </c>
      <c r="C5516" s="2" t="s">
        <v>13</v>
      </c>
      <c r="D5516" s="2" t="s">
        <v>12</v>
      </c>
      <c r="E5516" s="2"/>
      <c r="F5516" s="2" t="str">
        <f>HYPERLINK("http://m.12365auto.com/xcdg/20200219/418936.shtml","http://m.12365auto.com/xcdg/20200219/418936.shtml")</f>
        <v>http://m.12365auto.com/xcdg/20200219/418936.shtml</v>
      </c>
      <c r="G5516" s="2"/>
      <c r="H5516" s="2" t="s">
        <v>7755</v>
      </c>
      <c r="I5516" s="2" t="s">
        <v>19</v>
      </c>
      <c r="J5516" s="2" t="s">
        <v>2741</v>
      </c>
      <c r="K5516" s="2" t="s">
        <v>7756</v>
      </c>
      <c r="L5516" s="2">
        <f t="shared" si="86"/>
        <v>150</v>
      </c>
    </row>
    <row r="5517" spans="1:12" ht="25" customHeight="1">
      <c r="A5517" s="2" t="s">
        <v>12</v>
      </c>
      <c r="B5517" s="2" t="str">
        <f>HYPERLINK("http://m.12365auto.com/xcdg/20200219/418935.shtml","用太阳能充电 解析现代第十代索纳塔混动版")</f>
        <v>用太阳能充电 解析现代第十代索纳塔混动版</v>
      </c>
      <c r="C5517" s="2" t="s">
        <v>13</v>
      </c>
      <c r="D5517" s="2" t="s">
        <v>12</v>
      </c>
      <c r="E5517" s="2"/>
      <c r="F5517" s="2" t="str">
        <f>HYPERLINK("http://m.12365auto.com/xcdg/20200219/418935.shtml","http://m.12365auto.com/xcdg/20200219/418935.shtml")</f>
        <v>http://m.12365auto.com/xcdg/20200219/418935.shtml</v>
      </c>
      <c r="G5517" s="2"/>
      <c r="H5517" s="2" t="s">
        <v>7757</v>
      </c>
      <c r="I5517" s="2" t="s">
        <v>19</v>
      </c>
      <c r="J5517" s="2" t="s">
        <v>4542</v>
      </c>
      <c r="K5517" s="2" t="s">
        <v>7758</v>
      </c>
      <c r="L5517" s="2">
        <f t="shared" si="86"/>
        <v>150</v>
      </c>
    </row>
    <row r="5518" spans="1:12" ht="25" customHeight="1">
      <c r="A5518" s="2" t="s">
        <v>12</v>
      </c>
      <c r="B5518" s="2" t="str">
        <f>HYPERLINK("http://m.12365auto.com/xcdg/20200219/418934.shtml","落地16万 昂克赛拉新款中配和老款顶配咋选")</f>
        <v>落地16万 昂克赛拉新款中配和老款顶配咋选</v>
      </c>
      <c r="C5518" s="2" t="s">
        <v>13</v>
      </c>
      <c r="D5518" s="2" t="s">
        <v>12</v>
      </c>
      <c r="E5518" s="2"/>
      <c r="F5518" s="2" t="str">
        <f>HYPERLINK("http://m.12365auto.com/xcdg/20200219/418934.shtml","http://m.12365auto.com/xcdg/20200219/418934.shtml")</f>
        <v>http://m.12365auto.com/xcdg/20200219/418934.shtml</v>
      </c>
      <c r="G5518" s="2"/>
      <c r="H5518" s="2" t="s">
        <v>7759</v>
      </c>
      <c r="I5518" s="2" t="s">
        <v>19</v>
      </c>
      <c r="J5518" s="2" t="s">
        <v>7760</v>
      </c>
      <c r="K5518" s="2" t="s">
        <v>7761</v>
      </c>
      <c r="L5518" s="2">
        <f t="shared" si="86"/>
        <v>150</v>
      </c>
    </row>
    <row r="5519" spans="1:12" ht="25" customHeight="1">
      <c r="A5519" s="2" t="s">
        <v>12</v>
      </c>
      <c r="B5519" s="2" t="str">
        <f>HYPERLINK("http://bbs.12365auto.com/postcontent.aspx?tID=194507","雅阁召回后发动机动力不足油耗高")</f>
        <v>雅阁召回后发动机动力不足油耗高</v>
      </c>
      <c r="C5519" s="2" t="s">
        <v>13</v>
      </c>
      <c r="D5519" s="2" t="s">
        <v>12</v>
      </c>
      <c r="E5519" s="2" t="s">
        <v>67</v>
      </c>
      <c r="F5519" s="2" t="str">
        <f>HYPERLINK("http://bbs.12365auto.com/postcontent.aspx?tID=194507","http://bbs.12365auto.com/postcontent.aspx?tID=194507")</f>
        <v>http://bbs.12365auto.com/postcontent.aspx?tID=194507</v>
      </c>
      <c r="G5519" s="2"/>
      <c r="H5519" s="2" t="s">
        <v>7762</v>
      </c>
      <c r="I5519" s="2" t="s">
        <v>15</v>
      </c>
      <c r="J5519" s="2" t="s">
        <v>7763</v>
      </c>
      <c r="K5519" s="2" t="s">
        <v>7764</v>
      </c>
      <c r="L5519" s="2">
        <f t="shared" si="86"/>
        <v>150</v>
      </c>
    </row>
    <row r="5520" spans="1:12" ht="25" customHeight="1">
      <c r="A5520" s="2" t="s">
        <v>12</v>
      </c>
      <c r="B5520" s="2" t="str">
        <f>HYPERLINK("http://m.12365auto.com/bbs/postcontent.aspx?tID=194507","雅阁召回后发动机动力不足油耗高")</f>
        <v>雅阁召回后发动机动力不足油耗高</v>
      </c>
      <c r="C5520" s="2" t="s">
        <v>13</v>
      </c>
      <c r="D5520" s="2" t="s">
        <v>23</v>
      </c>
      <c r="E5520" s="2"/>
      <c r="F5520" s="2" t="str">
        <f>HYPERLINK("http://m.12365auto.com/bbs/postcontent.aspx?tID=194507","http://m.12365auto.com/bbs/postcontent.aspx?tID=194507")</f>
        <v>http://m.12365auto.com/bbs/postcontent.aspx?tID=194507</v>
      </c>
      <c r="G5520" s="2"/>
      <c r="H5520" s="2" t="s">
        <v>7765</v>
      </c>
      <c r="I5520" s="2" t="s">
        <v>15</v>
      </c>
      <c r="J5520" s="2" t="s">
        <v>7763</v>
      </c>
      <c r="K5520" s="2" t="s">
        <v>7764</v>
      </c>
      <c r="L5520" s="2">
        <f t="shared" si="86"/>
        <v>150</v>
      </c>
    </row>
    <row r="5521" spans="1:12" ht="25" customHeight="1">
      <c r="A5521" s="2" t="s">
        <v>12</v>
      </c>
      <c r="B5521" s="2" t="str">
        <f>HYPERLINK("http://bbs.12365auto.com/postcontent.aspx?tId=194507","雅阁召回后发动机动力不足油耗高")</f>
        <v>雅阁召回后发动机动力不足油耗高</v>
      </c>
      <c r="C5521" s="2" t="s">
        <v>13</v>
      </c>
      <c r="D5521" s="2" t="s">
        <v>12</v>
      </c>
      <c r="E5521" s="2" t="s">
        <v>66</v>
      </c>
      <c r="F5521" s="2" t="str">
        <f>HYPERLINK("http://bbs.12365auto.com/postcontent.aspx?tId=194507","http://bbs.12365auto.com/postcontent.aspx?tId=194507")</f>
        <v>http://bbs.12365auto.com/postcontent.aspx?tId=194507</v>
      </c>
      <c r="G5521" s="2"/>
      <c r="H5521" s="2" t="s">
        <v>7765</v>
      </c>
      <c r="I5521" s="2" t="s">
        <v>15</v>
      </c>
      <c r="J5521" s="2" t="s">
        <v>7763</v>
      </c>
      <c r="K5521" s="2" t="s">
        <v>7764</v>
      </c>
      <c r="L5521" s="2">
        <f t="shared" si="86"/>
        <v>150</v>
      </c>
    </row>
    <row r="5522" spans="1:12" ht="25" customHeight="1">
      <c r="A5522" s="2" t="s">
        <v>12</v>
      </c>
      <c r="B5522" s="2" t="str">
        <f>HYPERLINK("http://www.12365auto.com/news/20200219/418933.shtml","产品迭代效果显现名爵销量同比涨8.33%")</f>
        <v>产品迭代效果显现名爵销量同比涨8.33%</v>
      </c>
      <c r="C5522" s="2" t="s">
        <v>13</v>
      </c>
      <c r="D5522" s="2" t="s">
        <v>12</v>
      </c>
      <c r="E5522" s="2" t="s">
        <v>276</v>
      </c>
      <c r="F5522" s="2" t="str">
        <f>HYPERLINK("http://www.12365auto.com/news/20200219/418933.shtml","http://www.12365auto.com/news/20200219/418933.shtml")</f>
        <v>http://www.12365auto.com/news/20200219/418933.shtml</v>
      </c>
      <c r="G5522" s="2"/>
      <c r="H5522" s="2" t="s">
        <v>7766</v>
      </c>
      <c r="I5522" s="2" t="s">
        <v>15</v>
      </c>
      <c r="J5522" s="2" t="s">
        <v>12</v>
      </c>
      <c r="K5522" s="2" t="s">
        <v>7764</v>
      </c>
      <c r="L5522" s="2">
        <f t="shared" si="86"/>
        <v>150</v>
      </c>
    </row>
    <row r="5523" spans="1:12" ht="25" customHeight="1">
      <c r="A5523" s="2" t="s">
        <v>12</v>
      </c>
      <c r="B5523" s="2" t="str">
        <f>HYPERLINK("http://m.12365auto.com/news/20200219/418933.shtml","产品迭代效果显现名爵销量同比涨8.33%")</f>
        <v>产品迭代效果显现名爵销量同比涨8.33%</v>
      </c>
      <c r="C5523" s="2" t="s">
        <v>13</v>
      </c>
      <c r="D5523" s="2" t="s">
        <v>12</v>
      </c>
      <c r="E5523" s="2"/>
      <c r="F5523" s="2" t="str">
        <f>HYPERLINK("http://m.12365auto.com/news/20200219/418933.shtml","http://m.12365auto.com/news/20200219/418933.shtml")</f>
        <v>http://m.12365auto.com/news/20200219/418933.shtml</v>
      </c>
      <c r="G5523" s="2"/>
      <c r="H5523" s="2" t="s">
        <v>7767</v>
      </c>
      <c r="I5523" s="2" t="s">
        <v>19</v>
      </c>
      <c r="J5523" s="2" t="s">
        <v>12</v>
      </c>
      <c r="K5523" s="2" t="s">
        <v>7764</v>
      </c>
      <c r="L5523" s="2">
        <f t="shared" si="86"/>
        <v>150</v>
      </c>
    </row>
    <row r="5524" spans="1:12" ht="25" customHeight="1">
      <c r="A5524" s="2" t="s">
        <v>12</v>
      </c>
      <c r="B5524" s="2" t="str">
        <f>HYPERLINK("http://bbs.12365auto.com/postcontent.aspx?tID=194505","本田飞度冷车启动时发动机异响")</f>
        <v>本田飞度冷车启动时发动机异响</v>
      </c>
      <c r="C5524" s="2" t="s">
        <v>13</v>
      </c>
      <c r="D5524" s="2" t="s">
        <v>12</v>
      </c>
      <c r="E5524" s="2" t="s">
        <v>67</v>
      </c>
      <c r="F5524" s="2" t="str">
        <f>HYPERLINK("http://bbs.12365auto.com/postcontent.aspx?tID=194505","http://bbs.12365auto.com/postcontent.aspx?tID=194505")</f>
        <v>http://bbs.12365auto.com/postcontent.aspx?tID=194505</v>
      </c>
      <c r="G5524" s="2"/>
      <c r="H5524" s="2" t="s">
        <v>7768</v>
      </c>
      <c r="I5524" s="2" t="s">
        <v>15</v>
      </c>
      <c r="J5524" s="2" t="s">
        <v>2140</v>
      </c>
      <c r="K5524" s="2" t="s">
        <v>7769</v>
      </c>
      <c r="L5524" s="2">
        <f t="shared" si="86"/>
        <v>91</v>
      </c>
    </row>
    <row r="5525" spans="1:12" ht="25" customHeight="1">
      <c r="A5525" s="2" t="s">
        <v>12</v>
      </c>
      <c r="B5525" s="2" t="str">
        <f>HYPERLINK("http://bbs.12365auto.com/postcontent.aspx?tID=194506","途胜升级后发动机动力弱")</f>
        <v>途胜升级后发动机动力弱</v>
      </c>
      <c r="C5525" s="2" t="s">
        <v>13</v>
      </c>
      <c r="D5525" s="2" t="s">
        <v>12</v>
      </c>
      <c r="E5525" s="2" t="s">
        <v>67</v>
      </c>
      <c r="F5525" s="2" t="str">
        <f>HYPERLINK("http://bbs.12365auto.com/postcontent.aspx?tID=194506","http://bbs.12365auto.com/postcontent.aspx?tID=194506")</f>
        <v>http://bbs.12365auto.com/postcontent.aspx?tID=194506</v>
      </c>
      <c r="G5525" s="2"/>
      <c r="H5525" s="2" t="s">
        <v>7770</v>
      </c>
      <c r="I5525" s="2" t="s">
        <v>15</v>
      </c>
      <c r="J5525" s="2" t="s">
        <v>2136</v>
      </c>
      <c r="K5525" s="2" t="s">
        <v>7769</v>
      </c>
      <c r="L5525" s="2">
        <f t="shared" si="86"/>
        <v>100</v>
      </c>
    </row>
    <row r="5526" spans="1:12" ht="25" customHeight="1">
      <c r="A5526" s="2" t="s">
        <v>12</v>
      </c>
      <c r="B5526" s="2" t="str">
        <f>HYPERLINK("http://m.12365auto.com/bbs/postcontent.aspx?tID=194506&amp;i=1","途胜升级后发动机动力弱")</f>
        <v>途胜升级后发动机动力弱</v>
      </c>
      <c r="C5526" s="2" t="s">
        <v>13</v>
      </c>
      <c r="D5526" s="2" t="s">
        <v>23</v>
      </c>
      <c r="E5526" s="2"/>
      <c r="F5526" s="2" t="str">
        <f>HYPERLINK("http://m.12365auto.com/bbs/postcontent.aspx?tID=194506&amp;i=1","http://m.12365auto.com/bbs/postcontent.aspx?tID=194506&amp;i=1")</f>
        <v>http://m.12365auto.com/bbs/postcontent.aspx?tID=194506&amp;i=1</v>
      </c>
      <c r="G5526" s="2"/>
      <c r="H5526" s="2" t="s">
        <v>7771</v>
      </c>
      <c r="I5526" s="2" t="s">
        <v>15</v>
      </c>
      <c r="J5526" s="2" t="s">
        <v>2136</v>
      </c>
      <c r="K5526" s="2" t="s">
        <v>7769</v>
      </c>
      <c r="L5526" s="2">
        <f t="shared" si="86"/>
        <v>89</v>
      </c>
    </row>
    <row r="5527" spans="1:12" ht="25" customHeight="1">
      <c r="A5527" s="2" t="s">
        <v>12</v>
      </c>
      <c r="B5527" s="2" t="str">
        <f>HYPERLINK("http://m.12365auto.com/bbs/postcontent.aspx?tID=194505","本田飞度冷车启动时发动机异响")</f>
        <v>本田飞度冷车启动时发动机异响</v>
      </c>
      <c r="C5527" s="2" t="s">
        <v>13</v>
      </c>
      <c r="D5527" s="2" t="s">
        <v>23</v>
      </c>
      <c r="E5527" s="2"/>
      <c r="F5527" s="2" t="str">
        <f>HYPERLINK("http://m.12365auto.com/bbs/postcontent.aspx?tID=194505","http://m.12365auto.com/bbs/postcontent.aspx?tID=194505")</f>
        <v>http://m.12365auto.com/bbs/postcontent.aspx?tID=194505</v>
      </c>
      <c r="G5527" s="2"/>
      <c r="H5527" s="2" t="s">
        <v>7772</v>
      </c>
      <c r="I5527" s="2" t="s">
        <v>15</v>
      </c>
      <c r="J5527" s="2" t="s">
        <v>2140</v>
      </c>
      <c r="K5527" s="2" t="s">
        <v>7769</v>
      </c>
      <c r="L5527" s="2">
        <f t="shared" si="86"/>
        <v>77</v>
      </c>
    </row>
    <row r="5528" spans="1:12" ht="25" customHeight="1">
      <c r="A5528" s="2" t="s">
        <v>12</v>
      </c>
      <c r="B5528" s="2" t="str">
        <f>HYPERLINK("http://m.12365auto.com/bbs/postcontent.aspx?tID=194506","途胜升级后发动机动力弱")</f>
        <v>途胜升级后发动机动力弱</v>
      </c>
      <c r="C5528" s="2" t="s">
        <v>13</v>
      </c>
      <c r="D5528" s="2" t="s">
        <v>23</v>
      </c>
      <c r="E5528" s="2"/>
      <c r="F5528" s="2" t="str">
        <f>HYPERLINK("http://m.12365auto.com/bbs/postcontent.aspx?tID=194506","http://m.12365auto.com/bbs/postcontent.aspx?tID=194506")</f>
        <v>http://m.12365auto.com/bbs/postcontent.aspx?tID=194506</v>
      </c>
      <c r="G5528" s="2"/>
      <c r="H5528" s="2" t="s">
        <v>7771</v>
      </c>
      <c r="I5528" s="2" t="s">
        <v>15</v>
      </c>
      <c r="J5528" s="2" t="s">
        <v>2136</v>
      </c>
      <c r="K5528" s="2" t="s">
        <v>7769</v>
      </c>
      <c r="L5528" s="2">
        <f t="shared" si="86"/>
        <v>89</v>
      </c>
    </row>
    <row r="5529" spans="1:12" ht="25" customHeight="1">
      <c r="A5529" s="2" t="s">
        <v>12</v>
      </c>
      <c r="B5529" s="2" t="str">
        <f>HYPERLINK("http://bbs.12365auto.com/postcontent.aspx?tId=194506","途胜升级后发动机动力弱")</f>
        <v>途胜升级后发动机动力弱</v>
      </c>
      <c r="C5529" s="2" t="s">
        <v>13</v>
      </c>
      <c r="D5529" s="2" t="s">
        <v>12</v>
      </c>
      <c r="E5529" s="2" t="s">
        <v>66</v>
      </c>
      <c r="F5529" s="2" t="str">
        <f>HYPERLINK("http://bbs.12365auto.com/postcontent.aspx?tId=194506","http://bbs.12365auto.com/postcontent.aspx?tId=194506")</f>
        <v>http://bbs.12365auto.com/postcontent.aspx?tId=194506</v>
      </c>
      <c r="G5529" s="2"/>
      <c r="H5529" s="2" t="s">
        <v>7771</v>
      </c>
      <c r="I5529" s="2" t="s">
        <v>15</v>
      </c>
      <c r="J5529" s="2" t="s">
        <v>2136</v>
      </c>
      <c r="K5529" s="2" t="s">
        <v>7769</v>
      </c>
      <c r="L5529" s="2">
        <f t="shared" si="86"/>
        <v>89</v>
      </c>
    </row>
    <row r="5530" spans="1:12" ht="25" customHeight="1">
      <c r="A5530" s="2" t="s">
        <v>12</v>
      </c>
      <c r="B5530" s="2" t="str">
        <f>HYPERLINK("http://bbs.12365auto.com/postcontent.aspx?tId=194505","本田飞度冷车启动时发动机异响")</f>
        <v>本田飞度冷车启动时发动机异响</v>
      </c>
      <c r="C5530" s="2" t="s">
        <v>13</v>
      </c>
      <c r="D5530" s="2" t="s">
        <v>12</v>
      </c>
      <c r="E5530" s="2" t="s">
        <v>66</v>
      </c>
      <c r="F5530" s="2" t="str">
        <f>HYPERLINK("http://bbs.12365auto.com/postcontent.aspx?tId=194505","http://bbs.12365auto.com/postcontent.aspx?tId=194505")</f>
        <v>http://bbs.12365auto.com/postcontent.aspx?tId=194505</v>
      </c>
      <c r="G5530" s="2"/>
      <c r="H5530" s="2" t="s">
        <v>7772</v>
      </c>
      <c r="I5530" s="2" t="s">
        <v>15</v>
      </c>
      <c r="J5530" s="2" t="s">
        <v>2140</v>
      </c>
      <c r="K5530" s="2" t="s">
        <v>7769</v>
      </c>
      <c r="L5530" s="2">
        <f t="shared" si="86"/>
        <v>77</v>
      </c>
    </row>
    <row r="5531" spans="1:12" ht="25" customHeight="1">
      <c r="A5531" s="2" t="s">
        <v>12</v>
      </c>
      <c r="B5531" s="2" t="str">
        <f>HYPERLINK("http://m.12365auto.com/xcdg/20200219/418932.shtml","手动空调/没有天窗买比亚迪e3值不值？")</f>
        <v>手动空调/没有天窗买比亚迪e3值不值？</v>
      </c>
      <c r="C5531" s="2" t="s">
        <v>13</v>
      </c>
      <c r="D5531" s="2" t="s">
        <v>12</v>
      </c>
      <c r="E5531" s="2"/>
      <c r="F5531" s="2" t="str">
        <f>HYPERLINK("http://m.12365auto.com/xcdg/20200219/418932.shtml","http://m.12365auto.com/xcdg/20200219/418932.shtml")</f>
        <v>http://m.12365auto.com/xcdg/20200219/418932.shtml</v>
      </c>
      <c r="G5531" s="2"/>
      <c r="H5531" s="2" t="s">
        <v>7773</v>
      </c>
      <c r="I5531" s="2" t="s">
        <v>19</v>
      </c>
      <c r="J5531" s="2" t="s">
        <v>12</v>
      </c>
      <c r="K5531" s="2" t="s">
        <v>7774</v>
      </c>
      <c r="L5531" s="2">
        <f t="shared" si="86"/>
        <v>150</v>
      </c>
    </row>
    <row r="5532" spans="1:12" ht="25" customHeight="1">
      <c r="A5532" s="2" t="s">
        <v>12</v>
      </c>
      <c r="B5532" s="2" t="str">
        <f>HYPERLINK("http://bbs.12365auto.com/postcontent.aspx?tID=194504","郑州日产途达电瓶漏电")</f>
        <v>郑州日产途达电瓶漏电</v>
      </c>
      <c r="C5532" s="2" t="s">
        <v>13</v>
      </c>
      <c r="D5532" s="2" t="s">
        <v>12</v>
      </c>
      <c r="E5532" s="2" t="s">
        <v>67</v>
      </c>
      <c r="F5532" s="2" t="str">
        <f>HYPERLINK("http://bbs.12365auto.com/postcontent.aspx?tID=194504","http://bbs.12365auto.com/postcontent.aspx?tID=194504")</f>
        <v>http://bbs.12365auto.com/postcontent.aspx?tID=194504</v>
      </c>
      <c r="G5532" s="2"/>
      <c r="H5532" s="2" t="s">
        <v>7775</v>
      </c>
      <c r="I5532" s="2" t="s">
        <v>15</v>
      </c>
      <c r="J5532" s="2" t="s">
        <v>2143</v>
      </c>
      <c r="K5532" s="2" t="s">
        <v>7774</v>
      </c>
      <c r="L5532" s="2">
        <f t="shared" si="86"/>
        <v>89</v>
      </c>
    </row>
    <row r="5533" spans="1:12" ht="25" customHeight="1">
      <c r="A5533" s="2" t="s">
        <v>12</v>
      </c>
      <c r="B5533" s="2" t="str">
        <f>HYPERLINK("http://m.12365auto.com/bbs/postcontent.aspx?tID=194504","郑州日产途达电瓶漏电")</f>
        <v>郑州日产途达电瓶漏电</v>
      </c>
      <c r="C5533" s="2" t="s">
        <v>13</v>
      </c>
      <c r="D5533" s="2" t="s">
        <v>23</v>
      </c>
      <c r="E5533" s="2"/>
      <c r="F5533" s="2" t="str">
        <f>HYPERLINK("http://m.12365auto.com/bbs/postcontent.aspx?tID=194504","http://m.12365auto.com/bbs/postcontent.aspx?tID=194504")</f>
        <v>http://m.12365auto.com/bbs/postcontent.aspx?tID=194504</v>
      </c>
      <c r="G5533" s="2"/>
      <c r="H5533" s="2" t="s">
        <v>7776</v>
      </c>
      <c r="I5533" s="2" t="s">
        <v>15</v>
      </c>
      <c r="J5533" s="2" t="s">
        <v>2143</v>
      </c>
      <c r="K5533" s="2" t="s">
        <v>7774</v>
      </c>
      <c r="L5533" s="2">
        <f t="shared" si="86"/>
        <v>79</v>
      </c>
    </row>
    <row r="5534" spans="1:12" ht="25" customHeight="1">
      <c r="A5534" s="2" t="s">
        <v>12</v>
      </c>
      <c r="B5534" s="2" t="str">
        <f>HYPERLINK("http://bbs.12365auto.com/postcontent.aspx?tId=194504","郑州日产途达电瓶漏电")</f>
        <v>郑州日产途达电瓶漏电</v>
      </c>
      <c r="C5534" s="2" t="s">
        <v>13</v>
      </c>
      <c r="D5534" s="2" t="s">
        <v>12</v>
      </c>
      <c r="E5534" s="2" t="s">
        <v>66</v>
      </c>
      <c r="F5534" s="2" t="str">
        <f>HYPERLINK("http://bbs.12365auto.com/postcontent.aspx?tId=194504","http://bbs.12365auto.com/postcontent.aspx?tId=194504")</f>
        <v>http://bbs.12365auto.com/postcontent.aspx?tId=194504</v>
      </c>
      <c r="G5534" s="2"/>
      <c r="H5534" s="2" t="s">
        <v>7776</v>
      </c>
      <c r="I5534" s="2" t="s">
        <v>15</v>
      </c>
      <c r="J5534" s="2" t="s">
        <v>2143</v>
      </c>
      <c r="K5534" s="2" t="s">
        <v>7774</v>
      </c>
      <c r="L5534" s="2">
        <f t="shared" si="86"/>
        <v>79</v>
      </c>
    </row>
    <row r="5535" spans="1:12" ht="25" customHeight="1">
      <c r="A5535" s="2" t="s">
        <v>12</v>
      </c>
      <c r="B5535" s="2" t="str">
        <f>HYPERLINK("http://m.12365auto.com/xcdg/20200219/418931.shtml","全新外观/内饰豪华买台奔驰CLS值不值？")</f>
        <v>全新外观/内饰豪华买台奔驰CLS值不值？</v>
      </c>
      <c r="C5535" s="2" t="s">
        <v>13</v>
      </c>
      <c r="D5535" s="2" t="s">
        <v>12</v>
      </c>
      <c r="E5535" s="2"/>
      <c r="F5535" s="2" t="str">
        <f>HYPERLINK("http://m.12365auto.com/xcdg/20200219/418931.shtml","http://m.12365auto.com/xcdg/20200219/418931.shtml")</f>
        <v>http://m.12365auto.com/xcdg/20200219/418931.shtml</v>
      </c>
      <c r="G5535" s="2"/>
      <c r="H5535" s="2" t="s">
        <v>7777</v>
      </c>
      <c r="I5535" s="2" t="s">
        <v>19</v>
      </c>
      <c r="J5535" s="2" t="s">
        <v>12</v>
      </c>
      <c r="K5535" s="2" t="s">
        <v>7778</v>
      </c>
      <c r="L5535" s="2">
        <f t="shared" si="86"/>
        <v>150</v>
      </c>
    </row>
    <row r="5536" spans="1:12" ht="25" customHeight="1">
      <c r="A5536" s="2" t="s">
        <v>12</v>
      </c>
      <c r="B5536" s="2" t="str">
        <f>HYPERLINK("http://bbs.12365auto.com/postcontent.aspx?tID=194503","起亚KX CROSS行驶中异响抖动")</f>
        <v>起亚KX CROSS行驶中异响抖动</v>
      </c>
      <c r="C5536" s="2" t="s">
        <v>13</v>
      </c>
      <c r="D5536" s="2" t="s">
        <v>12</v>
      </c>
      <c r="E5536" s="2" t="s">
        <v>67</v>
      </c>
      <c r="F5536" s="2" t="str">
        <f>HYPERLINK("http://bbs.12365auto.com/postcontent.aspx?tID=194503","http://bbs.12365auto.com/postcontent.aspx?tID=194503")</f>
        <v>http://bbs.12365auto.com/postcontent.aspx?tID=194503</v>
      </c>
      <c r="G5536" s="2"/>
      <c r="H5536" s="2" t="s">
        <v>7779</v>
      </c>
      <c r="I5536" s="2" t="s">
        <v>15</v>
      </c>
      <c r="J5536" s="2" t="s">
        <v>7780</v>
      </c>
      <c r="K5536" s="2" t="s">
        <v>7778</v>
      </c>
      <c r="L5536" s="2">
        <f t="shared" si="86"/>
        <v>150</v>
      </c>
    </row>
    <row r="5537" spans="1:12" ht="25" customHeight="1">
      <c r="A5537" s="2" t="s">
        <v>12</v>
      </c>
      <c r="B5537" s="2" t="str">
        <f>HYPERLINK("http://bbs.12365auto.com/postcontent.aspx?tID=194502","丰田亚洲龙车内异响 门窗漏风")</f>
        <v>丰田亚洲龙车内异响 门窗漏风</v>
      </c>
      <c r="C5537" s="2" t="s">
        <v>13</v>
      </c>
      <c r="D5537" s="2" t="s">
        <v>12</v>
      </c>
      <c r="E5537" s="2" t="s">
        <v>67</v>
      </c>
      <c r="F5537" s="2" t="str">
        <f>HYPERLINK("http://bbs.12365auto.com/postcontent.aspx?tID=194502","http://bbs.12365auto.com/postcontent.aspx?tID=194502")</f>
        <v>http://bbs.12365auto.com/postcontent.aspx?tID=194502</v>
      </c>
      <c r="G5537" s="2"/>
      <c r="H5537" s="2" t="s">
        <v>7781</v>
      </c>
      <c r="I5537" s="2" t="s">
        <v>15</v>
      </c>
      <c r="J5537" s="2" t="s">
        <v>2147</v>
      </c>
      <c r="K5537" s="2" t="s">
        <v>7778</v>
      </c>
      <c r="L5537" s="2">
        <f t="shared" si="86"/>
        <v>97</v>
      </c>
    </row>
    <row r="5538" spans="1:12" ht="25" customHeight="1">
      <c r="A5538" s="2" t="s">
        <v>12</v>
      </c>
      <c r="B5538" s="2" t="str">
        <f>HYPERLINK("http://m.12365auto.com/bbs/postcontent.aspx?tID=194503","起亚KX CROSS行驶中异响抖动")</f>
        <v>起亚KX CROSS行驶中异响抖动</v>
      </c>
      <c r="C5538" s="2" t="s">
        <v>13</v>
      </c>
      <c r="D5538" s="2" t="s">
        <v>23</v>
      </c>
      <c r="E5538" s="2"/>
      <c r="F5538" s="2" t="str">
        <f>HYPERLINK("http://m.12365auto.com/bbs/postcontent.aspx?tID=194503","http://m.12365auto.com/bbs/postcontent.aspx?tID=194503")</f>
        <v>http://m.12365auto.com/bbs/postcontent.aspx?tID=194503</v>
      </c>
      <c r="G5538" s="2"/>
      <c r="H5538" s="2" t="s">
        <v>7782</v>
      </c>
      <c r="I5538" s="2" t="s">
        <v>15</v>
      </c>
      <c r="J5538" s="2" t="s">
        <v>7780</v>
      </c>
      <c r="K5538" s="2" t="s">
        <v>7778</v>
      </c>
      <c r="L5538" s="2">
        <f t="shared" si="86"/>
        <v>145</v>
      </c>
    </row>
    <row r="5539" spans="1:12" ht="25" customHeight="1">
      <c r="A5539" s="2" t="s">
        <v>12</v>
      </c>
      <c r="B5539" s="2" t="str">
        <f>HYPERLINK("http://m.12365auto.com/bbs/postcontent.aspx?tID=194502","丰田亚洲龙车内异响 门窗漏风")</f>
        <v>丰田亚洲龙车内异响 门窗漏风</v>
      </c>
      <c r="C5539" s="2" t="s">
        <v>13</v>
      </c>
      <c r="D5539" s="2" t="s">
        <v>23</v>
      </c>
      <c r="E5539" s="2"/>
      <c r="F5539" s="2" t="str">
        <f>HYPERLINK("http://m.12365auto.com/bbs/postcontent.aspx?tID=194502","http://m.12365auto.com/bbs/postcontent.aspx?tID=194502")</f>
        <v>http://m.12365auto.com/bbs/postcontent.aspx?tID=194502</v>
      </c>
      <c r="G5539" s="2"/>
      <c r="H5539" s="2" t="s">
        <v>7783</v>
      </c>
      <c r="I5539" s="2" t="s">
        <v>15</v>
      </c>
      <c r="J5539" s="2" t="s">
        <v>2147</v>
      </c>
      <c r="K5539" s="2" t="s">
        <v>7778</v>
      </c>
      <c r="L5539" s="2">
        <f t="shared" si="86"/>
        <v>83</v>
      </c>
    </row>
    <row r="5540" spans="1:12" ht="25" customHeight="1">
      <c r="A5540" s="2" t="s">
        <v>12</v>
      </c>
      <c r="B5540" s="2" t="str">
        <f>HYPERLINK("http://bbs.12365auto.com/postcontent.aspx?tId=194503","起亚KX CROSS行驶中异响抖动")</f>
        <v>起亚KX CROSS行驶中异响抖动</v>
      </c>
      <c r="C5540" s="2" t="s">
        <v>13</v>
      </c>
      <c r="D5540" s="2" t="s">
        <v>12</v>
      </c>
      <c r="E5540" s="2" t="s">
        <v>66</v>
      </c>
      <c r="F5540" s="2" t="str">
        <f>HYPERLINK("http://bbs.12365auto.com/postcontent.aspx?tId=194503","http://bbs.12365auto.com/postcontent.aspx?tId=194503")</f>
        <v>http://bbs.12365auto.com/postcontent.aspx?tId=194503</v>
      </c>
      <c r="G5540" s="2"/>
      <c r="H5540" s="2" t="s">
        <v>7782</v>
      </c>
      <c r="I5540" s="2" t="s">
        <v>15</v>
      </c>
      <c r="J5540" s="2" t="s">
        <v>7780</v>
      </c>
      <c r="K5540" s="2" t="s">
        <v>7778</v>
      </c>
      <c r="L5540" s="2">
        <f t="shared" si="86"/>
        <v>145</v>
      </c>
    </row>
    <row r="5541" spans="1:12" ht="25" customHeight="1">
      <c r="A5541" s="2" t="s">
        <v>12</v>
      </c>
      <c r="B5541" s="2" t="str">
        <f>HYPERLINK("http://bbs.12365auto.com/postcontent.aspx?tId=194502","丰田亚洲龙车内异响 门窗漏风")</f>
        <v>丰田亚洲龙车内异响 门窗漏风</v>
      </c>
      <c r="C5541" s="2" t="s">
        <v>13</v>
      </c>
      <c r="D5541" s="2" t="s">
        <v>12</v>
      </c>
      <c r="E5541" s="2" t="s">
        <v>66</v>
      </c>
      <c r="F5541" s="2" t="str">
        <f>HYPERLINK("http://bbs.12365auto.com/postcontent.aspx?tId=194502","http://bbs.12365auto.com/postcontent.aspx?tId=194502")</f>
        <v>http://bbs.12365auto.com/postcontent.aspx?tId=194502</v>
      </c>
      <c r="G5541" s="2"/>
      <c r="H5541" s="2" t="s">
        <v>7783</v>
      </c>
      <c r="I5541" s="2" t="s">
        <v>15</v>
      </c>
      <c r="J5541" s="2" t="s">
        <v>2147</v>
      </c>
      <c r="K5541" s="2" t="s">
        <v>7778</v>
      </c>
      <c r="L5541" s="2">
        <f t="shared" si="86"/>
        <v>83</v>
      </c>
    </row>
    <row r="5542" spans="1:12" ht="25" customHeight="1">
      <c r="A5542" s="2" t="s">
        <v>12</v>
      </c>
      <c r="B5542" s="2" t="str">
        <f>HYPERLINK("http://bbs.12365auto.com/postcontent.aspx?tID=194501","轩逸电瓶亏电导致无法使用")</f>
        <v>轩逸电瓶亏电导致无法使用</v>
      </c>
      <c r="C5542" s="2" t="s">
        <v>13</v>
      </c>
      <c r="D5542" s="2" t="s">
        <v>12</v>
      </c>
      <c r="E5542" s="2" t="s">
        <v>67</v>
      </c>
      <c r="F5542" s="2" t="str">
        <f>HYPERLINK("http://bbs.12365auto.com/postcontent.aspx?tID=194501","http://bbs.12365auto.com/postcontent.aspx?tID=194501")</f>
        <v>http://bbs.12365auto.com/postcontent.aspx?tID=194501</v>
      </c>
      <c r="G5542" s="2"/>
      <c r="H5542" s="2" t="s">
        <v>7784</v>
      </c>
      <c r="I5542" s="2" t="s">
        <v>15</v>
      </c>
      <c r="J5542" s="2" t="s">
        <v>2150</v>
      </c>
      <c r="K5542" s="2" t="s">
        <v>7785</v>
      </c>
      <c r="L5542" s="2">
        <f t="shared" si="86"/>
        <v>150</v>
      </c>
    </row>
    <row r="5543" spans="1:12" ht="25" customHeight="1">
      <c r="A5543" s="2" t="s">
        <v>12</v>
      </c>
      <c r="B5543" s="2" t="str">
        <f>HYPERLINK("http://m.12365auto.com/bbs/postcontent.aspx?tID=194501","轩逸电瓶亏电导致无法使用")</f>
        <v>轩逸电瓶亏电导致无法使用</v>
      </c>
      <c r="C5543" s="2" t="s">
        <v>13</v>
      </c>
      <c r="D5543" s="2" t="s">
        <v>23</v>
      </c>
      <c r="E5543" s="2"/>
      <c r="F5543" s="2" t="str">
        <f>HYPERLINK("http://m.12365auto.com/bbs/postcontent.aspx?tID=194501","http://m.12365auto.com/bbs/postcontent.aspx?tID=194501")</f>
        <v>http://m.12365auto.com/bbs/postcontent.aspx?tID=194501</v>
      </c>
      <c r="G5543" s="2"/>
      <c r="H5543" s="2" t="s">
        <v>7786</v>
      </c>
      <c r="I5543" s="2" t="s">
        <v>15</v>
      </c>
      <c r="J5543" s="2" t="s">
        <v>2150</v>
      </c>
      <c r="K5543" s="2" t="s">
        <v>7785</v>
      </c>
      <c r="L5543" s="2">
        <f t="shared" si="86"/>
        <v>150</v>
      </c>
    </row>
    <row r="5544" spans="1:12" ht="25" customHeight="1">
      <c r="A5544" s="2" t="s">
        <v>12</v>
      </c>
      <c r="B5544" s="2" t="str">
        <f>HYPERLINK("http://bbs.12365auto.com/postcontent.aspx?tId=194501","轩逸电瓶亏电导致无法使用")</f>
        <v>轩逸电瓶亏电导致无法使用</v>
      </c>
      <c r="C5544" s="2" t="s">
        <v>13</v>
      </c>
      <c r="D5544" s="2" t="s">
        <v>12</v>
      </c>
      <c r="E5544" s="2" t="s">
        <v>66</v>
      </c>
      <c r="F5544" s="2" t="str">
        <f>HYPERLINK("http://bbs.12365auto.com/postcontent.aspx?tId=194501","http://bbs.12365auto.com/postcontent.aspx?tId=194501")</f>
        <v>http://bbs.12365auto.com/postcontent.aspx?tId=194501</v>
      </c>
      <c r="G5544" s="2"/>
      <c r="H5544" s="2" t="s">
        <v>7786</v>
      </c>
      <c r="I5544" s="2" t="s">
        <v>15</v>
      </c>
      <c r="J5544" s="2" t="s">
        <v>2150</v>
      </c>
      <c r="K5544" s="2" t="s">
        <v>7785</v>
      </c>
      <c r="L5544" s="2">
        <f t="shared" si="86"/>
        <v>150</v>
      </c>
    </row>
    <row r="5545" spans="1:12" ht="25" customHeight="1">
      <c r="A5545" s="2" t="s">
        <v>12</v>
      </c>
      <c r="B5545" s="2" t="str">
        <f>HYPERLINK("http://m.12365auto.com/xcdg/20200219/418930.shtml","4.8秒破百但配置不如A3奥迪S3买不买？")</f>
        <v>4.8秒破百但配置不如A3奥迪S3买不买？</v>
      </c>
      <c r="C5545" s="2" t="s">
        <v>13</v>
      </c>
      <c r="D5545" s="2" t="s">
        <v>12</v>
      </c>
      <c r="E5545" s="2"/>
      <c r="F5545" s="2" t="str">
        <f>HYPERLINK("http://m.12365auto.com/xcdg/20200219/418930.shtml","http://m.12365auto.com/xcdg/20200219/418930.shtml")</f>
        <v>http://m.12365auto.com/xcdg/20200219/418930.shtml</v>
      </c>
      <c r="G5545" s="2"/>
      <c r="H5545" s="2" t="s">
        <v>7787</v>
      </c>
      <c r="I5545" s="2" t="s">
        <v>19</v>
      </c>
      <c r="J5545" s="2" t="s">
        <v>12</v>
      </c>
      <c r="K5545" s="2" t="s">
        <v>7788</v>
      </c>
      <c r="L5545" s="2">
        <f t="shared" si="86"/>
        <v>150</v>
      </c>
    </row>
    <row r="5546" spans="1:12" ht="25" customHeight="1">
      <c r="A5546" s="2" t="s">
        <v>12</v>
      </c>
      <c r="B5546" s="2" t="str">
        <f>HYPERLINK("http://bbs.12365auto.com/postcontent.aspx?tID=194500","领克01电瓶亏电车机黑屏")</f>
        <v>领克01电瓶亏电车机黑屏</v>
      </c>
      <c r="C5546" s="2" t="s">
        <v>13</v>
      </c>
      <c r="D5546" s="2" t="s">
        <v>12</v>
      </c>
      <c r="E5546" s="2" t="s">
        <v>67</v>
      </c>
      <c r="F5546" s="2" t="str">
        <f>HYPERLINK("http://bbs.12365auto.com/postcontent.aspx?tID=194500","http://bbs.12365auto.com/postcontent.aspx?tID=194500")</f>
        <v>http://bbs.12365auto.com/postcontent.aspx?tID=194500</v>
      </c>
      <c r="G5546" s="2"/>
      <c r="H5546" s="2" t="s">
        <v>7789</v>
      </c>
      <c r="I5546" s="2" t="s">
        <v>15</v>
      </c>
      <c r="J5546" s="2" t="s">
        <v>2154</v>
      </c>
      <c r="K5546" s="2" t="s">
        <v>7788</v>
      </c>
      <c r="L5546" s="2">
        <f t="shared" si="86"/>
        <v>150</v>
      </c>
    </row>
    <row r="5547" spans="1:12" ht="25" customHeight="1">
      <c r="A5547" s="2" t="s">
        <v>12</v>
      </c>
      <c r="B5547" s="2" t="str">
        <f>HYPERLINK("http://m.12365auto.com/bbs/postcontent.aspx?tID=194500","领克01电瓶亏电车机黑屏")</f>
        <v>领克01电瓶亏电车机黑屏</v>
      </c>
      <c r="C5547" s="2" t="s">
        <v>13</v>
      </c>
      <c r="D5547" s="2" t="s">
        <v>23</v>
      </c>
      <c r="E5547" s="2"/>
      <c r="F5547" s="2" t="str">
        <f>HYPERLINK("http://m.12365auto.com/bbs/postcontent.aspx?tID=194500","http://m.12365auto.com/bbs/postcontent.aspx?tID=194500")</f>
        <v>http://m.12365auto.com/bbs/postcontent.aspx?tID=194500</v>
      </c>
      <c r="G5547" s="2"/>
      <c r="H5547" s="2" t="s">
        <v>7790</v>
      </c>
      <c r="I5547" s="2" t="s">
        <v>15</v>
      </c>
      <c r="J5547" s="2" t="s">
        <v>2154</v>
      </c>
      <c r="K5547" s="2" t="s">
        <v>7788</v>
      </c>
      <c r="L5547" s="2">
        <f t="shared" si="86"/>
        <v>150</v>
      </c>
    </row>
    <row r="5548" spans="1:12" ht="25" customHeight="1">
      <c r="A5548" s="2" t="s">
        <v>12</v>
      </c>
      <c r="B5548" s="2" t="str">
        <f>HYPERLINK("http://bbs.12365auto.com/postcontent.aspx?tId=194500","领克01电瓶亏电车机黑屏")</f>
        <v>领克01电瓶亏电车机黑屏</v>
      </c>
      <c r="C5548" s="2" t="s">
        <v>13</v>
      </c>
      <c r="D5548" s="2" t="s">
        <v>12</v>
      </c>
      <c r="E5548" s="2" t="s">
        <v>66</v>
      </c>
      <c r="F5548" s="2" t="str">
        <f>HYPERLINK("http://bbs.12365auto.com/postcontent.aspx?tId=194500","http://bbs.12365auto.com/postcontent.aspx?tId=194500")</f>
        <v>http://bbs.12365auto.com/postcontent.aspx?tId=194500</v>
      </c>
      <c r="G5548" s="2"/>
      <c r="H5548" s="2" t="s">
        <v>7790</v>
      </c>
      <c r="I5548" s="2" t="s">
        <v>15</v>
      </c>
      <c r="J5548" s="2" t="s">
        <v>2154</v>
      </c>
      <c r="K5548" s="2" t="s">
        <v>7788</v>
      </c>
      <c r="L5548" s="2">
        <f t="shared" si="86"/>
        <v>150</v>
      </c>
    </row>
    <row r="5549" spans="1:12" ht="25" customHeight="1">
      <c r="A5549" s="2" t="s">
        <v>12</v>
      </c>
      <c r="B5549" s="2" t="str">
        <f>HYPERLINK("http://bbs.12365auto.com/postcontent.aspx?tID=194499","雪铁龙C4世嘉方向柱晃动导致方向盘松动")</f>
        <v>雪铁龙C4世嘉方向柱晃动导致方向盘松动</v>
      </c>
      <c r="C5549" s="2" t="s">
        <v>13</v>
      </c>
      <c r="D5549" s="2" t="s">
        <v>12</v>
      </c>
      <c r="E5549" s="2" t="s">
        <v>67</v>
      </c>
      <c r="F5549" s="2" t="str">
        <f>HYPERLINK("http://bbs.12365auto.com/postcontent.aspx?tID=194499","http://bbs.12365auto.com/postcontent.aspx?tID=194499")</f>
        <v>http://bbs.12365auto.com/postcontent.aspx?tID=194499</v>
      </c>
      <c r="G5549" s="2"/>
      <c r="H5549" s="2" t="s">
        <v>7791</v>
      </c>
      <c r="I5549" s="2" t="s">
        <v>15</v>
      </c>
      <c r="J5549" s="2" t="s">
        <v>7792</v>
      </c>
      <c r="K5549" s="2" t="s">
        <v>7793</v>
      </c>
      <c r="L5549" s="2">
        <f t="shared" si="86"/>
        <v>150</v>
      </c>
    </row>
    <row r="5550" spans="1:12" ht="25" customHeight="1">
      <c r="A5550" s="2" t="s">
        <v>12</v>
      </c>
      <c r="B5550" s="2" t="str">
        <f>HYPERLINK("http://www.12365auto.com/zlts/20200219/447716.shtml","华晨鑫源金杯T32发动机型号与铭牌不一致")</f>
        <v>华晨鑫源金杯T32发动机型号与铭牌不一致</v>
      </c>
      <c r="C5550" s="2" t="s">
        <v>13</v>
      </c>
      <c r="D5550" s="2" t="s">
        <v>12</v>
      </c>
      <c r="E5550" s="2" t="s">
        <v>17</v>
      </c>
      <c r="F5550" s="2" t="str">
        <f>HYPERLINK("http://www.12365auto.com/zlts/20200219/447716.shtml","http://www.12365auto.com/zlts/20200219/447716.shtml")</f>
        <v>http://www.12365auto.com/zlts/20200219/447716.shtml</v>
      </c>
      <c r="G5550" s="2"/>
      <c r="H5550" s="2" t="s">
        <v>7794</v>
      </c>
      <c r="I5550" s="2" t="s">
        <v>15</v>
      </c>
      <c r="J5550" s="2" t="s">
        <v>12</v>
      </c>
      <c r="K5550" s="2" t="s">
        <v>7793</v>
      </c>
      <c r="L5550" s="2">
        <f t="shared" si="86"/>
        <v>150</v>
      </c>
    </row>
    <row r="5551" spans="1:12" ht="25" customHeight="1">
      <c r="A5551" s="2" t="s">
        <v>12</v>
      </c>
      <c r="B5551" s="2" t="str">
        <f>HYPERLINK("http://m.12365auto.com/bbs/postcontent.aspx?tID=194499","雪铁龙C4世嘉方向柱晃动导致方向盘松动")</f>
        <v>雪铁龙C4世嘉方向柱晃动导致方向盘松动</v>
      </c>
      <c r="C5551" s="2" t="s">
        <v>13</v>
      </c>
      <c r="D5551" s="2" t="s">
        <v>23</v>
      </c>
      <c r="E5551" s="2"/>
      <c r="F5551" s="2" t="str">
        <f>HYPERLINK("http://m.12365auto.com/bbs/postcontent.aspx?tID=194499","http://m.12365auto.com/bbs/postcontent.aspx?tID=194499")</f>
        <v>http://m.12365auto.com/bbs/postcontent.aspx?tID=194499</v>
      </c>
      <c r="G5551" s="2"/>
      <c r="H5551" s="2" t="s">
        <v>7795</v>
      </c>
      <c r="I5551" s="2" t="s">
        <v>15</v>
      </c>
      <c r="J5551" s="2" t="s">
        <v>7792</v>
      </c>
      <c r="K5551" s="2" t="s">
        <v>7793</v>
      </c>
      <c r="L5551" s="2">
        <f t="shared" si="86"/>
        <v>150</v>
      </c>
    </row>
    <row r="5552" spans="1:12" ht="25" customHeight="1">
      <c r="A5552" s="2" t="s">
        <v>12</v>
      </c>
      <c r="B5552" s="2" t="str">
        <f>HYPERLINK("http://bbs.12365auto.com/postcontent.aspx?tId=194499","雪铁龙C4世嘉方向柱晃动导致方向盘松动")</f>
        <v>雪铁龙C4世嘉方向柱晃动导致方向盘松动</v>
      </c>
      <c r="C5552" s="2" t="s">
        <v>13</v>
      </c>
      <c r="D5552" s="2" t="s">
        <v>12</v>
      </c>
      <c r="E5552" s="2" t="s">
        <v>66</v>
      </c>
      <c r="F5552" s="2" t="str">
        <f>HYPERLINK("http://bbs.12365auto.com/postcontent.aspx?tId=194499","http://bbs.12365auto.com/postcontent.aspx?tId=194499")</f>
        <v>http://bbs.12365auto.com/postcontent.aspx?tId=194499</v>
      </c>
      <c r="G5552" s="2"/>
      <c r="H5552" s="2" t="s">
        <v>7795</v>
      </c>
      <c r="I5552" s="2" t="s">
        <v>15</v>
      </c>
      <c r="J5552" s="2" t="s">
        <v>7792</v>
      </c>
      <c r="K5552" s="2" t="s">
        <v>7793</v>
      </c>
      <c r="L5552" s="2">
        <f t="shared" si="86"/>
        <v>150</v>
      </c>
    </row>
    <row r="5553" spans="1:12" ht="25" customHeight="1">
      <c r="A5553" s="2" t="s">
        <v>12</v>
      </c>
      <c r="B5553" s="2" t="str">
        <f>HYPERLINK("http://m.12365auto.com/xcdg/20200219/418929.shtml","轿跑SUV外形是亮点启辰T90值得买吗？")</f>
        <v>轿跑SUV外形是亮点启辰T90值得买吗？</v>
      </c>
      <c r="C5553" s="2" t="s">
        <v>13</v>
      </c>
      <c r="D5553" s="2" t="s">
        <v>12</v>
      </c>
      <c r="E5553" s="2"/>
      <c r="F5553" s="2" t="str">
        <f>HYPERLINK("http://m.12365auto.com/xcdg/20200219/418929.shtml","http://m.12365auto.com/xcdg/20200219/418929.shtml")</f>
        <v>http://m.12365auto.com/xcdg/20200219/418929.shtml</v>
      </c>
      <c r="G5553" s="2"/>
      <c r="H5553" s="2" t="s">
        <v>7796</v>
      </c>
      <c r="I5553" s="2" t="s">
        <v>19</v>
      </c>
      <c r="J5553" s="2" t="s">
        <v>12</v>
      </c>
      <c r="K5553" s="2" t="s">
        <v>7797</v>
      </c>
      <c r="L5553" s="2">
        <f t="shared" si="86"/>
        <v>150</v>
      </c>
    </row>
    <row r="5554" spans="1:12" ht="25" customHeight="1">
      <c r="A5554" s="2" t="s">
        <v>12</v>
      </c>
      <c r="B5554" s="2" t="str">
        <f>HYPERLINK("http://bbs.12365auto.com/postcontent.aspx?tID=194497","奇瑞艾瑞泽5后车门出现生锈")</f>
        <v>奇瑞艾瑞泽5后车门出现生锈</v>
      </c>
      <c r="C5554" s="2" t="s">
        <v>13</v>
      </c>
      <c r="D5554" s="2" t="s">
        <v>12</v>
      </c>
      <c r="E5554" s="2" t="s">
        <v>67</v>
      </c>
      <c r="F5554" s="2" t="str">
        <f>HYPERLINK("http://bbs.12365auto.com/postcontent.aspx?tID=194497","http://bbs.12365auto.com/postcontent.aspx?tID=194497")</f>
        <v>http://bbs.12365auto.com/postcontent.aspx?tID=194497</v>
      </c>
      <c r="G5554" s="2"/>
      <c r="H5554" s="2" t="s">
        <v>7798</v>
      </c>
      <c r="I5554" s="2" t="s">
        <v>15</v>
      </c>
      <c r="J5554" s="2" t="s">
        <v>1685</v>
      </c>
      <c r="K5554" s="2" t="s">
        <v>7797</v>
      </c>
      <c r="L5554" s="2">
        <f t="shared" si="86"/>
        <v>28</v>
      </c>
    </row>
    <row r="5555" spans="1:12" ht="25" customHeight="1">
      <c r="A5555" s="2" t="s">
        <v>12</v>
      </c>
      <c r="B5555" s="2" t="str">
        <f>HYPERLINK("http://bbs.12365auto.com/postcontent.aspx?tID=194498","本田雅阁高速时微调方向卡顿异响")</f>
        <v>本田雅阁高速时微调方向卡顿异响</v>
      </c>
      <c r="C5555" s="2" t="s">
        <v>13</v>
      </c>
      <c r="D5555" s="2" t="s">
        <v>12</v>
      </c>
      <c r="E5555" s="2" t="s">
        <v>67</v>
      </c>
      <c r="F5555" s="2" t="str">
        <f>HYPERLINK("http://bbs.12365auto.com/postcontent.aspx?tID=194498","http://bbs.12365auto.com/postcontent.aspx?tID=194498")</f>
        <v>http://bbs.12365auto.com/postcontent.aspx?tID=194498</v>
      </c>
      <c r="G5555" s="2"/>
      <c r="H5555" s="2" t="s">
        <v>7799</v>
      </c>
      <c r="I5555" s="2" t="s">
        <v>15</v>
      </c>
      <c r="J5555" s="2" t="s">
        <v>2158</v>
      </c>
      <c r="K5555" s="2" t="s">
        <v>7797</v>
      </c>
      <c r="L5555" s="2">
        <f t="shared" si="86"/>
        <v>88</v>
      </c>
    </row>
    <row r="5556" spans="1:12" ht="25" customHeight="1">
      <c r="A5556" s="2" t="s">
        <v>12</v>
      </c>
      <c r="B5556" s="2" t="str">
        <f>HYPERLINK("http://bbs.12365auto.com/postcontent.aspx?tID=194496","本田思域中控台异响售后未解决")</f>
        <v>本田思域中控台异响售后未解决</v>
      </c>
      <c r="C5556" s="2" t="s">
        <v>13</v>
      </c>
      <c r="D5556" s="2" t="s">
        <v>12</v>
      </c>
      <c r="E5556" s="2" t="s">
        <v>67</v>
      </c>
      <c r="F5556" s="2" t="str">
        <f>HYPERLINK("http://bbs.12365auto.com/postcontent.aspx?tID=194496","http://bbs.12365auto.com/postcontent.aspx?tID=194496")</f>
        <v>http://bbs.12365auto.com/postcontent.aspx?tID=194496</v>
      </c>
      <c r="G5556" s="2"/>
      <c r="H5556" s="2" t="s">
        <v>7800</v>
      </c>
      <c r="I5556" s="2" t="s">
        <v>15</v>
      </c>
      <c r="J5556" s="2" t="s">
        <v>2165</v>
      </c>
      <c r="K5556" s="2" t="s">
        <v>7797</v>
      </c>
      <c r="L5556" s="2">
        <f t="shared" si="86"/>
        <v>46</v>
      </c>
    </row>
    <row r="5557" spans="1:12" ht="25" customHeight="1">
      <c r="A5557" s="2" t="s">
        <v>12</v>
      </c>
      <c r="B5557" s="2" t="str">
        <f>HYPERLINK("http://m.12365auto.com/bbs/postcontent.aspx?tID=194498","本田雅阁高速时微调方向卡顿异响")</f>
        <v>本田雅阁高速时微调方向卡顿异响</v>
      </c>
      <c r="C5557" s="2" t="s">
        <v>13</v>
      </c>
      <c r="D5557" s="2" t="s">
        <v>23</v>
      </c>
      <c r="E5557" s="2"/>
      <c r="F5557" s="2" t="str">
        <f>HYPERLINK("http://m.12365auto.com/bbs/postcontent.aspx?tID=194498","http://m.12365auto.com/bbs/postcontent.aspx?tID=194498")</f>
        <v>http://m.12365auto.com/bbs/postcontent.aspx?tID=194498</v>
      </c>
      <c r="G5557" s="2"/>
      <c r="H5557" s="2" t="s">
        <v>7801</v>
      </c>
      <c r="I5557" s="2" t="s">
        <v>15</v>
      </c>
      <c r="J5557" s="2" t="s">
        <v>2158</v>
      </c>
      <c r="K5557" s="2" t="s">
        <v>7797</v>
      </c>
      <c r="L5557" s="2">
        <f t="shared" si="86"/>
        <v>73</v>
      </c>
    </row>
    <row r="5558" spans="1:12" ht="25" customHeight="1">
      <c r="A5558" s="2" t="s">
        <v>12</v>
      </c>
      <c r="B5558" s="2" t="str">
        <f>HYPERLINK("http://bbs.12365auto.com/postcontent.aspx?tId=194498","本田雅阁高速时微调方向卡顿异响")</f>
        <v>本田雅阁高速时微调方向卡顿异响</v>
      </c>
      <c r="C5558" s="2" t="s">
        <v>13</v>
      </c>
      <c r="D5558" s="2" t="s">
        <v>12</v>
      </c>
      <c r="E5558" s="2" t="s">
        <v>66</v>
      </c>
      <c r="F5558" s="2" t="str">
        <f>HYPERLINK("http://bbs.12365auto.com/postcontent.aspx?tId=194498","http://bbs.12365auto.com/postcontent.aspx?tId=194498")</f>
        <v>http://bbs.12365auto.com/postcontent.aspx?tId=194498</v>
      </c>
      <c r="G5558" s="2"/>
      <c r="H5558" s="2" t="s">
        <v>7801</v>
      </c>
      <c r="I5558" s="2" t="s">
        <v>15</v>
      </c>
      <c r="J5558" s="2" t="s">
        <v>2158</v>
      </c>
      <c r="K5558" s="2" t="s">
        <v>7797</v>
      </c>
      <c r="L5558" s="2">
        <f t="shared" si="86"/>
        <v>73</v>
      </c>
    </row>
    <row r="5559" spans="1:12" ht="25" customHeight="1">
      <c r="A5559" s="2" t="s">
        <v>12</v>
      </c>
      <c r="B5559" s="2" t="str">
        <f>HYPERLINK("http://bbs.12365auto.com/postcontent.aspx?tId=194497","奇瑞艾瑞泽5后车门出现生锈")</f>
        <v>奇瑞艾瑞泽5后车门出现生锈</v>
      </c>
      <c r="C5559" s="2" t="s">
        <v>13</v>
      </c>
      <c r="D5559" s="2" t="s">
        <v>12</v>
      </c>
      <c r="E5559" s="2" t="s">
        <v>66</v>
      </c>
      <c r="F5559" s="2" t="str">
        <f>HYPERLINK("http://bbs.12365auto.com/postcontent.aspx?tId=194497","http://bbs.12365auto.com/postcontent.aspx?tId=194497")</f>
        <v>http://bbs.12365auto.com/postcontent.aspx?tId=194497</v>
      </c>
      <c r="G5559" s="2"/>
      <c r="H5559" s="2" t="s">
        <v>7802</v>
      </c>
      <c r="I5559" s="2" t="s">
        <v>15</v>
      </c>
      <c r="J5559" s="2" t="s">
        <v>1685</v>
      </c>
      <c r="K5559" s="2" t="s">
        <v>7797</v>
      </c>
      <c r="L5559" s="2">
        <f t="shared" si="86"/>
        <v>15</v>
      </c>
    </row>
    <row r="5560" spans="1:12" ht="25" customHeight="1">
      <c r="A5560" s="2" t="s">
        <v>12</v>
      </c>
      <c r="B5560" s="2" t="str">
        <f>HYPERLINK("http://bbs.12365auto.com/postcontent.aspx?tId=194496","本田思域中控台异响售后未解决")</f>
        <v>本田思域中控台异响售后未解决</v>
      </c>
      <c r="C5560" s="2" t="s">
        <v>13</v>
      </c>
      <c r="D5560" s="2" t="s">
        <v>12</v>
      </c>
      <c r="E5560" s="2" t="s">
        <v>66</v>
      </c>
      <c r="F5560" s="2" t="str">
        <f>HYPERLINK("http://bbs.12365auto.com/postcontent.aspx?tId=194496","http://bbs.12365auto.com/postcontent.aspx?tId=194496")</f>
        <v>http://bbs.12365auto.com/postcontent.aspx?tId=194496</v>
      </c>
      <c r="G5560" s="2"/>
      <c r="H5560" s="2" t="s">
        <v>7803</v>
      </c>
      <c r="I5560" s="2" t="s">
        <v>15</v>
      </c>
      <c r="J5560" s="2" t="s">
        <v>2165</v>
      </c>
      <c r="K5560" s="2" t="s">
        <v>7797</v>
      </c>
      <c r="L5560" s="2">
        <f t="shared" si="86"/>
        <v>32</v>
      </c>
    </row>
    <row r="5561" spans="1:12" ht="25" customHeight="1">
      <c r="A5561" s="2" t="s">
        <v>12</v>
      </c>
      <c r="B5561" s="2" t="str">
        <f>HYPERLINK("http://m.12365auto.com/bbs/postcontent.aspx?tID=194497","奇瑞艾瑞泽5后车门出现生锈")</f>
        <v>奇瑞艾瑞泽5后车门出现生锈</v>
      </c>
      <c r="C5561" s="2" t="s">
        <v>13</v>
      </c>
      <c r="D5561" s="2" t="s">
        <v>23</v>
      </c>
      <c r="E5561" s="2"/>
      <c r="F5561" s="2" t="str">
        <f>HYPERLINK("http://m.12365auto.com/bbs/postcontent.aspx?tID=194497","http://m.12365auto.com/bbs/postcontent.aspx?tID=194497")</f>
        <v>http://m.12365auto.com/bbs/postcontent.aspx?tID=194497</v>
      </c>
      <c r="G5561" s="2"/>
      <c r="H5561" s="2" t="s">
        <v>7802</v>
      </c>
      <c r="I5561" s="2" t="s">
        <v>15</v>
      </c>
      <c r="J5561" s="2" t="s">
        <v>1685</v>
      </c>
      <c r="K5561" s="2" t="s">
        <v>7797</v>
      </c>
      <c r="L5561" s="2">
        <f t="shared" si="86"/>
        <v>15</v>
      </c>
    </row>
    <row r="5562" spans="1:12" ht="25" customHeight="1">
      <c r="A5562" s="2" t="s">
        <v>12</v>
      </c>
      <c r="B5562" s="2" t="str">
        <f>HYPERLINK("http://m.12365auto.com/bbs/postcontent.aspx?tID=194496","本田思域中控台异响售后未解决")</f>
        <v>本田思域中控台异响售后未解决</v>
      </c>
      <c r="C5562" s="2" t="s">
        <v>13</v>
      </c>
      <c r="D5562" s="2" t="s">
        <v>23</v>
      </c>
      <c r="E5562" s="2"/>
      <c r="F5562" s="2" t="str">
        <f>HYPERLINK("http://m.12365auto.com/bbs/postcontent.aspx?tID=194496","http://m.12365auto.com/bbs/postcontent.aspx?tID=194496")</f>
        <v>http://m.12365auto.com/bbs/postcontent.aspx?tID=194496</v>
      </c>
      <c r="G5562" s="2"/>
      <c r="H5562" s="2" t="s">
        <v>7803</v>
      </c>
      <c r="I5562" s="2" t="s">
        <v>15</v>
      </c>
      <c r="J5562" s="2" t="s">
        <v>2165</v>
      </c>
      <c r="K5562" s="2" t="s">
        <v>7797</v>
      </c>
      <c r="L5562" s="2">
        <f t="shared" si="86"/>
        <v>32</v>
      </c>
    </row>
    <row r="5563" spans="1:12" ht="25" customHeight="1">
      <c r="A5563" s="2" t="s">
        <v>12</v>
      </c>
      <c r="B5563" s="2" t="str">
        <f>HYPERLINK("http://bbs.12365auto.com/postcontent.aspx?tID=194495","本田思域锁车后转向灯一直闪烁")</f>
        <v>本田思域锁车后转向灯一直闪烁</v>
      </c>
      <c r="C5563" s="2" t="s">
        <v>13</v>
      </c>
      <c r="D5563" s="2" t="s">
        <v>12</v>
      </c>
      <c r="E5563" s="2" t="s">
        <v>67</v>
      </c>
      <c r="F5563" s="2" t="str">
        <f>HYPERLINK("http://bbs.12365auto.com/postcontent.aspx?tID=194495","http://bbs.12365auto.com/postcontent.aspx?tID=194495")</f>
        <v>http://bbs.12365auto.com/postcontent.aspx?tID=194495</v>
      </c>
      <c r="G5563" s="2"/>
      <c r="H5563" s="2" t="s">
        <v>7804</v>
      </c>
      <c r="I5563" s="2" t="s">
        <v>15</v>
      </c>
      <c r="J5563" s="2" t="s">
        <v>1692</v>
      </c>
      <c r="K5563" s="2" t="s">
        <v>7805</v>
      </c>
      <c r="L5563" s="2">
        <f t="shared" si="86"/>
        <v>150</v>
      </c>
    </row>
    <row r="5564" spans="1:12" ht="25" customHeight="1">
      <c r="A5564" s="2" t="s">
        <v>12</v>
      </c>
      <c r="B5564" s="2" t="str">
        <f>HYPERLINK("http://bbs.12365auto.com/postcontent.aspx?tId=194495","本田思域锁车后转向灯一直闪烁")</f>
        <v>本田思域锁车后转向灯一直闪烁</v>
      </c>
      <c r="C5564" s="2" t="s">
        <v>13</v>
      </c>
      <c r="D5564" s="2" t="s">
        <v>12</v>
      </c>
      <c r="E5564" s="2" t="s">
        <v>66</v>
      </c>
      <c r="F5564" s="2" t="str">
        <f>HYPERLINK("http://bbs.12365auto.com/postcontent.aspx?tId=194495","http://bbs.12365auto.com/postcontent.aspx?tId=194495")</f>
        <v>http://bbs.12365auto.com/postcontent.aspx?tId=194495</v>
      </c>
      <c r="G5564" s="2"/>
      <c r="H5564" s="2" t="s">
        <v>7806</v>
      </c>
      <c r="I5564" s="2" t="s">
        <v>15</v>
      </c>
      <c r="J5564" s="2" t="s">
        <v>1692</v>
      </c>
      <c r="K5564" s="2" t="s">
        <v>7805</v>
      </c>
      <c r="L5564" s="2">
        <f t="shared" si="86"/>
        <v>150</v>
      </c>
    </row>
    <row r="5565" spans="1:12" ht="25" customHeight="1">
      <c r="A5565" s="2" t="s">
        <v>12</v>
      </c>
      <c r="B5565" s="2" t="str">
        <f>HYPERLINK("http://m.12365auto.com/bbs/postcontent.aspx?tID=194495","本田思域锁车后转向灯一直闪烁")</f>
        <v>本田思域锁车后转向灯一直闪烁</v>
      </c>
      <c r="C5565" s="2" t="s">
        <v>13</v>
      </c>
      <c r="D5565" s="2" t="s">
        <v>23</v>
      </c>
      <c r="E5565" s="2"/>
      <c r="F5565" s="2" t="str">
        <f>HYPERLINK("http://m.12365auto.com/bbs/postcontent.aspx?tID=194495","http://m.12365auto.com/bbs/postcontent.aspx?tID=194495")</f>
        <v>http://m.12365auto.com/bbs/postcontent.aspx?tID=194495</v>
      </c>
      <c r="G5565" s="2"/>
      <c r="H5565" s="2" t="s">
        <v>7806</v>
      </c>
      <c r="I5565" s="2" t="s">
        <v>15</v>
      </c>
      <c r="J5565" s="2" t="s">
        <v>1692</v>
      </c>
      <c r="K5565" s="2" t="s">
        <v>7805</v>
      </c>
      <c r="L5565" s="2">
        <f t="shared" si="86"/>
        <v>150</v>
      </c>
    </row>
    <row r="5566" spans="1:12" ht="25" customHeight="1">
      <c r="A5566" s="2" t="s">
        <v>12</v>
      </c>
      <c r="B5566" s="2" t="str">
        <f>HYPERLINK("http://m.12365auto.com/xcdg/20200219/418928.shtml","全新瑞虎7将于3月9日上市 预售价8.69万起")</f>
        <v>全新瑞虎7将于3月9日上市 预售价8.69万起</v>
      </c>
      <c r="C5566" s="2" t="s">
        <v>13</v>
      </c>
      <c r="D5566" s="2" t="s">
        <v>12</v>
      </c>
      <c r="E5566" s="2"/>
      <c r="F5566" s="2" t="str">
        <f>HYPERLINK("http://m.12365auto.com/xcdg/20200219/418928.shtml","http://m.12365auto.com/xcdg/20200219/418928.shtml")</f>
        <v>http://m.12365auto.com/xcdg/20200219/418928.shtml</v>
      </c>
      <c r="G5566" s="2"/>
      <c r="H5566" s="2" t="s">
        <v>7807</v>
      </c>
      <c r="I5566" s="2" t="s">
        <v>19</v>
      </c>
      <c r="J5566" s="2" t="s">
        <v>4514</v>
      </c>
      <c r="K5566" s="2" t="s">
        <v>7808</v>
      </c>
      <c r="L5566" s="2">
        <f t="shared" si="86"/>
        <v>150</v>
      </c>
    </row>
    <row r="5567" spans="1:12" ht="25" customHeight="1">
      <c r="A5567" s="2" t="s">
        <v>12</v>
      </c>
      <c r="B5567" s="2" t="str">
        <f>HYPERLINK("http://www.12365auto.com/xcdg/20200219/418928.shtml","全新瑞虎7将于3月9日上市 预售价8.69万起")</f>
        <v>全新瑞虎7将于3月9日上市 预售价8.69万起</v>
      </c>
      <c r="C5567" s="2" t="s">
        <v>13</v>
      </c>
      <c r="D5567" s="2" t="s">
        <v>12</v>
      </c>
      <c r="E5567" s="2" t="s">
        <v>216</v>
      </c>
      <c r="F5567" s="2" t="str">
        <f>HYPERLINK("http://www.12365auto.com/xcdg/20200219/418928.shtml","http://www.12365auto.com/xcdg/20200219/418928.shtml")</f>
        <v>http://www.12365auto.com/xcdg/20200219/418928.shtml</v>
      </c>
      <c r="G5567" s="2"/>
      <c r="H5567" s="2" t="s">
        <v>7809</v>
      </c>
      <c r="I5567" s="2" t="s">
        <v>15</v>
      </c>
      <c r="J5567" s="2" t="s">
        <v>12</v>
      </c>
      <c r="K5567" s="2" t="s">
        <v>7808</v>
      </c>
      <c r="L5567" s="2">
        <f t="shared" si="86"/>
        <v>150</v>
      </c>
    </row>
    <row r="5568" spans="1:12" ht="25" customHeight="1">
      <c r="A5568" s="2" t="s">
        <v>12</v>
      </c>
      <c r="B5568" s="2" t="str">
        <f>HYPERLINK("http://bbs.12365auto.com/postcontent.aspx?tID=194493","长城C30车身生锈存在质量问题")</f>
        <v>长城C30车身生锈存在质量问题</v>
      </c>
      <c r="C5568" s="2" t="s">
        <v>13</v>
      </c>
      <c r="D5568" s="2" t="s">
        <v>12</v>
      </c>
      <c r="E5568" s="2" t="s">
        <v>67</v>
      </c>
      <c r="F5568" s="2" t="str">
        <f>HYPERLINK("http://bbs.12365auto.com/postcontent.aspx?tID=194493","http://bbs.12365auto.com/postcontent.aspx?tID=194493")</f>
        <v>http://bbs.12365auto.com/postcontent.aspx?tID=194493</v>
      </c>
      <c r="G5568" s="2"/>
      <c r="H5568" s="2" t="s">
        <v>7810</v>
      </c>
      <c r="I5568" s="2" t="s">
        <v>15</v>
      </c>
      <c r="J5568" s="2" t="s">
        <v>1697</v>
      </c>
      <c r="K5568" s="2" t="s">
        <v>7808</v>
      </c>
      <c r="L5568" s="2">
        <f t="shared" si="86"/>
        <v>33</v>
      </c>
    </row>
    <row r="5569" spans="1:12" ht="25" customHeight="1">
      <c r="A5569" s="2" t="s">
        <v>12</v>
      </c>
      <c r="B5569" s="2" t="str">
        <f>HYPERLINK("http://bbs.12365auto.com/postcontent.aspx?tID=194494","现代领动耐克森轮胎无故出现鼓包")</f>
        <v>现代领动耐克森轮胎无故出现鼓包</v>
      </c>
      <c r="C5569" s="2" t="s">
        <v>13</v>
      </c>
      <c r="D5569" s="2" t="s">
        <v>12</v>
      </c>
      <c r="E5569" s="2" t="s">
        <v>67</v>
      </c>
      <c r="F5569" s="2" t="str">
        <f>HYPERLINK("http://bbs.12365auto.com/postcontent.aspx?tID=194494","http://bbs.12365auto.com/postcontent.aspx?tID=194494")</f>
        <v>http://bbs.12365auto.com/postcontent.aspx?tID=194494</v>
      </c>
      <c r="G5569" s="2"/>
      <c r="H5569" s="2" t="s">
        <v>7811</v>
      </c>
      <c r="I5569" s="2" t="s">
        <v>15</v>
      </c>
      <c r="J5569" s="2" t="s">
        <v>1689</v>
      </c>
      <c r="K5569" s="2" t="s">
        <v>7808</v>
      </c>
      <c r="L5569" s="2">
        <f t="shared" si="86"/>
        <v>39</v>
      </c>
    </row>
    <row r="5570" spans="1:12" ht="25" customHeight="1">
      <c r="A5570" s="2" t="s">
        <v>12</v>
      </c>
      <c r="B5570" s="2" t="str">
        <f>HYPERLINK("http://bbs.12365auto.com/postcontent.aspx?tId=194494","现代领动耐克森轮胎无故出现鼓包")</f>
        <v>现代领动耐克森轮胎无故出现鼓包</v>
      </c>
      <c r="C5570" s="2" t="s">
        <v>13</v>
      </c>
      <c r="D5570" s="2" t="s">
        <v>12</v>
      </c>
      <c r="E5570" s="2" t="s">
        <v>66</v>
      </c>
      <c r="F5570" s="2" t="str">
        <f>HYPERLINK("http://bbs.12365auto.com/postcontent.aspx?tId=194494","http://bbs.12365auto.com/postcontent.aspx?tId=194494")</f>
        <v>http://bbs.12365auto.com/postcontent.aspx?tId=194494</v>
      </c>
      <c r="G5570" s="2"/>
      <c r="H5570" s="2" t="s">
        <v>7812</v>
      </c>
      <c r="I5570" s="2" t="s">
        <v>15</v>
      </c>
      <c r="J5570" s="2" t="s">
        <v>1689</v>
      </c>
      <c r="K5570" s="2" t="s">
        <v>7808</v>
      </c>
      <c r="L5570" s="2">
        <f t="shared" si="86"/>
        <v>24</v>
      </c>
    </row>
    <row r="5571" spans="1:12" ht="25" customHeight="1">
      <c r="A5571" s="2" t="s">
        <v>12</v>
      </c>
      <c r="B5571" s="2" t="str">
        <f>HYPERLINK("http://bbs.12365auto.com/postcontent.aspx?tId=194493","长城C30车身生锈存在质量问题")</f>
        <v>长城C30车身生锈存在质量问题</v>
      </c>
      <c r="C5571" s="2" t="s">
        <v>13</v>
      </c>
      <c r="D5571" s="2" t="s">
        <v>12</v>
      </c>
      <c r="E5571" s="2" t="s">
        <v>66</v>
      </c>
      <c r="F5571" s="2" t="str">
        <f>HYPERLINK("http://bbs.12365auto.com/postcontent.aspx?tId=194493","http://bbs.12365auto.com/postcontent.aspx?tId=194493")</f>
        <v>http://bbs.12365auto.com/postcontent.aspx?tId=194493</v>
      </c>
      <c r="G5571" s="2"/>
      <c r="H5571" s="2" t="s">
        <v>7813</v>
      </c>
      <c r="I5571" s="2" t="s">
        <v>15</v>
      </c>
      <c r="J5571" s="2" t="s">
        <v>1697</v>
      </c>
      <c r="K5571" s="2" t="s">
        <v>7808</v>
      </c>
      <c r="L5571" s="2">
        <f t="shared" ref="L5571:L5634" si="87">LEN(H5571)</f>
        <v>18</v>
      </c>
    </row>
    <row r="5572" spans="1:12" ht="25" customHeight="1">
      <c r="A5572" s="2" t="s">
        <v>12</v>
      </c>
      <c r="B5572" s="2" t="str">
        <f>HYPERLINK("http://m.12365auto.com/bbs/postcontent.aspx?tID=194493","长城C30车身生锈存在质量问题")</f>
        <v>长城C30车身生锈存在质量问题</v>
      </c>
      <c r="C5572" s="2" t="s">
        <v>13</v>
      </c>
      <c r="D5572" s="2" t="s">
        <v>23</v>
      </c>
      <c r="E5572" s="2"/>
      <c r="F5572" s="2" t="str">
        <f>HYPERLINK("http://m.12365auto.com/bbs/postcontent.aspx?tID=194493","http://m.12365auto.com/bbs/postcontent.aspx?tID=194493")</f>
        <v>http://m.12365auto.com/bbs/postcontent.aspx?tID=194493</v>
      </c>
      <c r="G5572" s="2"/>
      <c r="H5572" s="2" t="s">
        <v>7813</v>
      </c>
      <c r="I5572" s="2" t="s">
        <v>15</v>
      </c>
      <c r="J5572" s="2" t="s">
        <v>1697</v>
      </c>
      <c r="K5572" s="2" t="s">
        <v>7808</v>
      </c>
      <c r="L5572" s="2">
        <f t="shared" si="87"/>
        <v>18</v>
      </c>
    </row>
    <row r="5573" spans="1:12" ht="25" customHeight="1">
      <c r="A5573" s="2" t="s">
        <v>12</v>
      </c>
      <c r="B5573" s="2" t="str">
        <f>HYPERLINK("http://m.12365auto.com/bbs/postcontent.aspx?tID=194494","现代领动耐克森轮胎无故出现鼓包")</f>
        <v>现代领动耐克森轮胎无故出现鼓包</v>
      </c>
      <c r="C5573" s="2" t="s">
        <v>13</v>
      </c>
      <c r="D5573" s="2" t="s">
        <v>23</v>
      </c>
      <c r="E5573" s="2"/>
      <c r="F5573" s="2" t="str">
        <f>HYPERLINK("http://m.12365auto.com/bbs/postcontent.aspx?tID=194494","http://m.12365auto.com/bbs/postcontent.aspx?tID=194494")</f>
        <v>http://m.12365auto.com/bbs/postcontent.aspx?tID=194494</v>
      </c>
      <c r="G5573" s="2"/>
      <c r="H5573" s="2" t="s">
        <v>7812</v>
      </c>
      <c r="I5573" s="2" t="s">
        <v>15</v>
      </c>
      <c r="J5573" s="2" t="s">
        <v>1689</v>
      </c>
      <c r="K5573" s="2" t="s">
        <v>7808</v>
      </c>
      <c r="L5573" s="2">
        <f t="shared" si="87"/>
        <v>24</v>
      </c>
    </row>
    <row r="5574" spans="1:12" ht="25" customHeight="1">
      <c r="A5574" s="2" t="s">
        <v>12</v>
      </c>
      <c r="B5574" s="2" t="str">
        <f>HYPERLINK("http://m.12365auto.com/xcdg/20200219/418927.shtml","零跑S01将推451km续航版本 上半年上市")</f>
        <v>零跑S01将推451km续航版本 上半年上市</v>
      </c>
      <c r="C5574" s="2" t="s">
        <v>13</v>
      </c>
      <c r="D5574" s="2" t="s">
        <v>12</v>
      </c>
      <c r="E5574" s="2"/>
      <c r="F5574" s="2" t="str">
        <f>HYPERLINK("http://m.12365auto.com/xcdg/20200219/418927.shtml","http://m.12365auto.com/xcdg/20200219/418927.shtml")</f>
        <v>http://m.12365auto.com/xcdg/20200219/418927.shtml</v>
      </c>
      <c r="G5574" s="2"/>
      <c r="H5574" s="2" t="s">
        <v>7814</v>
      </c>
      <c r="I5574" s="2" t="s">
        <v>19</v>
      </c>
      <c r="J5574" s="2" t="s">
        <v>7815</v>
      </c>
      <c r="K5574" s="2" t="s">
        <v>7816</v>
      </c>
      <c r="L5574" s="2">
        <f t="shared" si="87"/>
        <v>150</v>
      </c>
    </row>
    <row r="5575" spans="1:12" ht="25" customHeight="1">
      <c r="A5575" s="2" t="s">
        <v>12</v>
      </c>
      <c r="B5575" s="2" t="str">
        <f>HYPERLINK("http://www.12365auto.com/xcdg/20200219/418927.shtml","零跑S01将推451km续航版本 上半年上市")</f>
        <v>零跑S01将推451km续航版本 上半年上市</v>
      </c>
      <c r="C5575" s="2" t="s">
        <v>13</v>
      </c>
      <c r="D5575" s="2" t="s">
        <v>12</v>
      </c>
      <c r="E5575" s="2" t="s">
        <v>216</v>
      </c>
      <c r="F5575" s="2" t="str">
        <f>HYPERLINK("http://www.12365auto.com/xcdg/20200219/418927.shtml","http://www.12365auto.com/xcdg/20200219/418927.shtml")</f>
        <v>http://www.12365auto.com/xcdg/20200219/418927.shtml</v>
      </c>
      <c r="G5575" s="2"/>
      <c r="H5575" s="2" t="s">
        <v>7817</v>
      </c>
      <c r="I5575" s="2" t="s">
        <v>15</v>
      </c>
      <c r="J5575" s="2" t="s">
        <v>12</v>
      </c>
      <c r="K5575" s="2" t="s">
        <v>7816</v>
      </c>
      <c r="L5575" s="2">
        <f t="shared" si="87"/>
        <v>150</v>
      </c>
    </row>
    <row r="5576" spans="1:12" ht="25" customHeight="1">
      <c r="A5576" s="2" t="s">
        <v>12</v>
      </c>
      <c r="B5576" s="2" t="str">
        <f>HYPERLINK("http://bbs.12365auto.com/postcontent.aspx?tID=194492","东风本田CR-V发动机机油乳化严重")</f>
        <v>东风本田CR-V发动机机油乳化严重</v>
      </c>
      <c r="C5576" s="2" t="s">
        <v>13</v>
      </c>
      <c r="D5576" s="2" t="s">
        <v>12</v>
      </c>
      <c r="E5576" s="2" t="s">
        <v>67</v>
      </c>
      <c r="F5576" s="2" t="str">
        <f>HYPERLINK("http://bbs.12365auto.com/postcontent.aspx?tID=194492","http://bbs.12365auto.com/postcontent.aspx?tID=194492")</f>
        <v>http://bbs.12365auto.com/postcontent.aspx?tID=194492</v>
      </c>
      <c r="G5576" s="2"/>
      <c r="H5576" s="2" t="s">
        <v>7818</v>
      </c>
      <c r="I5576" s="2" t="s">
        <v>15</v>
      </c>
      <c r="J5576" s="2" t="s">
        <v>1703</v>
      </c>
      <c r="K5576" s="2" t="s">
        <v>7816</v>
      </c>
      <c r="L5576" s="2">
        <f t="shared" si="87"/>
        <v>44</v>
      </c>
    </row>
    <row r="5577" spans="1:12" ht="25" customHeight="1">
      <c r="A5577" s="2" t="s">
        <v>12</v>
      </c>
      <c r="B5577" s="2" t="str">
        <f>HYPERLINK("http://bbs.12365auto.com/postcontent.aspx?tId=194492","东风本田CR-V发动机机油乳化严重")</f>
        <v>东风本田CR-V发动机机油乳化严重</v>
      </c>
      <c r="C5577" s="2" t="s">
        <v>13</v>
      </c>
      <c r="D5577" s="2" t="s">
        <v>12</v>
      </c>
      <c r="E5577" s="2" t="s">
        <v>66</v>
      </c>
      <c r="F5577" s="2" t="str">
        <f>HYPERLINK("http://bbs.12365auto.com/postcontent.aspx?tId=194492","http://bbs.12365auto.com/postcontent.aspx?tId=194492")</f>
        <v>http://bbs.12365auto.com/postcontent.aspx?tId=194492</v>
      </c>
      <c r="G5577" s="2"/>
      <c r="H5577" s="2" t="s">
        <v>7819</v>
      </c>
      <c r="I5577" s="2" t="s">
        <v>15</v>
      </c>
      <c r="J5577" s="2" t="s">
        <v>1703</v>
      </c>
      <c r="K5577" s="2" t="s">
        <v>7816</v>
      </c>
      <c r="L5577" s="2">
        <f t="shared" si="87"/>
        <v>27</v>
      </c>
    </row>
    <row r="5578" spans="1:12" ht="25" customHeight="1">
      <c r="A5578" s="2" t="s">
        <v>12</v>
      </c>
      <c r="B5578" s="2" t="str">
        <f>HYPERLINK("http://m.12365auto.com/bbs/postcontent.aspx?tID=194492","东风本田CR-V发动机机油乳化严重")</f>
        <v>东风本田CR-V发动机机油乳化严重</v>
      </c>
      <c r="C5578" s="2" t="s">
        <v>13</v>
      </c>
      <c r="D5578" s="2" t="s">
        <v>23</v>
      </c>
      <c r="E5578" s="2"/>
      <c r="F5578" s="2" t="str">
        <f>HYPERLINK("http://m.12365auto.com/bbs/postcontent.aspx?tID=194492","http://m.12365auto.com/bbs/postcontent.aspx?tID=194492")</f>
        <v>http://m.12365auto.com/bbs/postcontent.aspx?tID=194492</v>
      </c>
      <c r="G5578" s="2"/>
      <c r="H5578" s="2" t="s">
        <v>7819</v>
      </c>
      <c r="I5578" s="2" t="s">
        <v>15</v>
      </c>
      <c r="J5578" s="2" t="s">
        <v>1703</v>
      </c>
      <c r="K5578" s="2" t="s">
        <v>7816</v>
      </c>
      <c r="L5578" s="2">
        <f t="shared" si="87"/>
        <v>27</v>
      </c>
    </row>
    <row r="5579" spans="1:12" ht="25" customHeight="1">
      <c r="A5579" s="2" t="s">
        <v>12</v>
      </c>
      <c r="B5579" s="2" t="str">
        <f>HYPERLINK("http://bbs.12365auto.com/postcontent.aspx?tID=194491","斯柯达柯迪亚克方向盘抖动")</f>
        <v>斯柯达柯迪亚克方向盘抖动</v>
      </c>
      <c r="C5579" s="2" t="s">
        <v>13</v>
      </c>
      <c r="D5579" s="2" t="s">
        <v>12</v>
      </c>
      <c r="E5579" s="2" t="s">
        <v>67</v>
      </c>
      <c r="F5579" s="2" t="str">
        <f>HYPERLINK("http://bbs.12365auto.com/postcontent.aspx?tID=194491","http://bbs.12365auto.com/postcontent.aspx?tID=194491")</f>
        <v>http://bbs.12365auto.com/postcontent.aspx?tID=194491</v>
      </c>
      <c r="G5579" s="2"/>
      <c r="H5579" s="2" t="s">
        <v>7820</v>
      </c>
      <c r="I5579" s="2" t="s">
        <v>15</v>
      </c>
      <c r="J5579" s="2" t="s">
        <v>3885</v>
      </c>
      <c r="K5579" s="2" t="s">
        <v>7821</v>
      </c>
      <c r="L5579" s="2">
        <f t="shared" si="87"/>
        <v>89</v>
      </c>
    </row>
    <row r="5580" spans="1:12" ht="25" customHeight="1">
      <c r="A5580" s="2" t="s">
        <v>12</v>
      </c>
      <c r="B5580" s="2" t="str">
        <f>HYPERLINK("http://bbs.12365auto.com/postcontent.aspx?tId=194491","斯柯达柯迪亚克方向盘抖动")</f>
        <v>斯柯达柯迪亚克方向盘抖动</v>
      </c>
      <c r="C5580" s="2" t="s">
        <v>13</v>
      </c>
      <c r="D5580" s="2" t="s">
        <v>12</v>
      </c>
      <c r="E5580" s="2" t="s">
        <v>66</v>
      </c>
      <c r="F5580" s="2" t="str">
        <f>HYPERLINK("http://bbs.12365auto.com/postcontent.aspx?tId=194491","http://bbs.12365auto.com/postcontent.aspx?tId=194491")</f>
        <v>http://bbs.12365auto.com/postcontent.aspx?tId=194491</v>
      </c>
      <c r="G5580" s="2"/>
      <c r="H5580" s="2" t="s">
        <v>7822</v>
      </c>
      <c r="I5580" s="2" t="s">
        <v>15</v>
      </c>
      <c r="J5580" s="2" t="s">
        <v>3885</v>
      </c>
      <c r="K5580" s="2" t="s">
        <v>7821</v>
      </c>
      <c r="L5580" s="2">
        <f t="shared" si="87"/>
        <v>77</v>
      </c>
    </row>
    <row r="5581" spans="1:12" ht="25" customHeight="1">
      <c r="A5581" s="2" t="s">
        <v>12</v>
      </c>
      <c r="B5581" s="2" t="str">
        <f>HYPERLINK("http://m.12365auto.com/bbs/postcontent.aspx?tID=194491","斯柯达柯迪亚克方向盘抖动")</f>
        <v>斯柯达柯迪亚克方向盘抖动</v>
      </c>
      <c r="C5581" s="2" t="s">
        <v>13</v>
      </c>
      <c r="D5581" s="2" t="s">
        <v>23</v>
      </c>
      <c r="E5581" s="2"/>
      <c r="F5581" s="2" t="str">
        <f>HYPERLINK("http://m.12365auto.com/bbs/postcontent.aspx?tID=194491","http://m.12365auto.com/bbs/postcontent.aspx?tID=194491")</f>
        <v>http://m.12365auto.com/bbs/postcontent.aspx?tID=194491</v>
      </c>
      <c r="G5581" s="2"/>
      <c r="H5581" s="2" t="s">
        <v>7822</v>
      </c>
      <c r="I5581" s="2" t="s">
        <v>15</v>
      </c>
      <c r="J5581" s="2" t="s">
        <v>3885</v>
      </c>
      <c r="K5581" s="2" t="s">
        <v>7821</v>
      </c>
      <c r="L5581" s="2">
        <f t="shared" si="87"/>
        <v>77</v>
      </c>
    </row>
    <row r="5582" spans="1:12" ht="25" customHeight="1">
      <c r="A5582" s="2" t="s">
        <v>12</v>
      </c>
      <c r="B5582" s="2" t="str">
        <f>HYPERLINK("http://www.12365auto.com/xcdg/20200219/418926.shtml","全新现代i20官图发布 将亮相日内瓦车展")</f>
        <v>全新现代i20官图发布 将亮相日内瓦车展</v>
      </c>
      <c r="C5582" s="2" t="s">
        <v>13</v>
      </c>
      <c r="D5582" s="2" t="s">
        <v>12</v>
      </c>
      <c r="E5582" s="2" t="s">
        <v>216</v>
      </c>
      <c r="F5582" s="2" t="str">
        <f>HYPERLINK("http://www.12365auto.com/xcdg/20200219/418926.shtml","http://www.12365auto.com/xcdg/20200219/418926.shtml")</f>
        <v>http://www.12365auto.com/xcdg/20200219/418926.shtml</v>
      </c>
      <c r="G5582" s="2"/>
      <c r="H5582" s="2" t="s">
        <v>7823</v>
      </c>
      <c r="I5582" s="2" t="s">
        <v>15</v>
      </c>
      <c r="J5582" s="2" t="s">
        <v>12</v>
      </c>
      <c r="K5582" s="2" t="s">
        <v>7824</v>
      </c>
      <c r="L5582" s="2">
        <f t="shared" si="87"/>
        <v>150</v>
      </c>
    </row>
    <row r="5583" spans="1:12" ht="25" customHeight="1">
      <c r="A5583" s="2" t="s">
        <v>12</v>
      </c>
      <c r="B5583" s="2" t="str">
        <f>HYPERLINK("http://bbs.12365auto.com/postcontent.aspx?tID=194490","奇瑞瑞虎8水箱泄漏防冻液")</f>
        <v>奇瑞瑞虎8水箱泄漏防冻液</v>
      </c>
      <c r="C5583" s="2" t="s">
        <v>13</v>
      </c>
      <c r="D5583" s="2" t="s">
        <v>12</v>
      </c>
      <c r="E5583" s="2" t="s">
        <v>67</v>
      </c>
      <c r="F5583" s="2" t="str">
        <f>HYPERLINK("http://bbs.12365auto.com/postcontent.aspx?tID=194490","http://bbs.12365auto.com/postcontent.aspx?tID=194490")</f>
        <v>http://bbs.12365auto.com/postcontent.aspx?tID=194490</v>
      </c>
      <c r="G5583" s="2"/>
      <c r="H5583" s="2" t="s">
        <v>7825</v>
      </c>
      <c r="I5583" s="2" t="s">
        <v>15</v>
      </c>
      <c r="J5583" s="2" t="s">
        <v>3888</v>
      </c>
      <c r="K5583" s="2" t="s">
        <v>7824</v>
      </c>
      <c r="L5583" s="2">
        <f t="shared" si="87"/>
        <v>150</v>
      </c>
    </row>
    <row r="5584" spans="1:12" ht="25" customHeight="1">
      <c r="A5584" s="2" t="s">
        <v>12</v>
      </c>
      <c r="B5584" s="2" t="str">
        <f>HYPERLINK("http://bbs.12365auto.com/postcontent.aspx?tID=194489","广汽菲克菲亚特致悦变速箱液压执行单元漏油")</f>
        <v>广汽菲克菲亚特致悦变速箱液压执行单元漏油</v>
      </c>
      <c r="C5584" s="2" t="s">
        <v>13</v>
      </c>
      <c r="D5584" s="2" t="s">
        <v>12</v>
      </c>
      <c r="E5584" s="2" t="s">
        <v>67</v>
      </c>
      <c r="F5584" s="2" t="str">
        <f>HYPERLINK("http://bbs.12365auto.com/postcontent.aspx?tID=194489","http://bbs.12365auto.com/postcontent.aspx?tID=194489")</f>
        <v>http://bbs.12365auto.com/postcontent.aspx?tID=194489</v>
      </c>
      <c r="G5584" s="2"/>
      <c r="H5584" s="2" t="s">
        <v>7826</v>
      </c>
      <c r="I5584" s="2" t="s">
        <v>15</v>
      </c>
      <c r="J5584" s="2" t="s">
        <v>3892</v>
      </c>
      <c r="K5584" s="2" t="s">
        <v>7824</v>
      </c>
      <c r="L5584" s="2">
        <f t="shared" si="87"/>
        <v>52</v>
      </c>
    </row>
    <row r="5585" spans="1:12" ht="25" customHeight="1">
      <c r="A5585" s="2" t="s">
        <v>12</v>
      </c>
      <c r="B5585" s="2" t="str">
        <f>HYPERLINK("http://m.12365auto.com/xcdg/20200219/418926.shtml","全新现代i20官图发布 将亮相日内瓦车展")</f>
        <v>全新现代i20官图发布 将亮相日内瓦车展</v>
      </c>
      <c r="C5585" s="2" t="s">
        <v>13</v>
      </c>
      <c r="D5585" s="2" t="s">
        <v>12</v>
      </c>
      <c r="E5585" s="2"/>
      <c r="F5585" s="2" t="str">
        <f>HYPERLINK("http://m.12365auto.com/xcdg/20200219/418926.shtml","http://m.12365auto.com/xcdg/20200219/418926.shtml")</f>
        <v>http://m.12365auto.com/xcdg/20200219/418926.shtml</v>
      </c>
      <c r="G5585" s="2"/>
      <c r="H5585" s="2" t="s">
        <v>7827</v>
      </c>
      <c r="I5585" s="2" t="s">
        <v>19</v>
      </c>
      <c r="J5585" s="2" t="s">
        <v>984</v>
      </c>
      <c r="K5585" s="2" t="s">
        <v>7824</v>
      </c>
      <c r="L5585" s="2">
        <f t="shared" si="87"/>
        <v>150</v>
      </c>
    </row>
    <row r="5586" spans="1:12" ht="25" customHeight="1">
      <c r="A5586" s="2" t="s">
        <v>12</v>
      </c>
      <c r="B5586" s="2" t="str">
        <f>HYPERLINK("http://bbs.12365auto.com/postcontent.aspx?tId=194490","奇瑞瑞虎8水箱泄漏防冻液")</f>
        <v>奇瑞瑞虎8水箱泄漏防冻液</v>
      </c>
      <c r="C5586" s="2" t="s">
        <v>13</v>
      </c>
      <c r="D5586" s="2" t="s">
        <v>12</v>
      </c>
      <c r="E5586" s="2" t="s">
        <v>66</v>
      </c>
      <c r="F5586" s="2" t="str">
        <f>HYPERLINK("http://bbs.12365auto.com/postcontent.aspx?tId=194490","http://bbs.12365auto.com/postcontent.aspx?tId=194490")</f>
        <v>http://bbs.12365auto.com/postcontent.aspx?tId=194490</v>
      </c>
      <c r="G5586" s="2"/>
      <c r="H5586" s="2" t="s">
        <v>7828</v>
      </c>
      <c r="I5586" s="2" t="s">
        <v>15</v>
      </c>
      <c r="J5586" s="2" t="s">
        <v>3888</v>
      </c>
      <c r="K5586" s="2" t="s">
        <v>7824</v>
      </c>
      <c r="L5586" s="2">
        <f t="shared" si="87"/>
        <v>150</v>
      </c>
    </row>
    <row r="5587" spans="1:12" ht="25" customHeight="1">
      <c r="A5587" s="2" t="s">
        <v>12</v>
      </c>
      <c r="B5587" s="2" t="str">
        <f>HYPERLINK("http://bbs.12365auto.com/postcontent.aspx?tId=194489","广汽菲克菲亚特致悦变速箱液压执行单元漏油")</f>
        <v>广汽菲克菲亚特致悦变速箱液压执行单元漏油</v>
      </c>
      <c r="C5587" s="2" t="s">
        <v>13</v>
      </c>
      <c r="D5587" s="2" t="s">
        <v>12</v>
      </c>
      <c r="E5587" s="2" t="s">
        <v>66</v>
      </c>
      <c r="F5587" s="2" t="str">
        <f>HYPERLINK("http://bbs.12365auto.com/postcontent.aspx?tId=194489","http://bbs.12365auto.com/postcontent.aspx?tId=194489")</f>
        <v>http://bbs.12365auto.com/postcontent.aspx?tId=194489</v>
      </c>
      <c r="G5587" s="2"/>
      <c r="H5587" s="2" t="s">
        <v>7829</v>
      </c>
      <c r="I5587" s="2" t="s">
        <v>15</v>
      </c>
      <c r="J5587" s="2" t="s">
        <v>3892</v>
      </c>
      <c r="K5587" s="2" t="s">
        <v>7824</v>
      </c>
      <c r="L5587" s="2">
        <f t="shared" si="87"/>
        <v>32</v>
      </c>
    </row>
    <row r="5588" spans="1:12" ht="25" customHeight="1">
      <c r="A5588" s="2" t="s">
        <v>12</v>
      </c>
      <c r="B5588" s="2" t="str">
        <f>HYPERLINK("http://m.12365auto.com/bbs/postcontent.aspx?tID=194490","奇瑞瑞虎8水箱泄漏防冻液")</f>
        <v>奇瑞瑞虎8水箱泄漏防冻液</v>
      </c>
      <c r="C5588" s="2" t="s">
        <v>13</v>
      </c>
      <c r="D5588" s="2" t="s">
        <v>23</v>
      </c>
      <c r="E5588" s="2"/>
      <c r="F5588" s="2" t="str">
        <f>HYPERLINK("http://m.12365auto.com/bbs/postcontent.aspx?tID=194490","http://m.12365auto.com/bbs/postcontent.aspx?tID=194490")</f>
        <v>http://m.12365auto.com/bbs/postcontent.aspx?tID=194490</v>
      </c>
      <c r="G5588" s="2"/>
      <c r="H5588" s="2" t="s">
        <v>7828</v>
      </c>
      <c r="I5588" s="2" t="s">
        <v>15</v>
      </c>
      <c r="J5588" s="2" t="s">
        <v>3888</v>
      </c>
      <c r="K5588" s="2" t="s">
        <v>7824</v>
      </c>
      <c r="L5588" s="2">
        <f t="shared" si="87"/>
        <v>150</v>
      </c>
    </row>
    <row r="5589" spans="1:12" ht="25" customHeight="1">
      <c r="A5589" s="2" t="s">
        <v>12</v>
      </c>
      <c r="B5589" s="2" t="str">
        <f>HYPERLINK("http://m.12365auto.com/bbs/postcontent.aspx?tID=194489","广汽菲克菲亚特致悦变速箱液压执行单元漏油")</f>
        <v>广汽菲克菲亚特致悦变速箱液压执行单元漏油</v>
      </c>
      <c r="C5589" s="2" t="s">
        <v>13</v>
      </c>
      <c r="D5589" s="2" t="s">
        <v>23</v>
      </c>
      <c r="E5589" s="2"/>
      <c r="F5589" s="2" t="str">
        <f>HYPERLINK("http://m.12365auto.com/bbs/postcontent.aspx?tID=194489","http://m.12365auto.com/bbs/postcontent.aspx?tID=194489")</f>
        <v>http://m.12365auto.com/bbs/postcontent.aspx?tID=194489</v>
      </c>
      <c r="G5589" s="2"/>
      <c r="H5589" s="2" t="s">
        <v>7829</v>
      </c>
      <c r="I5589" s="2" t="s">
        <v>15</v>
      </c>
      <c r="J5589" s="2" t="s">
        <v>3892</v>
      </c>
      <c r="K5589" s="2" t="s">
        <v>7824</v>
      </c>
      <c r="L5589" s="2">
        <f t="shared" si="87"/>
        <v>32</v>
      </c>
    </row>
    <row r="5590" spans="1:12" ht="25" customHeight="1">
      <c r="A5590" s="2" t="s">
        <v>12</v>
      </c>
      <c r="B5590" s="2" t="str">
        <f>HYPERLINK("http://bbs.12365auto.com/postcontent.aspx?tID=194488","上汽荣威RX3车灯不亮 车门异响")</f>
        <v>上汽荣威RX3车灯不亮 车门异响</v>
      </c>
      <c r="C5590" s="2" t="s">
        <v>13</v>
      </c>
      <c r="D5590" s="2" t="s">
        <v>12</v>
      </c>
      <c r="E5590" s="2" t="s">
        <v>67</v>
      </c>
      <c r="F5590" s="2" t="str">
        <f>HYPERLINK("http://bbs.12365auto.com/postcontent.aspx?tID=194488","http://bbs.12365auto.com/postcontent.aspx?tID=194488")</f>
        <v>http://bbs.12365auto.com/postcontent.aspx?tID=194488</v>
      </c>
      <c r="G5590" s="2"/>
      <c r="H5590" s="2" t="s">
        <v>7830</v>
      </c>
      <c r="I5590" s="2" t="s">
        <v>15</v>
      </c>
      <c r="J5590" s="2" t="s">
        <v>3899</v>
      </c>
      <c r="K5590" s="2" t="s">
        <v>7831</v>
      </c>
      <c r="L5590" s="2">
        <f t="shared" si="87"/>
        <v>74</v>
      </c>
    </row>
    <row r="5591" spans="1:12" ht="25" customHeight="1">
      <c r="A5591" s="2" t="s">
        <v>12</v>
      </c>
      <c r="B5591" s="2" t="str">
        <f>HYPERLINK("http://bbs.12365auto.com/postcontent.aspx?tId=194488","上汽荣威RX3车灯不亮 车门异响")</f>
        <v>上汽荣威RX3车灯不亮 车门异响</v>
      </c>
      <c r="C5591" s="2" t="s">
        <v>13</v>
      </c>
      <c r="D5591" s="2" t="s">
        <v>12</v>
      </c>
      <c r="E5591" s="2" t="s">
        <v>66</v>
      </c>
      <c r="F5591" s="2" t="str">
        <f>HYPERLINK("http://bbs.12365auto.com/postcontent.aspx?tId=194488","http://bbs.12365auto.com/postcontent.aspx?tId=194488")</f>
        <v>http://bbs.12365auto.com/postcontent.aspx?tId=194488</v>
      </c>
      <c r="G5591" s="2"/>
      <c r="H5591" s="2" t="s">
        <v>7832</v>
      </c>
      <c r="I5591" s="2" t="s">
        <v>15</v>
      </c>
      <c r="J5591" s="2" t="s">
        <v>3899</v>
      </c>
      <c r="K5591" s="2" t="s">
        <v>7831</v>
      </c>
      <c r="L5591" s="2">
        <f t="shared" si="87"/>
        <v>58</v>
      </c>
    </row>
    <row r="5592" spans="1:12" ht="25" customHeight="1">
      <c r="A5592" s="2" t="s">
        <v>12</v>
      </c>
      <c r="B5592" s="2" t="str">
        <f>HYPERLINK("http://m.12365auto.com/bbs/postcontent.aspx?tID=194488","上汽荣威RX3车灯不亮 车门异响")</f>
        <v>上汽荣威RX3车灯不亮 车门异响</v>
      </c>
      <c r="C5592" s="2" t="s">
        <v>13</v>
      </c>
      <c r="D5592" s="2" t="s">
        <v>23</v>
      </c>
      <c r="E5592" s="2"/>
      <c r="F5592" s="2" t="str">
        <f>HYPERLINK("http://m.12365auto.com/bbs/postcontent.aspx?tID=194488","http://m.12365auto.com/bbs/postcontent.aspx?tID=194488")</f>
        <v>http://m.12365auto.com/bbs/postcontent.aspx?tID=194488</v>
      </c>
      <c r="G5592" s="2"/>
      <c r="H5592" s="2" t="s">
        <v>7832</v>
      </c>
      <c r="I5592" s="2" t="s">
        <v>15</v>
      </c>
      <c r="J5592" s="2" t="s">
        <v>3899</v>
      </c>
      <c r="K5592" s="2" t="s">
        <v>7831</v>
      </c>
      <c r="L5592" s="2">
        <f t="shared" si="87"/>
        <v>58</v>
      </c>
    </row>
    <row r="5593" spans="1:12" ht="25" customHeight="1">
      <c r="A5593" s="2" t="s">
        <v>12</v>
      </c>
      <c r="B5593" s="2" t="str">
        <f>HYPERLINK("http://www.12365auto.com/xcdg/20200219/418925.shtml","全新飞度Type R效果图曝光 造型又萌又猛")</f>
        <v>全新飞度Type R效果图曝光 造型又萌又猛</v>
      </c>
      <c r="C5593" s="2" t="s">
        <v>13</v>
      </c>
      <c r="D5593" s="2" t="s">
        <v>12</v>
      </c>
      <c r="E5593" s="2" t="s">
        <v>216</v>
      </c>
      <c r="F5593" s="2" t="str">
        <f>HYPERLINK("http://www.12365auto.com/xcdg/20200219/418925.shtml","http://www.12365auto.com/xcdg/20200219/418925.shtml")</f>
        <v>http://www.12365auto.com/xcdg/20200219/418925.shtml</v>
      </c>
      <c r="G5593" s="2"/>
      <c r="H5593" s="2" t="s">
        <v>7833</v>
      </c>
      <c r="I5593" s="2" t="s">
        <v>15</v>
      </c>
      <c r="J5593" s="2" t="s">
        <v>12</v>
      </c>
      <c r="K5593" s="2" t="s">
        <v>7834</v>
      </c>
      <c r="L5593" s="2">
        <f t="shared" si="87"/>
        <v>150</v>
      </c>
    </row>
    <row r="5594" spans="1:12" ht="25" customHeight="1">
      <c r="A5594" s="2" t="s">
        <v>12</v>
      </c>
      <c r="B5594" s="2" t="str">
        <f>HYPERLINK("http://bbs.12365auto.com/postcontent.aspx?tID=194487","日产轩逸化妆镜处漏水 中控台异响")</f>
        <v>日产轩逸化妆镜处漏水 中控台异响</v>
      </c>
      <c r="C5594" s="2" t="s">
        <v>13</v>
      </c>
      <c r="D5594" s="2" t="s">
        <v>12</v>
      </c>
      <c r="E5594" s="2" t="s">
        <v>67</v>
      </c>
      <c r="F5594" s="2" t="str">
        <f>HYPERLINK("http://bbs.12365auto.com/postcontent.aspx?tID=194487","http://bbs.12365auto.com/postcontent.aspx?tID=194487")</f>
        <v>http://bbs.12365auto.com/postcontent.aspx?tID=194487</v>
      </c>
      <c r="G5594" s="2"/>
      <c r="H5594" s="2" t="s">
        <v>7835</v>
      </c>
      <c r="I5594" s="2" t="s">
        <v>15</v>
      </c>
      <c r="J5594" s="2" t="s">
        <v>3904</v>
      </c>
      <c r="K5594" s="2" t="s">
        <v>7834</v>
      </c>
      <c r="L5594" s="2">
        <f t="shared" si="87"/>
        <v>97</v>
      </c>
    </row>
    <row r="5595" spans="1:12" ht="25" customHeight="1">
      <c r="A5595" s="2" t="s">
        <v>12</v>
      </c>
      <c r="B5595" s="2" t="str">
        <f>HYPERLINK("http://m.12365auto.com/xcdg/20200219/418925.shtml","全新飞度Type R效果图曝光 造型又萌又猛")</f>
        <v>全新飞度Type R效果图曝光 造型又萌又猛</v>
      </c>
      <c r="C5595" s="2" t="s">
        <v>13</v>
      </c>
      <c r="D5595" s="2" t="s">
        <v>12</v>
      </c>
      <c r="E5595" s="2"/>
      <c r="F5595" s="2" t="str">
        <f>HYPERLINK("http://m.12365auto.com/xcdg/20200219/418925.shtml","http://m.12365auto.com/xcdg/20200219/418925.shtml")</f>
        <v>http://m.12365auto.com/xcdg/20200219/418925.shtml</v>
      </c>
      <c r="G5595" s="2"/>
      <c r="H5595" s="2" t="s">
        <v>7836</v>
      </c>
      <c r="I5595" s="2" t="s">
        <v>19</v>
      </c>
      <c r="J5595" s="2" t="s">
        <v>4514</v>
      </c>
      <c r="K5595" s="2" t="s">
        <v>7834</v>
      </c>
      <c r="L5595" s="2">
        <f t="shared" si="87"/>
        <v>150</v>
      </c>
    </row>
    <row r="5596" spans="1:12" ht="25" customHeight="1">
      <c r="A5596" s="2" t="s">
        <v>12</v>
      </c>
      <c r="B5596" s="2" t="str">
        <f>HYPERLINK("http://bbs.12365auto.com/postcontent.aspx?tId=194487","日产轩逸化妆镜处漏水 中控台异响")</f>
        <v>日产轩逸化妆镜处漏水 中控台异响</v>
      </c>
      <c r="C5596" s="2" t="s">
        <v>13</v>
      </c>
      <c r="D5596" s="2" t="s">
        <v>12</v>
      </c>
      <c r="E5596" s="2" t="s">
        <v>66</v>
      </c>
      <c r="F5596" s="2" t="str">
        <f>HYPERLINK("http://bbs.12365auto.com/postcontent.aspx?tId=194487","http://bbs.12365auto.com/postcontent.aspx?tId=194487")</f>
        <v>http://bbs.12365auto.com/postcontent.aspx?tId=194487</v>
      </c>
      <c r="G5596" s="2"/>
      <c r="H5596" s="2" t="s">
        <v>6152</v>
      </c>
      <c r="I5596" s="2" t="s">
        <v>15</v>
      </c>
      <c r="J5596" s="2" t="s">
        <v>3904</v>
      </c>
      <c r="K5596" s="2" t="s">
        <v>7834</v>
      </c>
      <c r="L5596" s="2">
        <f t="shared" si="87"/>
        <v>81</v>
      </c>
    </row>
    <row r="5597" spans="1:12" ht="25" customHeight="1">
      <c r="A5597" s="2" t="s">
        <v>12</v>
      </c>
      <c r="B5597" s="2" t="str">
        <f>HYPERLINK("http://www.12365auto.com/xcdg/20200219/418924.shtml","福特Bronco于今年3月首次亮相")</f>
        <v>福特Bronco于今年3月首次亮相</v>
      </c>
      <c r="C5597" s="2" t="s">
        <v>13</v>
      </c>
      <c r="D5597" s="2" t="s">
        <v>12</v>
      </c>
      <c r="E5597" s="2" t="s">
        <v>216</v>
      </c>
      <c r="F5597" s="2" t="str">
        <f>HYPERLINK("http://www.12365auto.com/xcdg/20200219/418924.shtml","http://www.12365auto.com/xcdg/20200219/418924.shtml")</f>
        <v>http://www.12365auto.com/xcdg/20200219/418924.shtml</v>
      </c>
      <c r="G5597" s="2"/>
      <c r="H5597" s="2" t="s">
        <v>7837</v>
      </c>
      <c r="I5597" s="2" t="s">
        <v>15</v>
      </c>
      <c r="J5597" s="2" t="s">
        <v>12</v>
      </c>
      <c r="K5597" s="2" t="s">
        <v>7838</v>
      </c>
      <c r="L5597" s="2">
        <f t="shared" si="87"/>
        <v>150</v>
      </c>
    </row>
    <row r="5598" spans="1:12" ht="25" customHeight="1">
      <c r="A5598" s="2" t="s">
        <v>12</v>
      </c>
      <c r="B5598" s="2" t="str">
        <f>HYPERLINK("http://m.12365auto.com/xcdg/20200219/418924.shtml","福特Bronco于今年3月首次亮相")</f>
        <v>福特Bronco于今年3月首次亮相</v>
      </c>
      <c r="C5598" s="2" t="s">
        <v>13</v>
      </c>
      <c r="D5598" s="2" t="s">
        <v>12</v>
      </c>
      <c r="E5598" s="2"/>
      <c r="F5598" s="2" t="str">
        <f>HYPERLINK("http://m.12365auto.com/xcdg/20200219/418924.shtml","http://m.12365auto.com/xcdg/20200219/418924.shtml")</f>
        <v>http://m.12365auto.com/xcdg/20200219/418924.shtml</v>
      </c>
      <c r="G5598" s="2"/>
      <c r="H5598" s="2" t="s">
        <v>7839</v>
      </c>
      <c r="I5598" s="2" t="s">
        <v>19</v>
      </c>
      <c r="J5598" s="2" t="s">
        <v>4502</v>
      </c>
      <c r="K5598" s="2" t="s">
        <v>7838</v>
      </c>
      <c r="L5598" s="2">
        <f t="shared" si="87"/>
        <v>150</v>
      </c>
    </row>
    <row r="5599" spans="1:12" ht="25" customHeight="1">
      <c r="A5599" s="2" t="s">
        <v>12</v>
      </c>
      <c r="B5599" s="2" t="str">
        <f>HYPERLINK("http://www.12365auto.com/xcdg/20200219/418923.shtml","超跑新势力Czinger 21C 将于日内瓦车展亮相")</f>
        <v>超跑新势力Czinger 21C 将于日内瓦车展亮相</v>
      </c>
      <c r="C5599" s="2" t="s">
        <v>13</v>
      </c>
      <c r="D5599" s="2" t="s">
        <v>12</v>
      </c>
      <c r="E5599" s="2" t="s">
        <v>216</v>
      </c>
      <c r="F5599" s="2" t="str">
        <f>HYPERLINK("http://www.12365auto.com/xcdg/20200219/418923.shtml","http://www.12365auto.com/xcdg/20200219/418923.shtml")</f>
        <v>http://www.12365auto.com/xcdg/20200219/418923.shtml</v>
      </c>
      <c r="G5599" s="2"/>
      <c r="H5599" s="2" t="s">
        <v>7840</v>
      </c>
      <c r="I5599" s="2" t="s">
        <v>15</v>
      </c>
      <c r="J5599" s="2" t="s">
        <v>12</v>
      </c>
      <c r="K5599" s="2" t="s">
        <v>7841</v>
      </c>
      <c r="L5599" s="2">
        <f t="shared" si="87"/>
        <v>150</v>
      </c>
    </row>
    <row r="5600" spans="1:12" ht="25" customHeight="1">
      <c r="A5600" s="2" t="s">
        <v>12</v>
      </c>
      <c r="B5600" s="2" t="str">
        <f>HYPERLINK("http://m.12365auto.com/xcdg/20200219/418923.shtml","超跑新势力Czinger 21C 将于日内瓦车展亮相")</f>
        <v>超跑新势力Czinger 21C 将于日内瓦车展亮相</v>
      </c>
      <c r="C5600" s="2" t="s">
        <v>13</v>
      </c>
      <c r="D5600" s="2" t="s">
        <v>12</v>
      </c>
      <c r="E5600" s="2"/>
      <c r="F5600" s="2" t="str">
        <f>HYPERLINK("http://m.12365auto.com/xcdg/20200219/418923.shtml","http://m.12365auto.com/xcdg/20200219/418923.shtml")</f>
        <v>http://m.12365auto.com/xcdg/20200219/418923.shtml</v>
      </c>
      <c r="G5600" s="2"/>
      <c r="H5600" s="2" t="s">
        <v>7842</v>
      </c>
      <c r="I5600" s="2" t="s">
        <v>19</v>
      </c>
      <c r="J5600" s="2" t="s">
        <v>984</v>
      </c>
      <c r="K5600" s="2" t="s">
        <v>7841</v>
      </c>
      <c r="L5600" s="2">
        <f t="shared" si="87"/>
        <v>150</v>
      </c>
    </row>
    <row r="5601" spans="1:12" ht="25" customHeight="1">
      <c r="A5601" s="2" t="s">
        <v>12</v>
      </c>
      <c r="B5601" s="2" t="str">
        <f>HYPERLINK("http://bbs.12365auto.com/postcontent.aspx?tId=194485","十条汽车界的冷知识")</f>
        <v>十条汽车界的冷知识</v>
      </c>
      <c r="C5601" s="2" t="s">
        <v>13</v>
      </c>
      <c r="D5601" s="2" t="s">
        <v>12</v>
      </c>
      <c r="E5601" s="2" t="s">
        <v>27</v>
      </c>
      <c r="F5601" s="2" t="str">
        <f>HYPERLINK("http://bbs.12365auto.com/postcontent.aspx?tId=194485","http://bbs.12365auto.com/postcontent.aspx?tId=194485")</f>
        <v>http://bbs.12365auto.com/postcontent.aspx?tId=194485</v>
      </c>
      <c r="G5601" s="2"/>
      <c r="H5601" s="2" t="s">
        <v>7843</v>
      </c>
      <c r="I5601" s="2" t="s">
        <v>15</v>
      </c>
      <c r="J5601" s="2" t="s">
        <v>4330</v>
      </c>
      <c r="K5601" s="2" t="s">
        <v>7844</v>
      </c>
      <c r="L5601" s="2">
        <f t="shared" si="87"/>
        <v>150</v>
      </c>
    </row>
    <row r="5602" spans="1:12" ht="25" customHeight="1">
      <c r="A5602" s="2" t="s">
        <v>12</v>
      </c>
      <c r="B5602" s="2" t="str">
        <f>HYPERLINK("http://www.12365auto.com/zlts/20200219/447715.shtml","上汽大众凌渡后轮减震器漏油一直未联系")</f>
        <v>上汽大众凌渡后轮减震器漏油一直未联系</v>
      </c>
      <c r="C5602" s="2" t="s">
        <v>13</v>
      </c>
      <c r="D5602" s="2" t="s">
        <v>12</v>
      </c>
      <c r="E5602" s="2" t="s">
        <v>17</v>
      </c>
      <c r="F5602" s="2" t="str">
        <f>HYPERLINK("http://www.12365auto.com/zlts/20200219/447715.shtml","http://www.12365auto.com/zlts/20200219/447715.shtml")</f>
        <v>http://www.12365auto.com/zlts/20200219/447715.shtml</v>
      </c>
      <c r="G5602" s="2"/>
      <c r="H5602" s="2" t="s">
        <v>7845</v>
      </c>
      <c r="I5602" s="2" t="s">
        <v>19</v>
      </c>
      <c r="J5602" s="2" t="s">
        <v>12</v>
      </c>
      <c r="K5602" s="2" t="s">
        <v>7844</v>
      </c>
      <c r="L5602" s="2">
        <f t="shared" si="87"/>
        <v>150</v>
      </c>
    </row>
    <row r="5603" spans="1:12" ht="25" customHeight="1">
      <c r="A5603" s="2" t="s">
        <v>12</v>
      </c>
      <c r="B5603" s="2" t="str">
        <f>HYPERLINK("http://m.12365auto.com/bbs/postcontent.aspx?tID=194485","十条汽车界的冷知识")</f>
        <v>十条汽车界的冷知识</v>
      </c>
      <c r="C5603" s="2" t="s">
        <v>13</v>
      </c>
      <c r="D5603" s="2" t="s">
        <v>23</v>
      </c>
      <c r="E5603" s="2"/>
      <c r="F5603" s="2" t="str">
        <f>HYPERLINK("http://m.12365auto.com/bbs/postcontent.aspx?tID=194485","http://m.12365auto.com/bbs/postcontent.aspx?tID=194485")</f>
        <v>http://m.12365auto.com/bbs/postcontent.aspx?tID=194485</v>
      </c>
      <c r="G5603" s="2"/>
      <c r="H5603" s="2" t="s">
        <v>7843</v>
      </c>
      <c r="I5603" s="2" t="s">
        <v>15</v>
      </c>
      <c r="J5603" s="2" t="s">
        <v>4330</v>
      </c>
      <c r="K5603" s="2" t="s">
        <v>7844</v>
      </c>
      <c r="L5603" s="2">
        <f t="shared" si="87"/>
        <v>150</v>
      </c>
    </row>
    <row r="5604" spans="1:12" ht="25" customHeight="1">
      <c r="A5604" s="2" t="s">
        <v>12</v>
      </c>
      <c r="B5604" s="2" t="str">
        <f>HYPERLINK("http://bbs.12365auto.com/postcontent.aspx?tID=194485","十条汽车界的冷知识")</f>
        <v>十条汽车界的冷知识</v>
      </c>
      <c r="C5604" s="2" t="s">
        <v>13</v>
      </c>
      <c r="D5604" s="2" t="s">
        <v>12</v>
      </c>
      <c r="E5604" s="2" t="s">
        <v>28</v>
      </c>
      <c r="F5604" s="2" t="str">
        <f>HYPERLINK("http://bbs.12365auto.com/postcontent.aspx?tID=194485","http://bbs.12365auto.com/postcontent.aspx?tID=194485")</f>
        <v>http://bbs.12365auto.com/postcontent.aspx?tID=194485</v>
      </c>
      <c r="G5604" s="2"/>
      <c r="H5604" s="2" t="s">
        <v>7846</v>
      </c>
      <c r="I5604" s="2" t="s">
        <v>15</v>
      </c>
      <c r="J5604" s="2" t="s">
        <v>4330</v>
      </c>
      <c r="K5604" s="2" t="s">
        <v>7844</v>
      </c>
      <c r="L5604" s="2">
        <f t="shared" si="87"/>
        <v>150</v>
      </c>
    </row>
    <row r="5605" spans="1:12" ht="25" customHeight="1">
      <c r="A5605" s="2" t="s">
        <v>12</v>
      </c>
      <c r="B5605" s="2" t="str">
        <f>HYPERLINK("http://bbs.12365auto.com/postcontent.aspx?tId=194482","2020年最值得期待拥有的10款电动汽车")</f>
        <v>2020年最值得期待拥有的10款电动汽车</v>
      </c>
      <c r="C5605" s="2" t="s">
        <v>13</v>
      </c>
      <c r="D5605" s="2" t="s">
        <v>12</v>
      </c>
      <c r="E5605" s="2" t="s">
        <v>27</v>
      </c>
      <c r="F5605" s="2" t="str">
        <f>HYPERLINK("http://bbs.12365auto.com/postcontent.aspx?tId=194482","http://bbs.12365auto.com/postcontent.aspx?tId=194482")</f>
        <v>http://bbs.12365auto.com/postcontent.aspx?tId=194482</v>
      </c>
      <c r="G5605" s="2"/>
      <c r="H5605" s="2" t="s">
        <v>7847</v>
      </c>
      <c r="I5605" s="2" t="s">
        <v>15</v>
      </c>
      <c r="J5605" s="2" t="s">
        <v>4330</v>
      </c>
      <c r="K5605" s="2" t="s">
        <v>7848</v>
      </c>
      <c r="L5605" s="2">
        <f t="shared" si="87"/>
        <v>150</v>
      </c>
    </row>
    <row r="5606" spans="1:12" ht="25" customHeight="1">
      <c r="A5606" s="2" t="s">
        <v>12</v>
      </c>
      <c r="B5606" s="2" t="str">
        <f>HYPERLINK("http://bbs.12365auto.com/postcontent.aspx?tId=194484","2020年最受期待的十款跑车")</f>
        <v>2020年最受期待的十款跑车</v>
      </c>
      <c r="C5606" s="2" t="s">
        <v>13</v>
      </c>
      <c r="D5606" s="2" t="s">
        <v>12</v>
      </c>
      <c r="E5606" s="2" t="s">
        <v>27</v>
      </c>
      <c r="F5606" s="2" t="str">
        <f>HYPERLINK("http://bbs.12365auto.com/postcontent.aspx?tId=194484","http://bbs.12365auto.com/postcontent.aspx?tId=194484")</f>
        <v>http://bbs.12365auto.com/postcontent.aspx?tId=194484</v>
      </c>
      <c r="G5606" s="2"/>
      <c r="H5606" s="2" t="s">
        <v>7849</v>
      </c>
      <c r="I5606" s="2" t="s">
        <v>15</v>
      </c>
      <c r="J5606" s="2" t="s">
        <v>4330</v>
      </c>
      <c r="K5606" s="2" t="s">
        <v>7848</v>
      </c>
      <c r="L5606" s="2">
        <f t="shared" si="87"/>
        <v>150</v>
      </c>
    </row>
    <row r="5607" spans="1:12" ht="25" customHeight="1">
      <c r="A5607" s="2" t="s">
        <v>12</v>
      </c>
      <c r="B5607" s="2" t="str">
        <f>HYPERLINK("http://www.12365auto.com/xcdg/20200219/418922.shtml","保时捷911新增外观套件 性能范儿秒增")</f>
        <v>保时捷911新增外观套件 性能范儿秒增</v>
      </c>
      <c r="C5607" s="2" t="s">
        <v>13</v>
      </c>
      <c r="D5607" s="2" t="s">
        <v>12</v>
      </c>
      <c r="E5607" s="2" t="s">
        <v>216</v>
      </c>
      <c r="F5607" s="2" t="str">
        <f>HYPERLINK("http://www.12365auto.com/xcdg/20200219/418922.shtml","http://www.12365auto.com/xcdg/20200219/418922.shtml")</f>
        <v>http://www.12365auto.com/xcdg/20200219/418922.shtml</v>
      </c>
      <c r="G5607" s="2"/>
      <c r="H5607" s="2" t="s">
        <v>7850</v>
      </c>
      <c r="I5607" s="2" t="s">
        <v>15</v>
      </c>
      <c r="J5607" s="2" t="s">
        <v>12</v>
      </c>
      <c r="K5607" s="2" t="s">
        <v>7848</v>
      </c>
      <c r="L5607" s="2">
        <f t="shared" si="87"/>
        <v>150</v>
      </c>
    </row>
    <row r="5608" spans="1:12" ht="25" customHeight="1">
      <c r="A5608" s="2" t="s">
        <v>12</v>
      </c>
      <c r="B5608" s="2" t="str">
        <f>HYPERLINK("http://m.12365auto.com/bbs/postcontent.aspx?tID=194484","2020年最受期待的十款跑车")</f>
        <v>2020年最受期待的十款跑车</v>
      </c>
      <c r="C5608" s="2" t="s">
        <v>13</v>
      </c>
      <c r="D5608" s="2" t="s">
        <v>23</v>
      </c>
      <c r="E5608" s="2"/>
      <c r="F5608" s="2" t="str">
        <f>HYPERLINK("http://m.12365auto.com/bbs/postcontent.aspx?tID=194484","http://m.12365auto.com/bbs/postcontent.aspx?tID=194484")</f>
        <v>http://m.12365auto.com/bbs/postcontent.aspx?tID=194484</v>
      </c>
      <c r="G5608" s="2"/>
      <c r="H5608" s="2" t="s">
        <v>7849</v>
      </c>
      <c r="I5608" s="2" t="s">
        <v>15</v>
      </c>
      <c r="J5608" s="2" t="s">
        <v>4330</v>
      </c>
      <c r="K5608" s="2" t="s">
        <v>7848</v>
      </c>
      <c r="L5608" s="2">
        <f t="shared" si="87"/>
        <v>150</v>
      </c>
    </row>
    <row r="5609" spans="1:12" ht="25" customHeight="1">
      <c r="A5609" s="2" t="s">
        <v>12</v>
      </c>
      <c r="B5609" s="2" t="str">
        <f>HYPERLINK("http://m.12365auto.com/bbs/postcontent.aspx?tID=194482","2020年最值得期待拥有的10款电动汽车")</f>
        <v>2020年最值得期待拥有的10款电动汽车</v>
      </c>
      <c r="C5609" s="2" t="s">
        <v>13</v>
      </c>
      <c r="D5609" s="2" t="s">
        <v>23</v>
      </c>
      <c r="E5609" s="2"/>
      <c r="F5609" s="2" t="str">
        <f>HYPERLINK("http://m.12365auto.com/bbs/postcontent.aspx?tID=194482","http://m.12365auto.com/bbs/postcontent.aspx?tID=194482")</f>
        <v>http://m.12365auto.com/bbs/postcontent.aspx?tID=194482</v>
      </c>
      <c r="G5609" s="2"/>
      <c r="H5609" s="2" t="s">
        <v>7847</v>
      </c>
      <c r="I5609" s="2" t="s">
        <v>15</v>
      </c>
      <c r="J5609" s="2" t="s">
        <v>4330</v>
      </c>
      <c r="K5609" s="2" t="s">
        <v>7848</v>
      </c>
      <c r="L5609" s="2">
        <f t="shared" si="87"/>
        <v>150</v>
      </c>
    </row>
    <row r="5610" spans="1:12" ht="25" customHeight="1">
      <c r="A5610" s="2" t="s">
        <v>12</v>
      </c>
      <c r="B5610" s="2" t="str">
        <f>HYPERLINK("http://m.12365auto.com/xcdg/20200219/418922.shtml","保时捷911新增外观套件 性能范儿秒增")</f>
        <v>保时捷911新增外观套件 性能范儿秒增</v>
      </c>
      <c r="C5610" s="2" t="s">
        <v>13</v>
      </c>
      <c r="D5610" s="2" t="s">
        <v>12</v>
      </c>
      <c r="E5610" s="2"/>
      <c r="F5610" s="2" t="str">
        <f>HYPERLINK("http://m.12365auto.com/xcdg/20200219/418922.shtml","http://m.12365auto.com/xcdg/20200219/418922.shtml")</f>
        <v>http://m.12365auto.com/xcdg/20200219/418922.shtml</v>
      </c>
      <c r="G5610" s="2"/>
      <c r="H5610" s="2" t="s">
        <v>7851</v>
      </c>
      <c r="I5610" s="2" t="s">
        <v>19</v>
      </c>
      <c r="J5610" s="2" t="s">
        <v>992</v>
      </c>
      <c r="K5610" s="2" t="s">
        <v>7848</v>
      </c>
      <c r="L5610" s="2">
        <f t="shared" si="87"/>
        <v>150</v>
      </c>
    </row>
    <row r="5611" spans="1:12" ht="25" customHeight="1">
      <c r="A5611" s="2" t="s">
        <v>12</v>
      </c>
      <c r="B5611" s="2" t="str">
        <f>HYPERLINK("http://bbs.12365auto.com/postcontent.aspx?tID=194484","2020年最受期待的十款跑车")</f>
        <v>2020年最受期待的十款跑车</v>
      </c>
      <c r="C5611" s="2" t="s">
        <v>13</v>
      </c>
      <c r="D5611" s="2" t="s">
        <v>12</v>
      </c>
      <c r="E5611" s="2" t="s">
        <v>28</v>
      </c>
      <c r="F5611" s="2" t="str">
        <f>HYPERLINK("http://bbs.12365auto.com/postcontent.aspx?tID=194484","http://bbs.12365auto.com/postcontent.aspx?tID=194484")</f>
        <v>http://bbs.12365auto.com/postcontent.aspx?tID=194484</v>
      </c>
      <c r="G5611" s="2"/>
      <c r="H5611" s="2" t="s">
        <v>7852</v>
      </c>
      <c r="I5611" s="2" t="s">
        <v>15</v>
      </c>
      <c r="J5611" s="2" t="s">
        <v>4330</v>
      </c>
      <c r="K5611" s="2" t="s">
        <v>7848</v>
      </c>
      <c r="L5611" s="2">
        <f t="shared" si="87"/>
        <v>150</v>
      </c>
    </row>
    <row r="5612" spans="1:12" ht="25" customHeight="1">
      <c r="A5612" s="2" t="s">
        <v>12</v>
      </c>
      <c r="B5612" s="2" t="str">
        <f>HYPERLINK("http://bbs.12365auto.com/postcontent.aspx?tID=194482","2020年最值得期待拥有的10款电动汽车")</f>
        <v>2020年最值得期待拥有的10款电动汽车</v>
      </c>
      <c r="C5612" s="2" t="s">
        <v>13</v>
      </c>
      <c r="D5612" s="2" t="s">
        <v>12</v>
      </c>
      <c r="E5612" s="2" t="s">
        <v>28</v>
      </c>
      <c r="F5612" s="2" t="str">
        <f>HYPERLINK("http://bbs.12365auto.com/postcontent.aspx?tID=194482","http://bbs.12365auto.com/postcontent.aspx?tID=194482")</f>
        <v>http://bbs.12365auto.com/postcontent.aspx?tID=194482</v>
      </c>
      <c r="G5612" s="2"/>
      <c r="H5612" s="2" t="s">
        <v>7853</v>
      </c>
      <c r="I5612" s="2" t="s">
        <v>15</v>
      </c>
      <c r="J5612" s="2" t="s">
        <v>4330</v>
      </c>
      <c r="K5612" s="2" t="s">
        <v>7848</v>
      </c>
      <c r="L5612" s="2">
        <f t="shared" si="87"/>
        <v>150</v>
      </c>
    </row>
    <row r="5613" spans="1:12" ht="25" customHeight="1">
      <c r="A5613" s="2" t="s">
        <v>12</v>
      </c>
      <c r="B5613" s="2" t="str">
        <f>HYPERLINK("http://bbs.12365auto.com/postcontent.aspx?tId=194481","10万以内买什么车好？")</f>
        <v>10万以内买什么车好？</v>
      </c>
      <c r="C5613" s="2" t="s">
        <v>13</v>
      </c>
      <c r="D5613" s="2" t="s">
        <v>12</v>
      </c>
      <c r="E5613" s="2" t="s">
        <v>27</v>
      </c>
      <c r="F5613" s="2" t="str">
        <f>HYPERLINK("http://bbs.12365auto.com/postcontent.aspx?tId=194481","http://bbs.12365auto.com/postcontent.aspx?tId=194481")</f>
        <v>http://bbs.12365auto.com/postcontent.aspx?tId=194481</v>
      </c>
      <c r="G5613" s="2"/>
      <c r="H5613" s="2" t="s">
        <v>7854</v>
      </c>
      <c r="I5613" s="2" t="s">
        <v>15</v>
      </c>
      <c r="J5613" s="2" t="s">
        <v>4330</v>
      </c>
      <c r="K5613" s="2" t="s">
        <v>7855</v>
      </c>
      <c r="L5613" s="2">
        <f t="shared" si="87"/>
        <v>150</v>
      </c>
    </row>
    <row r="5614" spans="1:12" ht="25" customHeight="1">
      <c r="A5614" s="2" t="s">
        <v>12</v>
      </c>
      <c r="B5614" s="2" t="str">
        <f>HYPERLINK("http://www.12365auto.com/xcdg/20200219/418921.shtml","斯巴鲁翼豹e-Boxer官图 2.0L混动 四驱")</f>
        <v>斯巴鲁翼豹e-Boxer官图 2.0L混动 四驱</v>
      </c>
      <c r="C5614" s="2" t="s">
        <v>13</v>
      </c>
      <c r="D5614" s="2" t="s">
        <v>12</v>
      </c>
      <c r="E5614" s="2" t="s">
        <v>216</v>
      </c>
      <c r="F5614" s="2" t="str">
        <f>HYPERLINK("http://www.12365auto.com/xcdg/20200219/418921.shtml","http://www.12365auto.com/xcdg/20200219/418921.shtml")</f>
        <v>http://www.12365auto.com/xcdg/20200219/418921.shtml</v>
      </c>
      <c r="G5614" s="2"/>
      <c r="H5614" s="2" t="s">
        <v>7856</v>
      </c>
      <c r="I5614" s="2" t="s">
        <v>15</v>
      </c>
      <c r="J5614" s="2" t="s">
        <v>12</v>
      </c>
      <c r="K5614" s="2" t="s">
        <v>7855</v>
      </c>
      <c r="L5614" s="2">
        <f t="shared" si="87"/>
        <v>150</v>
      </c>
    </row>
    <row r="5615" spans="1:12" ht="25" customHeight="1">
      <c r="A5615" s="2" t="s">
        <v>12</v>
      </c>
      <c r="B5615" s="2" t="str">
        <f>HYPERLINK("http://m.12365auto.com/bbs/postcontent.aspx?tID=194481","10万以内买什么车好？")</f>
        <v>10万以内买什么车好？</v>
      </c>
      <c r="C5615" s="2" t="s">
        <v>13</v>
      </c>
      <c r="D5615" s="2" t="s">
        <v>23</v>
      </c>
      <c r="E5615" s="2"/>
      <c r="F5615" s="2" t="str">
        <f>HYPERLINK("http://m.12365auto.com/bbs/postcontent.aspx?tID=194481","http://m.12365auto.com/bbs/postcontent.aspx?tID=194481")</f>
        <v>http://m.12365auto.com/bbs/postcontent.aspx?tID=194481</v>
      </c>
      <c r="G5615" s="2"/>
      <c r="H5615" s="2" t="s">
        <v>7854</v>
      </c>
      <c r="I5615" s="2" t="s">
        <v>15</v>
      </c>
      <c r="J5615" s="2" t="s">
        <v>4330</v>
      </c>
      <c r="K5615" s="2" t="s">
        <v>7855</v>
      </c>
      <c r="L5615" s="2">
        <f t="shared" si="87"/>
        <v>150</v>
      </c>
    </row>
    <row r="5616" spans="1:12" ht="25" customHeight="1">
      <c r="A5616" s="2" t="s">
        <v>12</v>
      </c>
      <c r="B5616" s="2" t="str">
        <f>HYPERLINK("http://m.12365auto.com/xcdg/20200219/418921.shtml","斯巴鲁翼豹e-Boxer官图 2.0L混动 四驱")</f>
        <v>斯巴鲁翼豹e-Boxer官图 2.0L混动 四驱</v>
      </c>
      <c r="C5616" s="2" t="s">
        <v>13</v>
      </c>
      <c r="D5616" s="2" t="s">
        <v>12</v>
      </c>
      <c r="E5616" s="2"/>
      <c r="F5616" s="2" t="str">
        <f>HYPERLINK("http://m.12365auto.com/xcdg/20200219/418921.shtml","http://m.12365auto.com/xcdg/20200219/418921.shtml")</f>
        <v>http://m.12365auto.com/xcdg/20200219/418921.shtml</v>
      </c>
      <c r="G5616" s="2"/>
      <c r="H5616" s="2" t="s">
        <v>7857</v>
      </c>
      <c r="I5616" s="2" t="s">
        <v>19</v>
      </c>
      <c r="J5616" s="2" t="s">
        <v>999</v>
      </c>
      <c r="K5616" s="2" t="s">
        <v>7855</v>
      </c>
      <c r="L5616" s="2">
        <f t="shared" si="87"/>
        <v>150</v>
      </c>
    </row>
    <row r="5617" spans="1:12" ht="25" customHeight="1">
      <c r="A5617" s="2" t="s">
        <v>12</v>
      </c>
      <c r="B5617" s="2" t="str">
        <f>HYPERLINK("http://bbs.12365auto.com/postcontent.aspx?tID=194481","10万以内买什么车好？")</f>
        <v>10万以内买什么车好？</v>
      </c>
      <c r="C5617" s="2" t="s">
        <v>13</v>
      </c>
      <c r="D5617" s="2" t="s">
        <v>12</v>
      </c>
      <c r="E5617" s="2" t="s">
        <v>28</v>
      </c>
      <c r="F5617" s="2" t="str">
        <f>HYPERLINK("http://bbs.12365auto.com/postcontent.aspx?tID=194481","http://bbs.12365auto.com/postcontent.aspx?tID=194481")</f>
        <v>http://bbs.12365auto.com/postcontent.aspx?tID=194481</v>
      </c>
      <c r="G5617" s="2"/>
      <c r="H5617" s="2" t="s">
        <v>7858</v>
      </c>
      <c r="I5617" s="2" t="s">
        <v>15</v>
      </c>
      <c r="J5617" s="2" t="s">
        <v>4330</v>
      </c>
      <c r="K5617" s="2" t="s">
        <v>7855</v>
      </c>
      <c r="L5617" s="2">
        <f t="shared" si="87"/>
        <v>150</v>
      </c>
    </row>
    <row r="5618" spans="1:12" ht="25" customHeight="1">
      <c r="A5618" s="2" t="s">
        <v>12</v>
      </c>
      <c r="B5618" s="2" t="str">
        <f>HYPERLINK("http://bbs.12365auto.com/postcontent.aspx?tId=194479","三缸发动机正离我们而去......")</f>
        <v>三缸发动机正离我们而去......</v>
      </c>
      <c r="C5618" s="2" t="s">
        <v>13</v>
      </c>
      <c r="D5618" s="2" t="s">
        <v>12</v>
      </c>
      <c r="E5618" s="2" t="s">
        <v>27</v>
      </c>
      <c r="F5618" s="2" t="str">
        <f>HYPERLINK("http://bbs.12365auto.com/postcontent.aspx?tId=194479","http://bbs.12365auto.com/postcontent.aspx?tId=194479")</f>
        <v>http://bbs.12365auto.com/postcontent.aspx?tId=194479</v>
      </c>
      <c r="G5618" s="2"/>
      <c r="H5618" s="2" t="s">
        <v>7859</v>
      </c>
      <c r="I5618" s="2" t="s">
        <v>15</v>
      </c>
      <c r="J5618" s="2" t="s">
        <v>4330</v>
      </c>
      <c r="K5618" s="2" t="s">
        <v>7860</v>
      </c>
      <c r="L5618" s="2">
        <f t="shared" si="87"/>
        <v>150</v>
      </c>
    </row>
    <row r="5619" spans="1:12" ht="25" customHeight="1">
      <c r="A5619" s="2" t="s">
        <v>12</v>
      </c>
      <c r="B5619" s="2" t="str">
        <f>HYPERLINK("http://bbs.12365auto.com/postcontent.aspx?tID=194480","奥迪A6暴涨近40% 销量比凯美瑞还多")</f>
        <v>奥迪A6暴涨近40% 销量比凯美瑞还多</v>
      </c>
      <c r="C5619" s="2" t="s">
        <v>13</v>
      </c>
      <c r="D5619" s="2" t="s">
        <v>12</v>
      </c>
      <c r="E5619" s="2" t="s">
        <v>214</v>
      </c>
      <c r="F5619" s="2" t="str">
        <f>HYPERLINK("http://bbs.12365auto.com/postcontent.aspx?tID=194480","http://bbs.12365auto.com/postcontent.aspx?tID=194480")</f>
        <v>http://bbs.12365auto.com/postcontent.aspx?tID=194480</v>
      </c>
      <c r="G5619" s="2"/>
      <c r="H5619" s="2" t="s">
        <v>7861</v>
      </c>
      <c r="I5619" s="2" t="s">
        <v>15</v>
      </c>
      <c r="J5619" s="2" t="s">
        <v>6699</v>
      </c>
      <c r="K5619" s="2" t="s">
        <v>7860</v>
      </c>
      <c r="L5619" s="2">
        <f t="shared" si="87"/>
        <v>150</v>
      </c>
    </row>
    <row r="5620" spans="1:12" ht="25" customHeight="1">
      <c r="A5620" s="2" t="s">
        <v>12</v>
      </c>
      <c r="B5620" s="2" t="str">
        <f>HYPERLINK("http://m.12365auto.com/bbs/postcontent.aspx?tID=194479","三缸发动机正离我们而去......")</f>
        <v>三缸发动机正离我们而去......</v>
      </c>
      <c r="C5620" s="2" t="s">
        <v>13</v>
      </c>
      <c r="D5620" s="2" t="s">
        <v>23</v>
      </c>
      <c r="E5620" s="2"/>
      <c r="F5620" s="2" t="str">
        <f>HYPERLINK("http://m.12365auto.com/bbs/postcontent.aspx?tID=194479","http://m.12365auto.com/bbs/postcontent.aspx?tID=194479")</f>
        <v>http://m.12365auto.com/bbs/postcontent.aspx?tID=194479</v>
      </c>
      <c r="G5620" s="2"/>
      <c r="H5620" s="2" t="s">
        <v>7859</v>
      </c>
      <c r="I5620" s="2" t="s">
        <v>15</v>
      </c>
      <c r="J5620" s="2" t="s">
        <v>4330</v>
      </c>
      <c r="K5620" s="2" t="s">
        <v>7860</v>
      </c>
      <c r="L5620" s="2">
        <f t="shared" si="87"/>
        <v>150</v>
      </c>
    </row>
    <row r="5621" spans="1:12" ht="25" customHeight="1">
      <c r="A5621" s="2" t="s">
        <v>12</v>
      </c>
      <c r="B5621" s="2" t="str">
        <f>HYPERLINK("http://bbs.12365auto.com/postcontent.aspx?tID=194479","三缸发动机正离我们而去......")</f>
        <v>三缸发动机正离我们而去......</v>
      </c>
      <c r="C5621" s="2" t="s">
        <v>13</v>
      </c>
      <c r="D5621" s="2" t="s">
        <v>12</v>
      </c>
      <c r="E5621" s="2" t="s">
        <v>28</v>
      </c>
      <c r="F5621" s="2" t="str">
        <f>HYPERLINK("http://bbs.12365auto.com/postcontent.aspx?tID=194479","http://bbs.12365auto.com/postcontent.aspx?tID=194479")</f>
        <v>http://bbs.12365auto.com/postcontent.aspx?tID=194479</v>
      </c>
      <c r="G5621" s="2"/>
      <c r="H5621" s="2" t="s">
        <v>7862</v>
      </c>
      <c r="I5621" s="2" t="s">
        <v>15</v>
      </c>
      <c r="J5621" s="2" t="s">
        <v>4330</v>
      </c>
      <c r="K5621" s="2" t="s">
        <v>7860</v>
      </c>
      <c r="L5621" s="2">
        <f t="shared" si="87"/>
        <v>150</v>
      </c>
    </row>
    <row r="5622" spans="1:12" ht="25" customHeight="1">
      <c r="A5622" s="2" t="s">
        <v>12</v>
      </c>
      <c r="B5622" s="2" t="str">
        <f>HYPERLINK("http://bbs.12365auto.com/postcontent.aspx?tID=194478","劳斯莱斯设计师操刀 全新一代红旗H7实车泄露")</f>
        <v>劳斯莱斯设计师操刀 全新一代红旗H7实车泄露</v>
      </c>
      <c r="C5622" s="2" t="s">
        <v>13</v>
      </c>
      <c r="D5622" s="2" t="s">
        <v>12</v>
      </c>
      <c r="E5622" s="2" t="s">
        <v>214</v>
      </c>
      <c r="F5622" s="2" t="str">
        <f>HYPERLINK("http://bbs.12365auto.com/postcontent.aspx?tID=194478","http://bbs.12365auto.com/postcontent.aspx?tID=194478")</f>
        <v>http://bbs.12365auto.com/postcontent.aspx?tID=194478</v>
      </c>
      <c r="G5622" s="2"/>
      <c r="H5622" s="2" t="s">
        <v>7863</v>
      </c>
      <c r="I5622" s="2" t="s">
        <v>15</v>
      </c>
      <c r="J5622" s="2" t="s">
        <v>6699</v>
      </c>
      <c r="K5622" s="2" t="s">
        <v>7864</v>
      </c>
      <c r="L5622" s="2">
        <f t="shared" si="87"/>
        <v>150</v>
      </c>
    </row>
    <row r="5623" spans="1:12" ht="25" customHeight="1">
      <c r="A5623" s="2" t="s">
        <v>12</v>
      </c>
      <c r="B5623" s="2" t="str">
        <f>HYPERLINK("http://m.12365auto.com/xcdg/20200219/418920.shtml","特斯拉Model Y路试谍照曝光 路试环境苛刻")</f>
        <v>特斯拉Model Y路试谍照曝光 路试环境苛刻</v>
      </c>
      <c r="C5623" s="2" t="s">
        <v>13</v>
      </c>
      <c r="D5623" s="2" t="s">
        <v>12</v>
      </c>
      <c r="E5623" s="2"/>
      <c r="F5623" s="2" t="str">
        <f>HYPERLINK("http://m.12365auto.com/xcdg/20200219/418920.shtml","http://m.12365auto.com/xcdg/20200219/418920.shtml")</f>
        <v>http://m.12365auto.com/xcdg/20200219/418920.shtml</v>
      </c>
      <c r="G5623" s="2"/>
      <c r="H5623" s="2" t="s">
        <v>7865</v>
      </c>
      <c r="I5623" s="2" t="s">
        <v>19</v>
      </c>
      <c r="J5623" s="2" t="s">
        <v>992</v>
      </c>
      <c r="K5623" s="2" t="s">
        <v>7864</v>
      </c>
      <c r="L5623" s="2">
        <f t="shared" si="87"/>
        <v>150</v>
      </c>
    </row>
    <row r="5624" spans="1:12" ht="25" customHeight="1">
      <c r="A5624" s="2" t="s">
        <v>12</v>
      </c>
      <c r="B5624" s="2" t="str">
        <f>HYPERLINK("http://www.12365auto.com/xcdg/20200219/418920.shtml","特斯拉Model Y路试谍照曝光 路试环境苛刻")</f>
        <v>特斯拉Model Y路试谍照曝光 路试环境苛刻</v>
      </c>
      <c r="C5624" s="2" t="s">
        <v>13</v>
      </c>
      <c r="D5624" s="2" t="s">
        <v>12</v>
      </c>
      <c r="E5624" s="2" t="s">
        <v>224</v>
      </c>
      <c r="F5624" s="2" t="str">
        <f>HYPERLINK("http://www.12365auto.com/xcdg/20200219/418920.shtml","http://www.12365auto.com/xcdg/20200219/418920.shtml")</f>
        <v>http://www.12365auto.com/xcdg/20200219/418920.shtml</v>
      </c>
      <c r="G5624" s="2"/>
      <c r="H5624" s="2" t="s">
        <v>7866</v>
      </c>
      <c r="I5624" s="2" t="s">
        <v>15</v>
      </c>
      <c r="J5624" s="2" t="s">
        <v>12</v>
      </c>
      <c r="K5624" s="2" t="s">
        <v>7864</v>
      </c>
      <c r="L5624" s="2">
        <f t="shared" si="87"/>
        <v>150</v>
      </c>
    </row>
    <row r="5625" spans="1:12" ht="25" customHeight="1">
      <c r="A5625" s="2" t="s">
        <v>12</v>
      </c>
      <c r="B5625" s="2" t="str">
        <f>HYPERLINK("http://bbs.12365auto.com/postcontent.aspx?tID=194477","普拉多换个壳 便宜10万的奔跑者咋就没人要？")</f>
        <v>普拉多换个壳 便宜10万的奔跑者咋就没人要？</v>
      </c>
      <c r="C5625" s="2" t="s">
        <v>13</v>
      </c>
      <c r="D5625" s="2" t="s">
        <v>12</v>
      </c>
      <c r="E5625" s="2" t="s">
        <v>214</v>
      </c>
      <c r="F5625" s="2" t="str">
        <f>HYPERLINK("http://bbs.12365auto.com/postcontent.aspx?tID=194477","http://bbs.12365auto.com/postcontent.aspx?tID=194477")</f>
        <v>http://bbs.12365auto.com/postcontent.aspx?tID=194477</v>
      </c>
      <c r="G5625" s="2"/>
      <c r="H5625" s="2" t="s">
        <v>7867</v>
      </c>
      <c r="I5625" s="2" t="s">
        <v>15</v>
      </c>
      <c r="J5625" s="2" t="s">
        <v>6699</v>
      </c>
      <c r="K5625" s="2" t="s">
        <v>7868</v>
      </c>
      <c r="L5625" s="2">
        <f t="shared" si="87"/>
        <v>150</v>
      </c>
    </row>
    <row r="5626" spans="1:12" ht="25" customHeight="1">
      <c r="A5626" s="2" t="s">
        <v>12</v>
      </c>
      <c r="B5626" s="2" t="str">
        <f>HYPERLINK("http://bbs.12365auto.com/postcontent.aspx?tId=194475","2020年上市的新车")</f>
        <v>2020年上市的新车</v>
      </c>
      <c r="C5626" s="2" t="s">
        <v>13</v>
      </c>
      <c r="D5626" s="2" t="s">
        <v>12</v>
      </c>
      <c r="E5626" s="2" t="s">
        <v>27</v>
      </c>
      <c r="F5626" s="2" t="str">
        <f>HYPERLINK("http://bbs.12365auto.com/postcontent.aspx?tId=194475","http://bbs.12365auto.com/postcontent.aspx?tId=194475")</f>
        <v>http://bbs.12365auto.com/postcontent.aspx?tId=194475</v>
      </c>
      <c r="G5626" s="2"/>
      <c r="H5626" s="2" t="s">
        <v>7869</v>
      </c>
      <c r="I5626" s="2" t="s">
        <v>15</v>
      </c>
      <c r="J5626" s="2" t="s">
        <v>4330</v>
      </c>
      <c r="K5626" s="2" t="s">
        <v>7870</v>
      </c>
      <c r="L5626" s="2">
        <f t="shared" si="87"/>
        <v>150</v>
      </c>
    </row>
    <row r="5627" spans="1:12" ht="25" customHeight="1">
      <c r="A5627" s="2" t="s">
        <v>12</v>
      </c>
      <c r="B5627" s="2" t="str">
        <f>HYPERLINK("http://m.12365auto.com/bbs/postcontent.aspx?tID=194475","2020年上市的新车")</f>
        <v>2020年上市的新车</v>
      </c>
      <c r="C5627" s="2" t="s">
        <v>13</v>
      </c>
      <c r="D5627" s="2" t="s">
        <v>23</v>
      </c>
      <c r="E5627" s="2"/>
      <c r="F5627" s="2" t="str">
        <f>HYPERLINK("http://m.12365auto.com/bbs/postcontent.aspx?tID=194475","http://m.12365auto.com/bbs/postcontent.aspx?tID=194475")</f>
        <v>http://m.12365auto.com/bbs/postcontent.aspx?tID=194475</v>
      </c>
      <c r="G5627" s="2"/>
      <c r="H5627" s="2" t="s">
        <v>7869</v>
      </c>
      <c r="I5627" s="2" t="s">
        <v>15</v>
      </c>
      <c r="J5627" s="2" t="s">
        <v>4330</v>
      </c>
      <c r="K5627" s="2" t="s">
        <v>7870</v>
      </c>
      <c r="L5627" s="2">
        <f t="shared" si="87"/>
        <v>150</v>
      </c>
    </row>
    <row r="5628" spans="1:12" ht="25" customHeight="1">
      <c r="A5628" s="2" t="s">
        <v>12</v>
      </c>
      <c r="B5628" s="2" t="str">
        <f>HYPERLINK("http://bbs.12365auto.com/postcontent.aspx?tID=194475","2020年上市的新车")</f>
        <v>2020年上市的新车</v>
      </c>
      <c r="C5628" s="2" t="s">
        <v>13</v>
      </c>
      <c r="D5628" s="2" t="s">
        <v>12</v>
      </c>
      <c r="E5628" s="2" t="s">
        <v>28</v>
      </c>
      <c r="F5628" s="2" t="str">
        <f>HYPERLINK("http://bbs.12365auto.com/postcontent.aspx?tID=194475","http://bbs.12365auto.com/postcontent.aspx?tID=194475")</f>
        <v>http://bbs.12365auto.com/postcontent.aspx?tID=194475</v>
      </c>
      <c r="G5628" s="2"/>
      <c r="H5628" s="2" t="s">
        <v>7871</v>
      </c>
      <c r="I5628" s="2" t="s">
        <v>15</v>
      </c>
      <c r="J5628" s="2" t="s">
        <v>4330</v>
      </c>
      <c r="K5628" s="2" t="s">
        <v>7870</v>
      </c>
      <c r="L5628" s="2">
        <f t="shared" si="87"/>
        <v>150</v>
      </c>
    </row>
    <row r="5629" spans="1:12" ht="25" customHeight="1">
      <c r="A5629" s="2" t="s">
        <v>12</v>
      </c>
      <c r="B5629" s="2" t="str">
        <f>HYPERLINK("http://m.12365auto.com/xcdg/20200219/418919.shtml","布加迪Atlantic概念车曝光 前置后驱大V8")</f>
        <v>布加迪Atlantic概念车曝光 前置后驱大V8</v>
      </c>
      <c r="C5629" s="2" t="s">
        <v>13</v>
      </c>
      <c r="D5629" s="2" t="s">
        <v>12</v>
      </c>
      <c r="E5629" s="2"/>
      <c r="F5629" s="2" t="str">
        <f>HYPERLINK("http://m.12365auto.com/xcdg/20200219/418919.shtml","http://m.12365auto.com/xcdg/20200219/418919.shtml")</f>
        <v>http://m.12365auto.com/xcdg/20200219/418919.shtml</v>
      </c>
      <c r="G5629" s="2"/>
      <c r="H5629" s="2" t="s">
        <v>7872</v>
      </c>
      <c r="I5629" s="2" t="s">
        <v>19</v>
      </c>
      <c r="J5629" s="2" t="s">
        <v>992</v>
      </c>
      <c r="K5629" s="2" t="s">
        <v>7870</v>
      </c>
      <c r="L5629" s="2">
        <f t="shared" si="87"/>
        <v>150</v>
      </c>
    </row>
    <row r="5630" spans="1:12" ht="25" customHeight="1">
      <c r="A5630" s="2" t="s">
        <v>12</v>
      </c>
      <c r="B5630" s="2" t="str">
        <f>HYPERLINK("http://www.12365auto.com/xcdg/20200219/418919.shtml","布加迪Atlantic概念车曝光 前置后驱大V8")</f>
        <v>布加迪Atlantic概念车曝光 前置后驱大V8</v>
      </c>
      <c r="C5630" s="2" t="s">
        <v>13</v>
      </c>
      <c r="D5630" s="2" t="s">
        <v>12</v>
      </c>
      <c r="E5630" s="2" t="s">
        <v>216</v>
      </c>
      <c r="F5630" s="2" t="str">
        <f>HYPERLINK("http://www.12365auto.com/xcdg/20200219/418919.shtml","http://www.12365auto.com/xcdg/20200219/418919.shtml")</f>
        <v>http://www.12365auto.com/xcdg/20200219/418919.shtml</v>
      </c>
      <c r="G5630" s="2"/>
      <c r="H5630" s="2" t="s">
        <v>7873</v>
      </c>
      <c r="I5630" s="2" t="s">
        <v>15</v>
      </c>
      <c r="J5630" s="2" t="s">
        <v>12</v>
      </c>
      <c r="K5630" s="2" t="s">
        <v>7870</v>
      </c>
      <c r="L5630" s="2">
        <f t="shared" si="87"/>
        <v>150</v>
      </c>
    </row>
    <row r="5631" spans="1:12" ht="25" customHeight="1">
      <c r="A5631" s="2" t="s">
        <v>12</v>
      </c>
      <c r="B5631" s="2" t="str">
        <f>HYPERLINK("http://bbs.12365auto.com/postcontent.aspx?tID=194476","这5台新车霸气亮相 个个都是中国骄傲")</f>
        <v>这5台新车霸气亮相 个个都是中国骄傲</v>
      </c>
      <c r="C5631" s="2" t="s">
        <v>13</v>
      </c>
      <c r="D5631" s="2" t="s">
        <v>12</v>
      </c>
      <c r="E5631" s="2" t="s">
        <v>214</v>
      </c>
      <c r="F5631" s="2" t="str">
        <f>HYPERLINK("http://bbs.12365auto.com/postcontent.aspx?tID=194476","http://bbs.12365auto.com/postcontent.aspx?tID=194476")</f>
        <v>http://bbs.12365auto.com/postcontent.aspx?tID=194476</v>
      </c>
      <c r="G5631" s="2"/>
      <c r="H5631" s="2" t="s">
        <v>7874</v>
      </c>
      <c r="I5631" s="2" t="s">
        <v>15</v>
      </c>
      <c r="J5631" s="2" t="s">
        <v>6699</v>
      </c>
      <c r="K5631" s="2" t="s">
        <v>7870</v>
      </c>
      <c r="L5631" s="2">
        <f t="shared" si="87"/>
        <v>150</v>
      </c>
    </row>
    <row r="5632" spans="1:12" ht="25" customHeight="1">
      <c r="A5632" s="2" t="s">
        <v>12</v>
      </c>
      <c r="B5632" s="2" t="str">
        <f>HYPERLINK("http://bbs.12365auto.com/postcontent.aspx?tId=194473","买车应该选什么灯")</f>
        <v>买车应该选什么灯</v>
      </c>
      <c r="C5632" s="2" t="s">
        <v>13</v>
      </c>
      <c r="D5632" s="2" t="s">
        <v>12</v>
      </c>
      <c r="E5632" s="2" t="s">
        <v>27</v>
      </c>
      <c r="F5632" s="2" t="str">
        <f>HYPERLINK("http://bbs.12365auto.com/postcontent.aspx?tId=194473","http://bbs.12365auto.com/postcontent.aspx?tId=194473")</f>
        <v>http://bbs.12365auto.com/postcontent.aspx?tId=194473</v>
      </c>
      <c r="G5632" s="2"/>
      <c r="H5632" s="2" t="s">
        <v>7875</v>
      </c>
      <c r="I5632" s="2" t="s">
        <v>15</v>
      </c>
      <c r="J5632" s="2" t="s">
        <v>4330</v>
      </c>
      <c r="K5632" s="2" t="s">
        <v>7876</v>
      </c>
      <c r="L5632" s="2">
        <f t="shared" si="87"/>
        <v>150</v>
      </c>
    </row>
    <row r="5633" spans="1:12" ht="25" customHeight="1">
      <c r="A5633" s="2" t="s">
        <v>12</v>
      </c>
      <c r="B5633" s="2" t="str">
        <f>HYPERLINK("http://bbs.12365auto.com/postcontent.aspx?tId=194474","2019年十佳内饰盘点")</f>
        <v>2019年十佳内饰盘点</v>
      </c>
      <c r="C5633" s="2" t="s">
        <v>13</v>
      </c>
      <c r="D5633" s="2" t="s">
        <v>12</v>
      </c>
      <c r="E5633" s="2" t="s">
        <v>27</v>
      </c>
      <c r="F5633" s="2" t="str">
        <f>HYPERLINK("http://bbs.12365auto.com/postcontent.aspx?tId=194474","http://bbs.12365auto.com/postcontent.aspx?tId=194474")</f>
        <v>http://bbs.12365auto.com/postcontent.aspx?tId=194474</v>
      </c>
      <c r="G5633" s="2"/>
      <c r="H5633" s="2" t="s">
        <v>7877</v>
      </c>
      <c r="I5633" s="2" t="s">
        <v>15</v>
      </c>
      <c r="J5633" s="2" t="s">
        <v>4330</v>
      </c>
      <c r="K5633" s="2" t="s">
        <v>7876</v>
      </c>
      <c r="L5633" s="2">
        <f t="shared" si="87"/>
        <v>150</v>
      </c>
    </row>
    <row r="5634" spans="1:12" ht="25" customHeight="1">
      <c r="A5634" s="2" t="s">
        <v>12</v>
      </c>
      <c r="B5634" s="2" t="str">
        <f>HYPERLINK("http://m.12365auto.com/bbs/postcontent.aspx?tID=194474","2019年十佳内饰盘点")</f>
        <v>2019年十佳内饰盘点</v>
      </c>
      <c r="C5634" s="2" t="s">
        <v>13</v>
      </c>
      <c r="D5634" s="2" t="s">
        <v>23</v>
      </c>
      <c r="E5634" s="2"/>
      <c r="F5634" s="2" t="str">
        <f>HYPERLINK("http://m.12365auto.com/bbs/postcontent.aspx?tID=194474","http://m.12365auto.com/bbs/postcontent.aspx?tID=194474")</f>
        <v>http://m.12365auto.com/bbs/postcontent.aspx?tID=194474</v>
      </c>
      <c r="G5634" s="2"/>
      <c r="H5634" s="2" t="s">
        <v>7877</v>
      </c>
      <c r="I5634" s="2" t="s">
        <v>15</v>
      </c>
      <c r="J5634" s="2" t="s">
        <v>4330</v>
      </c>
      <c r="K5634" s="2" t="s">
        <v>7876</v>
      </c>
      <c r="L5634" s="2">
        <f t="shared" si="87"/>
        <v>150</v>
      </c>
    </row>
    <row r="5635" spans="1:12" ht="25" customHeight="1">
      <c r="A5635" s="2" t="s">
        <v>12</v>
      </c>
      <c r="B5635" s="2" t="str">
        <f>HYPERLINK("http://m.12365auto.com/bbs/postcontent.aspx?tID=194473","买车应该选什么灯")</f>
        <v>买车应该选什么灯</v>
      </c>
      <c r="C5635" s="2" t="s">
        <v>13</v>
      </c>
      <c r="D5635" s="2" t="s">
        <v>23</v>
      </c>
      <c r="E5635" s="2"/>
      <c r="F5635" s="2" t="str">
        <f>HYPERLINK("http://m.12365auto.com/bbs/postcontent.aspx?tID=194473","http://m.12365auto.com/bbs/postcontent.aspx?tID=194473")</f>
        <v>http://m.12365auto.com/bbs/postcontent.aspx?tID=194473</v>
      </c>
      <c r="G5635" s="2"/>
      <c r="H5635" s="2" t="s">
        <v>7875</v>
      </c>
      <c r="I5635" s="2" t="s">
        <v>15</v>
      </c>
      <c r="J5635" s="2" t="s">
        <v>4330</v>
      </c>
      <c r="K5635" s="2" t="s">
        <v>7876</v>
      </c>
      <c r="L5635" s="2">
        <f t="shared" ref="L5635:L5698" si="88">LEN(H5635)</f>
        <v>150</v>
      </c>
    </row>
    <row r="5636" spans="1:12" ht="25" customHeight="1">
      <c r="A5636" s="2" t="s">
        <v>12</v>
      </c>
      <c r="B5636" s="2" t="str">
        <f>HYPERLINK("http://bbs.12365auto.com/postcontent.aspx?tID=194473","买车应该选什么灯")</f>
        <v>买车应该选什么灯</v>
      </c>
      <c r="C5636" s="2" t="s">
        <v>13</v>
      </c>
      <c r="D5636" s="2" t="s">
        <v>12</v>
      </c>
      <c r="E5636" s="2" t="s">
        <v>28</v>
      </c>
      <c r="F5636" s="2" t="str">
        <f>HYPERLINK("http://bbs.12365auto.com/postcontent.aspx?tID=194473","http://bbs.12365auto.com/postcontent.aspx?tID=194473")</f>
        <v>http://bbs.12365auto.com/postcontent.aspx?tID=194473</v>
      </c>
      <c r="G5636" s="2"/>
      <c r="H5636" s="2" t="s">
        <v>7878</v>
      </c>
      <c r="I5636" s="2" t="s">
        <v>15</v>
      </c>
      <c r="J5636" s="2" t="s">
        <v>4330</v>
      </c>
      <c r="K5636" s="2" t="s">
        <v>7876</v>
      </c>
      <c r="L5636" s="2">
        <f t="shared" si="88"/>
        <v>150</v>
      </c>
    </row>
    <row r="5637" spans="1:12" ht="25" customHeight="1">
      <c r="A5637" s="2" t="s">
        <v>12</v>
      </c>
      <c r="B5637" s="2" t="str">
        <f>HYPERLINK("http://bbs.12365auto.com/postcontent.aspx?tID=194474","2019年十佳内饰盘点")</f>
        <v>2019年十佳内饰盘点</v>
      </c>
      <c r="C5637" s="2" t="s">
        <v>13</v>
      </c>
      <c r="D5637" s="2" t="s">
        <v>12</v>
      </c>
      <c r="E5637" s="2" t="s">
        <v>28</v>
      </c>
      <c r="F5637" s="2" t="str">
        <f>HYPERLINK("http://bbs.12365auto.com/postcontent.aspx?tID=194474","http://bbs.12365auto.com/postcontent.aspx?tID=194474")</f>
        <v>http://bbs.12365auto.com/postcontent.aspx?tID=194474</v>
      </c>
      <c r="G5637" s="2"/>
      <c r="H5637" s="2" t="s">
        <v>7879</v>
      </c>
      <c r="I5637" s="2" t="s">
        <v>15</v>
      </c>
      <c r="J5637" s="2" t="s">
        <v>4330</v>
      </c>
      <c r="K5637" s="2" t="s">
        <v>7876</v>
      </c>
      <c r="L5637" s="2">
        <f t="shared" si="88"/>
        <v>150</v>
      </c>
    </row>
    <row r="5638" spans="1:12" ht="25" customHeight="1">
      <c r="A5638" s="2" t="s">
        <v>12</v>
      </c>
      <c r="B5638" s="2" t="str">
        <f>HYPERLINK("http://bbs.12365auto.com/postcontent.aspx?tId=194472","汽车品牌拟人化后都是啥形象")</f>
        <v>汽车品牌拟人化后都是啥形象</v>
      </c>
      <c r="C5638" s="2" t="s">
        <v>13</v>
      </c>
      <c r="D5638" s="2" t="s">
        <v>12</v>
      </c>
      <c r="E5638" s="2" t="s">
        <v>27</v>
      </c>
      <c r="F5638" s="2" t="str">
        <f>HYPERLINK("http://bbs.12365auto.com/postcontent.aspx?tId=194472","http://bbs.12365auto.com/postcontent.aspx?tId=194472")</f>
        <v>http://bbs.12365auto.com/postcontent.aspx?tId=194472</v>
      </c>
      <c r="G5638" s="2"/>
      <c r="H5638" s="2" t="s">
        <v>7880</v>
      </c>
      <c r="I5638" s="2" t="s">
        <v>15</v>
      </c>
      <c r="J5638" s="2" t="s">
        <v>4330</v>
      </c>
      <c r="K5638" s="2" t="s">
        <v>7881</v>
      </c>
      <c r="L5638" s="2">
        <f t="shared" si="88"/>
        <v>150</v>
      </c>
    </row>
    <row r="5639" spans="1:12" ht="25" customHeight="1">
      <c r="A5639" s="2" t="s">
        <v>12</v>
      </c>
      <c r="B5639" s="2" t="str">
        <f>HYPERLINK("http://m.12365auto.com/bbs/postcontent.aspx?tID=194472","汽车品牌拟人化后都是啥形象")</f>
        <v>汽车品牌拟人化后都是啥形象</v>
      </c>
      <c r="C5639" s="2" t="s">
        <v>13</v>
      </c>
      <c r="D5639" s="2" t="s">
        <v>23</v>
      </c>
      <c r="E5639" s="2"/>
      <c r="F5639" s="2" t="str">
        <f>HYPERLINK("http://m.12365auto.com/bbs/postcontent.aspx?tID=194472","http://m.12365auto.com/bbs/postcontent.aspx?tID=194472")</f>
        <v>http://m.12365auto.com/bbs/postcontent.aspx?tID=194472</v>
      </c>
      <c r="G5639" s="2"/>
      <c r="H5639" s="2" t="s">
        <v>7880</v>
      </c>
      <c r="I5639" s="2" t="s">
        <v>15</v>
      </c>
      <c r="J5639" s="2" t="s">
        <v>4330</v>
      </c>
      <c r="K5639" s="2" t="s">
        <v>7881</v>
      </c>
      <c r="L5639" s="2">
        <f t="shared" si="88"/>
        <v>150</v>
      </c>
    </row>
    <row r="5640" spans="1:12" ht="25" customHeight="1">
      <c r="A5640" s="2" t="s">
        <v>12</v>
      </c>
      <c r="B5640" s="2" t="str">
        <f>HYPERLINK("http://bbs.12365auto.com/postcontent.aspx?tID=194472","汽车品牌拟人化后都是啥形象")</f>
        <v>汽车品牌拟人化后都是啥形象</v>
      </c>
      <c r="C5640" s="2" t="s">
        <v>13</v>
      </c>
      <c r="D5640" s="2" t="s">
        <v>12</v>
      </c>
      <c r="E5640" s="2" t="s">
        <v>28</v>
      </c>
      <c r="F5640" s="2" t="str">
        <f>HYPERLINK("http://bbs.12365auto.com/postcontent.aspx?tID=194472","http://bbs.12365auto.com/postcontent.aspx?tID=194472")</f>
        <v>http://bbs.12365auto.com/postcontent.aspx?tID=194472</v>
      </c>
      <c r="G5640" s="2"/>
      <c r="H5640" s="2" t="s">
        <v>7882</v>
      </c>
      <c r="I5640" s="2" t="s">
        <v>15</v>
      </c>
      <c r="J5640" s="2" t="s">
        <v>4330</v>
      </c>
      <c r="K5640" s="2" t="s">
        <v>7881</v>
      </c>
      <c r="L5640" s="2">
        <f t="shared" si="88"/>
        <v>150</v>
      </c>
    </row>
    <row r="5641" spans="1:12" ht="25" customHeight="1">
      <c r="A5641" s="2" t="s">
        <v>12</v>
      </c>
      <c r="B5641" s="2" t="str">
        <f>HYPERLINK("http://m.12365auto.com/xcdg/20200219/418917.shtml","敞篷开合速度最快 Vantage Roadster发布")</f>
        <v>敞篷开合速度最快 Vantage Roadster发布</v>
      </c>
      <c r="C5641" s="2" t="s">
        <v>13</v>
      </c>
      <c r="D5641" s="2" t="s">
        <v>12</v>
      </c>
      <c r="E5641" s="2"/>
      <c r="F5641" s="2" t="str">
        <f>HYPERLINK("http://m.12365auto.com/xcdg/20200219/418917.shtml","http://m.12365auto.com/xcdg/20200219/418917.shtml")</f>
        <v>http://m.12365auto.com/xcdg/20200219/418917.shtml</v>
      </c>
      <c r="G5641" s="2"/>
      <c r="H5641" s="2" t="s">
        <v>7883</v>
      </c>
      <c r="I5641" s="2" t="s">
        <v>19</v>
      </c>
      <c r="J5641" s="2" t="s">
        <v>1558</v>
      </c>
      <c r="K5641" s="2" t="s">
        <v>7881</v>
      </c>
      <c r="L5641" s="2">
        <f t="shared" si="88"/>
        <v>150</v>
      </c>
    </row>
    <row r="5642" spans="1:12" ht="25" customHeight="1">
      <c r="A5642" s="2" t="s">
        <v>12</v>
      </c>
      <c r="B5642" s="2" t="str">
        <f>HYPERLINK("http://www.12365auto.com/xcdg/20200219/418917.shtml","敞篷开合速度最快 Vantage Roadster发布")</f>
        <v>敞篷开合速度最快 Vantage Roadster发布</v>
      </c>
      <c r="C5642" s="2" t="s">
        <v>13</v>
      </c>
      <c r="D5642" s="2" t="s">
        <v>12</v>
      </c>
      <c r="E5642" s="2" t="s">
        <v>216</v>
      </c>
      <c r="F5642" s="2" t="str">
        <f>HYPERLINK("http://www.12365auto.com/xcdg/20200219/418917.shtml","http://www.12365auto.com/xcdg/20200219/418917.shtml")</f>
        <v>http://www.12365auto.com/xcdg/20200219/418917.shtml</v>
      </c>
      <c r="G5642" s="2"/>
      <c r="H5642" s="2" t="s">
        <v>7884</v>
      </c>
      <c r="I5642" s="2" t="s">
        <v>15</v>
      </c>
      <c r="J5642" s="2" t="s">
        <v>12</v>
      </c>
      <c r="K5642" s="2" t="s">
        <v>7881</v>
      </c>
      <c r="L5642" s="2">
        <f t="shared" si="88"/>
        <v>150</v>
      </c>
    </row>
    <row r="5643" spans="1:12" ht="25" customHeight="1">
      <c r="A5643" s="2" t="s">
        <v>12</v>
      </c>
      <c r="B5643" s="2" t="str">
        <f>HYPERLINK("http://bbs.12365auto.com/postcontent.aspx?tId=194471","这五款“不保值”的二手车")</f>
        <v>这五款“不保值”的二手车</v>
      </c>
      <c r="C5643" s="2" t="s">
        <v>13</v>
      </c>
      <c r="D5643" s="2" t="s">
        <v>12</v>
      </c>
      <c r="E5643" s="2" t="s">
        <v>27</v>
      </c>
      <c r="F5643" s="2" t="str">
        <f>HYPERLINK("http://bbs.12365auto.com/postcontent.aspx?tId=194471","http://bbs.12365auto.com/postcontent.aspx?tId=194471")</f>
        <v>http://bbs.12365auto.com/postcontent.aspx?tId=194471</v>
      </c>
      <c r="G5643" s="2"/>
      <c r="H5643" s="2" t="s">
        <v>7544</v>
      </c>
      <c r="I5643" s="2" t="s">
        <v>15</v>
      </c>
      <c r="J5643" s="2" t="s">
        <v>4330</v>
      </c>
      <c r="K5643" s="2" t="s">
        <v>7885</v>
      </c>
      <c r="L5643" s="2">
        <f t="shared" si="88"/>
        <v>150</v>
      </c>
    </row>
    <row r="5644" spans="1:12" ht="25" customHeight="1">
      <c r="A5644" s="2" t="s">
        <v>12</v>
      </c>
      <c r="B5644" s="2" t="str">
        <f>HYPERLINK("http://m.12365auto.com/bbs/postcontent.aspx?tID=194471","这五款“不保值”的二手车")</f>
        <v>这五款“不保值”的二手车</v>
      </c>
      <c r="C5644" s="2" t="s">
        <v>13</v>
      </c>
      <c r="D5644" s="2" t="s">
        <v>23</v>
      </c>
      <c r="E5644" s="2"/>
      <c r="F5644" s="2" t="str">
        <f>HYPERLINK("http://m.12365auto.com/bbs/postcontent.aspx?tID=194471","http://m.12365auto.com/bbs/postcontent.aspx?tID=194471")</f>
        <v>http://m.12365auto.com/bbs/postcontent.aspx?tID=194471</v>
      </c>
      <c r="G5644" s="2"/>
      <c r="H5644" s="2" t="s">
        <v>7544</v>
      </c>
      <c r="I5644" s="2" t="s">
        <v>15</v>
      </c>
      <c r="J5644" s="2" t="s">
        <v>4330</v>
      </c>
      <c r="K5644" s="2" t="s">
        <v>7885</v>
      </c>
      <c r="L5644" s="2">
        <f t="shared" si="88"/>
        <v>150</v>
      </c>
    </row>
    <row r="5645" spans="1:12" ht="25" customHeight="1">
      <c r="A5645" s="2" t="s">
        <v>12</v>
      </c>
      <c r="B5645" s="2" t="str">
        <f>HYPERLINK("http://bbs.12365auto.com/postcontent.aspx?tID=194471","这五款“不保值”的二手车")</f>
        <v>这五款“不保值”的二手车</v>
      </c>
      <c r="C5645" s="2" t="s">
        <v>13</v>
      </c>
      <c r="D5645" s="2" t="s">
        <v>12</v>
      </c>
      <c r="E5645" s="2" t="s">
        <v>28</v>
      </c>
      <c r="F5645" s="2" t="str">
        <f>HYPERLINK("http://bbs.12365auto.com/postcontent.aspx?tID=194471","http://bbs.12365auto.com/postcontent.aspx?tID=194471")</f>
        <v>http://bbs.12365auto.com/postcontent.aspx?tID=194471</v>
      </c>
      <c r="G5645" s="2"/>
      <c r="H5645" s="2" t="s">
        <v>7886</v>
      </c>
      <c r="I5645" s="2" t="s">
        <v>15</v>
      </c>
      <c r="J5645" s="2" t="s">
        <v>4330</v>
      </c>
      <c r="K5645" s="2" t="s">
        <v>7885</v>
      </c>
      <c r="L5645" s="2">
        <f t="shared" si="88"/>
        <v>150</v>
      </c>
    </row>
    <row r="5646" spans="1:12" ht="25" customHeight="1">
      <c r="A5646" s="2" t="s">
        <v>12</v>
      </c>
      <c r="B5646" s="2" t="str">
        <f>HYPERLINK("http://www.12365auto.com/news/20200219/418916.shtml","保时捷Macan明年计划推出电动版车型")</f>
        <v>保时捷Macan明年计划推出电动版车型</v>
      </c>
      <c r="C5646" s="2" t="s">
        <v>13</v>
      </c>
      <c r="D5646" s="2" t="s">
        <v>12</v>
      </c>
      <c r="E5646" s="2" t="s">
        <v>282</v>
      </c>
      <c r="F5646" s="2" t="str">
        <f>HYPERLINK("http://www.12365auto.com/news/20200219/418916.shtml","http://www.12365auto.com/news/20200219/418916.shtml")</f>
        <v>http://www.12365auto.com/news/20200219/418916.shtml</v>
      </c>
      <c r="G5646" s="2"/>
      <c r="H5646" s="2" t="s">
        <v>7887</v>
      </c>
      <c r="I5646" s="2" t="s">
        <v>19</v>
      </c>
      <c r="J5646" s="2" t="s">
        <v>12</v>
      </c>
      <c r="K5646" s="2" t="s">
        <v>7888</v>
      </c>
      <c r="L5646" s="2">
        <f t="shared" si="88"/>
        <v>150</v>
      </c>
    </row>
    <row r="5647" spans="1:12" ht="25" customHeight="1">
      <c r="A5647" s="2" t="s">
        <v>12</v>
      </c>
      <c r="B5647" s="2" t="str">
        <f>HYPERLINK("http://m.12365auto.com/xcdg/20200219/418916.shtml","保时捷Macan明年计划推出电动版车型")</f>
        <v>保时捷Macan明年计划推出电动版车型</v>
      </c>
      <c r="C5647" s="2" t="s">
        <v>13</v>
      </c>
      <c r="D5647" s="2" t="s">
        <v>12</v>
      </c>
      <c r="E5647" s="2"/>
      <c r="F5647" s="2" t="str">
        <f>HYPERLINK("http://m.12365auto.com/xcdg/20200219/418916.shtml","http://m.12365auto.com/xcdg/20200219/418916.shtml")</f>
        <v>http://m.12365auto.com/xcdg/20200219/418916.shtml</v>
      </c>
      <c r="G5647" s="2"/>
      <c r="H5647" s="2" t="s">
        <v>7889</v>
      </c>
      <c r="I5647" s="2" t="s">
        <v>19</v>
      </c>
      <c r="J5647" s="2" t="s">
        <v>1558</v>
      </c>
      <c r="K5647" s="2" t="s">
        <v>7888</v>
      </c>
      <c r="L5647" s="2">
        <f t="shared" si="88"/>
        <v>150</v>
      </c>
    </row>
    <row r="5648" spans="1:12" ht="25" customHeight="1">
      <c r="A5648" s="2" t="s">
        <v>12</v>
      </c>
      <c r="B5648" s="2" t="str">
        <f>HYPERLINK("http://www.12365auto.com/xcdg/20200219/418916.shtml","保时捷Macan明年计划推出电动版车型")</f>
        <v>保时捷Macan明年计划推出电动版车型</v>
      </c>
      <c r="C5648" s="2" t="s">
        <v>13</v>
      </c>
      <c r="D5648" s="2" t="s">
        <v>12</v>
      </c>
      <c r="E5648" s="2" t="s">
        <v>216</v>
      </c>
      <c r="F5648" s="2" t="str">
        <f>HYPERLINK("http://www.12365auto.com/xcdg/20200219/418916.shtml","http://www.12365auto.com/xcdg/20200219/418916.shtml")</f>
        <v>http://www.12365auto.com/xcdg/20200219/418916.shtml</v>
      </c>
      <c r="G5648" s="2"/>
      <c r="H5648" s="2" t="s">
        <v>7887</v>
      </c>
      <c r="I5648" s="2" t="s">
        <v>15</v>
      </c>
      <c r="J5648" s="2" t="s">
        <v>12</v>
      </c>
      <c r="K5648" s="2" t="s">
        <v>7888</v>
      </c>
      <c r="L5648" s="2">
        <f t="shared" si="88"/>
        <v>150</v>
      </c>
    </row>
    <row r="5649" spans="1:12" ht="25" customHeight="1">
      <c r="A5649" s="2" t="s">
        <v>12</v>
      </c>
      <c r="B5649" s="2" t="str">
        <f>HYPERLINK("http://bbs.12365auto.com/postcontent.aspx?tID=194470","搭载小排量发动机！全新一代现代i20即将首发")</f>
        <v>搭载小排量发动机！全新一代现代i20即将首发</v>
      </c>
      <c r="C5649" s="2" t="s">
        <v>13</v>
      </c>
      <c r="D5649" s="2" t="s">
        <v>12</v>
      </c>
      <c r="E5649" s="2" t="s">
        <v>28</v>
      </c>
      <c r="F5649" s="2" t="str">
        <f>HYPERLINK("http://bbs.12365auto.com/postcontent.aspx?tID=194470","http://bbs.12365auto.com/postcontent.aspx?tID=194470")</f>
        <v>http://bbs.12365auto.com/postcontent.aspx?tID=194470</v>
      </c>
      <c r="G5649" s="2"/>
      <c r="H5649" s="2" t="s">
        <v>7890</v>
      </c>
      <c r="I5649" s="2" t="s">
        <v>15</v>
      </c>
      <c r="J5649" s="2" t="s">
        <v>4760</v>
      </c>
      <c r="K5649" s="2" t="s">
        <v>7891</v>
      </c>
      <c r="L5649" s="2">
        <f t="shared" si="88"/>
        <v>150</v>
      </c>
    </row>
    <row r="5650" spans="1:12" ht="25" customHeight="1">
      <c r="A5650" s="2" t="s">
        <v>12</v>
      </c>
      <c r="B5650" s="2" t="str">
        <f>HYPERLINK("http://bbs.12365auto.com/postcontent.aspx?tId=194470","搭载小排量发动机！全新一代现代i20即将首发")</f>
        <v>搭载小排量发动机！全新一代现代i20即将首发</v>
      </c>
      <c r="C5650" s="2" t="s">
        <v>13</v>
      </c>
      <c r="D5650" s="2" t="s">
        <v>12</v>
      </c>
      <c r="E5650" s="2" t="s">
        <v>27</v>
      </c>
      <c r="F5650" s="2" t="str">
        <f>HYPERLINK("http://bbs.12365auto.com/postcontent.aspx?tId=194470","http://bbs.12365auto.com/postcontent.aspx?tId=194470")</f>
        <v>http://bbs.12365auto.com/postcontent.aspx?tId=194470</v>
      </c>
      <c r="G5650" s="2"/>
      <c r="H5650" s="2" t="s">
        <v>7892</v>
      </c>
      <c r="I5650" s="2" t="s">
        <v>15</v>
      </c>
      <c r="J5650" s="2" t="s">
        <v>4760</v>
      </c>
      <c r="K5650" s="2" t="s">
        <v>7891</v>
      </c>
      <c r="L5650" s="2">
        <f t="shared" si="88"/>
        <v>150</v>
      </c>
    </row>
    <row r="5651" spans="1:12" ht="25" customHeight="1">
      <c r="A5651" s="2" t="s">
        <v>12</v>
      </c>
      <c r="B5651" s="2" t="str">
        <f>HYPERLINK("http://m.12365auto.com/bbs/postcontent.aspx?tID=194470","搭载小排量发动机！全新一代现代i20即将首发")</f>
        <v>搭载小排量发动机！全新一代现代i20即将首发</v>
      </c>
      <c r="C5651" s="2" t="s">
        <v>13</v>
      </c>
      <c r="D5651" s="2" t="s">
        <v>23</v>
      </c>
      <c r="E5651" s="2"/>
      <c r="F5651" s="2" t="str">
        <f>HYPERLINK("http://m.12365auto.com/bbs/postcontent.aspx?tID=194470","http://m.12365auto.com/bbs/postcontent.aspx?tID=194470")</f>
        <v>http://m.12365auto.com/bbs/postcontent.aspx?tID=194470</v>
      </c>
      <c r="G5651" s="2"/>
      <c r="H5651" s="2" t="s">
        <v>7892</v>
      </c>
      <c r="I5651" s="2" t="s">
        <v>15</v>
      </c>
      <c r="J5651" s="2" t="s">
        <v>4760</v>
      </c>
      <c r="K5651" s="2" t="s">
        <v>7891</v>
      </c>
      <c r="L5651" s="2">
        <f t="shared" si="88"/>
        <v>150</v>
      </c>
    </row>
    <row r="5652" spans="1:12" ht="25" customHeight="1">
      <c r="A5652" s="2" t="s">
        <v>12</v>
      </c>
      <c r="B5652" s="2" t="str">
        <f>HYPERLINK("http://bbs.12365auto.com/postcontent.aspx?tID=194469","碳排放量更低！海外全新逍客效果图发布，仅提供两套混动系统")</f>
        <v>碳排放量更低！海外全新逍客效果图发布，仅提供两套混动系统</v>
      </c>
      <c r="C5652" s="2" t="s">
        <v>13</v>
      </c>
      <c r="D5652" s="2" t="s">
        <v>12</v>
      </c>
      <c r="E5652" s="2" t="s">
        <v>28</v>
      </c>
      <c r="F5652" s="2" t="str">
        <f>HYPERLINK("http://bbs.12365auto.com/postcontent.aspx?tID=194469","http://bbs.12365auto.com/postcontent.aspx?tID=194469")</f>
        <v>http://bbs.12365auto.com/postcontent.aspx?tID=194469</v>
      </c>
      <c r="G5652" s="2"/>
      <c r="H5652" s="2" t="s">
        <v>7893</v>
      </c>
      <c r="I5652" s="2" t="s">
        <v>15</v>
      </c>
      <c r="J5652" s="2" t="s">
        <v>4760</v>
      </c>
      <c r="K5652" s="2" t="s">
        <v>7894</v>
      </c>
      <c r="L5652" s="2">
        <f t="shared" si="88"/>
        <v>150</v>
      </c>
    </row>
    <row r="5653" spans="1:12" ht="25" customHeight="1">
      <c r="A5653" s="2" t="s">
        <v>12</v>
      </c>
      <c r="B5653" s="2" t="str">
        <f>HYPERLINK("http://bbs.12365auto.com/postcontent.aspx?tId=194469","碳排放量更低！海外全新逍客效果图发布，仅提供两套混动系统")</f>
        <v>碳排放量更低！海外全新逍客效果图发布，仅提供两套混动系统</v>
      </c>
      <c r="C5653" s="2" t="s">
        <v>13</v>
      </c>
      <c r="D5653" s="2" t="s">
        <v>12</v>
      </c>
      <c r="E5653" s="2" t="s">
        <v>27</v>
      </c>
      <c r="F5653" s="2" t="str">
        <f>HYPERLINK("http://bbs.12365auto.com/postcontent.aspx?tId=194469","http://bbs.12365auto.com/postcontent.aspx?tId=194469")</f>
        <v>http://bbs.12365auto.com/postcontent.aspx?tId=194469</v>
      </c>
      <c r="G5653" s="2"/>
      <c r="H5653" s="2" t="s">
        <v>7895</v>
      </c>
      <c r="I5653" s="2" t="s">
        <v>15</v>
      </c>
      <c r="J5653" s="2" t="s">
        <v>4760</v>
      </c>
      <c r="K5653" s="2" t="s">
        <v>7894</v>
      </c>
      <c r="L5653" s="2">
        <f t="shared" si="88"/>
        <v>150</v>
      </c>
    </row>
    <row r="5654" spans="1:12" ht="25" customHeight="1">
      <c r="A5654" s="2" t="s">
        <v>12</v>
      </c>
      <c r="B5654" s="2" t="str">
        <f>HYPERLINK("http://m.12365auto.com/bbs/postcontent.aspx?tID=194469","碳排放量更低！海外全新逍客效果图发布，仅提供两套混动系统")</f>
        <v>碳排放量更低！海外全新逍客效果图发布，仅提供两套混动系统</v>
      </c>
      <c r="C5654" s="2" t="s">
        <v>13</v>
      </c>
      <c r="D5654" s="2" t="s">
        <v>23</v>
      </c>
      <c r="E5654" s="2"/>
      <c r="F5654" s="2" t="str">
        <f>HYPERLINK("http://m.12365auto.com/bbs/postcontent.aspx?tID=194469","http://m.12365auto.com/bbs/postcontent.aspx?tID=194469")</f>
        <v>http://m.12365auto.com/bbs/postcontent.aspx?tID=194469</v>
      </c>
      <c r="G5654" s="2"/>
      <c r="H5654" s="2" t="s">
        <v>7895</v>
      </c>
      <c r="I5654" s="2" t="s">
        <v>15</v>
      </c>
      <c r="J5654" s="2" t="s">
        <v>4760</v>
      </c>
      <c r="K5654" s="2" t="s">
        <v>7894</v>
      </c>
      <c r="L5654" s="2">
        <f t="shared" si="88"/>
        <v>150</v>
      </c>
    </row>
    <row r="5655" spans="1:12" ht="25" customHeight="1">
      <c r="A5655" s="2" t="s">
        <v>12</v>
      </c>
      <c r="B5655" s="2" t="str">
        <f>HYPERLINK("http://m.12365auto.com/xcdg/20200219/418915.shtml","法系轿跑suv 雪铁龙C4 Cactus谍照曝光")</f>
        <v>法系轿跑suv 雪铁龙C4 Cactus谍照曝光</v>
      </c>
      <c r="C5655" s="2" t="s">
        <v>13</v>
      </c>
      <c r="D5655" s="2" t="s">
        <v>12</v>
      </c>
      <c r="E5655" s="2"/>
      <c r="F5655" s="2" t="str">
        <f>HYPERLINK("http://m.12365auto.com/xcdg/20200219/418915.shtml","http://m.12365auto.com/xcdg/20200219/418915.shtml")</f>
        <v>http://m.12365auto.com/xcdg/20200219/418915.shtml</v>
      </c>
      <c r="G5655" s="2"/>
      <c r="H5655" s="2" t="s">
        <v>7896</v>
      </c>
      <c r="I5655" s="2" t="s">
        <v>19</v>
      </c>
      <c r="J5655" s="2" t="s">
        <v>7897</v>
      </c>
      <c r="K5655" s="2" t="s">
        <v>7894</v>
      </c>
      <c r="L5655" s="2">
        <f t="shared" si="88"/>
        <v>150</v>
      </c>
    </row>
    <row r="5656" spans="1:12" ht="25" customHeight="1">
      <c r="A5656" s="2" t="s">
        <v>12</v>
      </c>
      <c r="B5656" s="2" t="str">
        <f>HYPERLINK("http://www.12365auto.com/xcdg/20200219/418915.shtml","法系轿跑suv 雪铁龙C4 Cactus谍照曝光")</f>
        <v>法系轿跑suv 雪铁龙C4 Cactus谍照曝光</v>
      </c>
      <c r="C5656" s="2" t="s">
        <v>13</v>
      </c>
      <c r="D5656" s="2" t="s">
        <v>12</v>
      </c>
      <c r="E5656" s="2" t="s">
        <v>224</v>
      </c>
      <c r="F5656" s="2" t="str">
        <f>HYPERLINK("http://www.12365auto.com/xcdg/20200219/418915.shtml","http://www.12365auto.com/xcdg/20200219/418915.shtml")</f>
        <v>http://www.12365auto.com/xcdg/20200219/418915.shtml</v>
      </c>
      <c r="G5656" s="2"/>
      <c r="H5656" s="2" t="s">
        <v>7898</v>
      </c>
      <c r="I5656" s="2" t="s">
        <v>15</v>
      </c>
      <c r="J5656" s="2" t="s">
        <v>12</v>
      </c>
      <c r="K5656" s="2" t="s">
        <v>7894</v>
      </c>
      <c r="L5656" s="2">
        <f t="shared" si="88"/>
        <v>150</v>
      </c>
    </row>
    <row r="5657" spans="1:12" ht="25" customHeight="1">
      <c r="A5657" s="2" t="s">
        <v>12</v>
      </c>
      <c r="B5657" s="2" t="str">
        <f>HYPERLINK("http://bbs.12365auto.com/postcontent.aspx?tId=194468","更加奢华 新款别克GL8 Avenir四座版申报图曝光")</f>
        <v>更加奢华 新款别克GL8 Avenir四座版申报图曝光</v>
      </c>
      <c r="C5657" s="2" t="s">
        <v>13</v>
      </c>
      <c r="D5657" s="2" t="s">
        <v>12</v>
      </c>
      <c r="E5657" s="2" t="s">
        <v>27</v>
      </c>
      <c r="F5657" s="2" t="str">
        <f>HYPERLINK("http://bbs.12365auto.com/postcontent.aspx?tId=194468","http://bbs.12365auto.com/postcontent.aspx?tId=194468")</f>
        <v>http://bbs.12365auto.com/postcontent.aspx?tId=194468</v>
      </c>
      <c r="G5657" s="2"/>
      <c r="H5657" s="2" t="s">
        <v>7899</v>
      </c>
      <c r="I5657" s="2" t="s">
        <v>15</v>
      </c>
      <c r="J5657" s="2" t="s">
        <v>4760</v>
      </c>
      <c r="K5657" s="2" t="s">
        <v>7900</v>
      </c>
      <c r="L5657" s="2">
        <f t="shared" si="88"/>
        <v>150</v>
      </c>
    </row>
    <row r="5658" spans="1:12" ht="25" customHeight="1">
      <c r="A5658" s="2" t="s">
        <v>12</v>
      </c>
      <c r="B5658" s="2" t="str">
        <f>HYPERLINK("http://m.12365auto.com/xcdg/20200219/418914.shtml","想法清库存 兰德酷路泽推出400台限量款")</f>
        <v>想法清库存 兰德酷路泽推出400台限量款</v>
      </c>
      <c r="C5658" s="2" t="s">
        <v>13</v>
      </c>
      <c r="D5658" s="2" t="s">
        <v>12</v>
      </c>
      <c r="E5658" s="2"/>
      <c r="F5658" s="2" t="str">
        <f>HYPERLINK("http://m.12365auto.com/xcdg/20200219/418914.shtml","http://m.12365auto.com/xcdg/20200219/418914.shtml")</f>
        <v>http://m.12365auto.com/xcdg/20200219/418914.shtml</v>
      </c>
      <c r="G5658" s="2"/>
      <c r="H5658" s="2" t="s">
        <v>7901</v>
      </c>
      <c r="I5658" s="2" t="s">
        <v>19</v>
      </c>
      <c r="J5658" s="2" t="s">
        <v>1558</v>
      </c>
      <c r="K5658" s="2" t="s">
        <v>7900</v>
      </c>
      <c r="L5658" s="2">
        <f t="shared" si="88"/>
        <v>150</v>
      </c>
    </row>
    <row r="5659" spans="1:12" ht="25" customHeight="1">
      <c r="A5659" s="2" t="s">
        <v>12</v>
      </c>
      <c r="B5659" s="2" t="str">
        <f>HYPERLINK("http://www.12365auto.com/xcdg/20200219/418914.shtml","想法清库存 兰德酷路泽推出400台限量款")</f>
        <v>想法清库存 兰德酷路泽推出400台限量款</v>
      </c>
      <c r="C5659" s="2" t="s">
        <v>13</v>
      </c>
      <c r="D5659" s="2" t="s">
        <v>12</v>
      </c>
      <c r="E5659" s="2" t="s">
        <v>216</v>
      </c>
      <c r="F5659" s="2" t="str">
        <f>HYPERLINK("http://www.12365auto.com/xcdg/20200219/418914.shtml","http://www.12365auto.com/xcdg/20200219/418914.shtml")</f>
        <v>http://www.12365auto.com/xcdg/20200219/418914.shtml</v>
      </c>
      <c r="G5659" s="2"/>
      <c r="H5659" s="2" t="s">
        <v>7902</v>
      </c>
      <c r="I5659" s="2" t="s">
        <v>15</v>
      </c>
      <c r="J5659" s="2" t="s">
        <v>12</v>
      </c>
      <c r="K5659" s="2" t="s">
        <v>7900</v>
      </c>
      <c r="L5659" s="2">
        <f t="shared" si="88"/>
        <v>150</v>
      </c>
    </row>
    <row r="5660" spans="1:12" ht="25" customHeight="1">
      <c r="A5660" s="2" t="s">
        <v>12</v>
      </c>
      <c r="B5660" s="2" t="str">
        <f>HYPERLINK("http://bbs.12365auto.com/postcontent.aspx?tID=194468","更加奢华 新款别克GL8 Avenir四座版申报图曝光")</f>
        <v>更加奢华 新款别克GL8 Avenir四座版申报图曝光</v>
      </c>
      <c r="C5660" s="2" t="s">
        <v>13</v>
      </c>
      <c r="D5660" s="2" t="s">
        <v>12</v>
      </c>
      <c r="E5660" s="2" t="s">
        <v>28</v>
      </c>
      <c r="F5660" s="2" t="str">
        <f>HYPERLINK("http://bbs.12365auto.com/postcontent.aspx?tID=194468","http://bbs.12365auto.com/postcontent.aspx?tID=194468")</f>
        <v>http://bbs.12365auto.com/postcontent.aspx?tID=194468</v>
      </c>
      <c r="G5660" s="2"/>
      <c r="H5660" s="2" t="s">
        <v>7903</v>
      </c>
      <c r="I5660" s="2" t="s">
        <v>15</v>
      </c>
      <c r="J5660" s="2" t="s">
        <v>4760</v>
      </c>
      <c r="K5660" s="2" t="s">
        <v>7900</v>
      </c>
      <c r="L5660" s="2">
        <f t="shared" si="88"/>
        <v>150</v>
      </c>
    </row>
    <row r="5661" spans="1:12" ht="25" customHeight="1">
      <c r="A5661" s="2" t="s">
        <v>12</v>
      </c>
      <c r="B5661" s="2" t="str">
        <f>HYPERLINK("http://m.12365auto.com/bbs/postcontent.aspx?tID=194468","更加奢华 新款别克GL8 Avenir四座版申报图曝光")</f>
        <v>更加奢华 新款别克GL8 Avenir四座版申报图曝光</v>
      </c>
      <c r="C5661" s="2" t="s">
        <v>13</v>
      </c>
      <c r="D5661" s="2" t="s">
        <v>23</v>
      </c>
      <c r="E5661" s="2"/>
      <c r="F5661" s="2" t="str">
        <f>HYPERLINK("http://m.12365auto.com/bbs/postcontent.aspx?tID=194468","http://m.12365auto.com/bbs/postcontent.aspx?tID=194468")</f>
        <v>http://m.12365auto.com/bbs/postcontent.aspx?tID=194468</v>
      </c>
      <c r="G5661" s="2"/>
      <c r="H5661" s="2" t="s">
        <v>7899</v>
      </c>
      <c r="I5661" s="2" t="s">
        <v>15</v>
      </c>
      <c r="J5661" s="2" t="s">
        <v>4760</v>
      </c>
      <c r="K5661" s="2" t="s">
        <v>7900</v>
      </c>
      <c r="L5661" s="2">
        <f t="shared" si="88"/>
        <v>150</v>
      </c>
    </row>
    <row r="5662" spans="1:12" ht="25" customHeight="1">
      <c r="A5662" s="2" t="s">
        <v>12</v>
      </c>
      <c r="B5662" s="2" t="str">
        <f>HYPERLINK("http://bbs.12365auto.com/postcontent.aspx?tId=194467","全新飞度动力信息曝光，将提供两种动力，或将北京车展亮相")</f>
        <v>全新飞度动力信息曝光，将提供两种动力，或将北京车展亮相</v>
      </c>
      <c r="C5662" s="2" t="s">
        <v>13</v>
      </c>
      <c r="D5662" s="2" t="s">
        <v>12</v>
      </c>
      <c r="E5662" s="2" t="s">
        <v>27</v>
      </c>
      <c r="F5662" s="2" t="str">
        <f>HYPERLINK("http://bbs.12365auto.com/postcontent.aspx?tId=194467","http://bbs.12365auto.com/postcontent.aspx?tId=194467")</f>
        <v>http://bbs.12365auto.com/postcontent.aspx?tId=194467</v>
      </c>
      <c r="G5662" s="2"/>
      <c r="H5662" s="2" t="s">
        <v>7904</v>
      </c>
      <c r="I5662" s="2" t="s">
        <v>15</v>
      </c>
      <c r="J5662" s="2" t="s">
        <v>4760</v>
      </c>
      <c r="K5662" s="2" t="s">
        <v>7905</v>
      </c>
      <c r="L5662" s="2">
        <f t="shared" si="88"/>
        <v>150</v>
      </c>
    </row>
    <row r="5663" spans="1:12" ht="25" customHeight="1">
      <c r="A5663" s="2" t="s">
        <v>12</v>
      </c>
      <c r="B5663" s="2" t="str">
        <f>HYPERLINK("http://bbs.12365auto.com/postcontent.aspx?tId=194466","凯迪拉克Super Cruise升级，可自动变换车道！")</f>
        <v>凯迪拉克Super Cruise升级，可自动变换车道！</v>
      </c>
      <c r="C5663" s="2" t="s">
        <v>13</v>
      </c>
      <c r="D5663" s="2" t="s">
        <v>12</v>
      </c>
      <c r="E5663" s="2" t="s">
        <v>27</v>
      </c>
      <c r="F5663" s="2" t="str">
        <f>HYPERLINK("http://bbs.12365auto.com/postcontent.aspx?tId=194466","http://bbs.12365auto.com/postcontent.aspx?tId=194466")</f>
        <v>http://bbs.12365auto.com/postcontent.aspx?tId=194466</v>
      </c>
      <c r="G5663" s="2"/>
      <c r="H5663" s="2" t="s">
        <v>7906</v>
      </c>
      <c r="I5663" s="2" t="s">
        <v>15</v>
      </c>
      <c r="J5663" s="2" t="s">
        <v>4760</v>
      </c>
      <c r="K5663" s="2" t="s">
        <v>7905</v>
      </c>
      <c r="L5663" s="2">
        <f t="shared" si="88"/>
        <v>150</v>
      </c>
    </row>
    <row r="5664" spans="1:12" ht="25" customHeight="1">
      <c r="A5664" s="2" t="s">
        <v>12</v>
      </c>
      <c r="B5664" s="2" t="str">
        <f>HYPERLINK("http://m.12365auto.com/xcdg/20200219/418913.shtml","预计年底面世 大众CC 旅行版路试照曝光")</f>
        <v>预计年底面世 大众CC 旅行版路试照曝光</v>
      </c>
      <c r="C5664" s="2" t="s">
        <v>13</v>
      </c>
      <c r="D5664" s="2" t="s">
        <v>12</v>
      </c>
      <c r="E5664" s="2"/>
      <c r="F5664" s="2" t="str">
        <f>HYPERLINK("http://m.12365auto.com/xcdg/20200219/418913.shtml","http://m.12365auto.com/xcdg/20200219/418913.shtml")</f>
        <v>http://m.12365auto.com/xcdg/20200219/418913.shtml</v>
      </c>
      <c r="G5664" s="2"/>
      <c r="H5664" s="2" t="s">
        <v>7907</v>
      </c>
      <c r="I5664" s="2" t="s">
        <v>19</v>
      </c>
      <c r="J5664" s="2" t="s">
        <v>1558</v>
      </c>
      <c r="K5664" s="2" t="s">
        <v>7905</v>
      </c>
      <c r="L5664" s="2">
        <f t="shared" si="88"/>
        <v>150</v>
      </c>
    </row>
    <row r="5665" spans="1:12" ht="25" customHeight="1">
      <c r="A5665" s="2" t="s">
        <v>12</v>
      </c>
      <c r="B5665" s="2" t="str">
        <f>HYPERLINK("http://www.12365auto.com/xcdg/20200219/418913.shtml","预计年底面世 大众CC 旅行版路试照曝光")</f>
        <v>预计年底面世 大众CC 旅行版路试照曝光</v>
      </c>
      <c r="C5665" s="2" t="s">
        <v>13</v>
      </c>
      <c r="D5665" s="2" t="s">
        <v>12</v>
      </c>
      <c r="E5665" s="2" t="s">
        <v>224</v>
      </c>
      <c r="F5665" s="2" t="str">
        <f>HYPERLINK("http://www.12365auto.com/xcdg/20200219/418913.shtml","http://www.12365auto.com/xcdg/20200219/418913.shtml")</f>
        <v>http://www.12365auto.com/xcdg/20200219/418913.shtml</v>
      </c>
      <c r="G5665" s="2"/>
      <c r="H5665" s="2" t="s">
        <v>7908</v>
      </c>
      <c r="I5665" s="2" t="s">
        <v>15</v>
      </c>
      <c r="J5665" s="2" t="s">
        <v>12</v>
      </c>
      <c r="K5665" s="2" t="s">
        <v>7905</v>
      </c>
      <c r="L5665" s="2">
        <f t="shared" si="88"/>
        <v>150</v>
      </c>
    </row>
    <row r="5666" spans="1:12" ht="25" customHeight="1">
      <c r="A5666" s="2" t="s">
        <v>12</v>
      </c>
      <c r="B5666" s="2" t="str">
        <f>HYPERLINK("http://bbs.12365auto.com/postcontent.aspx?tID=194466","凯迪拉克Super Cruise升级，可自动变换车道！")</f>
        <v>凯迪拉克Super Cruise升级，可自动变换车道！</v>
      </c>
      <c r="C5666" s="2" t="s">
        <v>13</v>
      </c>
      <c r="D5666" s="2" t="s">
        <v>12</v>
      </c>
      <c r="E5666" s="2" t="s">
        <v>28</v>
      </c>
      <c r="F5666" s="2" t="str">
        <f>HYPERLINK("http://bbs.12365auto.com/postcontent.aspx?tID=194466","http://bbs.12365auto.com/postcontent.aspx?tID=194466")</f>
        <v>http://bbs.12365auto.com/postcontent.aspx?tID=194466</v>
      </c>
      <c r="G5666" s="2"/>
      <c r="H5666" s="2" t="s">
        <v>7909</v>
      </c>
      <c r="I5666" s="2" t="s">
        <v>15</v>
      </c>
      <c r="J5666" s="2" t="s">
        <v>4760</v>
      </c>
      <c r="K5666" s="2" t="s">
        <v>7905</v>
      </c>
      <c r="L5666" s="2">
        <f t="shared" si="88"/>
        <v>150</v>
      </c>
    </row>
    <row r="5667" spans="1:12" ht="25" customHeight="1">
      <c r="A5667" s="2" t="s">
        <v>12</v>
      </c>
      <c r="B5667" s="2" t="str">
        <f>HYPERLINK("http://bbs.12365auto.com/postcontent.aspx?tID=194467","全新飞度动力信息曝光，将提供两种动力，或将北京车展亮相")</f>
        <v>全新飞度动力信息曝光，将提供两种动力，或将北京车展亮相</v>
      </c>
      <c r="C5667" s="2" t="s">
        <v>13</v>
      </c>
      <c r="D5667" s="2" t="s">
        <v>12</v>
      </c>
      <c r="E5667" s="2" t="s">
        <v>28</v>
      </c>
      <c r="F5667" s="2" t="str">
        <f>HYPERLINK("http://bbs.12365auto.com/postcontent.aspx?tID=194467","http://bbs.12365auto.com/postcontent.aspx?tID=194467")</f>
        <v>http://bbs.12365auto.com/postcontent.aspx?tID=194467</v>
      </c>
      <c r="G5667" s="2"/>
      <c r="H5667" s="2" t="s">
        <v>7910</v>
      </c>
      <c r="I5667" s="2" t="s">
        <v>15</v>
      </c>
      <c r="J5667" s="2" t="s">
        <v>4760</v>
      </c>
      <c r="K5667" s="2" t="s">
        <v>7905</v>
      </c>
      <c r="L5667" s="2">
        <f t="shared" si="88"/>
        <v>150</v>
      </c>
    </row>
    <row r="5668" spans="1:12" ht="25" customHeight="1">
      <c r="A5668" s="2" t="s">
        <v>12</v>
      </c>
      <c r="B5668" s="2" t="str">
        <f>HYPERLINK("http://m.12365auto.com/bbs/postcontent.aspx?tID=194466","凯迪拉克Super Cruise升级，可自动变换车道！")</f>
        <v>凯迪拉克Super Cruise升级，可自动变换车道！</v>
      </c>
      <c r="C5668" s="2" t="s">
        <v>13</v>
      </c>
      <c r="D5668" s="2" t="s">
        <v>23</v>
      </c>
      <c r="E5668" s="2"/>
      <c r="F5668" s="2" t="str">
        <f>HYPERLINK("http://m.12365auto.com/bbs/postcontent.aspx?tID=194466","http://m.12365auto.com/bbs/postcontent.aspx?tID=194466")</f>
        <v>http://m.12365auto.com/bbs/postcontent.aspx?tID=194466</v>
      </c>
      <c r="G5668" s="2"/>
      <c r="H5668" s="2" t="s">
        <v>7906</v>
      </c>
      <c r="I5668" s="2" t="s">
        <v>15</v>
      </c>
      <c r="J5668" s="2" t="s">
        <v>4760</v>
      </c>
      <c r="K5668" s="2" t="s">
        <v>7905</v>
      </c>
      <c r="L5668" s="2">
        <f t="shared" si="88"/>
        <v>150</v>
      </c>
    </row>
    <row r="5669" spans="1:12" ht="25" customHeight="1">
      <c r="A5669" s="2" t="s">
        <v>12</v>
      </c>
      <c r="B5669" s="2" t="str">
        <f>HYPERLINK("http://m.12365auto.com/bbs/postcontent.aspx?tID=194467","全新飞度动力信息曝光，将提供两种动力，或将北京车展亮相")</f>
        <v>全新飞度动力信息曝光，将提供两种动力，或将北京车展亮相</v>
      </c>
      <c r="C5669" s="2" t="s">
        <v>13</v>
      </c>
      <c r="D5669" s="2" t="s">
        <v>23</v>
      </c>
      <c r="E5669" s="2"/>
      <c r="F5669" s="2" t="str">
        <f>HYPERLINK("http://m.12365auto.com/bbs/postcontent.aspx?tID=194467","http://m.12365auto.com/bbs/postcontent.aspx?tID=194467")</f>
        <v>http://m.12365auto.com/bbs/postcontent.aspx?tID=194467</v>
      </c>
      <c r="G5669" s="2"/>
      <c r="H5669" s="2" t="s">
        <v>7904</v>
      </c>
      <c r="I5669" s="2" t="s">
        <v>15</v>
      </c>
      <c r="J5669" s="2" t="s">
        <v>4760</v>
      </c>
      <c r="K5669" s="2" t="s">
        <v>7905</v>
      </c>
      <c r="L5669" s="2">
        <f t="shared" si="88"/>
        <v>150</v>
      </c>
    </row>
    <row r="5670" spans="1:12" ht="25" customHeight="1">
      <c r="A5670" s="2" t="s">
        <v>12</v>
      </c>
      <c r="B5670" s="2" t="str">
        <f>HYPERLINK("http://bbs.12365auto.com/postcontent.aspx?tId=194465","鼻孔变成嘴了，宝马全新一代M4路试谍照")</f>
        <v>鼻孔变成嘴了，宝马全新一代M4路试谍照</v>
      </c>
      <c r="C5670" s="2" t="s">
        <v>13</v>
      </c>
      <c r="D5670" s="2" t="s">
        <v>12</v>
      </c>
      <c r="E5670" s="2" t="s">
        <v>27</v>
      </c>
      <c r="F5670" s="2" t="str">
        <f>HYPERLINK("http://bbs.12365auto.com/postcontent.aspx?tId=194465","http://bbs.12365auto.com/postcontent.aspx?tId=194465")</f>
        <v>http://bbs.12365auto.com/postcontent.aspx?tId=194465</v>
      </c>
      <c r="G5670" s="2"/>
      <c r="H5670" s="2" t="s">
        <v>7911</v>
      </c>
      <c r="I5670" s="2" t="s">
        <v>15</v>
      </c>
      <c r="J5670" s="2" t="s">
        <v>4760</v>
      </c>
      <c r="K5670" s="2" t="s">
        <v>7912</v>
      </c>
      <c r="L5670" s="2">
        <f t="shared" si="88"/>
        <v>150</v>
      </c>
    </row>
    <row r="5671" spans="1:12" ht="25" customHeight="1">
      <c r="A5671" s="2" t="s">
        <v>12</v>
      </c>
      <c r="B5671" s="2" t="str">
        <f>HYPERLINK("http://bbs.12365auto.com/postcontent.aspx?tId=194464","两驱和四驱可选，造型更显年轻，全新一代汉兰达有望今年引入")</f>
        <v>两驱和四驱可选，造型更显年轻，全新一代汉兰达有望今年引入</v>
      </c>
      <c r="C5671" s="2" t="s">
        <v>13</v>
      </c>
      <c r="D5671" s="2" t="s">
        <v>12</v>
      </c>
      <c r="E5671" s="2" t="s">
        <v>27</v>
      </c>
      <c r="F5671" s="2" t="str">
        <f>HYPERLINK("http://bbs.12365auto.com/postcontent.aspx?tId=194464","http://bbs.12365auto.com/postcontent.aspx?tId=194464")</f>
        <v>http://bbs.12365auto.com/postcontent.aspx?tId=194464</v>
      </c>
      <c r="G5671" s="2"/>
      <c r="H5671" s="2" t="s">
        <v>7913</v>
      </c>
      <c r="I5671" s="2" t="s">
        <v>15</v>
      </c>
      <c r="J5671" s="2" t="s">
        <v>4760</v>
      </c>
      <c r="K5671" s="2" t="s">
        <v>7912</v>
      </c>
      <c r="L5671" s="2">
        <f t="shared" si="88"/>
        <v>150</v>
      </c>
    </row>
    <row r="5672" spans="1:12" ht="25" customHeight="1">
      <c r="A5672" s="2" t="s">
        <v>12</v>
      </c>
      <c r="B5672" s="2" t="str">
        <f>HYPERLINK("http://m.12365auto.com/xcdg/20200219/418912.shtml","旗舰SUV 西雅特发布Tarraco FR/FR官图")</f>
        <v>旗舰SUV 西雅特发布Tarraco FR/FR官图</v>
      </c>
      <c r="C5672" s="2" t="s">
        <v>13</v>
      </c>
      <c r="D5672" s="2" t="s">
        <v>12</v>
      </c>
      <c r="E5672" s="2"/>
      <c r="F5672" s="2" t="str">
        <f>HYPERLINK("http://m.12365auto.com/xcdg/20200219/418912.shtml","http://m.12365auto.com/xcdg/20200219/418912.shtml")</f>
        <v>http://m.12365auto.com/xcdg/20200219/418912.shtml</v>
      </c>
      <c r="G5672" s="2"/>
      <c r="H5672" s="2" t="s">
        <v>7914</v>
      </c>
      <c r="I5672" s="2" t="s">
        <v>19</v>
      </c>
      <c r="J5672" s="2" t="s">
        <v>1558</v>
      </c>
      <c r="K5672" s="2" t="s">
        <v>7912</v>
      </c>
      <c r="L5672" s="2">
        <f t="shared" si="88"/>
        <v>150</v>
      </c>
    </row>
    <row r="5673" spans="1:12" ht="25" customHeight="1">
      <c r="A5673" s="2" t="s">
        <v>12</v>
      </c>
      <c r="B5673" s="2" t="str">
        <f>HYPERLINK("http://www.12365auto.com/xcdg/20200219/418912.shtml","旗舰SUV 西雅特发布Tarraco FR/FR官图")</f>
        <v>旗舰SUV 西雅特发布Tarraco FR/FR官图</v>
      </c>
      <c r="C5673" s="2" t="s">
        <v>13</v>
      </c>
      <c r="D5673" s="2" t="s">
        <v>12</v>
      </c>
      <c r="E5673" s="2" t="s">
        <v>216</v>
      </c>
      <c r="F5673" s="2" t="str">
        <f>HYPERLINK("http://www.12365auto.com/xcdg/20200219/418912.shtml","http://www.12365auto.com/xcdg/20200219/418912.shtml")</f>
        <v>http://www.12365auto.com/xcdg/20200219/418912.shtml</v>
      </c>
      <c r="G5673" s="2"/>
      <c r="H5673" s="2" t="s">
        <v>7915</v>
      </c>
      <c r="I5673" s="2" t="s">
        <v>15</v>
      </c>
      <c r="J5673" s="2" t="s">
        <v>12</v>
      </c>
      <c r="K5673" s="2" t="s">
        <v>7912</v>
      </c>
      <c r="L5673" s="2">
        <f t="shared" si="88"/>
        <v>150</v>
      </c>
    </row>
    <row r="5674" spans="1:12" ht="25" customHeight="1">
      <c r="A5674" s="2" t="s">
        <v>12</v>
      </c>
      <c r="B5674" s="2" t="str">
        <f>HYPERLINK("http://bbs.12365auto.com/postcontent.aspx?tID=194464","两驱和四驱可选，造型更显年轻，全新一代汉兰达有望今年引入")</f>
        <v>两驱和四驱可选，造型更显年轻，全新一代汉兰达有望今年引入</v>
      </c>
      <c r="C5674" s="2" t="s">
        <v>13</v>
      </c>
      <c r="D5674" s="2" t="s">
        <v>12</v>
      </c>
      <c r="E5674" s="2" t="s">
        <v>28</v>
      </c>
      <c r="F5674" s="2" t="str">
        <f>HYPERLINK("http://bbs.12365auto.com/postcontent.aspx?tID=194464","http://bbs.12365auto.com/postcontent.aspx?tID=194464")</f>
        <v>http://bbs.12365auto.com/postcontent.aspx?tID=194464</v>
      </c>
      <c r="G5674" s="2"/>
      <c r="H5674" s="2" t="s">
        <v>7916</v>
      </c>
      <c r="I5674" s="2" t="s">
        <v>15</v>
      </c>
      <c r="J5674" s="2" t="s">
        <v>4760</v>
      </c>
      <c r="K5674" s="2" t="s">
        <v>7912</v>
      </c>
      <c r="L5674" s="2">
        <f t="shared" si="88"/>
        <v>150</v>
      </c>
    </row>
    <row r="5675" spans="1:12" ht="25" customHeight="1">
      <c r="A5675" s="2" t="s">
        <v>12</v>
      </c>
      <c r="B5675" s="2" t="str">
        <f>HYPERLINK("http://bbs.12365auto.com/postcontent.aspx?tID=194465","鼻孔变成嘴了，宝马全新一代M4路试谍照")</f>
        <v>鼻孔变成嘴了，宝马全新一代M4路试谍照</v>
      </c>
      <c r="C5675" s="2" t="s">
        <v>13</v>
      </c>
      <c r="D5675" s="2" t="s">
        <v>12</v>
      </c>
      <c r="E5675" s="2" t="s">
        <v>28</v>
      </c>
      <c r="F5675" s="2" t="str">
        <f>HYPERLINK("http://bbs.12365auto.com/postcontent.aspx?tID=194465","http://bbs.12365auto.com/postcontent.aspx?tID=194465")</f>
        <v>http://bbs.12365auto.com/postcontent.aspx?tID=194465</v>
      </c>
      <c r="G5675" s="2"/>
      <c r="H5675" s="2" t="s">
        <v>7917</v>
      </c>
      <c r="I5675" s="2" t="s">
        <v>15</v>
      </c>
      <c r="J5675" s="2" t="s">
        <v>4760</v>
      </c>
      <c r="K5675" s="2" t="s">
        <v>7912</v>
      </c>
      <c r="L5675" s="2">
        <f t="shared" si="88"/>
        <v>150</v>
      </c>
    </row>
    <row r="5676" spans="1:12" ht="25" customHeight="1">
      <c r="A5676" s="2" t="s">
        <v>12</v>
      </c>
      <c r="B5676" s="2" t="str">
        <f>HYPERLINK("http://m.12365auto.com/bbs/postcontent.aspx?tID=194464","两驱和四驱可选，造型更显年轻，全新一代汉兰达有望今年引入")</f>
        <v>两驱和四驱可选，造型更显年轻，全新一代汉兰达有望今年引入</v>
      </c>
      <c r="C5676" s="2" t="s">
        <v>13</v>
      </c>
      <c r="D5676" s="2" t="s">
        <v>23</v>
      </c>
      <c r="E5676" s="2"/>
      <c r="F5676" s="2" t="str">
        <f>HYPERLINK("http://m.12365auto.com/bbs/postcontent.aspx?tID=194464","http://m.12365auto.com/bbs/postcontent.aspx?tID=194464")</f>
        <v>http://m.12365auto.com/bbs/postcontent.aspx?tID=194464</v>
      </c>
      <c r="G5676" s="2"/>
      <c r="H5676" s="2" t="s">
        <v>7913</v>
      </c>
      <c r="I5676" s="2" t="s">
        <v>15</v>
      </c>
      <c r="J5676" s="2" t="s">
        <v>4760</v>
      </c>
      <c r="K5676" s="2" t="s">
        <v>7912</v>
      </c>
      <c r="L5676" s="2">
        <f t="shared" si="88"/>
        <v>150</v>
      </c>
    </row>
    <row r="5677" spans="1:12" ht="25" customHeight="1">
      <c r="A5677" s="2" t="s">
        <v>12</v>
      </c>
      <c r="B5677" s="2" t="str">
        <f>HYPERLINK("http://m.12365auto.com/bbs/postcontent.aspx?tID=194465","鼻孔变成嘴了，宝马全新一代M4路试谍照")</f>
        <v>鼻孔变成嘴了，宝马全新一代M4路试谍照</v>
      </c>
      <c r="C5677" s="2" t="s">
        <v>13</v>
      </c>
      <c r="D5677" s="2" t="s">
        <v>23</v>
      </c>
      <c r="E5677" s="2"/>
      <c r="F5677" s="2" t="str">
        <f>HYPERLINK("http://m.12365auto.com/bbs/postcontent.aspx?tID=194465","http://m.12365auto.com/bbs/postcontent.aspx?tID=194465")</f>
        <v>http://m.12365auto.com/bbs/postcontent.aspx?tID=194465</v>
      </c>
      <c r="G5677" s="2"/>
      <c r="H5677" s="2" t="s">
        <v>7911</v>
      </c>
      <c r="I5677" s="2" t="s">
        <v>15</v>
      </c>
      <c r="J5677" s="2" t="s">
        <v>4760</v>
      </c>
      <c r="K5677" s="2" t="s">
        <v>7912</v>
      </c>
      <c r="L5677" s="2">
        <f t="shared" si="88"/>
        <v>150</v>
      </c>
    </row>
    <row r="5678" spans="1:12" ht="25" customHeight="1">
      <c r="A5678" s="2" t="s">
        <v>12</v>
      </c>
      <c r="B5678" s="2" t="str">
        <f>HYPERLINK("http://bbs.12365auto.com/postcontent.aspx?tId=194462","1.6T爆发197马力，全新瑞虎7Pro新车实拍图解！")</f>
        <v>1.6T爆发197马力，全新瑞虎7Pro新车实拍图解！</v>
      </c>
      <c r="C5678" s="2" t="s">
        <v>13</v>
      </c>
      <c r="D5678" s="2" t="s">
        <v>12</v>
      </c>
      <c r="E5678" s="2" t="s">
        <v>27</v>
      </c>
      <c r="F5678" s="2" t="str">
        <f>HYPERLINK("http://bbs.12365auto.com/postcontent.aspx?tId=194462","http://bbs.12365auto.com/postcontent.aspx?tId=194462")</f>
        <v>http://bbs.12365auto.com/postcontent.aspx?tId=194462</v>
      </c>
      <c r="G5678" s="2"/>
      <c r="H5678" s="2" t="s">
        <v>7918</v>
      </c>
      <c r="I5678" s="2" t="s">
        <v>15</v>
      </c>
      <c r="J5678" s="2" t="s">
        <v>4760</v>
      </c>
      <c r="K5678" s="2" t="s">
        <v>7919</v>
      </c>
      <c r="L5678" s="2">
        <f t="shared" si="88"/>
        <v>150</v>
      </c>
    </row>
    <row r="5679" spans="1:12" ht="25" customHeight="1">
      <c r="A5679" s="2" t="s">
        <v>12</v>
      </c>
      <c r="B5679" s="2" t="str">
        <f>HYPERLINK("http://bbs.12365auto.com/postcontent.aspx?tId=194463","福特Bronco/Bronco Sport新SUV将发布")</f>
        <v>福特Bronco/Bronco Sport新SUV将发布</v>
      </c>
      <c r="C5679" s="2" t="s">
        <v>13</v>
      </c>
      <c r="D5679" s="2" t="s">
        <v>12</v>
      </c>
      <c r="E5679" s="2" t="s">
        <v>27</v>
      </c>
      <c r="F5679" s="2" t="str">
        <f>HYPERLINK("http://bbs.12365auto.com/postcontent.aspx?tId=194463","http://bbs.12365auto.com/postcontent.aspx?tId=194463")</f>
        <v>http://bbs.12365auto.com/postcontent.aspx?tId=194463</v>
      </c>
      <c r="G5679" s="2"/>
      <c r="H5679" s="2" t="s">
        <v>7920</v>
      </c>
      <c r="I5679" s="2" t="s">
        <v>15</v>
      </c>
      <c r="J5679" s="2" t="s">
        <v>4760</v>
      </c>
      <c r="K5679" s="2" t="s">
        <v>7919</v>
      </c>
      <c r="L5679" s="2">
        <f t="shared" si="88"/>
        <v>150</v>
      </c>
    </row>
    <row r="5680" spans="1:12" ht="25" customHeight="1">
      <c r="A5680" s="2" t="s">
        <v>12</v>
      </c>
      <c r="B5680" s="2" t="str">
        <f>HYPERLINK("http://m.12365auto.com/xcdg/20200219/418911.shtml","增插电混动版 新款大众Tiguan路试照曝光")</f>
        <v>增插电混动版 新款大众Tiguan路试照曝光</v>
      </c>
      <c r="C5680" s="2" t="s">
        <v>13</v>
      </c>
      <c r="D5680" s="2" t="s">
        <v>12</v>
      </c>
      <c r="E5680" s="2"/>
      <c r="F5680" s="2" t="str">
        <f>HYPERLINK("http://m.12365auto.com/xcdg/20200219/418911.shtml","http://m.12365auto.com/xcdg/20200219/418911.shtml")</f>
        <v>http://m.12365auto.com/xcdg/20200219/418911.shtml</v>
      </c>
      <c r="G5680" s="2"/>
      <c r="H5680" s="2" t="s">
        <v>7921</v>
      </c>
      <c r="I5680" s="2" t="s">
        <v>19</v>
      </c>
      <c r="J5680" s="2" t="s">
        <v>1558</v>
      </c>
      <c r="K5680" s="2" t="s">
        <v>7919</v>
      </c>
      <c r="L5680" s="2">
        <f t="shared" si="88"/>
        <v>150</v>
      </c>
    </row>
    <row r="5681" spans="1:12" ht="25" customHeight="1">
      <c r="A5681" s="2" t="s">
        <v>12</v>
      </c>
      <c r="B5681" s="2" t="str">
        <f>HYPERLINK("http://m.12365auto.com/xcdg/20200219/418910.shtml","续航490公里 菲斯塔纯电动 预计月底上市")</f>
        <v>续航490公里 菲斯塔纯电动 预计月底上市</v>
      </c>
      <c r="C5681" s="2" t="s">
        <v>13</v>
      </c>
      <c r="D5681" s="2" t="s">
        <v>12</v>
      </c>
      <c r="E5681" s="2"/>
      <c r="F5681" s="2" t="str">
        <f>HYPERLINK("http://m.12365auto.com/xcdg/20200219/418910.shtml","http://m.12365auto.com/xcdg/20200219/418910.shtml")</f>
        <v>http://m.12365auto.com/xcdg/20200219/418910.shtml</v>
      </c>
      <c r="G5681" s="2"/>
      <c r="H5681" s="2" t="s">
        <v>7922</v>
      </c>
      <c r="I5681" s="2" t="s">
        <v>19</v>
      </c>
      <c r="J5681" s="2" t="s">
        <v>7923</v>
      </c>
      <c r="K5681" s="2" t="s">
        <v>7919</v>
      </c>
      <c r="L5681" s="2">
        <f t="shared" si="88"/>
        <v>150</v>
      </c>
    </row>
    <row r="5682" spans="1:12" ht="25" customHeight="1">
      <c r="A5682" s="2" t="s">
        <v>12</v>
      </c>
      <c r="B5682" s="2" t="str">
        <f>HYPERLINK("http://www.12365auto.com/xcdg/20200219/418910.shtml","续航490公里 菲斯塔纯电动 预计月底上市")</f>
        <v>续航490公里 菲斯塔纯电动 预计月底上市</v>
      </c>
      <c r="C5682" s="2" t="s">
        <v>13</v>
      </c>
      <c r="D5682" s="2" t="s">
        <v>12</v>
      </c>
      <c r="E5682" s="2" t="s">
        <v>216</v>
      </c>
      <c r="F5682" s="2" t="str">
        <f>HYPERLINK("http://www.12365auto.com/xcdg/20200219/418910.shtml","http://www.12365auto.com/xcdg/20200219/418910.shtml")</f>
        <v>http://www.12365auto.com/xcdg/20200219/418910.shtml</v>
      </c>
      <c r="G5682" s="2"/>
      <c r="H5682" s="2" t="s">
        <v>7924</v>
      </c>
      <c r="I5682" s="2" t="s">
        <v>15</v>
      </c>
      <c r="J5682" s="2" t="s">
        <v>12</v>
      </c>
      <c r="K5682" s="2" t="s">
        <v>7919</v>
      </c>
      <c r="L5682" s="2">
        <f t="shared" si="88"/>
        <v>150</v>
      </c>
    </row>
    <row r="5683" spans="1:12" ht="25" customHeight="1">
      <c r="A5683" s="2" t="s">
        <v>12</v>
      </c>
      <c r="B5683" s="2" t="str">
        <f>HYPERLINK("http://www.12365auto.com/xcdg/20200219/418911.shtml","增插电混动版 新款大众Tiguan路试照曝光")</f>
        <v>增插电混动版 新款大众Tiguan路试照曝光</v>
      </c>
      <c r="C5683" s="2" t="s">
        <v>13</v>
      </c>
      <c r="D5683" s="2" t="s">
        <v>12</v>
      </c>
      <c r="E5683" s="2" t="s">
        <v>224</v>
      </c>
      <c r="F5683" s="2" t="str">
        <f>HYPERLINK("http://www.12365auto.com/xcdg/20200219/418911.shtml","http://www.12365auto.com/xcdg/20200219/418911.shtml")</f>
        <v>http://www.12365auto.com/xcdg/20200219/418911.shtml</v>
      </c>
      <c r="G5683" s="2"/>
      <c r="H5683" s="2" t="s">
        <v>7925</v>
      </c>
      <c r="I5683" s="2" t="s">
        <v>15</v>
      </c>
      <c r="J5683" s="2" t="s">
        <v>12</v>
      </c>
      <c r="K5683" s="2" t="s">
        <v>7919</v>
      </c>
      <c r="L5683" s="2">
        <f t="shared" si="88"/>
        <v>150</v>
      </c>
    </row>
    <row r="5684" spans="1:12" ht="25" customHeight="1">
      <c r="A5684" s="2" t="s">
        <v>12</v>
      </c>
      <c r="B5684" s="2" t="str">
        <f>HYPERLINK("http://bbs.12365auto.com/postcontent.aspx?tID=194463","福特Bronco/Bronco Sport新SUV将发布")</f>
        <v>福特Bronco/Bronco Sport新SUV将发布</v>
      </c>
      <c r="C5684" s="2" t="s">
        <v>13</v>
      </c>
      <c r="D5684" s="2" t="s">
        <v>12</v>
      </c>
      <c r="E5684" s="2" t="s">
        <v>28</v>
      </c>
      <c r="F5684" s="2" t="str">
        <f>HYPERLINK("http://bbs.12365auto.com/postcontent.aspx?tID=194463","http://bbs.12365auto.com/postcontent.aspx?tID=194463")</f>
        <v>http://bbs.12365auto.com/postcontent.aspx?tID=194463</v>
      </c>
      <c r="G5684" s="2"/>
      <c r="H5684" s="2" t="s">
        <v>7926</v>
      </c>
      <c r="I5684" s="2" t="s">
        <v>15</v>
      </c>
      <c r="J5684" s="2" t="s">
        <v>4760</v>
      </c>
      <c r="K5684" s="2" t="s">
        <v>7919</v>
      </c>
      <c r="L5684" s="2">
        <f t="shared" si="88"/>
        <v>150</v>
      </c>
    </row>
    <row r="5685" spans="1:12" ht="25" customHeight="1">
      <c r="A5685" s="2" t="s">
        <v>12</v>
      </c>
      <c r="B5685" s="2" t="str">
        <f>HYPERLINK("http://bbs.12365auto.com/postcontent.aspx?tID=194462","1.6T爆发197马力，全新瑞虎7Pro新车实拍图解！")</f>
        <v>1.6T爆发197马力，全新瑞虎7Pro新车实拍图解！</v>
      </c>
      <c r="C5685" s="2" t="s">
        <v>13</v>
      </c>
      <c r="D5685" s="2" t="s">
        <v>12</v>
      </c>
      <c r="E5685" s="2" t="s">
        <v>28</v>
      </c>
      <c r="F5685" s="2" t="str">
        <f>HYPERLINK("http://bbs.12365auto.com/postcontent.aspx?tID=194462","http://bbs.12365auto.com/postcontent.aspx?tID=194462")</f>
        <v>http://bbs.12365auto.com/postcontent.aspx?tID=194462</v>
      </c>
      <c r="G5685" s="2"/>
      <c r="H5685" s="2" t="s">
        <v>7927</v>
      </c>
      <c r="I5685" s="2" t="s">
        <v>15</v>
      </c>
      <c r="J5685" s="2" t="s">
        <v>4760</v>
      </c>
      <c r="K5685" s="2" t="s">
        <v>7919</v>
      </c>
      <c r="L5685" s="2">
        <f t="shared" si="88"/>
        <v>150</v>
      </c>
    </row>
    <row r="5686" spans="1:12" ht="25" customHeight="1">
      <c r="A5686" s="2" t="s">
        <v>12</v>
      </c>
      <c r="B5686" s="2" t="str">
        <f>HYPERLINK("http://m.12365auto.com/bbs/postcontent.aspx?tID=194463","福特Bronco/Bronco Sport新SUV将发布")</f>
        <v>福特Bronco/Bronco Sport新SUV将发布</v>
      </c>
      <c r="C5686" s="2" t="s">
        <v>13</v>
      </c>
      <c r="D5686" s="2" t="s">
        <v>23</v>
      </c>
      <c r="E5686" s="2"/>
      <c r="F5686" s="2" t="str">
        <f>HYPERLINK("http://m.12365auto.com/bbs/postcontent.aspx?tID=194463","http://m.12365auto.com/bbs/postcontent.aspx?tID=194463")</f>
        <v>http://m.12365auto.com/bbs/postcontent.aspx?tID=194463</v>
      </c>
      <c r="G5686" s="2"/>
      <c r="H5686" s="2" t="s">
        <v>7920</v>
      </c>
      <c r="I5686" s="2" t="s">
        <v>15</v>
      </c>
      <c r="J5686" s="2" t="s">
        <v>4760</v>
      </c>
      <c r="K5686" s="2" t="s">
        <v>7919</v>
      </c>
      <c r="L5686" s="2">
        <f t="shared" si="88"/>
        <v>150</v>
      </c>
    </row>
    <row r="5687" spans="1:12" ht="25" customHeight="1">
      <c r="A5687" s="2" t="s">
        <v>12</v>
      </c>
      <c r="B5687" s="2" t="str">
        <f>HYPERLINK("http://m.12365auto.com/bbs/postcontent.aspx?tID=194462","1.6T爆发197马力，全新瑞虎7Pro新车实拍图解！")</f>
        <v>1.6T爆发197马力，全新瑞虎7Pro新车实拍图解！</v>
      </c>
      <c r="C5687" s="2" t="s">
        <v>13</v>
      </c>
      <c r="D5687" s="2" t="s">
        <v>23</v>
      </c>
      <c r="E5687" s="2"/>
      <c r="F5687" s="2" t="str">
        <f>HYPERLINK("http://m.12365auto.com/bbs/postcontent.aspx?tID=194462","http://m.12365auto.com/bbs/postcontent.aspx?tID=194462")</f>
        <v>http://m.12365auto.com/bbs/postcontent.aspx?tID=194462</v>
      </c>
      <c r="G5687" s="2"/>
      <c r="H5687" s="2" t="s">
        <v>7918</v>
      </c>
      <c r="I5687" s="2" t="s">
        <v>15</v>
      </c>
      <c r="J5687" s="2" t="s">
        <v>4760</v>
      </c>
      <c r="K5687" s="2" t="s">
        <v>7919</v>
      </c>
      <c r="L5687" s="2">
        <f t="shared" si="88"/>
        <v>150</v>
      </c>
    </row>
    <row r="5688" spans="1:12" ht="25" customHeight="1">
      <c r="A5688" s="2" t="s">
        <v>12</v>
      </c>
      <c r="B5688" s="2" t="str">
        <f>HYPERLINK("http://bbs.12365auto.com/postcontent.aspx?tId=194461","两强相争谁能胜出？凯迪拉克XT4对比宝马X1")</f>
        <v>两强相争谁能胜出？凯迪拉克XT4对比宝马X1</v>
      </c>
      <c r="C5688" s="2" t="s">
        <v>13</v>
      </c>
      <c r="D5688" s="2" t="s">
        <v>12</v>
      </c>
      <c r="E5688" s="2" t="s">
        <v>27</v>
      </c>
      <c r="F5688" s="2" t="str">
        <f>HYPERLINK("http://bbs.12365auto.com/postcontent.aspx?tId=194461","http://bbs.12365auto.com/postcontent.aspx?tId=194461")</f>
        <v>http://bbs.12365auto.com/postcontent.aspx?tId=194461</v>
      </c>
      <c r="G5688" s="2"/>
      <c r="H5688" s="2" t="s">
        <v>7928</v>
      </c>
      <c r="I5688" s="2" t="s">
        <v>15</v>
      </c>
      <c r="J5688" s="2" t="s">
        <v>4760</v>
      </c>
      <c r="K5688" s="2" t="s">
        <v>7929</v>
      </c>
      <c r="L5688" s="2">
        <f t="shared" si="88"/>
        <v>150</v>
      </c>
    </row>
    <row r="5689" spans="1:12" ht="25" customHeight="1">
      <c r="A5689" s="2" t="s">
        <v>12</v>
      </c>
      <c r="B5689" s="2" t="str">
        <f>HYPERLINK("http://bbs.12365auto.com/postcontent.aspx?tID=194461","两强相争谁能胜出？凯迪拉克XT4对比宝马X1")</f>
        <v>两强相争谁能胜出？凯迪拉克XT4对比宝马X1</v>
      </c>
      <c r="C5689" s="2" t="s">
        <v>13</v>
      </c>
      <c r="D5689" s="2" t="s">
        <v>12</v>
      </c>
      <c r="E5689" s="2" t="s">
        <v>28</v>
      </c>
      <c r="F5689" s="2" t="str">
        <f>HYPERLINK("http://bbs.12365auto.com/postcontent.aspx?tID=194461","http://bbs.12365auto.com/postcontent.aspx?tID=194461")</f>
        <v>http://bbs.12365auto.com/postcontent.aspx?tID=194461</v>
      </c>
      <c r="G5689" s="2"/>
      <c r="H5689" s="2" t="s">
        <v>7930</v>
      </c>
      <c r="I5689" s="2" t="s">
        <v>15</v>
      </c>
      <c r="J5689" s="2" t="s">
        <v>4760</v>
      </c>
      <c r="K5689" s="2" t="s">
        <v>7929</v>
      </c>
      <c r="L5689" s="2">
        <f t="shared" si="88"/>
        <v>150</v>
      </c>
    </row>
    <row r="5690" spans="1:12" ht="25" customHeight="1">
      <c r="A5690" s="2" t="s">
        <v>12</v>
      </c>
      <c r="B5690" s="2" t="str">
        <f>HYPERLINK("http://m.12365auto.com/bbs/postcontent.aspx?tID=194461","两强相争谁能胜出？凯迪拉克XT4对比宝马X1")</f>
        <v>两强相争谁能胜出？凯迪拉克XT4对比宝马X1</v>
      </c>
      <c r="C5690" s="2" t="s">
        <v>13</v>
      </c>
      <c r="D5690" s="2" t="s">
        <v>23</v>
      </c>
      <c r="E5690" s="2"/>
      <c r="F5690" s="2" t="str">
        <f>HYPERLINK("http://m.12365auto.com/bbs/postcontent.aspx?tID=194461","http://m.12365auto.com/bbs/postcontent.aspx?tID=194461")</f>
        <v>http://m.12365auto.com/bbs/postcontent.aspx?tID=194461</v>
      </c>
      <c r="G5690" s="2"/>
      <c r="H5690" s="2" t="s">
        <v>7928</v>
      </c>
      <c r="I5690" s="2" t="s">
        <v>15</v>
      </c>
      <c r="J5690" s="2" t="s">
        <v>4760</v>
      </c>
      <c r="K5690" s="2" t="s">
        <v>7929</v>
      </c>
      <c r="L5690" s="2">
        <f t="shared" si="88"/>
        <v>150</v>
      </c>
    </row>
    <row r="5691" spans="1:12" ht="25" customHeight="1">
      <c r="A5691" s="2" t="s">
        <v>12</v>
      </c>
      <c r="B5691" s="2" t="str">
        <f>HYPERLINK("http://www.12365auto.com/xcdg/20200219/418909.shtml","定名“几何 C” 几何第二款新车命名发布")</f>
        <v>定名“几何 C” 几何第二款新车命名发布</v>
      </c>
      <c r="C5691" s="2" t="s">
        <v>13</v>
      </c>
      <c r="D5691" s="2" t="s">
        <v>12</v>
      </c>
      <c r="E5691" s="2" t="s">
        <v>216</v>
      </c>
      <c r="F5691" s="2" t="str">
        <f>HYPERLINK("http://www.12365auto.com/xcdg/20200219/418909.shtml","http://www.12365auto.com/xcdg/20200219/418909.shtml")</f>
        <v>http://www.12365auto.com/xcdg/20200219/418909.shtml</v>
      </c>
      <c r="G5691" s="2"/>
      <c r="H5691" s="2" t="s">
        <v>7931</v>
      </c>
      <c r="I5691" s="2" t="s">
        <v>15</v>
      </c>
      <c r="J5691" s="2" t="s">
        <v>12</v>
      </c>
      <c r="K5691" s="2" t="s">
        <v>7932</v>
      </c>
      <c r="L5691" s="2">
        <f t="shared" si="88"/>
        <v>150</v>
      </c>
    </row>
    <row r="5692" spans="1:12" ht="25" customHeight="1">
      <c r="A5692" s="2" t="s">
        <v>12</v>
      </c>
      <c r="B5692" s="2" t="str">
        <f>HYPERLINK("http://m.12365auto.com/xcdg/20200219/418909.shtml","定名“几何 C” 几何第二款新车命名发布")</f>
        <v>定名“几何 C” 几何第二款新车命名发布</v>
      </c>
      <c r="C5692" s="2" t="s">
        <v>13</v>
      </c>
      <c r="D5692" s="2" t="s">
        <v>12</v>
      </c>
      <c r="E5692" s="2"/>
      <c r="F5692" s="2" t="str">
        <f>HYPERLINK("http://m.12365auto.com/xcdg/20200219/418909.shtml","http://m.12365auto.com/xcdg/20200219/418909.shtml")</f>
        <v>http://m.12365auto.com/xcdg/20200219/418909.shtml</v>
      </c>
      <c r="G5692" s="2"/>
      <c r="H5692" s="2" t="s">
        <v>7933</v>
      </c>
      <c r="I5692" s="2" t="s">
        <v>19</v>
      </c>
      <c r="J5692" s="2" t="s">
        <v>4467</v>
      </c>
      <c r="K5692" s="2" t="s">
        <v>7932</v>
      </c>
      <c r="L5692" s="2">
        <f t="shared" si="88"/>
        <v>150</v>
      </c>
    </row>
    <row r="5693" spans="1:12" ht="25" customHeight="1">
      <c r="A5693" s="2" t="s">
        <v>12</v>
      </c>
      <c r="B5693" s="2" t="str">
        <f>HYPERLINK("http://www.12365auto.com/xcdg/20200219/418908.shtml","宾利发布Mulliner Bacalar车型预告片")</f>
        <v>宾利发布Mulliner Bacalar车型预告片</v>
      </c>
      <c r="C5693" s="2" t="s">
        <v>13</v>
      </c>
      <c r="D5693" s="2" t="s">
        <v>12</v>
      </c>
      <c r="E5693" s="2" t="s">
        <v>216</v>
      </c>
      <c r="F5693" s="2" t="str">
        <f>HYPERLINK("http://www.12365auto.com/xcdg/20200219/418908.shtml","http://www.12365auto.com/xcdg/20200219/418908.shtml")</f>
        <v>http://www.12365auto.com/xcdg/20200219/418908.shtml</v>
      </c>
      <c r="G5693" s="2"/>
      <c r="H5693" s="2" t="s">
        <v>7934</v>
      </c>
      <c r="I5693" s="2" t="s">
        <v>15</v>
      </c>
      <c r="J5693" s="2" t="s">
        <v>12</v>
      </c>
      <c r="K5693" s="2" t="s">
        <v>7935</v>
      </c>
      <c r="L5693" s="2">
        <f t="shared" si="88"/>
        <v>150</v>
      </c>
    </row>
    <row r="5694" spans="1:12" ht="25" customHeight="1">
      <c r="A5694" s="2" t="s">
        <v>12</v>
      </c>
      <c r="B5694" s="2" t="str">
        <f>HYPERLINK("http://m.12365auto.com/xcdg/20200219/418908.shtml","宾利发布Mulliner Bacalar车型预告片")</f>
        <v>宾利发布Mulliner Bacalar车型预告片</v>
      </c>
      <c r="C5694" s="2" t="s">
        <v>13</v>
      </c>
      <c r="D5694" s="2" t="s">
        <v>12</v>
      </c>
      <c r="E5694" s="2"/>
      <c r="F5694" s="2" t="str">
        <f>HYPERLINK("http://m.12365auto.com/xcdg/20200219/418908.shtml","http://m.12365auto.com/xcdg/20200219/418908.shtml")</f>
        <v>http://m.12365auto.com/xcdg/20200219/418908.shtml</v>
      </c>
      <c r="G5694" s="2"/>
      <c r="H5694" s="2" t="s">
        <v>7936</v>
      </c>
      <c r="I5694" s="2" t="s">
        <v>19</v>
      </c>
      <c r="J5694" s="2" t="s">
        <v>7937</v>
      </c>
      <c r="K5694" s="2" t="s">
        <v>7935</v>
      </c>
      <c r="L5694" s="2">
        <f t="shared" si="88"/>
        <v>150</v>
      </c>
    </row>
    <row r="5695" spans="1:12" ht="25" customHeight="1">
      <c r="A5695" s="2" t="s">
        <v>12</v>
      </c>
      <c r="B5695" s="2" t="str">
        <f>HYPERLINK("http://www.12365auto.com/news/20200219/418906.shtml","可实现10米超距测温 长安首推热成像防疫车")</f>
        <v>可实现10米超距测温 长安首推热成像防疫车</v>
      </c>
      <c r="C5695" s="2" t="s">
        <v>13</v>
      </c>
      <c r="D5695" s="2" t="s">
        <v>12</v>
      </c>
      <c r="E5695" s="2" t="s">
        <v>276</v>
      </c>
      <c r="F5695" s="2" t="str">
        <f>HYPERLINK("http://www.12365auto.com/news/20200219/418906.shtml","http://www.12365auto.com/news/20200219/418906.shtml")</f>
        <v>http://www.12365auto.com/news/20200219/418906.shtml</v>
      </c>
      <c r="G5695" s="2"/>
      <c r="H5695" s="2" t="s">
        <v>7938</v>
      </c>
      <c r="I5695" s="2" t="s">
        <v>15</v>
      </c>
      <c r="J5695" s="2" t="s">
        <v>12</v>
      </c>
      <c r="K5695" s="2" t="s">
        <v>7939</v>
      </c>
      <c r="L5695" s="2">
        <f t="shared" si="88"/>
        <v>150</v>
      </c>
    </row>
    <row r="5696" spans="1:12" ht="25" customHeight="1">
      <c r="A5696" s="2" t="s">
        <v>12</v>
      </c>
      <c r="B5696" s="2" t="str">
        <f>HYPERLINK("http://m.12365auto.com/news/20200219/418906.shtml","可实现10米超距测温 长安首推热成像防疫车")</f>
        <v>可实现10米超距测温 长安首推热成像防疫车</v>
      </c>
      <c r="C5696" s="2" t="s">
        <v>13</v>
      </c>
      <c r="D5696" s="2" t="s">
        <v>12</v>
      </c>
      <c r="E5696" s="2"/>
      <c r="F5696" s="2" t="str">
        <f>HYPERLINK("http://m.12365auto.com/news/20200219/418906.shtml","http://m.12365auto.com/news/20200219/418906.shtml")</f>
        <v>http://m.12365auto.com/news/20200219/418906.shtml</v>
      </c>
      <c r="G5696" s="2"/>
      <c r="H5696" s="2" t="s">
        <v>7940</v>
      </c>
      <c r="I5696" s="2" t="s">
        <v>19</v>
      </c>
      <c r="J5696" s="2" t="s">
        <v>7941</v>
      </c>
      <c r="K5696" s="2" t="s">
        <v>7939</v>
      </c>
      <c r="L5696" s="2">
        <f t="shared" si="88"/>
        <v>150</v>
      </c>
    </row>
    <row r="5697" spans="1:12" ht="25" customHeight="1">
      <c r="A5697" s="2" t="s">
        <v>12</v>
      </c>
      <c r="B5697" s="2" t="str">
        <f>HYPERLINK("http://www.12365auto.com/xcdg/20200219/418918.shtml","丰田凯美瑞/亚洲龙四驱版路试照片曝光")</f>
        <v>丰田凯美瑞/亚洲龙四驱版路试照片曝光</v>
      </c>
      <c r="C5697" s="2" t="s">
        <v>13</v>
      </c>
      <c r="D5697" s="2" t="s">
        <v>12</v>
      </c>
      <c r="E5697" s="2" t="s">
        <v>216</v>
      </c>
      <c r="F5697" s="2" t="str">
        <f>HYPERLINK("http://www.12365auto.com/xcdg/20200219/418918.shtml","http://www.12365auto.com/xcdg/20200219/418918.shtml")</f>
        <v>http://www.12365auto.com/xcdg/20200219/418918.shtml</v>
      </c>
      <c r="G5697" s="2"/>
      <c r="H5697" s="2" t="s">
        <v>7942</v>
      </c>
      <c r="I5697" s="2" t="s">
        <v>15</v>
      </c>
      <c r="J5697" s="2" t="s">
        <v>12</v>
      </c>
      <c r="K5697" s="2" t="s">
        <v>7943</v>
      </c>
      <c r="L5697" s="2">
        <f t="shared" si="88"/>
        <v>150</v>
      </c>
    </row>
    <row r="5698" spans="1:12" ht="25" customHeight="1">
      <c r="A5698" s="2" t="s">
        <v>12</v>
      </c>
      <c r="B5698" s="2" t="str">
        <f>HYPERLINK("http://www.12365auto.com/news/20200219/418905.shtml","大股东警告雷诺：不准在法国裁员/关厂")</f>
        <v>大股东警告雷诺：不准在法国裁员/关厂</v>
      </c>
      <c r="C5698" s="2" t="s">
        <v>13</v>
      </c>
      <c r="D5698" s="2" t="s">
        <v>12</v>
      </c>
      <c r="E5698" s="2" t="s">
        <v>276</v>
      </c>
      <c r="F5698" s="2" t="str">
        <f>HYPERLINK("http://www.12365auto.com/news/20200219/418905.shtml","http://www.12365auto.com/news/20200219/418905.shtml")</f>
        <v>http://www.12365auto.com/news/20200219/418905.shtml</v>
      </c>
      <c r="G5698" s="2"/>
      <c r="H5698" s="2" t="s">
        <v>7944</v>
      </c>
      <c r="I5698" s="2" t="s">
        <v>15</v>
      </c>
      <c r="J5698" s="2" t="s">
        <v>12</v>
      </c>
      <c r="K5698" s="2" t="s">
        <v>7943</v>
      </c>
      <c r="L5698" s="2">
        <f t="shared" si="88"/>
        <v>150</v>
      </c>
    </row>
    <row r="5699" spans="1:12" ht="25" customHeight="1">
      <c r="A5699" s="2" t="s">
        <v>12</v>
      </c>
      <c r="B5699" s="2" t="str">
        <f>HYPERLINK("http://m.12365auto.com/news/20200219/418905.shtml","大股东警告雷诺：不准在法国裁员/关厂")</f>
        <v>大股东警告雷诺：不准在法国裁员/关厂</v>
      </c>
      <c r="C5699" s="2" t="s">
        <v>13</v>
      </c>
      <c r="D5699" s="2" t="s">
        <v>12</v>
      </c>
      <c r="E5699" s="2"/>
      <c r="F5699" s="2" t="str">
        <f>HYPERLINK("http://m.12365auto.com/news/20200219/418905.shtml","http://m.12365auto.com/news/20200219/418905.shtml")</f>
        <v>http://m.12365auto.com/news/20200219/418905.shtml</v>
      </c>
      <c r="G5699" s="2"/>
      <c r="H5699" s="2" t="s">
        <v>7945</v>
      </c>
      <c r="I5699" s="2" t="s">
        <v>19</v>
      </c>
      <c r="J5699" s="2" t="s">
        <v>2527</v>
      </c>
      <c r="K5699" s="2" t="s">
        <v>7943</v>
      </c>
      <c r="L5699" s="2">
        <f t="shared" ref="L5699:L5762" si="89">LEN(H5699)</f>
        <v>150</v>
      </c>
    </row>
    <row r="5700" spans="1:12" ht="25" customHeight="1">
      <c r="A5700" s="2" t="s">
        <v>12</v>
      </c>
      <c r="B5700" s="2" t="str">
        <f>HYPERLINK("http://www.12365auto.com/news/20200219/418904.shtml","日产将在北美“无禁忌”大规模削减成本")</f>
        <v>日产将在北美“无禁忌”大规模削减成本</v>
      </c>
      <c r="C5700" s="2" t="s">
        <v>13</v>
      </c>
      <c r="D5700" s="2" t="s">
        <v>12</v>
      </c>
      <c r="E5700" s="2" t="s">
        <v>276</v>
      </c>
      <c r="F5700" s="2" t="str">
        <f>HYPERLINK("http://www.12365auto.com/news/20200219/418904.shtml","http://www.12365auto.com/news/20200219/418904.shtml")</f>
        <v>http://www.12365auto.com/news/20200219/418904.shtml</v>
      </c>
      <c r="G5700" s="2"/>
      <c r="H5700" s="2" t="s">
        <v>7946</v>
      </c>
      <c r="I5700" s="2" t="s">
        <v>15</v>
      </c>
      <c r="J5700" s="2" t="s">
        <v>12</v>
      </c>
      <c r="K5700" s="2" t="s">
        <v>7947</v>
      </c>
      <c r="L5700" s="2">
        <f t="shared" si="89"/>
        <v>150</v>
      </c>
    </row>
    <row r="5701" spans="1:12" ht="25" customHeight="1">
      <c r="A5701" s="2" t="s">
        <v>12</v>
      </c>
      <c r="B5701" s="2" t="str">
        <f>HYPERLINK("http://m.12365auto.com/news/20200219/418904.shtml","日产将在北美“无禁忌”大规模削减成本")</f>
        <v>日产将在北美“无禁忌”大规模削减成本</v>
      </c>
      <c r="C5701" s="2" t="s">
        <v>13</v>
      </c>
      <c r="D5701" s="2" t="s">
        <v>12</v>
      </c>
      <c r="E5701" s="2"/>
      <c r="F5701" s="2" t="str">
        <f>HYPERLINK("http://m.12365auto.com/news/20200219/418904.shtml","http://m.12365auto.com/news/20200219/418904.shtml")</f>
        <v>http://m.12365auto.com/news/20200219/418904.shtml</v>
      </c>
      <c r="G5701" s="2"/>
      <c r="H5701" s="2" t="s">
        <v>7948</v>
      </c>
      <c r="I5701" s="2" t="s">
        <v>19</v>
      </c>
      <c r="J5701" s="2" t="s">
        <v>2527</v>
      </c>
      <c r="K5701" s="2" t="s">
        <v>7947</v>
      </c>
      <c r="L5701" s="2">
        <f t="shared" si="89"/>
        <v>150</v>
      </c>
    </row>
    <row r="5702" spans="1:12" ht="25" customHeight="1">
      <c r="A5702" s="2" t="s">
        <v>12</v>
      </c>
      <c r="B5702" s="2" t="str">
        <f>HYPERLINK("http://www.12365auto.com/news/20200219/418902.shtml","总份额超85% 2019全球动力电池同比增16.6%")</f>
        <v>总份额超85% 2019全球动力电池同比增16.6%</v>
      </c>
      <c r="C5702" s="2" t="s">
        <v>13</v>
      </c>
      <c r="D5702" s="2" t="s">
        <v>12</v>
      </c>
      <c r="E5702" s="2" t="s">
        <v>276</v>
      </c>
      <c r="F5702" s="2" t="str">
        <f>HYPERLINK("http://www.12365auto.com/news/20200219/418902.shtml","http://www.12365auto.com/news/20200219/418902.shtml")</f>
        <v>http://www.12365auto.com/news/20200219/418902.shtml</v>
      </c>
      <c r="G5702" s="2"/>
      <c r="H5702" s="2" t="s">
        <v>7949</v>
      </c>
      <c r="I5702" s="2" t="s">
        <v>15</v>
      </c>
      <c r="J5702" s="2" t="s">
        <v>12</v>
      </c>
      <c r="K5702" s="2" t="s">
        <v>7950</v>
      </c>
      <c r="L5702" s="2">
        <f t="shared" si="89"/>
        <v>150</v>
      </c>
    </row>
    <row r="5703" spans="1:12" ht="25" customHeight="1">
      <c r="A5703" s="2" t="s">
        <v>12</v>
      </c>
      <c r="B5703" s="2" t="str">
        <f>HYPERLINK("http://m.12365auto.com/news/20200219/418902.shtml","总份额超85% 2019全球动力电池同比增16.6%")</f>
        <v>总份额超85% 2019全球动力电池同比增16.6%</v>
      </c>
      <c r="C5703" s="2" t="s">
        <v>13</v>
      </c>
      <c r="D5703" s="2" t="s">
        <v>12</v>
      </c>
      <c r="E5703" s="2"/>
      <c r="F5703" s="2" t="str">
        <f>HYPERLINK("http://m.12365auto.com/news/20200219/418902.shtml","http://m.12365auto.com/news/20200219/418902.shtml")</f>
        <v>http://m.12365auto.com/news/20200219/418902.shtml</v>
      </c>
      <c r="G5703" s="2"/>
      <c r="H5703" s="2" t="s">
        <v>7951</v>
      </c>
      <c r="I5703" s="2" t="s">
        <v>19</v>
      </c>
      <c r="J5703" s="2" t="s">
        <v>12</v>
      </c>
      <c r="K5703" s="2" t="s">
        <v>7950</v>
      </c>
      <c r="L5703" s="2">
        <f t="shared" si="89"/>
        <v>150</v>
      </c>
    </row>
    <row r="5704" spans="1:12" ht="25" customHeight="1">
      <c r="A5704" s="2" t="s">
        <v>12</v>
      </c>
      <c r="B5704" s="2" t="str">
        <f>HYPERLINK("http://m.12365auto.com/xcdg/20200219/418901.shtml","大众ID.Ruggdzz渲染图曝光 定位硬派电动SUV")</f>
        <v>大众ID.Ruggdzz渲染图曝光 定位硬派电动SUV</v>
      </c>
      <c r="C5704" s="2" t="s">
        <v>13</v>
      </c>
      <c r="D5704" s="2" t="s">
        <v>12</v>
      </c>
      <c r="E5704" s="2"/>
      <c r="F5704" s="2" t="str">
        <f>HYPERLINK("http://m.12365auto.com/xcdg/20200219/418901.shtml","http://m.12365auto.com/xcdg/20200219/418901.shtml")</f>
        <v>http://m.12365auto.com/xcdg/20200219/418901.shtml</v>
      </c>
      <c r="G5704" s="2"/>
      <c r="H5704" s="2" t="s">
        <v>7952</v>
      </c>
      <c r="I5704" s="2" t="s">
        <v>19</v>
      </c>
      <c r="J5704" s="2" t="s">
        <v>1241</v>
      </c>
      <c r="K5704" s="2" t="s">
        <v>7953</v>
      </c>
      <c r="L5704" s="2">
        <f t="shared" si="89"/>
        <v>150</v>
      </c>
    </row>
    <row r="5705" spans="1:12" ht="25" customHeight="1">
      <c r="A5705" s="2" t="s">
        <v>12</v>
      </c>
      <c r="B5705" s="2" t="str">
        <f>HYPERLINK("http://www.12365auto.com/xcdg/20200219/418901.shtml","大众ID.Ruggdzz渲染图曝光 定位硬派电动SUV")</f>
        <v>大众ID.Ruggdzz渲染图曝光 定位硬派电动SUV</v>
      </c>
      <c r="C5705" s="2" t="s">
        <v>13</v>
      </c>
      <c r="D5705" s="2" t="s">
        <v>12</v>
      </c>
      <c r="E5705" s="2" t="s">
        <v>216</v>
      </c>
      <c r="F5705" s="2" t="str">
        <f>HYPERLINK("http://www.12365auto.com/xcdg/20200219/418901.shtml","http://www.12365auto.com/xcdg/20200219/418901.shtml")</f>
        <v>http://www.12365auto.com/xcdg/20200219/418901.shtml</v>
      </c>
      <c r="G5705" s="2"/>
      <c r="H5705" s="2" t="s">
        <v>7954</v>
      </c>
      <c r="I5705" s="2" t="s">
        <v>15</v>
      </c>
      <c r="J5705" s="2" t="s">
        <v>12</v>
      </c>
      <c r="K5705" s="2" t="s">
        <v>7953</v>
      </c>
      <c r="L5705" s="2">
        <f t="shared" si="89"/>
        <v>150</v>
      </c>
    </row>
    <row r="5706" spans="1:12" ht="25" customHeight="1">
      <c r="A5706" s="2" t="s">
        <v>12</v>
      </c>
      <c r="B5706" s="2" t="str">
        <f>HYPERLINK("http://m.12365auto.com/bbs/postcontent.aspx?tID=194460&amp;i=1","升级后噪音大油耗增加怎么才能解决？")</f>
        <v>升级后噪音大油耗增加怎么才能解决？</v>
      </c>
      <c r="C5706" s="2" t="s">
        <v>13</v>
      </c>
      <c r="D5706" s="2" t="s">
        <v>23</v>
      </c>
      <c r="E5706" s="2"/>
      <c r="F5706" s="2" t="str">
        <f>HYPERLINK("http://m.12365auto.com/bbs/postcontent.aspx?tID=194460&amp;i=1","http://m.12365auto.com/bbs/postcontent.aspx?tID=194460&amp;i=1")</f>
        <v>http://m.12365auto.com/bbs/postcontent.aspx?tID=194460&amp;i=1</v>
      </c>
      <c r="G5706" s="2"/>
      <c r="H5706" s="2" t="s">
        <v>7955</v>
      </c>
      <c r="I5706" s="2" t="s">
        <v>15</v>
      </c>
      <c r="J5706" s="2" t="s">
        <v>2092</v>
      </c>
      <c r="K5706" s="2" t="s">
        <v>7956</v>
      </c>
      <c r="L5706" s="2">
        <f t="shared" si="89"/>
        <v>70</v>
      </c>
    </row>
    <row r="5707" spans="1:12" ht="25" customHeight="1">
      <c r="A5707" s="2" t="s">
        <v>12</v>
      </c>
      <c r="B5707" s="2" t="str">
        <f>HYPERLINK("http://m.12365auto.com/bbs/postcontent.aspx?tID=194460","升级后噪音大油耗增加怎么才能解决？")</f>
        <v>升级后噪音大油耗增加怎么才能解决？</v>
      </c>
      <c r="C5707" s="2" t="s">
        <v>13</v>
      </c>
      <c r="D5707" s="2" t="s">
        <v>23</v>
      </c>
      <c r="E5707" s="2"/>
      <c r="F5707" s="2" t="str">
        <f>HYPERLINK("http://m.12365auto.com/bbs/postcontent.aspx?tID=194460","http://m.12365auto.com/bbs/postcontent.aspx?tID=194460")</f>
        <v>http://m.12365auto.com/bbs/postcontent.aspx?tID=194460</v>
      </c>
      <c r="G5707" s="2"/>
      <c r="H5707" s="2" t="s">
        <v>7955</v>
      </c>
      <c r="I5707" s="2" t="s">
        <v>15</v>
      </c>
      <c r="J5707" s="2" t="s">
        <v>2092</v>
      </c>
      <c r="K5707" s="2" t="s">
        <v>7956</v>
      </c>
      <c r="L5707" s="2">
        <f t="shared" si="89"/>
        <v>70</v>
      </c>
    </row>
    <row r="5708" spans="1:12" ht="25" customHeight="1">
      <c r="A5708" s="2" t="s">
        <v>12</v>
      </c>
      <c r="B5708" s="2" t="str">
        <f>HYPERLINK("http://bbs.12365auto.com/postcontent.aspx?tId=194460","升级后噪音大油耗增加怎么才能解决？")</f>
        <v>升级后噪音大油耗增加怎么才能解决？</v>
      </c>
      <c r="C5708" s="2" t="s">
        <v>13</v>
      </c>
      <c r="D5708" s="2" t="s">
        <v>12</v>
      </c>
      <c r="E5708" s="2" t="s">
        <v>66</v>
      </c>
      <c r="F5708" s="2" t="str">
        <f>HYPERLINK("http://bbs.12365auto.com/postcontent.aspx?tId=194460","http://bbs.12365auto.com/postcontent.aspx?tId=194460")</f>
        <v>http://bbs.12365auto.com/postcontent.aspx?tId=194460</v>
      </c>
      <c r="G5708" s="2"/>
      <c r="H5708" s="2" t="s">
        <v>7955</v>
      </c>
      <c r="I5708" s="2" t="s">
        <v>15</v>
      </c>
      <c r="J5708" s="2" t="s">
        <v>2092</v>
      </c>
      <c r="K5708" s="2" t="s">
        <v>7956</v>
      </c>
      <c r="L5708" s="2">
        <f t="shared" si="89"/>
        <v>70</v>
      </c>
    </row>
    <row r="5709" spans="1:12" ht="25" customHeight="1">
      <c r="A5709" s="2" t="s">
        <v>12</v>
      </c>
      <c r="B5709" s="2" t="str">
        <f>HYPERLINK("http://bbs.12365auto.com/postcontent.aspx?tID=194460","升级后噪音大油耗增加怎么才能解决？")</f>
        <v>升级后噪音大油耗增加怎么才能解决？</v>
      </c>
      <c r="C5709" s="2" t="s">
        <v>13</v>
      </c>
      <c r="D5709" s="2" t="s">
        <v>12</v>
      </c>
      <c r="E5709" s="2" t="s">
        <v>67</v>
      </c>
      <c r="F5709" s="2" t="str">
        <f>HYPERLINK("http://bbs.12365auto.com/postcontent.aspx?tID=194460","http://bbs.12365auto.com/postcontent.aspx?tID=194460")</f>
        <v>http://bbs.12365auto.com/postcontent.aspx?tID=194460</v>
      </c>
      <c r="G5709" s="2"/>
      <c r="H5709" s="2" t="s">
        <v>7957</v>
      </c>
      <c r="I5709" s="2" t="s">
        <v>15</v>
      </c>
      <c r="J5709" s="2" t="s">
        <v>2092</v>
      </c>
      <c r="K5709" s="2" t="s">
        <v>7956</v>
      </c>
      <c r="L5709" s="2">
        <f t="shared" si="89"/>
        <v>87</v>
      </c>
    </row>
    <row r="5710" spans="1:12" ht="25" customHeight="1">
      <c r="A5710" s="2" t="s">
        <v>12</v>
      </c>
      <c r="B5710" s="2" t="str">
        <f>HYPERLINK("http://m.12365auto.com/bbs/postcontent.aspx?tID=194459","新车无合格证怎么才能解决？")</f>
        <v>新车无合格证怎么才能解决？</v>
      </c>
      <c r="C5710" s="2" t="s">
        <v>13</v>
      </c>
      <c r="D5710" s="2" t="s">
        <v>23</v>
      </c>
      <c r="E5710" s="2"/>
      <c r="F5710" s="2" t="str">
        <f>HYPERLINK("http://m.12365auto.com/bbs/postcontent.aspx?tID=194459","http://m.12365auto.com/bbs/postcontent.aspx?tID=194459")</f>
        <v>http://m.12365auto.com/bbs/postcontent.aspx?tID=194459</v>
      </c>
      <c r="G5710" s="2"/>
      <c r="H5710" s="2" t="s">
        <v>7958</v>
      </c>
      <c r="I5710" s="2" t="s">
        <v>15</v>
      </c>
      <c r="J5710" s="2" t="s">
        <v>2096</v>
      </c>
      <c r="K5710" s="2" t="s">
        <v>7959</v>
      </c>
      <c r="L5710" s="2">
        <f t="shared" si="89"/>
        <v>114</v>
      </c>
    </row>
    <row r="5711" spans="1:12" ht="25" customHeight="1">
      <c r="A5711" s="2" t="s">
        <v>12</v>
      </c>
      <c r="B5711" s="2" t="str">
        <f>HYPERLINK("http://m.12365auto.com/bbs/postcontent.aspx?tID=194458","电瓶亏电一直无法解决")</f>
        <v>电瓶亏电一直无法解决</v>
      </c>
      <c r="C5711" s="2" t="s">
        <v>13</v>
      </c>
      <c r="D5711" s="2" t="s">
        <v>23</v>
      </c>
      <c r="E5711" s="2"/>
      <c r="F5711" s="2" t="str">
        <f>HYPERLINK("http://m.12365auto.com/bbs/postcontent.aspx?tID=194458","http://m.12365auto.com/bbs/postcontent.aspx?tID=194458")</f>
        <v>http://m.12365auto.com/bbs/postcontent.aspx?tID=194458</v>
      </c>
      <c r="G5711" s="2"/>
      <c r="H5711" s="2" t="s">
        <v>7960</v>
      </c>
      <c r="I5711" s="2" t="s">
        <v>15</v>
      </c>
      <c r="J5711" s="2" t="s">
        <v>2103</v>
      </c>
      <c r="K5711" s="2" t="s">
        <v>7959</v>
      </c>
      <c r="L5711" s="2">
        <f t="shared" si="89"/>
        <v>76</v>
      </c>
    </row>
    <row r="5712" spans="1:12" ht="25" customHeight="1">
      <c r="A5712" s="2" t="s">
        <v>12</v>
      </c>
      <c r="B5712" s="2" t="str">
        <f>HYPERLINK("http://bbs.12365auto.com/postcontent.aspx?tId=194458","电瓶亏电一直无法解决")</f>
        <v>电瓶亏电一直无法解决</v>
      </c>
      <c r="C5712" s="2" t="s">
        <v>13</v>
      </c>
      <c r="D5712" s="2" t="s">
        <v>12</v>
      </c>
      <c r="E5712" s="2" t="s">
        <v>66</v>
      </c>
      <c r="F5712" s="2" t="str">
        <f>HYPERLINK("http://bbs.12365auto.com/postcontent.aspx?tId=194458","http://bbs.12365auto.com/postcontent.aspx?tId=194458")</f>
        <v>http://bbs.12365auto.com/postcontent.aspx?tId=194458</v>
      </c>
      <c r="G5712" s="2"/>
      <c r="H5712" s="2" t="s">
        <v>7960</v>
      </c>
      <c r="I5712" s="2" t="s">
        <v>15</v>
      </c>
      <c r="J5712" s="2" t="s">
        <v>2103</v>
      </c>
      <c r="K5712" s="2" t="s">
        <v>7959</v>
      </c>
      <c r="L5712" s="2">
        <f t="shared" si="89"/>
        <v>76</v>
      </c>
    </row>
    <row r="5713" spans="1:12" ht="25" customHeight="1">
      <c r="A5713" s="2" t="s">
        <v>12</v>
      </c>
      <c r="B5713" s="2" t="str">
        <f>HYPERLINK("http://bbs.12365auto.com/postcontent.aspx?tId=194459","新车无合格证怎么才能解决？")</f>
        <v>新车无合格证怎么才能解决？</v>
      </c>
      <c r="C5713" s="2" t="s">
        <v>13</v>
      </c>
      <c r="D5713" s="2" t="s">
        <v>12</v>
      </c>
      <c r="E5713" s="2" t="s">
        <v>66</v>
      </c>
      <c r="F5713" s="2" t="str">
        <f>HYPERLINK("http://bbs.12365auto.com/postcontent.aspx?tId=194459","http://bbs.12365auto.com/postcontent.aspx?tId=194459")</f>
        <v>http://bbs.12365auto.com/postcontent.aspx?tId=194459</v>
      </c>
      <c r="G5713" s="2"/>
      <c r="H5713" s="2" t="s">
        <v>7958</v>
      </c>
      <c r="I5713" s="2" t="s">
        <v>15</v>
      </c>
      <c r="J5713" s="2" t="s">
        <v>2096</v>
      </c>
      <c r="K5713" s="2" t="s">
        <v>7959</v>
      </c>
      <c r="L5713" s="2">
        <f t="shared" si="89"/>
        <v>114</v>
      </c>
    </row>
    <row r="5714" spans="1:12" ht="25" customHeight="1">
      <c r="A5714" s="2" t="s">
        <v>12</v>
      </c>
      <c r="B5714" s="2" t="str">
        <f>HYPERLINK("http://bbs.12365auto.com/postcontent.aspx?tID=194458","电瓶亏电一直无法解决")</f>
        <v>电瓶亏电一直无法解决</v>
      </c>
      <c r="C5714" s="2" t="s">
        <v>13</v>
      </c>
      <c r="D5714" s="2" t="s">
        <v>12</v>
      </c>
      <c r="E5714" s="2" t="s">
        <v>67</v>
      </c>
      <c r="F5714" s="2" t="str">
        <f>HYPERLINK("http://bbs.12365auto.com/postcontent.aspx?tID=194458","http://bbs.12365auto.com/postcontent.aspx?tID=194458")</f>
        <v>http://bbs.12365auto.com/postcontent.aspx?tID=194458</v>
      </c>
      <c r="G5714" s="2"/>
      <c r="H5714" s="2" t="s">
        <v>7961</v>
      </c>
      <c r="I5714" s="2" t="s">
        <v>15</v>
      </c>
      <c r="J5714" s="2" t="s">
        <v>2103</v>
      </c>
      <c r="K5714" s="2" t="s">
        <v>7959</v>
      </c>
      <c r="L5714" s="2">
        <f t="shared" si="89"/>
        <v>86</v>
      </c>
    </row>
    <row r="5715" spans="1:12" ht="25" customHeight="1">
      <c r="A5715" s="2" t="s">
        <v>12</v>
      </c>
      <c r="B5715" s="2" t="str">
        <f>HYPERLINK("http://bbs.12365auto.com/postcontent.aspx?tID=194459","新车无合格证怎么才能解决？")</f>
        <v>新车无合格证怎么才能解决？</v>
      </c>
      <c r="C5715" s="2" t="s">
        <v>13</v>
      </c>
      <c r="D5715" s="2" t="s">
        <v>12</v>
      </c>
      <c r="E5715" s="2" t="s">
        <v>67</v>
      </c>
      <c r="F5715" s="2" t="str">
        <f>HYPERLINK("http://bbs.12365auto.com/postcontent.aspx?tID=194459","http://bbs.12365auto.com/postcontent.aspx?tID=194459")</f>
        <v>http://bbs.12365auto.com/postcontent.aspx?tID=194459</v>
      </c>
      <c r="G5715" s="2"/>
      <c r="H5715" s="2" t="s">
        <v>7962</v>
      </c>
      <c r="I5715" s="2" t="s">
        <v>15</v>
      </c>
      <c r="J5715" s="2" t="s">
        <v>2096</v>
      </c>
      <c r="K5715" s="2" t="s">
        <v>7959</v>
      </c>
      <c r="L5715" s="2">
        <f t="shared" si="89"/>
        <v>127</v>
      </c>
    </row>
    <row r="5716" spans="1:12" ht="25" customHeight="1">
      <c r="A5716" s="2" t="s">
        <v>12</v>
      </c>
      <c r="B5716" s="2" t="str">
        <f>HYPERLINK("http://m.12365auto.com/bbs/postcontent.aspx?tID=194457","电瓶无电影响使用怎么去投诉？")</f>
        <v>电瓶无电影响使用怎么去投诉？</v>
      </c>
      <c r="C5716" s="2" t="s">
        <v>13</v>
      </c>
      <c r="D5716" s="2" t="s">
        <v>23</v>
      </c>
      <c r="E5716" s="2"/>
      <c r="F5716" s="2" t="str">
        <f>HYPERLINK("http://m.12365auto.com/bbs/postcontent.aspx?tID=194457","http://m.12365auto.com/bbs/postcontent.aspx?tID=194457")</f>
        <v>http://m.12365auto.com/bbs/postcontent.aspx?tID=194457</v>
      </c>
      <c r="G5716" s="2"/>
      <c r="H5716" s="2" t="s">
        <v>7963</v>
      </c>
      <c r="I5716" s="2" t="s">
        <v>15</v>
      </c>
      <c r="J5716" s="2" t="s">
        <v>2100</v>
      </c>
      <c r="K5716" s="2" t="s">
        <v>7964</v>
      </c>
      <c r="L5716" s="2">
        <f t="shared" si="89"/>
        <v>73</v>
      </c>
    </row>
    <row r="5717" spans="1:12" ht="25" customHeight="1">
      <c r="A5717" s="2" t="s">
        <v>12</v>
      </c>
      <c r="B5717" s="2" t="str">
        <f>HYPERLINK("http://bbs.12365auto.com/postcontent.aspx?tId=194457","电瓶无电影响使用怎么去投诉？")</f>
        <v>电瓶无电影响使用怎么去投诉？</v>
      </c>
      <c r="C5717" s="2" t="s">
        <v>13</v>
      </c>
      <c r="D5717" s="2" t="s">
        <v>12</v>
      </c>
      <c r="E5717" s="2" t="s">
        <v>66</v>
      </c>
      <c r="F5717" s="2" t="str">
        <f>HYPERLINK("http://bbs.12365auto.com/postcontent.aspx?tId=194457","http://bbs.12365auto.com/postcontent.aspx?tId=194457")</f>
        <v>http://bbs.12365auto.com/postcontent.aspx?tId=194457</v>
      </c>
      <c r="G5717" s="2"/>
      <c r="H5717" s="2" t="s">
        <v>7963</v>
      </c>
      <c r="I5717" s="2" t="s">
        <v>15</v>
      </c>
      <c r="J5717" s="2" t="s">
        <v>2100</v>
      </c>
      <c r="K5717" s="2" t="s">
        <v>7964</v>
      </c>
      <c r="L5717" s="2">
        <f t="shared" si="89"/>
        <v>73</v>
      </c>
    </row>
    <row r="5718" spans="1:12" ht="25" customHeight="1">
      <c r="A5718" s="2" t="s">
        <v>12</v>
      </c>
      <c r="B5718" s="2" t="str">
        <f>HYPERLINK("http://bbs.12365auto.com/postcontent.aspx?tID=194457","电瓶无电影响使用怎么去投诉？")</f>
        <v>电瓶无电影响使用怎么去投诉？</v>
      </c>
      <c r="C5718" s="2" t="s">
        <v>13</v>
      </c>
      <c r="D5718" s="2" t="s">
        <v>12</v>
      </c>
      <c r="E5718" s="2" t="s">
        <v>67</v>
      </c>
      <c r="F5718" s="2" t="str">
        <f>HYPERLINK("http://bbs.12365auto.com/postcontent.aspx?tID=194457","http://bbs.12365auto.com/postcontent.aspx?tID=194457")</f>
        <v>http://bbs.12365auto.com/postcontent.aspx?tID=194457</v>
      </c>
      <c r="G5718" s="2"/>
      <c r="H5718" s="2" t="s">
        <v>7965</v>
      </c>
      <c r="I5718" s="2" t="s">
        <v>15</v>
      </c>
      <c r="J5718" s="2" t="s">
        <v>2100</v>
      </c>
      <c r="K5718" s="2" t="s">
        <v>7964</v>
      </c>
      <c r="L5718" s="2">
        <f t="shared" si="89"/>
        <v>87</v>
      </c>
    </row>
    <row r="5719" spans="1:12" ht="25" customHeight="1">
      <c r="A5719" s="2" t="s">
        <v>12</v>
      </c>
      <c r="B5719" s="2" t="str">
        <f>HYPERLINK("http://bbs.12365auto.com/postcontent.aspx?tID=194455&amp;sId=1485&amp;ppage=1&amp;from=s","座椅及头枕缺陷怎么处理？")</f>
        <v>座椅及头枕缺陷怎么处理？</v>
      </c>
      <c r="C5719" s="2" t="s">
        <v>13</v>
      </c>
      <c r="D5719" s="2" t="s">
        <v>12</v>
      </c>
      <c r="E5719" s="2" t="s">
        <v>7966</v>
      </c>
      <c r="F5719" s="2" t="str">
        <f>HYPERLINK("http://bbs.12365auto.com/postcontent.aspx?tID=194455&amp;sId=1485&amp;ppage=1&amp;from=s","http://bbs.12365auto.com/postcontent.aspx?tID=194455&amp;sId=1485&amp;ppage=1&amp;from=s")</f>
        <v>http://bbs.12365auto.com/postcontent.aspx?tID=194455&amp;sId=1485&amp;ppage=1&amp;from=s</v>
      </c>
      <c r="G5719" s="2"/>
      <c r="H5719" s="2" t="s">
        <v>7967</v>
      </c>
      <c r="I5719" s="2" t="s">
        <v>15</v>
      </c>
      <c r="J5719" s="2" t="s">
        <v>7968</v>
      </c>
      <c r="K5719" s="2" t="s">
        <v>7969</v>
      </c>
      <c r="L5719" s="2">
        <f t="shared" si="89"/>
        <v>120</v>
      </c>
    </row>
    <row r="5720" spans="1:12" ht="25" customHeight="1">
      <c r="A5720" s="2" t="s">
        <v>12</v>
      </c>
      <c r="B5720" s="2" t="str">
        <f>HYPERLINK("http://m.12365auto.com/bbs/postcontent.aspx?tID=194456","电瓶频繁亏电影响使用")</f>
        <v>电瓶频繁亏电影响使用</v>
      </c>
      <c r="C5720" s="2" t="s">
        <v>13</v>
      </c>
      <c r="D5720" s="2" t="s">
        <v>23</v>
      </c>
      <c r="E5720" s="2"/>
      <c r="F5720" s="2" t="str">
        <f>HYPERLINK("http://m.12365auto.com/bbs/postcontent.aspx?tID=194456","http://m.12365auto.com/bbs/postcontent.aspx?tID=194456")</f>
        <v>http://m.12365auto.com/bbs/postcontent.aspx?tID=194456</v>
      </c>
      <c r="G5720" s="2"/>
      <c r="H5720" s="2" t="s">
        <v>7970</v>
      </c>
      <c r="I5720" s="2" t="s">
        <v>15</v>
      </c>
      <c r="J5720" s="2" t="s">
        <v>2107</v>
      </c>
      <c r="K5720" s="2" t="s">
        <v>7969</v>
      </c>
      <c r="L5720" s="2">
        <f t="shared" si="89"/>
        <v>150</v>
      </c>
    </row>
    <row r="5721" spans="1:12" ht="25" customHeight="1">
      <c r="A5721" s="2" t="s">
        <v>12</v>
      </c>
      <c r="B5721" s="2" t="str">
        <f>HYPERLINK("http://m.12365auto.com/bbs/postcontent.aspx?tID=194455","座椅及头枕缺陷怎么处理？")</f>
        <v>座椅及头枕缺陷怎么处理？</v>
      </c>
      <c r="C5721" s="2" t="s">
        <v>13</v>
      </c>
      <c r="D5721" s="2" t="s">
        <v>23</v>
      </c>
      <c r="E5721" s="2"/>
      <c r="F5721" s="2" t="str">
        <f>HYPERLINK("http://m.12365auto.com/bbs/postcontent.aspx?tID=194455","http://m.12365auto.com/bbs/postcontent.aspx?tID=194455")</f>
        <v>http://m.12365auto.com/bbs/postcontent.aspx?tID=194455</v>
      </c>
      <c r="G5721" s="2"/>
      <c r="H5721" s="2" t="s">
        <v>7971</v>
      </c>
      <c r="I5721" s="2" t="s">
        <v>15</v>
      </c>
      <c r="J5721" s="2" t="s">
        <v>2113</v>
      </c>
      <c r="K5721" s="2" t="s">
        <v>7969</v>
      </c>
      <c r="L5721" s="2">
        <f t="shared" si="89"/>
        <v>108</v>
      </c>
    </row>
    <row r="5722" spans="1:12" ht="25" customHeight="1">
      <c r="A5722" s="2" t="s">
        <v>12</v>
      </c>
      <c r="B5722" s="2" t="str">
        <f>HYPERLINK("http://bbs.12365auto.com/postcontent.aspx?tId=194456","电瓶频繁亏电影响使用")</f>
        <v>电瓶频繁亏电影响使用</v>
      </c>
      <c r="C5722" s="2" t="s">
        <v>13</v>
      </c>
      <c r="D5722" s="2" t="s">
        <v>12</v>
      </c>
      <c r="E5722" s="2" t="s">
        <v>66</v>
      </c>
      <c r="F5722" s="2" t="str">
        <f>HYPERLINK("http://bbs.12365auto.com/postcontent.aspx?tId=194456","http://bbs.12365auto.com/postcontent.aspx?tId=194456")</f>
        <v>http://bbs.12365auto.com/postcontent.aspx?tId=194456</v>
      </c>
      <c r="G5722" s="2"/>
      <c r="H5722" s="2" t="s">
        <v>7970</v>
      </c>
      <c r="I5722" s="2" t="s">
        <v>15</v>
      </c>
      <c r="J5722" s="2" t="s">
        <v>2107</v>
      </c>
      <c r="K5722" s="2" t="s">
        <v>7969</v>
      </c>
      <c r="L5722" s="2">
        <f t="shared" si="89"/>
        <v>150</v>
      </c>
    </row>
    <row r="5723" spans="1:12" ht="25" customHeight="1">
      <c r="A5723" s="2" t="s">
        <v>12</v>
      </c>
      <c r="B5723" s="2" t="str">
        <f>HYPERLINK("http://bbs.12365auto.com/postcontent.aspx?tId=194455","座椅及头枕缺陷怎么处理？")</f>
        <v>座椅及头枕缺陷怎么处理？</v>
      </c>
      <c r="C5723" s="2" t="s">
        <v>13</v>
      </c>
      <c r="D5723" s="2" t="s">
        <v>12</v>
      </c>
      <c r="E5723" s="2" t="s">
        <v>66</v>
      </c>
      <c r="F5723" s="2" t="str">
        <f>HYPERLINK("http://bbs.12365auto.com/postcontent.aspx?tId=194455","http://bbs.12365auto.com/postcontent.aspx?tId=194455")</f>
        <v>http://bbs.12365auto.com/postcontent.aspx?tId=194455</v>
      </c>
      <c r="G5723" s="2"/>
      <c r="H5723" s="2" t="s">
        <v>7971</v>
      </c>
      <c r="I5723" s="2" t="s">
        <v>15</v>
      </c>
      <c r="J5723" s="2" t="s">
        <v>2113</v>
      </c>
      <c r="K5723" s="2" t="s">
        <v>7969</v>
      </c>
      <c r="L5723" s="2">
        <f t="shared" si="89"/>
        <v>108</v>
      </c>
    </row>
    <row r="5724" spans="1:12" ht="25" customHeight="1">
      <c r="A5724" s="2" t="s">
        <v>12</v>
      </c>
      <c r="B5724" s="2" t="str">
        <f>HYPERLINK("http://bbs.12365auto.com/postcontent.aspx?tID=194455","座椅及头枕缺陷怎么处理？")</f>
        <v>座椅及头枕缺陷怎么处理？</v>
      </c>
      <c r="C5724" s="2" t="s">
        <v>13</v>
      </c>
      <c r="D5724" s="2" t="s">
        <v>12</v>
      </c>
      <c r="E5724" s="2" t="s">
        <v>67</v>
      </c>
      <c r="F5724" s="2" t="str">
        <f>HYPERLINK("http://bbs.12365auto.com/postcontent.aspx?tID=194455","http://bbs.12365auto.com/postcontent.aspx?tID=194455")</f>
        <v>http://bbs.12365auto.com/postcontent.aspx?tID=194455</v>
      </c>
      <c r="G5724" s="2"/>
      <c r="H5724" s="2" t="s">
        <v>7967</v>
      </c>
      <c r="I5724" s="2" t="s">
        <v>15</v>
      </c>
      <c r="J5724" s="2" t="s">
        <v>2113</v>
      </c>
      <c r="K5724" s="2" t="s">
        <v>7969</v>
      </c>
      <c r="L5724" s="2">
        <f t="shared" si="89"/>
        <v>120</v>
      </c>
    </row>
    <row r="5725" spans="1:12" ht="25" customHeight="1">
      <c r="A5725" s="2" t="s">
        <v>12</v>
      </c>
      <c r="B5725" s="2" t="str">
        <f>HYPERLINK("http://bbs.12365auto.com/postcontent.aspx?tID=194456","电瓶频繁亏电影响使用")</f>
        <v>电瓶频繁亏电影响使用</v>
      </c>
      <c r="C5725" s="2" t="s">
        <v>13</v>
      </c>
      <c r="D5725" s="2" t="s">
        <v>12</v>
      </c>
      <c r="E5725" s="2" t="s">
        <v>67</v>
      </c>
      <c r="F5725" s="2" t="str">
        <f>HYPERLINK("http://bbs.12365auto.com/postcontent.aspx?tID=194456","http://bbs.12365auto.com/postcontent.aspx?tID=194456")</f>
        <v>http://bbs.12365auto.com/postcontent.aspx?tID=194456</v>
      </c>
      <c r="G5725" s="2"/>
      <c r="H5725" s="2" t="s">
        <v>7972</v>
      </c>
      <c r="I5725" s="2" t="s">
        <v>15</v>
      </c>
      <c r="J5725" s="2" t="s">
        <v>2107</v>
      </c>
      <c r="K5725" s="2" t="s">
        <v>7969</v>
      </c>
      <c r="L5725" s="2">
        <f t="shared" si="89"/>
        <v>150</v>
      </c>
    </row>
    <row r="5726" spans="1:12" ht="25" customHeight="1">
      <c r="A5726" s="2" t="s">
        <v>12</v>
      </c>
      <c r="B5726" s="2" t="str">
        <f>HYPERLINK("http://m.12365auto.com/bbs/postcontent.aspx?tID=194454","空调没有热风可以免费解决吗？")</f>
        <v>空调没有热风可以免费解决吗？</v>
      </c>
      <c r="C5726" s="2" t="s">
        <v>13</v>
      </c>
      <c r="D5726" s="2" t="s">
        <v>23</v>
      </c>
      <c r="E5726" s="2"/>
      <c r="F5726" s="2" t="str">
        <f>HYPERLINK("http://m.12365auto.com/bbs/postcontent.aspx?tID=194454","http://m.12365auto.com/bbs/postcontent.aspx?tID=194454")</f>
        <v>http://m.12365auto.com/bbs/postcontent.aspx?tID=194454</v>
      </c>
      <c r="G5726" s="2"/>
      <c r="H5726" s="2" t="s">
        <v>7973</v>
      </c>
      <c r="I5726" s="2" t="s">
        <v>15</v>
      </c>
      <c r="J5726" s="2" t="s">
        <v>2116</v>
      </c>
      <c r="K5726" s="2" t="s">
        <v>7974</v>
      </c>
      <c r="L5726" s="2">
        <f t="shared" si="89"/>
        <v>150</v>
      </c>
    </row>
    <row r="5727" spans="1:12" ht="25" customHeight="1">
      <c r="A5727" s="2" t="s">
        <v>12</v>
      </c>
      <c r="B5727" s="2" t="str">
        <f>HYPERLINK("http://bbs.12365auto.com/postcontent.aspx?tId=194454","空调没有热风可以免费解决吗？")</f>
        <v>空调没有热风可以免费解决吗？</v>
      </c>
      <c r="C5727" s="2" t="s">
        <v>13</v>
      </c>
      <c r="D5727" s="2" t="s">
        <v>12</v>
      </c>
      <c r="E5727" s="2" t="s">
        <v>66</v>
      </c>
      <c r="F5727" s="2" t="str">
        <f>HYPERLINK("http://bbs.12365auto.com/postcontent.aspx?tId=194454","http://bbs.12365auto.com/postcontent.aspx?tId=194454")</f>
        <v>http://bbs.12365auto.com/postcontent.aspx?tId=194454</v>
      </c>
      <c r="G5727" s="2"/>
      <c r="H5727" s="2" t="s">
        <v>7973</v>
      </c>
      <c r="I5727" s="2" t="s">
        <v>15</v>
      </c>
      <c r="J5727" s="2" t="s">
        <v>2116</v>
      </c>
      <c r="K5727" s="2" t="s">
        <v>7974</v>
      </c>
      <c r="L5727" s="2">
        <f t="shared" si="89"/>
        <v>150</v>
      </c>
    </row>
    <row r="5728" spans="1:12" ht="25" customHeight="1">
      <c r="A5728" s="2" t="s">
        <v>12</v>
      </c>
      <c r="B5728" s="2" t="str">
        <f>HYPERLINK("http://bbs.12365auto.com/postcontent.aspx?tID=194454","空调没有热风可以免费解决吗？")</f>
        <v>空调没有热风可以免费解决吗？</v>
      </c>
      <c r="C5728" s="2" t="s">
        <v>13</v>
      </c>
      <c r="D5728" s="2" t="s">
        <v>12</v>
      </c>
      <c r="E5728" s="2" t="s">
        <v>67</v>
      </c>
      <c r="F5728" s="2" t="str">
        <f>HYPERLINK("http://bbs.12365auto.com/postcontent.aspx?tID=194454","http://bbs.12365auto.com/postcontent.aspx?tID=194454")</f>
        <v>http://bbs.12365auto.com/postcontent.aspx?tID=194454</v>
      </c>
      <c r="G5728" s="2"/>
      <c r="H5728" s="2" t="s">
        <v>7975</v>
      </c>
      <c r="I5728" s="2" t="s">
        <v>15</v>
      </c>
      <c r="J5728" s="2" t="s">
        <v>2116</v>
      </c>
      <c r="K5728" s="2" t="s">
        <v>7974</v>
      </c>
      <c r="L5728" s="2">
        <f t="shared" si="89"/>
        <v>150</v>
      </c>
    </row>
    <row r="5729" spans="1:12" ht="25" customHeight="1">
      <c r="A5729" s="2" t="s">
        <v>12</v>
      </c>
      <c r="B5729" s="2" t="str">
        <f>HYPERLINK("http://m.12365auto.com/bbs/postcontent.aspx?tID=194453","凯美瑞仪表台皮革出油粘手")</f>
        <v>凯美瑞仪表台皮革出油粘手</v>
      </c>
      <c r="C5729" s="2" t="s">
        <v>13</v>
      </c>
      <c r="D5729" s="2" t="s">
        <v>23</v>
      </c>
      <c r="E5729" s="2"/>
      <c r="F5729" s="2" t="str">
        <f>HYPERLINK("http://m.12365auto.com/bbs/postcontent.aspx?tID=194453","http://m.12365auto.com/bbs/postcontent.aspx?tID=194453")</f>
        <v>http://m.12365auto.com/bbs/postcontent.aspx?tID=194453</v>
      </c>
      <c r="G5729" s="2"/>
      <c r="H5729" s="2" t="s">
        <v>7976</v>
      </c>
      <c r="I5729" s="2" t="s">
        <v>15</v>
      </c>
      <c r="J5729" s="2" t="s">
        <v>2120</v>
      </c>
      <c r="K5729" s="2" t="s">
        <v>7977</v>
      </c>
      <c r="L5729" s="2">
        <f t="shared" si="89"/>
        <v>53</v>
      </c>
    </row>
    <row r="5730" spans="1:12" ht="25" customHeight="1">
      <c r="A5730" s="2" t="s">
        <v>12</v>
      </c>
      <c r="B5730" s="2" t="str">
        <f>HYPERLINK("http://bbs.12365auto.com/postcontent.aspx?tId=194453","凯美瑞仪表台皮革出油粘手")</f>
        <v>凯美瑞仪表台皮革出油粘手</v>
      </c>
      <c r="C5730" s="2" t="s">
        <v>13</v>
      </c>
      <c r="D5730" s="2" t="s">
        <v>12</v>
      </c>
      <c r="E5730" s="2" t="s">
        <v>66</v>
      </c>
      <c r="F5730" s="2" t="str">
        <f>HYPERLINK("http://bbs.12365auto.com/postcontent.aspx?tId=194453","http://bbs.12365auto.com/postcontent.aspx?tId=194453")</f>
        <v>http://bbs.12365auto.com/postcontent.aspx?tId=194453</v>
      </c>
      <c r="G5730" s="2"/>
      <c r="H5730" s="2" t="s">
        <v>7976</v>
      </c>
      <c r="I5730" s="2" t="s">
        <v>15</v>
      </c>
      <c r="J5730" s="2" t="s">
        <v>2120</v>
      </c>
      <c r="K5730" s="2" t="s">
        <v>7977</v>
      </c>
      <c r="L5730" s="2">
        <f t="shared" si="89"/>
        <v>53</v>
      </c>
    </row>
    <row r="5731" spans="1:12" ht="25" customHeight="1">
      <c r="A5731" s="2" t="s">
        <v>12</v>
      </c>
      <c r="B5731" s="2" t="str">
        <f>HYPERLINK("http://bbs.12365auto.com/postcontent.aspx?tID=194453","凯美瑞仪表台皮革出油粘手")</f>
        <v>凯美瑞仪表台皮革出油粘手</v>
      </c>
      <c r="C5731" s="2" t="s">
        <v>13</v>
      </c>
      <c r="D5731" s="2" t="s">
        <v>12</v>
      </c>
      <c r="E5731" s="2" t="s">
        <v>67</v>
      </c>
      <c r="F5731" s="2" t="str">
        <f>HYPERLINK("http://bbs.12365auto.com/postcontent.aspx?tID=194453","http://bbs.12365auto.com/postcontent.aspx?tID=194453")</f>
        <v>http://bbs.12365auto.com/postcontent.aspx?tID=194453</v>
      </c>
      <c r="G5731" s="2"/>
      <c r="H5731" s="2" t="s">
        <v>7978</v>
      </c>
      <c r="I5731" s="2" t="s">
        <v>15</v>
      </c>
      <c r="J5731" s="2" t="s">
        <v>2120</v>
      </c>
      <c r="K5731" s="2" t="s">
        <v>7977</v>
      </c>
      <c r="L5731" s="2">
        <f t="shared" si="89"/>
        <v>65</v>
      </c>
    </row>
    <row r="5732" spans="1:12" ht="25" customHeight="1">
      <c r="A5732" s="2" t="s">
        <v>12</v>
      </c>
      <c r="B5732" s="2" t="str">
        <f>HYPERLINK("http://www.12365auto.com/xcdg/20200219/418907.shtml","全面电气化 玛莎拉蒂纯电动车型明年亮相")</f>
        <v>全面电气化 玛莎拉蒂纯电动车型明年亮相</v>
      </c>
      <c r="C5732" s="2" t="s">
        <v>13</v>
      </c>
      <c r="D5732" s="2" t="s">
        <v>12</v>
      </c>
      <c r="E5732" s="2" t="s">
        <v>245</v>
      </c>
      <c r="F5732" s="2" t="str">
        <f>HYPERLINK("http://www.12365auto.com/xcdg/20200219/418907.shtml","http://www.12365auto.com/xcdg/20200219/418907.shtml")</f>
        <v>http://www.12365auto.com/xcdg/20200219/418907.shtml</v>
      </c>
      <c r="G5732" s="2"/>
      <c r="H5732" s="2" t="s">
        <v>7979</v>
      </c>
      <c r="I5732" s="2" t="s">
        <v>19</v>
      </c>
      <c r="J5732" s="2" t="s">
        <v>12</v>
      </c>
      <c r="K5732" s="2" t="s">
        <v>7977</v>
      </c>
      <c r="L5732" s="2">
        <f t="shared" si="89"/>
        <v>150</v>
      </c>
    </row>
    <row r="5733" spans="1:12" ht="25" customHeight="1">
      <c r="A5733" s="2" t="s">
        <v>12</v>
      </c>
      <c r="B5733" s="2" t="str">
        <f>HYPERLINK("http://m.12365auto.com/xcdg/20200219/418907.shtml","全面电气化 玛莎拉蒂纯电动车型明年亮相")</f>
        <v>全面电气化 玛莎拉蒂纯电动车型明年亮相</v>
      </c>
      <c r="C5733" s="2" t="s">
        <v>13</v>
      </c>
      <c r="D5733" s="2" t="s">
        <v>12</v>
      </c>
      <c r="E5733" s="2"/>
      <c r="F5733" s="2" t="str">
        <f>HYPERLINK("http://m.12365auto.com/xcdg/20200219/418907.shtml","http://m.12365auto.com/xcdg/20200219/418907.shtml")</f>
        <v>http://m.12365auto.com/xcdg/20200219/418907.shtml</v>
      </c>
      <c r="G5733" s="2"/>
      <c r="H5733" s="2" t="s">
        <v>7980</v>
      </c>
      <c r="I5733" s="2" t="s">
        <v>19</v>
      </c>
      <c r="J5733" s="2" t="s">
        <v>1230</v>
      </c>
      <c r="K5733" s="2" t="s">
        <v>7977</v>
      </c>
      <c r="L5733" s="2">
        <f t="shared" si="89"/>
        <v>150</v>
      </c>
    </row>
    <row r="5734" spans="1:12" ht="25" customHeight="1">
      <c r="A5734" s="2" t="s">
        <v>12</v>
      </c>
      <c r="B5734" s="2" t="str">
        <f>HYPERLINK("http://m.12365auto.com/bbs/postcontent.aspx?tID=194452","挂挡后无任何动力怎么去解决？")</f>
        <v>挂挡后无任何动力怎么去解决？</v>
      </c>
      <c r="C5734" s="2" t="s">
        <v>13</v>
      </c>
      <c r="D5734" s="2" t="s">
        <v>23</v>
      </c>
      <c r="E5734" s="2"/>
      <c r="F5734" s="2" t="str">
        <f>HYPERLINK("http://m.12365auto.com/bbs/postcontent.aspx?tID=194452","http://m.12365auto.com/bbs/postcontent.aspx?tID=194452")</f>
        <v>http://m.12365auto.com/bbs/postcontent.aspx?tID=194452</v>
      </c>
      <c r="G5734" s="2"/>
      <c r="H5734" s="2" t="s">
        <v>7981</v>
      </c>
      <c r="I5734" s="2" t="s">
        <v>15</v>
      </c>
      <c r="J5734" s="2" t="s">
        <v>2124</v>
      </c>
      <c r="K5734" s="2" t="s">
        <v>7982</v>
      </c>
      <c r="L5734" s="2">
        <f t="shared" si="89"/>
        <v>104</v>
      </c>
    </row>
    <row r="5735" spans="1:12" ht="25" customHeight="1">
      <c r="A5735" s="2" t="s">
        <v>12</v>
      </c>
      <c r="B5735" s="2" t="str">
        <f>HYPERLINK("http://m.12365auto.com/bbs/postcontent.aspx?tID=194451","天窗玻璃无故碎裂可以质保吗？")</f>
        <v>天窗玻璃无故碎裂可以质保吗？</v>
      </c>
      <c r="C5735" s="2" t="s">
        <v>13</v>
      </c>
      <c r="D5735" s="2" t="s">
        <v>23</v>
      </c>
      <c r="E5735" s="2"/>
      <c r="F5735" s="2" t="str">
        <f>HYPERLINK("http://m.12365auto.com/bbs/postcontent.aspx?tID=194451","http://m.12365auto.com/bbs/postcontent.aspx?tID=194451")</f>
        <v>http://m.12365auto.com/bbs/postcontent.aspx?tID=194451</v>
      </c>
      <c r="G5735" s="2"/>
      <c r="H5735" s="2" t="s">
        <v>7983</v>
      </c>
      <c r="I5735" s="2" t="s">
        <v>15</v>
      </c>
      <c r="J5735" s="2" t="s">
        <v>2128</v>
      </c>
      <c r="K5735" s="2" t="s">
        <v>7982</v>
      </c>
      <c r="L5735" s="2">
        <f t="shared" si="89"/>
        <v>122</v>
      </c>
    </row>
    <row r="5736" spans="1:12" ht="25" customHeight="1">
      <c r="A5736" s="2" t="s">
        <v>12</v>
      </c>
      <c r="B5736" s="2" t="str">
        <f>HYPERLINK("http://bbs.12365auto.com/postcontent.aspx?tId=194451","天窗玻璃无故碎裂可以质保吗？")</f>
        <v>天窗玻璃无故碎裂可以质保吗？</v>
      </c>
      <c r="C5736" s="2" t="s">
        <v>13</v>
      </c>
      <c r="D5736" s="2" t="s">
        <v>12</v>
      </c>
      <c r="E5736" s="2" t="s">
        <v>66</v>
      </c>
      <c r="F5736" s="2" t="str">
        <f>HYPERLINK("http://bbs.12365auto.com/postcontent.aspx?tId=194451","http://bbs.12365auto.com/postcontent.aspx?tId=194451")</f>
        <v>http://bbs.12365auto.com/postcontent.aspx?tId=194451</v>
      </c>
      <c r="G5736" s="2"/>
      <c r="H5736" s="2" t="s">
        <v>7983</v>
      </c>
      <c r="I5736" s="2" t="s">
        <v>15</v>
      </c>
      <c r="J5736" s="2" t="s">
        <v>2128</v>
      </c>
      <c r="K5736" s="2" t="s">
        <v>7982</v>
      </c>
      <c r="L5736" s="2">
        <f t="shared" si="89"/>
        <v>122</v>
      </c>
    </row>
    <row r="5737" spans="1:12" ht="25" customHeight="1">
      <c r="A5737" s="2" t="s">
        <v>12</v>
      </c>
      <c r="B5737" s="2" t="str">
        <f>HYPERLINK("http://bbs.12365auto.com/postcontent.aspx?tId=194452","挂挡后无任何动力怎么去解决？")</f>
        <v>挂挡后无任何动力怎么去解决？</v>
      </c>
      <c r="C5737" s="2" t="s">
        <v>13</v>
      </c>
      <c r="D5737" s="2" t="s">
        <v>12</v>
      </c>
      <c r="E5737" s="2" t="s">
        <v>66</v>
      </c>
      <c r="F5737" s="2" t="str">
        <f>HYPERLINK("http://bbs.12365auto.com/postcontent.aspx?tId=194452","http://bbs.12365auto.com/postcontent.aspx?tId=194452")</f>
        <v>http://bbs.12365auto.com/postcontent.aspx?tId=194452</v>
      </c>
      <c r="G5737" s="2"/>
      <c r="H5737" s="2" t="s">
        <v>7981</v>
      </c>
      <c r="I5737" s="2" t="s">
        <v>15</v>
      </c>
      <c r="J5737" s="2" t="s">
        <v>2124</v>
      </c>
      <c r="K5737" s="2" t="s">
        <v>7982</v>
      </c>
      <c r="L5737" s="2">
        <f t="shared" si="89"/>
        <v>104</v>
      </c>
    </row>
    <row r="5738" spans="1:12" ht="25" customHeight="1">
      <c r="A5738" s="2" t="s">
        <v>12</v>
      </c>
      <c r="B5738" s="2" t="str">
        <f>HYPERLINK("http://bbs.12365auto.com/postcontent.aspx?tID=194452","挂挡后无任何动力怎么去解决？")</f>
        <v>挂挡后无任何动力怎么去解决？</v>
      </c>
      <c r="C5738" s="2" t="s">
        <v>13</v>
      </c>
      <c r="D5738" s="2" t="s">
        <v>12</v>
      </c>
      <c r="E5738" s="2" t="s">
        <v>67</v>
      </c>
      <c r="F5738" s="2" t="str">
        <f>HYPERLINK("http://bbs.12365auto.com/postcontent.aspx?tID=194452","http://bbs.12365auto.com/postcontent.aspx?tID=194452")</f>
        <v>http://bbs.12365auto.com/postcontent.aspx?tID=194452</v>
      </c>
      <c r="G5738" s="2"/>
      <c r="H5738" s="2" t="s">
        <v>7984</v>
      </c>
      <c r="I5738" s="2" t="s">
        <v>15</v>
      </c>
      <c r="J5738" s="2" t="s">
        <v>2124</v>
      </c>
      <c r="K5738" s="2" t="s">
        <v>7982</v>
      </c>
      <c r="L5738" s="2">
        <f t="shared" si="89"/>
        <v>118</v>
      </c>
    </row>
    <row r="5739" spans="1:12" ht="25" customHeight="1">
      <c r="A5739" s="2" t="s">
        <v>12</v>
      </c>
      <c r="B5739" s="2" t="str">
        <f>HYPERLINK("http://bbs.12365auto.com/postcontent.aspx?tID=194451","天窗玻璃无故碎裂可以质保吗？")</f>
        <v>天窗玻璃无故碎裂可以质保吗？</v>
      </c>
      <c r="C5739" s="2" t="s">
        <v>13</v>
      </c>
      <c r="D5739" s="2" t="s">
        <v>12</v>
      </c>
      <c r="E5739" s="2" t="s">
        <v>67</v>
      </c>
      <c r="F5739" s="2" t="str">
        <f>HYPERLINK("http://bbs.12365auto.com/postcontent.aspx?tID=194451","http://bbs.12365auto.com/postcontent.aspx?tID=194451")</f>
        <v>http://bbs.12365auto.com/postcontent.aspx?tID=194451</v>
      </c>
      <c r="G5739" s="2"/>
      <c r="H5739" s="2" t="s">
        <v>7985</v>
      </c>
      <c r="I5739" s="2" t="s">
        <v>15</v>
      </c>
      <c r="J5739" s="2" t="s">
        <v>2128</v>
      </c>
      <c r="K5739" s="2" t="s">
        <v>7982</v>
      </c>
      <c r="L5739" s="2">
        <f t="shared" si="89"/>
        <v>136</v>
      </c>
    </row>
    <row r="5740" spans="1:12" ht="25" customHeight="1">
      <c r="A5740" s="2" t="s">
        <v>12</v>
      </c>
      <c r="B5740" s="2" t="str">
        <f>HYPERLINK("http://m.12365auto.com/bbs/postcontent.aspx?tID=194450&amp;i=1","召回后动力不足起步慢油耗高")</f>
        <v>召回后动力不足起步慢油耗高</v>
      </c>
      <c r="C5740" s="2" t="s">
        <v>13</v>
      </c>
      <c r="D5740" s="2" t="s">
        <v>23</v>
      </c>
      <c r="E5740" s="2"/>
      <c r="F5740" s="2" t="str">
        <f>HYPERLINK("http://m.12365auto.com/bbs/postcontent.aspx?tID=194450&amp;i=1","http://m.12365auto.com/bbs/postcontent.aspx?tID=194450&amp;i=1")</f>
        <v>http://m.12365auto.com/bbs/postcontent.aspx?tID=194450&amp;i=1</v>
      </c>
      <c r="G5740" s="2"/>
      <c r="H5740" s="2" t="s">
        <v>7986</v>
      </c>
      <c r="I5740" s="2" t="s">
        <v>15</v>
      </c>
      <c r="J5740" s="2" t="s">
        <v>7987</v>
      </c>
      <c r="K5740" s="2" t="s">
        <v>7988</v>
      </c>
      <c r="L5740" s="2">
        <f t="shared" si="89"/>
        <v>64</v>
      </c>
    </row>
    <row r="5741" spans="1:12" ht="25" customHeight="1">
      <c r="A5741" s="2" t="s">
        <v>12</v>
      </c>
      <c r="B5741" s="2" t="str">
        <f>HYPERLINK("http://bbs.12365auto.com/postcontent.aspx?tId=194450","召回后动力不足起步慢油耗高")</f>
        <v>召回后动力不足起步慢油耗高</v>
      </c>
      <c r="C5741" s="2" t="s">
        <v>13</v>
      </c>
      <c r="D5741" s="2" t="s">
        <v>12</v>
      </c>
      <c r="E5741" s="2" t="s">
        <v>66</v>
      </c>
      <c r="F5741" s="2" t="str">
        <f>HYPERLINK("http://bbs.12365auto.com/postcontent.aspx?tId=194450","http://bbs.12365auto.com/postcontent.aspx?tId=194450")</f>
        <v>http://bbs.12365auto.com/postcontent.aspx?tId=194450</v>
      </c>
      <c r="G5741" s="2"/>
      <c r="H5741" s="2" t="s">
        <v>7986</v>
      </c>
      <c r="I5741" s="2" t="s">
        <v>15</v>
      </c>
      <c r="J5741" s="2" t="s">
        <v>7987</v>
      </c>
      <c r="K5741" s="2" t="s">
        <v>7988</v>
      </c>
      <c r="L5741" s="2">
        <f t="shared" si="89"/>
        <v>64</v>
      </c>
    </row>
    <row r="5742" spans="1:12" ht="25" customHeight="1">
      <c r="A5742" s="2" t="s">
        <v>12</v>
      </c>
      <c r="B5742" s="2" t="str">
        <f>HYPERLINK("http://bbs.12365auto.com/postcontent.aspx?tID=194450","召回后动力不足起步慢油耗高")</f>
        <v>召回后动力不足起步慢油耗高</v>
      </c>
      <c r="C5742" s="2" t="s">
        <v>13</v>
      </c>
      <c r="D5742" s="2" t="s">
        <v>12</v>
      </c>
      <c r="E5742" s="2" t="s">
        <v>67</v>
      </c>
      <c r="F5742" s="2" t="str">
        <f>HYPERLINK("http://bbs.12365auto.com/postcontent.aspx?tID=194450","http://bbs.12365auto.com/postcontent.aspx?tID=194450")</f>
        <v>http://bbs.12365auto.com/postcontent.aspx?tID=194450</v>
      </c>
      <c r="G5742" s="2"/>
      <c r="H5742" s="2" t="s">
        <v>7989</v>
      </c>
      <c r="I5742" s="2" t="s">
        <v>15</v>
      </c>
      <c r="J5742" s="2" t="s">
        <v>7987</v>
      </c>
      <c r="K5742" s="2" t="s">
        <v>7988</v>
      </c>
      <c r="L5742" s="2">
        <f t="shared" si="89"/>
        <v>77</v>
      </c>
    </row>
    <row r="5743" spans="1:12" ht="25" customHeight="1">
      <c r="A5743" s="2" t="s">
        <v>12</v>
      </c>
      <c r="B5743" s="2" t="str">
        <f>HYPERLINK("http://m.12365auto.com/zjdy/20200219/121385.shtml","丰田凯美瑞北美召回是否涉及国内车辆？")</f>
        <v>丰田凯美瑞北美召回是否涉及国内车辆？</v>
      </c>
      <c r="C5743" s="2" t="s">
        <v>13</v>
      </c>
      <c r="D5743" s="2" t="s">
        <v>12</v>
      </c>
      <c r="E5743" s="2"/>
      <c r="F5743" s="2" t="str">
        <f>HYPERLINK("http://m.12365auto.com/zjdy/20200219/121385.shtml","http://m.12365auto.com/zjdy/20200219/121385.shtml")</f>
        <v>http://m.12365auto.com/zjdy/20200219/121385.shtml</v>
      </c>
      <c r="G5743" s="2"/>
      <c r="H5743" s="2" t="s">
        <v>7990</v>
      </c>
      <c r="I5743" s="2" t="s">
        <v>19</v>
      </c>
      <c r="J5743" s="2" t="s">
        <v>12</v>
      </c>
      <c r="K5743" s="2" t="s">
        <v>7991</v>
      </c>
      <c r="L5743" s="2">
        <f t="shared" si="89"/>
        <v>48</v>
      </c>
    </row>
    <row r="5744" spans="1:12" ht="25" customHeight="1">
      <c r="A5744" s="2" t="s">
        <v>12</v>
      </c>
      <c r="B5744" s="2" t="str">
        <f>HYPERLINK("http://www.12365auto.com/xcdg/20200219/418903.shtml","定位中型SUV 凯迪拉克首款纯电车型4月亮相")</f>
        <v>定位中型SUV 凯迪拉克首款纯电车型4月亮相</v>
      </c>
      <c r="C5744" s="2" t="s">
        <v>13</v>
      </c>
      <c r="D5744" s="2" t="s">
        <v>12</v>
      </c>
      <c r="E5744" s="2" t="s">
        <v>216</v>
      </c>
      <c r="F5744" s="2" t="str">
        <f>HYPERLINK("http://www.12365auto.com/xcdg/20200219/418903.shtml","http://www.12365auto.com/xcdg/20200219/418903.shtml")</f>
        <v>http://www.12365auto.com/xcdg/20200219/418903.shtml</v>
      </c>
      <c r="G5744" s="2"/>
      <c r="H5744" s="2" t="s">
        <v>7992</v>
      </c>
      <c r="I5744" s="2" t="s">
        <v>15</v>
      </c>
      <c r="J5744" s="2" t="s">
        <v>12</v>
      </c>
      <c r="K5744" s="2" t="s">
        <v>7993</v>
      </c>
      <c r="L5744" s="2">
        <f t="shared" si="89"/>
        <v>150</v>
      </c>
    </row>
    <row r="5745" spans="1:12" ht="25" customHeight="1">
      <c r="A5745" s="2" t="s">
        <v>12</v>
      </c>
      <c r="B5745" s="2" t="str">
        <f>HYPERLINK("http://www.12365auto.com/xcdg/20200219/418900.shtml","采用插电混动系统 海马6P将于二季度上市")</f>
        <v>采用插电混动系统 海马6P将于二季度上市</v>
      </c>
      <c r="C5745" s="2" t="s">
        <v>13</v>
      </c>
      <c r="D5745" s="2" t="s">
        <v>12</v>
      </c>
      <c r="E5745" s="2" t="s">
        <v>216</v>
      </c>
      <c r="F5745" s="2" t="str">
        <f>HYPERLINK("http://www.12365auto.com/xcdg/20200219/418900.shtml","http://www.12365auto.com/xcdg/20200219/418900.shtml")</f>
        <v>http://www.12365auto.com/xcdg/20200219/418900.shtml</v>
      </c>
      <c r="G5745" s="2"/>
      <c r="H5745" s="2" t="s">
        <v>7994</v>
      </c>
      <c r="I5745" s="2" t="s">
        <v>15</v>
      </c>
      <c r="J5745" s="2" t="s">
        <v>12</v>
      </c>
      <c r="K5745" s="2" t="s">
        <v>7995</v>
      </c>
      <c r="L5745" s="2">
        <f t="shared" si="89"/>
        <v>150</v>
      </c>
    </row>
    <row r="5746" spans="1:12" ht="25" customHeight="1">
      <c r="A5746" s="2" t="s">
        <v>12</v>
      </c>
      <c r="B5746" s="2" t="str">
        <f>HYPERLINK("http://www.12365auto.com/zlts/20200219/447704.shtml","北京现代途胜召回后动力不足起步慢油耗高")</f>
        <v>北京现代途胜召回后动力不足起步慢油耗高</v>
      </c>
      <c r="C5746" s="2" t="s">
        <v>13</v>
      </c>
      <c r="D5746" s="2" t="s">
        <v>12</v>
      </c>
      <c r="E5746" s="2" t="s">
        <v>17</v>
      </c>
      <c r="F5746" s="2" t="str">
        <f>HYPERLINK("http://www.12365auto.com/zlts/20200219/447704.shtml","http://www.12365auto.com/zlts/20200219/447704.shtml")</f>
        <v>http://www.12365auto.com/zlts/20200219/447704.shtml</v>
      </c>
      <c r="G5746" s="2"/>
      <c r="H5746" s="2" t="s">
        <v>7996</v>
      </c>
      <c r="I5746" s="2" t="s">
        <v>19</v>
      </c>
      <c r="J5746" s="2" t="s">
        <v>12</v>
      </c>
      <c r="K5746" s="2" t="s">
        <v>7997</v>
      </c>
      <c r="L5746" s="2">
        <f t="shared" si="89"/>
        <v>150</v>
      </c>
    </row>
    <row r="5747" spans="1:12" ht="25" customHeight="1">
      <c r="A5747" s="2" t="s">
        <v>12</v>
      </c>
      <c r="B5747" s="2" t="str">
        <f>HYPERLINK("http://m.12365auto.com/xcdg/20200219/418898.shtml","TNGA-B平台打造 丰田发布全新SUV预告图")</f>
        <v>TNGA-B平台打造 丰田发布全新SUV预告图</v>
      </c>
      <c r="C5747" s="2" t="s">
        <v>13</v>
      </c>
      <c r="D5747" s="2" t="s">
        <v>12</v>
      </c>
      <c r="E5747" s="2"/>
      <c r="F5747" s="2" t="str">
        <f>HYPERLINK("http://m.12365auto.com/xcdg/20200219/418898.shtml","http://m.12365auto.com/xcdg/20200219/418898.shtml")</f>
        <v>http://m.12365auto.com/xcdg/20200219/418898.shtml</v>
      </c>
      <c r="G5747" s="2"/>
      <c r="H5747" s="2" t="s">
        <v>7998</v>
      </c>
      <c r="I5747" s="2" t="s">
        <v>19</v>
      </c>
      <c r="J5747" s="2" t="s">
        <v>371</v>
      </c>
      <c r="K5747" s="2" t="s">
        <v>7999</v>
      </c>
      <c r="L5747" s="2">
        <f t="shared" si="89"/>
        <v>150</v>
      </c>
    </row>
    <row r="5748" spans="1:12" ht="25" customHeight="1">
      <c r="A5748" s="2" t="s">
        <v>12</v>
      </c>
      <c r="B5748" s="2" t="str">
        <f>HYPERLINK("http://www.12365auto.com/xcdg/20200219/418898.shtml","TNGA-B平台打造 丰田发布全新SUV预告图")</f>
        <v>TNGA-B平台打造 丰田发布全新SUV预告图</v>
      </c>
      <c r="C5748" s="2" t="s">
        <v>13</v>
      </c>
      <c r="D5748" s="2" t="s">
        <v>12</v>
      </c>
      <c r="E5748" s="2" t="s">
        <v>216</v>
      </c>
      <c r="F5748" s="2" t="str">
        <f>HYPERLINK("http://www.12365auto.com/xcdg/20200219/418898.shtml","http://www.12365auto.com/xcdg/20200219/418898.shtml")</f>
        <v>http://www.12365auto.com/xcdg/20200219/418898.shtml</v>
      </c>
      <c r="G5748" s="2"/>
      <c r="H5748" s="2" t="s">
        <v>8000</v>
      </c>
      <c r="I5748" s="2" t="s">
        <v>15</v>
      </c>
      <c r="J5748" s="2" t="s">
        <v>12</v>
      </c>
      <c r="K5748" s="2" t="s">
        <v>7999</v>
      </c>
      <c r="L5748" s="2">
        <f t="shared" si="89"/>
        <v>150</v>
      </c>
    </row>
    <row r="5749" spans="1:12" ht="25" customHeight="1">
      <c r="A5749" s="2" t="s">
        <v>12</v>
      </c>
      <c r="B5749" s="2" t="str">
        <f>HYPERLINK("http://m.12365auto.com/xcdg/20200219/418899.shtml","新款奥迪A4 Avant国内谍照曝光 或8月份上市")</f>
        <v>新款奥迪A4 Avant国内谍照曝光 或8月份上市</v>
      </c>
      <c r="C5749" s="2" t="s">
        <v>13</v>
      </c>
      <c r="D5749" s="2" t="s">
        <v>12</v>
      </c>
      <c r="E5749" s="2"/>
      <c r="F5749" s="2" t="str">
        <f>HYPERLINK("http://m.12365auto.com/xcdg/20200219/418899.shtml","http://m.12365auto.com/xcdg/20200219/418899.shtml")</f>
        <v>http://m.12365auto.com/xcdg/20200219/418899.shtml</v>
      </c>
      <c r="G5749" s="2"/>
      <c r="H5749" s="2" t="s">
        <v>8001</v>
      </c>
      <c r="I5749" s="2" t="s">
        <v>19</v>
      </c>
      <c r="J5749" s="2" t="s">
        <v>1305</v>
      </c>
      <c r="K5749" s="2" t="s">
        <v>8002</v>
      </c>
      <c r="L5749" s="2">
        <f t="shared" si="89"/>
        <v>150</v>
      </c>
    </row>
    <row r="5750" spans="1:12" ht="25" customHeight="1">
      <c r="A5750" s="2" t="s">
        <v>12</v>
      </c>
      <c r="B5750" s="2" t="str">
        <f>HYPERLINK("http://www.12365auto.com/xcdg/20200219/418899.shtml","新款奥迪A4 Avant国内谍照曝光 或8月份上市")</f>
        <v>新款奥迪A4 Avant国内谍照曝光 或8月份上市</v>
      </c>
      <c r="C5750" s="2" t="s">
        <v>13</v>
      </c>
      <c r="D5750" s="2" t="s">
        <v>12</v>
      </c>
      <c r="E5750" s="2" t="s">
        <v>216</v>
      </c>
      <c r="F5750" s="2" t="str">
        <f>HYPERLINK("http://www.12365auto.com/xcdg/20200219/418899.shtml","http://www.12365auto.com/xcdg/20200219/418899.shtml")</f>
        <v>http://www.12365auto.com/xcdg/20200219/418899.shtml</v>
      </c>
      <c r="G5750" s="2"/>
      <c r="H5750" s="2" t="s">
        <v>8003</v>
      </c>
      <c r="I5750" s="2" t="s">
        <v>15</v>
      </c>
      <c r="J5750" s="2" t="s">
        <v>12</v>
      </c>
      <c r="K5750" s="2" t="s">
        <v>8002</v>
      </c>
      <c r="L5750" s="2">
        <f t="shared" si="89"/>
        <v>150</v>
      </c>
    </row>
    <row r="5751" spans="1:12" ht="25" customHeight="1">
      <c r="A5751" s="2" t="s">
        <v>12</v>
      </c>
      <c r="B5751" s="2" t="str">
        <f>HYPERLINK("http://m.12365auto.com/zjdy/20200219/121381.shtml","长安福特蒙迪欧二手车值得购买吗？")</f>
        <v>长安福特蒙迪欧二手车值得购买吗？</v>
      </c>
      <c r="C5751" s="2" t="s">
        <v>13</v>
      </c>
      <c r="D5751" s="2" t="s">
        <v>12</v>
      </c>
      <c r="E5751" s="2"/>
      <c r="F5751" s="2" t="str">
        <f>HYPERLINK("http://m.12365auto.com/zjdy/20200219/121381.shtml","http://m.12365auto.com/zjdy/20200219/121381.shtml")</f>
        <v>http://m.12365auto.com/zjdy/20200219/121381.shtml</v>
      </c>
      <c r="G5751" s="2"/>
      <c r="H5751" s="2" t="s">
        <v>8004</v>
      </c>
      <c r="I5751" s="2" t="s">
        <v>19</v>
      </c>
      <c r="J5751" s="2" t="s">
        <v>12</v>
      </c>
      <c r="K5751" s="2" t="s">
        <v>8005</v>
      </c>
      <c r="L5751" s="2">
        <f t="shared" si="89"/>
        <v>30</v>
      </c>
    </row>
    <row r="5752" spans="1:12" ht="25" customHeight="1">
      <c r="A5752" s="2" t="s">
        <v>12</v>
      </c>
      <c r="B5752" s="2" t="str">
        <f>HYPERLINK("http://m.12365auto.com/zjdy/20200218/121380.shtml","兰德酷路泽防侧滑保险丝是哪一个？")</f>
        <v>兰德酷路泽防侧滑保险丝是哪一个？</v>
      </c>
      <c r="C5752" s="2" t="s">
        <v>13</v>
      </c>
      <c r="D5752" s="2" t="s">
        <v>12</v>
      </c>
      <c r="E5752" s="2"/>
      <c r="F5752" s="2" t="str">
        <f>HYPERLINK("http://m.12365auto.com/zjdy/20200218/121380.shtml","http://m.12365auto.com/zjdy/20200218/121380.shtml")</f>
        <v>http://m.12365auto.com/zjdy/20200218/121380.shtml</v>
      </c>
      <c r="G5752" s="2"/>
      <c r="H5752" s="2" t="s">
        <v>8006</v>
      </c>
      <c r="I5752" s="2" t="s">
        <v>19</v>
      </c>
      <c r="J5752" s="2" t="s">
        <v>12</v>
      </c>
      <c r="K5752" s="2" t="s">
        <v>8007</v>
      </c>
      <c r="L5752" s="2">
        <f t="shared" si="89"/>
        <v>44</v>
      </c>
    </row>
    <row r="5753" spans="1:12" ht="25" customHeight="1">
      <c r="A5753" s="2" t="s">
        <v>12</v>
      </c>
      <c r="B5753" s="2" t="str">
        <f>HYPERLINK("http://m.12365auto.com/zjdy/20200219/121383.shtml","发动机机油乳化与冬天短途用车有关吗？")</f>
        <v>发动机机油乳化与冬天短途用车有关吗？</v>
      </c>
      <c r="C5753" s="2" t="s">
        <v>13</v>
      </c>
      <c r="D5753" s="2" t="s">
        <v>12</v>
      </c>
      <c r="E5753" s="2"/>
      <c r="F5753" s="2" t="str">
        <f>HYPERLINK("http://m.12365auto.com/zjdy/20200219/121383.shtml","http://m.12365auto.com/zjdy/20200219/121383.shtml")</f>
        <v>http://m.12365auto.com/zjdy/20200219/121383.shtml</v>
      </c>
      <c r="G5753" s="2"/>
      <c r="H5753" s="2" t="s">
        <v>8008</v>
      </c>
      <c r="I5753" s="2" t="s">
        <v>19</v>
      </c>
      <c r="J5753" s="2" t="s">
        <v>12</v>
      </c>
      <c r="K5753" s="2" t="s">
        <v>8007</v>
      </c>
      <c r="L5753" s="2">
        <f t="shared" si="89"/>
        <v>38</v>
      </c>
    </row>
    <row r="5754" spans="1:12" ht="25" customHeight="1">
      <c r="A5754" s="2" t="s">
        <v>12</v>
      </c>
      <c r="B5754" s="2" t="str">
        <f>HYPERLINK("http://m.12365auto.com/zjdy/20200219/121382.shtml","吉利博越Pro怠速时候有异响是什么原因？")</f>
        <v>吉利博越Pro怠速时候有异响是什么原因？</v>
      </c>
      <c r="C5754" s="2" t="s">
        <v>13</v>
      </c>
      <c r="D5754" s="2" t="s">
        <v>12</v>
      </c>
      <c r="E5754" s="2"/>
      <c r="F5754" s="2" t="str">
        <f>HYPERLINK("http://m.12365auto.com/zjdy/20200219/121382.shtml","http://m.12365auto.com/zjdy/20200219/121382.shtml")</f>
        <v>http://m.12365auto.com/zjdy/20200219/121382.shtml</v>
      </c>
      <c r="G5754" s="2"/>
      <c r="H5754" s="2" t="s">
        <v>8009</v>
      </c>
      <c r="I5754" s="2" t="s">
        <v>19</v>
      </c>
      <c r="J5754" s="2" t="s">
        <v>12</v>
      </c>
      <c r="K5754" s="2" t="s">
        <v>8007</v>
      </c>
      <c r="L5754" s="2">
        <f t="shared" si="89"/>
        <v>106</v>
      </c>
    </row>
    <row r="5755" spans="1:12" ht="25" customHeight="1">
      <c r="A5755" s="2" t="s">
        <v>12</v>
      </c>
      <c r="B5755" s="2" t="str">
        <f>HYPERLINK("http://m.12365auto.com/zjdy/20200218/121378.shtml","落地14万左右哪款SUV质量好性价比高？")</f>
        <v>落地14万左右哪款SUV质量好性价比高？</v>
      </c>
      <c r="C5755" s="2" t="s">
        <v>13</v>
      </c>
      <c r="D5755" s="2" t="s">
        <v>12</v>
      </c>
      <c r="E5755" s="2"/>
      <c r="F5755" s="2" t="str">
        <f>HYPERLINK("http://m.12365auto.com/zjdy/20200218/121378.shtml","http://m.12365auto.com/zjdy/20200218/121378.shtml")</f>
        <v>http://m.12365auto.com/zjdy/20200218/121378.shtml</v>
      </c>
      <c r="G5755" s="2"/>
      <c r="H5755" s="2" t="s">
        <v>8010</v>
      </c>
      <c r="I5755" s="2" t="s">
        <v>19</v>
      </c>
      <c r="J5755" s="2" t="s">
        <v>12</v>
      </c>
      <c r="K5755" s="2" t="s">
        <v>8011</v>
      </c>
      <c r="L5755" s="2">
        <f t="shared" si="89"/>
        <v>74</v>
      </c>
    </row>
    <row r="5756" spans="1:12" ht="25" customHeight="1">
      <c r="A5756" s="2" t="s">
        <v>12</v>
      </c>
      <c r="B5756" s="2" t="str">
        <f>HYPERLINK("http://m.12365auto.com/zjdy/20200218/121377.shtml","购买新能源汽车掉电严重怎么解决？")</f>
        <v>购买新能源汽车掉电严重怎么解决？</v>
      </c>
      <c r="C5756" s="2" t="s">
        <v>13</v>
      </c>
      <c r="D5756" s="2" t="s">
        <v>12</v>
      </c>
      <c r="E5756" s="2"/>
      <c r="F5756" s="2" t="str">
        <f>HYPERLINK("http://m.12365auto.com/zjdy/20200218/121377.shtml","http://m.12365auto.com/zjdy/20200218/121377.shtml")</f>
        <v>http://m.12365auto.com/zjdy/20200218/121377.shtml</v>
      </c>
      <c r="G5756" s="2"/>
      <c r="H5756" s="2" t="s">
        <v>8012</v>
      </c>
      <c r="I5756" s="2" t="s">
        <v>19</v>
      </c>
      <c r="J5756" s="2" t="s">
        <v>12</v>
      </c>
      <c r="K5756" s="2" t="s">
        <v>8011</v>
      </c>
      <c r="L5756" s="2">
        <f t="shared" si="89"/>
        <v>92</v>
      </c>
    </row>
    <row r="5757" spans="1:12" ht="25" customHeight="1">
      <c r="A5757" s="2" t="s">
        <v>12</v>
      </c>
      <c r="B5757" s="2" t="str">
        <f>HYPERLINK("http://m.12365auto.com/zjdy/20200218/121379.shtml","吉利汽车厂家售后服务热线是多少？")</f>
        <v>吉利汽车厂家售后服务热线是多少？</v>
      </c>
      <c r="C5757" s="2" t="s">
        <v>13</v>
      </c>
      <c r="D5757" s="2" t="s">
        <v>12</v>
      </c>
      <c r="E5757" s="2"/>
      <c r="F5757" s="2" t="str">
        <f>HYPERLINK("http://m.12365auto.com/zjdy/20200218/121379.shtml","http://m.12365auto.com/zjdy/20200218/121379.shtml")</f>
        <v>http://m.12365auto.com/zjdy/20200218/121379.shtml</v>
      </c>
      <c r="G5757" s="2"/>
      <c r="H5757" s="2" t="s">
        <v>8013</v>
      </c>
      <c r="I5757" s="2" t="s">
        <v>19</v>
      </c>
      <c r="J5757" s="2" t="s">
        <v>12</v>
      </c>
      <c r="K5757" s="2" t="s">
        <v>8011</v>
      </c>
      <c r="L5757" s="2">
        <f t="shared" si="89"/>
        <v>38</v>
      </c>
    </row>
    <row r="5758" spans="1:12" ht="25" customHeight="1">
      <c r="A5758" s="2" t="s">
        <v>12</v>
      </c>
      <c r="B5758" s="2" t="str">
        <f>HYPERLINK("http://m.12365auto.com/zjdy/20200219/121384.shtml","哈弗H2无法正常提速是哪里有故障？")</f>
        <v>哈弗H2无法正常提速是哪里有故障？</v>
      </c>
      <c r="C5758" s="2" t="s">
        <v>13</v>
      </c>
      <c r="D5758" s="2" t="s">
        <v>12</v>
      </c>
      <c r="E5758" s="2"/>
      <c r="F5758" s="2" t="str">
        <f>HYPERLINK("http://m.12365auto.com/zjdy/20200219/121384.shtml","http://m.12365auto.com/zjdy/20200219/121384.shtml")</f>
        <v>http://m.12365auto.com/zjdy/20200219/121384.shtml</v>
      </c>
      <c r="G5758" s="2"/>
      <c r="H5758" s="2" t="s">
        <v>8014</v>
      </c>
      <c r="I5758" s="2" t="s">
        <v>19</v>
      </c>
      <c r="J5758" s="2" t="s">
        <v>12</v>
      </c>
      <c r="K5758" s="2" t="s">
        <v>8015</v>
      </c>
      <c r="L5758" s="2">
        <f t="shared" si="89"/>
        <v>39</v>
      </c>
    </row>
    <row r="5759" spans="1:12" ht="25" customHeight="1">
      <c r="A5759" s="2" t="s">
        <v>12</v>
      </c>
      <c r="B5759" s="2" t="str">
        <f>HYPERLINK("http://m.12365auto.com/zjdy/20200218/121375.shtml","哈弗F5启动后仪表指示灯不亮什么原因？")</f>
        <v>哈弗F5启动后仪表指示灯不亮什么原因？</v>
      </c>
      <c r="C5759" s="2" t="s">
        <v>13</v>
      </c>
      <c r="D5759" s="2" t="s">
        <v>12</v>
      </c>
      <c r="E5759" s="2"/>
      <c r="F5759" s="2" t="str">
        <f>HYPERLINK("http://m.12365auto.com/zjdy/20200218/121375.shtml","http://m.12365auto.com/zjdy/20200218/121375.shtml")</f>
        <v>http://m.12365auto.com/zjdy/20200218/121375.shtml</v>
      </c>
      <c r="G5759" s="2"/>
      <c r="H5759" s="2" t="s">
        <v>8016</v>
      </c>
      <c r="I5759" s="2" t="s">
        <v>19</v>
      </c>
      <c r="J5759" s="2" t="s">
        <v>12</v>
      </c>
      <c r="K5759" s="2" t="s">
        <v>8017</v>
      </c>
      <c r="L5759" s="2">
        <f t="shared" si="89"/>
        <v>26</v>
      </c>
    </row>
    <row r="5760" spans="1:12" ht="25" customHeight="1">
      <c r="A5760" s="2" t="s">
        <v>12</v>
      </c>
      <c r="B5760" s="2" t="str">
        <f>HYPERLINK("http://m.12365auto.com/zjdy/20200218/121367.shtml","福克斯年检时通过OBD检测不合格怎么办？")</f>
        <v>福克斯年检时通过OBD检测不合格怎么办？</v>
      </c>
      <c r="C5760" s="2" t="s">
        <v>13</v>
      </c>
      <c r="D5760" s="2" t="s">
        <v>12</v>
      </c>
      <c r="E5760" s="2"/>
      <c r="F5760" s="2" t="str">
        <f>HYPERLINK("http://m.12365auto.com/zjdy/20200218/121367.shtml","http://m.12365auto.com/zjdy/20200218/121367.shtml")</f>
        <v>http://m.12365auto.com/zjdy/20200218/121367.shtml</v>
      </c>
      <c r="G5760" s="2"/>
      <c r="H5760" s="2" t="s">
        <v>8018</v>
      </c>
      <c r="I5760" s="2" t="s">
        <v>19</v>
      </c>
      <c r="J5760" s="2" t="s">
        <v>12</v>
      </c>
      <c r="K5760" s="2" t="s">
        <v>8017</v>
      </c>
      <c r="L5760" s="2">
        <f t="shared" si="89"/>
        <v>150</v>
      </c>
    </row>
    <row r="5761" spans="1:12" ht="25" customHeight="1">
      <c r="A5761" s="2" t="s">
        <v>12</v>
      </c>
      <c r="B5761" s="2" t="str">
        <f>HYPERLINK("http://m.12365auto.com/zjdy/20200218/121376.shtml","长安福特福克斯水温一般多久正常？")</f>
        <v>长安福特福克斯水温一般多久正常？</v>
      </c>
      <c r="C5761" s="2" t="s">
        <v>13</v>
      </c>
      <c r="D5761" s="2" t="s">
        <v>12</v>
      </c>
      <c r="E5761" s="2"/>
      <c r="F5761" s="2" t="str">
        <f>HYPERLINK("http://m.12365auto.com/zjdy/20200218/121376.shtml","http://m.12365auto.com/zjdy/20200218/121376.shtml")</f>
        <v>http://m.12365auto.com/zjdy/20200218/121376.shtml</v>
      </c>
      <c r="G5761" s="2"/>
      <c r="H5761" s="2" t="s">
        <v>8019</v>
      </c>
      <c r="I5761" s="2" t="s">
        <v>19</v>
      </c>
      <c r="J5761" s="2" t="s">
        <v>12</v>
      </c>
      <c r="K5761" s="2" t="s">
        <v>8020</v>
      </c>
      <c r="L5761" s="2">
        <f t="shared" si="89"/>
        <v>34</v>
      </c>
    </row>
    <row r="5762" spans="1:12" ht="25" customHeight="1">
      <c r="A5762" s="2" t="s">
        <v>12</v>
      </c>
      <c r="B5762" s="2" t="str">
        <f>HYPERLINK("http://m.12365auto.com/zjdy/20200218/121371.shtml","哈弗H6更换电瓶后无法启动什么原因？")</f>
        <v>哈弗H6更换电瓶后无法启动什么原因？</v>
      </c>
      <c r="C5762" s="2" t="s">
        <v>13</v>
      </c>
      <c r="D5762" s="2" t="s">
        <v>12</v>
      </c>
      <c r="E5762" s="2"/>
      <c r="F5762" s="2" t="str">
        <f>HYPERLINK("http://m.12365auto.com/zjdy/20200218/121371.shtml","http://m.12365auto.com/zjdy/20200218/121371.shtml")</f>
        <v>http://m.12365auto.com/zjdy/20200218/121371.shtml</v>
      </c>
      <c r="G5762" s="2"/>
      <c r="H5762" s="2" t="s">
        <v>8021</v>
      </c>
      <c r="I5762" s="2" t="s">
        <v>19</v>
      </c>
      <c r="J5762" s="2" t="s">
        <v>12</v>
      </c>
      <c r="K5762" s="2" t="s">
        <v>8022</v>
      </c>
      <c r="L5762" s="2">
        <f t="shared" si="89"/>
        <v>25</v>
      </c>
    </row>
    <row r="5763" spans="1:12" ht="25" customHeight="1">
      <c r="A5763" s="2" t="s">
        <v>12</v>
      </c>
      <c r="B5763" s="2" t="str">
        <f>HYPERLINK("http://m.12365auto.com/zjdy/20200218/121372.shtml","哈弗H6行车电脑损坏维修费用是多少？")</f>
        <v>哈弗H6行车电脑损坏维修费用是多少？</v>
      </c>
      <c r="C5763" s="2" t="s">
        <v>13</v>
      </c>
      <c r="D5763" s="2" t="s">
        <v>12</v>
      </c>
      <c r="E5763" s="2"/>
      <c r="F5763" s="2" t="str">
        <f>HYPERLINK("http://m.12365auto.com/zjdy/20200218/121372.shtml","http://m.12365auto.com/zjdy/20200218/121372.shtml")</f>
        <v>http://m.12365auto.com/zjdy/20200218/121372.shtml</v>
      </c>
      <c r="G5763" s="2"/>
      <c r="H5763" s="2" t="s">
        <v>8023</v>
      </c>
      <c r="I5763" s="2" t="s">
        <v>19</v>
      </c>
      <c r="J5763" s="2" t="s">
        <v>12</v>
      </c>
      <c r="K5763" s="2" t="s">
        <v>8022</v>
      </c>
      <c r="L5763" s="2">
        <f t="shared" ref="L5763:L5826" si="90">LEN(H5763)</f>
        <v>40</v>
      </c>
    </row>
    <row r="5764" spans="1:12" ht="25" customHeight="1">
      <c r="A5764" s="2" t="s">
        <v>12</v>
      </c>
      <c r="B5764" s="2" t="str">
        <f>HYPERLINK("http://m.12365auto.com/zjdy/20200218/121366.shtml","本田XR-V质量如何还有VTC异响问题吗？")</f>
        <v>本田XR-V质量如何还有VTC异响问题吗？</v>
      </c>
      <c r="C5764" s="2" t="s">
        <v>13</v>
      </c>
      <c r="D5764" s="2" t="s">
        <v>12</v>
      </c>
      <c r="E5764" s="2"/>
      <c r="F5764" s="2" t="str">
        <f>HYPERLINK("http://m.12365auto.com/zjdy/20200218/121366.shtml","http://m.12365auto.com/zjdy/20200218/121366.shtml")</f>
        <v>http://m.12365auto.com/zjdy/20200218/121366.shtml</v>
      </c>
      <c r="G5764" s="2"/>
      <c r="H5764" s="2" t="s">
        <v>8024</v>
      </c>
      <c r="I5764" s="2" t="s">
        <v>19</v>
      </c>
      <c r="J5764" s="2" t="s">
        <v>12</v>
      </c>
      <c r="K5764" s="2" t="s">
        <v>8022</v>
      </c>
      <c r="L5764" s="2">
        <f t="shared" si="90"/>
        <v>38</v>
      </c>
    </row>
    <row r="5765" spans="1:12" ht="25" customHeight="1">
      <c r="A5765" s="2" t="s">
        <v>12</v>
      </c>
      <c r="B5765" s="2" t="str">
        <f>HYPERLINK("http://m.12365auto.com/zjdy/20200218/121370.shtml","只购买交强和三者险可以享受免费救援吗？")</f>
        <v>只购买交强和三者险可以享受免费救援吗？</v>
      </c>
      <c r="C5765" s="2" t="s">
        <v>13</v>
      </c>
      <c r="D5765" s="2" t="s">
        <v>12</v>
      </c>
      <c r="E5765" s="2"/>
      <c r="F5765" s="2" t="str">
        <f>HYPERLINK("http://m.12365auto.com/zjdy/20200218/121370.shtml","http://m.12365auto.com/zjdy/20200218/121370.shtml")</f>
        <v>http://m.12365auto.com/zjdy/20200218/121370.shtml</v>
      </c>
      <c r="G5765" s="2"/>
      <c r="H5765" s="2" t="s">
        <v>8025</v>
      </c>
      <c r="I5765" s="2" t="s">
        <v>19</v>
      </c>
      <c r="J5765" s="2" t="s">
        <v>12</v>
      </c>
      <c r="K5765" s="2" t="s">
        <v>8022</v>
      </c>
      <c r="L5765" s="2">
        <f t="shared" si="90"/>
        <v>40</v>
      </c>
    </row>
    <row r="5766" spans="1:12" ht="25" customHeight="1">
      <c r="A5766" s="2" t="s">
        <v>12</v>
      </c>
      <c r="B5766" s="2" t="str">
        <f>HYPERLINK("http://m.12365auto.com/zjdy/20200218/121373.shtml","电瓶有电但全车不通电是什么原因？")</f>
        <v>电瓶有电但全车不通电是什么原因？</v>
      </c>
      <c r="C5766" s="2" t="s">
        <v>13</v>
      </c>
      <c r="D5766" s="2" t="s">
        <v>12</v>
      </c>
      <c r="E5766" s="2"/>
      <c r="F5766" s="2" t="str">
        <f>HYPERLINK("http://m.12365auto.com/zjdy/20200218/121373.shtml","http://m.12365auto.com/zjdy/20200218/121373.shtml")</f>
        <v>http://m.12365auto.com/zjdy/20200218/121373.shtml</v>
      </c>
      <c r="G5766" s="2"/>
      <c r="H5766" s="2" t="s">
        <v>8026</v>
      </c>
      <c r="I5766" s="2" t="s">
        <v>19</v>
      </c>
      <c r="J5766" s="2" t="s">
        <v>12</v>
      </c>
      <c r="K5766" s="2" t="s">
        <v>8027</v>
      </c>
      <c r="L5766" s="2">
        <f t="shared" si="90"/>
        <v>35</v>
      </c>
    </row>
    <row r="5767" spans="1:12" ht="25" customHeight="1">
      <c r="A5767" s="2" t="s">
        <v>12</v>
      </c>
      <c r="B5767" s="2" t="str">
        <f>HYPERLINK("http://m.12365auto.com/zjdy/20200218/121365.shtml","本田思域中控显示屏花屏是什么原因？")</f>
        <v>本田思域中控显示屏花屏是什么原因？</v>
      </c>
      <c r="C5767" s="2" t="s">
        <v>13</v>
      </c>
      <c r="D5767" s="2" t="s">
        <v>12</v>
      </c>
      <c r="E5767" s="2"/>
      <c r="F5767" s="2" t="str">
        <f>HYPERLINK("http://m.12365auto.com/zjdy/20200218/121365.shtml","http://m.12365auto.com/zjdy/20200218/121365.shtml")</f>
        <v>http://m.12365auto.com/zjdy/20200218/121365.shtml</v>
      </c>
      <c r="G5767" s="2"/>
      <c r="H5767" s="2" t="s">
        <v>8028</v>
      </c>
      <c r="I5767" s="2" t="s">
        <v>19</v>
      </c>
      <c r="J5767" s="2" t="s">
        <v>12</v>
      </c>
      <c r="K5767" s="2" t="s">
        <v>8029</v>
      </c>
      <c r="L5767" s="2">
        <f t="shared" si="90"/>
        <v>44</v>
      </c>
    </row>
    <row r="5768" spans="1:12" ht="25" customHeight="1">
      <c r="A5768" s="2" t="s">
        <v>12</v>
      </c>
      <c r="B5768" s="2" t="str">
        <f>HYPERLINK("http://m.12365auto.com/zjdy/20200218/121363.shtml","双离合变速箱超车的话应该如何进行操作？")</f>
        <v>双离合变速箱超车的话应该如何进行操作？</v>
      </c>
      <c r="C5768" s="2" t="s">
        <v>13</v>
      </c>
      <c r="D5768" s="2" t="s">
        <v>12</v>
      </c>
      <c r="E5768" s="2"/>
      <c r="F5768" s="2" t="str">
        <f>HYPERLINK("http://m.12365auto.com/zjdy/20200218/121363.shtml","http://m.12365auto.com/zjdy/20200218/121363.shtml")</f>
        <v>http://m.12365auto.com/zjdy/20200218/121363.shtml</v>
      </c>
      <c r="G5768" s="2"/>
      <c r="H5768" s="2" t="s">
        <v>8030</v>
      </c>
      <c r="I5768" s="2" t="s">
        <v>19</v>
      </c>
      <c r="J5768" s="2" t="s">
        <v>12</v>
      </c>
      <c r="K5768" s="2" t="s">
        <v>8029</v>
      </c>
      <c r="L5768" s="2">
        <f t="shared" si="90"/>
        <v>72</v>
      </c>
    </row>
    <row r="5769" spans="1:12" ht="25" customHeight="1">
      <c r="A5769" s="2" t="s">
        <v>12</v>
      </c>
      <c r="B5769" s="2" t="str">
        <f>HYPERLINK("http://m.12365auto.com/zjdy/20200218/121364.shtml","购车半年发现储物盒关不严售后能质保吗？")</f>
        <v>购车半年发现储物盒关不严售后能质保吗？</v>
      </c>
      <c r="C5769" s="2" t="s">
        <v>13</v>
      </c>
      <c r="D5769" s="2" t="s">
        <v>12</v>
      </c>
      <c r="E5769" s="2"/>
      <c r="F5769" s="2" t="str">
        <f>HYPERLINK("http://m.12365auto.com/zjdy/20200218/121364.shtml","http://m.12365auto.com/zjdy/20200218/121364.shtml")</f>
        <v>http://m.12365auto.com/zjdy/20200218/121364.shtml</v>
      </c>
      <c r="G5769" s="2"/>
      <c r="H5769" s="2" t="s">
        <v>8031</v>
      </c>
      <c r="I5769" s="2" t="s">
        <v>19</v>
      </c>
      <c r="J5769" s="2" t="s">
        <v>12</v>
      </c>
      <c r="K5769" s="2" t="s">
        <v>8029</v>
      </c>
      <c r="L5769" s="2">
        <f t="shared" si="90"/>
        <v>22</v>
      </c>
    </row>
    <row r="5770" spans="1:12" ht="25" customHeight="1">
      <c r="A5770" s="2" t="s">
        <v>12</v>
      </c>
      <c r="B5770" s="2" t="str">
        <f>HYPERLINK("http://www.12365auto.com/xcdg/20200219/418897.shtml","为寻求个性而来 福特PUMA新车图解")</f>
        <v>为寻求个性而来 福特PUMA新车图解</v>
      </c>
      <c r="C5770" s="2" t="s">
        <v>13</v>
      </c>
      <c r="D5770" s="2" t="s">
        <v>12</v>
      </c>
      <c r="E5770" s="2" t="s">
        <v>216</v>
      </c>
      <c r="F5770" s="2" t="str">
        <f>HYPERLINK("http://www.12365auto.com/xcdg/20200219/418897.shtml","http://www.12365auto.com/xcdg/20200219/418897.shtml")</f>
        <v>http://www.12365auto.com/xcdg/20200219/418897.shtml</v>
      </c>
      <c r="G5770" s="2"/>
      <c r="H5770" s="2" t="s">
        <v>8032</v>
      </c>
      <c r="I5770" s="2" t="s">
        <v>15</v>
      </c>
      <c r="J5770" s="2" t="s">
        <v>12</v>
      </c>
      <c r="K5770" s="2" t="s">
        <v>8033</v>
      </c>
      <c r="L5770" s="2">
        <f t="shared" si="90"/>
        <v>150</v>
      </c>
    </row>
    <row r="5771" spans="1:12" ht="25" customHeight="1">
      <c r="A5771" s="2" t="s">
        <v>12</v>
      </c>
      <c r="B5771" s="2" t="str">
        <f>HYPERLINK("http://www.12365auto.com/scbg/20200219/418896.shtml","四款热销中型SUV制造工艺商品性横评")</f>
        <v>四款热销中型SUV制造工艺商品性横评</v>
      </c>
      <c r="C5771" s="2" t="s">
        <v>13</v>
      </c>
      <c r="D5771" s="2" t="s">
        <v>12</v>
      </c>
      <c r="E5771" s="2" t="s">
        <v>1548</v>
      </c>
      <c r="F5771" s="2" t="str">
        <f>HYPERLINK("http://www.12365auto.com/scbg/20200219/418896.shtml","http://www.12365auto.com/scbg/20200219/418896.shtml")</f>
        <v>http://www.12365auto.com/scbg/20200219/418896.shtml</v>
      </c>
      <c r="G5771" s="2"/>
      <c r="H5771" s="2" t="s">
        <v>8034</v>
      </c>
      <c r="I5771" s="2" t="s">
        <v>15</v>
      </c>
      <c r="J5771" s="2" t="s">
        <v>12</v>
      </c>
      <c r="K5771" s="2" t="s">
        <v>8033</v>
      </c>
      <c r="L5771" s="2">
        <f t="shared" si="90"/>
        <v>150</v>
      </c>
    </row>
    <row r="5772" spans="1:12" ht="25" customHeight="1">
      <c r="A5772" s="2" t="s">
        <v>12</v>
      </c>
      <c r="B5772" s="2" t="str">
        <f>HYPERLINK("http://m.12365auto.com/scbg/20200219/418896.shtml","四款热销中型SUV制造工艺商品性横评")</f>
        <v>四款热销中型SUV制造工艺商品性横评</v>
      </c>
      <c r="C5772" s="2" t="s">
        <v>13</v>
      </c>
      <c r="D5772" s="2" t="s">
        <v>12</v>
      </c>
      <c r="E5772" s="2"/>
      <c r="F5772" s="2" t="str">
        <f>HYPERLINK("http://m.12365auto.com/scbg/20200219/418896.shtml","http://m.12365auto.com/scbg/20200219/418896.shtml")</f>
        <v>http://m.12365auto.com/scbg/20200219/418896.shtml</v>
      </c>
      <c r="G5772" s="2"/>
      <c r="H5772" s="2" t="s">
        <v>8035</v>
      </c>
      <c r="I5772" s="2" t="s">
        <v>19</v>
      </c>
      <c r="J5772" s="2" t="s">
        <v>1241</v>
      </c>
      <c r="K5772" s="2" t="s">
        <v>8033</v>
      </c>
      <c r="L5772" s="2">
        <f t="shared" si="90"/>
        <v>150</v>
      </c>
    </row>
    <row r="5773" spans="1:12" ht="25" customHeight="1">
      <c r="A5773" s="2" t="s">
        <v>12</v>
      </c>
      <c r="B5773" s="2" t="str">
        <f>HYPERLINK("http://m.12365auto.com/xcdg/20200219/418897.shtml","为寻求个性而来 福特PUMA新车图解")</f>
        <v>为寻求个性而来 福特PUMA新车图解</v>
      </c>
      <c r="C5773" s="2" t="s">
        <v>13</v>
      </c>
      <c r="D5773" s="2" t="s">
        <v>12</v>
      </c>
      <c r="E5773" s="2"/>
      <c r="F5773" s="2" t="str">
        <f>HYPERLINK("http://m.12365auto.com/xcdg/20200219/418897.shtml","http://m.12365auto.com/xcdg/20200219/418897.shtml")</f>
        <v>http://m.12365auto.com/xcdg/20200219/418897.shtml</v>
      </c>
      <c r="G5773" s="2"/>
      <c r="H5773" s="2" t="s">
        <v>8036</v>
      </c>
      <c r="I5773" s="2" t="s">
        <v>19</v>
      </c>
      <c r="J5773" s="2" t="s">
        <v>371</v>
      </c>
      <c r="K5773" s="2" t="s">
        <v>8033</v>
      </c>
      <c r="L5773" s="2">
        <f t="shared" si="90"/>
        <v>150</v>
      </c>
    </row>
    <row r="5774" spans="1:12" ht="25" customHeight="1">
      <c r="A5774" s="2" t="s">
        <v>12</v>
      </c>
      <c r="B5774" s="2" t="str">
        <f>HYPERLINK("http://bbs.12365auto.com/postcontent.aspx?tId=194449","刚换的刹车片为什么还刹不住车啊！")</f>
        <v>刚换的刹车片为什么还刹不住车啊！</v>
      </c>
      <c r="C5774" s="2" t="s">
        <v>13</v>
      </c>
      <c r="D5774" s="2" t="s">
        <v>12</v>
      </c>
      <c r="E5774" s="2" t="s">
        <v>1397</v>
      </c>
      <c r="F5774" s="2" t="str">
        <f>HYPERLINK("http://bbs.12365auto.com/postcontent.aspx?tId=194449","http://bbs.12365auto.com/postcontent.aspx?tId=194449")</f>
        <v>http://bbs.12365auto.com/postcontent.aspx?tId=194449</v>
      </c>
      <c r="G5774" s="2"/>
      <c r="H5774" s="2" t="s">
        <v>8037</v>
      </c>
      <c r="I5774" s="2" t="s">
        <v>15</v>
      </c>
      <c r="J5774" s="2" t="s">
        <v>2201</v>
      </c>
      <c r="K5774" s="2" t="s">
        <v>8038</v>
      </c>
      <c r="L5774" s="2">
        <f t="shared" si="90"/>
        <v>150</v>
      </c>
    </row>
    <row r="5775" spans="1:12" ht="25" customHeight="1">
      <c r="A5775" s="2" t="s">
        <v>12</v>
      </c>
      <c r="B5775" s="2" t="str">
        <f>HYPERLINK("http://m.12365auto.com/bbs/postcontent.aspx?tID=194449","刚换的刹车片为什么还刹不住车啊！")</f>
        <v>刚换的刹车片为什么还刹不住车啊！</v>
      </c>
      <c r="C5775" s="2" t="s">
        <v>13</v>
      </c>
      <c r="D5775" s="2" t="s">
        <v>23</v>
      </c>
      <c r="E5775" s="2"/>
      <c r="F5775" s="2" t="str">
        <f>HYPERLINK("http://m.12365auto.com/bbs/postcontent.aspx?tID=194449","http://m.12365auto.com/bbs/postcontent.aspx?tID=194449")</f>
        <v>http://m.12365auto.com/bbs/postcontent.aspx?tID=194449</v>
      </c>
      <c r="G5775" s="2"/>
      <c r="H5775" s="2" t="s">
        <v>8037</v>
      </c>
      <c r="I5775" s="2" t="s">
        <v>15</v>
      </c>
      <c r="J5775" s="2" t="s">
        <v>2201</v>
      </c>
      <c r="K5775" s="2" t="s">
        <v>8038</v>
      </c>
      <c r="L5775" s="2">
        <f t="shared" si="90"/>
        <v>150</v>
      </c>
    </row>
    <row r="5776" spans="1:12" ht="25" customHeight="1">
      <c r="A5776" s="2" t="s">
        <v>12</v>
      </c>
      <c r="B5776" s="2" t="str">
        <f>HYPERLINK("http://bbs.12365auto.com/postcontent.aspx?tID=194449","刚换的刹车片为什么还刹不住车啊！")</f>
        <v>刚换的刹车片为什么还刹不住车啊！</v>
      </c>
      <c r="C5776" s="2" t="s">
        <v>13</v>
      </c>
      <c r="D5776" s="2" t="s">
        <v>12</v>
      </c>
      <c r="E5776" s="2" t="s">
        <v>1393</v>
      </c>
      <c r="F5776" s="2" t="str">
        <f>HYPERLINK("http://bbs.12365auto.com/postcontent.aspx?tID=194449","http://bbs.12365auto.com/postcontent.aspx?tID=194449")</f>
        <v>http://bbs.12365auto.com/postcontent.aspx?tID=194449</v>
      </c>
      <c r="G5776" s="2"/>
      <c r="H5776" s="2" t="s">
        <v>8039</v>
      </c>
      <c r="I5776" s="2" t="s">
        <v>15</v>
      </c>
      <c r="J5776" s="2" t="s">
        <v>2201</v>
      </c>
      <c r="K5776" s="2" t="s">
        <v>8038</v>
      </c>
      <c r="L5776" s="2">
        <f t="shared" si="90"/>
        <v>150</v>
      </c>
    </row>
    <row r="5777" spans="1:12" ht="25" customHeight="1">
      <c r="A5777" s="2" t="s">
        <v>12</v>
      </c>
      <c r="B5777" s="2" t="str">
        <f>HYPERLINK("http://bbs.12365auto.com/postcontent.aspx?tId=194448","瑞虎8电子档杆耐用吗")</f>
        <v>瑞虎8电子档杆耐用吗</v>
      </c>
      <c r="C5777" s="2" t="s">
        <v>13</v>
      </c>
      <c r="D5777" s="2" t="s">
        <v>12</v>
      </c>
      <c r="E5777" s="2" t="s">
        <v>1397</v>
      </c>
      <c r="F5777" s="2" t="str">
        <f>HYPERLINK("http://bbs.12365auto.com/postcontent.aspx?tId=194448","http://bbs.12365auto.com/postcontent.aspx?tId=194448")</f>
        <v>http://bbs.12365auto.com/postcontent.aspx?tId=194448</v>
      </c>
      <c r="G5777" s="2"/>
      <c r="H5777" s="2" t="s">
        <v>8040</v>
      </c>
      <c r="I5777" s="2" t="s">
        <v>15</v>
      </c>
      <c r="J5777" s="2" t="s">
        <v>8041</v>
      </c>
      <c r="K5777" s="2" t="s">
        <v>8042</v>
      </c>
      <c r="L5777" s="2">
        <f t="shared" si="90"/>
        <v>7</v>
      </c>
    </row>
    <row r="5778" spans="1:12" ht="25" customHeight="1">
      <c r="A5778" s="2" t="s">
        <v>12</v>
      </c>
      <c r="B5778" s="2" t="str">
        <f>HYPERLINK("http://m.12365auto.com/bbs/postcontent.aspx?tID=194448","瑞虎8电子档杆耐用吗")</f>
        <v>瑞虎8电子档杆耐用吗</v>
      </c>
      <c r="C5778" s="2" t="s">
        <v>13</v>
      </c>
      <c r="D5778" s="2" t="s">
        <v>23</v>
      </c>
      <c r="E5778" s="2"/>
      <c r="F5778" s="2" t="str">
        <f>HYPERLINK("http://m.12365auto.com/bbs/postcontent.aspx?tID=194448","http://m.12365auto.com/bbs/postcontent.aspx?tID=194448")</f>
        <v>http://m.12365auto.com/bbs/postcontent.aspx?tID=194448</v>
      </c>
      <c r="G5778" s="2"/>
      <c r="H5778" s="2" t="s">
        <v>8040</v>
      </c>
      <c r="I5778" s="2" t="s">
        <v>15</v>
      </c>
      <c r="J5778" s="2" t="s">
        <v>8041</v>
      </c>
      <c r="K5778" s="2" t="s">
        <v>8042</v>
      </c>
      <c r="L5778" s="2">
        <f t="shared" si="90"/>
        <v>7</v>
      </c>
    </row>
    <row r="5779" spans="1:12" ht="25" customHeight="1">
      <c r="A5779" s="2" t="s">
        <v>12</v>
      </c>
      <c r="B5779" s="2" t="str">
        <f>HYPERLINK("http://bbs.12365auto.com/postcontent.aspx?tID=194448","瑞虎8电子档杆耐用吗")</f>
        <v>瑞虎8电子档杆耐用吗</v>
      </c>
      <c r="C5779" s="2" t="s">
        <v>13</v>
      </c>
      <c r="D5779" s="2" t="s">
        <v>12</v>
      </c>
      <c r="E5779" s="2" t="s">
        <v>1393</v>
      </c>
      <c r="F5779" s="2" t="str">
        <f>HYPERLINK("http://bbs.12365auto.com/postcontent.aspx?tID=194448","http://bbs.12365auto.com/postcontent.aspx?tID=194448")</f>
        <v>http://bbs.12365auto.com/postcontent.aspx?tID=194448</v>
      </c>
      <c r="G5779" s="2"/>
      <c r="H5779" s="2" t="s">
        <v>8043</v>
      </c>
      <c r="I5779" s="2" t="s">
        <v>15</v>
      </c>
      <c r="J5779" s="2" t="s">
        <v>8041</v>
      </c>
      <c r="K5779" s="2" t="s">
        <v>8042</v>
      </c>
      <c r="L5779" s="2">
        <f t="shared" si="90"/>
        <v>17</v>
      </c>
    </row>
    <row r="5780" spans="1:12" ht="25" customHeight="1">
      <c r="A5780" s="2" t="s">
        <v>12</v>
      </c>
      <c r="B5780" s="2" t="str">
        <f>HYPERLINK("http://www.12365auto.com/zlts/20200219/447708.shtml","对投诉不管不问")</f>
        <v>对投诉不管不问</v>
      </c>
      <c r="C5780" s="2" t="s">
        <v>13</v>
      </c>
      <c r="D5780" s="2" t="s">
        <v>12</v>
      </c>
      <c r="E5780" s="2"/>
      <c r="F5780" s="2" t="str">
        <f>HYPERLINK("http://www.12365auto.com/zlts/20200219/447708.shtml","http://www.12365auto.com/zlts/20200219/447708.shtml")</f>
        <v>http://www.12365auto.com/zlts/20200219/447708.shtml</v>
      </c>
      <c r="G5780" s="2"/>
      <c r="H5780" s="2" t="s">
        <v>8045</v>
      </c>
      <c r="I5780" s="2" t="s">
        <v>15</v>
      </c>
      <c r="J5780" s="2" t="s">
        <v>12</v>
      </c>
      <c r="K5780" s="2" t="s">
        <v>8044</v>
      </c>
      <c r="L5780" s="2">
        <f t="shared" si="90"/>
        <v>96</v>
      </c>
    </row>
    <row r="5781" spans="1:12" ht="25" customHeight="1">
      <c r="A5781" s="2" t="s">
        <v>12</v>
      </c>
      <c r="B5781" s="2" t="str">
        <f>HYPERLINK("http://www.12365auto.com/zlts/20200219/447707.shtml","东风本田思域中控台异响售后未解决")</f>
        <v>东风本田思域中控台异响售后未解决</v>
      </c>
      <c r="C5781" s="2" t="s">
        <v>13</v>
      </c>
      <c r="D5781" s="2" t="s">
        <v>12</v>
      </c>
      <c r="E5781" s="2" t="s">
        <v>17</v>
      </c>
      <c r="F5781" s="2" t="str">
        <f>HYPERLINK("http://www.12365auto.com/zlts/20200219/447707.shtml","http://www.12365auto.com/zlts/20200219/447707.shtml")</f>
        <v>http://www.12365auto.com/zlts/20200219/447707.shtml</v>
      </c>
      <c r="G5781" s="2"/>
      <c r="H5781" s="2" t="s">
        <v>8046</v>
      </c>
      <c r="I5781" s="2" t="s">
        <v>19</v>
      </c>
      <c r="J5781" s="2" t="s">
        <v>12</v>
      </c>
      <c r="K5781" s="2" t="s">
        <v>8047</v>
      </c>
      <c r="L5781" s="2">
        <f t="shared" si="90"/>
        <v>150</v>
      </c>
    </row>
    <row r="5782" spans="1:12" ht="25" customHeight="1">
      <c r="A5782" s="2" t="s">
        <v>12</v>
      </c>
      <c r="B5782" s="2" t="str">
        <f>HYPERLINK("http://bbs.12365auto.com/postcontent.aspx?tId=194447","标致308使用3年2个月后烧机油")</f>
        <v>标致308使用3年2个月后烧机油</v>
      </c>
      <c r="C5782" s="2" t="s">
        <v>13</v>
      </c>
      <c r="D5782" s="2" t="s">
        <v>12</v>
      </c>
      <c r="E5782" s="2" t="s">
        <v>66</v>
      </c>
      <c r="F5782" s="2" t="str">
        <f>HYPERLINK("http://bbs.12365auto.com/postcontent.aspx?tId=194447","http://bbs.12365auto.com/postcontent.aspx?tId=194447")</f>
        <v>http://bbs.12365auto.com/postcontent.aspx?tId=194447</v>
      </c>
      <c r="G5782" s="2"/>
      <c r="H5782" s="2" t="s">
        <v>8048</v>
      </c>
      <c r="I5782" s="2" t="s">
        <v>15</v>
      </c>
      <c r="J5782" s="2" t="s">
        <v>8049</v>
      </c>
      <c r="K5782" s="2" t="s">
        <v>8050</v>
      </c>
      <c r="L5782" s="2">
        <f t="shared" si="90"/>
        <v>150</v>
      </c>
    </row>
    <row r="5783" spans="1:12" ht="25" customHeight="1">
      <c r="A5783" s="2" t="s">
        <v>12</v>
      </c>
      <c r="B5783" s="2" t="str">
        <f>HYPERLINK("http://m.12365auto.com/bbs/postcontent.aspx?tID=194447","标致308使用3年2个月后烧机油")</f>
        <v>标致308使用3年2个月后烧机油</v>
      </c>
      <c r="C5783" s="2" t="s">
        <v>13</v>
      </c>
      <c r="D5783" s="2" t="s">
        <v>23</v>
      </c>
      <c r="E5783" s="2"/>
      <c r="F5783" s="2" t="str">
        <f>HYPERLINK("http://m.12365auto.com/bbs/postcontent.aspx?tID=194447","http://m.12365auto.com/bbs/postcontent.aspx?tID=194447")</f>
        <v>http://m.12365auto.com/bbs/postcontent.aspx?tID=194447</v>
      </c>
      <c r="G5783" s="2"/>
      <c r="H5783" s="2" t="s">
        <v>8048</v>
      </c>
      <c r="I5783" s="2" t="s">
        <v>15</v>
      </c>
      <c r="J5783" s="2" t="s">
        <v>8049</v>
      </c>
      <c r="K5783" s="2" t="s">
        <v>8050</v>
      </c>
      <c r="L5783" s="2">
        <f t="shared" si="90"/>
        <v>150</v>
      </c>
    </row>
    <row r="5784" spans="1:12" ht="25" customHeight="1">
      <c r="A5784" s="2" t="s">
        <v>12</v>
      </c>
      <c r="B5784" s="2" t="str">
        <f>HYPERLINK("http://bbs.12365auto.com/postcontent.aspx?tID=194447","标致308使用3年2个月后烧机油")</f>
        <v>标致308使用3年2个月后烧机油</v>
      </c>
      <c r="C5784" s="2" t="s">
        <v>13</v>
      </c>
      <c r="D5784" s="2" t="s">
        <v>12</v>
      </c>
      <c r="E5784" s="2" t="s">
        <v>67</v>
      </c>
      <c r="F5784" s="2" t="str">
        <f>HYPERLINK("http://bbs.12365auto.com/postcontent.aspx?tID=194447","http://bbs.12365auto.com/postcontent.aspx?tID=194447")</f>
        <v>http://bbs.12365auto.com/postcontent.aspx?tID=194447</v>
      </c>
      <c r="G5784" s="2"/>
      <c r="H5784" s="2" t="s">
        <v>8051</v>
      </c>
      <c r="I5784" s="2" t="s">
        <v>15</v>
      </c>
      <c r="J5784" s="2" t="s">
        <v>8049</v>
      </c>
      <c r="K5784" s="2" t="s">
        <v>8050</v>
      </c>
      <c r="L5784" s="2">
        <f t="shared" si="90"/>
        <v>150</v>
      </c>
    </row>
    <row r="5785" spans="1:12" ht="25" customHeight="1">
      <c r="A5785" s="2" t="s">
        <v>12</v>
      </c>
      <c r="B5785" s="2" t="str">
        <f>HYPERLINK("http://www.12365auto.com/zlts/20200219/447706.shtml","一汽大众奥迪A4L购买新车自燃售后不处理")</f>
        <v>一汽大众奥迪A4L购买新车自燃售后不处理</v>
      </c>
      <c r="C5785" s="2" t="s">
        <v>13</v>
      </c>
      <c r="D5785" s="2" t="s">
        <v>12</v>
      </c>
      <c r="E5785" s="2" t="s">
        <v>17</v>
      </c>
      <c r="F5785" s="2" t="str">
        <f>HYPERLINK("http://www.12365auto.com/zlts/20200219/447706.shtml","http://www.12365auto.com/zlts/20200219/447706.shtml")</f>
        <v>http://www.12365auto.com/zlts/20200219/447706.shtml</v>
      </c>
      <c r="G5785" s="2"/>
      <c r="H5785" s="2" t="s">
        <v>8052</v>
      </c>
      <c r="I5785" s="2" t="s">
        <v>19</v>
      </c>
      <c r="J5785" s="2" t="s">
        <v>12</v>
      </c>
      <c r="K5785" s="2" t="s">
        <v>8053</v>
      </c>
      <c r="L5785" s="2">
        <f t="shared" si="90"/>
        <v>150</v>
      </c>
    </row>
    <row r="5786" spans="1:12" ht="25" customHeight="1">
      <c r="A5786" s="2" t="s">
        <v>12</v>
      </c>
      <c r="B5786" s="2" t="str">
        <f>HYPERLINK("http://www.12365auto.com/zlts/20200218/447703.shtml","变速箱有异响，有抖动，经销商一直解决不了")</f>
        <v>变速箱有异响，有抖动，经销商一直解决不了</v>
      </c>
      <c r="C5786" s="2" t="s">
        <v>13</v>
      </c>
      <c r="D5786" s="2" t="s">
        <v>12</v>
      </c>
      <c r="E5786" s="2"/>
      <c r="F5786" s="2" t="str">
        <f>HYPERLINK("http://www.12365auto.com/zlts/20200218/447703.shtml","http://www.12365auto.com/zlts/20200218/447703.shtml")</f>
        <v>http://www.12365auto.com/zlts/20200218/447703.shtml</v>
      </c>
      <c r="G5786" s="2"/>
      <c r="H5786" s="2" t="s">
        <v>8055</v>
      </c>
      <c r="I5786" s="2" t="s">
        <v>15</v>
      </c>
      <c r="J5786" s="2" t="s">
        <v>12</v>
      </c>
      <c r="K5786" s="2" t="s">
        <v>8054</v>
      </c>
      <c r="L5786" s="2">
        <f t="shared" si="90"/>
        <v>83</v>
      </c>
    </row>
    <row r="5787" spans="1:12" ht="25" customHeight="1">
      <c r="A5787" s="2" t="s">
        <v>12</v>
      </c>
      <c r="B5787" s="2" t="str">
        <f>HYPERLINK("http://www.12365auto.com/zlts/20200218/447702.shtml","一汽大众速腾怠速无动力 加速时顿挫")</f>
        <v>一汽大众速腾怠速无动力 加速时顿挫</v>
      </c>
      <c r="C5787" s="2" t="s">
        <v>13</v>
      </c>
      <c r="D5787" s="2" t="s">
        <v>12</v>
      </c>
      <c r="E5787" s="2" t="s">
        <v>17</v>
      </c>
      <c r="F5787" s="2" t="str">
        <f>HYPERLINK("http://www.12365auto.com/zlts/20200218/447702.shtml","http://www.12365auto.com/zlts/20200218/447702.shtml")</f>
        <v>http://www.12365auto.com/zlts/20200218/447702.shtml</v>
      </c>
      <c r="G5787" s="2"/>
      <c r="H5787" s="2" t="s">
        <v>8056</v>
      </c>
      <c r="I5787" s="2" t="s">
        <v>19</v>
      </c>
      <c r="J5787" s="2" t="s">
        <v>12</v>
      </c>
      <c r="K5787" s="2" t="s">
        <v>8057</v>
      </c>
      <c r="L5787" s="2">
        <f t="shared" si="90"/>
        <v>150</v>
      </c>
    </row>
    <row r="5788" spans="1:12" ht="25" customHeight="1">
      <c r="A5788" s="2" t="s">
        <v>12</v>
      </c>
      <c r="B5788" s="2" t="str">
        <f>HYPERLINK("http://www.12365auto.com/zlts/20200218/447695.shtml","电瓶不耐用车身异响")</f>
        <v>电瓶不耐用车身异响</v>
      </c>
      <c r="C5788" s="2" t="s">
        <v>13</v>
      </c>
      <c r="D5788" s="2" t="s">
        <v>12</v>
      </c>
      <c r="E5788" s="2"/>
      <c r="F5788" s="2" t="str">
        <f>HYPERLINK("http://www.12365auto.com/zlts/20200218/447695.shtml","http://www.12365auto.com/zlts/20200218/447695.shtml")</f>
        <v>http://www.12365auto.com/zlts/20200218/447695.shtml</v>
      </c>
      <c r="G5788" s="2"/>
      <c r="H5788" s="2" t="s">
        <v>8059</v>
      </c>
      <c r="I5788" s="2" t="s">
        <v>15</v>
      </c>
      <c r="J5788" s="2" t="s">
        <v>12</v>
      </c>
      <c r="K5788" s="2" t="s">
        <v>8058</v>
      </c>
      <c r="L5788" s="2">
        <f t="shared" si="90"/>
        <v>84</v>
      </c>
    </row>
    <row r="5789" spans="1:12" ht="25" customHeight="1">
      <c r="A5789" s="2" t="s">
        <v>12</v>
      </c>
      <c r="B5789" s="2" t="str">
        <f>HYPERLINK("http://www.12365auto.com/zlts/20200218/447693.shtml","高速行驶主动刹车故障，倒车时中控屏蓝屏不显示影像")</f>
        <v>高速行驶主动刹车故障，倒车时中控屏蓝屏不显示影像</v>
      </c>
      <c r="C5789" s="2" t="s">
        <v>13</v>
      </c>
      <c r="D5789" s="2" t="s">
        <v>12</v>
      </c>
      <c r="E5789" s="2"/>
      <c r="F5789" s="2" t="str">
        <f>HYPERLINK("http://www.12365auto.com/zlts/20200218/447693.shtml","http://www.12365auto.com/zlts/20200218/447693.shtml")</f>
        <v>http://www.12365auto.com/zlts/20200218/447693.shtml</v>
      </c>
      <c r="G5789" s="2"/>
      <c r="H5789" s="2" t="s">
        <v>8061</v>
      </c>
      <c r="I5789" s="2" t="s">
        <v>15</v>
      </c>
      <c r="J5789" s="2" t="s">
        <v>12</v>
      </c>
      <c r="K5789" s="2" t="s">
        <v>8060</v>
      </c>
      <c r="L5789" s="2">
        <f t="shared" si="90"/>
        <v>84</v>
      </c>
    </row>
    <row r="5790" spans="1:12" ht="25" customHeight="1">
      <c r="A5790" s="2" t="s">
        <v>12</v>
      </c>
      <c r="B5790" s="2" t="str">
        <f>HYPERLINK("http://www.12365auto.com/zlts/20200218/447677.shtml","仪表盘转速表及里程表失灵")</f>
        <v>仪表盘转速表及里程表失灵</v>
      </c>
      <c r="C5790" s="2" t="s">
        <v>13</v>
      </c>
      <c r="D5790" s="2" t="s">
        <v>12</v>
      </c>
      <c r="E5790" s="2"/>
      <c r="F5790" s="2" t="str">
        <f>HYPERLINK("http://www.12365auto.com/zlts/20200218/447677.shtml","http://www.12365auto.com/zlts/20200218/447677.shtml")</f>
        <v>http://www.12365auto.com/zlts/20200218/447677.shtml</v>
      </c>
      <c r="G5790" s="2"/>
      <c r="H5790" s="2" t="s">
        <v>8063</v>
      </c>
      <c r="I5790" s="2" t="s">
        <v>15</v>
      </c>
      <c r="J5790" s="2" t="s">
        <v>12</v>
      </c>
      <c r="K5790" s="2" t="s">
        <v>8062</v>
      </c>
      <c r="L5790" s="2">
        <f t="shared" si="90"/>
        <v>80</v>
      </c>
    </row>
    <row r="5791" spans="1:12" ht="25" customHeight="1">
      <c r="A5791" s="2" t="s">
        <v>12</v>
      </c>
      <c r="B5791" s="2" t="str">
        <f>HYPERLINK("http://www.12365auto.com/zlts/20200218/447691.shtml","北京现代领动ESP及ABS故障灯常亮")</f>
        <v>北京现代领动ESP及ABS故障灯常亮</v>
      </c>
      <c r="C5791" s="2" t="s">
        <v>13</v>
      </c>
      <c r="D5791" s="2" t="s">
        <v>12</v>
      </c>
      <c r="E5791" s="2" t="s">
        <v>17</v>
      </c>
      <c r="F5791" s="2" t="str">
        <f>HYPERLINK("http://www.12365auto.com/zlts/20200218/447691.shtml","http://www.12365auto.com/zlts/20200218/447691.shtml")</f>
        <v>http://www.12365auto.com/zlts/20200218/447691.shtml</v>
      </c>
      <c r="G5791" s="2"/>
      <c r="H5791" s="2" t="s">
        <v>8064</v>
      </c>
      <c r="I5791" s="2" t="s">
        <v>19</v>
      </c>
      <c r="J5791" s="2" t="s">
        <v>12</v>
      </c>
      <c r="K5791" s="2" t="s">
        <v>8065</v>
      </c>
      <c r="L5791" s="2">
        <f t="shared" si="90"/>
        <v>150</v>
      </c>
    </row>
    <row r="5792" spans="1:12" ht="25" customHeight="1">
      <c r="A5792" s="2" t="s">
        <v>12</v>
      </c>
      <c r="B5792" s="2" t="str">
        <f>HYPERLINK("http://www.12365auto.com/zlts/20200218/447686.shtml","方向盘异响。天窗电机损坏")</f>
        <v>方向盘异响。天窗电机损坏</v>
      </c>
      <c r="C5792" s="2" t="s">
        <v>13</v>
      </c>
      <c r="D5792" s="2" t="s">
        <v>12</v>
      </c>
      <c r="E5792" s="2"/>
      <c r="F5792" s="2" t="str">
        <f>HYPERLINK("http://www.12365auto.com/zlts/20200218/447686.shtml","http://www.12365auto.com/zlts/20200218/447686.shtml")</f>
        <v>http://www.12365auto.com/zlts/20200218/447686.shtml</v>
      </c>
      <c r="G5792" s="2"/>
      <c r="H5792" s="2" t="s">
        <v>8067</v>
      </c>
      <c r="I5792" s="2" t="s">
        <v>15</v>
      </c>
      <c r="J5792" s="2" t="s">
        <v>12</v>
      </c>
      <c r="K5792" s="2" t="s">
        <v>8066</v>
      </c>
      <c r="L5792" s="2">
        <f t="shared" si="90"/>
        <v>84</v>
      </c>
    </row>
    <row r="5793" spans="1:12" ht="25" customHeight="1">
      <c r="A5793" s="2" t="s">
        <v>12</v>
      </c>
      <c r="B5793" s="2" t="str">
        <f>HYPERLINK("http://www.12365auto.com/zlts/20200218/447690.shtml","广汽本田雅阁高速时微调方向卡顿异响")</f>
        <v>广汽本田雅阁高速时微调方向卡顿异响</v>
      </c>
      <c r="C5793" s="2" t="s">
        <v>13</v>
      </c>
      <c r="D5793" s="2" t="s">
        <v>12</v>
      </c>
      <c r="E5793" s="2" t="s">
        <v>17</v>
      </c>
      <c r="F5793" s="2" t="str">
        <f>HYPERLINK("http://www.12365auto.com/zlts/20200218/447690.shtml","http://www.12365auto.com/zlts/20200218/447690.shtml")</f>
        <v>http://www.12365auto.com/zlts/20200218/447690.shtml</v>
      </c>
      <c r="G5793" s="2"/>
      <c r="H5793" s="2" t="s">
        <v>8068</v>
      </c>
      <c r="I5793" s="2" t="s">
        <v>19</v>
      </c>
      <c r="J5793" s="2" t="s">
        <v>12</v>
      </c>
      <c r="K5793" s="2" t="s">
        <v>8069</v>
      </c>
      <c r="L5793" s="2">
        <f t="shared" si="90"/>
        <v>150</v>
      </c>
    </row>
    <row r="5794" spans="1:12" ht="25" customHeight="1">
      <c r="A5794" s="2" t="s">
        <v>12</v>
      </c>
      <c r="B5794" s="2" t="str">
        <f>HYPERLINK("http://www.12365auto.com/zlts/20200218/447689.shtml","东风日产逍客原地转向异响希望厂家处理")</f>
        <v>东风日产逍客原地转向异响希望厂家处理</v>
      </c>
      <c r="C5794" s="2" t="s">
        <v>13</v>
      </c>
      <c r="D5794" s="2" t="s">
        <v>12</v>
      </c>
      <c r="E5794" s="2" t="s">
        <v>17</v>
      </c>
      <c r="F5794" s="2" t="str">
        <f>HYPERLINK("http://www.12365auto.com/zlts/20200218/447689.shtml","http://www.12365auto.com/zlts/20200218/447689.shtml")</f>
        <v>http://www.12365auto.com/zlts/20200218/447689.shtml</v>
      </c>
      <c r="G5794" s="2"/>
      <c r="H5794" s="2" t="s">
        <v>8070</v>
      </c>
      <c r="I5794" s="2" t="s">
        <v>19</v>
      </c>
      <c r="J5794" s="2" t="s">
        <v>12</v>
      </c>
      <c r="K5794" s="2" t="s">
        <v>8071</v>
      </c>
      <c r="L5794" s="2">
        <f t="shared" si="90"/>
        <v>150</v>
      </c>
    </row>
    <row r="5795" spans="1:12" ht="25" customHeight="1">
      <c r="A5795" s="2" t="s">
        <v>12</v>
      </c>
      <c r="B5795" s="2" t="str">
        <f>HYPERLINK("http://www.12365auto.com/zlts/20200218/447687.shtml","哈弗F5冷车启动困难抖动变速箱顿挫")</f>
        <v>哈弗F5冷车启动困难抖动变速箱顿挫</v>
      </c>
      <c r="C5795" s="2" t="s">
        <v>13</v>
      </c>
      <c r="D5795" s="2" t="s">
        <v>12</v>
      </c>
      <c r="E5795" s="2" t="s">
        <v>17</v>
      </c>
      <c r="F5795" s="2" t="str">
        <f>HYPERLINK("http://www.12365auto.com/zlts/20200218/447687.shtml","http://www.12365auto.com/zlts/20200218/447687.shtml")</f>
        <v>http://www.12365auto.com/zlts/20200218/447687.shtml</v>
      </c>
      <c r="G5795" s="2"/>
      <c r="H5795" s="2" t="s">
        <v>8072</v>
      </c>
      <c r="I5795" s="2" t="s">
        <v>19</v>
      </c>
      <c r="J5795" s="2" t="s">
        <v>12</v>
      </c>
      <c r="K5795" s="2" t="s">
        <v>8073</v>
      </c>
      <c r="L5795" s="2">
        <f t="shared" si="90"/>
        <v>150</v>
      </c>
    </row>
    <row r="5796" spans="1:12" ht="25" customHeight="1">
      <c r="A5796" s="2" t="s">
        <v>12</v>
      </c>
      <c r="B5796" s="2" t="str">
        <f>HYPERLINK("http://www.12365auto.com/zlts/20200218/447676.shtml","天窗异响、无车道保持、驾驶侧A柱风噪大")</f>
        <v>天窗异响、无车道保持、驾驶侧A柱风噪大</v>
      </c>
      <c r="C5796" s="2" t="s">
        <v>13</v>
      </c>
      <c r="D5796" s="2" t="s">
        <v>12</v>
      </c>
      <c r="E5796" s="2"/>
      <c r="F5796" s="2" t="str">
        <f>HYPERLINK("http://www.12365auto.com/zlts/20200218/447676.shtml","http://www.12365auto.com/zlts/20200218/447676.shtml")</f>
        <v>http://www.12365auto.com/zlts/20200218/447676.shtml</v>
      </c>
      <c r="G5796" s="2"/>
      <c r="H5796" s="2" t="s">
        <v>8075</v>
      </c>
      <c r="I5796" s="2" t="s">
        <v>15</v>
      </c>
      <c r="J5796" s="2" t="s">
        <v>12</v>
      </c>
      <c r="K5796" s="2" t="s">
        <v>8074</v>
      </c>
      <c r="L5796" s="2">
        <f t="shared" si="90"/>
        <v>81</v>
      </c>
    </row>
    <row r="5797" spans="1:12" ht="25" customHeight="1">
      <c r="A5797" s="2" t="s">
        <v>12</v>
      </c>
      <c r="B5797" s="2" t="str">
        <f>HYPERLINK("http://www.12365auto.com/zlts/20200218/447685.shtml","东风雪铁龙C4L方向盘晃动存在质量问题")</f>
        <v>东风雪铁龙C4L方向盘晃动存在质量问题</v>
      </c>
      <c r="C5797" s="2" t="s">
        <v>13</v>
      </c>
      <c r="D5797" s="2" t="s">
        <v>12</v>
      </c>
      <c r="E5797" s="2" t="s">
        <v>17</v>
      </c>
      <c r="F5797" s="2" t="str">
        <f>HYPERLINK("http://www.12365auto.com/zlts/20200218/447685.shtml","http://www.12365auto.com/zlts/20200218/447685.shtml")</f>
        <v>http://www.12365auto.com/zlts/20200218/447685.shtml</v>
      </c>
      <c r="G5797" s="2"/>
      <c r="H5797" s="2" t="s">
        <v>8076</v>
      </c>
      <c r="I5797" s="2" t="s">
        <v>19</v>
      </c>
      <c r="J5797" s="2" t="s">
        <v>12</v>
      </c>
      <c r="K5797" s="2" t="s">
        <v>8077</v>
      </c>
      <c r="L5797" s="2">
        <f t="shared" si="90"/>
        <v>150</v>
      </c>
    </row>
    <row r="5798" spans="1:12" ht="25" customHeight="1">
      <c r="A5798" s="2" t="s">
        <v>12</v>
      </c>
      <c r="B5798" s="2" t="str">
        <f>HYPERLINK("http://www.12365auto.com/zlts/20200218/447683.shtml","东风雪铁龙C4世嘉方向柱晃动导致方向盘松动")</f>
        <v>东风雪铁龙C4世嘉方向柱晃动导致方向盘松动</v>
      </c>
      <c r="C5798" s="2" t="s">
        <v>13</v>
      </c>
      <c r="D5798" s="2" t="s">
        <v>12</v>
      </c>
      <c r="E5798" s="2" t="s">
        <v>17</v>
      </c>
      <c r="F5798" s="2" t="str">
        <f>HYPERLINK("http://www.12365auto.com/zlts/20200218/447683.shtml","http://www.12365auto.com/zlts/20200218/447683.shtml")</f>
        <v>http://www.12365auto.com/zlts/20200218/447683.shtml</v>
      </c>
      <c r="G5798" s="2"/>
      <c r="H5798" s="2" t="s">
        <v>8078</v>
      </c>
      <c r="I5798" s="2" t="s">
        <v>19</v>
      </c>
      <c r="J5798" s="2" t="s">
        <v>12</v>
      </c>
      <c r="K5798" s="2" t="s">
        <v>8079</v>
      </c>
      <c r="L5798" s="2">
        <f t="shared" si="90"/>
        <v>150</v>
      </c>
    </row>
    <row r="5799" spans="1:12" ht="25" customHeight="1">
      <c r="A5799" s="2" t="s">
        <v>12</v>
      </c>
      <c r="B5799" s="2" t="str">
        <f>HYPERLINK("http://www.12365auto.com/zlts/20200218/447675.shtml","该车的电瓶只要停了五天之七天没开车电瓶就完全没电")</f>
        <v>该车的电瓶只要停了五天之七天没开车电瓶就完全没电</v>
      </c>
      <c r="C5799" s="2" t="s">
        <v>13</v>
      </c>
      <c r="D5799" s="2" t="s">
        <v>12</v>
      </c>
      <c r="E5799" s="2"/>
      <c r="F5799" s="2" t="str">
        <f>HYPERLINK("http://www.12365auto.com/zlts/20200218/447675.shtml","http://www.12365auto.com/zlts/20200218/447675.shtml")</f>
        <v>http://www.12365auto.com/zlts/20200218/447675.shtml</v>
      </c>
      <c r="G5799" s="2"/>
      <c r="H5799" s="2" t="s">
        <v>8081</v>
      </c>
      <c r="I5799" s="2" t="s">
        <v>15</v>
      </c>
      <c r="J5799" s="2" t="s">
        <v>12</v>
      </c>
      <c r="K5799" s="2" t="s">
        <v>8080</v>
      </c>
      <c r="L5799" s="2">
        <f t="shared" si="90"/>
        <v>82</v>
      </c>
    </row>
    <row r="5800" spans="1:12" ht="25" customHeight="1">
      <c r="A5800" s="2" t="s">
        <v>12</v>
      </c>
      <c r="B5800" s="2" t="str">
        <f>HYPERLINK("http://www.12365auto.com/zlts/20200218/447681.shtml","领克01电瓶亏电车机黑屏存在质量问题")</f>
        <v>领克01电瓶亏电车机黑屏存在质量问题</v>
      </c>
      <c r="C5800" s="2" t="s">
        <v>13</v>
      </c>
      <c r="D5800" s="2" t="s">
        <v>12</v>
      </c>
      <c r="E5800" s="2" t="s">
        <v>17</v>
      </c>
      <c r="F5800" s="2" t="str">
        <f>HYPERLINK("http://www.12365auto.com/zlts/20200218/447681.shtml","http://www.12365auto.com/zlts/20200218/447681.shtml")</f>
        <v>http://www.12365auto.com/zlts/20200218/447681.shtml</v>
      </c>
      <c r="G5800" s="2"/>
      <c r="H5800" s="2" t="s">
        <v>8082</v>
      </c>
      <c r="I5800" s="2" t="s">
        <v>19</v>
      </c>
      <c r="J5800" s="2" t="s">
        <v>12</v>
      </c>
      <c r="K5800" s="2" t="s">
        <v>8083</v>
      </c>
      <c r="L5800" s="2">
        <f t="shared" si="90"/>
        <v>150</v>
      </c>
    </row>
    <row r="5801" spans="1:12" ht="25" customHeight="1">
      <c r="A5801" s="2" t="s">
        <v>12</v>
      </c>
      <c r="B5801" s="2" t="str">
        <f>HYPERLINK("http://www.12365auto.com/zlts/20200218/447674.shtml","一汽丰田亚洲龙车内异响 门窗漏风")</f>
        <v>一汽丰田亚洲龙车内异响 门窗漏风</v>
      </c>
      <c r="C5801" s="2" t="s">
        <v>13</v>
      </c>
      <c r="D5801" s="2" t="s">
        <v>12</v>
      </c>
      <c r="E5801" s="2" t="s">
        <v>17</v>
      </c>
      <c r="F5801" s="2" t="str">
        <f>HYPERLINK("http://www.12365auto.com/zlts/20200218/447674.shtml","http://www.12365auto.com/zlts/20200218/447674.shtml")</f>
        <v>http://www.12365auto.com/zlts/20200218/447674.shtml</v>
      </c>
      <c r="G5801" s="2"/>
      <c r="H5801" s="2" t="s">
        <v>8084</v>
      </c>
      <c r="I5801" s="2" t="s">
        <v>19</v>
      </c>
      <c r="J5801" s="2" t="s">
        <v>12</v>
      </c>
      <c r="K5801" s="2" t="s">
        <v>8085</v>
      </c>
      <c r="L5801" s="2">
        <f t="shared" si="90"/>
        <v>150</v>
      </c>
    </row>
    <row r="5802" spans="1:12" ht="25" customHeight="1">
      <c r="A5802" s="2" t="s">
        <v>12</v>
      </c>
      <c r="B5802" s="2" t="str">
        <f>HYPERLINK("http://www.12365auto.com/zlts/20200218/447672.shtml","东风日产轩逸化妆镜处漏水 中控台异响")</f>
        <v>东风日产轩逸化妆镜处漏水 中控台异响</v>
      </c>
      <c r="C5802" s="2" t="s">
        <v>13</v>
      </c>
      <c r="D5802" s="2" t="s">
        <v>12</v>
      </c>
      <c r="E5802" s="2" t="s">
        <v>17</v>
      </c>
      <c r="F5802" s="2" t="str">
        <f>HYPERLINK("http://www.12365auto.com/zlts/20200218/447672.shtml","http://www.12365auto.com/zlts/20200218/447672.shtml")</f>
        <v>http://www.12365auto.com/zlts/20200218/447672.shtml</v>
      </c>
      <c r="G5802" s="2"/>
      <c r="H5802" s="2" t="s">
        <v>8086</v>
      </c>
      <c r="I5802" s="2" t="s">
        <v>19</v>
      </c>
      <c r="J5802" s="2" t="s">
        <v>12</v>
      </c>
      <c r="K5802" s="2" t="s">
        <v>8087</v>
      </c>
      <c r="L5802" s="2">
        <f t="shared" si="90"/>
        <v>150</v>
      </c>
    </row>
    <row r="5803" spans="1:12" ht="25" customHeight="1">
      <c r="A5803" s="2" t="s">
        <v>12</v>
      </c>
      <c r="B5803" s="2" t="str">
        <f>HYPERLINK("http://www.12365auto.com/zlts/20200218/447671.shtml","上汽荣威RX3车灯不亮 车门异响 音响不响")</f>
        <v>上汽荣威RX3车灯不亮 车门异响 音响不响</v>
      </c>
      <c r="C5803" s="2" t="s">
        <v>13</v>
      </c>
      <c r="D5803" s="2" t="s">
        <v>12</v>
      </c>
      <c r="E5803" s="2" t="s">
        <v>17</v>
      </c>
      <c r="F5803" s="2" t="str">
        <f>HYPERLINK("http://www.12365auto.com/zlts/20200218/447671.shtml","http://www.12365auto.com/zlts/20200218/447671.shtml")</f>
        <v>http://www.12365auto.com/zlts/20200218/447671.shtml</v>
      </c>
      <c r="G5803" s="2"/>
      <c r="H5803" s="2" t="s">
        <v>8088</v>
      </c>
      <c r="I5803" s="2" t="s">
        <v>19</v>
      </c>
      <c r="J5803" s="2" t="s">
        <v>12</v>
      </c>
      <c r="K5803" s="2" t="s">
        <v>8089</v>
      </c>
      <c r="L5803" s="2">
        <f t="shared" si="90"/>
        <v>150</v>
      </c>
    </row>
    <row r="5804" spans="1:12" ht="25" customHeight="1">
      <c r="A5804" s="2" t="s">
        <v>12</v>
      </c>
      <c r="B5804" s="2" t="str">
        <f>HYPERLINK("http://www.12365auto.com/zlts/20200218/447668.shtml","广汽菲克菲亚特致悦变速箱液压执行单元漏油")</f>
        <v>广汽菲克菲亚特致悦变速箱液压执行单元漏油</v>
      </c>
      <c r="C5804" s="2" t="s">
        <v>13</v>
      </c>
      <c r="D5804" s="2" t="s">
        <v>12</v>
      </c>
      <c r="E5804" s="2" t="s">
        <v>17</v>
      </c>
      <c r="F5804" s="2" t="str">
        <f>HYPERLINK("http://www.12365auto.com/zlts/20200218/447668.shtml","http://www.12365auto.com/zlts/20200218/447668.shtml")</f>
        <v>http://www.12365auto.com/zlts/20200218/447668.shtml</v>
      </c>
      <c r="G5804" s="2"/>
      <c r="H5804" s="2" t="s">
        <v>8090</v>
      </c>
      <c r="I5804" s="2" t="s">
        <v>19</v>
      </c>
      <c r="J5804" s="2" t="s">
        <v>12</v>
      </c>
      <c r="K5804" s="2" t="s">
        <v>8091</v>
      </c>
      <c r="L5804" s="2">
        <f t="shared" si="90"/>
        <v>150</v>
      </c>
    </row>
    <row r="5805" spans="1:12" ht="25" customHeight="1">
      <c r="A5805" s="2" t="s">
        <v>12</v>
      </c>
      <c r="B5805" s="2" t="str">
        <f>HYPERLINK("http://www.12365auto.com/zlts/20200218/447667.shtml","进口福特探险者韩泰轮胎严重起皮 开裂")</f>
        <v>进口福特探险者韩泰轮胎严重起皮 开裂</v>
      </c>
      <c r="C5805" s="2" t="s">
        <v>13</v>
      </c>
      <c r="D5805" s="2" t="s">
        <v>12</v>
      </c>
      <c r="E5805" s="2" t="s">
        <v>17</v>
      </c>
      <c r="F5805" s="2" t="str">
        <f>HYPERLINK("http://www.12365auto.com/zlts/20200218/447667.shtml","http://www.12365auto.com/zlts/20200218/447667.shtml")</f>
        <v>http://www.12365auto.com/zlts/20200218/447667.shtml</v>
      </c>
      <c r="G5805" s="2"/>
      <c r="H5805" s="2" t="s">
        <v>8092</v>
      </c>
      <c r="I5805" s="2" t="s">
        <v>19</v>
      </c>
      <c r="J5805" s="2" t="s">
        <v>12</v>
      </c>
      <c r="K5805" s="2" t="s">
        <v>8093</v>
      </c>
      <c r="L5805" s="2">
        <f t="shared" si="90"/>
        <v>150</v>
      </c>
    </row>
    <row r="5806" spans="1:12" ht="25" customHeight="1">
      <c r="A5806" s="2" t="s">
        <v>12</v>
      </c>
      <c r="B5806" s="2" t="str">
        <f>HYPERLINK("http://www.12365auto.com/zlts/20200218/447656.shtml","车机问题")</f>
        <v>车机问题</v>
      </c>
      <c r="C5806" s="2" t="s">
        <v>13</v>
      </c>
      <c r="D5806" s="2" t="s">
        <v>12</v>
      </c>
      <c r="E5806" s="2"/>
      <c r="F5806" s="2" t="str">
        <f>HYPERLINK("http://www.12365auto.com/zlts/20200218/447656.shtml","http://www.12365auto.com/zlts/20200218/447656.shtml")</f>
        <v>http://www.12365auto.com/zlts/20200218/447656.shtml</v>
      </c>
      <c r="G5806" s="2"/>
      <c r="H5806" s="2" t="s">
        <v>8095</v>
      </c>
      <c r="I5806" s="2" t="s">
        <v>15</v>
      </c>
      <c r="J5806" s="2" t="s">
        <v>12</v>
      </c>
      <c r="K5806" s="2" t="s">
        <v>8094</v>
      </c>
      <c r="L5806" s="2">
        <f t="shared" si="90"/>
        <v>81</v>
      </c>
    </row>
    <row r="5807" spans="1:12" ht="25" customHeight="1">
      <c r="A5807" s="2" t="s">
        <v>12</v>
      </c>
      <c r="B5807" s="2" t="str">
        <f>HYPERLINK("http://www.12365auto.com/zlts/20200218/447659.shtml","上汽大众Polo倒车踩刹车存在明显异响")</f>
        <v>上汽大众Polo倒车踩刹车存在明显异响</v>
      </c>
      <c r="C5807" s="2" t="s">
        <v>13</v>
      </c>
      <c r="D5807" s="2" t="s">
        <v>12</v>
      </c>
      <c r="E5807" s="2" t="s">
        <v>17</v>
      </c>
      <c r="F5807" s="2" t="str">
        <f>HYPERLINK("http://www.12365auto.com/zlts/20200218/447659.shtml","http://www.12365auto.com/zlts/20200218/447659.shtml")</f>
        <v>http://www.12365auto.com/zlts/20200218/447659.shtml</v>
      </c>
      <c r="G5807" s="2"/>
      <c r="H5807" s="2" t="s">
        <v>8096</v>
      </c>
      <c r="I5807" s="2" t="s">
        <v>19</v>
      </c>
      <c r="J5807" s="2" t="s">
        <v>12</v>
      </c>
      <c r="K5807" s="2" t="s">
        <v>8097</v>
      </c>
      <c r="L5807" s="2">
        <f t="shared" si="90"/>
        <v>150</v>
      </c>
    </row>
    <row r="5808" spans="1:12" ht="25" customHeight="1">
      <c r="A5808" s="2" t="s">
        <v>12</v>
      </c>
      <c r="B5808" s="2" t="str">
        <f>HYPERLINK("http://bbs.12365auto.com/postcontent.aspx?tId=194446","锐程CC提车一个月")</f>
        <v>锐程CC提车一个月</v>
      </c>
      <c r="C5808" s="2" t="s">
        <v>13</v>
      </c>
      <c r="D5808" s="2" t="s">
        <v>12</v>
      </c>
      <c r="E5808" s="2" t="s">
        <v>8098</v>
      </c>
      <c r="F5808" s="2" t="str">
        <f>HYPERLINK("http://bbs.12365auto.com/postcontent.aspx?tId=194446","http://bbs.12365auto.com/postcontent.aspx?tId=194446")</f>
        <v>http://bbs.12365auto.com/postcontent.aspx?tId=194446</v>
      </c>
      <c r="G5808" s="2"/>
      <c r="H5808" s="2" t="s">
        <v>8099</v>
      </c>
      <c r="I5808" s="2" t="s">
        <v>15</v>
      </c>
      <c r="J5808" s="2" t="s">
        <v>8100</v>
      </c>
      <c r="K5808" s="2" t="s">
        <v>8101</v>
      </c>
      <c r="L5808" s="2">
        <f t="shared" si="90"/>
        <v>150</v>
      </c>
    </row>
    <row r="5809" spans="1:12" ht="25" customHeight="1">
      <c r="A5809" s="2" t="s">
        <v>12</v>
      </c>
      <c r="B5809" s="2" t="str">
        <f>HYPERLINK("http://bbs.12365auto.com/postcontent.aspx?tID=194446","锐程CC提车一个月")</f>
        <v>锐程CC提车一个月</v>
      </c>
      <c r="C5809" s="2" t="s">
        <v>13</v>
      </c>
      <c r="D5809" s="2" t="s">
        <v>12</v>
      </c>
      <c r="E5809" s="2" t="s">
        <v>8102</v>
      </c>
      <c r="F5809" s="2" t="str">
        <f>HYPERLINK("http://bbs.12365auto.com/postcontent.aspx?tID=194446","http://bbs.12365auto.com/postcontent.aspx?tID=194446")</f>
        <v>http://bbs.12365auto.com/postcontent.aspx?tID=194446</v>
      </c>
      <c r="G5809" s="2"/>
      <c r="H5809" s="2" t="s">
        <v>8103</v>
      </c>
      <c r="I5809" s="2" t="s">
        <v>15</v>
      </c>
      <c r="J5809" s="2" t="s">
        <v>8100</v>
      </c>
      <c r="K5809" s="2" t="s">
        <v>8101</v>
      </c>
      <c r="L5809" s="2">
        <f t="shared" si="90"/>
        <v>150</v>
      </c>
    </row>
    <row r="5810" spans="1:12" ht="25" customHeight="1">
      <c r="A5810" s="2" t="s">
        <v>12</v>
      </c>
      <c r="B5810" s="2" t="str">
        <f>HYPERLINK("http://m.12365auto.com/bbs/postcontent.aspx?tID=194446","锐程CC提车一个月")</f>
        <v>锐程CC提车一个月</v>
      </c>
      <c r="C5810" s="2" t="s">
        <v>13</v>
      </c>
      <c r="D5810" s="2" t="s">
        <v>23</v>
      </c>
      <c r="E5810" s="2"/>
      <c r="F5810" s="2" t="str">
        <f>HYPERLINK("http://m.12365auto.com/bbs/postcontent.aspx?tID=194446","http://m.12365auto.com/bbs/postcontent.aspx?tID=194446")</f>
        <v>http://m.12365auto.com/bbs/postcontent.aspx?tID=194446</v>
      </c>
      <c r="G5810" s="2"/>
      <c r="H5810" s="2" t="s">
        <v>8099</v>
      </c>
      <c r="I5810" s="2" t="s">
        <v>15</v>
      </c>
      <c r="J5810" s="2" t="s">
        <v>8100</v>
      </c>
      <c r="K5810" s="2" t="s">
        <v>8101</v>
      </c>
      <c r="L5810" s="2">
        <f t="shared" si="90"/>
        <v>150</v>
      </c>
    </row>
    <row r="5811" spans="1:12" ht="25" customHeight="1">
      <c r="A5811" s="2" t="s">
        <v>12</v>
      </c>
      <c r="B5811" s="2" t="str">
        <f>HYPERLINK("http://www.12365auto.com/zlts/20200218/447657.shtml","北汽幻速S3刹车疲软几乎失灵影响安全")</f>
        <v>北汽幻速S3刹车疲软几乎失灵影响安全</v>
      </c>
      <c r="C5811" s="2" t="s">
        <v>13</v>
      </c>
      <c r="D5811" s="2" t="s">
        <v>12</v>
      </c>
      <c r="E5811" s="2" t="s">
        <v>17</v>
      </c>
      <c r="F5811" s="2" t="str">
        <f>HYPERLINK("http://www.12365auto.com/zlts/20200218/447657.shtml","http://www.12365auto.com/zlts/20200218/447657.shtml")</f>
        <v>http://www.12365auto.com/zlts/20200218/447657.shtml</v>
      </c>
      <c r="G5811" s="2"/>
      <c r="H5811" s="2" t="s">
        <v>8104</v>
      </c>
      <c r="I5811" s="2" t="s">
        <v>19</v>
      </c>
      <c r="J5811" s="2" t="s">
        <v>12</v>
      </c>
      <c r="K5811" s="2" t="s">
        <v>8105</v>
      </c>
      <c r="L5811" s="2">
        <f t="shared" si="90"/>
        <v>150</v>
      </c>
    </row>
    <row r="5812" spans="1:12" ht="25" customHeight="1">
      <c r="A5812" s="2" t="s">
        <v>12</v>
      </c>
      <c r="B5812" s="2" t="str">
        <f>HYPERLINK("http://bbs.12365auto.com/postcontent.aspx?tID=194443","六年磨一剑，丰田汉兰达全面升级归来")</f>
        <v>六年磨一剑，丰田汉兰达全面升级归来</v>
      </c>
      <c r="C5812" s="2" t="s">
        <v>13</v>
      </c>
      <c r="D5812" s="2" t="s">
        <v>12</v>
      </c>
      <c r="E5812" s="2" t="s">
        <v>28</v>
      </c>
      <c r="F5812" s="2" t="str">
        <f>HYPERLINK("http://bbs.12365auto.com/postcontent.aspx?tID=194443","http://bbs.12365auto.com/postcontent.aspx?tID=194443")</f>
        <v>http://bbs.12365auto.com/postcontent.aspx?tID=194443</v>
      </c>
      <c r="G5812" s="2"/>
      <c r="H5812" s="2" t="s">
        <v>8106</v>
      </c>
      <c r="I5812" s="2" t="s">
        <v>15</v>
      </c>
      <c r="J5812" s="2" t="s">
        <v>1960</v>
      </c>
      <c r="K5812" s="2" t="s">
        <v>8107</v>
      </c>
      <c r="L5812" s="2">
        <f t="shared" si="90"/>
        <v>150</v>
      </c>
    </row>
    <row r="5813" spans="1:12" ht="25" customHeight="1">
      <c r="A5813" s="2" t="s">
        <v>12</v>
      </c>
      <c r="B5813" s="2" t="str">
        <f>HYPERLINK("http://bbs.12365auto.com/postcontent.aspx?tID=194444","雷凌or卡罗拉？这是个问题吗？这还真是个问题")</f>
        <v>雷凌or卡罗拉？这是个问题吗？这还真是个问题</v>
      </c>
      <c r="C5813" s="2" t="s">
        <v>13</v>
      </c>
      <c r="D5813" s="2" t="s">
        <v>12</v>
      </c>
      <c r="E5813" s="2" t="s">
        <v>28</v>
      </c>
      <c r="F5813" s="2" t="str">
        <f>HYPERLINK("http://bbs.12365auto.com/postcontent.aspx?tID=194444","http://bbs.12365auto.com/postcontent.aspx?tID=194444")</f>
        <v>http://bbs.12365auto.com/postcontent.aspx?tID=194444</v>
      </c>
      <c r="G5813" s="2"/>
      <c r="H5813" s="2" t="s">
        <v>8108</v>
      </c>
      <c r="I5813" s="2" t="s">
        <v>15</v>
      </c>
      <c r="J5813" s="2" t="s">
        <v>1960</v>
      </c>
      <c r="K5813" s="2" t="s">
        <v>8107</v>
      </c>
      <c r="L5813" s="2">
        <f t="shared" si="90"/>
        <v>150</v>
      </c>
    </row>
    <row r="5814" spans="1:12" ht="25" customHeight="1">
      <c r="A5814" s="2" t="s">
        <v>12</v>
      </c>
      <c r="B5814" s="2" t="str">
        <f>HYPERLINK("http://bbs.12365auto.com/postcontent.aspx?tId=194444","雷凌or卡罗拉？这是个问题吗？这还真是个问题")</f>
        <v>雷凌or卡罗拉？这是个问题吗？这还真是个问题</v>
      </c>
      <c r="C5814" s="2" t="s">
        <v>13</v>
      </c>
      <c r="D5814" s="2" t="s">
        <v>12</v>
      </c>
      <c r="E5814" s="2" t="s">
        <v>27</v>
      </c>
      <c r="F5814" s="2" t="str">
        <f>HYPERLINK("http://bbs.12365auto.com/postcontent.aspx?tId=194444","http://bbs.12365auto.com/postcontent.aspx?tId=194444")</f>
        <v>http://bbs.12365auto.com/postcontent.aspx?tId=194444</v>
      </c>
      <c r="G5814" s="2"/>
      <c r="H5814" s="2" t="s">
        <v>8109</v>
      </c>
      <c r="I5814" s="2" t="s">
        <v>15</v>
      </c>
      <c r="J5814" s="2" t="s">
        <v>1960</v>
      </c>
      <c r="K5814" s="2" t="s">
        <v>8107</v>
      </c>
      <c r="L5814" s="2">
        <f t="shared" si="90"/>
        <v>150</v>
      </c>
    </row>
    <row r="5815" spans="1:12" ht="25" customHeight="1">
      <c r="A5815" s="2" t="s">
        <v>12</v>
      </c>
      <c r="B5815" s="2" t="str">
        <f>HYPERLINK("http://bbs.12365auto.com/postcontent.aspx?tId=194443","六年磨一剑，丰田汉兰达全面升级归来")</f>
        <v>六年磨一剑，丰田汉兰达全面升级归来</v>
      </c>
      <c r="C5815" s="2" t="s">
        <v>13</v>
      </c>
      <c r="D5815" s="2" t="s">
        <v>12</v>
      </c>
      <c r="E5815" s="2" t="s">
        <v>27</v>
      </c>
      <c r="F5815" s="2" t="str">
        <f>HYPERLINK("http://bbs.12365auto.com/postcontent.aspx?tId=194443","http://bbs.12365auto.com/postcontent.aspx?tId=194443")</f>
        <v>http://bbs.12365auto.com/postcontent.aspx?tId=194443</v>
      </c>
      <c r="G5815" s="2"/>
      <c r="H5815" s="2" t="s">
        <v>8110</v>
      </c>
      <c r="I5815" s="2" t="s">
        <v>15</v>
      </c>
      <c r="J5815" s="2" t="s">
        <v>1960</v>
      </c>
      <c r="K5815" s="2" t="s">
        <v>8107</v>
      </c>
      <c r="L5815" s="2">
        <f t="shared" si="90"/>
        <v>150</v>
      </c>
    </row>
    <row r="5816" spans="1:12" ht="25" customHeight="1">
      <c r="A5816" s="2" t="s">
        <v>12</v>
      </c>
      <c r="B5816" s="2" t="str">
        <f>HYPERLINK("http://m.12365auto.com/bbs/postcontent.aspx?tID=194444","雷凌or卡罗拉？这是个问题吗？这还真是个问题")</f>
        <v>雷凌or卡罗拉？这是个问题吗？这还真是个问题</v>
      </c>
      <c r="C5816" s="2" t="s">
        <v>13</v>
      </c>
      <c r="D5816" s="2" t="s">
        <v>23</v>
      </c>
      <c r="E5816" s="2"/>
      <c r="F5816" s="2" t="str">
        <f>HYPERLINK("http://m.12365auto.com/bbs/postcontent.aspx?tID=194444","http://m.12365auto.com/bbs/postcontent.aspx?tID=194444")</f>
        <v>http://m.12365auto.com/bbs/postcontent.aspx?tID=194444</v>
      </c>
      <c r="G5816" s="2"/>
      <c r="H5816" s="2" t="s">
        <v>8109</v>
      </c>
      <c r="I5816" s="2" t="s">
        <v>15</v>
      </c>
      <c r="J5816" s="2" t="s">
        <v>1960</v>
      </c>
      <c r="K5816" s="2" t="s">
        <v>8107</v>
      </c>
      <c r="L5816" s="2">
        <f t="shared" si="90"/>
        <v>150</v>
      </c>
    </row>
    <row r="5817" spans="1:12" ht="25" customHeight="1">
      <c r="A5817" s="2" t="s">
        <v>12</v>
      </c>
      <c r="B5817" s="2" t="str">
        <f>HYPERLINK("http://m.12365auto.com/bbs/postcontent.aspx?tID=194443","六年磨一剑，丰田汉兰达全面升级归来")</f>
        <v>六年磨一剑，丰田汉兰达全面升级归来</v>
      </c>
      <c r="C5817" s="2" t="s">
        <v>13</v>
      </c>
      <c r="D5817" s="2" t="s">
        <v>23</v>
      </c>
      <c r="E5817" s="2"/>
      <c r="F5817" s="2" t="str">
        <f>HYPERLINK("http://m.12365auto.com/bbs/postcontent.aspx?tID=194443","http://m.12365auto.com/bbs/postcontent.aspx?tID=194443")</f>
        <v>http://m.12365auto.com/bbs/postcontent.aspx?tID=194443</v>
      </c>
      <c r="G5817" s="2"/>
      <c r="H5817" s="2" t="s">
        <v>8110</v>
      </c>
      <c r="I5817" s="2" t="s">
        <v>15</v>
      </c>
      <c r="J5817" s="2" t="s">
        <v>1960</v>
      </c>
      <c r="K5817" s="2" t="s">
        <v>8107</v>
      </c>
      <c r="L5817" s="2">
        <f t="shared" si="90"/>
        <v>150</v>
      </c>
    </row>
    <row r="5818" spans="1:12" ht="25" customHeight="1">
      <c r="A5818" s="2" t="s">
        <v>12</v>
      </c>
      <c r="B5818" s="2" t="str">
        <f>HYPERLINK("http://bbs.12365auto.com/postcontent.aspx?tID=194442","怀念科比，那些年拥有的豪车")</f>
        <v>怀念科比，那些年拥有的豪车</v>
      </c>
      <c r="C5818" s="2" t="s">
        <v>13</v>
      </c>
      <c r="D5818" s="2" t="s">
        <v>12</v>
      </c>
      <c r="E5818" s="2" t="s">
        <v>28</v>
      </c>
      <c r="F5818" s="2" t="str">
        <f>HYPERLINK("http://bbs.12365auto.com/postcontent.aspx?tID=194442","http://bbs.12365auto.com/postcontent.aspx?tID=194442")</f>
        <v>http://bbs.12365auto.com/postcontent.aspx?tID=194442</v>
      </c>
      <c r="G5818" s="2"/>
      <c r="H5818" s="2" t="s">
        <v>8111</v>
      </c>
      <c r="I5818" s="2" t="s">
        <v>15</v>
      </c>
      <c r="J5818" s="2" t="s">
        <v>1960</v>
      </c>
      <c r="K5818" s="2" t="s">
        <v>8112</v>
      </c>
      <c r="L5818" s="2">
        <f t="shared" si="90"/>
        <v>150</v>
      </c>
    </row>
    <row r="5819" spans="1:12" ht="25" customHeight="1">
      <c r="A5819" s="2" t="s">
        <v>12</v>
      </c>
      <c r="B5819" s="2" t="str">
        <f>HYPERLINK("http://bbs.12365auto.com/postcontent.aspx?tID=194441","这才是真正的马自达，配直列6缸+后驱+8AT，或直接竞争宝马3系")</f>
        <v>这才是真正的马自达，配直列6缸+后驱+8AT，或直接竞争宝马3系</v>
      </c>
      <c r="C5819" s="2" t="s">
        <v>13</v>
      </c>
      <c r="D5819" s="2" t="s">
        <v>12</v>
      </c>
      <c r="E5819" s="2" t="s">
        <v>28</v>
      </c>
      <c r="F5819" s="2" t="str">
        <f>HYPERLINK("http://bbs.12365auto.com/postcontent.aspx?tID=194441","http://bbs.12365auto.com/postcontent.aspx?tID=194441")</f>
        <v>http://bbs.12365auto.com/postcontent.aspx?tID=194441</v>
      </c>
      <c r="G5819" s="2"/>
      <c r="H5819" s="2" t="s">
        <v>8113</v>
      </c>
      <c r="I5819" s="2" t="s">
        <v>15</v>
      </c>
      <c r="J5819" s="2" t="s">
        <v>1960</v>
      </c>
      <c r="K5819" s="2" t="s">
        <v>8112</v>
      </c>
      <c r="L5819" s="2">
        <f t="shared" si="90"/>
        <v>150</v>
      </c>
    </row>
    <row r="5820" spans="1:12" ht="25" customHeight="1">
      <c r="A5820" s="2" t="s">
        <v>12</v>
      </c>
      <c r="B5820" s="2" t="str">
        <f>HYPERLINK("http://bbs.12365auto.com/postcontent.aspx?tId=194442","怀念科比，那些年拥有的豪车")</f>
        <v>怀念科比，那些年拥有的豪车</v>
      </c>
      <c r="C5820" s="2" t="s">
        <v>13</v>
      </c>
      <c r="D5820" s="2" t="s">
        <v>12</v>
      </c>
      <c r="E5820" s="2" t="s">
        <v>27</v>
      </c>
      <c r="F5820" s="2" t="str">
        <f>HYPERLINK("http://bbs.12365auto.com/postcontent.aspx?tId=194442","http://bbs.12365auto.com/postcontent.aspx?tId=194442")</f>
        <v>http://bbs.12365auto.com/postcontent.aspx?tId=194442</v>
      </c>
      <c r="G5820" s="2"/>
      <c r="H5820" s="2" t="s">
        <v>8114</v>
      </c>
      <c r="I5820" s="2" t="s">
        <v>15</v>
      </c>
      <c r="J5820" s="2" t="s">
        <v>1960</v>
      </c>
      <c r="K5820" s="2" t="s">
        <v>8112</v>
      </c>
      <c r="L5820" s="2">
        <f t="shared" si="90"/>
        <v>150</v>
      </c>
    </row>
    <row r="5821" spans="1:12" ht="25" customHeight="1">
      <c r="A5821" s="2" t="s">
        <v>12</v>
      </c>
      <c r="B5821" s="2" t="str">
        <f>HYPERLINK("http://bbs.12365auto.com/postcontent.aspx?tId=194441","这才是真正的马自达，配直列6缸+后驱+8AT，或直接竞争宝马3系")</f>
        <v>这才是真正的马自达，配直列6缸+后驱+8AT，或直接竞争宝马3系</v>
      </c>
      <c r="C5821" s="2" t="s">
        <v>13</v>
      </c>
      <c r="D5821" s="2" t="s">
        <v>12</v>
      </c>
      <c r="E5821" s="2" t="s">
        <v>27</v>
      </c>
      <c r="F5821" s="2" t="str">
        <f>HYPERLINK("http://bbs.12365auto.com/postcontent.aspx?tId=194441","http://bbs.12365auto.com/postcontent.aspx?tId=194441")</f>
        <v>http://bbs.12365auto.com/postcontent.aspx?tId=194441</v>
      </c>
      <c r="G5821" s="2"/>
      <c r="H5821" s="2" t="s">
        <v>2934</v>
      </c>
      <c r="I5821" s="2" t="s">
        <v>15</v>
      </c>
      <c r="J5821" s="2" t="s">
        <v>1960</v>
      </c>
      <c r="K5821" s="2" t="s">
        <v>8112</v>
      </c>
      <c r="L5821" s="2">
        <f t="shared" si="90"/>
        <v>150</v>
      </c>
    </row>
    <row r="5822" spans="1:12" ht="25" customHeight="1">
      <c r="A5822" s="2" t="s">
        <v>12</v>
      </c>
      <c r="B5822" s="2" t="str">
        <f>HYPERLINK("http://m.12365auto.com/bbs/postcontent.aspx?tID=194441","这才是真正的马自达，配直列6缸+后驱+8AT，或直接竞争宝马3系")</f>
        <v>这才是真正的马自达，配直列6缸+后驱+8AT，或直接竞争宝马3系</v>
      </c>
      <c r="C5822" s="2" t="s">
        <v>13</v>
      </c>
      <c r="D5822" s="2" t="s">
        <v>23</v>
      </c>
      <c r="E5822" s="2"/>
      <c r="F5822" s="2" t="str">
        <f>HYPERLINK("http://m.12365auto.com/bbs/postcontent.aspx?tID=194441","http://m.12365auto.com/bbs/postcontent.aspx?tID=194441")</f>
        <v>http://m.12365auto.com/bbs/postcontent.aspx?tID=194441</v>
      </c>
      <c r="G5822" s="2"/>
      <c r="H5822" s="2" t="s">
        <v>2934</v>
      </c>
      <c r="I5822" s="2" t="s">
        <v>15</v>
      </c>
      <c r="J5822" s="2" t="s">
        <v>1960</v>
      </c>
      <c r="K5822" s="2" t="s">
        <v>8112</v>
      </c>
      <c r="L5822" s="2">
        <f t="shared" si="90"/>
        <v>150</v>
      </c>
    </row>
    <row r="5823" spans="1:12" ht="25" customHeight="1">
      <c r="A5823" s="2" t="s">
        <v>12</v>
      </c>
      <c r="B5823" s="2" t="str">
        <f>HYPERLINK("http://m.12365auto.com/bbs/postcontent.aspx?tID=194442","怀念科比，那些年拥有的豪车")</f>
        <v>怀念科比，那些年拥有的豪车</v>
      </c>
      <c r="C5823" s="2" t="s">
        <v>13</v>
      </c>
      <c r="D5823" s="2" t="s">
        <v>23</v>
      </c>
      <c r="E5823" s="2"/>
      <c r="F5823" s="2" t="str">
        <f>HYPERLINK("http://m.12365auto.com/bbs/postcontent.aspx?tID=194442","http://m.12365auto.com/bbs/postcontent.aspx?tID=194442")</f>
        <v>http://m.12365auto.com/bbs/postcontent.aspx?tID=194442</v>
      </c>
      <c r="G5823" s="2"/>
      <c r="H5823" s="2" t="s">
        <v>8114</v>
      </c>
      <c r="I5823" s="2" t="s">
        <v>15</v>
      </c>
      <c r="J5823" s="2" t="s">
        <v>1960</v>
      </c>
      <c r="K5823" s="2" t="s">
        <v>8112</v>
      </c>
      <c r="L5823" s="2">
        <f t="shared" si="90"/>
        <v>150</v>
      </c>
    </row>
    <row r="5824" spans="1:12" ht="25" customHeight="1">
      <c r="A5824" s="2" t="s">
        <v>12</v>
      </c>
      <c r="B5824" s="2" t="str">
        <f>HYPERLINK("http://bbs.12365auto.com/postcontent.aspx?tID=194439","在辉腾辉昂相继失败后，不服输的大众，再次推出辉道")</f>
        <v>在辉腾辉昂相继失败后，不服输的大众，再次推出辉道</v>
      </c>
      <c r="C5824" s="2" t="s">
        <v>13</v>
      </c>
      <c r="D5824" s="2" t="s">
        <v>12</v>
      </c>
      <c r="E5824" s="2" t="s">
        <v>28</v>
      </c>
      <c r="F5824" s="2" t="str">
        <f>HYPERLINK("http://bbs.12365auto.com/postcontent.aspx?tID=194439","http://bbs.12365auto.com/postcontent.aspx?tID=194439")</f>
        <v>http://bbs.12365auto.com/postcontent.aspx?tID=194439</v>
      </c>
      <c r="G5824" s="2"/>
      <c r="H5824" s="2" t="s">
        <v>8115</v>
      </c>
      <c r="I5824" s="2" t="s">
        <v>15</v>
      </c>
      <c r="J5824" s="2" t="s">
        <v>1960</v>
      </c>
      <c r="K5824" s="2" t="s">
        <v>8116</v>
      </c>
      <c r="L5824" s="2">
        <f t="shared" si="90"/>
        <v>150</v>
      </c>
    </row>
    <row r="5825" spans="1:12" ht="25" customHeight="1">
      <c r="A5825" s="2" t="s">
        <v>12</v>
      </c>
      <c r="B5825" s="2" t="str">
        <f>HYPERLINK("http://bbs.12365auto.com/postcontent.aspx?tID=194440","这才是撩妹车，连跌7万，年轻人都抢着要，开出去比保时捷还拉风")</f>
        <v>这才是撩妹车，连跌7万，年轻人都抢着要，开出去比保时捷还拉风</v>
      </c>
      <c r="C5825" s="2" t="s">
        <v>13</v>
      </c>
      <c r="D5825" s="2" t="s">
        <v>12</v>
      </c>
      <c r="E5825" s="2" t="s">
        <v>28</v>
      </c>
      <c r="F5825" s="2" t="str">
        <f>HYPERLINK("http://bbs.12365auto.com/postcontent.aspx?tID=194440","http://bbs.12365auto.com/postcontent.aspx?tID=194440")</f>
        <v>http://bbs.12365auto.com/postcontent.aspx?tID=194440</v>
      </c>
      <c r="G5825" s="2"/>
      <c r="H5825" s="2" t="s">
        <v>8117</v>
      </c>
      <c r="I5825" s="2" t="s">
        <v>15</v>
      </c>
      <c r="J5825" s="2" t="s">
        <v>1960</v>
      </c>
      <c r="K5825" s="2" t="s">
        <v>8116</v>
      </c>
      <c r="L5825" s="2">
        <f t="shared" si="90"/>
        <v>150</v>
      </c>
    </row>
    <row r="5826" spans="1:12" ht="25" customHeight="1">
      <c r="A5826" s="2" t="s">
        <v>12</v>
      </c>
      <c r="B5826" s="2" t="str">
        <f>HYPERLINK("http://bbs.12365auto.com/postcontent.aspx?tId=194440","这才是撩妹车，连跌7万，年轻人都抢着要，开出去比保时捷还拉风")</f>
        <v>这才是撩妹车，连跌7万，年轻人都抢着要，开出去比保时捷还拉风</v>
      </c>
      <c r="C5826" s="2" t="s">
        <v>13</v>
      </c>
      <c r="D5826" s="2" t="s">
        <v>12</v>
      </c>
      <c r="E5826" s="2" t="s">
        <v>27</v>
      </c>
      <c r="F5826" s="2" t="str">
        <f>HYPERLINK("http://bbs.12365auto.com/postcontent.aspx?tId=194440","http://bbs.12365auto.com/postcontent.aspx?tId=194440")</f>
        <v>http://bbs.12365auto.com/postcontent.aspx?tId=194440</v>
      </c>
      <c r="G5826" s="2"/>
      <c r="H5826" s="2" t="s">
        <v>8118</v>
      </c>
      <c r="I5826" s="2" t="s">
        <v>15</v>
      </c>
      <c r="J5826" s="2" t="s">
        <v>1960</v>
      </c>
      <c r="K5826" s="2" t="s">
        <v>8116</v>
      </c>
      <c r="L5826" s="2">
        <f t="shared" si="90"/>
        <v>150</v>
      </c>
    </row>
    <row r="5827" spans="1:12" ht="25" customHeight="1">
      <c r="A5827" s="2" t="s">
        <v>12</v>
      </c>
      <c r="B5827" s="2" t="str">
        <f>HYPERLINK("http://bbs.12365auto.com/postcontent.aspx?tId=194439","在辉腾辉昂相继失败后，不服输的大众，再次推出辉道")</f>
        <v>在辉腾辉昂相继失败后，不服输的大众，再次推出辉道</v>
      </c>
      <c r="C5827" s="2" t="s">
        <v>13</v>
      </c>
      <c r="D5827" s="2" t="s">
        <v>12</v>
      </c>
      <c r="E5827" s="2" t="s">
        <v>27</v>
      </c>
      <c r="F5827" s="2" t="str">
        <f>HYPERLINK("http://bbs.12365auto.com/postcontent.aspx?tId=194439","http://bbs.12365auto.com/postcontent.aspx?tId=194439")</f>
        <v>http://bbs.12365auto.com/postcontent.aspx?tId=194439</v>
      </c>
      <c r="G5827" s="2"/>
      <c r="H5827" s="2" t="s">
        <v>7718</v>
      </c>
      <c r="I5827" s="2" t="s">
        <v>15</v>
      </c>
      <c r="J5827" s="2" t="s">
        <v>1960</v>
      </c>
      <c r="K5827" s="2" t="s">
        <v>8116</v>
      </c>
      <c r="L5827" s="2">
        <f t="shared" ref="L5827:L5890" si="91">LEN(H5827)</f>
        <v>150</v>
      </c>
    </row>
    <row r="5828" spans="1:12" ht="25" customHeight="1">
      <c r="A5828" s="2" t="s">
        <v>12</v>
      </c>
      <c r="B5828" s="2" t="str">
        <f>HYPERLINK("http://m.12365auto.com/bbs/postcontent.aspx?tID=194440","这才是撩妹车，连跌7万，年轻人都抢着要，开出去比保时捷还拉风")</f>
        <v>这才是撩妹车，连跌7万，年轻人都抢着要，开出去比保时捷还拉风</v>
      </c>
      <c r="C5828" s="2" t="s">
        <v>13</v>
      </c>
      <c r="D5828" s="2" t="s">
        <v>23</v>
      </c>
      <c r="E5828" s="2"/>
      <c r="F5828" s="2" t="str">
        <f>HYPERLINK("http://m.12365auto.com/bbs/postcontent.aspx?tID=194440","http://m.12365auto.com/bbs/postcontent.aspx?tID=194440")</f>
        <v>http://m.12365auto.com/bbs/postcontent.aspx?tID=194440</v>
      </c>
      <c r="G5828" s="2"/>
      <c r="H5828" s="2" t="s">
        <v>8118</v>
      </c>
      <c r="I5828" s="2" t="s">
        <v>15</v>
      </c>
      <c r="J5828" s="2" t="s">
        <v>1960</v>
      </c>
      <c r="K5828" s="2" t="s">
        <v>8116</v>
      </c>
      <c r="L5828" s="2">
        <f t="shared" si="91"/>
        <v>150</v>
      </c>
    </row>
    <row r="5829" spans="1:12" ht="25" customHeight="1">
      <c r="A5829" s="2" t="s">
        <v>12</v>
      </c>
      <c r="B5829" s="2" t="str">
        <f>HYPERLINK("http://m.12365auto.com/bbs/postcontent.aspx?tID=194439","在辉腾辉昂相继失败后，不服输的大众，再次推出辉道")</f>
        <v>在辉腾辉昂相继失败后，不服输的大众，再次推出辉道</v>
      </c>
      <c r="C5829" s="2" t="s">
        <v>13</v>
      </c>
      <c r="D5829" s="2" t="s">
        <v>23</v>
      </c>
      <c r="E5829" s="2"/>
      <c r="F5829" s="2" t="str">
        <f>HYPERLINK("http://m.12365auto.com/bbs/postcontent.aspx?tID=194439","http://m.12365auto.com/bbs/postcontent.aspx?tID=194439")</f>
        <v>http://m.12365auto.com/bbs/postcontent.aspx?tID=194439</v>
      </c>
      <c r="G5829" s="2"/>
      <c r="H5829" s="2" t="s">
        <v>7718</v>
      </c>
      <c r="I5829" s="2" t="s">
        <v>15</v>
      </c>
      <c r="J5829" s="2" t="s">
        <v>1960</v>
      </c>
      <c r="K5829" s="2" t="s">
        <v>8116</v>
      </c>
      <c r="L5829" s="2">
        <f t="shared" si="91"/>
        <v>150</v>
      </c>
    </row>
    <row r="5830" spans="1:12" ht="25" customHeight="1">
      <c r="A5830" s="2" t="s">
        <v>12</v>
      </c>
      <c r="B5830" s="2" t="str">
        <f>HYPERLINK("http://bbs.12365auto.com/postcontent.aspx?tID=194438","这款车可不能再喊贵了！新宝骏RS-3 三千工资也能养起")</f>
        <v>这款车可不能再喊贵了！新宝骏RS-3 三千工资也能养起</v>
      </c>
      <c r="C5830" s="2" t="s">
        <v>13</v>
      </c>
      <c r="D5830" s="2" t="s">
        <v>12</v>
      </c>
      <c r="E5830" s="2" t="s">
        <v>28</v>
      </c>
      <c r="F5830" s="2" t="str">
        <f>HYPERLINK("http://bbs.12365auto.com/postcontent.aspx?tID=194438","http://bbs.12365auto.com/postcontent.aspx?tID=194438")</f>
        <v>http://bbs.12365auto.com/postcontent.aspx?tID=194438</v>
      </c>
      <c r="G5830" s="2"/>
      <c r="H5830" s="2" t="s">
        <v>8119</v>
      </c>
      <c r="I5830" s="2" t="s">
        <v>15</v>
      </c>
      <c r="J5830" s="2" t="s">
        <v>1960</v>
      </c>
      <c r="K5830" s="2" t="s">
        <v>8120</v>
      </c>
      <c r="L5830" s="2">
        <f t="shared" si="91"/>
        <v>150</v>
      </c>
    </row>
    <row r="5831" spans="1:12" ht="25" customHeight="1">
      <c r="A5831" s="2" t="s">
        <v>12</v>
      </c>
      <c r="B5831" s="2" t="str">
        <f>HYPERLINK("http://bbs.12365auto.com/postcontent.aspx?tID=194436","丰田兰德酷路泽“毒液版”，全黑车身、獠牙式格栅，配V8发动机")</f>
        <v>丰田兰德酷路泽“毒液版”，全黑车身、獠牙式格栅，配V8发动机</v>
      </c>
      <c r="C5831" s="2" t="s">
        <v>13</v>
      </c>
      <c r="D5831" s="2" t="s">
        <v>12</v>
      </c>
      <c r="E5831" s="2" t="s">
        <v>28</v>
      </c>
      <c r="F5831" s="2" t="str">
        <f>HYPERLINK("http://bbs.12365auto.com/postcontent.aspx?tID=194436","http://bbs.12365auto.com/postcontent.aspx?tID=194436")</f>
        <v>http://bbs.12365auto.com/postcontent.aspx?tID=194436</v>
      </c>
      <c r="G5831" s="2"/>
      <c r="H5831" s="2" t="s">
        <v>8121</v>
      </c>
      <c r="I5831" s="2" t="s">
        <v>15</v>
      </c>
      <c r="J5831" s="2" t="s">
        <v>1960</v>
      </c>
      <c r="K5831" s="2" t="s">
        <v>8120</v>
      </c>
      <c r="L5831" s="2">
        <f t="shared" si="91"/>
        <v>150</v>
      </c>
    </row>
    <row r="5832" spans="1:12" ht="25" customHeight="1">
      <c r="A5832" s="2" t="s">
        <v>12</v>
      </c>
      <c r="B5832" s="2" t="str">
        <f>HYPERLINK("http://bbs.12365auto.com/postcontent.aspx?tID=194437","国产后直降15万，这豪车丐版就配2.0T+8AT，比奥迪A4L更值")</f>
        <v>国产后直降15万，这豪车丐版就配2.0T+8AT，比奥迪A4L更值</v>
      </c>
      <c r="C5832" s="2" t="s">
        <v>13</v>
      </c>
      <c r="D5832" s="2" t="s">
        <v>12</v>
      </c>
      <c r="E5832" s="2" t="s">
        <v>28</v>
      </c>
      <c r="F5832" s="2" t="str">
        <f>HYPERLINK("http://bbs.12365auto.com/postcontent.aspx?tID=194437","http://bbs.12365auto.com/postcontent.aspx?tID=194437")</f>
        <v>http://bbs.12365auto.com/postcontent.aspx?tID=194437</v>
      </c>
      <c r="G5832" s="2"/>
      <c r="H5832" s="2" t="s">
        <v>8122</v>
      </c>
      <c r="I5832" s="2" t="s">
        <v>15</v>
      </c>
      <c r="J5832" s="2" t="s">
        <v>1960</v>
      </c>
      <c r="K5832" s="2" t="s">
        <v>8120</v>
      </c>
      <c r="L5832" s="2">
        <f t="shared" si="91"/>
        <v>150</v>
      </c>
    </row>
    <row r="5833" spans="1:12" ht="25" customHeight="1">
      <c r="A5833" s="2" t="s">
        <v>12</v>
      </c>
      <c r="B5833" s="2" t="str">
        <f>HYPERLINK("http://bbs.12365auto.com/postcontent.aspx?tId=194437","国产后直降15万，这豪车丐版就配2.0T+8AT，比奥迪A4L更值")</f>
        <v>国产后直降15万，这豪车丐版就配2.0T+8AT，比奥迪A4L更值</v>
      </c>
      <c r="C5833" s="2" t="s">
        <v>13</v>
      </c>
      <c r="D5833" s="2" t="s">
        <v>12</v>
      </c>
      <c r="E5833" s="2" t="s">
        <v>27</v>
      </c>
      <c r="F5833" s="2" t="str">
        <f>HYPERLINK("http://bbs.12365auto.com/postcontent.aspx?tId=194437","http://bbs.12365auto.com/postcontent.aspx?tId=194437")</f>
        <v>http://bbs.12365auto.com/postcontent.aspx?tId=194437</v>
      </c>
      <c r="G5833" s="2"/>
      <c r="H5833" s="2" t="s">
        <v>8123</v>
      </c>
      <c r="I5833" s="2" t="s">
        <v>15</v>
      </c>
      <c r="J5833" s="2" t="s">
        <v>1960</v>
      </c>
      <c r="K5833" s="2" t="s">
        <v>8120</v>
      </c>
      <c r="L5833" s="2">
        <f t="shared" si="91"/>
        <v>150</v>
      </c>
    </row>
    <row r="5834" spans="1:12" ht="25" customHeight="1">
      <c r="A5834" s="2" t="s">
        <v>12</v>
      </c>
      <c r="B5834" s="2" t="str">
        <f>HYPERLINK("http://bbs.12365auto.com/postcontent.aspx?tId=194438","这款车可不能再喊贵了！新宝骏RS-3 三千工资也能养起")</f>
        <v>这款车可不能再喊贵了！新宝骏RS-3 三千工资也能养起</v>
      </c>
      <c r="C5834" s="2" t="s">
        <v>13</v>
      </c>
      <c r="D5834" s="2" t="s">
        <v>12</v>
      </c>
      <c r="E5834" s="2" t="s">
        <v>27</v>
      </c>
      <c r="F5834" s="2" t="str">
        <f>HYPERLINK("http://bbs.12365auto.com/postcontent.aspx?tId=194438","http://bbs.12365auto.com/postcontent.aspx?tId=194438")</f>
        <v>http://bbs.12365auto.com/postcontent.aspx?tId=194438</v>
      </c>
      <c r="G5834" s="2"/>
      <c r="H5834" s="2" t="s">
        <v>8124</v>
      </c>
      <c r="I5834" s="2" t="s">
        <v>15</v>
      </c>
      <c r="J5834" s="2" t="s">
        <v>1960</v>
      </c>
      <c r="K5834" s="2" t="s">
        <v>8120</v>
      </c>
      <c r="L5834" s="2">
        <f t="shared" si="91"/>
        <v>150</v>
      </c>
    </row>
    <row r="5835" spans="1:12" ht="25" customHeight="1">
      <c r="A5835" s="2" t="s">
        <v>12</v>
      </c>
      <c r="B5835" s="2" t="str">
        <f>HYPERLINK("http://bbs.12365auto.com/postcontent.aspx?tId=194436","丰田兰德酷路泽“毒液版”，全黑车身、獠牙式格栅，配V8发动机")</f>
        <v>丰田兰德酷路泽“毒液版”，全黑车身、獠牙式格栅，配V8发动机</v>
      </c>
      <c r="C5835" s="2" t="s">
        <v>13</v>
      </c>
      <c r="D5835" s="2" t="s">
        <v>12</v>
      </c>
      <c r="E5835" s="2" t="s">
        <v>27</v>
      </c>
      <c r="F5835" s="2" t="str">
        <f>HYPERLINK("http://bbs.12365auto.com/postcontent.aspx?tId=194436","http://bbs.12365auto.com/postcontent.aspx?tId=194436")</f>
        <v>http://bbs.12365auto.com/postcontent.aspx?tId=194436</v>
      </c>
      <c r="G5835" s="2"/>
      <c r="H5835" s="2" t="s">
        <v>8125</v>
      </c>
      <c r="I5835" s="2" t="s">
        <v>15</v>
      </c>
      <c r="J5835" s="2" t="s">
        <v>1960</v>
      </c>
      <c r="K5835" s="2" t="s">
        <v>8120</v>
      </c>
      <c r="L5835" s="2">
        <f t="shared" si="91"/>
        <v>150</v>
      </c>
    </row>
    <row r="5836" spans="1:12" ht="25" customHeight="1">
      <c r="A5836" s="2" t="s">
        <v>12</v>
      </c>
      <c r="B5836" s="2" t="str">
        <f>HYPERLINK("http://m.12365auto.com/bbs/postcontent.aspx?tID=194438","这款车可不能再喊贵了！新宝骏RS-3 三千工资也能养起")</f>
        <v>这款车可不能再喊贵了！新宝骏RS-3 三千工资也能养起</v>
      </c>
      <c r="C5836" s="2" t="s">
        <v>13</v>
      </c>
      <c r="D5836" s="2" t="s">
        <v>23</v>
      </c>
      <c r="E5836" s="2"/>
      <c r="F5836" s="2" t="str">
        <f>HYPERLINK("http://m.12365auto.com/bbs/postcontent.aspx?tID=194438","http://m.12365auto.com/bbs/postcontent.aspx?tID=194438")</f>
        <v>http://m.12365auto.com/bbs/postcontent.aspx?tID=194438</v>
      </c>
      <c r="G5836" s="2"/>
      <c r="H5836" s="2" t="s">
        <v>8124</v>
      </c>
      <c r="I5836" s="2" t="s">
        <v>15</v>
      </c>
      <c r="J5836" s="2" t="s">
        <v>1960</v>
      </c>
      <c r="K5836" s="2" t="s">
        <v>8120</v>
      </c>
      <c r="L5836" s="2">
        <f t="shared" si="91"/>
        <v>150</v>
      </c>
    </row>
    <row r="5837" spans="1:12" ht="25" customHeight="1">
      <c r="A5837" s="2" t="s">
        <v>12</v>
      </c>
      <c r="B5837" s="2" t="str">
        <f>HYPERLINK("http://m.12365auto.com/bbs/postcontent.aspx?tID=194436","丰田兰德酷路泽“毒液版”，全黑车身、獠牙式格栅，配V8发动机")</f>
        <v>丰田兰德酷路泽“毒液版”，全黑车身、獠牙式格栅，配V8发动机</v>
      </c>
      <c r="C5837" s="2" t="s">
        <v>13</v>
      </c>
      <c r="D5837" s="2" t="s">
        <v>23</v>
      </c>
      <c r="E5837" s="2"/>
      <c r="F5837" s="2" t="str">
        <f>HYPERLINK("http://m.12365auto.com/bbs/postcontent.aspx?tID=194436","http://m.12365auto.com/bbs/postcontent.aspx?tID=194436")</f>
        <v>http://m.12365auto.com/bbs/postcontent.aspx?tID=194436</v>
      </c>
      <c r="G5837" s="2"/>
      <c r="H5837" s="2" t="s">
        <v>8125</v>
      </c>
      <c r="I5837" s="2" t="s">
        <v>15</v>
      </c>
      <c r="J5837" s="2" t="s">
        <v>1960</v>
      </c>
      <c r="K5837" s="2" t="s">
        <v>8120</v>
      </c>
      <c r="L5837" s="2">
        <f t="shared" si="91"/>
        <v>150</v>
      </c>
    </row>
    <row r="5838" spans="1:12" ht="25" customHeight="1">
      <c r="A5838" s="2" t="s">
        <v>12</v>
      </c>
      <c r="B5838" s="2" t="str">
        <f>HYPERLINK("http://m.12365auto.com/bbs/postcontent.aspx?tID=194437","国产后直降15万，这豪车丐版就配2.0T+8AT，比奥迪A4L更值")</f>
        <v>国产后直降15万，这豪车丐版就配2.0T+8AT，比奥迪A4L更值</v>
      </c>
      <c r="C5838" s="2" t="s">
        <v>13</v>
      </c>
      <c r="D5838" s="2" t="s">
        <v>23</v>
      </c>
      <c r="E5838" s="2"/>
      <c r="F5838" s="2" t="str">
        <f>HYPERLINK("http://m.12365auto.com/bbs/postcontent.aspx?tID=194437","http://m.12365auto.com/bbs/postcontent.aspx?tID=194437")</f>
        <v>http://m.12365auto.com/bbs/postcontent.aspx?tID=194437</v>
      </c>
      <c r="G5838" s="2"/>
      <c r="H5838" s="2" t="s">
        <v>8123</v>
      </c>
      <c r="I5838" s="2" t="s">
        <v>15</v>
      </c>
      <c r="J5838" s="2" t="s">
        <v>1960</v>
      </c>
      <c r="K5838" s="2" t="s">
        <v>8120</v>
      </c>
      <c r="L5838" s="2">
        <f t="shared" si="91"/>
        <v>150</v>
      </c>
    </row>
    <row r="5839" spans="1:12" ht="25" customHeight="1">
      <c r="A5839" s="2" t="s">
        <v>12</v>
      </c>
      <c r="B5839" s="2" t="str">
        <f>HYPERLINK("http://bbs.12365auto.com/postcontent.aspx?tID=194435","保时捷Taycan在美国起火爆炸：现场一片狼藉，官方已介入调查")</f>
        <v>保时捷Taycan在美国起火爆炸：现场一片狼藉，官方已介入调查</v>
      </c>
      <c r="C5839" s="2" t="s">
        <v>13</v>
      </c>
      <c r="D5839" s="2" t="s">
        <v>12</v>
      </c>
      <c r="E5839" s="2" t="s">
        <v>28</v>
      </c>
      <c r="F5839" s="2" t="str">
        <f>HYPERLINK("http://bbs.12365auto.com/postcontent.aspx?tID=194435","http://bbs.12365auto.com/postcontent.aspx?tID=194435")</f>
        <v>http://bbs.12365auto.com/postcontent.aspx?tID=194435</v>
      </c>
      <c r="G5839" s="2"/>
      <c r="H5839" s="2" t="s">
        <v>8126</v>
      </c>
      <c r="I5839" s="2" t="s">
        <v>15</v>
      </c>
      <c r="J5839" s="2" t="s">
        <v>1960</v>
      </c>
      <c r="K5839" s="2" t="s">
        <v>8127</v>
      </c>
      <c r="L5839" s="2">
        <f t="shared" si="91"/>
        <v>150</v>
      </c>
    </row>
    <row r="5840" spans="1:12" ht="25" customHeight="1">
      <c r="A5840" s="2" t="s">
        <v>12</v>
      </c>
      <c r="B5840" s="2" t="str">
        <f>HYPERLINK("http://bbs.12365auto.com/postcontent.aspx?tId=194435","保时捷Taycan在美国起火爆炸：现场一片狼藉，官方已介入调查")</f>
        <v>保时捷Taycan在美国起火爆炸：现场一片狼藉，官方已介入调查</v>
      </c>
      <c r="C5840" s="2" t="s">
        <v>13</v>
      </c>
      <c r="D5840" s="2" t="s">
        <v>12</v>
      </c>
      <c r="E5840" s="2" t="s">
        <v>27</v>
      </c>
      <c r="F5840" s="2" t="str">
        <f>HYPERLINK("http://bbs.12365auto.com/postcontent.aspx?tId=194435","http://bbs.12365auto.com/postcontent.aspx?tId=194435")</f>
        <v>http://bbs.12365auto.com/postcontent.aspx?tId=194435</v>
      </c>
      <c r="G5840" s="2"/>
      <c r="H5840" s="2" t="s">
        <v>8128</v>
      </c>
      <c r="I5840" s="2" t="s">
        <v>15</v>
      </c>
      <c r="J5840" s="2" t="s">
        <v>1960</v>
      </c>
      <c r="K5840" s="2" t="s">
        <v>8127</v>
      </c>
      <c r="L5840" s="2">
        <f t="shared" si="91"/>
        <v>150</v>
      </c>
    </row>
    <row r="5841" spans="1:12" ht="25" customHeight="1">
      <c r="A5841" s="2" t="s">
        <v>12</v>
      </c>
      <c r="B5841" s="2" t="str">
        <f>HYPERLINK("http://m.12365auto.com/bbs/postcontent.aspx?tID=194435","保时捷Taycan在美国起火爆炸：现场一片狼藉，官方已介入调查")</f>
        <v>保时捷Taycan在美国起火爆炸：现场一片狼藉，官方已介入调查</v>
      </c>
      <c r="C5841" s="2" t="s">
        <v>13</v>
      </c>
      <c r="D5841" s="2" t="s">
        <v>23</v>
      </c>
      <c r="E5841" s="2"/>
      <c r="F5841" s="2" t="str">
        <f>HYPERLINK("http://m.12365auto.com/bbs/postcontent.aspx?tID=194435","http://m.12365auto.com/bbs/postcontent.aspx?tID=194435")</f>
        <v>http://m.12365auto.com/bbs/postcontent.aspx?tID=194435</v>
      </c>
      <c r="G5841" s="2"/>
      <c r="H5841" s="2" t="s">
        <v>8128</v>
      </c>
      <c r="I5841" s="2" t="s">
        <v>15</v>
      </c>
      <c r="J5841" s="2" t="s">
        <v>1960</v>
      </c>
      <c r="K5841" s="2" t="s">
        <v>8127</v>
      </c>
      <c r="L5841" s="2">
        <f t="shared" si="91"/>
        <v>150</v>
      </c>
    </row>
    <row r="5842" spans="1:12" ht="25" customHeight="1">
      <c r="A5842" s="2" t="s">
        <v>12</v>
      </c>
      <c r="B5842" s="2" t="str">
        <f>HYPERLINK("http://www.12365auto.com/zlts/20200218/447652.shtml","林肯MKC主驾驶坐椅左侧出现破裂")</f>
        <v>林肯MKC主驾驶坐椅左侧出现破裂</v>
      </c>
      <c r="C5842" s="2" t="s">
        <v>13</v>
      </c>
      <c r="D5842" s="2" t="s">
        <v>12</v>
      </c>
      <c r="E5842" s="2" t="s">
        <v>17</v>
      </c>
      <c r="F5842" s="2" t="str">
        <f>HYPERLINK("http://www.12365auto.com/zlts/20200218/447652.shtml","http://www.12365auto.com/zlts/20200218/447652.shtml")</f>
        <v>http://www.12365auto.com/zlts/20200218/447652.shtml</v>
      </c>
      <c r="G5842" s="2"/>
      <c r="H5842" s="2" t="s">
        <v>8129</v>
      </c>
      <c r="I5842" s="2" t="s">
        <v>19</v>
      </c>
      <c r="J5842" s="2" t="s">
        <v>12</v>
      </c>
      <c r="K5842" s="2" t="s">
        <v>8130</v>
      </c>
      <c r="L5842" s="2">
        <f t="shared" si="91"/>
        <v>150</v>
      </c>
    </row>
    <row r="5843" spans="1:12" ht="25" customHeight="1">
      <c r="A5843" s="2" t="s">
        <v>12</v>
      </c>
      <c r="B5843" s="2" t="str">
        <f>HYPERLINK("http://bbs.12365auto.com/postcontent.aspx?tId=194434","艾瑞泽5多处生锈变速箱异响油耗高")</f>
        <v>艾瑞泽5多处生锈变速箱异响油耗高</v>
      </c>
      <c r="C5843" s="2" t="s">
        <v>13</v>
      </c>
      <c r="D5843" s="2" t="s">
        <v>12</v>
      </c>
      <c r="E5843" s="2" t="s">
        <v>66</v>
      </c>
      <c r="F5843" s="2" t="str">
        <f>HYPERLINK("http://bbs.12365auto.com/postcontent.aspx?tId=194434","http://bbs.12365auto.com/postcontent.aspx?tId=194434")</f>
        <v>http://bbs.12365auto.com/postcontent.aspx?tId=194434</v>
      </c>
      <c r="G5843" s="2"/>
      <c r="H5843" s="2" t="s">
        <v>8131</v>
      </c>
      <c r="I5843" s="2" t="s">
        <v>15</v>
      </c>
      <c r="J5843" s="2" t="s">
        <v>8132</v>
      </c>
      <c r="K5843" s="2" t="s">
        <v>8133</v>
      </c>
      <c r="L5843" s="2">
        <f t="shared" si="91"/>
        <v>50</v>
      </c>
    </row>
    <row r="5844" spans="1:12" ht="25" customHeight="1">
      <c r="A5844" s="2" t="s">
        <v>12</v>
      </c>
      <c r="B5844" s="2" t="str">
        <f>HYPERLINK("http://m.12365auto.com/bbs/postcontent.aspx?tID=194434","艾瑞泽5多处生锈变速箱异响油耗高")</f>
        <v>艾瑞泽5多处生锈变速箱异响油耗高</v>
      </c>
      <c r="C5844" s="2" t="s">
        <v>13</v>
      </c>
      <c r="D5844" s="2" t="s">
        <v>23</v>
      </c>
      <c r="E5844" s="2"/>
      <c r="F5844" s="2" t="str">
        <f>HYPERLINK("http://m.12365auto.com/bbs/postcontent.aspx?tID=194434","http://m.12365auto.com/bbs/postcontent.aspx?tID=194434")</f>
        <v>http://m.12365auto.com/bbs/postcontent.aspx?tID=194434</v>
      </c>
      <c r="G5844" s="2"/>
      <c r="H5844" s="2" t="s">
        <v>8131</v>
      </c>
      <c r="I5844" s="2" t="s">
        <v>15</v>
      </c>
      <c r="J5844" s="2" t="s">
        <v>8132</v>
      </c>
      <c r="K5844" s="2" t="s">
        <v>8133</v>
      </c>
      <c r="L5844" s="2">
        <f t="shared" si="91"/>
        <v>50</v>
      </c>
    </row>
    <row r="5845" spans="1:12" ht="25" customHeight="1">
      <c r="A5845" s="2" t="s">
        <v>12</v>
      </c>
      <c r="B5845" s="2" t="str">
        <f>HYPERLINK("http://bbs.12365auto.com/postcontent.aspx?tID=194434","艾瑞泽5多处生锈变速箱异响油耗高")</f>
        <v>艾瑞泽5多处生锈变速箱异响油耗高</v>
      </c>
      <c r="C5845" s="2" t="s">
        <v>13</v>
      </c>
      <c r="D5845" s="2" t="s">
        <v>12</v>
      </c>
      <c r="E5845" s="2" t="s">
        <v>67</v>
      </c>
      <c r="F5845" s="2" t="str">
        <f>HYPERLINK("http://bbs.12365auto.com/postcontent.aspx?tID=194434","http://bbs.12365auto.com/postcontent.aspx?tID=194434")</f>
        <v>http://bbs.12365auto.com/postcontent.aspx?tID=194434</v>
      </c>
      <c r="G5845" s="2"/>
      <c r="H5845" s="2" t="s">
        <v>8134</v>
      </c>
      <c r="I5845" s="2" t="s">
        <v>15</v>
      </c>
      <c r="J5845" s="2" t="s">
        <v>8132</v>
      </c>
      <c r="K5845" s="2" t="s">
        <v>8133</v>
      </c>
      <c r="L5845" s="2">
        <f t="shared" si="91"/>
        <v>66</v>
      </c>
    </row>
    <row r="5846" spans="1:12" ht="25" customHeight="1">
      <c r="A5846" s="2" t="s">
        <v>12</v>
      </c>
      <c r="B5846" s="2" t="str">
        <f>HYPERLINK("http://bbs.12365auto.com/postcontent.aspx?tId=194433","华晨宝马X1刹车片异常磨损刹车分泵回位异常")</f>
        <v>华晨宝马X1刹车片异常磨损刹车分泵回位异常</v>
      </c>
      <c r="C5846" s="2" t="s">
        <v>13</v>
      </c>
      <c r="D5846" s="2" t="s">
        <v>12</v>
      </c>
      <c r="E5846" s="2" t="s">
        <v>66</v>
      </c>
      <c r="F5846" s="2" t="str">
        <f>HYPERLINK("http://bbs.12365auto.com/postcontent.aspx?tId=194433","http://bbs.12365auto.com/postcontent.aspx?tId=194433")</f>
        <v>http://bbs.12365auto.com/postcontent.aspx?tId=194433</v>
      </c>
      <c r="G5846" s="2"/>
      <c r="H5846" s="2" t="s">
        <v>8135</v>
      </c>
      <c r="I5846" s="2" t="s">
        <v>15</v>
      </c>
      <c r="J5846" s="2" t="s">
        <v>8136</v>
      </c>
      <c r="K5846" s="2" t="s">
        <v>8137</v>
      </c>
      <c r="L5846" s="2">
        <f t="shared" si="91"/>
        <v>134</v>
      </c>
    </row>
    <row r="5847" spans="1:12" ht="25" customHeight="1">
      <c r="A5847" s="2" t="s">
        <v>12</v>
      </c>
      <c r="B5847" s="2" t="str">
        <f>HYPERLINK("http://m.12365auto.com/bbs/postcontent.aspx?tID=194433","华晨宝马X1刹车片异常磨损刹车分泵回位异常")</f>
        <v>华晨宝马X1刹车片异常磨损刹车分泵回位异常</v>
      </c>
      <c r="C5847" s="2" t="s">
        <v>13</v>
      </c>
      <c r="D5847" s="2" t="s">
        <v>23</v>
      </c>
      <c r="E5847" s="2"/>
      <c r="F5847" s="2" t="str">
        <f>HYPERLINK("http://m.12365auto.com/bbs/postcontent.aspx?tID=194433","http://m.12365auto.com/bbs/postcontent.aspx?tID=194433")</f>
        <v>http://m.12365auto.com/bbs/postcontent.aspx?tID=194433</v>
      </c>
      <c r="G5847" s="2"/>
      <c r="H5847" s="2" t="s">
        <v>8135</v>
      </c>
      <c r="I5847" s="2" t="s">
        <v>15</v>
      </c>
      <c r="J5847" s="2" t="s">
        <v>8136</v>
      </c>
      <c r="K5847" s="2" t="s">
        <v>8137</v>
      </c>
      <c r="L5847" s="2">
        <f t="shared" si="91"/>
        <v>134</v>
      </c>
    </row>
    <row r="5848" spans="1:12" ht="25" customHeight="1">
      <c r="A5848" s="2" t="s">
        <v>12</v>
      </c>
      <c r="B5848" s="2" t="str">
        <f>HYPERLINK("http://bbs.12365auto.com/postcontent.aspx?tID=194433","华晨宝马X1刹车片异常磨损刹车分泵回位异常")</f>
        <v>华晨宝马X1刹车片异常磨损刹车分泵回位异常</v>
      </c>
      <c r="C5848" s="2" t="s">
        <v>13</v>
      </c>
      <c r="D5848" s="2" t="s">
        <v>12</v>
      </c>
      <c r="E5848" s="2" t="s">
        <v>67</v>
      </c>
      <c r="F5848" s="2" t="str">
        <f>HYPERLINK("http://bbs.12365auto.com/postcontent.aspx?tID=194433","http://bbs.12365auto.com/postcontent.aspx?tID=194433")</f>
        <v>http://bbs.12365auto.com/postcontent.aspx?tID=194433</v>
      </c>
      <c r="G5848" s="2"/>
      <c r="H5848" s="2" t="s">
        <v>8138</v>
      </c>
      <c r="I5848" s="2" t="s">
        <v>15</v>
      </c>
      <c r="J5848" s="2" t="s">
        <v>8136</v>
      </c>
      <c r="K5848" s="2" t="s">
        <v>8137</v>
      </c>
      <c r="L5848" s="2">
        <f t="shared" si="91"/>
        <v>150</v>
      </c>
    </row>
    <row r="5849" spans="1:12" ht="25" customHeight="1">
      <c r="A5849" s="2" t="s">
        <v>12</v>
      </c>
      <c r="B5849" s="2" t="str">
        <f>HYPERLINK("http://bbs.12365auto.com/postcontent.aspx?tId=194432","奔腾T77换挡顿挫 天窗异响 发动机抖动")</f>
        <v>奔腾T77换挡顿挫 天窗异响 发动机抖动</v>
      </c>
      <c r="C5849" s="2" t="s">
        <v>13</v>
      </c>
      <c r="D5849" s="2" t="s">
        <v>12</v>
      </c>
      <c r="E5849" s="2" t="s">
        <v>66</v>
      </c>
      <c r="F5849" s="2" t="str">
        <f>HYPERLINK("http://bbs.12365auto.com/postcontent.aspx?tId=194432","http://bbs.12365auto.com/postcontent.aspx?tId=194432")</f>
        <v>http://bbs.12365auto.com/postcontent.aspx?tId=194432</v>
      </c>
      <c r="G5849" s="2"/>
      <c r="H5849" s="2" t="s">
        <v>8139</v>
      </c>
      <c r="I5849" s="2" t="s">
        <v>15</v>
      </c>
      <c r="J5849" s="2" t="s">
        <v>8140</v>
      </c>
      <c r="K5849" s="2" t="s">
        <v>8141</v>
      </c>
      <c r="L5849" s="2">
        <f t="shared" si="91"/>
        <v>66</v>
      </c>
    </row>
    <row r="5850" spans="1:12" ht="25" customHeight="1">
      <c r="A5850" s="2" t="s">
        <v>12</v>
      </c>
      <c r="B5850" s="2" t="str">
        <f>HYPERLINK("http://bbs.12365auto.com/postcontent.aspx?tId=194431","日产奇骏中控车机无法设置时间")</f>
        <v>日产奇骏中控车机无法设置时间</v>
      </c>
      <c r="C5850" s="2" t="s">
        <v>13</v>
      </c>
      <c r="D5850" s="2" t="s">
        <v>12</v>
      </c>
      <c r="E5850" s="2" t="s">
        <v>66</v>
      </c>
      <c r="F5850" s="2" t="str">
        <f>HYPERLINK("http://bbs.12365auto.com/postcontent.aspx?tId=194431","http://bbs.12365auto.com/postcontent.aspx?tId=194431")</f>
        <v>http://bbs.12365auto.com/postcontent.aspx?tId=194431</v>
      </c>
      <c r="G5850" s="2"/>
      <c r="H5850" s="2" t="s">
        <v>8142</v>
      </c>
      <c r="I5850" s="2" t="s">
        <v>15</v>
      </c>
      <c r="J5850" s="2" t="s">
        <v>8143</v>
      </c>
      <c r="K5850" s="2" t="s">
        <v>8141</v>
      </c>
      <c r="L5850" s="2">
        <f t="shared" si="91"/>
        <v>41</v>
      </c>
    </row>
    <row r="5851" spans="1:12" ht="25" customHeight="1">
      <c r="A5851" s="2" t="s">
        <v>12</v>
      </c>
      <c r="B5851" s="2" t="str">
        <f>HYPERLINK("http://m.12365auto.com/bbs/postcontent.aspx?tID=194431","日产奇骏中控车机无法设置时间")</f>
        <v>日产奇骏中控车机无法设置时间</v>
      </c>
      <c r="C5851" s="2" t="s">
        <v>13</v>
      </c>
      <c r="D5851" s="2" t="s">
        <v>23</v>
      </c>
      <c r="E5851" s="2"/>
      <c r="F5851" s="2" t="str">
        <f>HYPERLINK("http://m.12365auto.com/bbs/postcontent.aspx?tID=194431","http://m.12365auto.com/bbs/postcontent.aspx?tID=194431")</f>
        <v>http://m.12365auto.com/bbs/postcontent.aspx?tID=194431</v>
      </c>
      <c r="G5851" s="2"/>
      <c r="H5851" s="2" t="s">
        <v>8142</v>
      </c>
      <c r="I5851" s="2" t="s">
        <v>15</v>
      </c>
      <c r="J5851" s="2" t="s">
        <v>8143</v>
      </c>
      <c r="K5851" s="2" t="s">
        <v>8141</v>
      </c>
      <c r="L5851" s="2">
        <f t="shared" si="91"/>
        <v>41</v>
      </c>
    </row>
    <row r="5852" spans="1:12" ht="25" customHeight="1">
      <c r="A5852" s="2" t="s">
        <v>12</v>
      </c>
      <c r="B5852" s="2" t="str">
        <f>HYPERLINK("http://m.12365auto.com/bbs/postcontent.aspx?tID=194432","奔腾T77换挡顿挫 天窗异响 发动机抖动")</f>
        <v>奔腾T77换挡顿挫 天窗异响 发动机抖动</v>
      </c>
      <c r="C5852" s="2" t="s">
        <v>13</v>
      </c>
      <c r="D5852" s="2" t="s">
        <v>23</v>
      </c>
      <c r="E5852" s="2"/>
      <c r="F5852" s="2" t="str">
        <f>HYPERLINK("http://m.12365auto.com/bbs/postcontent.aspx?tID=194432","http://m.12365auto.com/bbs/postcontent.aspx?tID=194432")</f>
        <v>http://m.12365auto.com/bbs/postcontent.aspx?tID=194432</v>
      </c>
      <c r="G5852" s="2"/>
      <c r="H5852" s="2" t="s">
        <v>8139</v>
      </c>
      <c r="I5852" s="2" t="s">
        <v>15</v>
      </c>
      <c r="J5852" s="2" t="s">
        <v>8140</v>
      </c>
      <c r="K5852" s="2" t="s">
        <v>8141</v>
      </c>
      <c r="L5852" s="2">
        <f t="shared" si="91"/>
        <v>66</v>
      </c>
    </row>
    <row r="5853" spans="1:12" ht="25" customHeight="1">
      <c r="A5853" s="2" t="s">
        <v>12</v>
      </c>
      <c r="B5853" s="2" t="str">
        <f>HYPERLINK("http://bbs.12365auto.com/postcontent.aspx?tID=194431","日产奇骏中控车机无法设置时间")</f>
        <v>日产奇骏中控车机无法设置时间</v>
      </c>
      <c r="C5853" s="2" t="s">
        <v>13</v>
      </c>
      <c r="D5853" s="2" t="s">
        <v>12</v>
      </c>
      <c r="E5853" s="2" t="s">
        <v>67</v>
      </c>
      <c r="F5853" s="2" t="str">
        <f>HYPERLINK("http://bbs.12365auto.com/postcontent.aspx?tID=194431","http://bbs.12365auto.com/postcontent.aspx?tID=194431")</f>
        <v>http://bbs.12365auto.com/postcontent.aspx?tID=194431</v>
      </c>
      <c r="G5853" s="2"/>
      <c r="H5853" s="2" t="s">
        <v>8144</v>
      </c>
      <c r="I5853" s="2" t="s">
        <v>15</v>
      </c>
      <c r="J5853" s="2" t="s">
        <v>8143</v>
      </c>
      <c r="K5853" s="2" t="s">
        <v>8141</v>
      </c>
      <c r="L5853" s="2">
        <f t="shared" si="91"/>
        <v>55</v>
      </c>
    </row>
    <row r="5854" spans="1:12" ht="25" customHeight="1">
      <c r="A5854" s="2" t="s">
        <v>12</v>
      </c>
      <c r="B5854" s="2" t="str">
        <f>HYPERLINK("http://bbs.12365auto.com/postcontent.aspx?tID=194432","奔腾T77换挡顿挫 天窗异响 发动机抖动")</f>
        <v>奔腾T77换挡顿挫 天窗异响 发动机抖动</v>
      </c>
      <c r="C5854" s="2" t="s">
        <v>13</v>
      </c>
      <c r="D5854" s="2" t="s">
        <v>12</v>
      </c>
      <c r="E5854" s="2" t="s">
        <v>67</v>
      </c>
      <c r="F5854" s="2" t="str">
        <f>HYPERLINK("http://bbs.12365auto.com/postcontent.aspx?tID=194432","http://bbs.12365auto.com/postcontent.aspx?tID=194432")</f>
        <v>http://bbs.12365auto.com/postcontent.aspx?tID=194432</v>
      </c>
      <c r="G5854" s="2"/>
      <c r="H5854" s="2" t="s">
        <v>8145</v>
      </c>
      <c r="I5854" s="2" t="s">
        <v>15</v>
      </c>
      <c r="J5854" s="2" t="s">
        <v>8140</v>
      </c>
      <c r="K5854" s="2" t="s">
        <v>8141</v>
      </c>
      <c r="L5854" s="2">
        <f t="shared" si="91"/>
        <v>86</v>
      </c>
    </row>
    <row r="5855" spans="1:12" ht="25" customHeight="1">
      <c r="A5855" s="2" t="s">
        <v>12</v>
      </c>
      <c r="B5855" s="2" t="str">
        <f>HYPERLINK("http://bbs.12365auto.com/postcontent.aspx?tId=194429","本田CR-V车机系统设置界面失灵")</f>
        <v>本田CR-V车机系统设置界面失灵</v>
      </c>
      <c r="C5855" s="2" t="s">
        <v>13</v>
      </c>
      <c r="D5855" s="2" t="s">
        <v>12</v>
      </c>
      <c r="E5855" s="2" t="s">
        <v>66</v>
      </c>
      <c r="F5855" s="2" t="str">
        <f>HYPERLINK("http://bbs.12365auto.com/postcontent.aspx?tId=194429","http://bbs.12365auto.com/postcontent.aspx?tId=194429")</f>
        <v>http://bbs.12365auto.com/postcontent.aspx?tId=194429</v>
      </c>
      <c r="G5855" s="2"/>
      <c r="H5855" s="2" t="s">
        <v>8146</v>
      </c>
      <c r="I5855" s="2" t="s">
        <v>15</v>
      </c>
      <c r="J5855" s="2" t="s">
        <v>8147</v>
      </c>
      <c r="K5855" s="2" t="s">
        <v>8148</v>
      </c>
      <c r="L5855" s="2">
        <f t="shared" si="91"/>
        <v>31</v>
      </c>
    </row>
    <row r="5856" spans="1:12" ht="25" customHeight="1">
      <c r="A5856" s="2" t="s">
        <v>12</v>
      </c>
      <c r="B5856" s="2" t="str">
        <f>HYPERLINK("http://m.12365auto.com/bbs/postcontent.aspx?tID=194429","本田CR-V车机系统设置界面失灵")</f>
        <v>本田CR-V车机系统设置界面失灵</v>
      </c>
      <c r="C5856" s="2" t="s">
        <v>13</v>
      </c>
      <c r="D5856" s="2" t="s">
        <v>23</v>
      </c>
      <c r="E5856" s="2"/>
      <c r="F5856" s="2" t="str">
        <f>HYPERLINK("http://m.12365auto.com/bbs/postcontent.aspx?tID=194429","http://m.12365auto.com/bbs/postcontent.aspx?tID=194429")</f>
        <v>http://m.12365auto.com/bbs/postcontent.aspx?tID=194429</v>
      </c>
      <c r="G5856" s="2"/>
      <c r="H5856" s="2" t="s">
        <v>8146</v>
      </c>
      <c r="I5856" s="2" t="s">
        <v>15</v>
      </c>
      <c r="J5856" s="2" t="s">
        <v>8147</v>
      </c>
      <c r="K5856" s="2" t="s">
        <v>8148</v>
      </c>
      <c r="L5856" s="2">
        <f t="shared" si="91"/>
        <v>31</v>
      </c>
    </row>
    <row r="5857" spans="1:12" ht="25" customHeight="1">
      <c r="A5857" s="2" t="s">
        <v>12</v>
      </c>
      <c r="B5857" s="2" t="str">
        <f>HYPERLINK("http://bbs.12365auto.com/postcontent.aspx?tID=194429","本田CR-V车机系统设置界面失灵")</f>
        <v>本田CR-V车机系统设置界面失灵</v>
      </c>
      <c r="C5857" s="2" t="s">
        <v>13</v>
      </c>
      <c r="D5857" s="2" t="s">
        <v>12</v>
      </c>
      <c r="E5857" s="2" t="s">
        <v>67</v>
      </c>
      <c r="F5857" s="2" t="str">
        <f>HYPERLINK("http://bbs.12365auto.com/postcontent.aspx?tID=194429","http://bbs.12365auto.com/postcontent.aspx?tID=194429")</f>
        <v>http://bbs.12365auto.com/postcontent.aspx?tID=194429</v>
      </c>
      <c r="G5857" s="2"/>
      <c r="H5857" s="2" t="s">
        <v>8149</v>
      </c>
      <c r="I5857" s="2" t="s">
        <v>15</v>
      </c>
      <c r="J5857" s="2" t="s">
        <v>8147</v>
      </c>
      <c r="K5857" s="2" t="s">
        <v>8148</v>
      </c>
      <c r="L5857" s="2">
        <f t="shared" si="91"/>
        <v>47</v>
      </c>
    </row>
    <row r="5858" spans="1:12" ht="25" customHeight="1">
      <c r="A5858" s="2" t="s">
        <v>12</v>
      </c>
      <c r="B5858" s="2" t="str">
        <f>HYPERLINK("http://bbs.12365auto.com/postcontent.aspx?tId=194428","艾瑞泽GX右后视镜电动折叠失灵")</f>
        <v>艾瑞泽GX右后视镜电动折叠失灵</v>
      </c>
      <c r="C5858" s="2" t="s">
        <v>13</v>
      </c>
      <c r="D5858" s="2" t="s">
        <v>12</v>
      </c>
      <c r="E5858" s="2" t="s">
        <v>66</v>
      </c>
      <c r="F5858" s="2" t="str">
        <f>HYPERLINK("http://bbs.12365auto.com/postcontent.aspx?tId=194428","http://bbs.12365auto.com/postcontent.aspx?tId=194428")</f>
        <v>http://bbs.12365auto.com/postcontent.aspx?tId=194428</v>
      </c>
      <c r="G5858" s="2"/>
      <c r="H5858" s="2" t="s">
        <v>8150</v>
      </c>
      <c r="I5858" s="2" t="s">
        <v>15</v>
      </c>
      <c r="J5858" s="2" t="s">
        <v>8151</v>
      </c>
      <c r="K5858" s="2" t="s">
        <v>8152</v>
      </c>
      <c r="L5858" s="2">
        <f t="shared" si="91"/>
        <v>121</v>
      </c>
    </row>
    <row r="5859" spans="1:12" ht="25" customHeight="1">
      <c r="A5859" s="2" t="s">
        <v>12</v>
      </c>
      <c r="B5859" s="2" t="str">
        <f>HYPERLINK("http://bbs.12365auto.com/postcontent.aspx?tId=194427","雪铁龙C4L方向盘松动要求免费维修")</f>
        <v>雪铁龙C4L方向盘松动要求免费维修</v>
      </c>
      <c r="C5859" s="2" t="s">
        <v>13</v>
      </c>
      <c r="D5859" s="2" t="s">
        <v>12</v>
      </c>
      <c r="E5859" s="2" t="s">
        <v>66</v>
      </c>
      <c r="F5859" s="2" t="str">
        <f>HYPERLINK("http://bbs.12365auto.com/postcontent.aspx?tId=194427","http://bbs.12365auto.com/postcontent.aspx?tId=194427")</f>
        <v>http://bbs.12365auto.com/postcontent.aspx?tId=194427</v>
      </c>
      <c r="G5859" s="2"/>
      <c r="H5859" s="2" t="s">
        <v>8153</v>
      </c>
      <c r="I5859" s="2" t="s">
        <v>15</v>
      </c>
      <c r="J5859" s="2" t="s">
        <v>8154</v>
      </c>
      <c r="K5859" s="2" t="s">
        <v>8152</v>
      </c>
      <c r="L5859" s="2">
        <f t="shared" si="91"/>
        <v>150</v>
      </c>
    </row>
    <row r="5860" spans="1:12" ht="25" customHeight="1">
      <c r="A5860" s="2" t="s">
        <v>12</v>
      </c>
      <c r="B5860" s="2" t="str">
        <f>HYPERLINK("http://m.12365auto.com/bbs/postcontent.aspx?tID=194428","艾瑞泽GX右后视镜电动折叠失灵")</f>
        <v>艾瑞泽GX右后视镜电动折叠失灵</v>
      </c>
      <c r="C5860" s="2" t="s">
        <v>13</v>
      </c>
      <c r="D5860" s="2" t="s">
        <v>23</v>
      </c>
      <c r="E5860" s="2"/>
      <c r="F5860" s="2" t="str">
        <f>HYPERLINK("http://m.12365auto.com/bbs/postcontent.aspx?tID=194428","http://m.12365auto.com/bbs/postcontent.aspx?tID=194428")</f>
        <v>http://m.12365auto.com/bbs/postcontent.aspx?tID=194428</v>
      </c>
      <c r="G5860" s="2"/>
      <c r="H5860" s="2" t="s">
        <v>8150</v>
      </c>
      <c r="I5860" s="2" t="s">
        <v>15</v>
      </c>
      <c r="J5860" s="2" t="s">
        <v>8151</v>
      </c>
      <c r="K5860" s="2" t="s">
        <v>8152</v>
      </c>
      <c r="L5860" s="2">
        <f t="shared" si="91"/>
        <v>121</v>
      </c>
    </row>
    <row r="5861" spans="1:12" ht="25" customHeight="1">
      <c r="A5861" s="2" t="s">
        <v>12</v>
      </c>
      <c r="B5861" s="2" t="str">
        <f>HYPERLINK("http://m.12365auto.com/bbs/postcontent.aspx?tID=194427","雪铁龙C4L方向盘松动要求免费维修")</f>
        <v>雪铁龙C4L方向盘松动要求免费维修</v>
      </c>
      <c r="C5861" s="2" t="s">
        <v>13</v>
      </c>
      <c r="D5861" s="2" t="s">
        <v>23</v>
      </c>
      <c r="E5861" s="2"/>
      <c r="F5861" s="2" t="str">
        <f>HYPERLINK("http://m.12365auto.com/bbs/postcontent.aspx?tID=194427","http://m.12365auto.com/bbs/postcontent.aspx?tID=194427")</f>
        <v>http://m.12365auto.com/bbs/postcontent.aspx?tID=194427</v>
      </c>
      <c r="G5861" s="2"/>
      <c r="H5861" s="2" t="s">
        <v>8153</v>
      </c>
      <c r="I5861" s="2" t="s">
        <v>15</v>
      </c>
      <c r="J5861" s="2" t="s">
        <v>8154</v>
      </c>
      <c r="K5861" s="2" t="s">
        <v>8152</v>
      </c>
      <c r="L5861" s="2">
        <f t="shared" si="91"/>
        <v>150</v>
      </c>
    </row>
    <row r="5862" spans="1:12" ht="25" customHeight="1">
      <c r="A5862" s="2" t="s">
        <v>12</v>
      </c>
      <c r="B5862" s="2" t="str">
        <f>HYPERLINK("http://bbs.12365auto.com/postcontent.aspx?tID=194428","艾瑞泽GX右后视镜电动折叠失灵")</f>
        <v>艾瑞泽GX右后视镜电动折叠失灵</v>
      </c>
      <c r="C5862" s="2" t="s">
        <v>13</v>
      </c>
      <c r="D5862" s="2" t="s">
        <v>12</v>
      </c>
      <c r="E5862" s="2" t="s">
        <v>67</v>
      </c>
      <c r="F5862" s="2" t="str">
        <f>HYPERLINK("http://bbs.12365auto.com/postcontent.aspx?tID=194428","http://bbs.12365auto.com/postcontent.aspx?tID=194428")</f>
        <v>http://bbs.12365auto.com/postcontent.aspx?tID=194428</v>
      </c>
      <c r="G5862" s="2"/>
      <c r="H5862" s="2" t="s">
        <v>8155</v>
      </c>
      <c r="I5862" s="2" t="s">
        <v>15</v>
      </c>
      <c r="J5862" s="2" t="s">
        <v>8151</v>
      </c>
      <c r="K5862" s="2" t="s">
        <v>8152</v>
      </c>
      <c r="L5862" s="2">
        <f t="shared" si="91"/>
        <v>136</v>
      </c>
    </row>
    <row r="5863" spans="1:12" ht="25" customHeight="1">
      <c r="A5863" s="2" t="s">
        <v>12</v>
      </c>
      <c r="B5863" s="2" t="str">
        <f>HYPERLINK("http://bbs.12365auto.com/postcontent.aspx?tID=194427","雪铁龙C4L方向盘松动要求免费维修")</f>
        <v>雪铁龙C4L方向盘松动要求免费维修</v>
      </c>
      <c r="C5863" s="2" t="s">
        <v>13</v>
      </c>
      <c r="D5863" s="2" t="s">
        <v>12</v>
      </c>
      <c r="E5863" s="2" t="s">
        <v>67</v>
      </c>
      <c r="F5863" s="2" t="str">
        <f>HYPERLINK("http://bbs.12365auto.com/postcontent.aspx?tID=194427","http://bbs.12365auto.com/postcontent.aspx?tID=194427")</f>
        <v>http://bbs.12365auto.com/postcontent.aspx?tID=194427</v>
      </c>
      <c r="G5863" s="2"/>
      <c r="H5863" s="2" t="s">
        <v>8156</v>
      </c>
      <c r="I5863" s="2" t="s">
        <v>15</v>
      </c>
      <c r="J5863" s="2" t="s">
        <v>8154</v>
      </c>
      <c r="K5863" s="2" t="s">
        <v>8152</v>
      </c>
      <c r="L5863" s="2">
        <f t="shared" si="91"/>
        <v>150</v>
      </c>
    </row>
    <row r="5864" spans="1:12" ht="25" customHeight="1">
      <c r="A5864" s="2" t="s">
        <v>12</v>
      </c>
      <c r="B5864" s="2" t="str">
        <f>HYPERLINK("http://bbs.12365auto.com/postcontent.aspx?tId=194426","本田凌派行驶过程中发动机异响")</f>
        <v>本田凌派行驶过程中发动机异响</v>
      </c>
      <c r="C5864" s="2" t="s">
        <v>13</v>
      </c>
      <c r="D5864" s="2" t="s">
        <v>12</v>
      </c>
      <c r="E5864" s="2" t="s">
        <v>66</v>
      </c>
      <c r="F5864" s="2" t="str">
        <f>HYPERLINK("http://bbs.12365auto.com/postcontent.aspx?tId=194426","http://bbs.12365auto.com/postcontent.aspx?tId=194426")</f>
        <v>http://bbs.12365auto.com/postcontent.aspx?tId=194426</v>
      </c>
      <c r="G5864" s="2"/>
      <c r="H5864" s="2" t="s">
        <v>8157</v>
      </c>
      <c r="I5864" s="2" t="s">
        <v>15</v>
      </c>
      <c r="J5864" s="2" t="s">
        <v>8158</v>
      </c>
      <c r="K5864" s="2" t="s">
        <v>8159</v>
      </c>
      <c r="L5864" s="2">
        <f t="shared" si="91"/>
        <v>150</v>
      </c>
    </row>
    <row r="5865" spans="1:12" ht="25" customHeight="1">
      <c r="A5865" s="2" t="s">
        <v>12</v>
      </c>
      <c r="B5865" s="2" t="str">
        <f>HYPERLINK("http://m.12365auto.com/bbs/postcontent.aspx?tID=194426","本田凌派行驶过程中发动机异响")</f>
        <v>本田凌派行驶过程中发动机异响</v>
      </c>
      <c r="C5865" s="2" t="s">
        <v>13</v>
      </c>
      <c r="D5865" s="2" t="s">
        <v>23</v>
      </c>
      <c r="E5865" s="2"/>
      <c r="F5865" s="2" t="str">
        <f>HYPERLINK("http://m.12365auto.com/bbs/postcontent.aspx?tID=194426","http://m.12365auto.com/bbs/postcontent.aspx?tID=194426")</f>
        <v>http://m.12365auto.com/bbs/postcontent.aspx?tID=194426</v>
      </c>
      <c r="G5865" s="2"/>
      <c r="H5865" s="2" t="s">
        <v>8157</v>
      </c>
      <c r="I5865" s="2" t="s">
        <v>15</v>
      </c>
      <c r="J5865" s="2" t="s">
        <v>8158</v>
      </c>
      <c r="K5865" s="2" t="s">
        <v>8159</v>
      </c>
      <c r="L5865" s="2">
        <f t="shared" si="91"/>
        <v>150</v>
      </c>
    </row>
    <row r="5866" spans="1:12" ht="25" customHeight="1">
      <c r="A5866" s="2" t="s">
        <v>12</v>
      </c>
      <c r="B5866" s="2" t="str">
        <f>HYPERLINK("http://bbs.12365auto.com/postcontent.aspx?tID=194426","本田凌派行驶过程中发动机异响")</f>
        <v>本田凌派行驶过程中发动机异响</v>
      </c>
      <c r="C5866" s="2" t="s">
        <v>13</v>
      </c>
      <c r="D5866" s="2" t="s">
        <v>12</v>
      </c>
      <c r="E5866" s="2" t="s">
        <v>67</v>
      </c>
      <c r="F5866" s="2" t="str">
        <f>HYPERLINK("http://bbs.12365auto.com/postcontent.aspx?tID=194426","http://bbs.12365auto.com/postcontent.aspx?tID=194426")</f>
        <v>http://bbs.12365auto.com/postcontent.aspx?tID=194426</v>
      </c>
      <c r="G5866" s="2"/>
      <c r="H5866" s="2" t="s">
        <v>8160</v>
      </c>
      <c r="I5866" s="2" t="s">
        <v>15</v>
      </c>
      <c r="J5866" s="2" t="s">
        <v>8158</v>
      </c>
      <c r="K5866" s="2" t="s">
        <v>8159</v>
      </c>
      <c r="L5866" s="2">
        <f t="shared" si="91"/>
        <v>150</v>
      </c>
    </row>
    <row r="5867" spans="1:12" ht="25" customHeight="1">
      <c r="A5867" s="2" t="s">
        <v>12</v>
      </c>
      <c r="B5867" s="2" t="str">
        <f>HYPERLINK("http://bbs.12365auto.com/postcontent.aspx?tId=194425","大众速腾换挡时变速箱有异响")</f>
        <v>大众速腾换挡时变速箱有异响</v>
      </c>
      <c r="C5867" s="2" t="s">
        <v>13</v>
      </c>
      <c r="D5867" s="2" t="s">
        <v>12</v>
      </c>
      <c r="E5867" s="2" t="s">
        <v>66</v>
      </c>
      <c r="F5867" s="2" t="str">
        <f>HYPERLINK("http://bbs.12365auto.com/postcontent.aspx?tId=194425","http://bbs.12365auto.com/postcontent.aspx?tId=194425")</f>
        <v>http://bbs.12365auto.com/postcontent.aspx?tId=194425</v>
      </c>
      <c r="G5867" s="2"/>
      <c r="H5867" s="2" t="s">
        <v>8161</v>
      </c>
      <c r="I5867" s="2" t="s">
        <v>15</v>
      </c>
      <c r="J5867" s="2" t="s">
        <v>8162</v>
      </c>
      <c r="K5867" s="2" t="s">
        <v>8163</v>
      </c>
      <c r="L5867" s="2">
        <f t="shared" si="91"/>
        <v>52</v>
      </c>
    </row>
    <row r="5868" spans="1:12" ht="25" customHeight="1">
      <c r="A5868" s="2" t="s">
        <v>12</v>
      </c>
      <c r="B5868" s="2" t="str">
        <f>HYPERLINK("http://m.12365auto.com/bbs/postcontent.aspx?tID=194425","大众速腾换挡时变速箱有异响")</f>
        <v>大众速腾换挡时变速箱有异响</v>
      </c>
      <c r="C5868" s="2" t="s">
        <v>13</v>
      </c>
      <c r="D5868" s="2" t="s">
        <v>23</v>
      </c>
      <c r="E5868" s="2"/>
      <c r="F5868" s="2" t="str">
        <f>HYPERLINK("http://m.12365auto.com/bbs/postcontent.aspx?tID=194425","http://m.12365auto.com/bbs/postcontent.aspx?tID=194425")</f>
        <v>http://m.12365auto.com/bbs/postcontent.aspx?tID=194425</v>
      </c>
      <c r="G5868" s="2"/>
      <c r="H5868" s="2" t="s">
        <v>8161</v>
      </c>
      <c r="I5868" s="2" t="s">
        <v>15</v>
      </c>
      <c r="J5868" s="2" t="s">
        <v>8162</v>
      </c>
      <c r="K5868" s="2" t="s">
        <v>8163</v>
      </c>
      <c r="L5868" s="2">
        <f t="shared" si="91"/>
        <v>52</v>
      </c>
    </row>
    <row r="5869" spans="1:12" ht="25" customHeight="1">
      <c r="A5869" s="2" t="s">
        <v>12</v>
      </c>
      <c r="B5869" s="2" t="str">
        <f>HYPERLINK("http://bbs.12365auto.com/postcontent.aspx?tID=194425","大众速腾换挡时变速箱有异响")</f>
        <v>大众速腾换挡时变速箱有异响</v>
      </c>
      <c r="C5869" s="2" t="s">
        <v>13</v>
      </c>
      <c r="D5869" s="2" t="s">
        <v>12</v>
      </c>
      <c r="E5869" s="2" t="s">
        <v>67</v>
      </c>
      <c r="F5869" s="2" t="str">
        <f>HYPERLINK("http://bbs.12365auto.com/postcontent.aspx?tID=194425","http://bbs.12365auto.com/postcontent.aspx?tID=194425")</f>
        <v>http://bbs.12365auto.com/postcontent.aspx?tID=194425</v>
      </c>
      <c r="G5869" s="2"/>
      <c r="H5869" s="2" t="s">
        <v>8164</v>
      </c>
      <c r="I5869" s="2" t="s">
        <v>15</v>
      </c>
      <c r="J5869" s="2" t="s">
        <v>8162</v>
      </c>
      <c r="K5869" s="2" t="s">
        <v>8163</v>
      </c>
      <c r="L5869" s="2">
        <f t="shared" si="91"/>
        <v>65</v>
      </c>
    </row>
    <row r="5870" spans="1:12" ht="25" customHeight="1">
      <c r="A5870" s="2" t="s">
        <v>12</v>
      </c>
      <c r="B5870" s="2" t="str">
        <f>HYPERLINK("http://www.12365auto.com/zlts/20200218/447649.shtml","众泰Z500质保内出现的质量问题不予索赔")</f>
        <v>众泰Z500质保内出现的质量问题不予索赔</v>
      </c>
      <c r="C5870" s="2" t="s">
        <v>13</v>
      </c>
      <c r="D5870" s="2" t="s">
        <v>12</v>
      </c>
      <c r="E5870" s="2" t="s">
        <v>17</v>
      </c>
      <c r="F5870" s="2" t="str">
        <f>HYPERLINK("http://www.12365auto.com/zlts/20200218/447649.shtml","http://www.12365auto.com/zlts/20200218/447649.shtml")</f>
        <v>http://www.12365auto.com/zlts/20200218/447649.shtml</v>
      </c>
      <c r="G5870" s="2"/>
      <c r="H5870" s="2" t="s">
        <v>8165</v>
      </c>
      <c r="I5870" s="2" t="s">
        <v>15</v>
      </c>
      <c r="J5870" s="2" t="s">
        <v>12</v>
      </c>
      <c r="K5870" s="2" t="s">
        <v>8166</v>
      </c>
      <c r="L5870" s="2">
        <f t="shared" si="91"/>
        <v>150</v>
      </c>
    </row>
    <row r="5871" spans="1:12" ht="25" customHeight="1">
      <c r="A5871" s="2" t="s">
        <v>12</v>
      </c>
      <c r="B5871" s="2" t="str">
        <f>HYPERLINK("http://www.12365auto.com/zlts/20200218/447648.shtml","捷途X70底护板磨损油底壳 发动机加油异响")</f>
        <v>捷途X70底护板磨损油底壳 发动机加油异响</v>
      </c>
      <c r="C5871" s="2" t="s">
        <v>13</v>
      </c>
      <c r="D5871" s="2" t="s">
        <v>12</v>
      </c>
      <c r="E5871" s="2" t="s">
        <v>17</v>
      </c>
      <c r="F5871" s="2" t="str">
        <f>HYPERLINK("http://www.12365auto.com/zlts/20200218/447648.shtml","http://www.12365auto.com/zlts/20200218/447648.shtml")</f>
        <v>http://www.12365auto.com/zlts/20200218/447648.shtml</v>
      </c>
      <c r="G5871" s="2"/>
      <c r="H5871" s="2" t="s">
        <v>8167</v>
      </c>
      <c r="I5871" s="2" t="s">
        <v>15</v>
      </c>
      <c r="J5871" s="2" t="s">
        <v>12</v>
      </c>
      <c r="K5871" s="2" t="s">
        <v>8168</v>
      </c>
      <c r="L5871" s="2">
        <f t="shared" si="91"/>
        <v>150</v>
      </c>
    </row>
    <row r="5872" spans="1:12" ht="25" customHeight="1">
      <c r="A5872" s="2" t="s">
        <v>12</v>
      </c>
      <c r="B5872" s="2" t="str">
        <f>HYPERLINK("http://www.12365auto.com/zlts/20200218/447644.shtml","广汽本田凌派行驶过程中发动机异响")</f>
        <v>广汽本田凌派行驶过程中发动机异响</v>
      </c>
      <c r="C5872" s="2" t="s">
        <v>13</v>
      </c>
      <c r="D5872" s="2" t="s">
        <v>12</v>
      </c>
      <c r="E5872" s="2"/>
      <c r="F5872" s="2" t="str">
        <f>HYPERLINK("http://www.12365auto.com/zlts/20200218/447644.shtml","http://www.12365auto.com/zlts/20200218/447644.shtml")</f>
        <v>http://www.12365auto.com/zlts/20200218/447644.shtml</v>
      </c>
      <c r="G5872" s="2"/>
      <c r="H5872" s="2" t="s">
        <v>8170</v>
      </c>
      <c r="I5872" s="2" t="s">
        <v>15</v>
      </c>
      <c r="J5872" s="2" t="s">
        <v>12</v>
      </c>
      <c r="K5872" s="2" t="s">
        <v>8169</v>
      </c>
      <c r="L5872" s="2">
        <f t="shared" si="91"/>
        <v>79</v>
      </c>
    </row>
    <row r="5873" spans="1:12" ht="25" customHeight="1">
      <c r="A5873" s="2" t="s">
        <v>12</v>
      </c>
      <c r="B5873" s="2" t="str">
        <f>HYPERLINK("http://www.12365auto.com/zlts/20200218/447646.shtml","猎豹CS9雨刮器电机总成故障厂家不处理")</f>
        <v>猎豹CS9雨刮器电机总成故障厂家不处理</v>
      </c>
      <c r="C5873" s="2" t="s">
        <v>13</v>
      </c>
      <c r="D5873" s="2" t="s">
        <v>12</v>
      </c>
      <c r="E5873" s="2" t="s">
        <v>17</v>
      </c>
      <c r="F5873" s="2" t="str">
        <f>HYPERLINK("http://www.12365auto.com/zlts/20200218/447646.shtml","http://www.12365auto.com/zlts/20200218/447646.shtml")</f>
        <v>http://www.12365auto.com/zlts/20200218/447646.shtml</v>
      </c>
      <c r="G5873" s="2"/>
      <c r="H5873" s="2" t="s">
        <v>8171</v>
      </c>
      <c r="I5873" s="2" t="s">
        <v>19</v>
      </c>
      <c r="J5873" s="2" t="s">
        <v>12</v>
      </c>
      <c r="K5873" s="2" t="s">
        <v>8172</v>
      </c>
      <c r="L5873" s="2">
        <f t="shared" si="91"/>
        <v>150</v>
      </c>
    </row>
    <row r="5874" spans="1:12" ht="25" customHeight="1">
      <c r="A5874" s="2" t="s">
        <v>12</v>
      </c>
      <c r="B5874" s="2" t="str">
        <f>HYPERLINK("http://www.12365auto.com/zlts/20200218/447645.shtml","一汽大众速腾换挡时变速箱有异响")</f>
        <v>一汽大众速腾换挡时变速箱有异响</v>
      </c>
      <c r="C5874" s="2" t="s">
        <v>13</v>
      </c>
      <c r="D5874" s="2" t="s">
        <v>12</v>
      </c>
      <c r="E5874" s="2" t="s">
        <v>17</v>
      </c>
      <c r="F5874" s="2" t="str">
        <f>HYPERLINK("http://www.12365auto.com/zlts/20200218/447645.shtml","http://www.12365auto.com/zlts/20200218/447645.shtml")</f>
        <v>http://www.12365auto.com/zlts/20200218/447645.shtml</v>
      </c>
      <c r="G5874" s="2"/>
      <c r="H5874" s="2" t="s">
        <v>8173</v>
      </c>
      <c r="I5874" s="2" t="s">
        <v>19</v>
      </c>
      <c r="J5874" s="2" t="s">
        <v>12</v>
      </c>
      <c r="K5874" s="2" t="s">
        <v>8172</v>
      </c>
      <c r="L5874" s="2">
        <f t="shared" si="91"/>
        <v>150</v>
      </c>
    </row>
    <row r="5875" spans="1:12" ht="25" customHeight="1">
      <c r="A5875" s="2" t="s">
        <v>12</v>
      </c>
      <c r="B5875" s="2" t="str">
        <f>HYPERLINK("http://www.12365auto.com/zlts/20200218/447643.shtml","东风雪铁龙C4L方向盘松动要求免费维修")</f>
        <v>东风雪铁龙C4L方向盘松动要求免费维修</v>
      </c>
      <c r="C5875" s="2" t="s">
        <v>13</v>
      </c>
      <c r="D5875" s="2" t="s">
        <v>12</v>
      </c>
      <c r="E5875" s="2" t="s">
        <v>17</v>
      </c>
      <c r="F5875" s="2" t="str">
        <f>HYPERLINK("http://www.12365auto.com/zlts/20200218/447643.shtml","http://www.12365auto.com/zlts/20200218/447643.shtml")</f>
        <v>http://www.12365auto.com/zlts/20200218/447643.shtml</v>
      </c>
      <c r="G5875" s="2"/>
      <c r="H5875" s="2" t="s">
        <v>8174</v>
      </c>
      <c r="I5875" s="2" t="s">
        <v>19</v>
      </c>
      <c r="J5875" s="2" t="s">
        <v>12</v>
      </c>
      <c r="K5875" s="2" t="s">
        <v>8175</v>
      </c>
      <c r="L5875" s="2">
        <f t="shared" si="91"/>
        <v>150</v>
      </c>
    </row>
    <row r="5876" spans="1:12" ht="25" customHeight="1">
      <c r="A5876" s="2" t="s">
        <v>12</v>
      </c>
      <c r="B5876" s="2" t="str">
        <f>HYPERLINK("http://www.12365auto.com/zlts/20200218/447642.shtml","奇瑞艾瑞泽GX右后视镜电动折叠失灵")</f>
        <v>奇瑞艾瑞泽GX右后视镜电动折叠失灵</v>
      </c>
      <c r="C5876" s="2" t="s">
        <v>13</v>
      </c>
      <c r="D5876" s="2" t="s">
        <v>12</v>
      </c>
      <c r="E5876" s="2" t="s">
        <v>17</v>
      </c>
      <c r="F5876" s="2" t="str">
        <f>HYPERLINK("http://www.12365auto.com/zlts/20200218/447642.shtml","http://www.12365auto.com/zlts/20200218/447642.shtml")</f>
        <v>http://www.12365auto.com/zlts/20200218/447642.shtml</v>
      </c>
      <c r="G5876" s="2"/>
      <c r="H5876" s="2" t="s">
        <v>8176</v>
      </c>
      <c r="I5876" s="2" t="s">
        <v>19</v>
      </c>
      <c r="J5876" s="2" t="s">
        <v>12</v>
      </c>
      <c r="K5876" s="2" t="s">
        <v>8177</v>
      </c>
      <c r="L5876" s="2">
        <f t="shared" si="91"/>
        <v>150</v>
      </c>
    </row>
    <row r="5877" spans="1:12" ht="25" customHeight="1">
      <c r="A5877" s="2" t="s">
        <v>12</v>
      </c>
      <c r="B5877" s="2" t="str">
        <f>HYPERLINK("http://bbs.12365auto.com/postcontent.aspx?tID=194423","奇瑞艾瑞泽7e启动后出现高压故障")</f>
        <v>奇瑞艾瑞泽7e启动后出现高压故障</v>
      </c>
      <c r="C5877" s="2" t="s">
        <v>13</v>
      </c>
      <c r="D5877" s="2" t="s">
        <v>12</v>
      </c>
      <c r="E5877" s="2" t="s">
        <v>67</v>
      </c>
      <c r="F5877" s="2" t="str">
        <f>HYPERLINK("http://bbs.12365auto.com/postcontent.aspx?tID=194423","http://bbs.12365auto.com/postcontent.aspx?tID=194423")</f>
        <v>http://bbs.12365auto.com/postcontent.aspx?tID=194423</v>
      </c>
      <c r="G5877" s="2"/>
      <c r="H5877" s="2" t="s">
        <v>8178</v>
      </c>
      <c r="I5877" s="2" t="s">
        <v>15</v>
      </c>
      <c r="J5877" s="2" t="s">
        <v>8179</v>
      </c>
      <c r="K5877" s="2" t="s">
        <v>8180</v>
      </c>
      <c r="L5877" s="2">
        <f t="shared" si="91"/>
        <v>150</v>
      </c>
    </row>
    <row r="5878" spans="1:12" ht="25" customHeight="1">
      <c r="A5878" s="2" t="s">
        <v>12</v>
      </c>
      <c r="B5878" s="2" t="str">
        <f>HYPERLINK("http://bbs.12365auto.com/postcontent.aspx?tID=194422","上汽大众朗逸刹车异响无解决方案怎么处理")</f>
        <v>上汽大众朗逸刹车异响无解决方案怎么处理</v>
      </c>
      <c r="C5878" s="2" t="s">
        <v>13</v>
      </c>
      <c r="D5878" s="2" t="s">
        <v>12</v>
      </c>
      <c r="E5878" s="2" t="s">
        <v>67</v>
      </c>
      <c r="F5878" s="2" t="str">
        <f>HYPERLINK("http://bbs.12365auto.com/postcontent.aspx?tID=194422","http://bbs.12365auto.com/postcontent.aspx?tID=194422")</f>
        <v>http://bbs.12365auto.com/postcontent.aspx?tID=194422</v>
      </c>
      <c r="G5878" s="2"/>
      <c r="H5878" s="2" t="s">
        <v>8181</v>
      </c>
      <c r="I5878" s="2" t="s">
        <v>15</v>
      </c>
      <c r="J5878" s="2" t="s">
        <v>8182</v>
      </c>
      <c r="K5878" s="2" t="s">
        <v>8180</v>
      </c>
      <c r="L5878" s="2">
        <f t="shared" si="91"/>
        <v>99</v>
      </c>
    </row>
    <row r="5879" spans="1:12" ht="25" customHeight="1">
      <c r="A5879" s="2" t="s">
        <v>12</v>
      </c>
      <c r="B5879" s="2" t="str">
        <f>HYPERLINK("http://bbs.12365auto.com/postcontent.aspx?tId=194422","上汽大众朗逸刹车异响无解决方案怎么处理")</f>
        <v>上汽大众朗逸刹车异响无解决方案怎么处理</v>
      </c>
      <c r="C5879" s="2" t="s">
        <v>13</v>
      </c>
      <c r="D5879" s="2" t="s">
        <v>12</v>
      </c>
      <c r="E5879" s="2" t="s">
        <v>66</v>
      </c>
      <c r="F5879" s="2" t="str">
        <f>HYPERLINK("http://bbs.12365auto.com/postcontent.aspx?tId=194422","http://bbs.12365auto.com/postcontent.aspx?tId=194422")</f>
        <v>http://bbs.12365auto.com/postcontent.aspx?tId=194422</v>
      </c>
      <c r="G5879" s="2"/>
      <c r="H5879" s="2" t="s">
        <v>8183</v>
      </c>
      <c r="I5879" s="2" t="s">
        <v>15</v>
      </c>
      <c r="J5879" s="2" t="s">
        <v>8182</v>
      </c>
      <c r="K5879" s="2" t="s">
        <v>8180</v>
      </c>
      <c r="L5879" s="2">
        <f t="shared" si="91"/>
        <v>73</v>
      </c>
    </row>
    <row r="5880" spans="1:12" ht="25" customHeight="1">
      <c r="A5880" s="2" t="s">
        <v>12</v>
      </c>
      <c r="B5880" s="2" t="str">
        <f>HYPERLINK("http://bbs.12365auto.com/postcontent.aspx?tId=194423","奇瑞艾瑞泽7e启动后出现高压故障")</f>
        <v>奇瑞艾瑞泽7e启动后出现高压故障</v>
      </c>
      <c r="C5880" s="2" t="s">
        <v>13</v>
      </c>
      <c r="D5880" s="2" t="s">
        <v>12</v>
      </c>
      <c r="E5880" s="2" t="s">
        <v>66</v>
      </c>
      <c r="F5880" s="2" t="str">
        <f>HYPERLINK("http://bbs.12365auto.com/postcontent.aspx?tId=194423","http://bbs.12365auto.com/postcontent.aspx?tId=194423")</f>
        <v>http://bbs.12365auto.com/postcontent.aspx?tId=194423</v>
      </c>
      <c r="G5880" s="2"/>
      <c r="H5880" s="2" t="s">
        <v>8184</v>
      </c>
      <c r="I5880" s="2" t="s">
        <v>15</v>
      </c>
      <c r="J5880" s="2" t="s">
        <v>8179</v>
      </c>
      <c r="K5880" s="2" t="s">
        <v>8180</v>
      </c>
      <c r="L5880" s="2">
        <f t="shared" si="91"/>
        <v>150</v>
      </c>
    </row>
    <row r="5881" spans="1:12" ht="25" customHeight="1">
      <c r="A5881" s="2" t="s">
        <v>12</v>
      </c>
      <c r="B5881" s="2" t="str">
        <f>HYPERLINK("http://m.12365auto.com/bbs/postcontent.aspx?tID=194423","奇瑞艾瑞泽7e启动后出现高压故障")</f>
        <v>奇瑞艾瑞泽7e启动后出现高压故障</v>
      </c>
      <c r="C5881" s="2" t="s">
        <v>13</v>
      </c>
      <c r="D5881" s="2" t="s">
        <v>23</v>
      </c>
      <c r="E5881" s="2"/>
      <c r="F5881" s="2" t="str">
        <f>HYPERLINK("http://m.12365auto.com/bbs/postcontent.aspx?tID=194423","http://m.12365auto.com/bbs/postcontent.aspx?tID=194423")</f>
        <v>http://m.12365auto.com/bbs/postcontent.aspx?tID=194423</v>
      </c>
      <c r="G5881" s="2"/>
      <c r="H5881" s="2" t="s">
        <v>8184</v>
      </c>
      <c r="I5881" s="2" t="s">
        <v>15</v>
      </c>
      <c r="J5881" s="2" t="s">
        <v>8179</v>
      </c>
      <c r="K5881" s="2" t="s">
        <v>8180</v>
      </c>
      <c r="L5881" s="2">
        <f t="shared" si="91"/>
        <v>150</v>
      </c>
    </row>
    <row r="5882" spans="1:12" ht="25" customHeight="1">
      <c r="A5882" s="2" t="s">
        <v>12</v>
      </c>
      <c r="B5882" s="2" t="str">
        <f>HYPERLINK("http://m.12365auto.com/bbs/postcontent.aspx?tID=194422","上汽大众朗逸刹车异响无解决方案怎么处理")</f>
        <v>上汽大众朗逸刹车异响无解决方案怎么处理</v>
      </c>
      <c r="C5882" s="2" t="s">
        <v>13</v>
      </c>
      <c r="D5882" s="2" t="s">
        <v>23</v>
      </c>
      <c r="E5882" s="2"/>
      <c r="F5882" s="2" t="str">
        <f>HYPERLINK("http://m.12365auto.com/bbs/postcontent.aspx?tID=194422","http://m.12365auto.com/bbs/postcontent.aspx?tID=194422")</f>
        <v>http://m.12365auto.com/bbs/postcontent.aspx?tID=194422</v>
      </c>
      <c r="G5882" s="2"/>
      <c r="H5882" s="2" t="s">
        <v>8183</v>
      </c>
      <c r="I5882" s="2" t="s">
        <v>15</v>
      </c>
      <c r="J5882" s="2" t="s">
        <v>8182</v>
      </c>
      <c r="K5882" s="2" t="s">
        <v>8180</v>
      </c>
      <c r="L5882" s="2">
        <f t="shared" si="91"/>
        <v>73</v>
      </c>
    </row>
    <row r="5883" spans="1:12" ht="25" customHeight="1">
      <c r="A5883" s="2" t="s">
        <v>12</v>
      </c>
      <c r="B5883" s="2" t="str">
        <f>HYPERLINK("http://bbs.12365auto.com/postcontent.aspx?tID=194420","东风悦达起亚焕驰离合器漏油十分严重")</f>
        <v>东风悦达起亚焕驰离合器漏油十分严重</v>
      </c>
      <c r="C5883" s="2" t="s">
        <v>13</v>
      </c>
      <c r="D5883" s="2" t="s">
        <v>12</v>
      </c>
      <c r="E5883" s="2" t="s">
        <v>67</v>
      </c>
      <c r="F5883" s="2" t="str">
        <f>HYPERLINK("http://bbs.12365auto.com/postcontent.aspx?tID=194420","http://bbs.12365auto.com/postcontent.aspx?tID=194420")</f>
        <v>http://bbs.12365auto.com/postcontent.aspx?tID=194420</v>
      </c>
      <c r="G5883" s="2"/>
      <c r="H5883" s="2" t="s">
        <v>8185</v>
      </c>
      <c r="I5883" s="2" t="s">
        <v>15</v>
      </c>
      <c r="J5883" s="2" t="s">
        <v>8186</v>
      </c>
      <c r="K5883" s="2" t="s">
        <v>8187</v>
      </c>
      <c r="L5883" s="2">
        <f t="shared" si="91"/>
        <v>52</v>
      </c>
    </row>
    <row r="5884" spans="1:12" ht="25" customHeight="1">
      <c r="A5884" s="2" t="s">
        <v>12</v>
      </c>
      <c r="B5884" s="2" t="str">
        <f>HYPERLINK("http://bbs.12365auto.com/postcontent.aspx?tID=194421","一汽大众奥迪Q5L全轮驱动系统报警")</f>
        <v>一汽大众奥迪Q5L全轮驱动系统报警</v>
      </c>
      <c r="C5884" s="2" t="s">
        <v>13</v>
      </c>
      <c r="D5884" s="2" t="s">
        <v>12</v>
      </c>
      <c r="E5884" s="2" t="s">
        <v>67</v>
      </c>
      <c r="F5884" s="2" t="str">
        <f>HYPERLINK("http://bbs.12365auto.com/postcontent.aspx?tID=194421","http://bbs.12365auto.com/postcontent.aspx?tID=194421")</f>
        <v>http://bbs.12365auto.com/postcontent.aspx?tID=194421</v>
      </c>
      <c r="G5884" s="2"/>
      <c r="H5884" s="2" t="s">
        <v>8188</v>
      </c>
      <c r="I5884" s="2" t="s">
        <v>15</v>
      </c>
      <c r="J5884" s="2" t="s">
        <v>8189</v>
      </c>
      <c r="K5884" s="2" t="s">
        <v>8187</v>
      </c>
      <c r="L5884" s="2">
        <f t="shared" si="91"/>
        <v>55</v>
      </c>
    </row>
    <row r="5885" spans="1:12" ht="25" customHeight="1">
      <c r="A5885" s="2" t="s">
        <v>12</v>
      </c>
      <c r="B5885" s="2" t="str">
        <f>HYPERLINK("http://bbs.12365auto.com/postcontent.aspx?tId=194420","东风悦达起亚焕驰离合器漏油十分严重")</f>
        <v>东风悦达起亚焕驰离合器漏油十分严重</v>
      </c>
      <c r="C5885" s="2" t="s">
        <v>13</v>
      </c>
      <c r="D5885" s="2" t="s">
        <v>12</v>
      </c>
      <c r="E5885" s="2" t="s">
        <v>66</v>
      </c>
      <c r="F5885" s="2" t="str">
        <f>HYPERLINK("http://bbs.12365auto.com/postcontent.aspx?tId=194420","http://bbs.12365auto.com/postcontent.aspx?tId=194420")</f>
        <v>http://bbs.12365auto.com/postcontent.aspx?tId=194420</v>
      </c>
      <c r="G5885" s="2"/>
      <c r="H5885" s="2" t="s">
        <v>8190</v>
      </c>
      <c r="I5885" s="2" t="s">
        <v>15</v>
      </c>
      <c r="J5885" s="2" t="s">
        <v>8186</v>
      </c>
      <c r="K5885" s="2" t="s">
        <v>8187</v>
      </c>
      <c r="L5885" s="2">
        <f t="shared" si="91"/>
        <v>35</v>
      </c>
    </row>
    <row r="5886" spans="1:12" ht="25" customHeight="1">
      <c r="A5886" s="2" t="s">
        <v>12</v>
      </c>
      <c r="B5886" s="2" t="str">
        <f>HYPERLINK("http://bbs.12365auto.com/postcontent.aspx?tId=194421","一汽大众奥迪Q5L全轮驱动系统报警")</f>
        <v>一汽大众奥迪Q5L全轮驱动系统报警</v>
      </c>
      <c r="C5886" s="2" t="s">
        <v>13</v>
      </c>
      <c r="D5886" s="2" t="s">
        <v>12</v>
      </c>
      <c r="E5886" s="2" t="s">
        <v>66</v>
      </c>
      <c r="F5886" s="2" t="str">
        <f>HYPERLINK("http://bbs.12365auto.com/postcontent.aspx?tId=194421","http://bbs.12365auto.com/postcontent.aspx?tId=194421")</f>
        <v>http://bbs.12365auto.com/postcontent.aspx?tId=194421</v>
      </c>
      <c r="G5886" s="2"/>
      <c r="H5886" s="2" t="s">
        <v>8191</v>
      </c>
      <c r="I5886" s="2" t="s">
        <v>15</v>
      </c>
      <c r="J5886" s="2" t="s">
        <v>8189</v>
      </c>
      <c r="K5886" s="2" t="s">
        <v>8187</v>
      </c>
      <c r="L5886" s="2">
        <f t="shared" si="91"/>
        <v>38</v>
      </c>
    </row>
    <row r="5887" spans="1:12" ht="25" customHeight="1">
      <c r="A5887" s="2" t="s">
        <v>12</v>
      </c>
      <c r="B5887" s="2" t="str">
        <f>HYPERLINK("http://m.12365auto.com/bbs/postcontent.aspx?tID=194421","一汽大众奥迪Q5L全轮驱动系统报警")</f>
        <v>一汽大众奥迪Q5L全轮驱动系统报警</v>
      </c>
      <c r="C5887" s="2" t="s">
        <v>13</v>
      </c>
      <c r="D5887" s="2" t="s">
        <v>23</v>
      </c>
      <c r="E5887" s="2"/>
      <c r="F5887" s="2" t="str">
        <f>HYPERLINK("http://m.12365auto.com/bbs/postcontent.aspx?tID=194421","http://m.12365auto.com/bbs/postcontent.aspx?tID=194421")</f>
        <v>http://m.12365auto.com/bbs/postcontent.aspx?tID=194421</v>
      </c>
      <c r="G5887" s="2"/>
      <c r="H5887" s="2" t="s">
        <v>8191</v>
      </c>
      <c r="I5887" s="2" t="s">
        <v>15</v>
      </c>
      <c r="J5887" s="2" t="s">
        <v>8189</v>
      </c>
      <c r="K5887" s="2" t="s">
        <v>8187</v>
      </c>
      <c r="L5887" s="2">
        <f t="shared" si="91"/>
        <v>38</v>
      </c>
    </row>
    <row r="5888" spans="1:12" ht="25" customHeight="1">
      <c r="A5888" s="2" t="s">
        <v>12</v>
      </c>
      <c r="B5888" s="2" t="str">
        <f>HYPERLINK("http://m.12365auto.com/bbs/postcontent.aspx?tID=194420","东风悦达起亚焕驰离合器漏油十分严重")</f>
        <v>东风悦达起亚焕驰离合器漏油十分严重</v>
      </c>
      <c r="C5888" s="2" t="s">
        <v>13</v>
      </c>
      <c r="D5888" s="2" t="s">
        <v>23</v>
      </c>
      <c r="E5888" s="2"/>
      <c r="F5888" s="2" t="str">
        <f>HYPERLINK("http://m.12365auto.com/bbs/postcontent.aspx?tID=194420","http://m.12365auto.com/bbs/postcontent.aspx?tID=194420")</f>
        <v>http://m.12365auto.com/bbs/postcontent.aspx?tID=194420</v>
      </c>
      <c r="G5888" s="2"/>
      <c r="H5888" s="2" t="s">
        <v>8190</v>
      </c>
      <c r="I5888" s="2" t="s">
        <v>15</v>
      </c>
      <c r="J5888" s="2" t="s">
        <v>8186</v>
      </c>
      <c r="K5888" s="2" t="s">
        <v>8187</v>
      </c>
      <c r="L5888" s="2">
        <f t="shared" si="91"/>
        <v>35</v>
      </c>
    </row>
    <row r="5889" spans="1:12" ht="25" customHeight="1">
      <c r="A5889" s="2" t="s">
        <v>12</v>
      </c>
      <c r="B5889" s="2" t="str">
        <f>HYPERLINK("http://m.12365auto.com/zjdy/20200218/121362.shtml","大众宝来行驶时失速是什么原因怎么处理？")</f>
        <v>大众宝来行驶时失速是什么原因怎么处理？</v>
      </c>
      <c r="C5889" s="2" t="s">
        <v>13</v>
      </c>
      <c r="D5889" s="2" t="s">
        <v>12</v>
      </c>
      <c r="E5889" s="2"/>
      <c r="F5889" s="2" t="str">
        <f>HYPERLINK("http://m.12365auto.com/zjdy/20200218/121362.shtml","http://m.12365auto.com/zjdy/20200218/121362.shtml")</f>
        <v>http://m.12365auto.com/zjdy/20200218/121362.shtml</v>
      </c>
      <c r="G5889" s="2"/>
      <c r="H5889" s="2" t="s">
        <v>8192</v>
      </c>
      <c r="I5889" s="2" t="s">
        <v>19</v>
      </c>
      <c r="J5889" s="2" t="s">
        <v>12</v>
      </c>
      <c r="K5889" s="2" t="s">
        <v>8193</v>
      </c>
      <c r="L5889" s="2">
        <f t="shared" si="91"/>
        <v>51</v>
      </c>
    </row>
    <row r="5890" spans="1:12" ht="25" customHeight="1">
      <c r="A5890" s="2" t="s">
        <v>12</v>
      </c>
      <c r="B5890" s="2" t="str">
        <f>HYPERLINK("http://bbs.12365auto.com/postcontent.aspx?tID=194418","奇瑞艾瑞泽GX电子辅助系统失效")</f>
        <v>奇瑞艾瑞泽GX电子辅助系统失效</v>
      </c>
      <c r="C5890" s="2" t="s">
        <v>13</v>
      </c>
      <c r="D5890" s="2" t="s">
        <v>12</v>
      </c>
      <c r="E5890" s="2" t="s">
        <v>67</v>
      </c>
      <c r="F5890" s="2" t="str">
        <f>HYPERLINK("http://bbs.12365auto.com/postcontent.aspx?tID=194418","http://bbs.12365auto.com/postcontent.aspx?tID=194418")</f>
        <v>http://bbs.12365auto.com/postcontent.aspx?tID=194418</v>
      </c>
      <c r="G5890" s="2"/>
      <c r="H5890" s="2" t="s">
        <v>8194</v>
      </c>
      <c r="I5890" s="2" t="s">
        <v>15</v>
      </c>
      <c r="J5890" s="2" t="s">
        <v>8195</v>
      </c>
      <c r="K5890" s="2" t="s">
        <v>8196</v>
      </c>
      <c r="L5890" s="2">
        <f t="shared" si="91"/>
        <v>66</v>
      </c>
    </row>
    <row r="5891" spans="1:12" ht="25" customHeight="1">
      <c r="A5891" s="2" t="s">
        <v>12</v>
      </c>
      <c r="B5891" s="2" t="str">
        <f>HYPERLINK("http://bbs.12365auto.com/postcontent.aspx?tId=194419","上汽大众帕萨特中保研测试A柱严重变形")</f>
        <v>上汽大众帕萨特中保研测试A柱严重变形</v>
      </c>
      <c r="C5891" s="2" t="s">
        <v>13</v>
      </c>
      <c r="D5891" s="2" t="s">
        <v>12</v>
      </c>
      <c r="E5891" s="2" t="s">
        <v>66</v>
      </c>
      <c r="F5891" s="2" t="str">
        <f>HYPERLINK("http://bbs.12365auto.com/postcontent.aspx?tId=194419","http://bbs.12365auto.com/postcontent.aspx?tId=194419")</f>
        <v>http://bbs.12365auto.com/postcontent.aspx?tId=194419</v>
      </c>
      <c r="G5891" s="2"/>
      <c r="H5891" s="2" t="s">
        <v>6329</v>
      </c>
      <c r="I5891" s="2" t="s">
        <v>15</v>
      </c>
      <c r="J5891" s="2" t="s">
        <v>8197</v>
      </c>
      <c r="K5891" s="2" t="s">
        <v>8196</v>
      </c>
      <c r="L5891" s="2">
        <f t="shared" ref="L5891:L5954" si="92">LEN(H5891)</f>
        <v>150</v>
      </c>
    </row>
    <row r="5892" spans="1:12" ht="25" customHeight="1">
      <c r="A5892" s="2" t="s">
        <v>12</v>
      </c>
      <c r="B5892" s="2" t="str">
        <f>HYPERLINK("http://bbs.12365auto.com/postcontent.aspx?tId=194418","奇瑞艾瑞泽GX电子辅助系统失效")</f>
        <v>奇瑞艾瑞泽GX电子辅助系统失效</v>
      </c>
      <c r="C5892" s="2" t="s">
        <v>13</v>
      </c>
      <c r="D5892" s="2" t="s">
        <v>12</v>
      </c>
      <c r="E5892" s="2" t="s">
        <v>66</v>
      </c>
      <c r="F5892" s="2" t="str">
        <f>HYPERLINK("http://bbs.12365auto.com/postcontent.aspx?tId=194418","http://bbs.12365auto.com/postcontent.aspx?tId=194418")</f>
        <v>http://bbs.12365auto.com/postcontent.aspx?tId=194418</v>
      </c>
      <c r="G5892" s="2"/>
      <c r="H5892" s="2" t="s">
        <v>8198</v>
      </c>
      <c r="I5892" s="2" t="s">
        <v>15</v>
      </c>
      <c r="J5892" s="2" t="s">
        <v>8195</v>
      </c>
      <c r="K5892" s="2" t="s">
        <v>8196</v>
      </c>
      <c r="L5892" s="2">
        <f t="shared" si="92"/>
        <v>51</v>
      </c>
    </row>
    <row r="5893" spans="1:12" ht="25" customHeight="1">
      <c r="A5893" s="2" t="s">
        <v>12</v>
      </c>
      <c r="B5893" s="2" t="str">
        <f>HYPERLINK("http://m.12365auto.com/bbs/postcontent.aspx?tID=194419","上汽大众帕萨特中保研测试A柱严重变形")</f>
        <v>上汽大众帕萨特中保研测试A柱严重变形</v>
      </c>
      <c r="C5893" s="2" t="s">
        <v>13</v>
      </c>
      <c r="D5893" s="2" t="s">
        <v>23</v>
      </c>
      <c r="E5893" s="2"/>
      <c r="F5893" s="2" t="str">
        <f>HYPERLINK("http://m.12365auto.com/bbs/postcontent.aspx?tID=194419","http://m.12365auto.com/bbs/postcontent.aspx?tID=194419")</f>
        <v>http://m.12365auto.com/bbs/postcontent.aspx?tID=194419</v>
      </c>
      <c r="G5893" s="2"/>
      <c r="H5893" s="2" t="s">
        <v>6329</v>
      </c>
      <c r="I5893" s="2" t="s">
        <v>15</v>
      </c>
      <c r="J5893" s="2" t="s">
        <v>8197</v>
      </c>
      <c r="K5893" s="2" t="s">
        <v>8196</v>
      </c>
      <c r="L5893" s="2">
        <f t="shared" si="92"/>
        <v>150</v>
      </c>
    </row>
    <row r="5894" spans="1:12" ht="25" customHeight="1">
      <c r="A5894" s="2" t="s">
        <v>12</v>
      </c>
      <c r="B5894" s="2" t="str">
        <f>HYPERLINK("http://m.12365auto.com/bbs/postcontent.aspx?tID=194418","奇瑞艾瑞泽GX电子辅助系统失效")</f>
        <v>奇瑞艾瑞泽GX电子辅助系统失效</v>
      </c>
      <c r="C5894" s="2" t="s">
        <v>13</v>
      </c>
      <c r="D5894" s="2" t="s">
        <v>23</v>
      </c>
      <c r="E5894" s="2"/>
      <c r="F5894" s="2" t="str">
        <f>HYPERLINK("http://m.12365auto.com/bbs/postcontent.aspx?tID=194418","http://m.12365auto.com/bbs/postcontent.aspx?tID=194418")</f>
        <v>http://m.12365auto.com/bbs/postcontent.aspx?tID=194418</v>
      </c>
      <c r="G5894" s="2"/>
      <c r="H5894" s="2" t="s">
        <v>8198</v>
      </c>
      <c r="I5894" s="2" t="s">
        <v>15</v>
      </c>
      <c r="J5894" s="2" t="s">
        <v>8195</v>
      </c>
      <c r="K5894" s="2" t="s">
        <v>8196</v>
      </c>
      <c r="L5894" s="2">
        <f t="shared" si="92"/>
        <v>51</v>
      </c>
    </row>
    <row r="5895" spans="1:12" ht="25" customHeight="1">
      <c r="A5895" s="2" t="s">
        <v>12</v>
      </c>
      <c r="B5895" s="2" t="str">
        <f>HYPERLINK("http://bbs.12365auto.com/postcontent.aspx?tID=194419","上汽大众帕萨特中保研测试A柱严重变形")</f>
        <v>上汽大众帕萨特中保研测试A柱严重变形</v>
      </c>
      <c r="C5895" s="2" t="s">
        <v>13</v>
      </c>
      <c r="D5895" s="2" t="s">
        <v>12</v>
      </c>
      <c r="E5895" s="2" t="s">
        <v>67</v>
      </c>
      <c r="F5895" s="2" t="str">
        <f>HYPERLINK("http://bbs.12365auto.com/postcontent.aspx?tID=194419","http://bbs.12365auto.com/postcontent.aspx?tID=194419")</f>
        <v>http://bbs.12365auto.com/postcontent.aspx?tID=194419</v>
      </c>
      <c r="G5895" s="2"/>
      <c r="H5895" s="2" t="s">
        <v>8199</v>
      </c>
      <c r="I5895" s="2" t="s">
        <v>15</v>
      </c>
      <c r="J5895" s="2" t="s">
        <v>8197</v>
      </c>
      <c r="K5895" s="2" t="s">
        <v>8196</v>
      </c>
      <c r="L5895" s="2">
        <f t="shared" si="92"/>
        <v>150</v>
      </c>
    </row>
    <row r="5896" spans="1:12" ht="25" customHeight="1">
      <c r="A5896" s="2" t="s">
        <v>12</v>
      </c>
      <c r="B5896" s="2" t="str">
        <f>HYPERLINK("http://bbs.12365auto.com/postcontent.aspx?tID=194416","东风日产奇骏未发生碰撞漆面龟裂")</f>
        <v>东风日产奇骏未发生碰撞漆面龟裂</v>
      </c>
      <c r="C5896" s="2" t="s">
        <v>13</v>
      </c>
      <c r="D5896" s="2" t="s">
        <v>12</v>
      </c>
      <c r="E5896" s="2" t="s">
        <v>67</v>
      </c>
      <c r="F5896" s="2" t="str">
        <f>HYPERLINK("http://bbs.12365auto.com/postcontent.aspx?tID=194416","http://bbs.12365auto.com/postcontent.aspx?tID=194416")</f>
        <v>http://bbs.12365auto.com/postcontent.aspx?tID=194416</v>
      </c>
      <c r="G5896" s="2"/>
      <c r="H5896" s="2" t="s">
        <v>8200</v>
      </c>
      <c r="I5896" s="2" t="s">
        <v>15</v>
      </c>
      <c r="J5896" s="2" t="s">
        <v>8201</v>
      </c>
      <c r="K5896" s="2" t="s">
        <v>8202</v>
      </c>
      <c r="L5896" s="2">
        <f t="shared" si="92"/>
        <v>150</v>
      </c>
    </row>
    <row r="5897" spans="1:12" ht="25" customHeight="1">
      <c r="A5897" s="2" t="s">
        <v>12</v>
      </c>
      <c r="B5897" s="2" t="str">
        <f>HYPERLINK("http://bbs.12365auto.com/postcontent.aspx?tId=194417","上汽名爵ZS发动机部件生锈希望处理")</f>
        <v>上汽名爵ZS发动机部件生锈希望处理</v>
      </c>
      <c r="C5897" s="2" t="s">
        <v>13</v>
      </c>
      <c r="D5897" s="2" t="s">
        <v>12</v>
      </c>
      <c r="E5897" s="2" t="s">
        <v>66</v>
      </c>
      <c r="F5897" s="2" t="str">
        <f>HYPERLINK("http://bbs.12365auto.com/postcontent.aspx?tId=194417","http://bbs.12365auto.com/postcontent.aspx?tId=194417")</f>
        <v>http://bbs.12365auto.com/postcontent.aspx?tId=194417</v>
      </c>
      <c r="G5897" s="2"/>
      <c r="H5897" s="2" t="s">
        <v>8203</v>
      </c>
      <c r="I5897" s="2" t="s">
        <v>15</v>
      </c>
      <c r="J5897" s="2" t="s">
        <v>8204</v>
      </c>
      <c r="K5897" s="2" t="s">
        <v>8202</v>
      </c>
      <c r="L5897" s="2">
        <f t="shared" si="92"/>
        <v>55</v>
      </c>
    </row>
    <row r="5898" spans="1:12" ht="25" customHeight="1">
      <c r="A5898" s="2" t="s">
        <v>12</v>
      </c>
      <c r="B5898" s="2" t="str">
        <f>HYPERLINK("http://bbs.12365auto.com/postcontent.aspx?tId=194416","东风日产奇骏未发生碰撞漆面龟裂")</f>
        <v>东风日产奇骏未发生碰撞漆面龟裂</v>
      </c>
      <c r="C5898" s="2" t="s">
        <v>13</v>
      </c>
      <c r="D5898" s="2" t="s">
        <v>12</v>
      </c>
      <c r="E5898" s="2" t="s">
        <v>66</v>
      </c>
      <c r="F5898" s="2" t="str">
        <f>HYPERLINK("http://bbs.12365auto.com/postcontent.aspx?tId=194416","http://bbs.12365auto.com/postcontent.aspx?tId=194416")</f>
        <v>http://bbs.12365auto.com/postcontent.aspx?tId=194416</v>
      </c>
      <c r="G5898" s="2"/>
      <c r="H5898" s="2" t="s">
        <v>8205</v>
      </c>
      <c r="I5898" s="2" t="s">
        <v>15</v>
      </c>
      <c r="J5898" s="2" t="s">
        <v>8201</v>
      </c>
      <c r="K5898" s="2" t="s">
        <v>8202</v>
      </c>
      <c r="L5898" s="2">
        <f t="shared" si="92"/>
        <v>139</v>
      </c>
    </row>
    <row r="5899" spans="1:12" ht="25" customHeight="1">
      <c r="A5899" s="2" t="s">
        <v>12</v>
      </c>
      <c r="B5899" s="2" t="str">
        <f>HYPERLINK("http://m.12365auto.com/bbs/postcontent.aspx?tID=194416","东风日产奇骏未发生碰撞漆面龟裂")</f>
        <v>东风日产奇骏未发生碰撞漆面龟裂</v>
      </c>
      <c r="C5899" s="2" t="s">
        <v>13</v>
      </c>
      <c r="D5899" s="2" t="s">
        <v>23</v>
      </c>
      <c r="E5899" s="2"/>
      <c r="F5899" s="2" t="str">
        <f>HYPERLINK("http://m.12365auto.com/bbs/postcontent.aspx?tID=194416","http://m.12365auto.com/bbs/postcontent.aspx?tID=194416")</f>
        <v>http://m.12365auto.com/bbs/postcontent.aspx?tID=194416</v>
      </c>
      <c r="G5899" s="2"/>
      <c r="H5899" s="2" t="s">
        <v>8205</v>
      </c>
      <c r="I5899" s="2" t="s">
        <v>15</v>
      </c>
      <c r="J5899" s="2" t="s">
        <v>8201</v>
      </c>
      <c r="K5899" s="2" t="s">
        <v>8202</v>
      </c>
      <c r="L5899" s="2">
        <f t="shared" si="92"/>
        <v>139</v>
      </c>
    </row>
    <row r="5900" spans="1:12" ht="25" customHeight="1">
      <c r="A5900" s="2" t="s">
        <v>12</v>
      </c>
      <c r="B5900" s="2" t="str">
        <f>HYPERLINK("http://m.12365auto.com/bbs/postcontent.aspx?tID=194417","上汽名爵ZS发动机部件生锈希望处理")</f>
        <v>上汽名爵ZS发动机部件生锈希望处理</v>
      </c>
      <c r="C5900" s="2" t="s">
        <v>13</v>
      </c>
      <c r="D5900" s="2" t="s">
        <v>23</v>
      </c>
      <c r="E5900" s="2"/>
      <c r="F5900" s="2" t="str">
        <f>HYPERLINK("http://m.12365auto.com/bbs/postcontent.aspx?tID=194417","http://m.12365auto.com/bbs/postcontent.aspx?tID=194417")</f>
        <v>http://m.12365auto.com/bbs/postcontent.aspx?tID=194417</v>
      </c>
      <c r="G5900" s="2"/>
      <c r="H5900" s="2" t="s">
        <v>8203</v>
      </c>
      <c r="I5900" s="2" t="s">
        <v>15</v>
      </c>
      <c r="J5900" s="2" t="s">
        <v>8204</v>
      </c>
      <c r="K5900" s="2" t="s">
        <v>8202</v>
      </c>
      <c r="L5900" s="2">
        <f t="shared" si="92"/>
        <v>55</v>
      </c>
    </row>
    <row r="5901" spans="1:12" ht="25" customHeight="1">
      <c r="A5901" s="2" t="s">
        <v>12</v>
      </c>
      <c r="B5901" s="2" t="str">
        <f>HYPERLINK("http://bbs.12365auto.com/postcontent.aspx?tID=194417","上汽名爵ZS发动机部件生锈希望处理")</f>
        <v>上汽名爵ZS发动机部件生锈希望处理</v>
      </c>
      <c r="C5901" s="2" t="s">
        <v>13</v>
      </c>
      <c r="D5901" s="2" t="s">
        <v>12</v>
      </c>
      <c r="E5901" s="2" t="s">
        <v>67</v>
      </c>
      <c r="F5901" s="2" t="str">
        <f>HYPERLINK("http://bbs.12365auto.com/postcontent.aspx?tID=194417","http://bbs.12365auto.com/postcontent.aspx?tID=194417")</f>
        <v>http://bbs.12365auto.com/postcontent.aspx?tID=194417</v>
      </c>
      <c r="G5901" s="2"/>
      <c r="H5901" s="2" t="s">
        <v>8206</v>
      </c>
      <c r="I5901" s="2" t="s">
        <v>15</v>
      </c>
      <c r="J5901" s="2" t="s">
        <v>8204</v>
      </c>
      <c r="K5901" s="2" t="s">
        <v>8202</v>
      </c>
      <c r="L5901" s="2">
        <f t="shared" si="92"/>
        <v>72</v>
      </c>
    </row>
    <row r="5902" spans="1:12" ht="25" customHeight="1">
      <c r="A5902" s="2" t="s">
        <v>12</v>
      </c>
      <c r="B5902" s="2" t="str">
        <f>HYPERLINK("http://bbs.12365auto.com/postcontent.aspx?tID=194414","奇瑞瑞虎5x发动机抖动异响太严重了")</f>
        <v>奇瑞瑞虎5x发动机抖动异响太严重了</v>
      </c>
      <c r="C5902" s="2" t="s">
        <v>13</v>
      </c>
      <c r="D5902" s="2" t="s">
        <v>12</v>
      </c>
      <c r="E5902" s="2" t="s">
        <v>67</v>
      </c>
      <c r="F5902" s="2" t="str">
        <f>HYPERLINK("http://bbs.12365auto.com/postcontent.aspx?tID=194414","http://bbs.12365auto.com/postcontent.aspx?tID=194414")</f>
        <v>http://bbs.12365auto.com/postcontent.aspx?tID=194414</v>
      </c>
      <c r="G5902" s="2"/>
      <c r="H5902" s="2" t="s">
        <v>8207</v>
      </c>
      <c r="I5902" s="2" t="s">
        <v>15</v>
      </c>
      <c r="J5902" s="2" t="s">
        <v>8208</v>
      </c>
      <c r="K5902" s="2" t="s">
        <v>8209</v>
      </c>
      <c r="L5902" s="2">
        <f t="shared" si="92"/>
        <v>64</v>
      </c>
    </row>
    <row r="5903" spans="1:12" ht="25" customHeight="1">
      <c r="A5903" s="2" t="s">
        <v>12</v>
      </c>
      <c r="B5903" s="2" t="str">
        <f>HYPERLINK("http://bbs.12365auto.com/postcontent.aspx?tID=194415","进口宝马X5新能源动力电池频繁故障")</f>
        <v>进口宝马X5新能源动力电池频繁故障</v>
      </c>
      <c r="C5903" s="2" t="s">
        <v>13</v>
      </c>
      <c r="D5903" s="2" t="s">
        <v>12</v>
      </c>
      <c r="E5903" s="2" t="s">
        <v>67</v>
      </c>
      <c r="F5903" s="2" t="str">
        <f>HYPERLINK("http://bbs.12365auto.com/postcontent.aspx?tID=194415","http://bbs.12365auto.com/postcontent.aspx?tID=194415")</f>
        <v>http://bbs.12365auto.com/postcontent.aspx?tID=194415</v>
      </c>
      <c r="G5903" s="2"/>
      <c r="H5903" s="2" t="s">
        <v>8210</v>
      </c>
      <c r="I5903" s="2" t="s">
        <v>15</v>
      </c>
      <c r="J5903" s="2" t="s">
        <v>8211</v>
      </c>
      <c r="K5903" s="2" t="s">
        <v>8209</v>
      </c>
      <c r="L5903" s="2">
        <f t="shared" si="92"/>
        <v>150</v>
      </c>
    </row>
    <row r="5904" spans="1:12" ht="25" customHeight="1">
      <c r="A5904" s="2" t="s">
        <v>12</v>
      </c>
      <c r="B5904" s="2" t="str">
        <f>HYPERLINK("http://bbs.12365auto.com/postcontent.aspx?tId=194414","奇瑞瑞虎5x发动机抖动异响太严重了")</f>
        <v>奇瑞瑞虎5x发动机抖动异响太严重了</v>
      </c>
      <c r="C5904" s="2" t="s">
        <v>13</v>
      </c>
      <c r="D5904" s="2" t="s">
        <v>12</v>
      </c>
      <c r="E5904" s="2" t="s">
        <v>66</v>
      </c>
      <c r="F5904" s="2" t="str">
        <f>HYPERLINK("http://bbs.12365auto.com/postcontent.aspx?tId=194414","http://bbs.12365auto.com/postcontent.aspx?tId=194414")</f>
        <v>http://bbs.12365auto.com/postcontent.aspx?tId=194414</v>
      </c>
      <c r="G5904" s="2"/>
      <c r="H5904" s="2" t="s">
        <v>8212</v>
      </c>
      <c r="I5904" s="2" t="s">
        <v>15</v>
      </c>
      <c r="J5904" s="2" t="s">
        <v>8208</v>
      </c>
      <c r="K5904" s="2" t="s">
        <v>8209</v>
      </c>
      <c r="L5904" s="2">
        <f t="shared" si="92"/>
        <v>41</v>
      </c>
    </row>
    <row r="5905" spans="1:12" ht="25" customHeight="1">
      <c r="A5905" s="2" t="s">
        <v>12</v>
      </c>
      <c r="B5905" s="2" t="str">
        <f>HYPERLINK("http://bbs.12365auto.com/postcontent.aspx?tId=194415","进口宝马X5新能源动力电池频繁故障")</f>
        <v>进口宝马X5新能源动力电池频繁故障</v>
      </c>
      <c r="C5905" s="2" t="s">
        <v>13</v>
      </c>
      <c r="D5905" s="2" t="s">
        <v>12</v>
      </c>
      <c r="E5905" s="2" t="s">
        <v>66</v>
      </c>
      <c r="F5905" s="2" t="str">
        <f>HYPERLINK("http://bbs.12365auto.com/postcontent.aspx?tId=194415","http://bbs.12365auto.com/postcontent.aspx?tId=194415")</f>
        <v>http://bbs.12365auto.com/postcontent.aspx?tId=194415</v>
      </c>
      <c r="G5905" s="2"/>
      <c r="H5905" s="2" t="s">
        <v>8213</v>
      </c>
      <c r="I5905" s="2" t="s">
        <v>15</v>
      </c>
      <c r="J5905" s="2" t="s">
        <v>8211</v>
      </c>
      <c r="K5905" s="2" t="s">
        <v>8209</v>
      </c>
      <c r="L5905" s="2">
        <f t="shared" si="92"/>
        <v>150</v>
      </c>
    </row>
    <row r="5906" spans="1:12" ht="25" customHeight="1">
      <c r="A5906" s="2" t="s">
        <v>12</v>
      </c>
      <c r="B5906" s="2" t="str">
        <f>HYPERLINK("http://m.12365auto.com/bbs/postcontent.aspx?tID=194414","奇瑞瑞虎5x发动机抖动异响太严重了")</f>
        <v>奇瑞瑞虎5x发动机抖动异响太严重了</v>
      </c>
      <c r="C5906" s="2" t="s">
        <v>13</v>
      </c>
      <c r="D5906" s="2" t="s">
        <v>23</v>
      </c>
      <c r="E5906" s="2"/>
      <c r="F5906" s="2" t="str">
        <f>HYPERLINK("http://m.12365auto.com/bbs/postcontent.aspx?tID=194414","http://m.12365auto.com/bbs/postcontent.aspx?tID=194414")</f>
        <v>http://m.12365auto.com/bbs/postcontent.aspx?tID=194414</v>
      </c>
      <c r="G5906" s="2"/>
      <c r="H5906" s="2" t="s">
        <v>8212</v>
      </c>
      <c r="I5906" s="2" t="s">
        <v>15</v>
      </c>
      <c r="J5906" s="2" t="s">
        <v>8208</v>
      </c>
      <c r="K5906" s="2" t="s">
        <v>8209</v>
      </c>
      <c r="L5906" s="2">
        <f t="shared" si="92"/>
        <v>41</v>
      </c>
    </row>
    <row r="5907" spans="1:12" ht="25" customHeight="1">
      <c r="A5907" s="2" t="s">
        <v>12</v>
      </c>
      <c r="B5907" s="2" t="str">
        <f>HYPERLINK("http://m.12365auto.com/bbs/postcontent.aspx?tID=194415","进口宝马X5新能源动力电池频繁故障")</f>
        <v>进口宝马X5新能源动力电池频繁故障</v>
      </c>
      <c r="C5907" s="2" t="s">
        <v>13</v>
      </c>
      <c r="D5907" s="2" t="s">
        <v>23</v>
      </c>
      <c r="E5907" s="2"/>
      <c r="F5907" s="2" t="str">
        <f>HYPERLINK("http://m.12365auto.com/bbs/postcontent.aspx?tID=194415","http://m.12365auto.com/bbs/postcontent.aspx?tID=194415")</f>
        <v>http://m.12365auto.com/bbs/postcontent.aspx?tID=194415</v>
      </c>
      <c r="G5907" s="2"/>
      <c r="H5907" s="2" t="s">
        <v>8213</v>
      </c>
      <c r="I5907" s="2" t="s">
        <v>15</v>
      </c>
      <c r="J5907" s="2" t="s">
        <v>8211</v>
      </c>
      <c r="K5907" s="2" t="s">
        <v>8209</v>
      </c>
      <c r="L5907" s="2">
        <f t="shared" si="92"/>
        <v>150</v>
      </c>
    </row>
    <row r="5908" spans="1:12" ht="25" customHeight="1">
      <c r="A5908" s="2" t="s">
        <v>12</v>
      </c>
      <c r="B5908" s="2" t="str">
        <f>HYPERLINK("http://bbs.12365auto.com/postcontent.aspx?tID=194412","一汽大众宝来发动机烧机油一直不解决")</f>
        <v>一汽大众宝来发动机烧机油一直不解决</v>
      </c>
      <c r="C5908" s="2" t="s">
        <v>13</v>
      </c>
      <c r="D5908" s="2" t="s">
        <v>12</v>
      </c>
      <c r="E5908" s="2" t="s">
        <v>67</v>
      </c>
      <c r="F5908" s="2" t="str">
        <f>HYPERLINK("http://bbs.12365auto.com/postcontent.aspx?tID=194412","http://bbs.12365auto.com/postcontent.aspx?tID=194412")</f>
        <v>http://bbs.12365auto.com/postcontent.aspx?tID=194412</v>
      </c>
      <c r="G5908" s="2"/>
      <c r="H5908" s="2" t="s">
        <v>8214</v>
      </c>
      <c r="I5908" s="2" t="s">
        <v>15</v>
      </c>
      <c r="J5908" s="2" t="s">
        <v>8215</v>
      </c>
      <c r="K5908" s="2" t="s">
        <v>8216</v>
      </c>
      <c r="L5908" s="2">
        <f t="shared" si="92"/>
        <v>65</v>
      </c>
    </row>
    <row r="5909" spans="1:12" ht="25" customHeight="1">
      <c r="A5909" s="2" t="s">
        <v>12</v>
      </c>
      <c r="B5909" s="2" t="str">
        <f>HYPERLINK("http://bbs.12365auto.com/postcontent.aspx?tID=194413","一汽奔腾B30转向卡滞多次维修未解决")</f>
        <v>一汽奔腾B30转向卡滞多次维修未解决</v>
      </c>
      <c r="C5909" s="2" t="s">
        <v>13</v>
      </c>
      <c r="D5909" s="2" t="s">
        <v>12</v>
      </c>
      <c r="E5909" s="2" t="s">
        <v>67</v>
      </c>
      <c r="F5909" s="2" t="str">
        <f>HYPERLINK("http://bbs.12365auto.com/postcontent.aspx?tID=194413","http://bbs.12365auto.com/postcontent.aspx?tID=194413")</f>
        <v>http://bbs.12365auto.com/postcontent.aspx?tID=194413</v>
      </c>
      <c r="G5909" s="2"/>
      <c r="H5909" s="2" t="s">
        <v>8217</v>
      </c>
      <c r="I5909" s="2" t="s">
        <v>15</v>
      </c>
      <c r="J5909" s="2" t="s">
        <v>8218</v>
      </c>
      <c r="K5909" s="2" t="s">
        <v>8216</v>
      </c>
      <c r="L5909" s="2">
        <f t="shared" si="92"/>
        <v>146</v>
      </c>
    </row>
    <row r="5910" spans="1:12" ht="25" customHeight="1">
      <c r="A5910" s="2" t="s">
        <v>12</v>
      </c>
      <c r="B5910" s="2" t="str">
        <f>HYPERLINK("http://bbs.12365auto.com/postcontent.aspx?tId=194412","一汽大众宝来发动机烧机油一直不解决")</f>
        <v>一汽大众宝来发动机烧机油一直不解决</v>
      </c>
      <c r="C5910" s="2" t="s">
        <v>13</v>
      </c>
      <c r="D5910" s="2" t="s">
        <v>12</v>
      </c>
      <c r="E5910" s="2" t="s">
        <v>66</v>
      </c>
      <c r="F5910" s="2" t="str">
        <f>HYPERLINK("http://bbs.12365auto.com/postcontent.aspx?tId=194412","http://bbs.12365auto.com/postcontent.aspx?tId=194412")</f>
        <v>http://bbs.12365auto.com/postcontent.aspx?tId=194412</v>
      </c>
      <c r="G5910" s="2"/>
      <c r="H5910" s="2" t="s">
        <v>8219</v>
      </c>
      <c r="I5910" s="2" t="s">
        <v>15</v>
      </c>
      <c r="J5910" s="2" t="s">
        <v>8215</v>
      </c>
      <c r="K5910" s="2" t="s">
        <v>8216</v>
      </c>
      <c r="L5910" s="2">
        <f t="shared" si="92"/>
        <v>43</v>
      </c>
    </row>
    <row r="5911" spans="1:12" ht="25" customHeight="1">
      <c r="A5911" s="2" t="s">
        <v>12</v>
      </c>
      <c r="B5911" s="2" t="str">
        <f>HYPERLINK("http://bbs.12365auto.com/postcontent.aspx?tId=194413","一汽奔腾B30转向卡滞多次维修未解决")</f>
        <v>一汽奔腾B30转向卡滞多次维修未解决</v>
      </c>
      <c r="C5911" s="2" t="s">
        <v>13</v>
      </c>
      <c r="D5911" s="2" t="s">
        <v>12</v>
      </c>
      <c r="E5911" s="2" t="s">
        <v>66</v>
      </c>
      <c r="F5911" s="2" t="str">
        <f>HYPERLINK("http://bbs.12365auto.com/postcontent.aspx?tId=194413","http://bbs.12365auto.com/postcontent.aspx?tId=194413")</f>
        <v>http://bbs.12365auto.com/postcontent.aspx?tId=194413</v>
      </c>
      <c r="G5911" s="2"/>
      <c r="H5911" s="2" t="s">
        <v>8220</v>
      </c>
      <c r="I5911" s="2" t="s">
        <v>15</v>
      </c>
      <c r="J5911" s="2" t="s">
        <v>8218</v>
      </c>
      <c r="K5911" s="2" t="s">
        <v>8216</v>
      </c>
      <c r="L5911" s="2">
        <f t="shared" si="92"/>
        <v>128</v>
      </c>
    </row>
    <row r="5912" spans="1:12" ht="25" customHeight="1">
      <c r="A5912" s="2" t="s">
        <v>12</v>
      </c>
      <c r="B5912" s="2" t="str">
        <f>HYPERLINK("http://m.12365auto.com/zjdy/20200218/121361.shtml","车辆的轮胎应该如何进行四轮换位？")</f>
        <v>车辆的轮胎应该如何进行四轮换位？</v>
      </c>
      <c r="C5912" s="2" t="s">
        <v>13</v>
      </c>
      <c r="D5912" s="2" t="s">
        <v>12</v>
      </c>
      <c r="E5912" s="2"/>
      <c r="F5912" s="2" t="str">
        <f>HYPERLINK("http://m.12365auto.com/zjdy/20200218/121361.shtml","http://m.12365auto.com/zjdy/20200218/121361.shtml")</f>
        <v>http://m.12365auto.com/zjdy/20200218/121361.shtml</v>
      </c>
      <c r="G5912" s="2"/>
      <c r="H5912" s="2" t="s">
        <v>8221</v>
      </c>
      <c r="I5912" s="2" t="s">
        <v>19</v>
      </c>
      <c r="J5912" s="2" t="s">
        <v>12</v>
      </c>
      <c r="K5912" s="2" t="s">
        <v>8222</v>
      </c>
      <c r="L5912" s="2">
        <f t="shared" si="92"/>
        <v>19</v>
      </c>
    </row>
    <row r="5913" spans="1:12" ht="25" customHeight="1">
      <c r="A5913" s="2" t="s">
        <v>12</v>
      </c>
      <c r="B5913" s="2" t="str">
        <f>HYPERLINK("http://m.12365auto.com/zjdy/20200218/121360.shtml","风云2主驾驶音响破音是什么原因导致的？")</f>
        <v>风云2主驾驶音响破音是什么原因导致的？</v>
      </c>
      <c r="C5913" s="2" t="s">
        <v>13</v>
      </c>
      <c r="D5913" s="2" t="s">
        <v>12</v>
      </c>
      <c r="E5913" s="2"/>
      <c r="F5913" s="2" t="str">
        <f>HYPERLINK("http://m.12365auto.com/zjdy/20200218/121360.shtml","http://m.12365auto.com/zjdy/20200218/121360.shtml")</f>
        <v>http://m.12365auto.com/zjdy/20200218/121360.shtml</v>
      </c>
      <c r="G5913" s="2"/>
      <c r="H5913" s="2" t="s">
        <v>8223</v>
      </c>
      <c r="I5913" s="2" t="s">
        <v>19</v>
      </c>
      <c r="J5913" s="2" t="s">
        <v>12</v>
      </c>
      <c r="K5913" s="2" t="s">
        <v>8222</v>
      </c>
      <c r="L5913" s="2">
        <f t="shared" si="92"/>
        <v>74</v>
      </c>
    </row>
    <row r="5914" spans="1:12" ht="25" customHeight="1">
      <c r="A5914" s="2" t="s">
        <v>12</v>
      </c>
      <c r="B5914" s="2" t="str">
        <f>HYPERLINK("http://bbs.12365auto.com/postcontent.aspx?tId=194411","上汽大众途安挂挡时变速箱有异响")</f>
        <v>上汽大众途安挂挡时变速箱有异响</v>
      </c>
      <c r="C5914" s="2" t="s">
        <v>13</v>
      </c>
      <c r="D5914" s="2" t="s">
        <v>12</v>
      </c>
      <c r="E5914" s="2" t="s">
        <v>66</v>
      </c>
      <c r="F5914" s="2" t="str">
        <f>HYPERLINK("http://bbs.12365auto.com/postcontent.aspx?tId=194411","http://bbs.12365auto.com/postcontent.aspx?tId=194411")</f>
        <v>http://bbs.12365auto.com/postcontent.aspx?tId=194411</v>
      </c>
      <c r="G5914" s="2"/>
      <c r="H5914" s="2" t="s">
        <v>8224</v>
      </c>
      <c r="I5914" s="2" t="s">
        <v>15</v>
      </c>
      <c r="J5914" s="2" t="s">
        <v>8225</v>
      </c>
      <c r="K5914" s="2" t="s">
        <v>8226</v>
      </c>
      <c r="L5914" s="2">
        <f t="shared" si="92"/>
        <v>150</v>
      </c>
    </row>
    <row r="5915" spans="1:12" ht="25" customHeight="1">
      <c r="A5915" s="2" t="s">
        <v>12</v>
      </c>
      <c r="B5915" s="2" t="str">
        <f>HYPERLINK("http://bbs.12365auto.com/postcontent.aspx?tId=194410","北京现代ix25前轮吃胎偏磨影响安全啊")</f>
        <v>北京现代ix25前轮吃胎偏磨影响安全啊</v>
      </c>
      <c r="C5915" s="2" t="s">
        <v>13</v>
      </c>
      <c r="D5915" s="2" t="s">
        <v>12</v>
      </c>
      <c r="E5915" s="2" t="s">
        <v>66</v>
      </c>
      <c r="F5915" s="2" t="str">
        <f>HYPERLINK("http://bbs.12365auto.com/postcontent.aspx?tId=194410","http://bbs.12365auto.com/postcontent.aspx?tId=194410")</f>
        <v>http://bbs.12365auto.com/postcontent.aspx?tId=194410</v>
      </c>
      <c r="G5915" s="2"/>
      <c r="H5915" s="2" t="s">
        <v>8227</v>
      </c>
      <c r="I5915" s="2" t="s">
        <v>15</v>
      </c>
      <c r="J5915" s="2" t="s">
        <v>8228</v>
      </c>
      <c r="K5915" s="2" t="s">
        <v>8226</v>
      </c>
      <c r="L5915" s="2">
        <f t="shared" si="92"/>
        <v>49</v>
      </c>
    </row>
    <row r="5916" spans="1:12" ht="25" customHeight="1">
      <c r="A5916" s="2" t="s">
        <v>12</v>
      </c>
      <c r="B5916" s="2" t="str">
        <f>HYPERLINK("http://bbs.12365auto.com/postcontent.aspx?tID=194410","北京现代ix25前轮吃胎偏磨影响安全啊")</f>
        <v>北京现代ix25前轮吃胎偏磨影响安全啊</v>
      </c>
      <c r="C5916" s="2" t="s">
        <v>13</v>
      </c>
      <c r="D5916" s="2" t="s">
        <v>12</v>
      </c>
      <c r="E5916" s="2" t="s">
        <v>67</v>
      </c>
      <c r="F5916" s="2" t="str">
        <f>HYPERLINK("http://bbs.12365auto.com/postcontent.aspx?tID=194410","http://bbs.12365auto.com/postcontent.aspx?tID=194410")</f>
        <v>http://bbs.12365auto.com/postcontent.aspx?tID=194410</v>
      </c>
      <c r="G5916" s="2"/>
      <c r="H5916" s="2" t="s">
        <v>8229</v>
      </c>
      <c r="I5916" s="2" t="s">
        <v>15</v>
      </c>
      <c r="J5916" s="2" t="s">
        <v>8228</v>
      </c>
      <c r="K5916" s="2" t="s">
        <v>8226</v>
      </c>
      <c r="L5916" s="2">
        <f t="shared" si="92"/>
        <v>68</v>
      </c>
    </row>
    <row r="5917" spans="1:12" ht="25" customHeight="1">
      <c r="A5917" s="2" t="s">
        <v>12</v>
      </c>
      <c r="B5917" s="2" t="str">
        <f>HYPERLINK("http://bbs.12365auto.com/postcontent.aspx?tID=194411","上汽大众途安挂挡时变速箱有异响")</f>
        <v>上汽大众途安挂挡时变速箱有异响</v>
      </c>
      <c r="C5917" s="2" t="s">
        <v>13</v>
      </c>
      <c r="D5917" s="2" t="s">
        <v>12</v>
      </c>
      <c r="E5917" s="2" t="s">
        <v>67</v>
      </c>
      <c r="F5917" s="2" t="str">
        <f>HYPERLINK("http://bbs.12365auto.com/postcontent.aspx?tID=194411","http://bbs.12365auto.com/postcontent.aspx?tID=194411")</f>
        <v>http://bbs.12365auto.com/postcontent.aspx?tID=194411</v>
      </c>
      <c r="G5917" s="2"/>
      <c r="H5917" s="2" t="s">
        <v>8230</v>
      </c>
      <c r="I5917" s="2" t="s">
        <v>15</v>
      </c>
      <c r="J5917" s="2" t="s">
        <v>8225</v>
      </c>
      <c r="K5917" s="2" t="s">
        <v>8226</v>
      </c>
      <c r="L5917" s="2">
        <f t="shared" si="92"/>
        <v>150</v>
      </c>
    </row>
    <row r="5918" spans="1:12" ht="25" customHeight="1">
      <c r="A5918" s="2" t="s">
        <v>12</v>
      </c>
      <c r="B5918" s="2" t="str">
        <f>HYPERLINK("http://www.12365auto.com/zlts/20200218/447641.shtml","北京奔驰GLC刹车异响更换刹车片未解决")</f>
        <v>北京奔驰GLC刹车异响更换刹车片未解决</v>
      </c>
      <c r="C5918" s="2" t="s">
        <v>13</v>
      </c>
      <c r="D5918" s="2" t="s">
        <v>12</v>
      </c>
      <c r="E5918" s="2" t="s">
        <v>17</v>
      </c>
      <c r="F5918" s="2" t="str">
        <f>HYPERLINK("http://www.12365auto.com/zlts/20200218/447641.shtml","http://www.12365auto.com/zlts/20200218/447641.shtml")</f>
        <v>http://www.12365auto.com/zlts/20200218/447641.shtml</v>
      </c>
      <c r="G5918" s="2"/>
      <c r="H5918" s="2" t="s">
        <v>8231</v>
      </c>
      <c r="I5918" s="2" t="s">
        <v>19</v>
      </c>
      <c r="J5918" s="2" t="s">
        <v>12</v>
      </c>
      <c r="K5918" s="2" t="s">
        <v>8232</v>
      </c>
      <c r="L5918" s="2">
        <f t="shared" si="92"/>
        <v>150</v>
      </c>
    </row>
    <row r="5919" spans="1:12" ht="25" customHeight="1">
      <c r="A5919" s="2" t="s">
        <v>12</v>
      </c>
      <c r="B5919" s="2" t="str">
        <f>HYPERLINK("http://bbs.12365auto.com/postcontent.aspx?tID=194408","如何避让事故车 奥迪A3二手车检测鉴定")</f>
        <v>如何避让事故车 奥迪A3二手车检测鉴定</v>
      </c>
      <c r="C5919" s="2" t="s">
        <v>13</v>
      </c>
      <c r="D5919" s="2" t="s">
        <v>12</v>
      </c>
      <c r="E5919" s="2" t="s">
        <v>214</v>
      </c>
      <c r="F5919" s="2" t="str">
        <f>HYPERLINK("http://bbs.12365auto.com/postcontent.aspx?tID=194408","http://bbs.12365auto.com/postcontent.aspx?tID=194408")</f>
        <v>http://bbs.12365auto.com/postcontent.aspx?tID=194408</v>
      </c>
      <c r="G5919" s="2"/>
      <c r="H5919" s="2" t="s">
        <v>8233</v>
      </c>
      <c r="I5919" s="2" t="s">
        <v>15</v>
      </c>
      <c r="J5919" s="2" t="s">
        <v>2824</v>
      </c>
      <c r="K5919" s="2" t="s">
        <v>8234</v>
      </c>
      <c r="L5919" s="2">
        <f t="shared" si="92"/>
        <v>150</v>
      </c>
    </row>
    <row r="5920" spans="1:12" ht="25" customHeight="1">
      <c r="A5920" s="2" t="s">
        <v>12</v>
      </c>
      <c r="B5920" s="2" t="str">
        <f>HYPERLINK("http://bbs.12365auto.com/postcontent.aspx?tID=194407","英菲尼迪Q50 遇见这样的车况买不买？")</f>
        <v>英菲尼迪Q50 遇见这样的车况买不买？</v>
      </c>
      <c r="C5920" s="2" t="s">
        <v>13</v>
      </c>
      <c r="D5920" s="2" t="s">
        <v>12</v>
      </c>
      <c r="E5920" s="2" t="s">
        <v>214</v>
      </c>
      <c r="F5920" s="2" t="str">
        <f>HYPERLINK("http://bbs.12365auto.com/postcontent.aspx?tID=194407","http://bbs.12365auto.com/postcontent.aspx?tID=194407")</f>
        <v>http://bbs.12365auto.com/postcontent.aspx?tID=194407</v>
      </c>
      <c r="G5920" s="2"/>
      <c r="H5920" s="2" t="s">
        <v>8235</v>
      </c>
      <c r="I5920" s="2" t="s">
        <v>15</v>
      </c>
      <c r="J5920" s="2" t="s">
        <v>2824</v>
      </c>
      <c r="K5920" s="2" t="s">
        <v>8236</v>
      </c>
      <c r="L5920" s="2">
        <f t="shared" si="92"/>
        <v>150</v>
      </c>
    </row>
    <row r="5921" spans="1:12" ht="25" customHeight="1">
      <c r="A5921" s="2" t="s">
        <v>12</v>
      </c>
      <c r="B5921" s="2" t="str">
        <f>HYPERLINK("http://www.12365auto.com/zlts/20200218/447638.shtml","吉利帝豪天窗漏水要求厂家尽快解决")</f>
        <v>吉利帝豪天窗漏水要求厂家尽快解决</v>
      </c>
      <c r="C5921" s="2" t="s">
        <v>13</v>
      </c>
      <c r="D5921" s="2" t="s">
        <v>12</v>
      </c>
      <c r="E5921" s="2" t="s">
        <v>17</v>
      </c>
      <c r="F5921" s="2" t="str">
        <f>HYPERLINK("http://www.12365auto.com/zlts/20200218/447638.shtml","http://www.12365auto.com/zlts/20200218/447638.shtml")</f>
        <v>http://www.12365auto.com/zlts/20200218/447638.shtml</v>
      </c>
      <c r="G5921" s="2"/>
      <c r="H5921" s="2" t="s">
        <v>8237</v>
      </c>
      <c r="I5921" s="2" t="s">
        <v>19</v>
      </c>
      <c r="J5921" s="2" t="s">
        <v>12</v>
      </c>
      <c r="K5921" s="2" t="s">
        <v>8238</v>
      </c>
      <c r="L5921" s="2">
        <f t="shared" si="92"/>
        <v>150</v>
      </c>
    </row>
    <row r="5922" spans="1:12" ht="25" customHeight="1">
      <c r="A5922" s="2" t="s">
        <v>12</v>
      </c>
      <c r="B5922" s="2" t="str">
        <f>HYPERLINK("http://www.12365auto.com/zlts/20200218/447637.shtml","广汽传祺GS5右后侧车门漆面有裂痕")</f>
        <v>广汽传祺GS5右后侧车门漆面有裂痕</v>
      </c>
      <c r="C5922" s="2" t="s">
        <v>13</v>
      </c>
      <c r="D5922" s="2" t="s">
        <v>12</v>
      </c>
      <c r="E5922" s="2" t="s">
        <v>17</v>
      </c>
      <c r="F5922" s="2" t="str">
        <f>HYPERLINK("http://www.12365auto.com/zlts/20200218/447637.shtml","http://www.12365auto.com/zlts/20200218/447637.shtml")</f>
        <v>http://www.12365auto.com/zlts/20200218/447637.shtml</v>
      </c>
      <c r="G5922" s="2"/>
      <c r="H5922" s="2" t="s">
        <v>8239</v>
      </c>
      <c r="I5922" s="2" t="s">
        <v>15</v>
      </c>
      <c r="J5922" s="2" t="s">
        <v>12</v>
      </c>
      <c r="K5922" s="2" t="s">
        <v>8240</v>
      </c>
      <c r="L5922" s="2">
        <f t="shared" si="92"/>
        <v>150</v>
      </c>
    </row>
    <row r="5923" spans="1:12" ht="25" customHeight="1">
      <c r="A5923" s="2" t="s">
        <v>12</v>
      </c>
      <c r="B5923" s="2" t="str">
        <f>HYPERLINK("http://m.12365auto.com/zjdy/20200218/121359.shtml","电瓶亏电后搭电启动还能正常使用吗？")</f>
        <v>电瓶亏电后搭电启动还能正常使用吗？</v>
      </c>
      <c r="C5923" s="2" t="s">
        <v>13</v>
      </c>
      <c r="D5923" s="2" t="s">
        <v>12</v>
      </c>
      <c r="E5923" s="2"/>
      <c r="F5923" s="2" t="str">
        <f>HYPERLINK("http://m.12365auto.com/zjdy/20200218/121359.shtml","http://m.12365auto.com/zjdy/20200218/121359.shtml")</f>
        <v>http://m.12365auto.com/zjdy/20200218/121359.shtml</v>
      </c>
      <c r="G5923" s="2"/>
      <c r="H5923" s="2" t="s">
        <v>8241</v>
      </c>
      <c r="I5923" s="2" t="s">
        <v>19</v>
      </c>
      <c r="J5923" s="2" t="s">
        <v>12</v>
      </c>
      <c r="K5923" s="2" t="s">
        <v>8242</v>
      </c>
      <c r="L5923" s="2">
        <f t="shared" si="92"/>
        <v>43</v>
      </c>
    </row>
    <row r="5924" spans="1:12" ht="25" customHeight="1">
      <c r="A5924" s="2" t="s">
        <v>12</v>
      </c>
      <c r="B5924" s="2" t="str">
        <f>HYPERLINK("http://m.12365auto.com/bbs/postcontent.aspx?tID=194406","新车如何去味？这样做事半功倍")</f>
        <v>新车如何去味？这样做事半功倍</v>
      </c>
      <c r="C5924" s="2" t="s">
        <v>13</v>
      </c>
      <c r="D5924" s="2" t="s">
        <v>23</v>
      </c>
      <c r="E5924" s="2"/>
      <c r="F5924" s="2" t="str">
        <f>HYPERLINK("http://m.12365auto.com/bbs/postcontent.aspx?tID=194406","http://m.12365auto.com/bbs/postcontent.aspx?tID=194406")</f>
        <v>http://m.12365auto.com/bbs/postcontent.aspx?tID=194406</v>
      </c>
      <c r="G5924" s="2"/>
      <c r="H5924" s="2" t="s">
        <v>8243</v>
      </c>
      <c r="I5924" s="2" t="s">
        <v>15</v>
      </c>
      <c r="J5924" s="2" t="s">
        <v>3089</v>
      </c>
      <c r="K5924" s="2" t="s">
        <v>8244</v>
      </c>
      <c r="L5924" s="2">
        <f t="shared" si="92"/>
        <v>150</v>
      </c>
    </row>
    <row r="5925" spans="1:12" ht="25" customHeight="1">
      <c r="A5925" s="2" t="s">
        <v>12</v>
      </c>
      <c r="B5925" s="2" t="str">
        <f>HYPERLINK("http://www.12365auto.com/zlts/20200218/447634.shtml","东风本田CR-V车机系统设置界面失灵")</f>
        <v>东风本田CR-V车机系统设置界面失灵</v>
      </c>
      <c r="C5925" s="2" t="s">
        <v>13</v>
      </c>
      <c r="D5925" s="2" t="s">
        <v>12</v>
      </c>
      <c r="E5925" s="2" t="s">
        <v>17</v>
      </c>
      <c r="F5925" s="2" t="str">
        <f>HYPERLINK("http://www.12365auto.com/zlts/20200218/447634.shtml","http://www.12365auto.com/zlts/20200218/447634.shtml")</f>
        <v>http://www.12365auto.com/zlts/20200218/447634.shtml</v>
      </c>
      <c r="G5925" s="2"/>
      <c r="H5925" s="2" t="s">
        <v>8245</v>
      </c>
      <c r="I5925" s="2" t="s">
        <v>15</v>
      </c>
      <c r="J5925" s="2" t="s">
        <v>12</v>
      </c>
      <c r="K5925" s="2" t="s">
        <v>8244</v>
      </c>
      <c r="L5925" s="2">
        <f t="shared" si="92"/>
        <v>150</v>
      </c>
    </row>
    <row r="5926" spans="1:12" ht="25" customHeight="1">
      <c r="A5926" s="2" t="s">
        <v>12</v>
      </c>
      <c r="B5926" s="2" t="str">
        <f>HYPERLINK("http://bbs.12365auto.com/postcontent.aspx?tID=194406","新车如何去味？这样做事半功倍")</f>
        <v>新车如何去味？这样做事半功倍</v>
      </c>
      <c r="C5926" s="2" t="s">
        <v>13</v>
      </c>
      <c r="D5926" s="2" t="s">
        <v>12</v>
      </c>
      <c r="E5926" s="2" t="s">
        <v>28</v>
      </c>
      <c r="F5926" s="2" t="str">
        <f>HYPERLINK("http://bbs.12365auto.com/postcontent.aspx?tID=194406","http://bbs.12365auto.com/postcontent.aspx?tID=194406")</f>
        <v>http://bbs.12365auto.com/postcontent.aspx?tID=194406</v>
      </c>
      <c r="G5926" s="2"/>
      <c r="H5926" s="2" t="s">
        <v>8246</v>
      </c>
      <c r="I5926" s="2" t="s">
        <v>15</v>
      </c>
      <c r="J5926" s="2" t="s">
        <v>3089</v>
      </c>
      <c r="K5926" s="2" t="s">
        <v>8244</v>
      </c>
      <c r="L5926" s="2">
        <f t="shared" si="92"/>
        <v>150</v>
      </c>
    </row>
    <row r="5927" spans="1:12" ht="25" customHeight="1">
      <c r="A5927" s="2" t="s">
        <v>12</v>
      </c>
      <c r="B5927" s="2" t="str">
        <f>HYPERLINK("http://bbs.12365auto.com/postcontent.aspx?tId=194406","新车如何去味？这样做事半功倍")</f>
        <v>新车如何去味？这样做事半功倍</v>
      </c>
      <c r="C5927" s="2" t="s">
        <v>13</v>
      </c>
      <c r="D5927" s="2" t="s">
        <v>12</v>
      </c>
      <c r="E5927" s="2" t="s">
        <v>27</v>
      </c>
      <c r="F5927" s="2" t="str">
        <f>HYPERLINK("http://bbs.12365auto.com/postcontent.aspx?tId=194406","http://bbs.12365auto.com/postcontent.aspx?tId=194406")</f>
        <v>http://bbs.12365auto.com/postcontent.aspx?tId=194406</v>
      </c>
      <c r="G5927" s="2"/>
      <c r="H5927" s="2" t="s">
        <v>8243</v>
      </c>
      <c r="I5927" s="2" t="s">
        <v>15</v>
      </c>
      <c r="J5927" s="2" t="s">
        <v>3089</v>
      </c>
      <c r="K5927" s="2" t="s">
        <v>8244</v>
      </c>
      <c r="L5927" s="2">
        <f t="shared" si="92"/>
        <v>150</v>
      </c>
    </row>
    <row r="5928" spans="1:12" ht="25" customHeight="1">
      <c r="A5928" s="2" t="s">
        <v>12</v>
      </c>
      <c r="B5928" s="2" t="str">
        <f>HYPERLINK("http://m.12365auto.com/bbs/postcontent.aspx?tID=194405","无骨和有骨雨刷到底哪个更好？")</f>
        <v>无骨和有骨雨刷到底哪个更好？</v>
      </c>
      <c r="C5928" s="2" t="s">
        <v>13</v>
      </c>
      <c r="D5928" s="2" t="s">
        <v>23</v>
      </c>
      <c r="E5928" s="2"/>
      <c r="F5928" s="2" t="str">
        <f>HYPERLINK("http://m.12365auto.com/bbs/postcontent.aspx?tID=194405","http://m.12365auto.com/bbs/postcontent.aspx?tID=194405")</f>
        <v>http://m.12365auto.com/bbs/postcontent.aspx?tID=194405</v>
      </c>
      <c r="G5928" s="2"/>
      <c r="H5928" s="2" t="s">
        <v>8247</v>
      </c>
      <c r="I5928" s="2" t="s">
        <v>15</v>
      </c>
      <c r="J5928" s="2" t="s">
        <v>3089</v>
      </c>
      <c r="K5928" s="2" t="s">
        <v>8248</v>
      </c>
      <c r="L5928" s="2">
        <f t="shared" si="92"/>
        <v>150</v>
      </c>
    </row>
    <row r="5929" spans="1:12" ht="25" customHeight="1">
      <c r="A5929" s="2" t="s">
        <v>12</v>
      </c>
      <c r="B5929" s="2" t="str">
        <f>HYPERLINK("http://bbs.12365auto.com/postcontent.aspx?tID=194405","无骨和有骨雨刷到底哪个更好？")</f>
        <v>无骨和有骨雨刷到底哪个更好？</v>
      </c>
      <c r="C5929" s="2" t="s">
        <v>13</v>
      </c>
      <c r="D5929" s="2" t="s">
        <v>12</v>
      </c>
      <c r="E5929" s="2" t="s">
        <v>28</v>
      </c>
      <c r="F5929" s="2" t="str">
        <f>HYPERLINK("http://bbs.12365auto.com/postcontent.aspx?tID=194405","http://bbs.12365auto.com/postcontent.aspx?tID=194405")</f>
        <v>http://bbs.12365auto.com/postcontent.aspx?tID=194405</v>
      </c>
      <c r="G5929" s="2"/>
      <c r="H5929" s="2" t="s">
        <v>8249</v>
      </c>
      <c r="I5929" s="2" t="s">
        <v>15</v>
      </c>
      <c r="J5929" s="2" t="s">
        <v>3089</v>
      </c>
      <c r="K5929" s="2" t="s">
        <v>8248</v>
      </c>
      <c r="L5929" s="2">
        <f t="shared" si="92"/>
        <v>150</v>
      </c>
    </row>
    <row r="5930" spans="1:12" ht="25" customHeight="1">
      <c r="A5930" s="2" t="s">
        <v>12</v>
      </c>
      <c r="B5930" s="2" t="str">
        <f>HYPERLINK("http://bbs.12365auto.com/postcontent.aspx?tId=194405","无骨和有骨雨刷到底哪个更好？")</f>
        <v>无骨和有骨雨刷到底哪个更好？</v>
      </c>
      <c r="C5930" s="2" t="s">
        <v>13</v>
      </c>
      <c r="D5930" s="2" t="s">
        <v>12</v>
      </c>
      <c r="E5930" s="2" t="s">
        <v>27</v>
      </c>
      <c r="F5930" s="2" t="str">
        <f>HYPERLINK("http://bbs.12365auto.com/postcontent.aspx?tId=194405","http://bbs.12365auto.com/postcontent.aspx?tId=194405")</f>
        <v>http://bbs.12365auto.com/postcontent.aspx?tId=194405</v>
      </c>
      <c r="G5930" s="2"/>
      <c r="H5930" s="2" t="s">
        <v>8247</v>
      </c>
      <c r="I5930" s="2" t="s">
        <v>15</v>
      </c>
      <c r="J5930" s="2" t="s">
        <v>3089</v>
      </c>
      <c r="K5930" s="2" t="s">
        <v>8248</v>
      </c>
      <c r="L5930" s="2">
        <f t="shared" si="92"/>
        <v>150</v>
      </c>
    </row>
    <row r="5931" spans="1:12" ht="25" customHeight="1">
      <c r="A5931" s="2" t="s">
        <v>12</v>
      </c>
      <c r="B5931" s="2" t="str">
        <f>HYPERLINK("http://m.12365auto.com/bbs/postcontent.aspx?tID=194404","新年新气象 洗车需避开的六大误区")</f>
        <v>新年新气象 洗车需避开的六大误区</v>
      </c>
      <c r="C5931" s="2" t="s">
        <v>13</v>
      </c>
      <c r="D5931" s="2" t="s">
        <v>23</v>
      </c>
      <c r="E5931" s="2"/>
      <c r="F5931" s="2" t="str">
        <f>HYPERLINK("http://m.12365auto.com/bbs/postcontent.aspx?tID=194404","http://m.12365auto.com/bbs/postcontent.aspx?tID=194404")</f>
        <v>http://m.12365auto.com/bbs/postcontent.aspx?tID=194404</v>
      </c>
      <c r="G5931" s="2"/>
      <c r="H5931" s="2" t="s">
        <v>8250</v>
      </c>
      <c r="I5931" s="2" t="s">
        <v>15</v>
      </c>
      <c r="J5931" s="2" t="s">
        <v>3089</v>
      </c>
      <c r="K5931" s="2" t="s">
        <v>8251</v>
      </c>
      <c r="L5931" s="2">
        <f t="shared" si="92"/>
        <v>150</v>
      </c>
    </row>
    <row r="5932" spans="1:12" ht="25" customHeight="1">
      <c r="A5932" s="2" t="s">
        <v>12</v>
      </c>
      <c r="B5932" s="2" t="str">
        <f>HYPERLINK("http://m.12365auto.com/bbs/postcontent.aspx?tID=194403","汽车小百科 为什么雨刮器总是刮不干净")</f>
        <v>汽车小百科 为什么雨刮器总是刮不干净</v>
      </c>
      <c r="C5932" s="2" t="s">
        <v>13</v>
      </c>
      <c r="D5932" s="2" t="s">
        <v>23</v>
      </c>
      <c r="E5932" s="2"/>
      <c r="F5932" s="2" t="str">
        <f>HYPERLINK("http://m.12365auto.com/bbs/postcontent.aspx?tID=194403","http://m.12365auto.com/bbs/postcontent.aspx?tID=194403")</f>
        <v>http://m.12365auto.com/bbs/postcontent.aspx?tID=194403</v>
      </c>
      <c r="G5932" s="2"/>
      <c r="H5932" s="2" t="s">
        <v>8252</v>
      </c>
      <c r="I5932" s="2" t="s">
        <v>15</v>
      </c>
      <c r="J5932" s="2" t="s">
        <v>3089</v>
      </c>
      <c r="K5932" s="2" t="s">
        <v>8251</v>
      </c>
      <c r="L5932" s="2">
        <f t="shared" si="92"/>
        <v>150</v>
      </c>
    </row>
    <row r="5933" spans="1:12" ht="25" customHeight="1">
      <c r="A5933" s="2" t="s">
        <v>12</v>
      </c>
      <c r="B5933" s="2" t="str">
        <f>HYPERLINK("http://bbs.12365auto.com/postcontent.aspx?tID=194403","汽车小百科 为什么雨刮器总是刮不干净")</f>
        <v>汽车小百科 为什么雨刮器总是刮不干净</v>
      </c>
      <c r="C5933" s="2" t="s">
        <v>13</v>
      </c>
      <c r="D5933" s="2" t="s">
        <v>12</v>
      </c>
      <c r="E5933" s="2" t="s">
        <v>28</v>
      </c>
      <c r="F5933" s="2" t="str">
        <f>HYPERLINK("http://bbs.12365auto.com/postcontent.aspx?tID=194403","http://bbs.12365auto.com/postcontent.aspx?tID=194403")</f>
        <v>http://bbs.12365auto.com/postcontent.aspx?tID=194403</v>
      </c>
      <c r="G5933" s="2"/>
      <c r="H5933" s="2" t="s">
        <v>8253</v>
      </c>
      <c r="I5933" s="2" t="s">
        <v>15</v>
      </c>
      <c r="J5933" s="2" t="s">
        <v>3089</v>
      </c>
      <c r="K5933" s="2" t="s">
        <v>8251</v>
      </c>
      <c r="L5933" s="2">
        <f t="shared" si="92"/>
        <v>150</v>
      </c>
    </row>
    <row r="5934" spans="1:12" ht="25" customHeight="1">
      <c r="A5934" s="2" t="s">
        <v>12</v>
      </c>
      <c r="B5934" s="2" t="str">
        <f>HYPERLINK("http://bbs.12365auto.com/postcontent.aspx?tID=194404","新年新气象 洗车需避开的六大误区")</f>
        <v>新年新气象 洗车需避开的六大误区</v>
      </c>
      <c r="C5934" s="2" t="s">
        <v>13</v>
      </c>
      <c r="D5934" s="2" t="s">
        <v>12</v>
      </c>
      <c r="E5934" s="2" t="s">
        <v>28</v>
      </c>
      <c r="F5934" s="2" t="str">
        <f>HYPERLINK("http://bbs.12365auto.com/postcontent.aspx?tID=194404","http://bbs.12365auto.com/postcontent.aspx?tID=194404")</f>
        <v>http://bbs.12365auto.com/postcontent.aspx?tID=194404</v>
      </c>
      <c r="G5934" s="2"/>
      <c r="H5934" s="2" t="s">
        <v>8254</v>
      </c>
      <c r="I5934" s="2" t="s">
        <v>15</v>
      </c>
      <c r="J5934" s="2" t="s">
        <v>3089</v>
      </c>
      <c r="K5934" s="2" t="s">
        <v>8251</v>
      </c>
      <c r="L5934" s="2">
        <f t="shared" si="92"/>
        <v>150</v>
      </c>
    </row>
    <row r="5935" spans="1:12" ht="25" customHeight="1">
      <c r="A5935" s="2" t="s">
        <v>12</v>
      </c>
      <c r="B5935" s="2" t="str">
        <f>HYPERLINK("http://bbs.12365auto.com/postcontent.aspx?tId=194403","汽车小百科 为什么雨刮器总是刮不干净")</f>
        <v>汽车小百科 为什么雨刮器总是刮不干净</v>
      </c>
      <c r="C5935" s="2" t="s">
        <v>13</v>
      </c>
      <c r="D5935" s="2" t="s">
        <v>12</v>
      </c>
      <c r="E5935" s="2" t="s">
        <v>27</v>
      </c>
      <c r="F5935" s="2" t="str">
        <f>HYPERLINK("http://bbs.12365auto.com/postcontent.aspx?tId=194403","http://bbs.12365auto.com/postcontent.aspx?tId=194403")</f>
        <v>http://bbs.12365auto.com/postcontent.aspx?tId=194403</v>
      </c>
      <c r="G5935" s="2"/>
      <c r="H5935" s="2" t="s">
        <v>8252</v>
      </c>
      <c r="I5935" s="2" t="s">
        <v>15</v>
      </c>
      <c r="J5935" s="2" t="s">
        <v>3089</v>
      </c>
      <c r="K5935" s="2" t="s">
        <v>8251</v>
      </c>
      <c r="L5935" s="2">
        <f t="shared" si="92"/>
        <v>150</v>
      </c>
    </row>
    <row r="5936" spans="1:12" ht="25" customHeight="1">
      <c r="A5936" s="2" t="s">
        <v>12</v>
      </c>
      <c r="B5936" s="2" t="str">
        <f>HYPERLINK("http://bbs.12365auto.com/postcontent.aspx?tId=194404","新年新气象 洗车需避开的六大误区")</f>
        <v>新年新气象 洗车需避开的六大误区</v>
      </c>
      <c r="C5936" s="2" t="s">
        <v>13</v>
      </c>
      <c r="D5936" s="2" t="s">
        <v>12</v>
      </c>
      <c r="E5936" s="2" t="s">
        <v>27</v>
      </c>
      <c r="F5936" s="2" t="str">
        <f>HYPERLINK("http://bbs.12365auto.com/postcontent.aspx?tId=194404","http://bbs.12365auto.com/postcontent.aspx?tId=194404")</f>
        <v>http://bbs.12365auto.com/postcontent.aspx?tId=194404</v>
      </c>
      <c r="G5936" s="2"/>
      <c r="H5936" s="2" t="s">
        <v>8250</v>
      </c>
      <c r="I5936" s="2" t="s">
        <v>15</v>
      </c>
      <c r="J5936" s="2" t="s">
        <v>3089</v>
      </c>
      <c r="K5936" s="2" t="s">
        <v>8251</v>
      </c>
      <c r="L5936" s="2">
        <f t="shared" si="92"/>
        <v>150</v>
      </c>
    </row>
    <row r="5937" spans="1:12" ht="25" customHeight="1">
      <c r="A5937" s="2" t="s">
        <v>12</v>
      </c>
      <c r="B5937" s="2" t="str">
        <f>HYPERLINK("http://m.12365auto.com/bbs/postcontent.aspx?tID=194402","油耗突然增加？查这六个地方没错了")</f>
        <v>油耗突然增加？查这六个地方没错了</v>
      </c>
      <c r="C5937" s="2" t="s">
        <v>13</v>
      </c>
      <c r="D5937" s="2" t="s">
        <v>23</v>
      </c>
      <c r="E5937" s="2"/>
      <c r="F5937" s="2" t="str">
        <f>HYPERLINK("http://m.12365auto.com/bbs/postcontent.aspx?tID=194402","http://m.12365auto.com/bbs/postcontent.aspx?tID=194402")</f>
        <v>http://m.12365auto.com/bbs/postcontent.aspx?tID=194402</v>
      </c>
      <c r="G5937" s="2"/>
      <c r="H5937" s="2" t="s">
        <v>8255</v>
      </c>
      <c r="I5937" s="2" t="s">
        <v>15</v>
      </c>
      <c r="J5937" s="2" t="s">
        <v>3089</v>
      </c>
      <c r="K5937" s="2" t="s">
        <v>8256</v>
      </c>
      <c r="L5937" s="2">
        <f t="shared" si="92"/>
        <v>150</v>
      </c>
    </row>
    <row r="5938" spans="1:12" ht="25" customHeight="1">
      <c r="A5938" s="2" t="s">
        <v>12</v>
      </c>
      <c r="B5938" s="2" t="str">
        <f>HYPERLINK("http://bbs.12365auto.com/postcontent.aspx?tID=194402","油耗突然增加？查这六个地方没错了")</f>
        <v>油耗突然增加？查这六个地方没错了</v>
      </c>
      <c r="C5938" s="2" t="s">
        <v>13</v>
      </c>
      <c r="D5938" s="2" t="s">
        <v>12</v>
      </c>
      <c r="E5938" s="2" t="s">
        <v>28</v>
      </c>
      <c r="F5938" s="2" t="str">
        <f>HYPERLINK("http://bbs.12365auto.com/postcontent.aspx?tID=194402","http://bbs.12365auto.com/postcontent.aspx?tID=194402")</f>
        <v>http://bbs.12365auto.com/postcontent.aspx?tID=194402</v>
      </c>
      <c r="G5938" s="2"/>
      <c r="H5938" s="2" t="s">
        <v>8257</v>
      </c>
      <c r="I5938" s="2" t="s">
        <v>15</v>
      </c>
      <c r="J5938" s="2" t="s">
        <v>3089</v>
      </c>
      <c r="K5938" s="2" t="s">
        <v>8256</v>
      </c>
      <c r="L5938" s="2">
        <f t="shared" si="92"/>
        <v>150</v>
      </c>
    </row>
    <row r="5939" spans="1:12" ht="25" customHeight="1">
      <c r="A5939" s="2" t="s">
        <v>12</v>
      </c>
      <c r="B5939" s="2" t="str">
        <f>HYPERLINK("http://bbs.12365auto.com/postcontent.aspx?tId=194402","油耗突然增加？查这六个地方没错了")</f>
        <v>油耗突然增加？查这六个地方没错了</v>
      </c>
      <c r="C5939" s="2" t="s">
        <v>13</v>
      </c>
      <c r="D5939" s="2" t="s">
        <v>12</v>
      </c>
      <c r="E5939" s="2" t="s">
        <v>27</v>
      </c>
      <c r="F5939" s="2" t="str">
        <f>HYPERLINK("http://bbs.12365auto.com/postcontent.aspx?tId=194402","http://bbs.12365auto.com/postcontent.aspx?tId=194402")</f>
        <v>http://bbs.12365auto.com/postcontent.aspx?tId=194402</v>
      </c>
      <c r="G5939" s="2"/>
      <c r="H5939" s="2" t="s">
        <v>8255</v>
      </c>
      <c r="I5939" s="2" t="s">
        <v>15</v>
      </c>
      <c r="J5939" s="2" t="s">
        <v>3089</v>
      </c>
      <c r="K5939" s="2" t="s">
        <v>8256</v>
      </c>
      <c r="L5939" s="2">
        <f t="shared" si="92"/>
        <v>150</v>
      </c>
    </row>
    <row r="5940" spans="1:12" ht="25" customHeight="1">
      <c r="A5940" s="2" t="s">
        <v>12</v>
      </c>
      <c r="B5940" s="2" t="str">
        <f>HYPERLINK("http://m.12365auto.com/bbs/postcontent.aspx?tID=194401","高速上开车要注意 千万不要这样做")</f>
        <v>高速上开车要注意 千万不要这样做</v>
      </c>
      <c r="C5940" s="2" t="s">
        <v>13</v>
      </c>
      <c r="D5940" s="2" t="s">
        <v>23</v>
      </c>
      <c r="E5940" s="2"/>
      <c r="F5940" s="2" t="str">
        <f>HYPERLINK("http://m.12365auto.com/bbs/postcontent.aspx?tID=194401","http://m.12365auto.com/bbs/postcontent.aspx?tID=194401")</f>
        <v>http://m.12365auto.com/bbs/postcontent.aspx?tID=194401</v>
      </c>
      <c r="G5940" s="2"/>
      <c r="H5940" s="2" t="s">
        <v>8258</v>
      </c>
      <c r="I5940" s="2" t="s">
        <v>15</v>
      </c>
      <c r="J5940" s="2" t="s">
        <v>3089</v>
      </c>
      <c r="K5940" s="2" t="s">
        <v>8259</v>
      </c>
      <c r="L5940" s="2">
        <f t="shared" si="92"/>
        <v>150</v>
      </c>
    </row>
    <row r="5941" spans="1:12" ht="25" customHeight="1">
      <c r="A5941" s="2" t="s">
        <v>12</v>
      </c>
      <c r="B5941" s="2" t="str">
        <f>HYPERLINK("http://bbs.12365auto.com/postcontent.aspx?tID=194401","高速上开车要注意 千万不要这样做")</f>
        <v>高速上开车要注意 千万不要这样做</v>
      </c>
      <c r="C5941" s="2" t="s">
        <v>13</v>
      </c>
      <c r="D5941" s="2" t="s">
        <v>12</v>
      </c>
      <c r="E5941" s="2" t="s">
        <v>28</v>
      </c>
      <c r="F5941" s="2" t="str">
        <f>HYPERLINK("http://bbs.12365auto.com/postcontent.aspx?tID=194401","http://bbs.12365auto.com/postcontent.aspx?tID=194401")</f>
        <v>http://bbs.12365auto.com/postcontent.aspx?tID=194401</v>
      </c>
      <c r="G5941" s="2"/>
      <c r="H5941" s="2" t="s">
        <v>8260</v>
      </c>
      <c r="I5941" s="2" t="s">
        <v>15</v>
      </c>
      <c r="J5941" s="2" t="s">
        <v>3089</v>
      </c>
      <c r="K5941" s="2" t="s">
        <v>8259</v>
      </c>
      <c r="L5941" s="2">
        <f t="shared" si="92"/>
        <v>150</v>
      </c>
    </row>
    <row r="5942" spans="1:12" ht="25" customHeight="1">
      <c r="A5942" s="2" t="s">
        <v>12</v>
      </c>
      <c r="B5942" s="2" t="str">
        <f>HYPERLINK("http://www.12365auto.com/zlts/20200218/447633.shtml","东风雪铁龙C4L转向柱故障 方向盘抖动严重")</f>
        <v>东风雪铁龙C4L转向柱故障 方向盘抖动严重</v>
      </c>
      <c r="C5942" s="2" t="s">
        <v>13</v>
      </c>
      <c r="D5942" s="2" t="s">
        <v>12</v>
      </c>
      <c r="E5942" s="2" t="s">
        <v>17</v>
      </c>
      <c r="F5942" s="2" t="str">
        <f>HYPERLINK("http://www.12365auto.com/zlts/20200218/447633.shtml","http://www.12365auto.com/zlts/20200218/447633.shtml")</f>
        <v>http://www.12365auto.com/zlts/20200218/447633.shtml</v>
      </c>
      <c r="G5942" s="2"/>
      <c r="H5942" s="2" t="s">
        <v>8261</v>
      </c>
      <c r="I5942" s="2" t="s">
        <v>19</v>
      </c>
      <c r="J5942" s="2" t="s">
        <v>12</v>
      </c>
      <c r="K5942" s="2" t="s">
        <v>8259</v>
      </c>
      <c r="L5942" s="2">
        <f t="shared" si="92"/>
        <v>150</v>
      </c>
    </row>
    <row r="5943" spans="1:12" ht="25" customHeight="1">
      <c r="A5943" s="2" t="s">
        <v>12</v>
      </c>
      <c r="B5943" s="2" t="str">
        <f>HYPERLINK("http://bbs.12365auto.com/postcontent.aspx?tId=194401","高速上开车要注意 千万不要这样做")</f>
        <v>高速上开车要注意 千万不要这样做</v>
      </c>
      <c r="C5943" s="2" t="s">
        <v>13</v>
      </c>
      <c r="D5943" s="2" t="s">
        <v>12</v>
      </c>
      <c r="E5943" s="2" t="s">
        <v>27</v>
      </c>
      <c r="F5943" s="2" t="str">
        <f>HYPERLINK("http://bbs.12365auto.com/postcontent.aspx?tId=194401","http://bbs.12365auto.com/postcontent.aspx?tId=194401")</f>
        <v>http://bbs.12365auto.com/postcontent.aspx?tId=194401</v>
      </c>
      <c r="G5943" s="2"/>
      <c r="H5943" s="2" t="s">
        <v>8258</v>
      </c>
      <c r="I5943" s="2" t="s">
        <v>15</v>
      </c>
      <c r="J5943" s="2" t="s">
        <v>3089</v>
      </c>
      <c r="K5943" s="2" t="s">
        <v>8259</v>
      </c>
      <c r="L5943" s="2">
        <f t="shared" si="92"/>
        <v>150</v>
      </c>
    </row>
    <row r="5944" spans="1:12" ht="25" customHeight="1">
      <c r="A5944" s="2" t="s">
        <v>12</v>
      </c>
      <c r="B5944" s="2" t="str">
        <f>HYPERLINK("http://www.12365auto.com/zlts/20200218/447631.shtml","上汽MAXUSV80退款未兑现 厂家和4S店推诿")</f>
        <v>上汽MAXUSV80退款未兑现 厂家和4S店推诿</v>
      </c>
      <c r="C5944" s="2" t="s">
        <v>13</v>
      </c>
      <c r="D5944" s="2" t="s">
        <v>12</v>
      </c>
      <c r="E5944" s="2" t="s">
        <v>17</v>
      </c>
      <c r="F5944" s="2" t="str">
        <f>HYPERLINK("http://www.12365auto.com/zlts/20200218/447631.shtml","http://www.12365auto.com/zlts/20200218/447631.shtml")</f>
        <v>http://www.12365auto.com/zlts/20200218/447631.shtml</v>
      </c>
      <c r="G5944" s="2"/>
      <c r="H5944" s="2" t="s">
        <v>8262</v>
      </c>
      <c r="I5944" s="2" t="s">
        <v>19</v>
      </c>
      <c r="J5944" s="2" t="s">
        <v>12</v>
      </c>
      <c r="K5944" s="2" t="s">
        <v>8263</v>
      </c>
      <c r="L5944" s="2">
        <f t="shared" si="92"/>
        <v>150</v>
      </c>
    </row>
    <row r="5945" spans="1:12" ht="25" customHeight="1">
      <c r="A5945" s="2" t="s">
        <v>12</v>
      </c>
      <c r="B5945" s="2" t="str">
        <f>HYPERLINK("http://m.12365auto.com/xcdg/20200218/418895.shtml","外观抢眼 凯迪拉克首款电动车预计4月亮相")</f>
        <v>外观抢眼 凯迪拉克首款电动车预计4月亮相</v>
      </c>
      <c r="C5945" s="2" t="s">
        <v>13</v>
      </c>
      <c r="D5945" s="2" t="s">
        <v>12</v>
      </c>
      <c r="E5945" s="2"/>
      <c r="F5945" s="2" t="str">
        <f>HYPERLINK("http://m.12365auto.com/xcdg/20200218/418895.shtml","http://m.12365auto.com/xcdg/20200218/418895.shtml")</f>
        <v>http://m.12365auto.com/xcdg/20200218/418895.shtml</v>
      </c>
      <c r="G5945" s="2"/>
      <c r="H5945" s="2" t="s">
        <v>8264</v>
      </c>
      <c r="I5945" s="2" t="s">
        <v>19</v>
      </c>
      <c r="J5945" s="2" t="s">
        <v>230</v>
      </c>
      <c r="K5945" s="2" t="s">
        <v>8265</v>
      </c>
      <c r="L5945" s="2">
        <f t="shared" si="92"/>
        <v>150</v>
      </c>
    </row>
    <row r="5946" spans="1:12" ht="25" customHeight="1">
      <c r="A5946" s="2" t="s">
        <v>12</v>
      </c>
      <c r="B5946" s="2" t="str">
        <f>HYPERLINK("http://www.12365auto.com/xcdg/20200218/418895.shtml","外观抢眼 凯迪拉克首款电动车预计4月亮相")</f>
        <v>外观抢眼 凯迪拉克首款电动车预计4月亮相</v>
      </c>
      <c r="C5946" s="2" t="s">
        <v>13</v>
      </c>
      <c r="D5946" s="2" t="s">
        <v>12</v>
      </c>
      <c r="E5946" s="2" t="s">
        <v>216</v>
      </c>
      <c r="F5946" s="2" t="str">
        <f>HYPERLINK("http://www.12365auto.com/xcdg/20200218/418895.shtml","http://www.12365auto.com/xcdg/20200218/418895.shtml")</f>
        <v>http://www.12365auto.com/xcdg/20200218/418895.shtml</v>
      </c>
      <c r="G5946" s="2"/>
      <c r="H5946" s="2" t="s">
        <v>8266</v>
      </c>
      <c r="I5946" s="2" t="s">
        <v>15</v>
      </c>
      <c r="J5946" s="2" t="s">
        <v>12</v>
      </c>
      <c r="K5946" s="2" t="s">
        <v>8265</v>
      </c>
      <c r="L5946" s="2">
        <f t="shared" si="92"/>
        <v>150</v>
      </c>
    </row>
    <row r="5947" spans="1:12" ht="25" customHeight="1">
      <c r="A5947" s="2" t="s">
        <v>12</v>
      </c>
      <c r="B5947" s="2" t="str">
        <f>HYPERLINK("http://www.12365auto.com/news/20200218/418894.shtml","东风悦达起亚携总部 紧急物资驰援东风汽车")</f>
        <v>东风悦达起亚携总部 紧急物资驰援东风汽车</v>
      </c>
      <c r="C5947" s="2" t="s">
        <v>13</v>
      </c>
      <c r="D5947" s="2" t="s">
        <v>12</v>
      </c>
      <c r="E5947" s="2" t="s">
        <v>282</v>
      </c>
      <c r="F5947" s="2" t="str">
        <f>HYPERLINK("http://www.12365auto.com/news/20200218/418894.shtml","http://www.12365auto.com/news/20200218/418894.shtml")</f>
        <v>http://www.12365auto.com/news/20200218/418894.shtml</v>
      </c>
      <c r="G5947" s="2"/>
      <c r="H5947" s="2" t="s">
        <v>8267</v>
      </c>
      <c r="I5947" s="2" t="s">
        <v>19</v>
      </c>
      <c r="J5947" s="2" t="s">
        <v>12</v>
      </c>
      <c r="K5947" s="2" t="s">
        <v>8268</v>
      </c>
      <c r="L5947" s="2">
        <f t="shared" si="92"/>
        <v>150</v>
      </c>
    </row>
    <row r="5948" spans="1:12" ht="25" customHeight="1">
      <c r="A5948" s="2" t="s">
        <v>12</v>
      </c>
      <c r="B5948" s="2" t="str">
        <f>HYPERLINK("http://m.12365auto.com/news/20200218/418894.shtml","东风悦达起亚携总部 紧急物资驰援东风汽车")</f>
        <v>东风悦达起亚携总部 紧急物资驰援东风汽车</v>
      </c>
      <c r="C5948" s="2" t="s">
        <v>13</v>
      </c>
      <c r="D5948" s="2" t="s">
        <v>12</v>
      </c>
      <c r="E5948" s="2"/>
      <c r="F5948" s="2" t="str">
        <f>HYPERLINK("http://m.12365auto.com/news/20200218/418894.shtml","http://m.12365auto.com/news/20200218/418894.shtml")</f>
        <v>http://m.12365auto.com/news/20200218/418894.shtml</v>
      </c>
      <c r="G5948" s="2"/>
      <c r="H5948" s="2" t="s">
        <v>8269</v>
      </c>
      <c r="I5948" s="2" t="s">
        <v>19</v>
      </c>
      <c r="J5948" s="2" t="s">
        <v>236</v>
      </c>
      <c r="K5948" s="2" t="s">
        <v>8268</v>
      </c>
      <c r="L5948" s="2">
        <f t="shared" si="92"/>
        <v>150</v>
      </c>
    </row>
    <row r="5949" spans="1:12" ht="25" customHeight="1">
      <c r="A5949" s="2" t="s">
        <v>12</v>
      </c>
      <c r="B5949" s="2" t="str">
        <f>HYPERLINK("http://www.12365auto.com/zlts/20200218/447630.shtml","东风本田CR-V发动机机油增多 机油乳化")</f>
        <v>东风本田CR-V发动机机油增多 机油乳化</v>
      </c>
      <c r="C5949" s="2" t="s">
        <v>13</v>
      </c>
      <c r="D5949" s="2" t="s">
        <v>12</v>
      </c>
      <c r="E5949" s="2" t="s">
        <v>17</v>
      </c>
      <c r="F5949" s="2" t="str">
        <f>HYPERLINK("http://www.12365auto.com/zlts/20200218/447630.shtml","http://www.12365auto.com/zlts/20200218/447630.shtml")</f>
        <v>http://www.12365auto.com/zlts/20200218/447630.shtml</v>
      </c>
      <c r="G5949" s="2"/>
      <c r="H5949" s="2" t="s">
        <v>8270</v>
      </c>
      <c r="I5949" s="2" t="s">
        <v>19</v>
      </c>
      <c r="J5949" s="2" t="s">
        <v>12</v>
      </c>
      <c r="K5949" s="2" t="s">
        <v>8268</v>
      </c>
      <c r="L5949" s="2">
        <f t="shared" si="92"/>
        <v>150</v>
      </c>
    </row>
    <row r="5950" spans="1:12" ht="25" customHeight="1">
      <c r="A5950" s="2" t="s">
        <v>12</v>
      </c>
      <c r="B5950" s="2" t="str">
        <f>HYPERLINK("http://www.12365auto.com/news/20200218/418893.shtml","同比增142.7% 一汽红旗1月销量逆势上扬")</f>
        <v>同比增142.7% 一汽红旗1月销量逆势上扬</v>
      </c>
      <c r="C5950" s="2" t="s">
        <v>13</v>
      </c>
      <c r="D5950" s="2" t="s">
        <v>12</v>
      </c>
      <c r="E5950" s="2" t="s">
        <v>282</v>
      </c>
      <c r="F5950" s="2" t="str">
        <f>HYPERLINK("http://www.12365auto.com/news/20200218/418893.shtml","http://www.12365auto.com/news/20200218/418893.shtml")</f>
        <v>http://www.12365auto.com/news/20200218/418893.shtml</v>
      </c>
      <c r="G5950" s="2"/>
      <c r="H5950" s="2" t="s">
        <v>8271</v>
      </c>
      <c r="I5950" s="2" t="s">
        <v>19</v>
      </c>
      <c r="J5950" s="2" t="s">
        <v>12</v>
      </c>
      <c r="K5950" s="2" t="s">
        <v>8272</v>
      </c>
      <c r="L5950" s="2">
        <f t="shared" si="92"/>
        <v>150</v>
      </c>
    </row>
    <row r="5951" spans="1:12" ht="25" customHeight="1">
      <c r="A5951" s="2" t="s">
        <v>12</v>
      </c>
      <c r="B5951" s="2" t="str">
        <f>HYPERLINK("http://m.12365auto.com/news/20200218/418893.shtml","同比增142.7% 一汽红旗1月销量逆势上扬")</f>
        <v>同比增142.7% 一汽红旗1月销量逆势上扬</v>
      </c>
      <c r="C5951" s="2" t="s">
        <v>13</v>
      </c>
      <c r="D5951" s="2" t="s">
        <v>12</v>
      </c>
      <c r="E5951" s="2"/>
      <c r="F5951" s="2" t="str">
        <f>HYPERLINK("http://m.12365auto.com/news/20200218/418893.shtml","http://m.12365auto.com/news/20200218/418893.shtml")</f>
        <v>http://m.12365auto.com/news/20200218/418893.shtml</v>
      </c>
      <c r="G5951" s="2"/>
      <c r="H5951" s="2" t="s">
        <v>8273</v>
      </c>
      <c r="I5951" s="2" t="s">
        <v>19</v>
      </c>
      <c r="J5951" s="2" t="s">
        <v>2570</v>
      </c>
      <c r="K5951" s="2" t="s">
        <v>8272</v>
      </c>
      <c r="L5951" s="2">
        <f t="shared" si="92"/>
        <v>150</v>
      </c>
    </row>
    <row r="5952" spans="1:12" ht="25" customHeight="1">
      <c r="A5952" s="2" t="s">
        <v>12</v>
      </c>
      <c r="B5952" s="2" t="str">
        <f>HYPERLINK("http://www.12365auto.com/news/20200218/418892.shtml","广汽菲克推经销商扶植政策 绩效减免等")</f>
        <v>广汽菲克推经销商扶植政策 绩效减免等</v>
      </c>
      <c r="C5952" s="2" t="s">
        <v>13</v>
      </c>
      <c r="D5952" s="2" t="s">
        <v>12</v>
      </c>
      <c r="E5952" s="2" t="s">
        <v>282</v>
      </c>
      <c r="F5952" s="2" t="str">
        <f>HYPERLINK("http://www.12365auto.com/news/20200218/418892.shtml","http://www.12365auto.com/news/20200218/418892.shtml")</f>
        <v>http://www.12365auto.com/news/20200218/418892.shtml</v>
      </c>
      <c r="G5952" s="2"/>
      <c r="H5952" s="2" t="s">
        <v>8274</v>
      </c>
      <c r="I5952" s="2" t="s">
        <v>19</v>
      </c>
      <c r="J5952" s="2" t="s">
        <v>12</v>
      </c>
      <c r="K5952" s="2" t="s">
        <v>8275</v>
      </c>
      <c r="L5952" s="2">
        <f t="shared" si="92"/>
        <v>150</v>
      </c>
    </row>
    <row r="5953" spans="1:12" ht="25" customHeight="1">
      <c r="A5953" s="2" t="s">
        <v>12</v>
      </c>
      <c r="B5953" s="2" t="str">
        <f>HYPERLINK("http://m.12365auto.com/news/20200218/418892.shtml","广汽菲克推经销商扶植政策 绩效减免等")</f>
        <v>广汽菲克推经销商扶植政策 绩效减免等</v>
      </c>
      <c r="C5953" s="2" t="s">
        <v>13</v>
      </c>
      <c r="D5953" s="2" t="s">
        <v>12</v>
      </c>
      <c r="E5953" s="2"/>
      <c r="F5953" s="2" t="str">
        <f>HYPERLINK("http://m.12365auto.com/news/20200218/418892.shtml","http://m.12365auto.com/news/20200218/418892.shtml")</f>
        <v>http://m.12365auto.com/news/20200218/418892.shtml</v>
      </c>
      <c r="G5953" s="2"/>
      <c r="H5953" s="2" t="s">
        <v>8276</v>
      </c>
      <c r="I5953" s="2" t="s">
        <v>19</v>
      </c>
      <c r="J5953" s="2" t="s">
        <v>8277</v>
      </c>
      <c r="K5953" s="2" t="s">
        <v>8275</v>
      </c>
      <c r="L5953" s="2">
        <f t="shared" si="92"/>
        <v>150</v>
      </c>
    </row>
    <row r="5954" spans="1:12" ht="25" customHeight="1">
      <c r="A5954" s="2" t="s">
        <v>12</v>
      </c>
      <c r="B5954" s="2" t="str">
        <f>HYPERLINK("http://www.12365auto.com/news/20200218/418891.shtml","玛莎拉蒂发电动规划 Ghibli将率先混动")</f>
        <v>玛莎拉蒂发电动规划 Ghibli将率先混动</v>
      </c>
      <c r="C5954" s="2" t="s">
        <v>13</v>
      </c>
      <c r="D5954" s="2" t="s">
        <v>12</v>
      </c>
      <c r="E5954" s="2" t="s">
        <v>282</v>
      </c>
      <c r="F5954" s="2" t="str">
        <f>HYPERLINK("http://www.12365auto.com/news/20200218/418891.shtml","http://www.12365auto.com/news/20200218/418891.shtml")</f>
        <v>http://www.12365auto.com/news/20200218/418891.shtml</v>
      </c>
      <c r="G5954" s="2"/>
      <c r="H5954" s="2" t="s">
        <v>8278</v>
      </c>
      <c r="I5954" s="2" t="s">
        <v>19</v>
      </c>
      <c r="J5954" s="2" t="s">
        <v>12</v>
      </c>
      <c r="K5954" s="2" t="s">
        <v>8279</v>
      </c>
      <c r="L5954" s="2">
        <f t="shared" si="92"/>
        <v>150</v>
      </c>
    </row>
    <row r="5955" spans="1:12" ht="25" customHeight="1">
      <c r="A5955" s="2" t="s">
        <v>12</v>
      </c>
      <c r="B5955" s="2" t="str">
        <f>HYPERLINK("http://m.12365auto.com/news/20200218/418891.shtml","玛莎拉蒂发电动规划 Ghibli将率先混动")</f>
        <v>玛莎拉蒂发电动规划 Ghibli将率先混动</v>
      </c>
      <c r="C5955" s="2" t="s">
        <v>13</v>
      </c>
      <c r="D5955" s="2" t="s">
        <v>12</v>
      </c>
      <c r="E5955" s="2"/>
      <c r="F5955" s="2" t="str">
        <f>HYPERLINK("http://m.12365auto.com/news/20200218/418891.shtml","http://m.12365auto.com/news/20200218/418891.shtml")</f>
        <v>http://m.12365auto.com/news/20200218/418891.shtml</v>
      </c>
      <c r="G5955" s="2"/>
      <c r="H5955" s="2" t="s">
        <v>8280</v>
      </c>
      <c r="I5955" s="2" t="s">
        <v>19</v>
      </c>
      <c r="J5955" s="2" t="s">
        <v>1205</v>
      </c>
      <c r="K5955" s="2" t="s">
        <v>8279</v>
      </c>
      <c r="L5955" s="2">
        <f t="shared" ref="L5955:L6018" si="93">LEN(H5955)</f>
        <v>150</v>
      </c>
    </row>
    <row r="5956" spans="1:12" ht="25" customHeight="1">
      <c r="A5956" s="2" t="s">
        <v>12</v>
      </c>
      <c r="B5956" s="2" t="str">
        <f>HYPERLINK("http://www.12365auto.com/news/20200218/418890.shtml","多项顶级赛事 Honda发布2020年赛车计划")</f>
        <v>多项顶级赛事 Honda发布2020年赛车计划</v>
      </c>
      <c r="C5956" s="2" t="s">
        <v>13</v>
      </c>
      <c r="D5956" s="2" t="s">
        <v>12</v>
      </c>
      <c r="E5956" s="2" t="s">
        <v>282</v>
      </c>
      <c r="F5956" s="2" t="str">
        <f>HYPERLINK("http://www.12365auto.com/news/20200218/418890.shtml","http://www.12365auto.com/news/20200218/418890.shtml")</f>
        <v>http://www.12365auto.com/news/20200218/418890.shtml</v>
      </c>
      <c r="G5956" s="2"/>
      <c r="H5956" s="2" t="s">
        <v>8281</v>
      </c>
      <c r="I5956" s="2" t="s">
        <v>19</v>
      </c>
      <c r="J5956" s="2" t="s">
        <v>12</v>
      </c>
      <c r="K5956" s="2" t="s">
        <v>8282</v>
      </c>
      <c r="L5956" s="2">
        <f t="shared" si="93"/>
        <v>150</v>
      </c>
    </row>
    <row r="5957" spans="1:12" ht="25" customHeight="1">
      <c r="A5957" s="2" t="s">
        <v>12</v>
      </c>
      <c r="B5957" s="2" t="str">
        <f>HYPERLINK("http://m.12365auto.com/news/20200218/418890.shtml","多项顶级赛事 Honda发布2020年赛车计划")</f>
        <v>多项顶级赛事 Honda发布2020年赛车计划</v>
      </c>
      <c r="C5957" s="2" t="s">
        <v>13</v>
      </c>
      <c r="D5957" s="2" t="s">
        <v>12</v>
      </c>
      <c r="E5957" s="2"/>
      <c r="F5957" s="2" t="str">
        <f>HYPERLINK("http://m.12365auto.com/news/20200218/418890.shtml","http://m.12365auto.com/news/20200218/418890.shtml")</f>
        <v>http://m.12365auto.com/news/20200218/418890.shtml</v>
      </c>
      <c r="G5957" s="2"/>
      <c r="H5957" s="2" t="s">
        <v>8283</v>
      </c>
      <c r="I5957" s="2" t="s">
        <v>19</v>
      </c>
      <c r="J5957" s="2" t="s">
        <v>1619</v>
      </c>
      <c r="K5957" s="2" t="s">
        <v>8282</v>
      </c>
      <c r="L5957" s="2">
        <f t="shared" si="93"/>
        <v>150</v>
      </c>
    </row>
    <row r="5958" spans="1:12" ht="25" customHeight="1">
      <c r="A5958" s="2" t="s">
        <v>12</v>
      </c>
      <c r="B5958" s="2" t="str">
        <f>HYPERLINK("http://www.12365auto.com/xcdg/20200218/418889.shtml","比亚迪汉DM信息 2.0T发动机/纯电续航81km")</f>
        <v>比亚迪汉DM信息 2.0T发动机/纯电续航81km</v>
      </c>
      <c r="C5958" s="2" t="s">
        <v>13</v>
      </c>
      <c r="D5958" s="2" t="s">
        <v>12</v>
      </c>
      <c r="E5958" s="2" t="s">
        <v>216</v>
      </c>
      <c r="F5958" s="2" t="str">
        <f>HYPERLINK("http://www.12365auto.com/xcdg/20200218/418889.shtml","http://www.12365auto.com/xcdg/20200218/418889.shtml")</f>
        <v>http://www.12365auto.com/xcdg/20200218/418889.shtml</v>
      </c>
      <c r="G5958" s="2"/>
      <c r="H5958" s="2" t="s">
        <v>8284</v>
      </c>
      <c r="I5958" s="2" t="s">
        <v>15</v>
      </c>
      <c r="J5958" s="2" t="s">
        <v>12</v>
      </c>
      <c r="K5958" s="2" t="s">
        <v>8285</v>
      </c>
      <c r="L5958" s="2">
        <f t="shared" si="93"/>
        <v>150</v>
      </c>
    </row>
    <row r="5959" spans="1:12" ht="25" customHeight="1">
      <c r="A5959" s="2" t="s">
        <v>12</v>
      </c>
      <c r="B5959" s="2" t="str">
        <f>HYPERLINK("http://m.12365auto.com/xcdg/20200218/418889.shtml","比亚迪汉DM信息 2.0T发动机/纯电续航81km")</f>
        <v>比亚迪汉DM信息 2.0T发动机/纯电续航81km</v>
      </c>
      <c r="C5959" s="2" t="s">
        <v>13</v>
      </c>
      <c r="D5959" s="2" t="s">
        <v>12</v>
      </c>
      <c r="E5959" s="2"/>
      <c r="F5959" s="2" t="str">
        <f>HYPERLINK("http://m.12365auto.com/xcdg/20200218/418889.shtml","http://m.12365auto.com/xcdg/20200218/418889.shtml")</f>
        <v>http://m.12365auto.com/xcdg/20200218/418889.shtml</v>
      </c>
      <c r="G5959" s="2"/>
      <c r="H5959" s="2" t="s">
        <v>8286</v>
      </c>
      <c r="I5959" s="2" t="s">
        <v>19</v>
      </c>
      <c r="J5959" s="2" t="s">
        <v>8277</v>
      </c>
      <c r="K5959" s="2" t="s">
        <v>8285</v>
      </c>
      <c r="L5959" s="2">
        <f t="shared" si="93"/>
        <v>150</v>
      </c>
    </row>
    <row r="5960" spans="1:12" ht="25" customHeight="1">
      <c r="A5960" s="2" t="s">
        <v>12</v>
      </c>
      <c r="B5960" s="2" t="str">
        <f>HYPERLINK("http://www.12365auto.com/parts/20200218/418888.shtml","倍耐力用模拟器研发轮胎 研发周期缩短30%")</f>
        <v>倍耐力用模拟器研发轮胎 研发周期缩短30%</v>
      </c>
      <c r="C5960" s="2" t="s">
        <v>13</v>
      </c>
      <c r="D5960" s="2" t="s">
        <v>12</v>
      </c>
      <c r="E5960" s="2" t="s">
        <v>240</v>
      </c>
      <c r="F5960" s="2" t="str">
        <f>HYPERLINK("http://www.12365auto.com/parts/20200218/418888.shtml","http://www.12365auto.com/parts/20200218/418888.shtml")</f>
        <v>http://www.12365auto.com/parts/20200218/418888.shtml</v>
      </c>
      <c r="G5960" s="2"/>
      <c r="H5960" s="2" t="s">
        <v>8287</v>
      </c>
      <c r="I5960" s="2" t="s">
        <v>15</v>
      </c>
      <c r="J5960" s="2" t="s">
        <v>12</v>
      </c>
      <c r="K5960" s="2" t="s">
        <v>8288</v>
      </c>
      <c r="L5960" s="2">
        <f t="shared" si="93"/>
        <v>150</v>
      </c>
    </row>
    <row r="5961" spans="1:12" ht="25" customHeight="1">
      <c r="A5961" s="2" t="s">
        <v>12</v>
      </c>
      <c r="B5961" s="2" t="str">
        <f>HYPERLINK("http://m.12365auto.com/parts/20200218/418888.shtml","倍耐力用模拟器研发轮胎 研发周期缩短30%")</f>
        <v>倍耐力用模拟器研发轮胎 研发周期缩短30%</v>
      </c>
      <c r="C5961" s="2" t="s">
        <v>13</v>
      </c>
      <c r="D5961" s="2" t="s">
        <v>12</v>
      </c>
      <c r="E5961" s="2"/>
      <c r="F5961" s="2" t="str">
        <f>HYPERLINK("http://m.12365auto.com/parts/20200218/418888.shtml","http://m.12365auto.com/parts/20200218/418888.shtml")</f>
        <v>http://m.12365auto.com/parts/20200218/418888.shtml</v>
      </c>
      <c r="G5961" s="2"/>
      <c r="H5961" s="2" t="s">
        <v>8289</v>
      </c>
      <c r="I5961" s="2" t="s">
        <v>19</v>
      </c>
      <c r="J5961" s="2" t="s">
        <v>760</v>
      </c>
      <c r="K5961" s="2" t="s">
        <v>8288</v>
      </c>
      <c r="L5961" s="2">
        <f t="shared" si="93"/>
        <v>150</v>
      </c>
    </row>
    <row r="5962" spans="1:12" ht="25" customHeight="1">
      <c r="A5962" s="2" t="s">
        <v>12</v>
      </c>
      <c r="B5962" s="2" t="str">
        <f>HYPERLINK("http://m.12365auto.com/news/20200218/418887.shtml","比i3可靠 聆风获JD Power2020可靠性冠军")</f>
        <v>比i3可靠 聆风获JD Power2020可靠性冠军</v>
      </c>
      <c r="C5962" s="2" t="s">
        <v>13</v>
      </c>
      <c r="D5962" s="2" t="s">
        <v>12</v>
      </c>
      <c r="E5962" s="2"/>
      <c r="F5962" s="2" t="str">
        <f>HYPERLINK("http://m.12365auto.com/news/20200218/418887.shtml","http://m.12365auto.com/news/20200218/418887.shtml")</f>
        <v>http://m.12365auto.com/news/20200218/418887.shtml</v>
      </c>
      <c r="G5962" s="2"/>
      <c r="H5962" s="2" t="s">
        <v>8290</v>
      </c>
      <c r="I5962" s="2" t="s">
        <v>19</v>
      </c>
      <c r="J5962" s="2" t="s">
        <v>1069</v>
      </c>
      <c r="K5962" s="2" t="s">
        <v>8288</v>
      </c>
      <c r="L5962" s="2">
        <f t="shared" si="93"/>
        <v>150</v>
      </c>
    </row>
    <row r="5963" spans="1:12" ht="25" customHeight="1">
      <c r="A5963" s="2" t="s">
        <v>12</v>
      </c>
      <c r="B5963" s="2" t="str">
        <f>HYPERLINK("http://www.12365auto.com/news/20200218/418887.shtml","比i3可靠 聆风获JD Power2020可靠性冠军")</f>
        <v>比i3可靠 聆风获JD Power2020可靠性冠军</v>
      </c>
      <c r="C5963" s="2" t="s">
        <v>13</v>
      </c>
      <c r="D5963" s="2" t="s">
        <v>12</v>
      </c>
      <c r="E5963" s="2" t="s">
        <v>276</v>
      </c>
      <c r="F5963" s="2" t="str">
        <f>HYPERLINK("http://www.12365auto.com/news/20200218/418887.shtml","http://www.12365auto.com/news/20200218/418887.shtml")</f>
        <v>http://www.12365auto.com/news/20200218/418887.shtml</v>
      </c>
      <c r="G5963" s="2"/>
      <c r="H5963" s="2" t="s">
        <v>8291</v>
      </c>
      <c r="I5963" s="2" t="s">
        <v>15</v>
      </c>
      <c r="J5963" s="2" t="s">
        <v>12</v>
      </c>
      <c r="K5963" s="2" t="s">
        <v>8288</v>
      </c>
      <c r="L5963" s="2">
        <f t="shared" si="93"/>
        <v>150</v>
      </c>
    </row>
    <row r="5964" spans="1:12" ht="25" customHeight="1">
      <c r="A5964" s="2" t="s">
        <v>12</v>
      </c>
      <c r="B5964" s="2" t="str">
        <f>HYPERLINK("http://www.12365auto.com/xcdg/20200218/418886.shtml","配置适当调整 新款C-HR有望年内推出")</f>
        <v>配置适当调整 新款C-HR有望年内推出</v>
      </c>
      <c r="C5964" s="2" t="s">
        <v>13</v>
      </c>
      <c r="D5964" s="2" t="s">
        <v>12</v>
      </c>
      <c r="E5964" s="2" t="s">
        <v>216</v>
      </c>
      <c r="F5964" s="2" t="str">
        <f>HYPERLINK("http://www.12365auto.com/xcdg/20200218/418886.shtml","http://www.12365auto.com/xcdg/20200218/418886.shtml")</f>
        <v>http://www.12365auto.com/xcdg/20200218/418886.shtml</v>
      </c>
      <c r="G5964" s="2"/>
      <c r="H5964" s="2" t="s">
        <v>8292</v>
      </c>
      <c r="I5964" s="2" t="s">
        <v>15</v>
      </c>
      <c r="J5964" s="2" t="s">
        <v>12</v>
      </c>
      <c r="K5964" s="2" t="s">
        <v>8293</v>
      </c>
      <c r="L5964" s="2">
        <f t="shared" si="93"/>
        <v>150</v>
      </c>
    </row>
    <row r="5965" spans="1:12" ht="25" customHeight="1">
      <c r="A5965" s="2" t="s">
        <v>12</v>
      </c>
      <c r="B5965" s="2" t="str">
        <f>HYPERLINK("http://m.12365auto.com/xcdg/20200218/418886.shtml","配置适当调整 新款C-HR有望年内推出")</f>
        <v>配置适当调整 新款C-HR有望年内推出</v>
      </c>
      <c r="C5965" s="2" t="s">
        <v>13</v>
      </c>
      <c r="D5965" s="2" t="s">
        <v>12</v>
      </c>
      <c r="E5965" s="2"/>
      <c r="F5965" s="2" t="str">
        <f>HYPERLINK("http://m.12365auto.com/xcdg/20200218/418886.shtml","http://m.12365auto.com/xcdg/20200218/418886.shtml")</f>
        <v>http://m.12365auto.com/xcdg/20200218/418886.shtml</v>
      </c>
      <c r="G5965" s="2"/>
      <c r="H5965" s="2" t="s">
        <v>8294</v>
      </c>
      <c r="I5965" s="2" t="s">
        <v>19</v>
      </c>
      <c r="J5965" s="2" t="s">
        <v>2572</v>
      </c>
      <c r="K5965" s="2" t="s">
        <v>8293</v>
      </c>
      <c r="L5965" s="2">
        <f t="shared" si="93"/>
        <v>150</v>
      </c>
    </row>
    <row r="5966" spans="1:12" ht="25" customHeight="1">
      <c r="A5966" s="2" t="s">
        <v>12</v>
      </c>
      <c r="B5966" s="2" t="str">
        <f>HYPERLINK("http://bbs.12365auto.com/postcontent.aspx?tID=194400","凛冬自驾北京到河北蔚县 300公里7小时 京西山路险峻之行")</f>
        <v>凛冬自驾北京到河北蔚县 300公里7小时 京西山路险峻之行</v>
      </c>
      <c r="C5966" s="2" t="s">
        <v>13</v>
      </c>
      <c r="D5966" s="2" t="s">
        <v>12</v>
      </c>
      <c r="E5966" s="2" t="s">
        <v>214</v>
      </c>
      <c r="F5966" s="2" t="str">
        <f>HYPERLINK("http://bbs.12365auto.com/postcontent.aspx?tID=194400","http://bbs.12365auto.com/postcontent.aspx?tID=194400")</f>
        <v>http://bbs.12365auto.com/postcontent.aspx?tID=194400</v>
      </c>
      <c r="G5966" s="2"/>
      <c r="H5966" s="2" t="s">
        <v>8295</v>
      </c>
      <c r="I5966" s="2" t="s">
        <v>15</v>
      </c>
      <c r="J5966" s="2" t="s">
        <v>1386</v>
      </c>
      <c r="K5966" s="2" t="s">
        <v>8296</v>
      </c>
      <c r="L5966" s="2">
        <f t="shared" si="93"/>
        <v>150</v>
      </c>
    </row>
    <row r="5967" spans="1:12" ht="25" customHeight="1">
      <c r="A5967" s="2" t="s">
        <v>12</v>
      </c>
      <c r="B5967" s="2" t="str">
        <f>HYPERLINK("http://bbs.12365auto.com/postcontent.aspx?tId=194400","凛冬自驾北京到河北蔚县 300公里7小时 京西山路险峻之行")</f>
        <v>凛冬自驾北京到河北蔚县 300公里7小时 京西山路险峻之行</v>
      </c>
      <c r="C5967" s="2" t="s">
        <v>13</v>
      </c>
      <c r="D5967" s="2" t="s">
        <v>12</v>
      </c>
      <c r="E5967" s="2" t="s">
        <v>210</v>
      </c>
      <c r="F5967" s="2" t="str">
        <f>HYPERLINK("http://bbs.12365auto.com/postcontent.aspx?tId=194400","http://bbs.12365auto.com/postcontent.aspx?tId=194400")</f>
        <v>http://bbs.12365auto.com/postcontent.aspx?tId=194400</v>
      </c>
      <c r="G5967" s="2"/>
      <c r="H5967" s="2" t="s">
        <v>8297</v>
      </c>
      <c r="I5967" s="2" t="s">
        <v>15</v>
      </c>
      <c r="J5967" s="2" t="s">
        <v>1386</v>
      </c>
      <c r="K5967" s="2" t="s">
        <v>8296</v>
      </c>
      <c r="L5967" s="2">
        <f t="shared" si="93"/>
        <v>150</v>
      </c>
    </row>
    <row r="5968" spans="1:12" ht="25" customHeight="1">
      <c r="A5968" s="2" t="s">
        <v>12</v>
      </c>
      <c r="B5968" s="2" t="str">
        <f>HYPERLINK("http://m.12365auto.com/bbs/postcontent.aspx?tID=194400","凛冬自驾北京到河北蔚县 300公里7小时 京西山路险峻之行")</f>
        <v>凛冬自驾北京到河北蔚县 300公里7小时 京西山路险峻之行</v>
      </c>
      <c r="C5968" s="2" t="s">
        <v>13</v>
      </c>
      <c r="D5968" s="2" t="s">
        <v>23</v>
      </c>
      <c r="E5968" s="2"/>
      <c r="F5968" s="2" t="str">
        <f>HYPERLINK("http://m.12365auto.com/bbs/postcontent.aspx?tID=194400","http://m.12365auto.com/bbs/postcontent.aspx?tID=194400")</f>
        <v>http://m.12365auto.com/bbs/postcontent.aspx?tID=194400</v>
      </c>
      <c r="G5968" s="2"/>
      <c r="H5968" s="2" t="s">
        <v>8297</v>
      </c>
      <c r="I5968" s="2" t="s">
        <v>15</v>
      </c>
      <c r="J5968" s="2" t="s">
        <v>1386</v>
      </c>
      <c r="K5968" s="2" t="s">
        <v>8296</v>
      </c>
      <c r="L5968" s="2">
        <f t="shared" si="93"/>
        <v>150</v>
      </c>
    </row>
    <row r="5969" spans="1:12" ht="25" customHeight="1">
      <c r="A5969" s="2" t="s">
        <v>12</v>
      </c>
      <c r="B5969" s="2" t="str">
        <f>HYPERLINK("http://bbs.12365auto.com/postcontent.aspx?tID=194399","盘点我国几条著名的“断头”高速公路 你开车经过了几条？")</f>
        <v>盘点我国几条著名的“断头”高速公路 你开车经过了几条？</v>
      </c>
      <c r="C5969" s="2" t="s">
        <v>13</v>
      </c>
      <c r="D5969" s="2" t="s">
        <v>12</v>
      </c>
      <c r="E5969" s="2" t="s">
        <v>214</v>
      </c>
      <c r="F5969" s="2" t="str">
        <f>HYPERLINK("http://bbs.12365auto.com/postcontent.aspx?tID=194399","http://bbs.12365auto.com/postcontent.aspx?tID=194399")</f>
        <v>http://bbs.12365auto.com/postcontent.aspx?tID=194399</v>
      </c>
      <c r="G5969" s="2"/>
      <c r="H5969" s="2" t="s">
        <v>8298</v>
      </c>
      <c r="I5969" s="2" t="s">
        <v>15</v>
      </c>
      <c r="J5969" s="2" t="s">
        <v>1386</v>
      </c>
      <c r="K5969" s="2" t="s">
        <v>8299</v>
      </c>
      <c r="L5969" s="2">
        <f t="shared" si="93"/>
        <v>150</v>
      </c>
    </row>
    <row r="5970" spans="1:12" ht="25" customHeight="1">
      <c r="A5970" s="2" t="s">
        <v>12</v>
      </c>
      <c r="B5970" s="2" t="str">
        <f>HYPERLINK("http://bbs.12365auto.com/postcontent.aspx?tId=194399","盘点我国几条著名的“断头”高速公路 你开车经过了几条？")</f>
        <v>盘点我国几条著名的“断头”高速公路 你开车经过了几条？</v>
      </c>
      <c r="C5970" s="2" t="s">
        <v>13</v>
      </c>
      <c r="D5970" s="2" t="s">
        <v>12</v>
      </c>
      <c r="E5970" s="2" t="s">
        <v>210</v>
      </c>
      <c r="F5970" s="2" t="str">
        <f>HYPERLINK("http://bbs.12365auto.com/postcontent.aspx?tId=194399","http://bbs.12365auto.com/postcontent.aspx?tId=194399")</f>
        <v>http://bbs.12365auto.com/postcontent.aspx?tId=194399</v>
      </c>
      <c r="G5970" s="2"/>
      <c r="H5970" s="2" t="s">
        <v>8300</v>
      </c>
      <c r="I5970" s="2" t="s">
        <v>15</v>
      </c>
      <c r="J5970" s="2" t="s">
        <v>1386</v>
      </c>
      <c r="K5970" s="2" t="s">
        <v>8299</v>
      </c>
      <c r="L5970" s="2">
        <f t="shared" si="93"/>
        <v>150</v>
      </c>
    </row>
    <row r="5971" spans="1:12" ht="25" customHeight="1">
      <c r="A5971" s="2" t="s">
        <v>12</v>
      </c>
      <c r="B5971" s="2" t="str">
        <f>HYPERLINK("http://m.12365auto.com/bbs/postcontent.aspx?tID=194399","盘点我国几条著名的“断头”高速公路 你开车经过了几条？")</f>
        <v>盘点我国几条著名的“断头”高速公路 你开车经过了几条？</v>
      </c>
      <c r="C5971" s="2" t="s">
        <v>13</v>
      </c>
      <c r="D5971" s="2" t="s">
        <v>23</v>
      </c>
      <c r="E5971" s="2"/>
      <c r="F5971" s="2" t="str">
        <f>HYPERLINK("http://m.12365auto.com/bbs/postcontent.aspx?tID=194399","http://m.12365auto.com/bbs/postcontent.aspx?tID=194399")</f>
        <v>http://m.12365auto.com/bbs/postcontent.aspx?tID=194399</v>
      </c>
      <c r="G5971" s="2"/>
      <c r="H5971" s="2" t="s">
        <v>8300</v>
      </c>
      <c r="I5971" s="2" t="s">
        <v>15</v>
      </c>
      <c r="J5971" s="2" t="s">
        <v>1386</v>
      </c>
      <c r="K5971" s="2" t="s">
        <v>8299</v>
      </c>
      <c r="L5971" s="2">
        <f t="shared" si="93"/>
        <v>150</v>
      </c>
    </row>
    <row r="5972" spans="1:12" ht="25" customHeight="1">
      <c r="A5972" s="2" t="s">
        <v>12</v>
      </c>
      <c r="B5972" s="2" t="str">
        <f>HYPERLINK("http://www.12365auto.com/xcdg/20200218/418885.shtml","奥迪将打造微型纯电动车 基于AI:ME概念车")</f>
        <v>奥迪将打造微型纯电动车 基于AI:ME概念车</v>
      </c>
      <c r="C5972" s="2" t="s">
        <v>13</v>
      </c>
      <c r="D5972" s="2" t="s">
        <v>12</v>
      </c>
      <c r="E5972" s="2" t="s">
        <v>216</v>
      </c>
      <c r="F5972" s="2" t="str">
        <f>HYPERLINK("http://www.12365auto.com/xcdg/20200218/418885.shtml","http://www.12365auto.com/xcdg/20200218/418885.shtml")</f>
        <v>http://www.12365auto.com/xcdg/20200218/418885.shtml</v>
      </c>
      <c r="G5972" s="2"/>
      <c r="H5972" s="2" t="s">
        <v>8301</v>
      </c>
      <c r="I5972" s="2" t="s">
        <v>15</v>
      </c>
      <c r="J5972" s="2" t="s">
        <v>12</v>
      </c>
      <c r="K5972" s="2" t="s">
        <v>8302</v>
      </c>
      <c r="L5972" s="2">
        <f t="shared" si="93"/>
        <v>150</v>
      </c>
    </row>
    <row r="5973" spans="1:12" ht="25" customHeight="1">
      <c r="A5973" s="2" t="s">
        <v>12</v>
      </c>
      <c r="B5973" s="2" t="str">
        <f>HYPERLINK("http://m.12365auto.com/xcdg/20200218/418885.shtml","奥迪将打造微型纯电动车 基于AI:ME概念车")</f>
        <v>奥迪将打造微型纯电动车 基于AI:ME概念车</v>
      </c>
      <c r="C5973" s="2" t="s">
        <v>13</v>
      </c>
      <c r="D5973" s="2" t="s">
        <v>12</v>
      </c>
      <c r="E5973" s="2"/>
      <c r="F5973" s="2" t="str">
        <f>HYPERLINK("http://m.12365auto.com/xcdg/20200218/418885.shtml","http://m.12365auto.com/xcdg/20200218/418885.shtml")</f>
        <v>http://m.12365auto.com/xcdg/20200218/418885.shtml</v>
      </c>
      <c r="G5973" s="2"/>
      <c r="H5973" s="2" t="s">
        <v>8303</v>
      </c>
      <c r="I5973" s="2" t="s">
        <v>19</v>
      </c>
      <c r="J5973" s="2" t="s">
        <v>1923</v>
      </c>
      <c r="K5973" s="2" t="s">
        <v>8302</v>
      </c>
      <c r="L5973" s="2">
        <f t="shared" si="93"/>
        <v>150</v>
      </c>
    </row>
    <row r="5974" spans="1:12" ht="25" customHeight="1">
      <c r="A5974" s="2" t="s">
        <v>12</v>
      </c>
      <c r="B5974" s="2" t="str">
        <f>HYPERLINK("http://www.12365auto.com/zlts/20200218/447626.shtml","时间不可调")</f>
        <v>时间不可调</v>
      </c>
      <c r="C5974" s="2" t="s">
        <v>13</v>
      </c>
      <c r="D5974" s="2" t="s">
        <v>12</v>
      </c>
      <c r="E5974" s="2"/>
      <c r="F5974" s="2" t="str">
        <f>HYPERLINK("http://www.12365auto.com/zlts/20200218/447626.shtml","http://www.12365auto.com/zlts/20200218/447626.shtml")</f>
        <v>http://www.12365auto.com/zlts/20200218/447626.shtml</v>
      </c>
      <c r="G5974" s="2"/>
      <c r="H5974" s="2" t="s">
        <v>8305</v>
      </c>
      <c r="I5974" s="2" t="s">
        <v>15</v>
      </c>
      <c r="J5974" s="2" t="s">
        <v>12</v>
      </c>
      <c r="K5974" s="2" t="s">
        <v>8304</v>
      </c>
      <c r="L5974" s="2">
        <f t="shared" si="93"/>
        <v>88</v>
      </c>
    </row>
    <row r="5975" spans="1:12" ht="25" customHeight="1">
      <c r="A5975" s="2" t="s">
        <v>12</v>
      </c>
      <c r="B5975" s="2" t="str">
        <f>HYPERLINK("http://m.12365auto.com/news/20200218/418884.shtml","即日起进京证暂停现场办理 改为网上申办")</f>
        <v>即日起进京证暂停现场办理 改为网上申办</v>
      </c>
      <c r="C5975" s="2" t="s">
        <v>13</v>
      </c>
      <c r="D5975" s="2" t="s">
        <v>12</v>
      </c>
      <c r="E5975" s="2"/>
      <c r="F5975" s="2" t="str">
        <f>HYPERLINK("http://m.12365auto.com/news/20200218/418884.shtml","http://m.12365auto.com/news/20200218/418884.shtml")</f>
        <v>http://m.12365auto.com/news/20200218/418884.shtml</v>
      </c>
      <c r="G5975" s="2"/>
      <c r="H5975" s="2" t="s">
        <v>8306</v>
      </c>
      <c r="I5975" s="2" t="s">
        <v>19</v>
      </c>
      <c r="J5975" s="2" t="s">
        <v>2589</v>
      </c>
      <c r="K5975" s="2" t="s">
        <v>8307</v>
      </c>
      <c r="L5975" s="2">
        <f t="shared" si="93"/>
        <v>150</v>
      </c>
    </row>
    <row r="5976" spans="1:12" ht="25" customHeight="1">
      <c r="A5976" s="2" t="s">
        <v>12</v>
      </c>
      <c r="B5976" s="2" t="str">
        <f>HYPERLINK("http://www.12365auto.com/news/20200218/418884.shtml","即日起进京证暂停现场办理 改为网上申办")</f>
        <v>即日起进京证暂停现场办理 改为网上申办</v>
      </c>
      <c r="C5976" s="2" t="s">
        <v>13</v>
      </c>
      <c r="D5976" s="2" t="s">
        <v>12</v>
      </c>
      <c r="E5976" s="2" t="s">
        <v>276</v>
      </c>
      <c r="F5976" s="2" t="str">
        <f>HYPERLINK("http://www.12365auto.com/news/20200218/418884.shtml","http://www.12365auto.com/news/20200218/418884.shtml")</f>
        <v>http://www.12365auto.com/news/20200218/418884.shtml</v>
      </c>
      <c r="G5976" s="2"/>
      <c r="H5976" s="2" t="s">
        <v>8308</v>
      </c>
      <c r="I5976" s="2" t="s">
        <v>15</v>
      </c>
      <c r="J5976" s="2" t="s">
        <v>12</v>
      </c>
      <c r="K5976" s="2" t="s">
        <v>8307</v>
      </c>
      <c r="L5976" s="2">
        <f t="shared" si="93"/>
        <v>150</v>
      </c>
    </row>
    <row r="5977" spans="1:12" ht="25" customHeight="1">
      <c r="A5977" s="2" t="s">
        <v>12</v>
      </c>
      <c r="B5977" s="2" t="str">
        <f>HYPERLINK("http://bbs.12365auto.com/postcontent.aspx?tID=194398","短短40公里藏着5大山水仙境 河南这条自驾游路线 你来过了吗？")</f>
        <v>短短40公里藏着5大山水仙境 河南这条自驾游路线 你来过了吗？</v>
      </c>
      <c r="C5977" s="2" t="s">
        <v>13</v>
      </c>
      <c r="D5977" s="2" t="s">
        <v>12</v>
      </c>
      <c r="E5977" s="2" t="s">
        <v>214</v>
      </c>
      <c r="F5977" s="2" t="str">
        <f>HYPERLINK("http://bbs.12365auto.com/postcontent.aspx?tID=194398","http://bbs.12365auto.com/postcontent.aspx?tID=194398")</f>
        <v>http://bbs.12365auto.com/postcontent.aspx?tID=194398</v>
      </c>
      <c r="G5977" s="2"/>
      <c r="H5977" s="2" t="s">
        <v>8309</v>
      </c>
      <c r="I5977" s="2" t="s">
        <v>15</v>
      </c>
      <c r="J5977" s="2" t="s">
        <v>1386</v>
      </c>
      <c r="K5977" s="2" t="s">
        <v>8307</v>
      </c>
      <c r="L5977" s="2">
        <f t="shared" si="93"/>
        <v>150</v>
      </c>
    </row>
    <row r="5978" spans="1:12" ht="25" customHeight="1">
      <c r="A5978" s="2" t="s">
        <v>12</v>
      </c>
      <c r="B5978" s="2" t="str">
        <f>HYPERLINK("http://bbs.12365auto.com/postcontent.aspx?tId=194398","短短40公里藏着5大山水仙境 河南这条自驾游路线 你来过了吗？")</f>
        <v>短短40公里藏着5大山水仙境 河南这条自驾游路线 你来过了吗？</v>
      </c>
      <c r="C5978" s="2" t="s">
        <v>13</v>
      </c>
      <c r="D5978" s="2" t="s">
        <v>12</v>
      </c>
      <c r="E5978" s="2" t="s">
        <v>210</v>
      </c>
      <c r="F5978" s="2" t="str">
        <f>HYPERLINK("http://bbs.12365auto.com/postcontent.aspx?tId=194398","http://bbs.12365auto.com/postcontent.aspx?tId=194398")</f>
        <v>http://bbs.12365auto.com/postcontent.aspx?tId=194398</v>
      </c>
      <c r="G5978" s="2"/>
      <c r="H5978" s="2" t="s">
        <v>8310</v>
      </c>
      <c r="I5978" s="2" t="s">
        <v>15</v>
      </c>
      <c r="J5978" s="2" t="s">
        <v>1386</v>
      </c>
      <c r="K5978" s="2" t="s">
        <v>8307</v>
      </c>
      <c r="L5978" s="2">
        <f t="shared" si="93"/>
        <v>150</v>
      </c>
    </row>
    <row r="5979" spans="1:12" ht="25" customHeight="1">
      <c r="A5979" s="2" t="s">
        <v>12</v>
      </c>
      <c r="B5979" s="2" t="str">
        <f>HYPERLINK("http://m.12365auto.com/bbs/postcontent.aspx?tID=194398","短短40公里藏着5大山水仙境 河南这条自驾游路线 你来过了吗？")</f>
        <v>短短40公里藏着5大山水仙境 河南这条自驾游路线 你来过了吗？</v>
      </c>
      <c r="C5979" s="2" t="s">
        <v>13</v>
      </c>
      <c r="D5979" s="2" t="s">
        <v>23</v>
      </c>
      <c r="E5979" s="2"/>
      <c r="F5979" s="2" t="str">
        <f>HYPERLINK("http://m.12365auto.com/bbs/postcontent.aspx?tID=194398","http://m.12365auto.com/bbs/postcontent.aspx?tID=194398")</f>
        <v>http://m.12365auto.com/bbs/postcontent.aspx?tID=194398</v>
      </c>
      <c r="G5979" s="2"/>
      <c r="H5979" s="2" t="s">
        <v>8310</v>
      </c>
      <c r="I5979" s="2" t="s">
        <v>15</v>
      </c>
      <c r="J5979" s="2" t="s">
        <v>1386</v>
      </c>
      <c r="K5979" s="2" t="s">
        <v>8307</v>
      </c>
      <c r="L5979" s="2">
        <f t="shared" si="93"/>
        <v>150</v>
      </c>
    </row>
    <row r="5980" spans="1:12" ht="25" customHeight="1">
      <c r="A5980" s="2" t="s">
        <v>12</v>
      </c>
      <c r="B5980" s="2" t="str">
        <f>HYPERLINK("http://bbs.12365auto.com/postcontent.aspx?tID=194397","山东日照一路向北沿海自驾游")</f>
        <v>山东日照一路向北沿海自驾游</v>
      </c>
      <c r="C5980" s="2" t="s">
        <v>13</v>
      </c>
      <c r="D5980" s="2" t="s">
        <v>12</v>
      </c>
      <c r="E5980" s="2" t="s">
        <v>214</v>
      </c>
      <c r="F5980" s="2" t="str">
        <f>HYPERLINK("http://bbs.12365auto.com/postcontent.aspx?tID=194397","http://bbs.12365auto.com/postcontent.aspx?tID=194397")</f>
        <v>http://bbs.12365auto.com/postcontent.aspx?tID=194397</v>
      </c>
      <c r="G5980" s="2"/>
      <c r="H5980" s="2" t="s">
        <v>8311</v>
      </c>
      <c r="I5980" s="2" t="s">
        <v>15</v>
      </c>
      <c r="J5980" s="2" t="s">
        <v>1386</v>
      </c>
      <c r="K5980" s="2" t="s">
        <v>8312</v>
      </c>
      <c r="L5980" s="2">
        <f t="shared" si="93"/>
        <v>142</v>
      </c>
    </row>
    <row r="5981" spans="1:12" ht="25" customHeight="1">
      <c r="A5981" s="2" t="s">
        <v>12</v>
      </c>
      <c r="B5981" s="2" t="str">
        <f>HYPERLINK("http://bbs.12365auto.com/postcontent.aspx?tId=194397","山东日照一路向北沿海自驾游")</f>
        <v>山东日照一路向北沿海自驾游</v>
      </c>
      <c r="C5981" s="2" t="s">
        <v>13</v>
      </c>
      <c r="D5981" s="2" t="s">
        <v>12</v>
      </c>
      <c r="E5981" s="2" t="s">
        <v>210</v>
      </c>
      <c r="F5981" s="2" t="str">
        <f>HYPERLINK("http://bbs.12365auto.com/postcontent.aspx?tId=194397","http://bbs.12365auto.com/postcontent.aspx?tId=194397")</f>
        <v>http://bbs.12365auto.com/postcontent.aspx?tId=194397</v>
      </c>
      <c r="G5981" s="2"/>
      <c r="H5981" s="2" t="s">
        <v>8313</v>
      </c>
      <c r="I5981" s="2" t="s">
        <v>15</v>
      </c>
      <c r="J5981" s="2" t="s">
        <v>1386</v>
      </c>
      <c r="K5981" s="2" t="s">
        <v>8312</v>
      </c>
      <c r="L5981" s="2">
        <f t="shared" si="93"/>
        <v>129</v>
      </c>
    </row>
    <row r="5982" spans="1:12" ht="25" customHeight="1">
      <c r="A5982" s="2" t="s">
        <v>12</v>
      </c>
      <c r="B5982" s="2" t="str">
        <f>HYPERLINK("http://m.12365auto.com/bbs/postcontent.aspx?tID=194397","山东日照一路向北沿海自驾游")</f>
        <v>山东日照一路向北沿海自驾游</v>
      </c>
      <c r="C5982" s="2" t="s">
        <v>13</v>
      </c>
      <c r="D5982" s="2" t="s">
        <v>23</v>
      </c>
      <c r="E5982" s="2"/>
      <c r="F5982" s="2" t="str">
        <f>HYPERLINK("http://m.12365auto.com/bbs/postcontent.aspx?tID=194397","http://m.12365auto.com/bbs/postcontent.aspx?tID=194397")</f>
        <v>http://m.12365auto.com/bbs/postcontent.aspx?tID=194397</v>
      </c>
      <c r="G5982" s="2"/>
      <c r="H5982" s="2" t="s">
        <v>8313</v>
      </c>
      <c r="I5982" s="2" t="s">
        <v>15</v>
      </c>
      <c r="J5982" s="2" t="s">
        <v>1386</v>
      </c>
      <c r="K5982" s="2" t="s">
        <v>8312</v>
      </c>
      <c r="L5982" s="2">
        <f t="shared" si="93"/>
        <v>129</v>
      </c>
    </row>
    <row r="5983" spans="1:12" ht="25" customHeight="1">
      <c r="A5983" s="2" t="s">
        <v>12</v>
      </c>
      <c r="B5983" s="2" t="str">
        <f>HYPERLINK("http://bbs.12365auto.com/postcontent.aspx?tID=194395","湖北最美的水上高速路")</f>
        <v>湖北最美的水上高速路</v>
      </c>
      <c r="C5983" s="2" t="s">
        <v>13</v>
      </c>
      <c r="D5983" s="2" t="s">
        <v>12</v>
      </c>
      <c r="E5983" s="2" t="s">
        <v>214</v>
      </c>
      <c r="F5983" s="2" t="str">
        <f>HYPERLINK("http://bbs.12365auto.com/postcontent.aspx?tID=194395","http://bbs.12365auto.com/postcontent.aspx?tID=194395")</f>
        <v>http://bbs.12365auto.com/postcontent.aspx?tID=194395</v>
      </c>
      <c r="G5983" s="2"/>
      <c r="H5983" s="2" t="s">
        <v>8314</v>
      </c>
      <c r="I5983" s="2" t="s">
        <v>15</v>
      </c>
      <c r="J5983" s="2" t="s">
        <v>1386</v>
      </c>
      <c r="K5983" s="2" t="s">
        <v>8315</v>
      </c>
      <c r="L5983" s="2">
        <f t="shared" si="93"/>
        <v>108</v>
      </c>
    </row>
    <row r="5984" spans="1:12" ht="25" customHeight="1">
      <c r="A5984" s="2" t="s">
        <v>12</v>
      </c>
      <c r="B5984" s="2" t="str">
        <f>HYPERLINK("http://bbs.12365auto.com/postcontent.aspx?tID=194396","川藏线10年前有多烂多险？")</f>
        <v>川藏线10年前有多烂多险？</v>
      </c>
      <c r="C5984" s="2" t="s">
        <v>13</v>
      </c>
      <c r="D5984" s="2" t="s">
        <v>12</v>
      </c>
      <c r="E5984" s="2" t="s">
        <v>214</v>
      </c>
      <c r="F5984" s="2" t="str">
        <f>HYPERLINK("http://bbs.12365auto.com/postcontent.aspx?tID=194396","http://bbs.12365auto.com/postcontent.aspx?tID=194396")</f>
        <v>http://bbs.12365auto.com/postcontent.aspx?tID=194396</v>
      </c>
      <c r="G5984" s="2"/>
      <c r="H5984" s="2" t="s">
        <v>8316</v>
      </c>
      <c r="I5984" s="2" t="s">
        <v>15</v>
      </c>
      <c r="J5984" s="2" t="s">
        <v>1386</v>
      </c>
      <c r="K5984" s="2" t="s">
        <v>8315</v>
      </c>
      <c r="L5984" s="2">
        <f t="shared" si="93"/>
        <v>150</v>
      </c>
    </row>
    <row r="5985" spans="1:12" ht="25" customHeight="1">
      <c r="A5985" s="2" t="s">
        <v>12</v>
      </c>
      <c r="B5985" s="2" t="str">
        <f>HYPERLINK("http://bbs.12365auto.com/postcontent.aspx?tId=194396","川藏线10年前有多烂多险？")</f>
        <v>川藏线10年前有多烂多险？</v>
      </c>
      <c r="C5985" s="2" t="s">
        <v>13</v>
      </c>
      <c r="D5985" s="2" t="s">
        <v>12</v>
      </c>
      <c r="E5985" s="2" t="s">
        <v>210</v>
      </c>
      <c r="F5985" s="2" t="str">
        <f>HYPERLINK("http://bbs.12365auto.com/postcontent.aspx?tId=194396","http://bbs.12365auto.com/postcontent.aspx?tId=194396")</f>
        <v>http://bbs.12365auto.com/postcontent.aspx?tId=194396</v>
      </c>
      <c r="G5985" s="2"/>
      <c r="H5985" s="2" t="s">
        <v>8317</v>
      </c>
      <c r="I5985" s="2" t="s">
        <v>15</v>
      </c>
      <c r="J5985" s="2" t="s">
        <v>1386</v>
      </c>
      <c r="K5985" s="2" t="s">
        <v>8315</v>
      </c>
      <c r="L5985" s="2">
        <f t="shared" si="93"/>
        <v>150</v>
      </c>
    </row>
    <row r="5986" spans="1:12" ht="25" customHeight="1">
      <c r="A5986" s="2" t="s">
        <v>12</v>
      </c>
      <c r="B5986" s="2" t="str">
        <f>HYPERLINK("http://bbs.12365auto.com/postcontent.aspx?tId=194395","湖北最美的水上高速路")</f>
        <v>湖北最美的水上高速路</v>
      </c>
      <c r="C5986" s="2" t="s">
        <v>13</v>
      </c>
      <c r="D5986" s="2" t="s">
        <v>12</v>
      </c>
      <c r="E5986" s="2" t="s">
        <v>210</v>
      </c>
      <c r="F5986" s="2" t="str">
        <f>HYPERLINK("http://bbs.12365auto.com/postcontent.aspx?tId=194395","http://bbs.12365auto.com/postcontent.aspx?tId=194395")</f>
        <v>http://bbs.12365auto.com/postcontent.aspx?tId=194395</v>
      </c>
      <c r="G5986" s="2"/>
      <c r="H5986" s="2" t="s">
        <v>8318</v>
      </c>
      <c r="I5986" s="2" t="s">
        <v>15</v>
      </c>
      <c r="J5986" s="2" t="s">
        <v>1386</v>
      </c>
      <c r="K5986" s="2" t="s">
        <v>8315</v>
      </c>
      <c r="L5986" s="2">
        <f t="shared" si="93"/>
        <v>98</v>
      </c>
    </row>
    <row r="5987" spans="1:12" ht="25" customHeight="1">
      <c r="A5987" s="2" t="s">
        <v>12</v>
      </c>
      <c r="B5987" s="2" t="str">
        <f>HYPERLINK("http://m.12365auto.com/bbs/postcontent.aspx?tID=194396","川藏线10年前有多烂多险？")</f>
        <v>川藏线10年前有多烂多险？</v>
      </c>
      <c r="C5987" s="2" t="s">
        <v>13</v>
      </c>
      <c r="D5987" s="2" t="s">
        <v>23</v>
      </c>
      <c r="E5987" s="2"/>
      <c r="F5987" s="2" t="str">
        <f>HYPERLINK("http://m.12365auto.com/bbs/postcontent.aspx?tID=194396","http://m.12365auto.com/bbs/postcontent.aspx?tID=194396")</f>
        <v>http://m.12365auto.com/bbs/postcontent.aspx?tID=194396</v>
      </c>
      <c r="G5987" s="2"/>
      <c r="H5987" s="2" t="s">
        <v>8317</v>
      </c>
      <c r="I5987" s="2" t="s">
        <v>15</v>
      </c>
      <c r="J5987" s="2" t="s">
        <v>1386</v>
      </c>
      <c r="K5987" s="2" t="s">
        <v>8315</v>
      </c>
      <c r="L5987" s="2">
        <f t="shared" si="93"/>
        <v>150</v>
      </c>
    </row>
    <row r="5988" spans="1:12" ht="25" customHeight="1">
      <c r="A5988" s="2" t="s">
        <v>12</v>
      </c>
      <c r="B5988" s="2" t="str">
        <f>HYPERLINK("http://m.12365auto.com/bbs/postcontent.aspx?tID=194395","湖北最美的水上高速路")</f>
        <v>湖北最美的水上高速路</v>
      </c>
      <c r="C5988" s="2" t="s">
        <v>13</v>
      </c>
      <c r="D5988" s="2" t="s">
        <v>23</v>
      </c>
      <c r="E5988" s="2"/>
      <c r="F5988" s="2" t="str">
        <f>HYPERLINK("http://m.12365auto.com/bbs/postcontent.aspx?tID=194395","http://m.12365auto.com/bbs/postcontent.aspx?tID=194395")</f>
        <v>http://m.12365auto.com/bbs/postcontent.aspx?tID=194395</v>
      </c>
      <c r="G5988" s="2"/>
      <c r="H5988" s="2" t="s">
        <v>8318</v>
      </c>
      <c r="I5988" s="2" t="s">
        <v>15</v>
      </c>
      <c r="J5988" s="2" t="s">
        <v>1386</v>
      </c>
      <c r="K5988" s="2" t="s">
        <v>8315</v>
      </c>
      <c r="L5988" s="2">
        <f t="shared" si="93"/>
        <v>98</v>
      </c>
    </row>
    <row r="5989" spans="1:12" ht="25" customHeight="1">
      <c r="A5989" s="2" t="s">
        <v>12</v>
      </c>
      <c r="B5989" s="2" t="str">
        <f>HYPERLINK("http://bbs.12365auto.com/postcontent.aspx?tID=194394","海南自驾找风景：大爷说给他10元钱带我捡鹅卵石 进去发现是禁区")</f>
        <v>海南自驾找风景：大爷说给他10元钱带我捡鹅卵石 进去发现是禁区</v>
      </c>
      <c r="C5989" s="2" t="s">
        <v>13</v>
      </c>
      <c r="D5989" s="2" t="s">
        <v>12</v>
      </c>
      <c r="E5989" s="2" t="s">
        <v>214</v>
      </c>
      <c r="F5989" s="2" t="str">
        <f>HYPERLINK("http://bbs.12365auto.com/postcontent.aspx?tID=194394","http://bbs.12365auto.com/postcontent.aspx?tID=194394")</f>
        <v>http://bbs.12365auto.com/postcontent.aspx?tID=194394</v>
      </c>
      <c r="G5989" s="2"/>
      <c r="H5989" s="2" t="s">
        <v>8319</v>
      </c>
      <c r="I5989" s="2" t="s">
        <v>15</v>
      </c>
      <c r="J5989" s="2" t="s">
        <v>1386</v>
      </c>
      <c r="K5989" s="2" t="s">
        <v>8320</v>
      </c>
      <c r="L5989" s="2">
        <f t="shared" si="93"/>
        <v>150</v>
      </c>
    </row>
    <row r="5990" spans="1:12" ht="25" customHeight="1">
      <c r="A5990" s="2" t="s">
        <v>12</v>
      </c>
      <c r="B5990" s="2" t="str">
        <f>HYPERLINK("http://bbs.12365auto.com/postcontent.aspx?tID=194393","中国最美公路系列：独库公路 此生必走一次的景观路")</f>
        <v>中国最美公路系列：独库公路 此生必走一次的景观路</v>
      </c>
      <c r="C5990" s="2" t="s">
        <v>13</v>
      </c>
      <c r="D5990" s="2" t="s">
        <v>12</v>
      </c>
      <c r="E5990" s="2" t="s">
        <v>214</v>
      </c>
      <c r="F5990" s="2" t="str">
        <f>HYPERLINK("http://bbs.12365auto.com/postcontent.aspx?tID=194393","http://bbs.12365auto.com/postcontent.aspx?tID=194393")</f>
        <v>http://bbs.12365auto.com/postcontent.aspx?tID=194393</v>
      </c>
      <c r="G5990" s="2"/>
      <c r="H5990" s="2" t="s">
        <v>8321</v>
      </c>
      <c r="I5990" s="2" t="s">
        <v>15</v>
      </c>
      <c r="J5990" s="2" t="s">
        <v>1386</v>
      </c>
      <c r="K5990" s="2" t="s">
        <v>8320</v>
      </c>
      <c r="L5990" s="2">
        <f t="shared" si="93"/>
        <v>150</v>
      </c>
    </row>
    <row r="5991" spans="1:12" ht="25" customHeight="1">
      <c r="A5991" s="2" t="s">
        <v>12</v>
      </c>
      <c r="B5991" s="2" t="str">
        <f>HYPERLINK("http://bbs.12365auto.com/postcontent.aspx?tId=194394","海南自驾找风景：大爷说给他10元钱带我捡鹅卵石 进去发现是禁区")</f>
        <v>海南自驾找风景：大爷说给他10元钱带我捡鹅卵石 进去发现是禁区</v>
      </c>
      <c r="C5991" s="2" t="s">
        <v>13</v>
      </c>
      <c r="D5991" s="2" t="s">
        <v>12</v>
      </c>
      <c r="E5991" s="2" t="s">
        <v>210</v>
      </c>
      <c r="F5991" s="2" t="str">
        <f>HYPERLINK("http://bbs.12365auto.com/postcontent.aspx?tId=194394","http://bbs.12365auto.com/postcontent.aspx?tId=194394")</f>
        <v>http://bbs.12365auto.com/postcontent.aspx?tId=194394</v>
      </c>
      <c r="G5991" s="2"/>
      <c r="H5991" s="2" t="s">
        <v>8322</v>
      </c>
      <c r="I5991" s="2" t="s">
        <v>15</v>
      </c>
      <c r="J5991" s="2" t="s">
        <v>1386</v>
      </c>
      <c r="K5991" s="2" t="s">
        <v>8320</v>
      </c>
      <c r="L5991" s="2">
        <f t="shared" si="93"/>
        <v>150</v>
      </c>
    </row>
    <row r="5992" spans="1:12" ht="25" customHeight="1">
      <c r="A5992" s="2" t="s">
        <v>12</v>
      </c>
      <c r="B5992" s="2" t="str">
        <f>HYPERLINK("http://bbs.12365auto.com/postcontent.aspx?tId=194393","中国最美公路系列：独库公路 此生必走一次的景观路")</f>
        <v>中国最美公路系列：独库公路 此生必走一次的景观路</v>
      </c>
      <c r="C5992" s="2" t="s">
        <v>13</v>
      </c>
      <c r="D5992" s="2" t="s">
        <v>12</v>
      </c>
      <c r="E5992" s="2" t="s">
        <v>210</v>
      </c>
      <c r="F5992" s="2" t="str">
        <f>HYPERLINK("http://bbs.12365auto.com/postcontent.aspx?tId=194393","http://bbs.12365auto.com/postcontent.aspx?tId=194393")</f>
        <v>http://bbs.12365auto.com/postcontent.aspx?tId=194393</v>
      </c>
      <c r="G5992" s="2"/>
      <c r="H5992" s="2" t="s">
        <v>8323</v>
      </c>
      <c r="I5992" s="2" t="s">
        <v>15</v>
      </c>
      <c r="J5992" s="2" t="s">
        <v>1386</v>
      </c>
      <c r="K5992" s="2" t="s">
        <v>8320</v>
      </c>
      <c r="L5992" s="2">
        <f t="shared" si="93"/>
        <v>150</v>
      </c>
    </row>
    <row r="5993" spans="1:12" ht="25" customHeight="1">
      <c r="A5993" s="2" t="s">
        <v>12</v>
      </c>
      <c r="B5993" s="2" t="str">
        <f>HYPERLINK("http://m.12365auto.com/bbs/postcontent.aspx?tID=194394","海南自驾找风景：大爷说给他10元钱带我捡鹅卵石 进去发现是禁区")</f>
        <v>海南自驾找风景：大爷说给他10元钱带我捡鹅卵石 进去发现是禁区</v>
      </c>
      <c r="C5993" s="2" t="s">
        <v>13</v>
      </c>
      <c r="D5993" s="2" t="s">
        <v>23</v>
      </c>
      <c r="E5993" s="2"/>
      <c r="F5993" s="2" t="str">
        <f>HYPERLINK("http://m.12365auto.com/bbs/postcontent.aspx?tID=194394","http://m.12365auto.com/bbs/postcontent.aspx?tID=194394")</f>
        <v>http://m.12365auto.com/bbs/postcontent.aspx?tID=194394</v>
      </c>
      <c r="G5993" s="2"/>
      <c r="H5993" s="2" t="s">
        <v>8322</v>
      </c>
      <c r="I5993" s="2" t="s">
        <v>15</v>
      </c>
      <c r="J5993" s="2" t="s">
        <v>1386</v>
      </c>
      <c r="K5993" s="2" t="s">
        <v>8320</v>
      </c>
      <c r="L5993" s="2">
        <f t="shared" si="93"/>
        <v>150</v>
      </c>
    </row>
    <row r="5994" spans="1:12" ht="25" customHeight="1">
      <c r="A5994" s="2" t="s">
        <v>12</v>
      </c>
      <c r="B5994" s="2" t="str">
        <f>HYPERLINK("http://m.12365auto.com/bbs/postcontent.aspx?tID=194393","中国最美公路系列：独库公路 此生必走一次的景观路")</f>
        <v>中国最美公路系列：独库公路 此生必走一次的景观路</v>
      </c>
      <c r="C5994" s="2" t="s">
        <v>13</v>
      </c>
      <c r="D5994" s="2" t="s">
        <v>23</v>
      </c>
      <c r="E5994" s="2"/>
      <c r="F5994" s="2" t="str">
        <f>HYPERLINK("http://m.12365auto.com/bbs/postcontent.aspx?tID=194393","http://m.12365auto.com/bbs/postcontent.aspx?tID=194393")</f>
        <v>http://m.12365auto.com/bbs/postcontent.aspx?tID=194393</v>
      </c>
      <c r="G5994" s="2"/>
      <c r="H5994" s="2" t="s">
        <v>8323</v>
      </c>
      <c r="I5994" s="2" t="s">
        <v>15</v>
      </c>
      <c r="J5994" s="2" t="s">
        <v>1386</v>
      </c>
      <c r="K5994" s="2" t="s">
        <v>8320</v>
      </c>
      <c r="L5994" s="2">
        <f t="shared" si="93"/>
        <v>150</v>
      </c>
    </row>
    <row r="5995" spans="1:12" ht="25" customHeight="1">
      <c r="A5995" s="2" t="s">
        <v>12</v>
      </c>
      <c r="B5995" s="2" t="str">
        <f>HYPERLINK("http://bbs.12365auto.com/postcontent.aspx?tID=194392","想进藏吗？多条自驾路线供你参考")</f>
        <v>想进藏吗？多条自驾路线供你参考</v>
      </c>
      <c r="C5995" s="2" t="s">
        <v>13</v>
      </c>
      <c r="D5995" s="2" t="s">
        <v>12</v>
      </c>
      <c r="E5995" s="2" t="s">
        <v>214</v>
      </c>
      <c r="F5995" s="2" t="str">
        <f>HYPERLINK("http://bbs.12365auto.com/postcontent.aspx?tID=194392","http://bbs.12365auto.com/postcontent.aspx?tID=194392")</f>
        <v>http://bbs.12365auto.com/postcontent.aspx?tID=194392</v>
      </c>
      <c r="G5995" s="2"/>
      <c r="H5995" s="2" t="s">
        <v>8324</v>
      </c>
      <c r="I5995" s="2" t="s">
        <v>15</v>
      </c>
      <c r="J5995" s="2" t="s">
        <v>1386</v>
      </c>
      <c r="K5995" s="2" t="s">
        <v>8325</v>
      </c>
      <c r="L5995" s="2">
        <f t="shared" si="93"/>
        <v>150</v>
      </c>
    </row>
    <row r="5996" spans="1:12" ht="25" customHeight="1">
      <c r="A5996" s="2" t="s">
        <v>12</v>
      </c>
      <c r="B5996" s="2" t="str">
        <f>HYPERLINK("http://m.12365auto.com/scbg/20200218/418883.shtml","油电之争的安心之选 试驾荣威RX5 eMAX")</f>
        <v>油电之争的安心之选 试驾荣威RX5 eMAX</v>
      </c>
      <c r="C5996" s="2" t="s">
        <v>13</v>
      </c>
      <c r="D5996" s="2" t="s">
        <v>12</v>
      </c>
      <c r="E5996" s="2"/>
      <c r="F5996" s="2" t="str">
        <f>HYPERLINK("http://m.12365auto.com/scbg/20200218/418883.shtml","http://m.12365auto.com/scbg/20200218/418883.shtml")</f>
        <v>http://m.12365auto.com/scbg/20200218/418883.shtml</v>
      </c>
      <c r="G5996" s="2"/>
      <c r="H5996" s="2" t="s">
        <v>8326</v>
      </c>
      <c r="I5996" s="2" t="s">
        <v>19</v>
      </c>
      <c r="J5996" s="2" t="s">
        <v>12</v>
      </c>
      <c r="K5996" s="2" t="s">
        <v>8325</v>
      </c>
      <c r="L5996" s="2">
        <f t="shared" si="93"/>
        <v>150</v>
      </c>
    </row>
    <row r="5997" spans="1:12" ht="25" customHeight="1">
      <c r="A5997" s="2" t="s">
        <v>12</v>
      </c>
      <c r="B5997" s="2" t="str">
        <f>HYPERLINK("http://www.12365auto.com/scbg/20200218/418883.shtml","油电之争的安心之选 试驾荣威RX5 eMAX")</f>
        <v>油电之争的安心之选 试驾荣威RX5 eMAX</v>
      </c>
      <c r="C5997" s="2" t="s">
        <v>13</v>
      </c>
      <c r="D5997" s="2" t="s">
        <v>12</v>
      </c>
      <c r="E5997" s="2" t="s">
        <v>1548</v>
      </c>
      <c r="F5997" s="2" t="str">
        <f>HYPERLINK("http://www.12365auto.com/scbg/20200218/418883.shtml","http://www.12365auto.com/scbg/20200218/418883.shtml")</f>
        <v>http://www.12365auto.com/scbg/20200218/418883.shtml</v>
      </c>
      <c r="G5997" s="2"/>
      <c r="H5997" s="2" t="s">
        <v>8327</v>
      </c>
      <c r="I5997" s="2" t="s">
        <v>15</v>
      </c>
      <c r="J5997" s="2" t="s">
        <v>12</v>
      </c>
      <c r="K5997" s="2" t="s">
        <v>8325</v>
      </c>
      <c r="L5997" s="2">
        <f t="shared" si="93"/>
        <v>150</v>
      </c>
    </row>
    <row r="5998" spans="1:12" ht="25" customHeight="1">
      <c r="A5998" s="2" t="s">
        <v>12</v>
      </c>
      <c r="B5998" s="2" t="str">
        <f>HYPERLINK("http://bbs.12365auto.com/postcontent.aspx?tId=194392","想进藏吗？多条自驾路线供你参考")</f>
        <v>想进藏吗？多条自驾路线供你参考</v>
      </c>
      <c r="C5998" s="2" t="s">
        <v>13</v>
      </c>
      <c r="D5998" s="2" t="s">
        <v>12</v>
      </c>
      <c r="E5998" s="2" t="s">
        <v>210</v>
      </c>
      <c r="F5998" s="2" t="str">
        <f>HYPERLINK("http://bbs.12365auto.com/postcontent.aspx?tId=194392","http://bbs.12365auto.com/postcontent.aspx?tId=194392")</f>
        <v>http://bbs.12365auto.com/postcontent.aspx?tId=194392</v>
      </c>
      <c r="G5998" s="2"/>
      <c r="H5998" s="2" t="s">
        <v>8328</v>
      </c>
      <c r="I5998" s="2" t="s">
        <v>15</v>
      </c>
      <c r="J5998" s="2" t="s">
        <v>1386</v>
      </c>
      <c r="K5998" s="2" t="s">
        <v>8325</v>
      </c>
      <c r="L5998" s="2">
        <f t="shared" si="93"/>
        <v>150</v>
      </c>
    </row>
    <row r="5999" spans="1:12" ht="25" customHeight="1">
      <c r="A5999" s="2" t="s">
        <v>12</v>
      </c>
      <c r="B5999" s="2" t="str">
        <f>HYPERLINK("http://m.12365auto.com/bbs/postcontent.aspx?tID=194392","想进藏吗？多条自驾路线供你参考")</f>
        <v>想进藏吗？多条自驾路线供你参考</v>
      </c>
      <c r="C5999" s="2" t="s">
        <v>13</v>
      </c>
      <c r="D5999" s="2" t="s">
        <v>23</v>
      </c>
      <c r="E5999" s="2"/>
      <c r="F5999" s="2" t="str">
        <f>HYPERLINK("http://m.12365auto.com/bbs/postcontent.aspx?tID=194392","http://m.12365auto.com/bbs/postcontent.aspx?tID=194392")</f>
        <v>http://m.12365auto.com/bbs/postcontent.aspx?tID=194392</v>
      </c>
      <c r="G5999" s="2"/>
      <c r="H5999" s="2" t="s">
        <v>8328</v>
      </c>
      <c r="I5999" s="2" t="s">
        <v>15</v>
      </c>
      <c r="J5999" s="2" t="s">
        <v>1386</v>
      </c>
      <c r="K5999" s="2" t="s">
        <v>8325</v>
      </c>
      <c r="L5999" s="2">
        <f t="shared" si="93"/>
        <v>150</v>
      </c>
    </row>
    <row r="6000" spans="1:12" ht="25" customHeight="1">
      <c r="A6000" s="2" t="s">
        <v>12</v>
      </c>
      <c r="B6000" s="2" t="str">
        <f>HYPERLINK("http://bbs.12365auto.com/postcontent.aspx?tID=194391","自驾、户外生存准备这两样 关键时候能保命！")</f>
        <v>自驾、户外生存准备这两样 关键时候能保命！</v>
      </c>
      <c r="C6000" s="2" t="s">
        <v>13</v>
      </c>
      <c r="D6000" s="2" t="s">
        <v>12</v>
      </c>
      <c r="E6000" s="2" t="s">
        <v>214</v>
      </c>
      <c r="F6000" s="2" t="str">
        <f>HYPERLINK("http://bbs.12365auto.com/postcontent.aspx?tID=194391","http://bbs.12365auto.com/postcontent.aspx?tID=194391")</f>
        <v>http://bbs.12365auto.com/postcontent.aspx?tID=194391</v>
      </c>
      <c r="G6000" s="2"/>
      <c r="H6000" s="2" t="s">
        <v>8329</v>
      </c>
      <c r="I6000" s="2" t="s">
        <v>15</v>
      </c>
      <c r="J6000" s="2" t="s">
        <v>1386</v>
      </c>
      <c r="K6000" s="2" t="s">
        <v>8330</v>
      </c>
      <c r="L6000" s="2">
        <f t="shared" si="93"/>
        <v>150</v>
      </c>
    </row>
    <row r="6001" spans="1:12" ht="25" customHeight="1">
      <c r="A6001" s="2" t="s">
        <v>12</v>
      </c>
      <c r="B6001" s="2" t="str">
        <f>HYPERLINK("http://bbs.12365auto.com/postcontent.aspx?tID=194390","自驾川藏线应该用什么车 如何规划行程")</f>
        <v>自驾川藏线应该用什么车 如何规划行程</v>
      </c>
      <c r="C6001" s="2" t="s">
        <v>13</v>
      </c>
      <c r="D6001" s="2" t="s">
        <v>12</v>
      </c>
      <c r="E6001" s="2" t="s">
        <v>214</v>
      </c>
      <c r="F6001" s="2" t="str">
        <f>HYPERLINK("http://bbs.12365auto.com/postcontent.aspx?tID=194390","http://bbs.12365auto.com/postcontent.aspx?tID=194390")</f>
        <v>http://bbs.12365auto.com/postcontent.aspx?tID=194390</v>
      </c>
      <c r="G6001" s="2"/>
      <c r="H6001" s="2" t="s">
        <v>8331</v>
      </c>
      <c r="I6001" s="2" t="s">
        <v>15</v>
      </c>
      <c r="J6001" s="2" t="s">
        <v>1386</v>
      </c>
      <c r="K6001" s="2" t="s">
        <v>8330</v>
      </c>
      <c r="L6001" s="2">
        <f t="shared" si="93"/>
        <v>150</v>
      </c>
    </row>
    <row r="6002" spans="1:12" ht="25" customHeight="1">
      <c r="A6002" s="2" t="s">
        <v>12</v>
      </c>
      <c r="B6002" s="2" t="str">
        <f>HYPERLINK("http://bbs.12365auto.com/postcontent.aspx?tId=194390","自驾川藏线应该用什么车 如何规划行程")</f>
        <v>自驾川藏线应该用什么车 如何规划行程</v>
      </c>
      <c r="C6002" s="2" t="s">
        <v>13</v>
      </c>
      <c r="D6002" s="2" t="s">
        <v>12</v>
      </c>
      <c r="E6002" s="2" t="s">
        <v>210</v>
      </c>
      <c r="F6002" s="2" t="str">
        <f>HYPERLINK("http://bbs.12365auto.com/postcontent.aspx?tId=194390","http://bbs.12365auto.com/postcontent.aspx?tId=194390")</f>
        <v>http://bbs.12365auto.com/postcontent.aspx?tId=194390</v>
      </c>
      <c r="G6002" s="2"/>
      <c r="H6002" s="2" t="s">
        <v>8332</v>
      </c>
      <c r="I6002" s="2" t="s">
        <v>15</v>
      </c>
      <c r="J6002" s="2" t="s">
        <v>1386</v>
      </c>
      <c r="K6002" s="2" t="s">
        <v>8330</v>
      </c>
      <c r="L6002" s="2">
        <f t="shared" si="93"/>
        <v>150</v>
      </c>
    </row>
    <row r="6003" spans="1:12" ht="25" customHeight="1">
      <c r="A6003" s="2" t="s">
        <v>12</v>
      </c>
      <c r="B6003" s="2" t="str">
        <f>HYPERLINK("http://bbs.12365auto.com/postcontent.aspx?tId=194391","自驾、户外生存准备这两样 关键时候能保命！")</f>
        <v>自驾、户外生存准备这两样 关键时候能保命！</v>
      </c>
      <c r="C6003" s="2" t="s">
        <v>13</v>
      </c>
      <c r="D6003" s="2" t="s">
        <v>12</v>
      </c>
      <c r="E6003" s="2" t="s">
        <v>210</v>
      </c>
      <c r="F6003" s="2" t="str">
        <f>HYPERLINK("http://bbs.12365auto.com/postcontent.aspx?tId=194391","http://bbs.12365auto.com/postcontent.aspx?tId=194391")</f>
        <v>http://bbs.12365auto.com/postcontent.aspx?tId=194391</v>
      </c>
      <c r="G6003" s="2"/>
      <c r="H6003" s="2" t="s">
        <v>8333</v>
      </c>
      <c r="I6003" s="2" t="s">
        <v>15</v>
      </c>
      <c r="J6003" s="2" t="s">
        <v>1386</v>
      </c>
      <c r="K6003" s="2" t="s">
        <v>8330</v>
      </c>
      <c r="L6003" s="2">
        <f t="shared" si="93"/>
        <v>150</v>
      </c>
    </row>
    <row r="6004" spans="1:12" ht="25" customHeight="1">
      <c r="A6004" s="2" t="s">
        <v>12</v>
      </c>
      <c r="B6004" s="2" t="str">
        <f>HYPERLINK("http://m.12365auto.com/bbs/postcontent.aspx?tID=194391","自驾、户外生存准备这两样 关键时候能保命！")</f>
        <v>自驾、户外生存准备这两样 关键时候能保命！</v>
      </c>
      <c r="C6004" s="2" t="s">
        <v>13</v>
      </c>
      <c r="D6004" s="2" t="s">
        <v>23</v>
      </c>
      <c r="E6004" s="2"/>
      <c r="F6004" s="2" t="str">
        <f>HYPERLINK("http://m.12365auto.com/bbs/postcontent.aspx?tID=194391","http://m.12365auto.com/bbs/postcontent.aspx?tID=194391")</f>
        <v>http://m.12365auto.com/bbs/postcontent.aspx?tID=194391</v>
      </c>
      <c r="G6004" s="2"/>
      <c r="H6004" s="2" t="s">
        <v>8333</v>
      </c>
      <c r="I6004" s="2" t="s">
        <v>15</v>
      </c>
      <c r="J6004" s="2" t="s">
        <v>1386</v>
      </c>
      <c r="K6004" s="2" t="s">
        <v>8330</v>
      </c>
      <c r="L6004" s="2">
        <f t="shared" si="93"/>
        <v>150</v>
      </c>
    </row>
    <row r="6005" spans="1:12" ht="25" customHeight="1">
      <c r="A6005" s="2" t="s">
        <v>12</v>
      </c>
      <c r="B6005" s="2" t="str">
        <f>HYPERLINK("http://bbs.12365auto.com/postcontent.aspx?tID=194389","带着女儿自驾去新疆 环南北疆27天15000公里")</f>
        <v>带着女儿自驾去新疆 环南北疆27天15000公里</v>
      </c>
      <c r="C6005" s="2" t="s">
        <v>13</v>
      </c>
      <c r="D6005" s="2" t="s">
        <v>12</v>
      </c>
      <c r="E6005" s="2" t="s">
        <v>214</v>
      </c>
      <c r="F6005" s="2" t="str">
        <f>HYPERLINK("http://bbs.12365auto.com/postcontent.aspx?tID=194389","http://bbs.12365auto.com/postcontent.aspx?tID=194389")</f>
        <v>http://bbs.12365auto.com/postcontent.aspx?tID=194389</v>
      </c>
      <c r="G6005" s="2"/>
      <c r="H6005" s="2" t="s">
        <v>8334</v>
      </c>
      <c r="I6005" s="2" t="s">
        <v>15</v>
      </c>
      <c r="J6005" s="2" t="s">
        <v>1386</v>
      </c>
      <c r="K6005" s="2" t="s">
        <v>8335</v>
      </c>
      <c r="L6005" s="2">
        <f t="shared" si="93"/>
        <v>150</v>
      </c>
    </row>
    <row r="6006" spans="1:12" ht="25" customHeight="1">
      <c r="A6006" s="2" t="s">
        <v>12</v>
      </c>
      <c r="B6006" s="2" t="str">
        <f>HYPERLINK("http://bbs.12365auto.com/postcontent.aspx?tId=194389","带着女儿自驾去新疆 环南北疆27天15000公里")</f>
        <v>带着女儿自驾去新疆 环南北疆27天15000公里</v>
      </c>
      <c r="C6006" s="2" t="s">
        <v>13</v>
      </c>
      <c r="D6006" s="2" t="s">
        <v>12</v>
      </c>
      <c r="E6006" s="2" t="s">
        <v>210</v>
      </c>
      <c r="F6006" s="2" t="str">
        <f>HYPERLINK("http://bbs.12365auto.com/postcontent.aspx?tId=194389","http://bbs.12365auto.com/postcontent.aspx?tId=194389")</f>
        <v>http://bbs.12365auto.com/postcontent.aspx?tId=194389</v>
      </c>
      <c r="G6006" s="2"/>
      <c r="H6006" s="2" t="s">
        <v>8336</v>
      </c>
      <c r="I6006" s="2" t="s">
        <v>15</v>
      </c>
      <c r="J6006" s="2" t="s">
        <v>1386</v>
      </c>
      <c r="K6006" s="2" t="s">
        <v>8335</v>
      </c>
      <c r="L6006" s="2">
        <f t="shared" si="93"/>
        <v>150</v>
      </c>
    </row>
    <row r="6007" spans="1:12" ht="25" customHeight="1">
      <c r="A6007" s="2" t="s">
        <v>12</v>
      </c>
      <c r="B6007" s="2" t="str">
        <f>HYPERLINK("http://www.12365auto.com/scbg/20200218/418882.shtml","让理想落地 体验捷途L4级自动驾驶")</f>
        <v>让理想落地 体验捷途L4级自动驾驶</v>
      </c>
      <c r="C6007" s="2" t="s">
        <v>13</v>
      </c>
      <c r="D6007" s="2" t="s">
        <v>12</v>
      </c>
      <c r="E6007" s="2" t="s">
        <v>1548</v>
      </c>
      <c r="F6007" s="2" t="str">
        <f>HYPERLINK("http://www.12365auto.com/scbg/20200218/418882.shtml","http://www.12365auto.com/scbg/20200218/418882.shtml")</f>
        <v>http://www.12365auto.com/scbg/20200218/418882.shtml</v>
      </c>
      <c r="G6007" s="2"/>
      <c r="H6007" s="2" t="s">
        <v>8337</v>
      </c>
      <c r="I6007" s="2" t="s">
        <v>15</v>
      </c>
      <c r="J6007" s="2" t="s">
        <v>12</v>
      </c>
      <c r="K6007" s="2" t="s">
        <v>8338</v>
      </c>
      <c r="L6007" s="2">
        <f t="shared" si="93"/>
        <v>141</v>
      </c>
    </row>
    <row r="6008" spans="1:12" ht="25" customHeight="1">
      <c r="A6008" s="2" t="s">
        <v>12</v>
      </c>
      <c r="B6008" s="2" t="str">
        <f>HYPERLINK("http://m.12365auto.com/scbg/20200218/418882.shtml","让理想落地 体验捷途L4级自动驾驶")</f>
        <v>让理想落地 体验捷途L4级自动驾驶</v>
      </c>
      <c r="C6008" s="2" t="s">
        <v>13</v>
      </c>
      <c r="D6008" s="2" t="s">
        <v>12</v>
      </c>
      <c r="E6008" s="2"/>
      <c r="F6008" s="2" t="str">
        <f>HYPERLINK("http://m.12365auto.com/scbg/20200218/418882.shtml","http://m.12365auto.com/scbg/20200218/418882.shtml")</f>
        <v>http://m.12365auto.com/scbg/20200218/418882.shtml</v>
      </c>
      <c r="G6008" s="2"/>
      <c r="H6008" s="2" t="s">
        <v>8339</v>
      </c>
      <c r="I6008" s="2" t="s">
        <v>19</v>
      </c>
      <c r="J6008" s="2" t="s">
        <v>12</v>
      </c>
      <c r="K6008" s="2" t="s">
        <v>8338</v>
      </c>
      <c r="L6008" s="2">
        <f t="shared" si="93"/>
        <v>150</v>
      </c>
    </row>
    <row r="6009" spans="1:12" ht="25" customHeight="1">
      <c r="A6009" s="2" t="s">
        <v>12</v>
      </c>
      <c r="B6009" s="2" t="str">
        <f>HYPERLINK("http://bbs.12365auto.com/postcontent.aspx?tID=194388","自驾游车上快没油了 附近也没有加油站咋办？老司机给你3个锦囊")</f>
        <v>自驾游车上快没油了 附近也没有加油站咋办？老司机给你3个锦囊</v>
      </c>
      <c r="C6009" s="2" t="s">
        <v>13</v>
      </c>
      <c r="D6009" s="2" t="s">
        <v>12</v>
      </c>
      <c r="E6009" s="2" t="s">
        <v>214</v>
      </c>
      <c r="F6009" s="2" t="str">
        <f>HYPERLINK("http://bbs.12365auto.com/postcontent.aspx?tID=194388","http://bbs.12365auto.com/postcontent.aspx?tID=194388")</f>
        <v>http://bbs.12365auto.com/postcontent.aspx?tID=194388</v>
      </c>
      <c r="G6009" s="2"/>
      <c r="H6009" s="2" t="s">
        <v>8340</v>
      </c>
      <c r="I6009" s="2" t="s">
        <v>15</v>
      </c>
      <c r="J6009" s="2" t="s">
        <v>1386</v>
      </c>
      <c r="K6009" s="2" t="s">
        <v>8341</v>
      </c>
      <c r="L6009" s="2">
        <f t="shared" si="93"/>
        <v>150</v>
      </c>
    </row>
    <row r="6010" spans="1:12" ht="25" customHeight="1">
      <c r="A6010" s="2" t="s">
        <v>12</v>
      </c>
      <c r="B6010" s="2" t="str">
        <f>HYPERLINK("http://bbs.12365auto.com/postcontent.aspx?tId=194388","自驾游车上快没油了 附近也没有加油站咋办？老司机给你3个锦囊")</f>
        <v>自驾游车上快没油了 附近也没有加油站咋办？老司机给你3个锦囊</v>
      </c>
      <c r="C6010" s="2" t="s">
        <v>13</v>
      </c>
      <c r="D6010" s="2" t="s">
        <v>12</v>
      </c>
      <c r="E6010" s="2" t="s">
        <v>210</v>
      </c>
      <c r="F6010" s="2" t="str">
        <f>HYPERLINK("http://bbs.12365auto.com/postcontent.aspx?tId=194388","http://bbs.12365auto.com/postcontent.aspx?tId=194388")</f>
        <v>http://bbs.12365auto.com/postcontent.aspx?tId=194388</v>
      </c>
      <c r="G6010" s="2"/>
      <c r="H6010" s="2" t="s">
        <v>8342</v>
      </c>
      <c r="I6010" s="2" t="s">
        <v>15</v>
      </c>
      <c r="J6010" s="2" t="s">
        <v>1386</v>
      </c>
      <c r="K6010" s="2" t="s">
        <v>8341</v>
      </c>
      <c r="L6010" s="2">
        <f t="shared" si="93"/>
        <v>150</v>
      </c>
    </row>
    <row r="6011" spans="1:12" ht="25" customHeight="1">
      <c r="A6011" s="2" t="s">
        <v>12</v>
      </c>
      <c r="B6011" s="2" t="str">
        <f>HYPERLINK("http://www.12365auto.com/scbg/20200218/418881.shtml","面子小清新里子有内涵 测试本田e纯电动车")</f>
        <v>面子小清新里子有内涵 测试本田e纯电动车</v>
      </c>
      <c r="C6011" s="2" t="s">
        <v>13</v>
      </c>
      <c r="D6011" s="2" t="s">
        <v>12</v>
      </c>
      <c r="E6011" s="2" t="s">
        <v>1548</v>
      </c>
      <c r="F6011" s="2" t="str">
        <f>HYPERLINK("http://www.12365auto.com/scbg/20200218/418881.shtml","http://www.12365auto.com/scbg/20200218/418881.shtml")</f>
        <v>http://www.12365auto.com/scbg/20200218/418881.shtml</v>
      </c>
      <c r="G6011" s="2"/>
      <c r="H6011" s="2" t="s">
        <v>8343</v>
      </c>
      <c r="I6011" s="2" t="s">
        <v>15</v>
      </c>
      <c r="J6011" s="2" t="s">
        <v>12</v>
      </c>
      <c r="K6011" s="2" t="s">
        <v>8341</v>
      </c>
      <c r="L6011" s="2">
        <f t="shared" si="93"/>
        <v>150</v>
      </c>
    </row>
    <row r="6012" spans="1:12" ht="25" customHeight="1">
      <c r="A6012" s="2" t="s">
        <v>12</v>
      </c>
      <c r="B6012" s="2" t="str">
        <f>HYPERLINK("http://m.12365auto.com/scbg/20200218/418881.shtml","面子小清新里子有内涵 测试本田e纯电动车")</f>
        <v>面子小清新里子有内涵 测试本田e纯电动车</v>
      </c>
      <c r="C6012" s="2" t="s">
        <v>13</v>
      </c>
      <c r="D6012" s="2" t="s">
        <v>12</v>
      </c>
      <c r="E6012" s="2"/>
      <c r="F6012" s="2" t="str">
        <f>HYPERLINK("http://m.12365auto.com/scbg/20200218/418881.shtml","http://m.12365auto.com/scbg/20200218/418881.shtml")</f>
        <v>http://m.12365auto.com/scbg/20200218/418881.shtml</v>
      </c>
      <c r="G6012" s="2"/>
      <c r="H6012" s="2" t="s">
        <v>8344</v>
      </c>
      <c r="I6012" s="2" t="s">
        <v>19</v>
      </c>
      <c r="J6012" s="2" t="s">
        <v>12</v>
      </c>
      <c r="K6012" s="2" t="s">
        <v>8341</v>
      </c>
      <c r="L6012" s="2">
        <f t="shared" si="93"/>
        <v>150</v>
      </c>
    </row>
    <row r="6013" spans="1:12" ht="25" customHeight="1">
      <c r="A6013" s="2" t="s">
        <v>12</v>
      </c>
      <c r="B6013" s="2" t="str">
        <f>HYPERLINK("http://m.12365auto.com/xcdg/20200218/418880.shtml","早买早享受 四款近半年无优惠的新车推荐")</f>
        <v>早买早享受 四款近半年无优惠的新车推荐</v>
      </c>
      <c r="C6013" s="2" t="s">
        <v>13</v>
      </c>
      <c r="D6013" s="2" t="s">
        <v>12</v>
      </c>
      <c r="E6013" s="2"/>
      <c r="F6013" s="2" t="str">
        <f>HYPERLINK("http://m.12365auto.com/xcdg/20200218/418880.shtml","http://m.12365auto.com/xcdg/20200218/418880.shtml")</f>
        <v>http://m.12365auto.com/xcdg/20200218/418880.shtml</v>
      </c>
      <c r="G6013" s="2"/>
      <c r="H6013" s="2" t="s">
        <v>8345</v>
      </c>
      <c r="I6013" s="2" t="s">
        <v>19</v>
      </c>
      <c r="J6013" s="2" t="s">
        <v>12</v>
      </c>
      <c r="K6013" s="2" t="s">
        <v>8346</v>
      </c>
      <c r="L6013" s="2">
        <f t="shared" si="93"/>
        <v>150</v>
      </c>
    </row>
    <row r="6014" spans="1:12" ht="25" customHeight="1">
      <c r="A6014" s="2" t="s">
        <v>12</v>
      </c>
      <c r="B6014" s="2" t="str">
        <f>HYPERLINK("http://www.12365auto.com/news/20200218/418879.shtml","最严挑战 IIHS安全测试雷克萨斯NX获优+")</f>
        <v>最严挑战 IIHS安全测试雷克萨斯NX获优+</v>
      </c>
      <c r="C6014" s="2" t="s">
        <v>13</v>
      </c>
      <c r="D6014" s="2" t="s">
        <v>12</v>
      </c>
      <c r="E6014" s="2" t="s">
        <v>276</v>
      </c>
      <c r="F6014" s="2" t="str">
        <f>HYPERLINK("http://www.12365auto.com/news/20200218/418879.shtml","http://www.12365auto.com/news/20200218/418879.shtml")</f>
        <v>http://www.12365auto.com/news/20200218/418879.shtml</v>
      </c>
      <c r="G6014" s="2"/>
      <c r="H6014" s="2" t="s">
        <v>8347</v>
      </c>
      <c r="I6014" s="2" t="s">
        <v>15</v>
      </c>
      <c r="J6014" s="2" t="s">
        <v>12</v>
      </c>
      <c r="K6014" s="2" t="s">
        <v>8348</v>
      </c>
      <c r="L6014" s="2">
        <f t="shared" si="93"/>
        <v>150</v>
      </c>
    </row>
    <row r="6015" spans="1:12" ht="25" customHeight="1">
      <c r="A6015" s="2" t="s">
        <v>12</v>
      </c>
      <c r="B6015" s="2" t="str">
        <f>HYPERLINK("http://m.12365auto.com/news/20200218/418879.shtml","最严挑战 IIHS安全测试雷克萨斯NX获优+")</f>
        <v>最严挑战 IIHS安全测试雷克萨斯NX获优+</v>
      </c>
      <c r="C6015" s="2" t="s">
        <v>13</v>
      </c>
      <c r="D6015" s="2" t="s">
        <v>12</v>
      </c>
      <c r="E6015" s="2"/>
      <c r="F6015" s="2" t="str">
        <f>HYPERLINK("http://m.12365auto.com/news/20200218/418879.shtml","http://m.12365auto.com/news/20200218/418879.shtml")</f>
        <v>http://m.12365auto.com/news/20200218/418879.shtml</v>
      </c>
      <c r="G6015" s="2"/>
      <c r="H6015" s="2" t="s">
        <v>8349</v>
      </c>
      <c r="I6015" s="2" t="s">
        <v>19</v>
      </c>
      <c r="J6015" s="2" t="s">
        <v>760</v>
      </c>
      <c r="K6015" s="2" t="s">
        <v>8348</v>
      </c>
      <c r="L6015" s="2">
        <f t="shared" si="93"/>
        <v>150</v>
      </c>
    </row>
    <row r="6016" spans="1:12" ht="25" customHeight="1">
      <c r="A6016" s="2" t="s">
        <v>12</v>
      </c>
      <c r="B6016" s="2" t="str">
        <f>HYPERLINK("http://www.12365auto.com/zlts/20200218/447622.shtml","北京现代ix25前轮吃胎偏磨 天窗异响")</f>
        <v>北京现代ix25前轮吃胎偏磨 天窗异响</v>
      </c>
      <c r="C6016" s="2" t="s">
        <v>13</v>
      </c>
      <c r="D6016" s="2" t="s">
        <v>12</v>
      </c>
      <c r="E6016" s="2" t="s">
        <v>17</v>
      </c>
      <c r="F6016" s="2" t="str">
        <f>HYPERLINK("http://www.12365auto.com/zlts/20200218/447622.shtml","http://www.12365auto.com/zlts/20200218/447622.shtml")</f>
        <v>http://www.12365auto.com/zlts/20200218/447622.shtml</v>
      </c>
      <c r="G6016" s="2"/>
      <c r="H6016" s="2" t="s">
        <v>8350</v>
      </c>
      <c r="I6016" s="2" t="s">
        <v>15</v>
      </c>
      <c r="J6016" s="2" t="s">
        <v>12</v>
      </c>
      <c r="K6016" s="2" t="s">
        <v>8351</v>
      </c>
      <c r="L6016" s="2">
        <f t="shared" si="93"/>
        <v>150</v>
      </c>
    </row>
    <row r="6017" spans="1:12" ht="25" customHeight="1">
      <c r="A6017" s="2" t="s">
        <v>12</v>
      </c>
      <c r="B6017" s="2" t="str">
        <f>HYPERLINK("http://www.12365auto.com/xcdg/20200218/418878.shtml","福特Bronco或3月亮相 可先买Sport版车型")</f>
        <v>福特Bronco或3月亮相 可先买Sport版车型</v>
      </c>
      <c r="C6017" s="2" t="s">
        <v>13</v>
      </c>
      <c r="D6017" s="2" t="s">
        <v>12</v>
      </c>
      <c r="E6017" s="2" t="s">
        <v>245</v>
      </c>
      <c r="F6017" s="2" t="str">
        <f>HYPERLINK("http://www.12365auto.com/xcdg/20200218/418878.shtml","http://www.12365auto.com/xcdg/20200218/418878.shtml")</f>
        <v>http://www.12365auto.com/xcdg/20200218/418878.shtml</v>
      </c>
      <c r="G6017" s="2"/>
      <c r="H6017" s="2" t="s">
        <v>8352</v>
      </c>
      <c r="I6017" s="2" t="s">
        <v>19</v>
      </c>
      <c r="J6017" s="2" t="s">
        <v>12</v>
      </c>
      <c r="K6017" s="2" t="s">
        <v>8353</v>
      </c>
      <c r="L6017" s="2">
        <f t="shared" si="93"/>
        <v>150</v>
      </c>
    </row>
    <row r="6018" spans="1:12" ht="25" customHeight="1">
      <c r="A6018" s="2" t="s">
        <v>12</v>
      </c>
      <c r="B6018" s="2" t="str">
        <f>HYPERLINK("http://m.12365auto.com/xcdg/20200218/418878.shtml","福特Bronco或3月亮相 可先买Sport版车型")</f>
        <v>福特Bronco或3月亮相 可先买Sport版车型</v>
      </c>
      <c r="C6018" s="2" t="s">
        <v>13</v>
      </c>
      <c r="D6018" s="2" t="s">
        <v>12</v>
      </c>
      <c r="E6018" s="2"/>
      <c r="F6018" s="2" t="str">
        <f>HYPERLINK("http://m.12365auto.com/xcdg/20200218/418878.shtml","http://m.12365auto.com/xcdg/20200218/418878.shtml")</f>
        <v>http://m.12365auto.com/xcdg/20200218/418878.shtml</v>
      </c>
      <c r="G6018" s="2"/>
      <c r="H6018" s="2" t="s">
        <v>8354</v>
      </c>
      <c r="I6018" s="2" t="s">
        <v>19</v>
      </c>
      <c r="J6018" s="2" t="s">
        <v>1069</v>
      </c>
      <c r="K6018" s="2" t="s">
        <v>8353</v>
      </c>
      <c r="L6018" s="2">
        <f t="shared" si="93"/>
        <v>150</v>
      </c>
    </row>
    <row r="6019" spans="1:12" ht="25" customHeight="1">
      <c r="A6019" s="2" t="s">
        <v>12</v>
      </c>
      <c r="B6019" s="2" t="str">
        <f>HYPERLINK("http://www.12365auto.com/zlts/20200218/447621.shtml","东风雪铁龙C4L发动机烧机油 要求免费维修")</f>
        <v>东风雪铁龙C4L发动机烧机油 要求免费维修</v>
      </c>
      <c r="C6019" s="2" t="s">
        <v>13</v>
      </c>
      <c r="D6019" s="2" t="s">
        <v>12</v>
      </c>
      <c r="E6019" s="2" t="s">
        <v>17</v>
      </c>
      <c r="F6019" s="2" t="str">
        <f>HYPERLINK("http://www.12365auto.com/zlts/20200218/447621.shtml","http://www.12365auto.com/zlts/20200218/447621.shtml")</f>
        <v>http://www.12365auto.com/zlts/20200218/447621.shtml</v>
      </c>
      <c r="G6019" s="2"/>
      <c r="H6019" s="2" t="s">
        <v>8355</v>
      </c>
      <c r="I6019" s="2" t="s">
        <v>19</v>
      </c>
      <c r="J6019" s="2" t="s">
        <v>12</v>
      </c>
      <c r="K6019" s="2" t="s">
        <v>8356</v>
      </c>
      <c r="L6019" s="2">
        <f t="shared" ref="L6019:L6082" si="94">LEN(H6019)</f>
        <v>150</v>
      </c>
    </row>
    <row r="6020" spans="1:12" ht="25" customHeight="1">
      <c r="A6020" s="2" t="s">
        <v>12</v>
      </c>
      <c r="B6020" s="2" t="str">
        <f>HYPERLINK("http://www.12365auto.com/news/20200218/418877.shtml","占一汽比重21.6% 一汽丰田销量超7.6万辆")</f>
        <v>占一汽比重21.6% 一汽丰田销量超7.6万辆</v>
      </c>
      <c r="C6020" s="2" t="s">
        <v>13</v>
      </c>
      <c r="D6020" s="2" t="s">
        <v>12</v>
      </c>
      <c r="E6020" s="2" t="s">
        <v>276</v>
      </c>
      <c r="F6020" s="2" t="str">
        <f>HYPERLINK("http://www.12365auto.com/news/20200218/418877.shtml","http://www.12365auto.com/news/20200218/418877.shtml")</f>
        <v>http://www.12365auto.com/news/20200218/418877.shtml</v>
      </c>
      <c r="G6020" s="2"/>
      <c r="H6020" s="2" t="s">
        <v>8357</v>
      </c>
      <c r="I6020" s="2" t="s">
        <v>15</v>
      </c>
      <c r="J6020" s="2" t="s">
        <v>12</v>
      </c>
      <c r="K6020" s="2" t="s">
        <v>8358</v>
      </c>
      <c r="L6020" s="2">
        <f t="shared" si="94"/>
        <v>150</v>
      </c>
    </row>
    <row r="6021" spans="1:12" ht="25" customHeight="1">
      <c r="A6021" s="2" t="s">
        <v>12</v>
      </c>
      <c r="B6021" s="2" t="str">
        <f>HYPERLINK("http://m.12365auto.com/news/20200218/418877.shtml","占一汽比重21.6% 一汽丰田销量超7.6万辆")</f>
        <v>占一汽比重21.6% 一汽丰田销量超7.6万辆</v>
      </c>
      <c r="C6021" s="2" t="s">
        <v>13</v>
      </c>
      <c r="D6021" s="2" t="s">
        <v>12</v>
      </c>
      <c r="E6021" s="2"/>
      <c r="F6021" s="2" t="str">
        <f>HYPERLINK("http://m.12365auto.com/news/20200218/418877.shtml","http://m.12365auto.com/news/20200218/418877.shtml")</f>
        <v>http://m.12365auto.com/news/20200218/418877.shtml</v>
      </c>
      <c r="G6021" s="2"/>
      <c r="H6021" s="2" t="s">
        <v>8359</v>
      </c>
      <c r="I6021" s="2" t="s">
        <v>19</v>
      </c>
      <c r="J6021" s="2" t="s">
        <v>5854</v>
      </c>
      <c r="K6021" s="2" t="s">
        <v>8358</v>
      </c>
      <c r="L6021" s="2">
        <f t="shared" si="94"/>
        <v>150</v>
      </c>
    </row>
    <row r="6022" spans="1:12" ht="25" customHeight="1">
      <c r="A6022" s="2" t="s">
        <v>12</v>
      </c>
      <c r="B6022" s="2" t="str">
        <f>HYPERLINK("http://m.12365auto.com/bbs/postcontent.aspx?tID=194387","朗逸ABS泵故障质量不行呀")</f>
        <v>朗逸ABS泵故障质量不行呀</v>
      </c>
      <c r="C6022" s="2" t="s">
        <v>13</v>
      </c>
      <c r="D6022" s="2" t="s">
        <v>23</v>
      </c>
      <c r="E6022" s="2"/>
      <c r="F6022" s="2" t="str">
        <f>HYPERLINK("http://m.12365auto.com/bbs/postcontent.aspx?tID=194387","http://m.12365auto.com/bbs/postcontent.aspx?tID=194387")</f>
        <v>http://m.12365auto.com/bbs/postcontent.aspx?tID=194387</v>
      </c>
      <c r="G6022" s="2"/>
      <c r="H6022" s="2" t="s">
        <v>8360</v>
      </c>
      <c r="I6022" s="2" t="s">
        <v>15</v>
      </c>
      <c r="J6022" s="2" t="s">
        <v>4119</v>
      </c>
      <c r="K6022" s="2" t="s">
        <v>8358</v>
      </c>
      <c r="L6022" s="2">
        <f t="shared" si="94"/>
        <v>62</v>
      </c>
    </row>
    <row r="6023" spans="1:12" ht="25" customHeight="1">
      <c r="A6023" s="2" t="s">
        <v>12</v>
      </c>
      <c r="B6023" s="2" t="str">
        <f>HYPERLINK("http://bbs.12365auto.com/postcontent.aspx?tId=194387","朗逸ABS泵故障质量不行呀")</f>
        <v>朗逸ABS泵故障质量不行呀</v>
      </c>
      <c r="C6023" s="2" t="s">
        <v>13</v>
      </c>
      <c r="D6023" s="2" t="s">
        <v>12</v>
      </c>
      <c r="E6023" s="2" t="s">
        <v>66</v>
      </c>
      <c r="F6023" s="2" t="str">
        <f>HYPERLINK("http://bbs.12365auto.com/postcontent.aspx?tId=194387","http://bbs.12365auto.com/postcontent.aspx?tId=194387")</f>
        <v>http://bbs.12365auto.com/postcontent.aspx?tId=194387</v>
      </c>
      <c r="G6023" s="2"/>
      <c r="H6023" s="2" t="s">
        <v>8360</v>
      </c>
      <c r="I6023" s="2" t="s">
        <v>15</v>
      </c>
      <c r="J6023" s="2" t="s">
        <v>4119</v>
      </c>
      <c r="K6023" s="2" t="s">
        <v>8358</v>
      </c>
      <c r="L6023" s="2">
        <f t="shared" si="94"/>
        <v>62</v>
      </c>
    </row>
    <row r="6024" spans="1:12" ht="25" customHeight="1">
      <c r="A6024" s="2" t="s">
        <v>12</v>
      </c>
      <c r="B6024" s="2" t="str">
        <f>HYPERLINK("http://bbs.12365auto.com/postcontent.aspx?tID=194387","朗逸ABS泵故障质量不行呀")</f>
        <v>朗逸ABS泵故障质量不行呀</v>
      </c>
      <c r="C6024" s="2" t="s">
        <v>13</v>
      </c>
      <c r="D6024" s="2" t="s">
        <v>12</v>
      </c>
      <c r="E6024" s="2" t="s">
        <v>67</v>
      </c>
      <c r="F6024" s="2" t="str">
        <f>HYPERLINK("http://bbs.12365auto.com/postcontent.aspx?tID=194387","http://bbs.12365auto.com/postcontent.aspx?tID=194387")</f>
        <v>http://bbs.12365auto.com/postcontent.aspx?tID=194387</v>
      </c>
      <c r="G6024" s="2"/>
      <c r="H6024" s="2" t="s">
        <v>8361</v>
      </c>
      <c r="I6024" s="2" t="s">
        <v>15</v>
      </c>
      <c r="J6024" s="2" t="s">
        <v>4119</v>
      </c>
      <c r="K6024" s="2" t="s">
        <v>8358</v>
      </c>
      <c r="L6024" s="2">
        <f t="shared" si="94"/>
        <v>75</v>
      </c>
    </row>
    <row r="6025" spans="1:12" ht="25" customHeight="1">
      <c r="A6025" s="2" t="s">
        <v>12</v>
      </c>
      <c r="B6025" s="2" t="str">
        <f>HYPERLINK("http://m.12365auto.com/bbs/postcontent.aspx?tID=194386","宝马1系车身抖动变速箱自动脱挡")</f>
        <v>宝马1系车身抖动变速箱自动脱挡</v>
      </c>
      <c r="C6025" s="2" t="s">
        <v>13</v>
      </c>
      <c r="D6025" s="2" t="s">
        <v>23</v>
      </c>
      <c r="E6025" s="2"/>
      <c r="F6025" s="2" t="str">
        <f>HYPERLINK("http://m.12365auto.com/bbs/postcontent.aspx?tID=194386","http://m.12365auto.com/bbs/postcontent.aspx?tID=194386")</f>
        <v>http://m.12365auto.com/bbs/postcontent.aspx?tID=194386</v>
      </c>
      <c r="G6025" s="2"/>
      <c r="H6025" s="2" t="s">
        <v>8362</v>
      </c>
      <c r="I6025" s="2" t="s">
        <v>15</v>
      </c>
      <c r="J6025" s="2" t="s">
        <v>4123</v>
      </c>
      <c r="K6025" s="2" t="s">
        <v>8363</v>
      </c>
      <c r="L6025" s="2">
        <f t="shared" si="94"/>
        <v>150</v>
      </c>
    </row>
    <row r="6026" spans="1:12" ht="25" customHeight="1">
      <c r="A6026" s="2" t="s">
        <v>12</v>
      </c>
      <c r="B6026" s="2" t="str">
        <f>HYPERLINK("http://bbs.12365auto.com/postcontent.aspx?tId=194386","宝马1系车身抖动变速箱自动脱挡")</f>
        <v>宝马1系车身抖动变速箱自动脱挡</v>
      </c>
      <c r="C6026" s="2" t="s">
        <v>13</v>
      </c>
      <c r="D6026" s="2" t="s">
        <v>12</v>
      </c>
      <c r="E6026" s="2" t="s">
        <v>66</v>
      </c>
      <c r="F6026" s="2" t="str">
        <f>HYPERLINK("http://bbs.12365auto.com/postcontent.aspx?tId=194386","http://bbs.12365auto.com/postcontent.aspx?tId=194386")</f>
        <v>http://bbs.12365auto.com/postcontent.aspx?tId=194386</v>
      </c>
      <c r="G6026" s="2"/>
      <c r="H6026" s="2" t="s">
        <v>8362</v>
      </c>
      <c r="I6026" s="2" t="s">
        <v>15</v>
      </c>
      <c r="J6026" s="2" t="s">
        <v>4123</v>
      </c>
      <c r="K6026" s="2" t="s">
        <v>8363</v>
      </c>
      <c r="L6026" s="2">
        <f t="shared" si="94"/>
        <v>150</v>
      </c>
    </row>
    <row r="6027" spans="1:12" ht="25" customHeight="1">
      <c r="A6027" s="2" t="s">
        <v>12</v>
      </c>
      <c r="B6027" s="2" t="str">
        <f>HYPERLINK("http://bbs.12365auto.com/postcontent.aspx?tID=194386","宝马1系车身抖动变速箱自动脱挡")</f>
        <v>宝马1系车身抖动变速箱自动脱挡</v>
      </c>
      <c r="C6027" s="2" t="s">
        <v>13</v>
      </c>
      <c r="D6027" s="2" t="s">
        <v>12</v>
      </c>
      <c r="E6027" s="2" t="s">
        <v>67</v>
      </c>
      <c r="F6027" s="2" t="str">
        <f>HYPERLINK("http://bbs.12365auto.com/postcontent.aspx?tID=194386","http://bbs.12365auto.com/postcontent.aspx?tID=194386")</f>
        <v>http://bbs.12365auto.com/postcontent.aspx?tID=194386</v>
      </c>
      <c r="G6027" s="2"/>
      <c r="H6027" s="2" t="s">
        <v>8364</v>
      </c>
      <c r="I6027" s="2" t="s">
        <v>15</v>
      </c>
      <c r="J6027" s="2" t="s">
        <v>4123</v>
      </c>
      <c r="K6027" s="2" t="s">
        <v>8363</v>
      </c>
      <c r="L6027" s="2">
        <f t="shared" si="94"/>
        <v>150</v>
      </c>
    </row>
    <row r="6028" spans="1:12" ht="25" customHeight="1">
      <c r="A6028" s="2" t="s">
        <v>12</v>
      </c>
      <c r="B6028" s="2" t="str">
        <f>HYPERLINK("http://m.12365auto.com/bbs/postcontent.aspx?tID=194385","RAV4荣放轮胎起皮邓禄普轮胎质量不行呀")</f>
        <v>RAV4荣放轮胎起皮邓禄普轮胎质量不行呀</v>
      </c>
      <c r="C6028" s="2" t="s">
        <v>13</v>
      </c>
      <c r="D6028" s="2" t="s">
        <v>23</v>
      </c>
      <c r="E6028" s="2"/>
      <c r="F6028" s="2" t="str">
        <f>HYPERLINK("http://m.12365auto.com/bbs/postcontent.aspx?tID=194385","http://m.12365auto.com/bbs/postcontent.aspx?tID=194385")</f>
        <v>http://m.12365auto.com/bbs/postcontent.aspx?tID=194385</v>
      </c>
      <c r="G6028" s="2"/>
      <c r="H6028" s="2" t="s">
        <v>8365</v>
      </c>
      <c r="I6028" s="2" t="s">
        <v>15</v>
      </c>
      <c r="J6028" s="2" t="s">
        <v>4126</v>
      </c>
      <c r="K6028" s="2" t="s">
        <v>8366</v>
      </c>
      <c r="L6028" s="2">
        <f t="shared" si="94"/>
        <v>45</v>
      </c>
    </row>
    <row r="6029" spans="1:12" ht="25" customHeight="1">
      <c r="A6029" s="2" t="s">
        <v>12</v>
      </c>
      <c r="B6029" s="2" t="str">
        <f>HYPERLINK("http://m.12365auto.com/bbs/postcontent.aspx?tID=194384","速派发动机故障灯亮质量问题没人管")</f>
        <v>速派发动机故障灯亮质量问题没人管</v>
      </c>
      <c r="C6029" s="2" t="s">
        <v>13</v>
      </c>
      <c r="D6029" s="2" t="s">
        <v>23</v>
      </c>
      <c r="E6029" s="2"/>
      <c r="F6029" s="2" t="str">
        <f>HYPERLINK("http://m.12365auto.com/bbs/postcontent.aspx?tID=194384","http://m.12365auto.com/bbs/postcontent.aspx?tID=194384")</f>
        <v>http://m.12365auto.com/bbs/postcontent.aspx?tID=194384</v>
      </c>
      <c r="G6029" s="2"/>
      <c r="H6029" s="2" t="s">
        <v>8367</v>
      </c>
      <c r="I6029" s="2" t="s">
        <v>15</v>
      </c>
      <c r="J6029" s="2" t="s">
        <v>4132</v>
      </c>
      <c r="K6029" s="2" t="s">
        <v>8366</v>
      </c>
      <c r="L6029" s="2">
        <f t="shared" si="94"/>
        <v>150</v>
      </c>
    </row>
    <row r="6030" spans="1:12" ht="25" customHeight="1">
      <c r="A6030" s="2" t="s">
        <v>12</v>
      </c>
      <c r="B6030" s="2" t="str">
        <f>HYPERLINK("http://bbs.12365auto.com/postcontent.aspx?tId=194384","速派发动机故障灯亮质量问题没人管")</f>
        <v>速派发动机故障灯亮质量问题没人管</v>
      </c>
      <c r="C6030" s="2" t="s">
        <v>13</v>
      </c>
      <c r="D6030" s="2" t="s">
        <v>12</v>
      </c>
      <c r="E6030" s="2" t="s">
        <v>66</v>
      </c>
      <c r="F6030" s="2" t="str">
        <f>HYPERLINK("http://bbs.12365auto.com/postcontent.aspx?tId=194384","http://bbs.12365auto.com/postcontent.aspx?tId=194384")</f>
        <v>http://bbs.12365auto.com/postcontent.aspx?tId=194384</v>
      </c>
      <c r="G6030" s="2"/>
      <c r="H6030" s="2" t="s">
        <v>8367</v>
      </c>
      <c r="I6030" s="2" t="s">
        <v>15</v>
      </c>
      <c r="J6030" s="2" t="s">
        <v>4132</v>
      </c>
      <c r="K6030" s="2" t="s">
        <v>8366</v>
      </c>
      <c r="L6030" s="2">
        <f t="shared" si="94"/>
        <v>150</v>
      </c>
    </row>
    <row r="6031" spans="1:12" ht="25" customHeight="1">
      <c r="A6031" s="2" t="s">
        <v>12</v>
      </c>
      <c r="B6031" s="2" t="str">
        <f>HYPERLINK("http://bbs.12365auto.com/postcontent.aspx?tId=194385","RAV4荣放轮胎起皮邓禄普轮胎质量不行呀")</f>
        <v>RAV4荣放轮胎起皮邓禄普轮胎质量不行呀</v>
      </c>
      <c r="C6031" s="2" t="s">
        <v>13</v>
      </c>
      <c r="D6031" s="2" t="s">
        <v>12</v>
      </c>
      <c r="E6031" s="2" t="s">
        <v>66</v>
      </c>
      <c r="F6031" s="2" t="str">
        <f>HYPERLINK("http://bbs.12365auto.com/postcontent.aspx?tId=194385","http://bbs.12365auto.com/postcontent.aspx?tId=194385")</f>
        <v>http://bbs.12365auto.com/postcontent.aspx?tId=194385</v>
      </c>
      <c r="G6031" s="2"/>
      <c r="H6031" s="2" t="s">
        <v>8365</v>
      </c>
      <c r="I6031" s="2" t="s">
        <v>15</v>
      </c>
      <c r="J6031" s="2" t="s">
        <v>4126</v>
      </c>
      <c r="K6031" s="2" t="s">
        <v>8366</v>
      </c>
      <c r="L6031" s="2">
        <f t="shared" si="94"/>
        <v>45</v>
      </c>
    </row>
    <row r="6032" spans="1:12" ht="25" customHeight="1">
      <c r="A6032" s="2" t="s">
        <v>12</v>
      </c>
      <c r="B6032" s="2" t="str">
        <f>HYPERLINK("http://bbs.12365auto.com/postcontent.aspx?tID=194385","RAV4荣放轮胎起皮邓禄普轮胎质量不行呀")</f>
        <v>RAV4荣放轮胎起皮邓禄普轮胎质量不行呀</v>
      </c>
      <c r="C6032" s="2" t="s">
        <v>13</v>
      </c>
      <c r="D6032" s="2" t="s">
        <v>12</v>
      </c>
      <c r="E6032" s="2" t="s">
        <v>67</v>
      </c>
      <c r="F6032" s="2" t="str">
        <f>HYPERLINK("http://bbs.12365auto.com/postcontent.aspx?tID=194385","http://bbs.12365auto.com/postcontent.aspx?tID=194385")</f>
        <v>http://bbs.12365auto.com/postcontent.aspx?tID=194385</v>
      </c>
      <c r="G6032" s="2"/>
      <c r="H6032" s="2" t="s">
        <v>8368</v>
      </c>
      <c r="I6032" s="2" t="s">
        <v>15</v>
      </c>
      <c r="J6032" s="2" t="s">
        <v>4126</v>
      </c>
      <c r="K6032" s="2" t="s">
        <v>8366</v>
      </c>
      <c r="L6032" s="2">
        <f t="shared" si="94"/>
        <v>65</v>
      </c>
    </row>
    <row r="6033" spans="1:12" ht="25" customHeight="1">
      <c r="A6033" s="2" t="s">
        <v>12</v>
      </c>
      <c r="B6033" s="2" t="str">
        <f>HYPERLINK("http://bbs.12365auto.com/postcontent.aspx?tID=194384","速派发动机故障灯亮质量问题没人管")</f>
        <v>速派发动机故障灯亮质量问题没人管</v>
      </c>
      <c r="C6033" s="2" t="s">
        <v>13</v>
      </c>
      <c r="D6033" s="2" t="s">
        <v>12</v>
      </c>
      <c r="E6033" s="2" t="s">
        <v>67</v>
      </c>
      <c r="F6033" s="2" t="str">
        <f>HYPERLINK("http://bbs.12365auto.com/postcontent.aspx?tID=194384","http://bbs.12365auto.com/postcontent.aspx?tID=194384")</f>
        <v>http://bbs.12365auto.com/postcontent.aspx?tID=194384</v>
      </c>
      <c r="G6033" s="2"/>
      <c r="H6033" s="2" t="s">
        <v>8369</v>
      </c>
      <c r="I6033" s="2" t="s">
        <v>15</v>
      </c>
      <c r="J6033" s="2" t="s">
        <v>4132</v>
      </c>
      <c r="K6033" s="2" t="s">
        <v>8366</v>
      </c>
      <c r="L6033" s="2">
        <f t="shared" si="94"/>
        <v>150</v>
      </c>
    </row>
    <row r="6034" spans="1:12" ht="25" customHeight="1">
      <c r="A6034" s="2" t="s">
        <v>12</v>
      </c>
      <c r="B6034" s="2" t="str">
        <f>HYPERLINK("http://m.12365auto.com/bbs/postcontent.aspx?tID=194383","高尔夫变速箱挂挡不走大众的车就这样的质量吗")</f>
        <v>高尔夫变速箱挂挡不走大众的车就这样的质量吗</v>
      </c>
      <c r="C6034" s="2" t="s">
        <v>13</v>
      </c>
      <c r="D6034" s="2" t="s">
        <v>23</v>
      </c>
      <c r="E6034" s="2"/>
      <c r="F6034" s="2" t="str">
        <f>HYPERLINK("http://m.12365auto.com/bbs/postcontent.aspx?tID=194383","http://m.12365auto.com/bbs/postcontent.aspx?tID=194383")</f>
        <v>http://m.12365auto.com/bbs/postcontent.aspx?tID=194383</v>
      </c>
      <c r="G6034" s="2"/>
      <c r="H6034" s="2" t="s">
        <v>904</v>
      </c>
      <c r="I6034" s="2" t="s">
        <v>15</v>
      </c>
      <c r="J6034" s="2" t="s">
        <v>4134</v>
      </c>
      <c r="K6034" s="2" t="s">
        <v>8370</v>
      </c>
      <c r="L6034" s="2">
        <f t="shared" si="94"/>
        <v>150</v>
      </c>
    </row>
    <row r="6035" spans="1:12" ht="25" customHeight="1">
      <c r="A6035" s="2" t="s">
        <v>12</v>
      </c>
      <c r="B6035" s="2" t="str">
        <f>HYPERLINK("http://bbs.12365auto.com/postcontent.aspx?tId=194383","高尔夫变速箱挂挡不走大众的车就这样的质量吗")</f>
        <v>高尔夫变速箱挂挡不走大众的车就这样的质量吗</v>
      </c>
      <c r="C6035" s="2" t="s">
        <v>13</v>
      </c>
      <c r="D6035" s="2" t="s">
        <v>12</v>
      </c>
      <c r="E6035" s="2" t="s">
        <v>66</v>
      </c>
      <c r="F6035" s="2" t="str">
        <f>HYPERLINK("http://bbs.12365auto.com/postcontent.aspx?tId=194383","http://bbs.12365auto.com/postcontent.aspx?tId=194383")</f>
        <v>http://bbs.12365auto.com/postcontent.aspx?tId=194383</v>
      </c>
      <c r="G6035" s="2"/>
      <c r="H6035" s="2" t="s">
        <v>904</v>
      </c>
      <c r="I6035" s="2" t="s">
        <v>15</v>
      </c>
      <c r="J6035" s="2" t="s">
        <v>4134</v>
      </c>
      <c r="K6035" s="2" t="s">
        <v>8370</v>
      </c>
      <c r="L6035" s="2">
        <f t="shared" si="94"/>
        <v>150</v>
      </c>
    </row>
    <row r="6036" spans="1:12" ht="25" customHeight="1">
      <c r="A6036" s="2" t="s">
        <v>12</v>
      </c>
      <c r="B6036" s="2" t="str">
        <f>HYPERLINK("http://bbs.12365auto.com/postcontent.aspx?tID=194383","高尔夫变速箱挂挡不走大众的车就这样的质量吗")</f>
        <v>高尔夫变速箱挂挡不走大众的车就这样的质量吗</v>
      </c>
      <c r="C6036" s="2" t="s">
        <v>13</v>
      </c>
      <c r="D6036" s="2" t="s">
        <v>12</v>
      </c>
      <c r="E6036" s="2" t="s">
        <v>67</v>
      </c>
      <c r="F6036" s="2" t="str">
        <f>HYPERLINK("http://bbs.12365auto.com/postcontent.aspx?tID=194383","http://bbs.12365auto.com/postcontent.aspx?tID=194383")</f>
        <v>http://bbs.12365auto.com/postcontent.aspx?tID=194383</v>
      </c>
      <c r="G6036" s="2"/>
      <c r="H6036" s="2" t="s">
        <v>8371</v>
      </c>
      <c r="I6036" s="2" t="s">
        <v>15</v>
      </c>
      <c r="J6036" s="2" t="s">
        <v>4134</v>
      </c>
      <c r="K6036" s="2" t="s">
        <v>8370</v>
      </c>
      <c r="L6036" s="2">
        <f t="shared" si="94"/>
        <v>150</v>
      </c>
    </row>
    <row r="6037" spans="1:12" ht="25" customHeight="1">
      <c r="A6037" s="2" t="s">
        <v>12</v>
      </c>
      <c r="B6037" s="2" t="str">
        <f>HYPERLINK("http://bbs.12365auto.com/postcontent.aspx?tId=194381","生命只有一次，别做“人人喊打”的电动车！")</f>
        <v>生命只有一次，别做“人人喊打”的电动车！</v>
      </c>
      <c r="C6037" s="2" t="s">
        <v>13</v>
      </c>
      <c r="D6037" s="2" t="s">
        <v>12</v>
      </c>
      <c r="E6037" s="2" t="s">
        <v>27</v>
      </c>
      <c r="F6037" s="2" t="str">
        <f>HYPERLINK("http://bbs.12365auto.com/postcontent.aspx?tId=194381","http://bbs.12365auto.com/postcontent.aspx?tId=194381")</f>
        <v>http://bbs.12365auto.com/postcontent.aspx?tId=194381</v>
      </c>
      <c r="G6037" s="2"/>
      <c r="H6037" s="2" t="s">
        <v>8372</v>
      </c>
      <c r="I6037" s="2" t="s">
        <v>15</v>
      </c>
      <c r="J6037" s="2" t="s">
        <v>5640</v>
      </c>
      <c r="K6037" s="2" t="s">
        <v>8373</v>
      </c>
      <c r="L6037" s="2">
        <f t="shared" si="94"/>
        <v>21</v>
      </c>
    </row>
    <row r="6038" spans="1:12" ht="25" customHeight="1">
      <c r="A6038" s="2" t="s">
        <v>12</v>
      </c>
      <c r="B6038" s="2" t="str">
        <f>HYPERLINK("http://m.12365auto.com/bbs/postcontent.aspx?tID=194382","五菱宏光变速箱四挡同步器坏了质量也没谁了")</f>
        <v>五菱宏光变速箱四挡同步器坏了质量也没谁了</v>
      </c>
      <c r="C6038" s="2" t="s">
        <v>13</v>
      </c>
      <c r="D6038" s="2" t="s">
        <v>23</v>
      </c>
      <c r="E6038" s="2"/>
      <c r="F6038" s="2" t="str">
        <f>HYPERLINK("http://m.12365auto.com/bbs/postcontent.aspx?tID=194382","http://m.12365auto.com/bbs/postcontent.aspx?tID=194382")</f>
        <v>http://m.12365auto.com/bbs/postcontent.aspx?tID=194382</v>
      </c>
      <c r="G6038" s="2"/>
      <c r="H6038" s="2" t="s">
        <v>8374</v>
      </c>
      <c r="I6038" s="2" t="s">
        <v>15</v>
      </c>
      <c r="J6038" s="2" t="s">
        <v>4138</v>
      </c>
      <c r="K6038" s="2" t="s">
        <v>8373</v>
      </c>
      <c r="L6038" s="2">
        <f t="shared" si="94"/>
        <v>50</v>
      </c>
    </row>
    <row r="6039" spans="1:12" ht="25" customHeight="1">
      <c r="A6039" s="2" t="s">
        <v>12</v>
      </c>
      <c r="B6039" s="2" t="str">
        <f>HYPERLINK("http://bbs.12365auto.com/postcontent.aspx?tID=194382&amp;sId=784&amp;ppage=1&amp;from=s","五菱宏光变速箱四挡同步器坏了质量也没谁了")</f>
        <v>五菱宏光变速箱四挡同步器坏了质量也没谁了</v>
      </c>
      <c r="C6039" s="2" t="s">
        <v>13</v>
      </c>
      <c r="D6039" s="2" t="s">
        <v>12</v>
      </c>
      <c r="E6039" s="2" t="s">
        <v>7103</v>
      </c>
      <c r="F6039" s="2" t="str">
        <f>HYPERLINK("http://bbs.12365auto.com/postcontent.aspx?tID=194382&amp;sId=784&amp;ppage=1&amp;from=s","http://bbs.12365auto.com/postcontent.aspx?tID=194382&amp;sId=784&amp;ppage=1&amp;from=s")</f>
        <v>http://bbs.12365auto.com/postcontent.aspx?tID=194382&amp;sId=784&amp;ppage=1&amp;from=s</v>
      </c>
      <c r="G6039" s="2"/>
      <c r="H6039" s="2" t="s">
        <v>8375</v>
      </c>
      <c r="I6039" s="2" t="s">
        <v>15</v>
      </c>
      <c r="J6039" s="2" t="s">
        <v>8376</v>
      </c>
      <c r="K6039" s="2" t="s">
        <v>8373</v>
      </c>
      <c r="L6039" s="2">
        <f t="shared" si="94"/>
        <v>70</v>
      </c>
    </row>
    <row r="6040" spans="1:12" ht="25" customHeight="1">
      <c r="A6040" s="2" t="s">
        <v>12</v>
      </c>
      <c r="B6040" s="2" t="str">
        <f>HYPERLINK("http://m.12365auto.com/bbs/postcontent.aspx?tID=194381","生命只有一次，别做“人人喊打”的电动车！")</f>
        <v>生命只有一次，别做“人人喊打”的电动车！</v>
      </c>
      <c r="C6040" s="2" t="s">
        <v>13</v>
      </c>
      <c r="D6040" s="2" t="s">
        <v>23</v>
      </c>
      <c r="E6040" s="2"/>
      <c r="F6040" s="2" t="str">
        <f>HYPERLINK("http://m.12365auto.com/bbs/postcontent.aspx?tID=194381","http://m.12365auto.com/bbs/postcontent.aspx?tID=194381")</f>
        <v>http://m.12365auto.com/bbs/postcontent.aspx?tID=194381</v>
      </c>
      <c r="G6040" s="2"/>
      <c r="H6040" s="2" t="s">
        <v>8372</v>
      </c>
      <c r="I6040" s="2" t="s">
        <v>15</v>
      </c>
      <c r="J6040" s="2" t="s">
        <v>5640</v>
      </c>
      <c r="K6040" s="2" t="s">
        <v>8373</v>
      </c>
      <c r="L6040" s="2">
        <f t="shared" si="94"/>
        <v>21</v>
      </c>
    </row>
    <row r="6041" spans="1:12" ht="25" customHeight="1">
      <c r="A6041" s="2" t="s">
        <v>12</v>
      </c>
      <c r="B6041" s="2" t="str">
        <f>HYPERLINK("http://bbs.12365auto.com/postcontent.aspx?tId=194382","五菱宏光变速箱四挡同步器坏了质量也没谁了")</f>
        <v>五菱宏光变速箱四挡同步器坏了质量也没谁了</v>
      </c>
      <c r="C6041" s="2" t="s">
        <v>13</v>
      </c>
      <c r="D6041" s="2" t="s">
        <v>12</v>
      </c>
      <c r="E6041" s="2" t="s">
        <v>66</v>
      </c>
      <c r="F6041" s="2" t="str">
        <f>HYPERLINK("http://bbs.12365auto.com/postcontent.aspx?tId=194382","http://bbs.12365auto.com/postcontent.aspx?tId=194382")</f>
        <v>http://bbs.12365auto.com/postcontent.aspx?tId=194382</v>
      </c>
      <c r="G6041" s="2"/>
      <c r="H6041" s="2" t="s">
        <v>8374</v>
      </c>
      <c r="I6041" s="2" t="s">
        <v>15</v>
      </c>
      <c r="J6041" s="2" t="s">
        <v>4138</v>
      </c>
      <c r="K6041" s="2" t="s">
        <v>8373</v>
      </c>
      <c r="L6041" s="2">
        <f t="shared" si="94"/>
        <v>50</v>
      </c>
    </row>
    <row r="6042" spans="1:12" ht="25" customHeight="1">
      <c r="A6042" s="2" t="s">
        <v>12</v>
      </c>
      <c r="B6042" s="2" t="str">
        <f>HYPERLINK("http://bbs.12365auto.com/postcontent.aspx?tID=194381","生命只有一次，别做“人人喊打”的电动车！")</f>
        <v>生命只有一次，别做“人人喊打”的电动车！</v>
      </c>
      <c r="C6042" s="2" t="s">
        <v>13</v>
      </c>
      <c r="D6042" s="2" t="s">
        <v>12</v>
      </c>
      <c r="E6042" s="2" t="s">
        <v>28</v>
      </c>
      <c r="F6042" s="2" t="str">
        <f>HYPERLINK("http://bbs.12365auto.com/postcontent.aspx?tID=194381","http://bbs.12365auto.com/postcontent.aspx?tID=194381")</f>
        <v>http://bbs.12365auto.com/postcontent.aspx?tID=194381</v>
      </c>
      <c r="G6042" s="2"/>
      <c r="H6042" s="2" t="s">
        <v>8377</v>
      </c>
      <c r="I6042" s="2" t="s">
        <v>15</v>
      </c>
      <c r="J6042" s="2" t="s">
        <v>5640</v>
      </c>
      <c r="K6042" s="2" t="s">
        <v>8373</v>
      </c>
      <c r="L6042" s="2">
        <f t="shared" si="94"/>
        <v>41</v>
      </c>
    </row>
    <row r="6043" spans="1:12" ht="25" customHeight="1">
      <c r="A6043" s="2" t="s">
        <v>12</v>
      </c>
      <c r="B6043" s="2" t="str">
        <f>HYPERLINK("http://bbs.12365auto.com/postcontent.aspx?tID=194382","五菱宏光变速箱四挡同步器坏了质量也没谁了")</f>
        <v>五菱宏光变速箱四挡同步器坏了质量也没谁了</v>
      </c>
      <c r="C6043" s="2" t="s">
        <v>13</v>
      </c>
      <c r="D6043" s="2" t="s">
        <v>12</v>
      </c>
      <c r="E6043" s="2" t="s">
        <v>67</v>
      </c>
      <c r="F6043" s="2" t="str">
        <f>HYPERLINK("http://bbs.12365auto.com/postcontent.aspx?tID=194382","http://bbs.12365auto.com/postcontent.aspx?tID=194382")</f>
        <v>http://bbs.12365auto.com/postcontent.aspx?tID=194382</v>
      </c>
      <c r="G6043" s="2"/>
      <c r="H6043" s="2" t="s">
        <v>8375</v>
      </c>
      <c r="I6043" s="2" t="s">
        <v>15</v>
      </c>
      <c r="J6043" s="2" t="s">
        <v>4138</v>
      </c>
      <c r="K6043" s="2" t="s">
        <v>8373</v>
      </c>
      <c r="L6043" s="2">
        <f t="shared" si="94"/>
        <v>70</v>
      </c>
    </row>
    <row r="6044" spans="1:12" ht="25" customHeight="1">
      <c r="A6044" s="2" t="s">
        <v>12</v>
      </c>
      <c r="B6044" s="2" t="str">
        <f>HYPERLINK("http://www.12365auto.com/zlts/20200218/447618.shtml","北京奔驰GLB冰雪路面车辆不能正常行驶")</f>
        <v>北京奔驰GLB冰雪路面车辆不能正常行驶</v>
      </c>
      <c r="C6044" s="2" t="s">
        <v>13</v>
      </c>
      <c r="D6044" s="2" t="s">
        <v>12</v>
      </c>
      <c r="E6044" s="2"/>
      <c r="F6044" s="2" t="str">
        <f>HYPERLINK("http://www.12365auto.com/zlts/20200218/447618.shtml","http://www.12365auto.com/zlts/20200218/447618.shtml")</f>
        <v>http://www.12365auto.com/zlts/20200218/447618.shtml</v>
      </c>
      <c r="G6044" s="2"/>
      <c r="H6044" s="2" t="s">
        <v>8379</v>
      </c>
      <c r="I6044" s="2" t="s">
        <v>15</v>
      </c>
      <c r="J6044" s="2" t="s">
        <v>12</v>
      </c>
      <c r="K6044" s="2" t="s">
        <v>8378</v>
      </c>
      <c r="L6044" s="2">
        <f t="shared" si="94"/>
        <v>83</v>
      </c>
    </row>
    <row r="6045" spans="1:12" ht="25" customHeight="1">
      <c r="A6045" s="2" t="s">
        <v>12</v>
      </c>
      <c r="B6045" s="2" t="str">
        <f>HYPERLINK("http://bbs.12365auto.com/postcontent.aspx?tId=194379","废旧动力电池回收市场火了市场规模将在2020年达到65亿元")</f>
        <v>废旧动力电池回收市场火了市场规模将在2020年达到65亿元</v>
      </c>
      <c r="C6045" s="2" t="s">
        <v>13</v>
      </c>
      <c r="D6045" s="2" t="s">
        <v>12</v>
      </c>
      <c r="E6045" s="2" t="s">
        <v>27</v>
      </c>
      <c r="F6045" s="2" t="str">
        <f>HYPERLINK("http://bbs.12365auto.com/postcontent.aspx?tId=194379","http://bbs.12365auto.com/postcontent.aspx?tId=194379")</f>
        <v>http://bbs.12365auto.com/postcontent.aspx?tId=194379</v>
      </c>
      <c r="G6045" s="2"/>
      <c r="H6045" s="2" t="s">
        <v>8380</v>
      </c>
      <c r="I6045" s="2" t="s">
        <v>15</v>
      </c>
      <c r="J6045" s="2" t="s">
        <v>5640</v>
      </c>
      <c r="K6045" s="2" t="s">
        <v>8381</v>
      </c>
      <c r="L6045" s="2">
        <f t="shared" si="94"/>
        <v>150</v>
      </c>
    </row>
    <row r="6046" spans="1:12" ht="25" customHeight="1">
      <c r="A6046" s="2" t="s">
        <v>12</v>
      </c>
      <c r="B6046" s="2" t="str">
        <f>HYPERLINK("http://m.12365auto.com/bbs/postcontent.aspx?tID=194378","途观L低速车身共振质量不行呀")</f>
        <v>途观L低速车身共振质量不行呀</v>
      </c>
      <c r="C6046" s="2" t="s">
        <v>13</v>
      </c>
      <c r="D6046" s="2" t="s">
        <v>23</v>
      </c>
      <c r="E6046" s="2"/>
      <c r="F6046" s="2" t="str">
        <f>HYPERLINK("http://m.12365auto.com/bbs/postcontent.aspx?tID=194378","http://m.12365auto.com/bbs/postcontent.aspx?tID=194378")</f>
        <v>http://m.12365auto.com/bbs/postcontent.aspx?tID=194378</v>
      </c>
      <c r="G6046" s="2"/>
      <c r="H6046" s="2" t="s">
        <v>8382</v>
      </c>
      <c r="I6046" s="2" t="s">
        <v>15</v>
      </c>
      <c r="J6046" s="2" t="s">
        <v>4142</v>
      </c>
      <c r="K6046" s="2" t="s">
        <v>8381</v>
      </c>
      <c r="L6046" s="2">
        <f t="shared" si="94"/>
        <v>150</v>
      </c>
    </row>
    <row r="6047" spans="1:12" ht="25" customHeight="1">
      <c r="A6047" s="2" t="s">
        <v>12</v>
      </c>
      <c r="B6047" s="2" t="str">
        <f>HYPERLINK("http://m.12365auto.com/bbs/postcontent.aspx?tID=194380","奇骏仪表盘内部进灰密封性差")</f>
        <v>奇骏仪表盘内部进灰密封性差</v>
      </c>
      <c r="C6047" s="2" t="s">
        <v>13</v>
      </c>
      <c r="D6047" s="2" t="s">
        <v>23</v>
      </c>
      <c r="E6047" s="2"/>
      <c r="F6047" s="2" t="str">
        <f>HYPERLINK("http://m.12365auto.com/bbs/postcontent.aspx?tID=194380","http://m.12365auto.com/bbs/postcontent.aspx?tID=194380")</f>
        <v>http://m.12365auto.com/bbs/postcontent.aspx?tID=194380</v>
      </c>
      <c r="G6047" s="2"/>
      <c r="H6047" s="2" t="s">
        <v>8383</v>
      </c>
      <c r="I6047" s="2" t="s">
        <v>15</v>
      </c>
      <c r="J6047" s="2" t="s">
        <v>4145</v>
      </c>
      <c r="K6047" s="2" t="s">
        <v>8381</v>
      </c>
      <c r="L6047" s="2">
        <f t="shared" si="94"/>
        <v>44</v>
      </c>
    </row>
    <row r="6048" spans="1:12" ht="25" customHeight="1">
      <c r="A6048" s="2" t="s">
        <v>12</v>
      </c>
      <c r="B6048" s="2" t="str">
        <f>HYPERLINK("http://m.12365auto.com/bbs/postcontent.aspx?tID=194379","废旧动力电池回收市场火了市场规模将在2020年达到65亿元")</f>
        <v>废旧动力电池回收市场火了市场规模将在2020年达到65亿元</v>
      </c>
      <c r="C6048" s="2" t="s">
        <v>13</v>
      </c>
      <c r="D6048" s="2" t="s">
        <v>23</v>
      </c>
      <c r="E6048" s="2"/>
      <c r="F6048" s="2" t="str">
        <f>HYPERLINK("http://m.12365auto.com/bbs/postcontent.aspx?tID=194379","http://m.12365auto.com/bbs/postcontent.aspx?tID=194379")</f>
        <v>http://m.12365auto.com/bbs/postcontent.aspx?tID=194379</v>
      </c>
      <c r="G6048" s="2"/>
      <c r="H6048" s="2" t="s">
        <v>8380</v>
      </c>
      <c r="I6048" s="2" t="s">
        <v>15</v>
      </c>
      <c r="J6048" s="2" t="s">
        <v>5640</v>
      </c>
      <c r="K6048" s="2" t="s">
        <v>8381</v>
      </c>
      <c r="L6048" s="2">
        <f t="shared" si="94"/>
        <v>150</v>
      </c>
    </row>
    <row r="6049" spans="1:12" ht="25" customHeight="1">
      <c r="A6049" s="2" t="s">
        <v>12</v>
      </c>
      <c r="B6049" s="2" t="str">
        <f>HYPERLINK("http://bbs.12365auto.com/postcontent.aspx?tId=194380","奇骏仪表盘内部进灰密封性差")</f>
        <v>奇骏仪表盘内部进灰密封性差</v>
      </c>
      <c r="C6049" s="2" t="s">
        <v>13</v>
      </c>
      <c r="D6049" s="2" t="s">
        <v>12</v>
      </c>
      <c r="E6049" s="2" t="s">
        <v>66</v>
      </c>
      <c r="F6049" s="2" t="str">
        <f>HYPERLINK("http://bbs.12365auto.com/postcontent.aspx?tId=194380","http://bbs.12365auto.com/postcontent.aspx?tId=194380")</f>
        <v>http://bbs.12365auto.com/postcontent.aspx?tId=194380</v>
      </c>
      <c r="G6049" s="2"/>
      <c r="H6049" s="2" t="s">
        <v>8383</v>
      </c>
      <c r="I6049" s="2" t="s">
        <v>15</v>
      </c>
      <c r="J6049" s="2" t="s">
        <v>4145</v>
      </c>
      <c r="K6049" s="2" t="s">
        <v>8381</v>
      </c>
      <c r="L6049" s="2">
        <f t="shared" si="94"/>
        <v>44</v>
      </c>
    </row>
    <row r="6050" spans="1:12" ht="25" customHeight="1">
      <c r="A6050" s="2" t="s">
        <v>12</v>
      </c>
      <c r="B6050" s="2" t="str">
        <f>HYPERLINK("http://bbs.12365auto.com/postcontent.aspx?tId=194378","途观L低速车身共振质量不行呀")</f>
        <v>途观L低速车身共振质量不行呀</v>
      </c>
      <c r="C6050" s="2" t="s">
        <v>13</v>
      </c>
      <c r="D6050" s="2" t="s">
        <v>12</v>
      </c>
      <c r="E6050" s="2" t="s">
        <v>66</v>
      </c>
      <c r="F6050" s="2" t="str">
        <f>HYPERLINK("http://bbs.12365auto.com/postcontent.aspx?tId=194378","http://bbs.12365auto.com/postcontent.aspx?tId=194378")</f>
        <v>http://bbs.12365auto.com/postcontent.aspx?tId=194378</v>
      </c>
      <c r="G6050" s="2"/>
      <c r="H6050" s="2" t="s">
        <v>8382</v>
      </c>
      <c r="I6050" s="2" t="s">
        <v>15</v>
      </c>
      <c r="J6050" s="2" t="s">
        <v>4142</v>
      </c>
      <c r="K6050" s="2" t="s">
        <v>8381</v>
      </c>
      <c r="L6050" s="2">
        <f t="shared" si="94"/>
        <v>150</v>
      </c>
    </row>
    <row r="6051" spans="1:12" ht="25" customHeight="1">
      <c r="A6051" s="2" t="s">
        <v>12</v>
      </c>
      <c r="B6051" s="2" t="str">
        <f>HYPERLINK("http://bbs.12365auto.com/postcontent.aspx?tID=194378","途观L低速车身共振质量不行呀")</f>
        <v>途观L低速车身共振质量不行呀</v>
      </c>
      <c r="C6051" s="2" t="s">
        <v>13</v>
      </c>
      <c r="D6051" s="2" t="s">
        <v>12</v>
      </c>
      <c r="E6051" s="2" t="s">
        <v>67</v>
      </c>
      <c r="F6051" s="2" t="str">
        <f>HYPERLINK("http://bbs.12365auto.com/postcontent.aspx?tID=194378","http://bbs.12365auto.com/postcontent.aspx?tID=194378")</f>
        <v>http://bbs.12365auto.com/postcontent.aspx?tID=194378</v>
      </c>
      <c r="G6051" s="2"/>
      <c r="H6051" s="2" t="s">
        <v>8384</v>
      </c>
      <c r="I6051" s="2" t="s">
        <v>15</v>
      </c>
      <c r="J6051" s="2" t="s">
        <v>4142</v>
      </c>
      <c r="K6051" s="2" t="s">
        <v>8381</v>
      </c>
      <c r="L6051" s="2">
        <f t="shared" si="94"/>
        <v>150</v>
      </c>
    </row>
    <row r="6052" spans="1:12" ht="25" customHeight="1">
      <c r="A6052" s="2" t="s">
        <v>12</v>
      </c>
      <c r="B6052" s="2" t="str">
        <f>HYPERLINK("http://bbs.12365auto.com/postcontent.aspx?tID=194380","奇骏仪表盘内部进灰密封性差")</f>
        <v>奇骏仪表盘内部进灰密封性差</v>
      </c>
      <c r="C6052" s="2" t="s">
        <v>13</v>
      </c>
      <c r="D6052" s="2" t="s">
        <v>12</v>
      </c>
      <c r="E6052" s="2" t="s">
        <v>67</v>
      </c>
      <c r="F6052" s="2" t="str">
        <f>HYPERLINK("http://bbs.12365auto.com/postcontent.aspx?tID=194380","http://bbs.12365auto.com/postcontent.aspx?tID=194380")</f>
        <v>http://bbs.12365auto.com/postcontent.aspx?tID=194380</v>
      </c>
      <c r="G6052" s="2"/>
      <c r="H6052" s="2" t="s">
        <v>8385</v>
      </c>
      <c r="I6052" s="2" t="s">
        <v>15</v>
      </c>
      <c r="J6052" s="2" t="s">
        <v>4145</v>
      </c>
      <c r="K6052" s="2" t="s">
        <v>8381</v>
      </c>
      <c r="L6052" s="2">
        <f t="shared" si="94"/>
        <v>57</v>
      </c>
    </row>
    <row r="6053" spans="1:12" ht="25" customHeight="1">
      <c r="A6053" s="2" t="s">
        <v>12</v>
      </c>
      <c r="B6053" s="2" t="str">
        <f>HYPERLINK("http://bbs.12365auto.com/postcontent.aspx?tID=194379","废旧动力电池回收市场火了市场规模将在2020年达到65亿元")</f>
        <v>废旧动力电池回收市场火了市场规模将在2020年达到65亿元</v>
      </c>
      <c r="C6053" s="2" t="s">
        <v>13</v>
      </c>
      <c r="D6053" s="2" t="s">
        <v>12</v>
      </c>
      <c r="E6053" s="2" t="s">
        <v>28</v>
      </c>
      <c r="F6053" s="2" t="str">
        <f>HYPERLINK("http://bbs.12365auto.com/postcontent.aspx?tID=194379","http://bbs.12365auto.com/postcontent.aspx?tID=194379")</f>
        <v>http://bbs.12365auto.com/postcontent.aspx?tID=194379</v>
      </c>
      <c r="G6053" s="2"/>
      <c r="H6053" s="2" t="s">
        <v>8386</v>
      </c>
      <c r="I6053" s="2" t="s">
        <v>15</v>
      </c>
      <c r="J6053" s="2" t="s">
        <v>5640</v>
      </c>
      <c r="K6053" s="2" t="s">
        <v>8381</v>
      </c>
      <c r="L6053" s="2">
        <f t="shared" si="94"/>
        <v>150</v>
      </c>
    </row>
    <row r="6054" spans="1:12" ht="25" customHeight="1">
      <c r="A6054" s="2" t="s">
        <v>12</v>
      </c>
      <c r="B6054" s="2" t="str">
        <f>HYPERLINK("http://bbs.12365auto.com/postcontent.aspx?tId=194375","开这三款BBA上路保准没人说你俗")</f>
        <v>开这三款BBA上路保准没人说你俗</v>
      </c>
      <c r="C6054" s="2" t="s">
        <v>13</v>
      </c>
      <c r="D6054" s="2" t="s">
        <v>12</v>
      </c>
      <c r="E6054" s="2" t="s">
        <v>27</v>
      </c>
      <c r="F6054" s="2" t="str">
        <f>HYPERLINK("http://bbs.12365auto.com/postcontent.aspx?tId=194375","http://bbs.12365auto.com/postcontent.aspx?tId=194375")</f>
        <v>http://bbs.12365auto.com/postcontent.aspx?tId=194375</v>
      </c>
      <c r="G6054" s="2"/>
      <c r="H6054" s="2" t="s">
        <v>8387</v>
      </c>
      <c r="I6054" s="2" t="s">
        <v>15</v>
      </c>
      <c r="J6054" s="2" t="s">
        <v>5640</v>
      </c>
      <c r="K6054" s="2" t="s">
        <v>8388</v>
      </c>
      <c r="L6054" s="2">
        <f t="shared" si="94"/>
        <v>150</v>
      </c>
    </row>
    <row r="6055" spans="1:12" ht="25" customHeight="1">
      <c r="A6055" s="2" t="s">
        <v>12</v>
      </c>
      <c r="B6055" s="2" t="str">
        <f>HYPERLINK("http://bbs.12365auto.com/postcontent.aspx?tId=194377","日产途达车辆停放着没几天就没电了")</f>
        <v>日产途达车辆停放着没几天就没电了</v>
      </c>
      <c r="C6055" s="2" t="s">
        <v>13</v>
      </c>
      <c r="D6055" s="2" t="s">
        <v>12</v>
      </c>
      <c r="E6055" s="2" t="s">
        <v>66</v>
      </c>
      <c r="F6055" s="2" t="str">
        <f>HYPERLINK("http://bbs.12365auto.com/postcontent.aspx?tId=194377","http://bbs.12365auto.com/postcontent.aspx?tId=194377")</f>
        <v>http://bbs.12365auto.com/postcontent.aspx?tId=194377</v>
      </c>
      <c r="G6055" s="2"/>
      <c r="H6055" s="2" t="s">
        <v>8389</v>
      </c>
      <c r="I6055" s="2" t="s">
        <v>15</v>
      </c>
      <c r="J6055" s="2" t="s">
        <v>4152</v>
      </c>
      <c r="K6055" s="2" t="s">
        <v>8388</v>
      </c>
      <c r="L6055" s="2">
        <f t="shared" si="94"/>
        <v>32</v>
      </c>
    </row>
    <row r="6056" spans="1:12" ht="25" customHeight="1">
      <c r="A6056" s="2" t="s">
        <v>12</v>
      </c>
      <c r="B6056" s="2" t="str">
        <f>HYPERLINK("http://bbs.12365auto.com/postcontent.aspx?tId=194376","艾瑞泽5整车故障多车上各种故障")</f>
        <v>艾瑞泽5整车故障多车上各种故障</v>
      </c>
      <c r="C6056" s="2" t="s">
        <v>13</v>
      </c>
      <c r="D6056" s="2" t="s">
        <v>12</v>
      </c>
      <c r="E6056" s="2" t="s">
        <v>66</v>
      </c>
      <c r="F6056" s="2" t="str">
        <f>HYPERLINK("http://bbs.12365auto.com/postcontent.aspx?tId=194376","http://bbs.12365auto.com/postcontent.aspx?tId=194376")</f>
        <v>http://bbs.12365auto.com/postcontent.aspx?tId=194376</v>
      </c>
      <c r="G6056" s="2"/>
      <c r="H6056" s="2" t="s">
        <v>8390</v>
      </c>
      <c r="I6056" s="2" t="s">
        <v>15</v>
      </c>
      <c r="J6056" s="2" t="s">
        <v>4149</v>
      </c>
      <c r="K6056" s="2" t="s">
        <v>8388</v>
      </c>
      <c r="L6056" s="2">
        <f t="shared" si="94"/>
        <v>150</v>
      </c>
    </row>
    <row r="6057" spans="1:12" ht="25" customHeight="1">
      <c r="A6057" s="2" t="s">
        <v>12</v>
      </c>
      <c r="B6057" s="2" t="str">
        <f>HYPERLINK("http://bbs.12365auto.com/postcontent.aspx?tID=194377","日产途达车辆停放着没几天就没电了")</f>
        <v>日产途达车辆停放着没几天就没电了</v>
      </c>
      <c r="C6057" s="2" t="s">
        <v>13</v>
      </c>
      <c r="D6057" s="2" t="s">
        <v>12</v>
      </c>
      <c r="E6057" s="2" t="s">
        <v>67</v>
      </c>
      <c r="F6057" s="2" t="str">
        <f>HYPERLINK("http://bbs.12365auto.com/postcontent.aspx?tID=194377","http://bbs.12365auto.com/postcontent.aspx?tID=194377")</f>
        <v>http://bbs.12365auto.com/postcontent.aspx?tID=194377</v>
      </c>
      <c r="G6057" s="2"/>
      <c r="H6057" s="2" t="s">
        <v>8391</v>
      </c>
      <c r="I6057" s="2" t="s">
        <v>15</v>
      </c>
      <c r="J6057" s="2" t="s">
        <v>4152</v>
      </c>
      <c r="K6057" s="2" t="s">
        <v>8388</v>
      </c>
      <c r="L6057" s="2">
        <f t="shared" si="94"/>
        <v>48</v>
      </c>
    </row>
    <row r="6058" spans="1:12" ht="25" customHeight="1">
      <c r="A6058" s="2" t="s">
        <v>12</v>
      </c>
      <c r="B6058" s="2" t="str">
        <f>HYPERLINK("http://bbs.12365auto.com/postcontent.aspx?tID=194375","开这三款BBA上路保准没人说你俗")</f>
        <v>开这三款BBA上路保准没人说你俗</v>
      </c>
      <c r="C6058" s="2" t="s">
        <v>13</v>
      </c>
      <c r="D6058" s="2" t="s">
        <v>12</v>
      </c>
      <c r="E6058" s="2" t="s">
        <v>28</v>
      </c>
      <c r="F6058" s="2" t="str">
        <f>HYPERLINK("http://bbs.12365auto.com/postcontent.aspx?tID=194375","http://bbs.12365auto.com/postcontent.aspx?tID=194375")</f>
        <v>http://bbs.12365auto.com/postcontent.aspx?tID=194375</v>
      </c>
      <c r="G6058" s="2"/>
      <c r="H6058" s="2" t="s">
        <v>8392</v>
      </c>
      <c r="I6058" s="2" t="s">
        <v>15</v>
      </c>
      <c r="J6058" s="2" t="s">
        <v>5640</v>
      </c>
      <c r="K6058" s="2" t="s">
        <v>8388</v>
      </c>
      <c r="L6058" s="2">
        <f t="shared" si="94"/>
        <v>150</v>
      </c>
    </row>
    <row r="6059" spans="1:12" ht="25" customHeight="1">
      <c r="A6059" s="2" t="s">
        <v>12</v>
      </c>
      <c r="B6059" s="2" t="str">
        <f>HYPERLINK("http://bbs.12365auto.com/postcontent.aspx?tID=194376","艾瑞泽5整车故障多车上各种故障")</f>
        <v>艾瑞泽5整车故障多车上各种故障</v>
      </c>
      <c r="C6059" s="2" t="s">
        <v>13</v>
      </c>
      <c r="D6059" s="2" t="s">
        <v>12</v>
      </c>
      <c r="E6059" s="2" t="s">
        <v>67</v>
      </c>
      <c r="F6059" s="2" t="str">
        <f>HYPERLINK("http://bbs.12365auto.com/postcontent.aspx?tID=194376","http://bbs.12365auto.com/postcontent.aspx?tID=194376")</f>
        <v>http://bbs.12365auto.com/postcontent.aspx?tID=194376</v>
      </c>
      <c r="G6059" s="2"/>
      <c r="H6059" s="2" t="s">
        <v>8393</v>
      </c>
      <c r="I6059" s="2" t="s">
        <v>15</v>
      </c>
      <c r="J6059" s="2" t="s">
        <v>4149</v>
      </c>
      <c r="K6059" s="2" t="s">
        <v>8388</v>
      </c>
      <c r="L6059" s="2">
        <f t="shared" si="94"/>
        <v>150</v>
      </c>
    </row>
    <row r="6060" spans="1:12" ht="25" customHeight="1">
      <c r="A6060" s="2" t="s">
        <v>12</v>
      </c>
      <c r="B6060" s="2" t="str">
        <f>HYPERLINK("http://bbs.12365auto.com/postcontent.aspx?tId=194374","迈腾变速箱有故障行驶时顿挫得不得了")</f>
        <v>迈腾变速箱有故障行驶时顿挫得不得了</v>
      </c>
      <c r="C6060" s="2" t="s">
        <v>13</v>
      </c>
      <c r="D6060" s="2" t="s">
        <v>12</v>
      </c>
      <c r="E6060" s="2" t="s">
        <v>66</v>
      </c>
      <c r="F6060" s="2" t="str">
        <f>HYPERLINK("http://bbs.12365auto.com/postcontent.aspx?tId=194374","http://bbs.12365auto.com/postcontent.aspx?tId=194374")</f>
        <v>http://bbs.12365auto.com/postcontent.aspx?tId=194374</v>
      </c>
      <c r="G6060" s="2"/>
      <c r="H6060" s="2" t="s">
        <v>8394</v>
      </c>
      <c r="I6060" s="2" t="s">
        <v>15</v>
      </c>
      <c r="J6060" s="2" t="s">
        <v>4156</v>
      </c>
      <c r="K6060" s="2" t="s">
        <v>8395</v>
      </c>
      <c r="L6060" s="2">
        <f t="shared" si="94"/>
        <v>44</v>
      </c>
    </row>
    <row r="6061" spans="1:12" ht="25" customHeight="1">
      <c r="A6061" s="2" t="s">
        <v>12</v>
      </c>
      <c r="B6061" s="2" t="str">
        <f>HYPERLINK("http://bbs.12365auto.com/postcontent.aspx?tID=194374","迈腾变速箱有故障行驶时顿挫得不得了")</f>
        <v>迈腾变速箱有故障行驶时顿挫得不得了</v>
      </c>
      <c r="C6061" s="2" t="s">
        <v>13</v>
      </c>
      <c r="D6061" s="2" t="s">
        <v>12</v>
      </c>
      <c r="E6061" s="2" t="s">
        <v>67</v>
      </c>
      <c r="F6061" s="2" t="str">
        <f>HYPERLINK("http://bbs.12365auto.com/postcontent.aspx?tID=194374","http://bbs.12365auto.com/postcontent.aspx?tID=194374")</f>
        <v>http://bbs.12365auto.com/postcontent.aspx?tID=194374</v>
      </c>
      <c r="G6061" s="2"/>
      <c r="H6061" s="2" t="s">
        <v>8396</v>
      </c>
      <c r="I6061" s="2" t="s">
        <v>15</v>
      </c>
      <c r="J6061" s="2" t="s">
        <v>4156</v>
      </c>
      <c r="K6061" s="2" t="s">
        <v>8395</v>
      </c>
      <c r="L6061" s="2">
        <f t="shared" si="94"/>
        <v>61</v>
      </c>
    </row>
    <row r="6062" spans="1:12" ht="25" customHeight="1">
      <c r="A6062" s="2" t="s">
        <v>12</v>
      </c>
      <c r="B6062" s="2" t="str">
        <f>HYPERLINK("http://m.12365auto.com/bbs/postcontent.aspx?tID=194373","雷诺e诺对比欧拉R1")</f>
        <v>雷诺e诺对比欧拉R1</v>
      </c>
      <c r="C6062" s="2" t="s">
        <v>13</v>
      </c>
      <c r="D6062" s="2" t="s">
        <v>23</v>
      </c>
      <c r="E6062" s="2"/>
      <c r="F6062" s="2" t="str">
        <f>HYPERLINK("http://m.12365auto.com/bbs/postcontent.aspx?tID=194373","http://m.12365auto.com/bbs/postcontent.aspx?tID=194373")</f>
        <v>http://m.12365auto.com/bbs/postcontent.aspx?tID=194373</v>
      </c>
      <c r="G6062" s="2"/>
      <c r="H6062" s="2" t="s">
        <v>8397</v>
      </c>
      <c r="I6062" s="2" t="s">
        <v>15</v>
      </c>
      <c r="J6062" s="2" t="s">
        <v>5640</v>
      </c>
      <c r="K6062" s="2" t="s">
        <v>8398</v>
      </c>
      <c r="L6062" s="2">
        <f t="shared" si="94"/>
        <v>150</v>
      </c>
    </row>
    <row r="6063" spans="1:12" ht="25" customHeight="1">
      <c r="A6063" s="2" t="s">
        <v>12</v>
      </c>
      <c r="B6063" s="2" t="str">
        <f>HYPERLINK("http://bbs.12365auto.com/postcontent.aspx?tID=194373","雷诺e诺对比欧拉R1")</f>
        <v>雷诺e诺对比欧拉R1</v>
      </c>
      <c r="C6063" s="2" t="s">
        <v>13</v>
      </c>
      <c r="D6063" s="2" t="s">
        <v>12</v>
      </c>
      <c r="E6063" s="2" t="s">
        <v>28</v>
      </c>
      <c r="F6063" s="2" t="str">
        <f>HYPERLINK("http://bbs.12365auto.com/postcontent.aspx?tID=194373","http://bbs.12365auto.com/postcontent.aspx?tID=194373")</f>
        <v>http://bbs.12365auto.com/postcontent.aspx?tID=194373</v>
      </c>
      <c r="G6063" s="2"/>
      <c r="H6063" s="2" t="s">
        <v>8399</v>
      </c>
      <c r="I6063" s="2" t="s">
        <v>15</v>
      </c>
      <c r="J6063" s="2" t="s">
        <v>5640</v>
      </c>
      <c r="K6063" s="2" t="s">
        <v>8398</v>
      </c>
      <c r="L6063" s="2">
        <f t="shared" si="94"/>
        <v>150</v>
      </c>
    </row>
    <row r="6064" spans="1:12" ht="25" customHeight="1">
      <c r="A6064" s="2" t="s">
        <v>12</v>
      </c>
      <c r="B6064" s="2" t="str">
        <f>HYPERLINK("http://bbs.12365auto.com/postcontent.aspx?tId=194373","雷诺e诺对比欧拉R1")</f>
        <v>雷诺e诺对比欧拉R1</v>
      </c>
      <c r="C6064" s="2" t="s">
        <v>13</v>
      </c>
      <c r="D6064" s="2" t="s">
        <v>12</v>
      </c>
      <c r="E6064" s="2" t="s">
        <v>27</v>
      </c>
      <c r="F6064" s="2" t="str">
        <f>HYPERLINK("http://bbs.12365auto.com/postcontent.aspx?tId=194373","http://bbs.12365auto.com/postcontent.aspx?tId=194373")</f>
        <v>http://bbs.12365auto.com/postcontent.aspx?tId=194373</v>
      </c>
      <c r="G6064" s="2"/>
      <c r="H6064" s="2" t="s">
        <v>8397</v>
      </c>
      <c r="I6064" s="2" t="s">
        <v>15</v>
      </c>
      <c r="J6064" s="2" t="s">
        <v>5640</v>
      </c>
      <c r="K6064" s="2" t="s">
        <v>8398</v>
      </c>
      <c r="L6064" s="2">
        <f t="shared" si="94"/>
        <v>150</v>
      </c>
    </row>
    <row r="6065" spans="1:12" ht="25" customHeight="1">
      <c r="A6065" s="2" t="s">
        <v>12</v>
      </c>
      <c r="B6065" s="2" t="str">
        <f>HYPERLINK("http://m.12365auto.com/bbs/postcontent.aspx?tID=194371","8款现在最好看的敞篷车")</f>
        <v>8款现在最好看的敞篷车</v>
      </c>
      <c r="C6065" s="2" t="s">
        <v>13</v>
      </c>
      <c r="D6065" s="2" t="s">
        <v>23</v>
      </c>
      <c r="E6065" s="2"/>
      <c r="F6065" s="2" t="str">
        <f>HYPERLINK("http://m.12365auto.com/bbs/postcontent.aspx?tID=194371","http://m.12365auto.com/bbs/postcontent.aspx?tID=194371")</f>
        <v>http://m.12365auto.com/bbs/postcontent.aspx?tID=194371</v>
      </c>
      <c r="G6065" s="2"/>
      <c r="H6065" s="2" t="s">
        <v>8400</v>
      </c>
      <c r="I6065" s="2" t="s">
        <v>15</v>
      </c>
      <c r="J6065" s="2" t="s">
        <v>5640</v>
      </c>
      <c r="K6065" s="2" t="s">
        <v>8401</v>
      </c>
      <c r="L6065" s="2">
        <f t="shared" si="94"/>
        <v>150</v>
      </c>
    </row>
    <row r="6066" spans="1:12" ht="25" customHeight="1">
      <c r="A6066" s="2" t="s">
        <v>12</v>
      </c>
      <c r="B6066" s="2" t="str">
        <f>HYPERLINK("http://m.12365auto.com/bbs/postcontent.aspx?tID=194372","改装迷炒火的“黑武士”")</f>
        <v>改装迷炒火的“黑武士”</v>
      </c>
      <c r="C6066" s="2" t="s">
        <v>13</v>
      </c>
      <c r="D6066" s="2" t="s">
        <v>23</v>
      </c>
      <c r="E6066" s="2"/>
      <c r="F6066" s="2" t="str">
        <f>HYPERLINK("http://m.12365auto.com/bbs/postcontent.aspx?tID=194372","http://m.12365auto.com/bbs/postcontent.aspx?tID=194372")</f>
        <v>http://m.12365auto.com/bbs/postcontent.aspx?tID=194372</v>
      </c>
      <c r="G6066" s="2"/>
      <c r="H6066" s="2" t="s">
        <v>8402</v>
      </c>
      <c r="I6066" s="2" t="s">
        <v>15</v>
      </c>
      <c r="J6066" s="2" t="s">
        <v>5640</v>
      </c>
      <c r="K6066" s="2" t="s">
        <v>8401</v>
      </c>
      <c r="L6066" s="2">
        <f t="shared" si="94"/>
        <v>150</v>
      </c>
    </row>
    <row r="6067" spans="1:12" ht="25" customHeight="1">
      <c r="A6067" s="2" t="s">
        <v>12</v>
      </c>
      <c r="B6067" s="2" t="str">
        <f>HYPERLINK("http://bbs.12365auto.com/postcontent.aspx?tID=194371","8款现在最好看的敞篷车")</f>
        <v>8款现在最好看的敞篷车</v>
      </c>
      <c r="C6067" s="2" t="s">
        <v>13</v>
      </c>
      <c r="D6067" s="2" t="s">
        <v>12</v>
      </c>
      <c r="E6067" s="2" t="s">
        <v>28</v>
      </c>
      <c r="F6067" s="2" t="str">
        <f>HYPERLINK("http://bbs.12365auto.com/postcontent.aspx?tID=194371","http://bbs.12365auto.com/postcontent.aspx?tID=194371")</f>
        <v>http://bbs.12365auto.com/postcontent.aspx?tID=194371</v>
      </c>
      <c r="G6067" s="2"/>
      <c r="H6067" s="2" t="s">
        <v>8403</v>
      </c>
      <c r="I6067" s="2" t="s">
        <v>15</v>
      </c>
      <c r="J6067" s="2" t="s">
        <v>5640</v>
      </c>
      <c r="K6067" s="2" t="s">
        <v>8401</v>
      </c>
      <c r="L6067" s="2">
        <f t="shared" si="94"/>
        <v>150</v>
      </c>
    </row>
    <row r="6068" spans="1:12" ht="25" customHeight="1">
      <c r="A6068" s="2" t="s">
        <v>12</v>
      </c>
      <c r="B6068" s="2" t="str">
        <f>HYPERLINK("http://bbs.12365auto.com/postcontent.aspx?tID=194372","改装迷炒火的“黑武士”")</f>
        <v>改装迷炒火的“黑武士”</v>
      </c>
      <c r="C6068" s="2" t="s">
        <v>13</v>
      </c>
      <c r="D6068" s="2" t="s">
        <v>12</v>
      </c>
      <c r="E6068" s="2" t="s">
        <v>28</v>
      </c>
      <c r="F6068" s="2" t="str">
        <f>HYPERLINK("http://bbs.12365auto.com/postcontent.aspx?tID=194372","http://bbs.12365auto.com/postcontent.aspx?tID=194372")</f>
        <v>http://bbs.12365auto.com/postcontent.aspx?tID=194372</v>
      </c>
      <c r="G6068" s="2"/>
      <c r="H6068" s="2" t="s">
        <v>8404</v>
      </c>
      <c r="I6068" s="2" t="s">
        <v>15</v>
      </c>
      <c r="J6068" s="2" t="s">
        <v>5640</v>
      </c>
      <c r="K6068" s="2" t="s">
        <v>8401</v>
      </c>
      <c r="L6068" s="2">
        <f t="shared" si="94"/>
        <v>150</v>
      </c>
    </row>
    <row r="6069" spans="1:12" ht="25" customHeight="1">
      <c r="A6069" s="2" t="s">
        <v>12</v>
      </c>
      <c r="B6069" s="2" t="str">
        <f>HYPERLINK("http://bbs.12365auto.com/postcontent.aspx?tId=194371","8款现在最好看的敞篷车")</f>
        <v>8款现在最好看的敞篷车</v>
      </c>
      <c r="C6069" s="2" t="s">
        <v>13</v>
      </c>
      <c r="D6069" s="2" t="s">
        <v>12</v>
      </c>
      <c r="E6069" s="2" t="s">
        <v>27</v>
      </c>
      <c r="F6069" s="2" t="str">
        <f>HYPERLINK("http://bbs.12365auto.com/postcontent.aspx?tId=194371","http://bbs.12365auto.com/postcontent.aspx?tId=194371")</f>
        <v>http://bbs.12365auto.com/postcontent.aspx?tId=194371</v>
      </c>
      <c r="G6069" s="2"/>
      <c r="H6069" s="2" t="s">
        <v>8400</v>
      </c>
      <c r="I6069" s="2" t="s">
        <v>15</v>
      </c>
      <c r="J6069" s="2" t="s">
        <v>5640</v>
      </c>
      <c r="K6069" s="2" t="s">
        <v>8401</v>
      </c>
      <c r="L6069" s="2">
        <f t="shared" si="94"/>
        <v>150</v>
      </c>
    </row>
    <row r="6070" spans="1:12" ht="25" customHeight="1">
      <c r="A6070" s="2" t="s">
        <v>12</v>
      </c>
      <c r="B6070" s="2" t="str">
        <f>HYPERLINK("http://bbs.12365auto.com/postcontent.aspx?tId=194372","改装迷炒火的“黑武士”")</f>
        <v>改装迷炒火的“黑武士”</v>
      </c>
      <c r="C6070" s="2" t="s">
        <v>13</v>
      </c>
      <c r="D6070" s="2" t="s">
        <v>12</v>
      </c>
      <c r="E6070" s="2" t="s">
        <v>27</v>
      </c>
      <c r="F6070" s="2" t="str">
        <f>HYPERLINK("http://bbs.12365auto.com/postcontent.aspx?tId=194372","http://bbs.12365auto.com/postcontent.aspx?tId=194372")</f>
        <v>http://bbs.12365auto.com/postcontent.aspx?tId=194372</v>
      </c>
      <c r="G6070" s="2"/>
      <c r="H6070" s="2" t="s">
        <v>8402</v>
      </c>
      <c r="I6070" s="2" t="s">
        <v>15</v>
      </c>
      <c r="J6070" s="2" t="s">
        <v>5640</v>
      </c>
      <c r="K6070" s="2" t="s">
        <v>8401</v>
      </c>
      <c r="L6070" s="2">
        <f t="shared" si="94"/>
        <v>150</v>
      </c>
    </row>
    <row r="6071" spans="1:12" ht="25" customHeight="1">
      <c r="A6071" s="2" t="s">
        <v>12</v>
      </c>
      <c r="B6071" s="2" t="str">
        <f>HYPERLINK("http://m.12365auto.com/bbs/postcontent.aspx?tID=194370","当年买三缸机的人今天后悔了吗")</f>
        <v>当年买三缸机的人今天后悔了吗</v>
      </c>
      <c r="C6071" s="2" t="s">
        <v>13</v>
      </c>
      <c r="D6071" s="2" t="s">
        <v>23</v>
      </c>
      <c r="E6071" s="2"/>
      <c r="F6071" s="2" t="str">
        <f>HYPERLINK("http://m.12365auto.com/bbs/postcontent.aspx?tID=194370","http://m.12365auto.com/bbs/postcontent.aspx?tID=194370")</f>
        <v>http://m.12365auto.com/bbs/postcontent.aspx?tID=194370</v>
      </c>
      <c r="G6071" s="2"/>
      <c r="H6071" s="2" t="s">
        <v>8405</v>
      </c>
      <c r="I6071" s="2" t="s">
        <v>15</v>
      </c>
      <c r="J6071" s="2" t="s">
        <v>5640</v>
      </c>
      <c r="K6071" s="2" t="s">
        <v>8406</v>
      </c>
      <c r="L6071" s="2">
        <f t="shared" si="94"/>
        <v>150</v>
      </c>
    </row>
    <row r="6072" spans="1:12" ht="25" customHeight="1">
      <c r="A6072" s="2" t="s">
        <v>12</v>
      </c>
      <c r="B6072" s="2" t="str">
        <f>HYPERLINK("http://bbs.12365auto.com/postcontent.aspx?tID=194370","当年买三缸机的人今天后悔了吗")</f>
        <v>当年买三缸机的人今天后悔了吗</v>
      </c>
      <c r="C6072" s="2" t="s">
        <v>13</v>
      </c>
      <c r="D6072" s="2" t="s">
        <v>12</v>
      </c>
      <c r="E6072" s="2" t="s">
        <v>28</v>
      </c>
      <c r="F6072" s="2" t="str">
        <f>HYPERLINK("http://bbs.12365auto.com/postcontent.aspx?tID=194370","http://bbs.12365auto.com/postcontent.aspx?tID=194370")</f>
        <v>http://bbs.12365auto.com/postcontent.aspx?tID=194370</v>
      </c>
      <c r="G6072" s="2"/>
      <c r="H6072" s="2" t="s">
        <v>8407</v>
      </c>
      <c r="I6072" s="2" t="s">
        <v>15</v>
      </c>
      <c r="J6072" s="2" t="s">
        <v>5640</v>
      </c>
      <c r="K6072" s="2" t="s">
        <v>8406</v>
      </c>
      <c r="L6072" s="2">
        <f t="shared" si="94"/>
        <v>150</v>
      </c>
    </row>
    <row r="6073" spans="1:12" ht="25" customHeight="1">
      <c r="A6073" s="2" t="s">
        <v>12</v>
      </c>
      <c r="B6073" s="2" t="str">
        <f>HYPERLINK("http://bbs.12365auto.com/postcontent.aspx?tId=194370","当年买三缸机的人今天后悔了吗")</f>
        <v>当年买三缸机的人今天后悔了吗</v>
      </c>
      <c r="C6073" s="2" t="s">
        <v>13</v>
      </c>
      <c r="D6073" s="2" t="s">
        <v>12</v>
      </c>
      <c r="E6073" s="2" t="s">
        <v>27</v>
      </c>
      <c r="F6073" s="2" t="str">
        <f>HYPERLINK("http://bbs.12365auto.com/postcontent.aspx?tId=194370","http://bbs.12365auto.com/postcontent.aspx?tId=194370")</f>
        <v>http://bbs.12365auto.com/postcontent.aspx?tId=194370</v>
      </c>
      <c r="G6073" s="2"/>
      <c r="H6073" s="2" t="s">
        <v>8405</v>
      </c>
      <c r="I6073" s="2" t="s">
        <v>15</v>
      </c>
      <c r="J6073" s="2" t="s">
        <v>5640</v>
      </c>
      <c r="K6073" s="2" t="s">
        <v>8406</v>
      </c>
      <c r="L6073" s="2">
        <f t="shared" si="94"/>
        <v>150</v>
      </c>
    </row>
    <row r="6074" spans="1:12" ht="25" customHeight="1">
      <c r="A6074" s="2" t="s">
        <v>12</v>
      </c>
      <c r="B6074" s="2" t="str">
        <f>HYPERLINK("http://bbs.12365auto.com/postcontent.aspx?tID=194369","怀念科比，那些年拥有的豪车")</f>
        <v>怀念科比，那些年拥有的豪车</v>
      </c>
      <c r="C6074" s="2" t="s">
        <v>13</v>
      </c>
      <c r="D6074" s="2" t="s">
        <v>12</v>
      </c>
      <c r="E6074" s="2" t="s">
        <v>28</v>
      </c>
      <c r="F6074" s="2" t="str">
        <f>HYPERLINK("http://bbs.12365auto.com/postcontent.aspx?tID=194369","http://bbs.12365auto.com/postcontent.aspx?tID=194369")</f>
        <v>http://bbs.12365auto.com/postcontent.aspx?tID=194369</v>
      </c>
      <c r="G6074" s="2"/>
      <c r="H6074" s="2" t="s">
        <v>8408</v>
      </c>
      <c r="I6074" s="2" t="s">
        <v>15</v>
      </c>
      <c r="J6074" s="2" t="s">
        <v>5640</v>
      </c>
      <c r="K6074" s="2" t="s">
        <v>8409</v>
      </c>
      <c r="L6074" s="2">
        <f t="shared" si="94"/>
        <v>150</v>
      </c>
    </row>
    <row r="6075" spans="1:12" ht="25" customHeight="1">
      <c r="A6075" s="2" t="s">
        <v>12</v>
      </c>
      <c r="B6075" s="2" t="str">
        <f>HYPERLINK("http://bbs.12365auto.com/postcontent.aspx?tId=194369","怀念科比，那些年拥有的豪车")</f>
        <v>怀念科比，那些年拥有的豪车</v>
      </c>
      <c r="C6075" s="2" t="s">
        <v>13</v>
      </c>
      <c r="D6075" s="2" t="s">
        <v>12</v>
      </c>
      <c r="E6075" s="2" t="s">
        <v>27</v>
      </c>
      <c r="F6075" s="2" t="str">
        <f>HYPERLINK("http://bbs.12365auto.com/postcontent.aspx?tId=194369","http://bbs.12365auto.com/postcontent.aspx?tId=194369")</f>
        <v>http://bbs.12365auto.com/postcontent.aspx?tId=194369</v>
      </c>
      <c r="G6075" s="2"/>
      <c r="H6075" s="2" t="s">
        <v>8410</v>
      </c>
      <c r="I6075" s="2" t="s">
        <v>15</v>
      </c>
      <c r="J6075" s="2" t="s">
        <v>5640</v>
      </c>
      <c r="K6075" s="2" t="s">
        <v>8409</v>
      </c>
      <c r="L6075" s="2">
        <f t="shared" si="94"/>
        <v>150</v>
      </c>
    </row>
    <row r="6076" spans="1:12" ht="25" customHeight="1">
      <c r="A6076" s="2" t="s">
        <v>12</v>
      </c>
      <c r="B6076" s="2" t="str">
        <f>HYPERLINK("http://bbs.12365auto.com/postcontent.aspx?tID=194366","高尔夫车内有异味没找出问题所在")</f>
        <v>高尔夫车内有异味没找出问题所在</v>
      </c>
      <c r="C6076" s="2" t="s">
        <v>13</v>
      </c>
      <c r="D6076" s="2" t="s">
        <v>12</v>
      </c>
      <c r="E6076" s="2" t="s">
        <v>67</v>
      </c>
      <c r="F6076" s="2" t="str">
        <f>HYPERLINK("http://bbs.12365auto.com/postcontent.aspx?tID=194366","http://bbs.12365auto.com/postcontent.aspx?tID=194366")</f>
        <v>http://bbs.12365auto.com/postcontent.aspx?tID=194366</v>
      </c>
      <c r="G6076" s="2"/>
      <c r="H6076" s="2" t="s">
        <v>8411</v>
      </c>
      <c r="I6076" s="2" t="s">
        <v>15</v>
      </c>
      <c r="J6076" s="2" t="s">
        <v>4160</v>
      </c>
      <c r="K6076" s="2" t="s">
        <v>8412</v>
      </c>
      <c r="L6076" s="2">
        <f t="shared" si="94"/>
        <v>150</v>
      </c>
    </row>
    <row r="6077" spans="1:12" ht="25" customHeight="1">
      <c r="A6077" s="2" t="s">
        <v>12</v>
      </c>
      <c r="B6077" s="2" t="str">
        <f>HYPERLINK("http://bbs.12365auto.com/postcontent.aspx?tID=194367","2020年第一季度即将上市的新车")</f>
        <v>2020年第一季度即将上市的新车</v>
      </c>
      <c r="C6077" s="2" t="s">
        <v>13</v>
      </c>
      <c r="D6077" s="2" t="s">
        <v>12</v>
      </c>
      <c r="E6077" s="2" t="s">
        <v>28</v>
      </c>
      <c r="F6077" s="2" t="str">
        <f>HYPERLINK("http://bbs.12365auto.com/postcontent.aspx?tID=194367","http://bbs.12365auto.com/postcontent.aspx?tID=194367")</f>
        <v>http://bbs.12365auto.com/postcontent.aspx?tID=194367</v>
      </c>
      <c r="G6077" s="2"/>
      <c r="H6077" s="2" t="s">
        <v>8413</v>
      </c>
      <c r="I6077" s="2" t="s">
        <v>15</v>
      </c>
      <c r="J6077" s="2" t="s">
        <v>5640</v>
      </c>
      <c r="K6077" s="2" t="s">
        <v>8412</v>
      </c>
      <c r="L6077" s="2">
        <f t="shared" si="94"/>
        <v>150</v>
      </c>
    </row>
    <row r="6078" spans="1:12" ht="25" customHeight="1">
      <c r="A6078" s="2" t="s">
        <v>12</v>
      </c>
      <c r="B6078" s="2" t="str">
        <f>HYPERLINK("http://bbs.12365auto.com/postcontent.aspx?tID=194368","中国的“大众集团”正在浮现")</f>
        <v>中国的“大众集团”正在浮现</v>
      </c>
      <c r="C6078" s="2" t="s">
        <v>13</v>
      </c>
      <c r="D6078" s="2" t="s">
        <v>12</v>
      </c>
      <c r="E6078" s="2" t="s">
        <v>28</v>
      </c>
      <c r="F6078" s="2" t="str">
        <f>HYPERLINK("http://bbs.12365auto.com/postcontent.aspx?tID=194368","http://bbs.12365auto.com/postcontent.aspx?tID=194368")</f>
        <v>http://bbs.12365auto.com/postcontent.aspx?tID=194368</v>
      </c>
      <c r="G6078" s="2"/>
      <c r="H6078" s="2" t="s">
        <v>8414</v>
      </c>
      <c r="I6078" s="2" t="s">
        <v>15</v>
      </c>
      <c r="J6078" s="2" t="s">
        <v>5640</v>
      </c>
      <c r="K6078" s="2" t="s">
        <v>8412</v>
      </c>
      <c r="L6078" s="2">
        <f t="shared" si="94"/>
        <v>150</v>
      </c>
    </row>
    <row r="6079" spans="1:12" ht="25" customHeight="1">
      <c r="A6079" s="2" t="s">
        <v>12</v>
      </c>
      <c r="B6079" s="2" t="str">
        <f>HYPERLINK("http://bbs.12365auto.com/postcontent.aspx?tId=194367","2020年第一季度即将上市的新车")</f>
        <v>2020年第一季度即将上市的新车</v>
      </c>
      <c r="C6079" s="2" t="s">
        <v>13</v>
      </c>
      <c r="D6079" s="2" t="s">
        <v>12</v>
      </c>
      <c r="E6079" s="2" t="s">
        <v>27</v>
      </c>
      <c r="F6079" s="2" t="str">
        <f>HYPERLINK("http://bbs.12365auto.com/postcontent.aspx?tId=194367","http://bbs.12365auto.com/postcontent.aspx?tId=194367")</f>
        <v>http://bbs.12365auto.com/postcontent.aspx?tId=194367</v>
      </c>
      <c r="G6079" s="2"/>
      <c r="H6079" s="2" t="s">
        <v>7507</v>
      </c>
      <c r="I6079" s="2" t="s">
        <v>15</v>
      </c>
      <c r="J6079" s="2" t="s">
        <v>5640</v>
      </c>
      <c r="K6079" s="2" t="s">
        <v>8412</v>
      </c>
      <c r="L6079" s="2">
        <f t="shared" si="94"/>
        <v>150</v>
      </c>
    </row>
    <row r="6080" spans="1:12" ht="25" customHeight="1">
      <c r="A6080" s="2" t="s">
        <v>12</v>
      </c>
      <c r="B6080" s="2" t="str">
        <f>HYPERLINK("http://bbs.12365auto.com/postcontent.aspx?tId=194368","中国的“大众集团”正在浮现")</f>
        <v>中国的“大众集团”正在浮现</v>
      </c>
      <c r="C6080" s="2" t="s">
        <v>13</v>
      </c>
      <c r="D6080" s="2" t="s">
        <v>12</v>
      </c>
      <c r="E6080" s="2" t="s">
        <v>27</v>
      </c>
      <c r="F6080" s="2" t="str">
        <f>HYPERLINK("http://bbs.12365auto.com/postcontent.aspx?tId=194368","http://bbs.12365auto.com/postcontent.aspx?tId=194368")</f>
        <v>http://bbs.12365auto.com/postcontent.aspx?tId=194368</v>
      </c>
      <c r="G6080" s="2"/>
      <c r="H6080" s="2" t="s">
        <v>8415</v>
      </c>
      <c r="I6080" s="2" t="s">
        <v>15</v>
      </c>
      <c r="J6080" s="2" t="s">
        <v>5640</v>
      </c>
      <c r="K6080" s="2" t="s">
        <v>8412</v>
      </c>
      <c r="L6080" s="2">
        <f t="shared" si="94"/>
        <v>150</v>
      </c>
    </row>
    <row r="6081" spans="1:12" ht="25" customHeight="1">
      <c r="A6081" s="2" t="s">
        <v>12</v>
      </c>
      <c r="B6081" s="2" t="str">
        <f>HYPERLINK("http://bbs.12365auto.com/postcontent.aspx?tID=194365","奔腾B50发动机噪音大质量也差")</f>
        <v>奔腾B50发动机噪音大质量也差</v>
      </c>
      <c r="C6081" s="2" t="s">
        <v>13</v>
      </c>
      <c r="D6081" s="2" t="s">
        <v>12</v>
      </c>
      <c r="E6081" s="2" t="s">
        <v>67</v>
      </c>
      <c r="F6081" s="2" t="str">
        <f>HYPERLINK("http://bbs.12365auto.com/postcontent.aspx?tID=194365","http://bbs.12365auto.com/postcontent.aspx?tID=194365")</f>
        <v>http://bbs.12365auto.com/postcontent.aspx?tID=194365</v>
      </c>
      <c r="G6081" s="2"/>
      <c r="H6081" s="2" t="s">
        <v>8416</v>
      </c>
      <c r="I6081" s="2" t="s">
        <v>15</v>
      </c>
      <c r="J6081" s="2" t="s">
        <v>4163</v>
      </c>
      <c r="K6081" s="2" t="s">
        <v>8417</v>
      </c>
      <c r="L6081" s="2">
        <f t="shared" si="94"/>
        <v>74</v>
      </c>
    </row>
    <row r="6082" spans="1:12" ht="25" customHeight="1">
      <c r="A6082" s="2" t="s">
        <v>12</v>
      </c>
      <c r="B6082" s="2" t="str">
        <f>HYPERLINK("http://bbs.12365auto.com/postcontent.aspx?tID=194364","4S店套路有多深")</f>
        <v>4S店套路有多深</v>
      </c>
      <c r="C6082" s="2" t="s">
        <v>13</v>
      </c>
      <c r="D6082" s="2" t="s">
        <v>12</v>
      </c>
      <c r="E6082" s="2" t="s">
        <v>28</v>
      </c>
      <c r="F6082" s="2" t="str">
        <f>HYPERLINK("http://bbs.12365auto.com/postcontent.aspx?tID=194364","http://bbs.12365auto.com/postcontent.aspx?tID=194364")</f>
        <v>http://bbs.12365auto.com/postcontent.aspx?tID=194364</v>
      </c>
      <c r="G6082" s="2"/>
      <c r="H6082" s="2" t="s">
        <v>8418</v>
      </c>
      <c r="I6082" s="2" t="s">
        <v>15</v>
      </c>
      <c r="J6082" s="2" t="s">
        <v>5640</v>
      </c>
      <c r="K6082" s="2" t="s">
        <v>8417</v>
      </c>
      <c r="L6082" s="2">
        <f t="shared" si="94"/>
        <v>150</v>
      </c>
    </row>
    <row r="6083" spans="1:12" ht="25" customHeight="1">
      <c r="A6083" s="2" t="s">
        <v>12</v>
      </c>
      <c r="B6083" s="2" t="str">
        <f>HYPERLINK("http://bbs.12365auto.com/postcontent.aspx?tID=194363","电子手刹和机械手刹谁更安全")</f>
        <v>电子手刹和机械手刹谁更安全</v>
      </c>
      <c r="C6083" s="2" t="s">
        <v>13</v>
      </c>
      <c r="D6083" s="2" t="s">
        <v>12</v>
      </c>
      <c r="E6083" s="2" t="s">
        <v>28</v>
      </c>
      <c r="F6083" s="2" t="str">
        <f>HYPERLINK("http://bbs.12365auto.com/postcontent.aspx?tID=194363","http://bbs.12365auto.com/postcontent.aspx?tID=194363")</f>
        <v>http://bbs.12365auto.com/postcontent.aspx?tID=194363</v>
      </c>
      <c r="G6083" s="2"/>
      <c r="H6083" s="2" t="s">
        <v>8419</v>
      </c>
      <c r="I6083" s="2" t="s">
        <v>15</v>
      </c>
      <c r="J6083" s="2" t="s">
        <v>5640</v>
      </c>
      <c r="K6083" s="2" t="s">
        <v>8420</v>
      </c>
      <c r="L6083" s="2">
        <f t="shared" ref="L6083:L6146" si="95">LEN(H6083)</f>
        <v>150</v>
      </c>
    </row>
    <row r="6084" spans="1:12" ht="25" customHeight="1">
      <c r="A6084" s="2" t="s">
        <v>12</v>
      </c>
      <c r="B6084" s="2" t="str">
        <f>HYPERLINK("http://m.12365auto.com/news/20200218/418876.shtml","思域/CR-V销量大涨 东本1月增幅行业No.1")</f>
        <v>思域/CR-V销量大涨 东本1月增幅行业No.1</v>
      </c>
      <c r="C6084" s="2" t="s">
        <v>13</v>
      </c>
      <c r="D6084" s="2" t="s">
        <v>12</v>
      </c>
      <c r="E6084" s="2"/>
      <c r="F6084" s="2" t="str">
        <f>HYPERLINK("http://m.12365auto.com/news/20200218/418876.shtml","http://m.12365auto.com/news/20200218/418876.shtml")</f>
        <v>http://m.12365auto.com/news/20200218/418876.shtml</v>
      </c>
      <c r="G6084" s="2"/>
      <c r="H6084" s="2" t="s">
        <v>7646</v>
      </c>
      <c r="I6084" s="2" t="s">
        <v>19</v>
      </c>
      <c r="J6084" s="2" t="s">
        <v>739</v>
      </c>
      <c r="K6084" s="2" t="s">
        <v>8420</v>
      </c>
      <c r="L6084" s="2">
        <f t="shared" si="95"/>
        <v>150</v>
      </c>
    </row>
    <row r="6085" spans="1:12" ht="25" customHeight="1">
      <c r="A6085" s="2" t="s">
        <v>12</v>
      </c>
      <c r="B6085" s="2" t="str">
        <f>HYPERLINK("http://www.12365auto.com/news/20200218/418876.shtml","思域/CR-V销量大涨 东本1月增幅行业No.1")</f>
        <v>思域/CR-V销量大涨 东本1月增幅行业No.1</v>
      </c>
      <c r="C6085" s="2" t="s">
        <v>13</v>
      </c>
      <c r="D6085" s="2" t="s">
        <v>12</v>
      </c>
      <c r="E6085" s="2" t="s">
        <v>282</v>
      </c>
      <c r="F6085" s="2" t="str">
        <f>HYPERLINK("http://www.12365auto.com/news/20200218/418876.shtml","http://www.12365auto.com/news/20200218/418876.shtml")</f>
        <v>http://www.12365auto.com/news/20200218/418876.shtml</v>
      </c>
      <c r="G6085" s="2"/>
      <c r="H6085" s="2" t="s">
        <v>7644</v>
      </c>
      <c r="I6085" s="2" t="s">
        <v>19</v>
      </c>
      <c r="J6085" s="2" t="s">
        <v>12</v>
      </c>
      <c r="K6085" s="2" t="s">
        <v>8420</v>
      </c>
      <c r="L6085" s="2">
        <f t="shared" si="95"/>
        <v>150</v>
      </c>
    </row>
    <row r="6086" spans="1:12" ht="25" customHeight="1">
      <c r="A6086" s="2" t="s">
        <v>12</v>
      </c>
      <c r="B6086" s="2" t="str">
        <f>HYPERLINK("http://bbs.12365auto.com/postcontent.aspx?tID=194362","途观L天窗漏水黑心的4S店维修居然收费")</f>
        <v>途观L天窗漏水黑心的4S店维修居然收费</v>
      </c>
      <c r="C6086" s="2" t="s">
        <v>13</v>
      </c>
      <c r="D6086" s="2" t="s">
        <v>12</v>
      </c>
      <c r="E6086" s="2" t="s">
        <v>67</v>
      </c>
      <c r="F6086" s="2" t="str">
        <f>HYPERLINK("http://bbs.12365auto.com/postcontent.aspx?tID=194362","http://bbs.12365auto.com/postcontent.aspx?tID=194362")</f>
        <v>http://bbs.12365auto.com/postcontent.aspx?tID=194362</v>
      </c>
      <c r="G6086" s="2"/>
      <c r="H6086" s="2" t="s">
        <v>8421</v>
      </c>
      <c r="I6086" s="2" t="s">
        <v>15</v>
      </c>
      <c r="J6086" s="2" t="s">
        <v>4163</v>
      </c>
      <c r="K6086" s="2" t="s">
        <v>8422</v>
      </c>
      <c r="L6086" s="2">
        <f t="shared" si="95"/>
        <v>48</v>
      </c>
    </row>
    <row r="6087" spans="1:12" ht="25" customHeight="1">
      <c r="A6087" s="2" t="s">
        <v>12</v>
      </c>
      <c r="B6087" s="2" t="str">
        <f>HYPERLINK("http://m.12365auto.com/bbs/postcontent.aspx?tID=194360&amp;i=1","奔驰GLB冰雪路面车走不了了")</f>
        <v>奔驰GLB冰雪路面车走不了了</v>
      </c>
      <c r="C6087" s="2" t="s">
        <v>13</v>
      </c>
      <c r="D6087" s="2" t="s">
        <v>23</v>
      </c>
      <c r="E6087" s="2"/>
      <c r="F6087" s="2" t="str">
        <f>HYPERLINK("http://m.12365auto.com/bbs/postcontent.aspx?tID=194360&amp;i=1","http://m.12365auto.com/bbs/postcontent.aspx?tID=194360&amp;i=1")</f>
        <v>http://m.12365auto.com/bbs/postcontent.aspx?tID=194360&amp;i=1</v>
      </c>
      <c r="G6087" s="2"/>
      <c r="H6087" s="2" t="s">
        <v>8423</v>
      </c>
      <c r="I6087" s="2" t="s">
        <v>15</v>
      </c>
      <c r="J6087" s="2" t="s">
        <v>4166</v>
      </c>
      <c r="K6087" s="2" t="s">
        <v>8424</v>
      </c>
      <c r="L6087" s="2">
        <f t="shared" si="95"/>
        <v>88</v>
      </c>
    </row>
    <row r="6088" spans="1:12" ht="25" customHeight="1">
      <c r="A6088" s="2" t="s">
        <v>12</v>
      </c>
      <c r="B6088" s="2" t="str">
        <f>HYPERLINK("http://bbs.12365auto.com/postcontent.aspx?tID=194361","江南TT车年检时OBD接口连不上呀")</f>
        <v>江南TT车年检时OBD接口连不上呀</v>
      </c>
      <c r="C6088" s="2" t="s">
        <v>13</v>
      </c>
      <c r="D6088" s="2" t="s">
        <v>12</v>
      </c>
      <c r="E6088" s="2" t="s">
        <v>67</v>
      </c>
      <c r="F6088" s="2" t="str">
        <f>HYPERLINK("http://bbs.12365auto.com/postcontent.aspx?tID=194361","http://bbs.12365auto.com/postcontent.aspx?tID=194361")</f>
        <v>http://bbs.12365auto.com/postcontent.aspx?tID=194361</v>
      </c>
      <c r="G6088" s="2"/>
      <c r="H6088" s="2" t="s">
        <v>8425</v>
      </c>
      <c r="I6088" s="2" t="s">
        <v>15</v>
      </c>
      <c r="J6088" s="2" t="s">
        <v>4169</v>
      </c>
      <c r="K6088" s="2" t="s">
        <v>8424</v>
      </c>
      <c r="L6088" s="2">
        <f t="shared" si="95"/>
        <v>82</v>
      </c>
    </row>
    <row r="6089" spans="1:12" ht="25" customHeight="1">
      <c r="A6089" s="2" t="s">
        <v>12</v>
      </c>
      <c r="B6089" s="2" t="str">
        <f>HYPERLINK("http://bbs.12365auto.com/postcontent.aspx?tID=194360","奔驰GLB冰雪路面车走不了了")</f>
        <v>奔驰GLB冰雪路面车走不了了</v>
      </c>
      <c r="C6089" s="2" t="s">
        <v>13</v>
      </c>
      <c r="D6089" s="2" t="s">
        <v>12</v>
      </c>
      <c r="E6089" s="2" t="s">
        <v>67</v>
      </c>
      <c r="F6089" s="2" t="str">
        <f>HYPERLINK("http://bbs.12365auto.com/postcontent.aspx?tID=194360","http://bbs.12365auto.com/postcontent.aspx?tID=194360")</f>
        <v>http://bbs.12365auto.com/postcontent.aspx?tID=194360</v>
      </c>
      <c r="G6089" s="2"/>
      <c r="H6089" s="2" t="s">
        <v>8426</v>
      </c>
      <c r="I6089" s="2" t="s">
        <v>15</v>
      </c>
      <c r="J6089" s="2" t="s">
        <v>4166</v>
      </c>
      <c r="K6089" s="2" t="s">
        <v>8424</v>
      </c>
      <c r="L6089" s="2">
        <f t="shared" si="95"/>
        <v>102</v>
      </c>
    </row>
    <row r="6090" spans="1:12" ht="25" customHeight="1">
      <c r="A6090" s="2" t="s">
        <v>12</v>
      </c>
      <c r="B6090" s="2" t="str">
        <f>HYPERLINK("http://m.12365auto.com/xcdg/20200218/418875.shtml","风行新菱智M5三月底开卖 撞脸雷克萨斯")</f>
        <v>风行新菱智M5三月底开卖 撞脸雷克萨斯</v>
      </c>
      <c r="C6090" s="2" t="s">
        <v>13</v>
      </c>
      <c r="D6090" s="2" t="s">
        <v>12</v>
      </c>
      <c r="E6090" s="2"/>
      <c r="F6090" s="2" t="str">
        <f>HYPERLINK("http://m.12365auto.com/xcdg/20200218/418875.shtml","http://m.12365auto.com/xcdg/20200218/418875.shtml")</f>
        <v>http://m.12365auto.com/xcdg/20200218/418875.shtml</v>
      </c>
      <c r="G6090" s="2"/>
      <c r="H6090" s="2" t="s">
        <v>8427</v>
      </c>
      <c r="I6090" s="2" t="s">
        <v>19</v>
      </c>
      <c r="J6090" s="2" t="s">
        <v>2928</v>
      </c>
      <c r="K6090" s="2" t="s">
        <v>8428</v>
      </c>
      <c r="L6090" s="2">
        <f t="shared" si="95"/>
        <v>150</v>
      </c>
    </row>
    <row r="6091" spans="1:12" ht="25" customHeight="1">
      <c r="A6091" s="2" t="s">
        <v>12</v>
      </c>
      <c r="B6091" s="2" t="str">
        <f>HYPERLINK("http://www.12365auto.com/xcdg/20200218/418875.shtml","风行新菱智M5三月底开卖 撞脸雷克萨斯")</f>
        <v>风行新菱智M5三月底开卖 撞脸雷克萨斯</v>
      </c>
      <c r="C6091" s="2" t="s">
        <v>13</v>
      </c>
      <c r="D6091" s="2" t="s">
        <v>12</v>
      </c>
      <c r="E6091" s="2" t="s">
        <v>245</v>
      </c>
      <c r="F6091" s="2" t="str">
        <f>HYPERLINK("http://www.12365auto.com/xcdg/20200218/418875.shtml","http://www.12365auto.com/xcdg/20200218/418875.shtml")</f>
        <v>http://www.12365auto.com/xcdg/20200218/418875.shtml</v>
      </c>
      <c r="G6091" s="2"/>
      <c r="H6091" s="2" t="s">
        <v>8429</v>
      </c>
      <c r="I6091" s="2" t="s">
        <v>19</v>
      </c>
      <c r="J6091" s="2" t="s">
        <v>12</v>
      </c>
      <c r="K6091" s="2" t="s">
        <v>8428</v>
      </c>
      <c r="L6091" s="2">
        <f t="shared" si="95"/>
        <v>150</v>
      </c>
    </row>
    <row r="6092" spans="1:12" ht="25" customHeight="1">
      <c r="A6092" s="2" t="s">
        <v>12</v>
      </c>
      <c r="B6092" s="2" t="str">
        <f>HYPERLINK("http://m.12365auto.com/xcdg/20200218/418874.shtml","福特全新硬派SUV曝光 提供两种动力可选")</f>
        <v>福特全新硬派SUV曝光 提供两种动力可选</v>
      </c>
      <c r="C6092" s="2" t="s">
        <v>13</v>
      </c>
      <c r="D6092" s="2" t="s">
        <v>12</v>
      </c>
      <c r="E6092" s="2"/>
      <c r="F6092" s="2" t="str">
        <f>HYPERLINK("http://m.12365auto.com/xcdg/20200218/418874.shtml","http://m.12365auto.com/xcdg/20200218/418874.shtml")</f>
        <v>http://m.12365auto.com/xcdg/20200218/418874.shtml</v>
      </c>
      <c r="G6092" s="2"/>
      <c r="H6092" s="2" t="s">
        <v>8430</v>
      </c>
      <c r="I6092" s="2" t="s">
        <v>19</v>
      </c>
      <c r="J6092" s="2" t="s">
        <v>222</v>
      </c>
      <c r="K6092" s="2" t="s">
        <v>8431</v>
      </c>
      <c r="L6092" s="2">
        <f t="shared" si="95"/>
        <v>150</v>
      </c>
    </row>
    <row r="6093" spans="1:12" ht="25" customHeight="1">
      <c r="A6093" s="2" t="s">
        <v>12</v>
      </c>
      <c r="B6093" s="2" t="str">
        <f>HYPERLINK("http://www.12365auto.com/xcdg/20200218/418874.shtml","福特全新硬派SUV曝光 提供两种动力可选")</f>
        <v>福特全新硬派SUV曝光 提供两种动力可选</v>
      </c>
      <c r="C6093" s="2" t="s">
        <v>13</v>
      </c>
      <c r="D6093" s="2" t="s">
        <v>12</v>
      </c>
      <c r="E6093" s="2" t="s">
        <v>245</v>
      </c>
      <c r="F6093" s="2" t="str">
        <f>HYPERLINK("http://www.12365auto.com/xcdg/20200218/418874.shtml","http://www.12365auto.com/xcdg/20200218/418874.shtml")</f>
        <v>http://www.12365auto.com/xcdg/20200218/418874.shtml</v>
      </c>
      <c r="G6093" s="2"/>
      <c r="H6093" s="2" t="s">
        <v>8432</v>
      </c>
      <c r="I6093" s="2" t="s">
        <v>19</v>
      </c>
      <c r="J6093" s="2" t="s">
        <v>12</v>
      </c>
      <c r="K6093" s="2" t="s">
        <v>8431</v>
      </c>
      <c r="L6093" s="2">
        <f t="shared" si="95"/>
        <v>150</v>
      </c>
    </row>
    <row r="6094" spans="1:12" ht="25" customHeight="1">
      <c r="A6094" s="2" t="s">
        <v>12</v>
      </c>
      <c r="B6094" s="2" t="str">
        <f>HYPERLINK("http://m.12365auto.com/zjdy/20200218/121358.shtml","手自一体变速箱的手动模式换挡用松油门吗？")</f>
        <v>手自一体变速箱的手动模式换挡用松油门吗？</v>
      </c>
      <c r="C6094" s="2" t="s">
        <v>13</v>
      </c>
      <c r="D6094" s="2" t="s">
        <v>12</v>
      </c>
      <c r="E6094" s="2"/>
      <c r="F6094" s="2" t="str">
        <f>HYPERLINK("http://m.12365auto.com/zjdy/20200218/121358.shtml","http://m.12365auto.com/zjdy/20200218/121358.shtml")</f>
        <v>http://m.12365auto.com/zjdy/20200218/121358.shtml</v>
      </c>
      <c r="G6094" s="2"/>
      <c r="H6094" s="2" t="s">
        <v>8433</v>
      </c>
      <c r="I6094" s="2" t="s">
        <v>19</v>
      </c>
      <c r="J6094" s="2" t="s">
        <v>12</v>
      </c>
      <c r="K6094" s="2" t="s">
        <v>8434</v>
      </c>
      <c r="L6094" s="2">
        <f t="shared" si="95"/>
        <v>150</v>
      </c>
    </row>
    <row r="6095" spans="1:12" ht="25" customHeight="1">
      <c r="A6095" s="2" t="s">
        <v>12</v>
      </c>
      <c r="B6095" s="2" t="str">
        <f>HYPERLINK("http://www.12365auto.com/xcdg/20200218/418873.shtml","日内瓦车展下月开幕 哪些车型值得期待")</f>
        <v>日内瓦车展下月开幕 哪些车型值得期待</v>
      </c>
      <c r="C6095" s="2" t="s">
        <v>13</v>
      </c>
      <c r="D6095" s="2" t="s">
        <v>12</v>
      </c>
      <c r="E6095" s="2" t="s">
        <v>245</v>
      </c>
      <c r="F6095" s="2" t="str">
        <f>HYPERLINK("http://www.12365auto.com/xcdg/20200218/418873.shtml","http://www.12365auto.com/xcdg/20200218/418873.shtml")</f>
        <v>http://www.12365auto.com/xcdg/20200218/418873.shtml</v>
      </c>
      <c r="G6095" s="2"/>
      <c r="H6095" s="2" t="s">
        <v>8435</v>
      </c>
      <c r="I6095" s="2" t="s">
        <v>19</v>
      </c>
      <c r="J6095" s="2" t="s">
        <v>12</v>
      </c>
      <c r="K6095" s="2" t="s">
        <v>8436</v>
      </c>
      <c r="L6095" s="2">
        <f t="shared" si="95"/>
        <v>150</v>
      </c>
    </row>
    <row r="6096" spans="1:12" ht="25" customHeight="1">
      <c r="A6096" s="2" t="s">
        <v>12</v>
      </c>
      <c r="B6096" s="2" t="str">
        <f>HYPERLINK("http://m.12365auto.com/xcdg/20200218/418873.shtml","日内瓦车展下月开幕 哪些车型值得期待")</f>
        <v>日内瓦车展下月开幕 哪些车型值得期待</v>
      </c>
      <c r="C6096" s="2" t="s">
        <v>13</v>
      </c>
      <c r="D6096" s="2" t="s">
        <v>12</v>
      </c>
      <c r="E6096" s="2"/>
      <c r="F6096" s="2" t="str">
        <f>HYPERLINK("http://m.12365auto.com/xcdg/20200218/418873.shtml","http://m.12365auto.com/xcdg/20200218/418873.shtml")</f>
        <v>http://m.12365auto.com/xcdg/20200218/418873.shtml</v>
      </c>
      <c r="G6096" s="2"/>
      <c r="H6096" s="2" t="s">
        <v>8437</v>
      </c>
      <c r="I6096" s="2" t="s">
        <v>19</v>
      </c>
      <c r="J6096" s="2" t="s">
        <v>222</v>
      </c>
      <c r="K6096" s="2" t="s">
        <v>8436</v>
      </c>
      <c r="L6096" s="2">
        <f t="shared" si="95"/>
        <v>150</v>
      </c>
    </row>
    <row r="6097" spans="1:12" ht="25" customHeight="1">
      <c r="A6097" s="2" t="s">
        <v>12</v>
      </c>
      <c r="B6097" s="2" t="str">
        <f>HYPERLINK("http://www.12365auto.com/xcdg/20200218/418872.shtml","别克全新纯电动SUV动力曝光 续航500km")</f>
        <v>别克全新纯电动SUV动力曝光 续航500km</v>
      </c>
      <c r="C6097" s="2" t="s">
        <v>13</v>
      </c>
      <c r="D6097" s="2" t="s">
        <v>12</v>
      </c>
      <c r="E6097" s="2" t="s">
        <v>216</v>
      </c>
      <c r="F6097" s="2" t="str">
        <f>HYPERLINK("http://www.12365auto.com/xcdg/20200218/418872.shtml","http://www.12365auto.com/xcdg/20200218/418872.shtml")</f>
        <v>http://www.12365auto.com/xcdg/20200218/418872.shtml</v>
      </c>
      <c r="G6097" s="2"/>
      <c r="H6097" s="2" t="s">
        <v>8438</v>
      </c>
      <c r="I6097" s="2" t="s">
        <v>15</v>
      </c>
      <c r="J6097" s="2" t="s">
        <v>12</v>
      </c>
      <c r="K6097" s="2" t="s">
        <v>8439</v>
      </c>
      <c r="L6097" s="2">
        <f t="shared" si="95"/>
        <v>150</v>
      </c>
    </row>
    <row r="6098" spans="1:12" ht="25" customHeight="1">
      <c r="A6098" s="2" t="s">
        <v>12</v>
      </c>
      <c r="B6098" s="2" t="str">
        <f>HYPERLINK("http://m.12365auto.com/xcdg/20200218/418872.shtml","别克全新纯电动SUV动力曝光 续航500km")</f>
        <v>别克全新纯电动SUV动力曝光 续航500km</v>
      </c>
      <c r="C6098" s="2" t="s">
        <v>13</v>
      </c>
      <c r="D6098" s="2" t="s">
        <v>12</v>
      </c>
      <c r="E6098" s="2"/>
      <c r="F6098" s="2" t="str">
        <f>HYPERLINK("http://m.12365auto.com/xcdg/20200218/418872.shtml","http://m.12365auto.com/xcdg/20200218/418872.shtml")</f>
        <v>http://m.12365auto.com/xcdg/20200218/418872.shtml</v>
      </c>
      <c r="G6098" s="2"/>
      <c r="H6098" s="2" t="s">
        <v>8440</v>
      </c>
      <c r="I6098" s="2" t="s">
        <v>19</v>
      </c>
      <c r="J6098" s="2" t="s">
        <v>2603</v>
      </c>
      <c r="K6098" s="2" t="s">
        <v>8439</v>
      </c>
      <c r="L6098" s="2">
        <f t="shared" si="95"/>
        <v>150</v>
      </c>
    </row>
    <row r="6099" spans="1:12" ht="25" customHeight="1">
      <c r="A6099" s="2" t="s">
        <v>12</v>
      </c>
      <c r="B6099" s="2" t="str">
        <f>HYPERLINK("http://www.12365auto.com/xcdg/20200218/418870.shtml","玛莎拉蒂三款新车信息曝光 北京车展亮相")</f>
        <v>玛莎拉蒂三款新车信息曝光 北京车展亮相</v>
      </c>
      <c r="C6099" s="2" t="s">
        <v>13</v>
      </c>
      <c r="D6099" s="2" t="s">
        <v>12</v>
      </c>
      <c r="E6099" s="2" t="s">
        <v>216</v>
      </c>
      <c r="F6099" s="2" t="str">
        <f>HYPERLINK("http://www.12365auto.com/xcdg/20200218/418870.shtml","http://www.12365auto.com/xcdg/20200218/418870.shtml")</f>
        <v>http://www.12365auto.com/xcdg/20200218/418870.shtml</v>
      </c>
      <c r="G6099" s="2"/>
      <c r="H6099" s="2" t="s">
        <v>8441</v>
      </c>
      <c r="I6099" s="2" t="s">
        <v>15</v>
      </c>
      <c r="J6099" s="2" t="s">
        <v>12</v>
      </c>
      <c r="K6099" s="2" t="s">
        <v>8442</v>
      </c>
      <c r="L6099" s="2">
        <f t="shared" si="95"/>
        <v>150</v>
      </c>
    </row>
    <row r="6100" spans="1:12" ht="25" customHeight="1">
      <c r="A6100" s="2" t="s">
        <v>12</v>
      </c>
      <c r="B6100" s="2" t="str">
        <f>HYPERLINK("http://www.12365auto.com/news/20200218/418871.shtml","规模扩大 2025年动力电池回收将达852亿")</f>
        <v>规模扩大 2025年动力电池回收将达852亿</v>
      </c>
      <c r="C6100" s="2" t="s">
        <v>13</v>
      </c>
      <c r="D6100" s="2" t="s">
        <v>12</v>
      </c>
      <c r="E6100" s="2" t="s">
        <v>276</v>
      </c>
      <c r="F6100" s="2" t="str">
        <f>HYPERLINK("http://www.12365auto.com/news/20200218/418871.shtml","http://www.12365auto.com/news/20200218/418871.shtml")</f>
        <v>http://www.12365auto.com/news/20200218/418871.shtml</v>
      </c>
      <c r="G6100" s="2"/>
      <c r="H6100" s="2" t="s">
        <v>8443</v>
      </c>
      <c r="I6100" s="2" t="s">
        <v>15</v>
      </c>
      <c r="J6100" s="2" t="s">
        <v>12</v>
      </c>
      <c r="K6100" s="2" t="s">
        <v>8442</v>
      </c>
      <c r="L6100" s="2">
        <f t="shared" si="95"/>
        <v>150</v>
      </c>
    </row>
    <row r="6101" spans="1:12" ht="25" customHeight="1">
      <c r="A6101" s="2" t="s">
        <v>12</v>
      </c>
      <c r="B6101" s="2" t="str">
        <f>HYPERLINK("http://m.12365auto.com/xcdg/20200218/418870.shtml","玛莎拉蒂三款新车信息曝光 北京车展亮相")</f>
        <v>玛莎拉蒂三款新车信息曝光 北京车展亮相</v>
      </c>
      <c r="C6101" s="2" t="s">
        <v>13</v>
      </c>
      <c r="D6101" s="2" t="s">
        <v>12</v>
      </c>
      <c r="E6101" s="2"/>
      <c r="F6101" s="2" t="str">
        <f>HYPERLINK("http://m.12365auto.com/xcdg/20200218/418870.shtml","http://m.12365auto.com/xcdg/20200218/418870.shtml")</f>
        <v>http://m.12365auto.com/xcdg/20200218/418870.shtml</v>
      </c>
      <c r="G6101" s="2"/>
      <c r="H6101" s="2" t="s">
        <v>8444</v>
      </c>
      <c r="I6101" s="2" t="s">
        <v>19</v>
      </c>
      <c r="J6101" s="2" t="s">
        <v>220</v>
      </c>
      <c r="K6101" s="2" t="s">
        <v>8442</v>
      </c>
      <c r="L6101" s="2">
        <f t="shared" si="95"/>
        <v>150</v>
      </c>
    </row>
    <row r="6102" spans="1:12" ht="25" customHeight="1">
      <c r="A6102" s="2" t="s">
        <v>12</v>
      </c>
      <c r="B6102" s="2" t="str">
        <f>HYPERLINK("http://m.12365auto.com/news/20200218/418871.shtml","规模扩大 2025年动力电池回收将达852亿")</f>
        <v>规模扩大 2025年动力电池回收将达852亿</v>
      </c>
      <c r="C6102" s="2" t="s">
        <v>13</v>
      </c>
      <c r="D6102" s="2" t="s">
        <v>12</v>
      </c>
      <c r="E6102" s="2"/>
      <c r="F6102" s="2" t="str">
        <f>HYPERLINK("http://m.12365auto.com/news/20200218/418871.shtml","http://m.12365auto.com/news/20200218/418871.shtml")</f>
        <v>http://m.12365auto.com/news/20200218/418871.shtml</v>
      </c>
      <c r="G6102" s="2"/>
      <c r="H6102" s="2" t="s">
        <v>8445</v>
      </c>
      <c r="I6102" s="2" t="s">
        <v>19</v>
      </c>
      <c r="J6102" s="2" t="s">
        <v>1653</v>
      </c>
      <c r="K6102" s="2" t="s">
        <v>8442</v>
      </c>
      <c r="L6102" s="2">
        <f t="shared" si="95"/>
        <v>150</v>
      </c>
    </row>
    <row r="6103" spans="1:12" ht="25" customHeight="1">
      <c r="A6103" s="2" t="s">
        <v>12</v>
      </c>
      <c r="B6103" s="2" t="str">
        <f>HYPERLINK("http://www.12365auto.com/zlts/20200218/447620.shtml","一汽奔腾T77换挡顿挫 天窗异响 发动机抖动")</f>
        <v>一汽奔腾T77换挡顿挫 天窗异响 发动机抖动</v>
      </c>
      <c r="C6103" s="2" t="s">
        <v>13</v>
      </c>
      <c r="D6103" s="2" t="s">
        <v>12</v>
      </c>
      <c r="E6103" s="2" t="s">
        <v>17</v>
      </c>
      <c r="F6103" s="2" t="str">
        <f>HYPERLINK("http://www.12365auto.com/zlts/20200218/447620.shtml","http://www.12365auto.com/zlts/20200218/447620.shtml")</f>
        <v>http://www.12365auto.com/zlts/20200218/447620.shtml</v>
      </c>
      <c r="G6103" s="2"/>
      <c r="H6103" s="2" t="s">
        <v>8446</v>
      </c>
      <c r="I6103" s="2" t="s">
        <v>19</v>
      </c>
      <c r="J6103" s="2" t="s">
        <v>12</v>
      </c>
      <c r="K6103" s="2" t="s">
        <v>8442</v>
      </c>
      <c r="L6103" s="2">
        <f t="shared" si="95"/>
        <v>150</v>
      </c>
    </row>
    <row r="6104" spans="1:12" ht="25" customHeight="1">
      <c r="A6104" s="2" t="s">
        <v>12</v>
      </c>
      <c r="B6104" s="2" t="str">
        <f>HYPERLINK("http://www.12365auto.com/news/20200218/418869.shtml","轻点手机 未来用户可随意更改车辆颜色")</f>
        <v>轻点手机 未来用户可随意更改车辆颜色</v>
      </c>
      <c r="C6104" s="2" t="s">
        <v>13</v>
      </c>
      <c r="D6104" s="2" t="s">
        <v>12</v>
      </c>
      <c r="E6104" s="2" t="s">
        <v>276</v>
      </c>
      <c r="F6104" s="2" t="str">
        <f>HYPERLINK("http://www.12365auto.com/news/20200218/418869.shtml","http://www.12365auto.com/news/20200218/418869.shtml")</f>
        <v>http://www.12365auto.com/news/20200218/418869.shtml</v>
      </c>
      <c r="G6104" s="2"/>
      <c r="H6104" s="2" t="s">
        <v>8447</v>
      </c>
      <c r="I6104" s="2" t="s">
        <v>15</v>
      </c>
      <c r="J6104" s="2" t="s">
        <v>12</v>
      </c>
      <c r="K6104" s="2" t="s">
        <v>8448</v>
      </c>
      <c r="L6104" s="2">
        <f t="shared" si="95"/>
        <v>150</v>
      </c>
    </row>
    <row r="6105" spans="1:12" ht="25" customHeight="1">
      <c r="A6105" s="2" t="s">
        <v>12</v>
      </c>
      <c r="B6105" s="2" t="str">
        <f>HYPERLINK("http://m.12365auto.com/news/20200218/418869.shtml","轻点手机 未来用户可随意更改车辆颜色")</f>
        <v>轻点手机 未来用户可随意更改车辆颜色</v>
      </c>
      <c r="C6105" s="2" t="s">
        <v>13</v>
      </c>
      <c r="D6105" s="2" t="s">
        <v>12</v>
      </c>
      <c r="E6105" s="2"/>
      <c r="F6105" s="2" t="str">
        <f>HYPERLINK("http://m.12365auto.com/news/20200218/418869.shtml","http://m.12365auto.com/news/20200218/418869.shtml")</f>
        <v>http://m.12365auto.com/news/20200218/418869.shtml</v>
      </c>
      <c r="G6105" s="2"/>
      <c r="H6105" s="2" t="s">
        <v>8449</v>
      </c>
      <c r="I6105" s="2" t="s">
        <v>19</v>
      </c>
      <c r="J6105" s="2" t="s">
        <v>1543</v>
      </c>
      <c r="K6105" s="2" t="s">
        <v>8448</v>
      </c>
      <c r="L6105" s="2">
        <f t="shared" si="95"/>
        <v>150</v>
      </c>
    </row>
    <row r="6106" spans="1:12" ht="25" customHeight="1">
      <c r="A6106" s="2" t="s">
        <v>12</v>
      </c>
      <c r="B6106" s="2" t="str">
        <f>HYPERLINK("http://www.12365auto.com/xcdg/20200218/418868.shtml","细节调整 新款奥迪Q2将于巴黎车展亮相")</f>
        <v>细节调整 新款奥迪Q2将于巴黎车展亮相</v>
      </c>
      <c r="C6106" s="2" t="s">
        <v>13</v>
      </c>
      <c r="D6106" s="2" t="s">
        <v>12</v>
      </c>
      <c r="E6106" s="2" t="s">
        <v>224</v>
      </c>
      <c r="F6106" s="2" t="str">
        <f>HYPERLINK("http://www.12365auto.com/xcdg/20200218/418868.shtml","http://www.12365auto.com/xcdg/20200218/418868.shtml")</f>
        <v>http://www.12365auto.com/xcdg/20200218/418868.shtml</v>
      </c>
      <c r="G6106" s="2"/>
      <c r="H6106" s="2" t="s">
        <v>8450</v>
      </c>
      <c r="I6106" s="2" t="s">
        <v>15</v>
      </c>
      <c r="J6106" s="2" t="s">
        <v>12</v>
      </c>
      <c r="K6106" s="2" t="s">
        <v>8451</v>
      </c>
      <c r="L6106" s="2">
        <f t="shared" si="95"/>
        <v>150</v>
      </c>
    </row>
    <row r="6107" spans="1:12" ht="25" customHeight="1">
      <c r="A6107" s="2" t="s">
        <v>12</v>
      </c>
      <c r="B6107" s="2" t="str">
        <f>HYPERLINK("http://m.12365auto.com/xcdg/20200218/418868.shtml","细节调整 新款奥迪Q2将于巴黎车展亮相")</f>
        <v>细节调整 新款奥迪Q2将于巴黎车展亮相</v>
      </c>
      <c r="C6107" s="2" t="s">
        <v>13</v>
      </c>
      <c r="D6107" s="2" t="s">
        <v>12</v>
      </c>
      <c r="E6107" s="2"/>
      <c r="F6107" s="2" t="str">
        <f>HYPERLINK("http://m.12365auto.com/xcdg/20200218/418868.shtml","http://m.12365auto.com/xcdg/20200218/418868.shtml")</f>
        <v>http://m.12365auto.com/xcdg/20200218/418868.shtml</v>
      </c>
      <c r="G6107" s="2"/>
      <c r="H6107" s="2" t="s">
        <v>8452</v>
      </c>
      <c r="I6107" s="2" t="s">
        <v>19</v>
      </c>
      <c r="J6107" s="2" t="s">
        <v>317</v>
      </c>
      <c r="K6107" s="2" t="s">
        <v>8451</v>
      </c>
      <c r="L6107" s="2">
        <f t="shared" si="95"/>
        <v>150</v>
      </c>
    </row>
    <row r="6108" spans="1:12" ht="25" customHeight="1">
      <c r="A6108" s="2" t="s">
        <v>12</v>
      </c>
      <c r="B6108" s="2" t="str">
        <f>HYPERLINK("http://www.12365auto.com/xcdg/20200218/418867.shtml","全新福克斯RS 或将搭载插电混动系统")</f>
        <v>全新福克斯RS 或将搭载插电混动系统</v>
      </c>
      <c r="C6108" s="2" t="s">
        <v>13</v>
      </c>
      <c r="D6108" s="2" t="s">
        <v>12</v>
      </c>
      <c r="E6108" s="2" t="s">
        <v>216</v>
      </c>
      <c r="F6108" s="2" t="str">
        <f>HYPERLINK("http://www.12365auto.com/xcdg/20200218/418867.shtml","http://www.12365auto.com/xcdg/20200218/418867.shtml")</f>
        <v>http://www.12365auto.com/xcdg/20200218/418867.shtml</v>
      </c>
      <c r="G6108" s="2"/>
      <c r="H6108" s="2" t="s">
        <v>8453</v>
      </c>
      <c r="I6108" s="2" t="s">
        <v>15</v>
      </c>
      <c r="J6108" s="2" t="s">
        <v>12</v>
      </c>
      <c r="K6108" s="2" t="s">
        <v>8454</v>
      </c>
      <c r="L6108" s="2">
        <f t="shared" si="95"/>
        <v>150</v>
      </c>
    </row>
    <row r="6109" spans="1:12" ht="25" customHeight="1">
      <c r="A6109" s="2" t="s">
        <v>12</v>
      </c>
      <c r="B6109" s="2" t="str">
        <f>HYPERLINK("http://m.12365auto.com/xcdg/20200218/418867.shtml","全新福克斯RS 或将搭载插电混动系统")</f>
        <v>全新福克斯RS 或将搭载插电混动系统</v>
      </c>
      <c r="C6109" s="2" t="s">
        <v>13</v>
      </c>
      <c r="D6109" s="2" t="s">
        <v>12</v>
      </c>
      <c r="E6109" s="2"/>
      <c r="F6109" s="2" t="str">
        <f>HYPERLINK("http://m.12365auto.com/xcdg/20200218/418867.shtml","http://m.12365auto.com/xcdg/20200218/418867.shtml")</f>
        <v>http://m.12365auto.com/xcdg/20200218/418867.shtml</v>
      </c>
      <c r="G6109" s="2"/>
      <c r="H6109" s="2" t="s">
        <v>8455</v>
      </c>
      <c r="I6109" s="2" t="s">
        <v>19</v>
      </c>
      <c r="J6109" s="2" t="s">
        <v>332</v>
      </c>
      <c r="K6109" s="2" t="s">
        <v>8454</v>
      </c>
      <c r="L6109" s="2">
        <f t="shared" si="95"/>
        <v>150</v>
      </c>
    </row>
    <row r="6110" spans="1:12" ht="25" customHeight="1">
      <c r="A6110" s="2" t="s">
        <v>12</v>
      </c>
      <c r="B6110" s="2" t="str">
        <f>HYPERLINK("http://www.12365auto.com/parts/20200218/418866.shtml","加入固定式扰流板 保时捷发布911新套件")</f>
        <v>加入固定式扰流板 保时捷发布911新套件</v>
      </c>
      <c r="C6110" s="2" t="s">
        <v>13</v>
      </c>
      <c r="D6110" s="2" t="s">
        <v>12</v>
      </c>
      <c r="E6110" s="2" t="s">
        <v>240</v>
      </c>
      <c r="F6110" s="2" t="str">
        <f>HYPERLINK("http://www.12365auto.com/parts/20200218/418866.shtml","http://www.12365auto.com/parts/20200218/418866.shtml")</f>
        <v>http://www.12365auto.com/parts/20200218/418866.shtml</v>
      </c>
      <c r="G6110" s="2"/>
      <c r="H6110" s="2" t="s">
        <v>8456</v>
      </c>
      <c r="I6110" s="2" t="s">
        <v>15</v>
      </c>
      <c r="J6110" s="2" t="s">
        <v>12</v>
      </c>
      <c r="K6110" s="2" t="s">
        <v>8457</v>
      </c>
      <c r="L6110" s="2">
        <f t="shared" si="95"/>
        <v>150</v>
      </c>
    </row>
    <row r="6111" spans="1:12" ht="25" customHeight="1">
      <c r="A6111" s="2" t="s">
        <v>12</v>
      </c>
      <c r="B6111" s="2" t="str">
        <f>HYPERLINK("http://m.12365auto.com/parts/20200218/418866.shtml","加入固定式扰流板 保时捷发布911新套件")</f>
        <v>加入固定式扰流板 保时捷发布911新套件</v>
      </c>
      <c r="C6111" s="2" t="s">
        <v>13</v>
      </c>
      <c r="D6111" s="2" t="s">
        <v>12</v>
      </c>
      <c r="E6111" s="2"/>
      <c r="F6111" s="2" t="str">
        <f>HYPERLINK("http://m.12365auto.com/parts/20200218/418866.shtml","http://m.12365auto.com/parts/20200218/418866.shtml")</f>
        <v>http://m.12365auto.com/parts/20200218/418866.shtml</v>
      </c>
      <c r="G6111" s="2"/>
      <c r="H6111" s="2" t="s">
        <v>8458</v>
      </c>
      <c r="I6111" s="2" t="s">
        <v>19</v>
      </c>
      <c r="J6111" s="2" t="s">
        <v>295</v>
      </c>
      <c r="K6111" s="2" t="s">
        <v>8457</v>
      </c>
      <c r="L6111" s="2">
        <f t="shared" si="95"/>
        <v>150</v>
      </c>
    </row>
    <row r="6112" spans="1:12" ht="25" customHeight="1">
      <c r="A6112" s="2" t="s">
        <v>12</v>
      </c>
      <c r="B6112" s="2" t="str">
        <f>HYPERLINK("http://www.12365auto.com/xcdg/20200218/418865.shtml","限量25台 奥迪RS 4 Avant特别版官图")</f>
        <v>限量25台 奥迪RS 4 Avant特别版官图</v>
      </c>
      <c r="C6112" s="2" t="s">
        <v>13</v>
      </c>
      <c r="D6112" s="2" t="s">
        <v>12</v>
      </c>
      <c r="E6112" s="2" t="s">
        <v>216</v>
      </c>
      <c r="F6112" s="2" t="str">
        <f>HYPERLINK("http://www.12365auto.com/xcdg/20200218/418865.shtml","http://www.12365auto.com/xcdg/20200218/418865.shtml")</f>
        <v>http://www.12365auto.com/xcdg/20200218/418865.shtml</v>
      </c>
      <c r="G6112" s="2"/>
      <c r="H6112" s="2" t="s">
        <v>8459</v>
      </c>
      <c r="I6112" s="2" t="s">
        <v>15</v>
      </c>
      <c r="J6112" s="2" t="s">
        <v>12</v>
      </c>
      <c r="K6112" s="2" t="s">
        <v>8460</v>
      </c>
      <c r="L6112" s="2">
        <f t="shared" si="95"/>
        <v>150</v>
      </c>
    </row>
    <row r="6113" spans="1:12" ht="25" customHeight="1">
      <c r="A6113" s="2" t="s">
        <v>12</v>
      </c>
      <c r="B6113" s="2" t="str">
        <f>HYPERLINK("http://m.12365auto.com/xcdg/20200218/418865.shtml","限量25台 奥迪RS 4 Avant特别版官图")</f>
        <v>限量25台 奥迪RS 4 Avant特别版官图</v>
      </c>
      <c r="C6113" s="2" t="s">
        <v>13</v>
      </c>
      <c r="D6113" s="2" t="s">
        <v>12</v>
      </c>
      <c r="E6113" s="2"/>
      <c r="F6113" s="2" t="str">
        <f>HYPERLINK("http://m.12365auto.com/xcdg/20200218/418865.shtml","http://m.12365auto.com/xcdg/20200218/418865.shtml")</f>
        <v>http://m.12365auto.com/xcdg/20200218/418865.shtml</v>
      </c>
      <c r="G6113" s="2"/>
      <c r="H6113" s="2" t="s">
        <v>8461</v>
      </c>
      <c r="I6113" s="2" t="s">
        <v>19</v>
      </c>
      <c r="J6113" s="2" t="s">
        <v>295</v>
      </c>
      <c r="K6113" s="2" t="s">
        <v>8460</v>
      </c>
      <c r="L6113" s="2">
        <f t="shared" si="95"/>
        <v>150</v>
      </c>
    </row>
    <row r="6114" spans="1:12" ht="25" customHeight="1">
      <c r="A6114" s="2" t="s">
        <v>12</v>
      </c>
      <c r="B6114" s="2" t="str">
        <f>HYPERLINK("http://m.12365auto.com/xcdg/20200218/418864.shtml","本田Jazz Type R渲染图 外观造型更运动")</f>
        <v>本田Jazz Type R渲染图 外观造型更运动</v>
      </c>
      <c r="C6114" s="2" t="s">
        <v>13</v>
      </c>
      <c r="D6114" s="2" t="s">
        <v>12</v>
      </c>
      <c r="E6114" s="2"/>
      <c r="F6114" s="2" t="str">
        <f>HYPERLINK("http://m.12365auto.com/xcdg/20200218/418864.shtml","http://m.12365auto.com/xcdg/20200218/418864.shtml")</f>
        <v>http://m.12365auto.com/xcdg/20200218/418864.shtml</v>
      </c>
      <c r="G6114" s="2"/>
      <c r="H6114" s="2" t="s">
        <v>8462</v>
      </c>
      <c r="I6114" s="2" t="s">
        <v>19</v>
      </c>
      <c r="J6114" s="2" t="s">
        <v>220</v>
      </c>
      <c r="K6114" s="2" t="s">
        <v>8463</v>
      </c>
      <c r="L6114" s="2">
        <f t="shared" si="95"/>
        <v>150</v>
      </c>
    </row>
    <row r="6115" spans="1:12" ht="25" customHeight="1">
      <c r="A6115" s="2" t="s">
        <v>12</v>
      </c>
      <c r="B6115" s="2" t="str">
        <f>HYPERLINK("http://www.12365auto.com/xcdg/20200218/418864.shtml","本田Jazz Type R渲染图 外观造型更运动")</f>
        <v>本田Jazz Type R渲染图 外观造型更运动</v>
      </c>
      <c r="C6115" s="2" t="s">
        <v>13</v>
      </c>
      <c r="D6115" s="2" t="s">
        <v>12</v>
      </c>
      <c r="E6115" s="2" t="s">
        <v>216</v>
      </c>
      <c r="F6115" s="2" t="str">
        <f>HYPERLINK("http://www.12365auto.com/xcdg/20200218/418864.shtml","http://www.12365auto.com/xcdg/20200218/418864.shtml")</f>
        <v>http://www.12365auto.com/xcdg/20200218/418864.shtml</v>
      </c>
      <c r="G6115" s="2"/>
      <c r="H6115" s="2" t="s">
        <v>8464</v>
      </c>
      <c r="I6115" s="2" t="s">
        <v>15</v>
      </c>
      <c r="J6115" s="2" t="s">
        <v>12</v>
      </c>
      <c r="K6115" s="2" t="s">
        <v>8463</v>
      </c>
      <c r="L6115" s="2">
        <f t="shared" si="95"/>
        <v>150</v>
      </c>
    </row>
    <row r="6116" spans="1:12" ht="25" customHeight="1">
      <c r="A6116" s="2" t="s">
        <v>12</v>
      </c>
      <c r="B6116" s="2" t="str">
        <f>HYPERLINK("http://m.12365auto.com/xcdg/20200218/418863.shtml","克莱斯勒新款300C售价曝光 年内交付")</f>
        <v>克莱斯勒新款300C售价曝光 年内交付</v>
      </c>
      <c r="C6116" s="2" t="s">
        <v>13</v>
      </c>
      <c r="D6116" s="2" t="s">
        <v>12</v>
      </c>
      <c r="E6116" s="2"/>
      <c r="F6116" s="2" t="str">
        <f>HYPERLINK("http://m.12365auto.com/xcdg/20200218/418863.shtml","http://m.12365auto.com/xcdg/20200218/418863.shtml")</f>
        <v>http://m.12365auto.com/xcdg/20200218/418863.shtml</v>
      </c>
      <c r="G6116" s="2"/>
      <c r="H6116" s="2" t="s">
        <v>8465</v>
      </c>
      <c r="I6116" s="2" t="s">
        <v>19</v>
      </c>
      <c r="J6116" s="2" t="s">
        <v>220</v>
      </c>
      <c r="K6116" s="2" t="s">
        <v>8466</v>
      </c>
      <c r="L6116" s="2">
        <f t="shared" si="95"/>
        <v>150</v>
      </c>
    </row>
    <row r="6117" spans="1:12" ht="25" customHeight="1">
      <c r="A6117" s="2" t="s">
        <v>12</v>
      </c>
      <c r="B6117" s="2" t="str">
        <f>HYPERLINK("http://www.12365auto.com/xcdg/20200218/418863.shtml","克莱斯勒新款300C售价曝光 年内交付")</f>
        <v>克莱斯勒新款300C售价曝光 年内交付</v>
      </c>
      <c r="C6117" s="2" t="s">
        <v>13</v>
      </c>
      <c r="D6117" s="2" t="s">
        <v>12</v>
      </c>
      <c r="E6117" s="2" t="s">
        <v>216</v>
      </c>
      <c r="F6117" s="2" t="str">
        <f>HYPERLINK("http://www.12365auto.com/xcdg/20200218/418863.shtml","http://www.12365auto.com/xcdg/20200218/418863.shtml")</f>
        <v>http://www.12365auto.com/xcdg/20200218/418863.shtml</v>
      </c>
      <c r="G6117" s="2"/>
      <c r="H6117" s="2" t="s">
        <v>8467</v>
      </c>
      <c r="I6117" s="2" t="s">
        <v>15</v>
      </c>
      <c r="J6117" s="2" t="s">
        <v>12</v>
      </c>
      <c r="K6117" s="2" t="s">
        <v>8466</v>
      </c>
      <c r="L6117" s="2">
        <f t="shared" si="95"/>
        <v>150</v>
      </c>
    </row>
    <row r="6118" spans="1:12" ht="25" customHeight="1">
      <c r="A6118" s="2" t="s">
        <v>12</v>
      </c>
      <c r="B6118" s="2" t="str">
        <f>HYPERLINK("http://m.12365auto.com/xcdg/20200218/418862.shtml","奇瑞全新瑞虎7 3月9日上市预售8.69万起")</f>
        <v>奇瑞全新瑞虎7 3月9日上市预售8.69万起</v>
      </c>
      <c r="C6118" s="2" t="s">
        <v>13</v>
      </c>
      <c r="D6118" s="2" t="s">
        <v>12</v>
      </c>
      <c r="E6118" s="2"/>
      <c r="F6118" s="2" t="str">
        <f>HYPERLINK("http://m.12365auto.com/xcdg/20200218/418862.shtml","http://m.12365auto.com/xcdg/20200218/418862.shtml")</f>
        <v>http://m.12365auto.com/xcdg/20200218/418862.shtml</v>
      </c>
      <c r="G6118" s="2"/>
      <c r="H6118" s="2" t="s">
        <v>8468</v>
      </c>
      <c r="I6118" s="2" t="s">
        <v>19</v>
      </c>
      <c r="J6118" s="2" t="s">
        <v>3053</v>
      </c>
      <c r="K6118" s="2" t="s">
        <v>8469</v>
      </c>
      <c r="L6118" s="2">
        <f t="shared" si="95"/>
        <v>150</v>
      </c>
    </row>
    <row r="6119" spans="1:12" ht="25" customHeight="1">
      <c r="A6119" s="2" t="s">
        <v>12</v>
      </c>
      <c r="B6119" s="2" t="str">
        <f>HYPERLINK("http://www.12365auto.com/xcdg/20200218/418862.shtml","奇瑞全新瑞虎7 3月9日上市预售8.69万起")</f>
        <v>奇瑞全新瑞虎7 3月9日上市预售8.69万起</v>
      </c>
      <c r="C6119" s="2" t="s">
        <v>13</v>
      </c>
      <c r="D6119" s="2" t="s">
        <v>12</v>
      </c>
      <c r="E6119" s="2" t="s">
        <v>216</v>
      </c>
      <c r="F6119" s="2" t="str">
        <f>HYPERLINK("http://www.12365auto.com/xcdg/20200218/418862.shtml","http://www.12365auto.com/xcdg/20200218/418862.shtml")</f>
        <v>http://www.12365auto.com/xcdg/20200218/418862.shtml</v>
      </c>
      <c r="G6119" s="2"/>
      <c r="H6119" s="2" t="s">
        <v>8470</v>
      </c>
      <c r="I6119" s="2" t="s">
        <v>15</v>
      </c>
      <c r="J6119" s="2" t="s">
        <v>12</v>
      </c>
      <c r="K6119" s="2" t="s">
        <v>8469</v>
      </c>
      <c r="L6119" s="2">
        <f t="shared" si="95"/>
        <v>150</v>
      </c>
    </row>
    <row r="6120" spans="1:12" ht="25" customHeight="1">
      <c r="A6120" s="2" t="s">
        <v>12</v>
      </c>
      <c r="B6120" s="2" t="str">
        <f>HYPERLINK("http://www.12365auto.com/zlts/20200218/447617.shtml","华晨宝马X1刹车片异常磨损刹车分泵回位异常")</f>
        <v>华晨宝马X1刹车片异常磨损刹车分泵回位异常</v>
      </c>
      <c r="C6120" s="2" t="s">
        <v>13</v>
      </c>
      <c r="D6120" s="2" t="s">
        <v>12</v>
      </c>
      <c r="E6120" s="2" t="s">
        <v>17</v>
      </c>
      <c r="F6120" s="2" t="str">
        <f>HYPERLINK("http://www.12365auto.com/zlts/20200218/447617.shtml","http://www.12365auto.com/zlts/20200218/447617.shtml")</f>
        <v>http://www.12365auto.com/zlts/20200218/447617.shtml</v>
      </c>
      <c r="G6120" s="2"/>
      <c r="H6120" s="2" t="s">
        <v>8471</v>
      </c>
      <c r="I6120" s="2" t="s">
        <v>19</v>
      </c>
      <c r="J6120" s="2" t="s">
        <v>12</v>
      </c>
      <c r="K6120" s="2" t="s">
        <v>8469</v>
      </c>
      <c r="L6120" s="2">
        <f t="shared" si="95"/>
        <v>150</v>
      </c>
    </row>
    <row r="6121" spans="1:12" ht="25" customHeight="1">
      <c r="A6121" s="2" t="s">
        <v>12</v>
      </c>
      <c r="B6121" s="2" t="str">
        <f>HYPERLINK("http://www.12365auto.com/zlts/20200218/447607.shtml","转向卡滞影响安全多次更换转向柱问题没解决")</f>
        <v>转向卡滞影响安全多次更换转向柱问题没解决</v>
      </c>
      <c r="C6121" s="2" t="s">
        <v>13</v>
      </c>
      <c r="D6121" s="2" t="s">
        <v>12</v>
      </c>
      <c r="E6121" s="2"/>
      <c r="F6121" s="2" t="str">
        <f>HYPERLINK("http://www.12365auto.com/zlts/20200218/447607.shtml","http://www.12365auto.com/zlts/20200218/447607.shtml")</f>
        <v>http://www.12365auto.com/zlts/20200218/447607.shtml</v>
      </c>
      <c r="G6121" s="2"/>
      <c r="H6121" s="2" t="s">
        <v>8473</v>
      </c>
      <c r="I6121" s="2" t="s">
        <v>15</v>
      </c>
      <c r="J6121" s="2" t="s">
        <v>12</v>
      </c>
      <c r="K6121" s="2" t="s">
        <v>8472</v>
      </c>
      <c r="L6121" s="2">
        <f t="shared" si="95"/>
        <v>83</v>
      </c>
    </row>
    <row r="6122" spans="1:12" ht="25" customHeight="1">
      <c r="A6122" s="2" t="s">
        <v>12</v>
      </c>
      <c r="B6122" s="2" t="str">
        <f>HYPERLINK("http://m.12365auto.com/xcdg/20200218/418861.shtml","福特Ranger Raptor皮卡将搭载V8发动机")</f>
        <v>福特Ranger Raptor皮卡将搭载V8发动机</v>
      </c>
      <c r="C6122" s="2" t="s">
        <v>13</v>
      </c>
      <c r="D6122" s="2" t="s">
        <v>12</v>
      </c>
      <c r="E6122" s="2"/>
      <c r="F6122" s="2" t="str">
        <f>HYPERLINK("http://m.12365auto.com/xcdg/20200218/418861.shtml","http://m.12365auto.com/xcdg/20200218/418861.shtml")</f>
        <v>http://m.12365auto.com/xcdg/20200218/418861.shtml</v>
      </c>
      <c r="G6122" s="2"/>
      <c r="H6122" s="2" t="s">
        <v>8474</v>
      </c>
      <c r="I6122" s="2" t="s">
        <v>19</v>
      </c>
      <c r="J6122" s="2" t="s">
        <v>249</v>
      </c>
      <c r="K6122" s="2" t="s">
        <v>8475</v>
      </c>
      <c r="L6122" s="2">
        <f t="shared" si="95"/>
        <v>150</v>
      </c>
    </row>
    <row r="6123" spans="1:12" ht="25" customHeight="1">
      <c r="A6123" s="2" t="s">
        <v>12</v>
      </c>
      <c r="B6123" s="2" t="str">
        <f>HYPERLINK("http://m.12365auto.com/xcdg/20200218/418860.shtml","路虎全新揽胜运动版谍照 提供多种动力")</f>
        <v>路虎全新揽胜运动版谍照 提供多种动力</v>
      </c>
      <c r="C6123" s="2" t="s">
        <v>13</v>
      </c>
      <c r="D6123" s="2" t="s">
        <v>12</v>
      </c>
      <c r="E6123" s="2"/>
      <c r="F6123" s="2" t="str">
        <f>HYPERLINK("http://m.12365auto.com/xcdg/20200218/418860.shtml","http://m.12365auto.com/xcdg/20200218/418860.shtml")</f>
        <v>http://m.12365auto.com/xcdg/20200218/418860.shtml</v>
      </c>
      <c r="G6123" s="2"/>
      <c r="H6123" s="2" t="s">
        <v>8476</v>
      </c>
      <c r="I6123" s="2" t="s">
        <v>19</v>
      </c>
      <c r="J6123" s="2" t="s">
        <v>220</v>
      </c>
      <c r="K6123" s="2" t="s">
        <v>8475</v>
      </c>
      <c r="L6123" s="2">
        <f t="shared" si="95"/>
        <v>150</v>
      </c>
    </row>
    <row r="6124" spans="1:12" ht="25" customHeight="1">
      <c r="A6124" s="2" t="s">
        <v>12</v>
      </c>
      <c r="B6124" s="2" t="str">
        <f>HYPERLINK("http://www.12365auto.com/xcdg/20200218/418861.shtml","福特Ranger Raptor皮卡将搭载V8发动机")</f>
        <v>福特Ranger Raptor皮卡将搭载V8发动机</v>
      </c>
      <c r="C6124" s="2" t="s">
        <v>13</v>
      </c>
      <c r="D6124" s="2" t="s">
        <v>12</v>
      </c>
      <c r="E6124" s="2" t="s">
        <v>216</v>
      </c>
      <c r="F6124" s="2" t="str">
        <f>HYPERLINK("http://www.12365auto.com/xcdg/20200218/418861.shtml","http://www.12365auto.com/xcdg/20200218/418861.shtml")</f>
        <v>http://www.12365auto.com/xcdg/20200218/418861.shtml</v>
      </c>
      <c r="G6124" s="2"/>
      <c r="H6124" s="2" t="s">
        <v>8477</v>
      </c>
      <c r="I6124" s="2" t="s">
        <v>15</v>
      </c>
      <c r="J6124" s="2" t="s">
        <v>12</v>
      </c>
      <c r="K6124" s="2" t="s">
        <v>8475</v>
      </c>
      <c r="L6124" s="2">
        <f t="shared" si="95"/>
        <v>150</v>
      </c>
    </row>
    <row r="6125" spans="1:12" ht="25" customHeight="1">
      <c r="A6125" s="2" t="s">
        <v>12</v>
      </c>
      <c r="B6125" s="2" t="str">
        <f>HYPERLINK("http://www.12365auto.com/xcdg/20200218/418860.shtml","路虎全新揽胜运动版谍照 提供多种动力")</f>
        <v>路虎全新揽胜运动版谍照 提供多种动力</v>
      </c>
      <c r="C6125" s="2" t="s">
        <v>13</v>
      </c>
      <c r="D6125" s="2" t="s">
        <v>12</v>
      </c>
      <c r="E6125" s="2" t="s">
        <v>224</v>
      </c>
      <c r="F6125" s="2" t="str">
        <f>HYPERLINK("http://www.12365auto.com/xcdg/20200218/418860.shtml","http://www.12365auto.com/xcdg/20200218/418860.shtml")</f>
        <v>http://www.12365auto.com/xcdg/20200218/418860.shtml</v>
      </c>
      <c r="G6125" s="2"/>
      <c r="H6125" s="2" t="s">
        <v>8478</v>
      </c>
      <c r="I6125" s="2" t="s">
        <v>15</v>
      </c>
      <c r="J6125" s="2" t="s">
        <v>12</v>
      </c>
      <c r="K6125" s="2" t="s">
        <v>8475</v>
      </c>
      <c r="L6125" s="2">
        <f t="shared" si="95"/>
        <v>150</v>
      </c>
    </row>
    <row r="6126" spans="1:12" ht="25" customHeight="1">
      <c r="A6126" s="2" t="s">
        <v>12</v>
      </c>
      <c r="B6126" s="2" t="str">
        <f>HYPERLINK("http://www.12365auto.com/xcdg/20200218/418859.shtml","专注SUV 阿尔法·罗密欧Giulietta或停产")</f>
        <v>专注SUV 阿尔法·罗密欧Giulietta或停产</v>
      </c>
      <c r="C6126" s="2" t="s">
        <v>13</v>
      </c>
      <c r="D6126" s="2" t="s">
        <v>12</v>
      </c>
      <c r="E6126" s="2" t="s">
        <v>216</v>
      </c>
      <c r="F6126" s="2" t="str">
        <f>HYPERLINK("http://www.12365auto.com/xcdg/20200218/418859.shtml","http://www.12365auto.com/xcdg/20200218/418859.shtml")</f>
        <v>http://www.12365auto.com/xcdg/20200218/418859.shtml</v>
      </c>
      <c r="G6126" s="2"/>
      <c r="H6126" s="2" t="s">
        <v>8479</v>
      </c>
      <c r="I6126" s="2" t="s">
        <v>15</v>
      </c>
      <c r="J6126" s="2" t="s">
        <v>12</v>
      </c>
      <c r="K6126" s="2" t="s">
        <v>8480</v>
      </c>
      <c r="L6126" s="2">
        <f t="shared" si="95"/>
        <v>150</v>
      </c>
    </row>
    <row r="6127" spans="1:12" ht="25" customHeight="1">
      <c r="A6127" s="2" t="s">
        <v>12</v>
      </c>
      <c r="B6127" s="2" t="str">
        <f>HYPERLINK("http://m.12365auto.com/xcdg/20200218/418859.shtml","专注SUV 阿尔法·罗密欧Giulietta或停产")</f>
        <v>专注SUV 阿尔法·罗密欧Giulietta或停产</v>
      </c>
      <c r="C6127" s="2" t="s">
        <v>13</v>
      </c>
      <c r="D6127" s="2" t="s">
        <v>12</v>
      </c>
      <c r="E6127" s="2"/>
      <c r="F6127" s="2" t="str">
        <f>HYPERLINK("http://m.12365auto.com/xcdg/20200218/418859.shtml","http://m.12365auto.com/xcdg/20200218/418859.shtml")</f>
        <v>http://m.12365auto.com/xcdg/20200218/418859.shtml</v>
      </c>
      <c r="G6127" s="2"/>
      <c r="H6127" s="2" t="s">
        <v>8481</v>
      </c>
      <c r="I6127" s="2" t="s">
        <v>19</v>
      </c>
      <c r="J6127" s="2" t="s">
        <v>1069</v>
      </c>
      <c r="K6127" s="2" t="s">
        <v>8480</v>
      </c>
      <c r="L6127" s="2">
        <f t="shared" si="95"/>
        <v>150</v>
      </c>
    </row>
    <row r="6128" spans="1:12" ht="25" customHeight="1">
      <c r="A6128" s="2" t="s">
        <v>12</v>
      </c>
      <c r="B6128" s="2" t="str">
        <f>HYPERLINK("http://www.12365auto.com/news/20200218/418858.shtml","下月免费提供 长安推首创防疫“黑科技”")</f>
        <v>下月免费提供 长安推首创防疫“黑科技”</v>
      </c>
      <c r="C6128" s="2" t="s">
        <v>13</v>
      </c>
      <c r="D6128" s="2" t="s">
        <v>12</v>
      </c>
      <c r="E6128" s="2" t="s">
        <v>276</v>
      </c>
      <c r="F6128" s="2" t="str">
        <f>HYPERLINK("http://www.12365auto.com/news/20200218/418858.shtml","http://www.12365auto.com/news/20200218/418858.shtml")</f>
        <v>http://www.12365auto.com/news/20200218/418858.shtml</v>
      </c>
      <c r="G6128" s="2"/>
      <c r="H6128" s="2" t="s">
        <v>8482</v>
      </c>
      <c r="I6128" s="2" t="s">
        <v>15</v>
      </c>
      <c r="J6128" s="2" t="s">
        <v>12</v>
      </c>
      <c r="K6128" s="2" t="s">
        <v>8483</v>
      </c>
      <c r="L6128" s="2">
        <f t="shared" si="95"/>
        <v>150</v>
      </c>
    </row>
    <row r="6129" spans="1:12" ht="25" customHeight="1">
      <c r="A6129" s="2" t="s">
        <v>12</v>
      </c>
      <c r="B6129" s="2" t="str">
        <f>HYPERLINK("http://m.12365auto.com/news/20200218/418858.shtml","下月免费提供 长安推首创防疫“黑科技”")</f>
        <v>下月免费提供 长安推首创防疫“黑科技”</v>
      </c>
      <c r="C6129" s="2" t="s">
        <v>13</v>
      </c>
      <c r="D6129" s="2" t="s">
        <v>12</v>
      </c>
      <c r="E6129" s="2"/>
      <c r="F6129" s="2" t="str">
        <f>HYPERLINK("http://m.12365auto.com/news/20200218/418858.shtml","http://m.12365auto.com/news/20200218/418858.shtml")</f>
        <v>http://m.12365auto.com/news/20200218/418858.shtml</v>
      </c>
      <c r="G6129" s="2"/>
      <c r="H6129" s="2" t="s">
        <v>8484</v>
      </c>
      <c r="I6129" s="2" t="s">
        <v>19</v>
      </c>
      <c r="J6129" s="2" t="s">
        <v>1619</v>
      </c>
      <c r="K6129" s="2" t="s">
        <v>8483</v>
      </c>
      <c r="L6129" s="2">
        <f t="shared" si="95"/>
        <v>150</v>
      </c>
    </row>
    <row r="6130" spans="1:12" ht="25" customHeight="1">
      <c r="A6130" s="2" t="s">
        <v>12</v>
      </c>
      <c r="B6130" s="2" t="str">
        <f>HYPERLINK("http://www.12365auto.com/zlts/20200218/447615.shtml","奇瑞艾瑞泽5后备箱以及引擎盖多处生锈")</f>
        <v>奇瑞艾瑞泽5后备箱以及引擎盖多处生锈</v>
      </c>
      <c r="C6130" s="2" t="s">
        <v>13</v>
      </c>
      <c r="D6130" s="2" t="s">
        <v>12</v>
      </c>
      <c r="E6130" s="2" t="s">
        <v>17</v>
      </c>
      <c r="F6130" s="2" t="str">
        <f>HYPERLINK("http://www.12365auto.com/zlts/20200218/447615.shtml","http://www.12365auto.com/zlts/20200218/447615.shtml")</f>
        <v>http://www.12365auto.com/zlts/20200218/447615.shtml</v>
      </c>
      <c r="G6130" s="2"/>
      <c r="H6130" s="2" t="s">
        <v>8485</v>
      </c>
      <c r="I6130" s="2" t="s">
        <v>19</v>
      </c>
      <c r="J6130" s="2" t="s">
        <v>12</v>
      </c>
      <c r="K6130" s="2" t="s">
        <v>8486</v>
      </c>
      <c r="L6130" s="2">
        <f t="shared" si="95"/>
        <v>150</v>
      </c>
    </row>
    <row r="6131" spans="1:12" ht="25" customHeight="1">
      <c r="A6131" s="2" t="s">
        <v>12</v>
      </c>
      <c r="B6131" s="2" t="str">
        <f>HYPERLINK("http://www.12365auto.com/xcdg/20200218/418857.shtml","丰田计划在北美推GR新车 或基于C-HR打造")</f>
        <v>丰田计划在北美推GR新车 或基于C-HR打造</v>
      </c>
      <c r="C6131" s="2" t="s">
        <v>13</v>
      </c>
      <c r="D6131" s="2" t="s">
        <v>12</v>
      </c>
      <c r="E6131" s="2" t="s">
        <v>216</v>
      </c>
      <c r="F6131" s="2" t="str">
        <f>HYPERLINK("http://www.12365auto.com/xcdg/20200218/418857.shtml","http://www.12365auto.com/xcdg/20200218/418857.shtml")</f>
        <v>http://www.12365auto.com/xcdg/20200218/418857.shtml</v>
      </c>
      <c r="G6131" s="2"/>
      <c r="H6131" s="2" t="s">
        <v>8487</v>
      </c>
      <c r="I6131" s="2" t="s">
        <v>15</v>
      </c>
      <c r="J6131" s="2" t="s">
        <v>12</v>
      </c>
      <c r="K6131" s="2" t="s">
        <v>8488</v>
      </c>
      <c r="L6131" s="2">
        <f t="shared" si="95"/>
        <v>150</v>
      </c>
    </row>
    <row r="6132" spans="1:12" ht="25" customHeight="1">
      <c r="A6132" s="2" t="s">
        <v>12</v>
      </c>
      <c r="B6132" s="2" t="str">
        <f>HYPERLINK("http://m.12365auto.com/xcdg/20200218/418857.shtml","丰田计划在北美推GR新车 或基于C-HR打造")</f>
        <v>丰田计划在北美推GR新车 或基于C-HR打造</v>
      </c>
      <c r="C6132" s="2" t="s">
        <v>13</v>
      </c>
      <c r="D6132" s="2" t="s">
        <v>12</v>
      </c>
      <c r="E6132" s="2"/>
      <c r="F6132" s="2" t="str">
        <f>HYPERLINK("http://m.12365auto.com/xcdg/20200218/418857.shtml","http://m.12365auto.com/xcdg/20200218/418857.shtml")</f>
        <v>http://m.12365auto.com/xcdg/20200218/418857.shtml</v>
      </c>
      <c r="G6132" s="2"/>
      <c r="H6132" s="2" t="s">
        <v>8489</v>
      </c>
      <c r="I6132" s="2" t="s">
        <v>19</v>
      </c>
      <c r="J6132" s="2" t="s">
        <v>2589</v>
      </c>
      <c r="K6132" s="2" t="s">
        <v>8488</v>
      </c>
      <c r="L6132" s="2">
        <f t="shared" si="95"/>
        <v>150</v>
      </c>
    </row>
    <row r="6133" spans="1:12" ht="25" customHeight="1">
      <c r="A6133" s="2" t="s">
        <v>12</v>
      </c>
      <c r="B6133" s="2" t="str">
        <f>HYPERLINK("http://www.12365auto.com/xcdg/20200218/418856.shtml","跟进全新设计语言 宝马6系GT中期改款谍照曝光")</f>
        <v>跟进全新设计语言 宝马6系GT中期改款谍照曝光</v>
      </c>
      <c r="C6133" s="2" t="s">
        <v>13</v>
      </c>
      <c r="D6133" s="2" t="s">
        <v>12</v>
      </c>
      <c r="E6133" s="2" t="s">
        <v>224</v>
      </c>
      <c r="F6133" s="2" t="str">
        <f>HYPERLINK("http://www.12365auto.com/xcdg/20200218/418856.shtml","http://www.12365auto.com/xcdg/20200218/418856.shtml")</f>
        <v>http://www.12365auto.com/xcdg/20200218/418856.shtml</v>
      </c>
      <c r="G6133" s="2"/>
      <c r="H6133" s="2" t="s">
        <v>8490</v>
      </c>
      <c r="I6133" s="2" t="s">
        <v>15</v>
      </c>
      <c r="J6133" s="2" t="s">
        <v>12</v>
      </c>
      <c r="K6133" s="2" t="s">
        <v>8491</v>
      </c>
      <c r="L6133" s="2">
        <f t="shared" si="95"/>
        <v>150</v>
      </c>
    </row>
    <row r="6134" spans="1:12" ht="25" customHeight="1">
      <c r="A6134" s="2" t="s">
        <v>12</v>
      </c>
      <c r="B6134" s="2" t="str">
        <f>HYPERLINK("http://m.12365auto.com/xcdg/20200218/418856.shtml","跟进全新设计语言 宝马6系GT中期改款谍照曝光")</f>
        <v>跟进全新设计语言 宝马6系GT中期改款谍照曝光</v>
      </c>
      <c r="C6134" s="2" t="s">
        <v>13</v>
      </c>
      <c r="D6134" s="2" t="s">
        <v>12</v>
      </c>
      <c r="E6134" s="2"/>
      <c r="F6134" s="2" t="str">
        <f>HYPERLINK("http://m.12365auto.com/xcdg/20200218/418856.shtml","http://m.12365auto.com/xcdg/20200218/418856.shtml")</f>
        <v>http://m.12365auto.com/xcdg/20200218/418856.shtml</v>
      </c>
      <c r="G6134" s="2"/>
      <c r="H6134" s="2" t="s">
        <v>8492</v>
      </c>
      <c r="I6134" s="2" t="s">
        <v>19</v>
      </c>
      <c r="J6134" s="2" t="s">
        <v>238</v>
      </c>
      <c r="K6134" s="2" t="s">
        <v>8491</v>
      </c>
      <c r="L6134" s="2">
        <f t="shared" si="95"/>
        <v>150</v>
      </c>
    </row>
    <row r="6135" spans="1:12" ht="25" customHeight="1">
      <c r="A6135" s="2" t="s">
        <v>12</v>
      </c>
      <c r="B6135" s="2" t="str">
        <f>HYPERLINK("http://m.12365auto.com/zjdy/20200218/121357.shtml","雪铁龙世嘉变速箱电磁阀的价格是多少？")</f>
        <v>雪铁龙世嘉变速箱电磁阀的价格是多少？</v>
      </c>
      <c r="C6135" s="2" t="s">
        <v>13</v>
      </c>
      <c r="D6135" s="2" t="s">
        <v>12</v>
      </c>
      <c r="E6135" s="2"/>
      <c r="F6135" s="2" t="str">
        <f>HYPERLINK("http://m.12365auto.com/zjdy/20200218/121357.shtml","http://m.12365auto.com/zjdy/20200218/121357.shtml")</f>
        <v>http://m.12365auto.com/zjdy/20200218/121357.shtml</v>
      </c>
      <c r="G6135" s="2"/>
      <c r="H6135" s="2" t="s">
        <v>8493</v>
      </c>
      <c r="I6135" s="2" t="s">
        <v>19</v>
      </c>
      <c r="J6135" s="2" t="s">
        <v>12</v>
      </c>
      <c r="K6135" s="2" t="s">
        <v>8494</v>
      </c>
      <c r="L6135" s="2">
        <f t="shared" si="95"/>
        <v>23</v>
      </c>
    </row>
    <row r="6136" spans="1:12" ht="25" customHeight="1">
      <c r="A6136" s="2" t="s">
        <v>12</v>
      </c>
      <c r="B6136" s="2" t="str">
        <f>HYPERLINK("http://www.12365auto.com/zlts/20200218/447614.shtml","众泰江南TT车辆年检OBD接口无法连接")</f>
        <v>众泰江南TT车辆年检OBD接口无法连接</v>
      </c>
      <c r="C6136" s="2" t="s">
        <v>13</v>
      </c>
      <c r="D6136" s="2" t="s">
        <v>12</v>
      </c>
      <c r="E6136" s="2" t="s">
        <v>17</v>
      </c>
      <c r="F6136" s="2" t="str">
        <f>HYPERLINK("http://www.12365auto.com/zlts/20200218/447614.shtml","http://www.12365auto.com/zlts/20200218/447614.shtml")</f>
        <v>http://www.12365auto.com/zlts/20200218/447614.shtml</v>
      </c>
      <c r="G6136" s="2"/>
      <c r="H6136" s="2" t="s">
        <v>8495</v>
      </c>
      <c r="I6136" s="2" t="s">
        <v>19</v>
      </c>
      <c r="J6136" s="2" t="s">
        <v>12</v>
      </c>
      <c r="K6136" s="2" t="s">
        <v>8496</v>
      </c>
      <c r="L6136" s="2">
        <f t="shared" si="95"/>
        <v>150</v>
      </c>
    </row>
    <row r="6137" spans="1:12" ht="25" customHeight="1">
      <c r="A6137" s="2" t="s">
        <v>12</v>
      </c>
      <c r="B6137" s="2" t="str">
        <f>HYPERLINK("http://www.12365auto.com/zlts/20200218/447613.shtml","五菱宏光4S店不提供原厂钥匙 厂家不回复")</f>
        <v>五菱宏光4S店不提供原厂钥匙 厂家不回复</v>
      </c>
      <c r="C6137" s="2" t="s">
        <v>13</v>
      </c>
      <c r="D6137" s="2" t="s">
        <v>12</v>
      </c>
      <c r="E6137" s="2" t="s">
        <v>17</v>
      </c>
      <c r="F6137" s="2" t="str">
        <f>HYPERLINK("http://www.12365auto.com/zlts/20200218/447613.shtml","http://www.12365auto.com/zlts/20200218/447613.shtml")</f>
        <v>http://www.12365auto.com/zlts/20200218/447613.shtml</v>
      </c>
      <c r="G6137" s="2"/>
      <c r="H6137" s="2" t="s">
        <v>8497</v>
      </c>
      <c r="I6137" s="2" t="s">
        <v>19</v>
      </c>
      <c r="J6137" s="2" t="s">
        <v>12</v>
      </c>
      <c r="K6137" s="2" t="s">
        <v>8498</v>
      </c>
      <c r="L6137" s="2">
        <f t="shared" si="95"/>
        <v>150</v>
      </c>
    </row>
    <row r="6138" spans="1:12" ht="25" customHeight="1">
      <c r="A6138" s="2" t="s">
        <v>12</v>
      </c>
      <c r="B6138" s="2" t="str">
        <f>HYPERLINK("http://www.12365auto.com/zlts/20200218/447612.shtml","上汽大众途观L天窗漏水 4S店维修收费")</f>
        <v>上汽大众途观L天窗漏水 4S店维修收费</v>
      </c>
      <c r="C6138" s="2" t="s">
        <v>13</v>
      </c>
      <c r="D6138" s="2" t="s">
        <v>12</v>
      </c>
      <c r="E6138" s="2" t="s">
        <v>17</v>
      </c>
      <c r="F6138" s="2" t="str">
        <f>HYPERLINK("http://www.12365auto.com/zlts/20200218/447612.shtml","http://www.12365auto.com/zlts/20200218/447612.shtml")</f>
        <v>http://www.12365auto.com/zlts/20200218/447612.shtml</v>
      </c>
      <c r="G6138" s="2"/>
      <c r="H6138" s="2" t="s">
        <v>8499</v>
      </c>
      <c r="I6138" s="2" t="s">
        <v>19</v>
      </c>
      <c r="J6138" s="2" t="s">
        <v>12</v>
      </c>
      <c r="K6138" s="2" t="s">
        <v>8500</v>
      </c>
      <c r="L6138" s="2">
        <f t="shared" si="95"/>
        <v>150</v>
      </c>
    </row>
    <row r="6139" spans="1:12" ht="25" customHeight="1">
      <c r="A6139" s="2" t="s">
        <v>12</v>
      </c>
      <c r="B6139" s="2" t="str">
        <f>HYPERLINK("http://www.12365auto.com/zlts/20200218/447611.shtml","上汽大众途安挂挡时变速箱有异响")</f>
        <v>上汽大众途安挂挡时变速箱有异响</v>
      </c>
      <c r="C6139" s="2" t="s">
        <v>13</v>
      </c>
      <c r="D6139" s="2" t="s">
        <v>12</v>
      </c>
      <c r="E6139" s="2" t="s">
        <v>17</v>
      </c>
      <c r="F6139" s="2" t="str">
        <f>HYPERLINK("http://www.12365auto.com/zlts/20200218/447611.shtml","http://www.12365auto.com/zlts/20200218/447611.shtml")</f>
        <v>http://www.12365auto.com/zlts/20200218/447611.shtml</v>
      </c>
      <c r="G6139" s="2"/>
      <c r="H6139" s="2" t="s">
        <v>8501</v>
      </c>
      <c r="I6139" s="2" t="s">
        <v>19</v>
      </c>
      <c r="J6139" s="2" t="s">
        <v>12</v>
      </c>
      <c r="K6139" s="2" t="s">
        <v>8502</v>
      </c>
      <c r="L6139" s="2">
        <f t="shared" si="95"/>
        <v>150</v>
      </c>
    </row>
    <row r="6140" spans="1:12" ht="25" customHeight="1">
      <c r="A6140" s="2" t="s">
        <v>12</v>
      </c>
      <c r="B6140" s="2" t="str">
        <f>HYPERLINK("http://bbs.12365auto.com/postcontent.aspx?tId=194359","浙江湖州万国福特4S店 你这在修车还是在害车坑人呀")</f>
        <v>浙江湖州万国福特4S店 你这在修车还是在害车坑人呀</v>
      </c>
      <c r="C6140" s="2" t="s">
        <v>13</v>
      </c>
      <c r="D6140" s="2" t="s">
        <v>12</v>
      </c>
      <c r="E6140" s="2" t="s">
        <v>1664</v>
      </c>
      <c r="F6140" s="2" t="str">
        <f>HYPERLINK("http://bbs.12365auto.com/postcontent.aspx?tId=194359","http://bbs.12365auto.com/postcontent.aspx?tId=194359")</f>
        <v>http://bbs.12365auto.com/postcontent.aspx?tId=194359</v>
      </c>
      <c r="G6140" s="2"/>
      <c r="H6140" s="2" t="s">
        <v>8503</v>
      </c>
      <c r="I6140" s="2" t="s">
        <v>15</v>
      </c>
      <c r="J6140" s="2" t="s">
        <v>8504</v>
      </c>
      <c r="K6140" s="2" t="s">
        <v>8505</v>
      </c>
      <c r="L6140" s="2">
        <f t="shared" si="95"/>
        <v>150</v>
      </c>
    </row>
    <row r="6141" spans="1:12" ht="25" customHeight="1">
      <c r="A6141" s="2" t="s">
        <v>12</v>
      </c>
      <c r="B6141" s="2" t="str">
        <f>HYPERLINK("http://bbs.12365auto.com/postcontent.aspx?tID=194359","浙江湖州万国福特4S店 你这在修车还是在害车坑人呀")</f>
        <v>浙江湖州万国福特4S店 你这在修车还是在害车坑人呀</v>
      </c>
      <c r="C6141" s="2" t="s">
        <v>13</v>
      </c>
      <c r="D6141" s="2" t="s">
        <v>12</v>
      </c>
      <c r="E6141" s="2" t="s">
        <v>1660</v>
      </c>
      <c r="F6141" s="2" t="str">
        <f>HYPERLINK("http://bbs.12365auto.com/postcontent.aspx?tID=194359","http://bbs.12365auto.com/postcontent.aspx?tID=194359")</f>
        <v>http://bbs.12365auto.com/postcontent.aspx?tID=194359</v>
      </c>
      <c r="G6141" s="2"/>
      <c r="H6141" s="2" t="s">
        <v>8506</v>
      </c>
      <c r="I6141" s="2" t="s">
        <v>15</v>
      </c>
      <c r="J6141" s="2" t="s">
        <v>8504</v>
      </c>
      <c r="K6141" s="2" t="s">
        <v>8505</v>
      </c>
      <c r="L6141" s="2">
        <f t="shared" si="95"/>
        <v>150</v>
      </c>
    </row>
    <row r="6142" spans="1:12" ht="25" customHeight="1">
      <c r="A6142" s="2" t="s">
        <v>12</v>
      </c>
      <c r="B6142" s="2" t="str">
        <f>HYPERLINK("http://m.12365auto.com/bbs/postcontent.aspx?tID=194357","判断发动机有没有积碳 这些知识懂了吗")</f>
        <v>判断发动机有没有积碳 这些知识懂了吗</v>
      </c>
      <c r="C6142" s="2" t="s">
        <v>13</v>
      </c>
      <c r="D6142" s="2" t="s">
        <v>23</v>
      </c>
      <c r="E6142" s="2"/>
      <c r="F6142" s="2" t="str">
        <f>HYPERLINK("http://m.12365auto.com/bbs/postcontent.aspx?tID=194357","http://m.12365auto.com/bbs/postcontent.aspx?tID=194357")</f>
        <v>http://m.12365auto.com/bbs/postcontent.aspx?tID=194357</v>
      </c>
      <c r="G6142" s="2"/>
      <c r="H6142" s="2" t="s">
        <v>8507</v>
      </c>
      <c r="I6142" s="2" t="s">
        <v>15</v>
      </c>
      <c r="J6142" s="2" t="s">
        <v>8508</v>
      </c>
      <c r="K6142" s="2" t="s">
        <v>8509</v>
      </c>
      <c r="L6142" s="2">
        <f t="shared" si="95"/>
        <v>150</v>
      </c>
    </row>
    <row r="6143" spans="1:12" ht="25" customHeight="1">
      <c r="A6143" s="2" t="s">
        <v>12</v>
      </c>
      <c r="B6143" s="2" t="str">
        <f>HYPERLINK("http://m.12365auto.com/bbs/postcontent.aspx?tID=194358","“防病毒”汽车真的靠谱吗")</f>
        <v>“防病毒”汽车真的靠谱吗</v>
      </c>
      <c r="C6143" s="2" t="s">
        <v>13</v>
      </c>
      <c r="D6143" s="2" t="s">
        <v>23</v>
      </c>
      <c r="E6143" s="2"/>
      <c r="F6143" s="2" t="str">
        <f>HYPERLINK("http://m.12365auto.com/bbs/postcontent.aspx?tID=194358","http://m.12365auto.com/bbs/postcontent.aspx?tID=194358")</f>
        <v>http://m.12365auto.com/bbs/postcontent.aspx?tID=194358</v>
      </c>
      <c r="G6143" s="2"/>
      <c r="H6143" s="2" t="s">
        <v>8510</v>
      </c>
      <c r="I6143" s="2" t="s">
        <v>15</v>
      </c>
      <c r="J6143" s="2" t="s">
        <v>8508</v>
      </c>
      <c r="K6143" s="2" t="s">
        <v>8509</v>
      </c>
      <c r="L6143" s="2">
        <f t="shared" si="95"/>
        <v>150</v>
      </c>
    </row>
    <row r="6144" spans="1:12" ht="25" customHeight="1">
      <c r="A6144" s="2" t="s">
        <v>12</v>
      </c>
      <c r="B6144" s="2" t="str">
        <f>HYPERLINK("http://bbs.12365auto.com/postcontent.aspx?tId=194358","“防病毒”汽车真的靠谱吗")</f>
        <v>“防病毒”汽车真的靠谱吗</v>
      </c>
      <c r="C6144" s="2" t="s">
        <v>13</v>
      </c>
      <c r="D6144" s="2" t="s">
        <v>12</v>
      </c>
      <c r="E6144" s="2" t="s">
        <v>27</v>
      </c>
      <c r="F6144" s="2" t="str">
        <f>HYPERLINK("http://bbs.12365auto.com/postcontent.aspx?tId=194358","http://bbs.12365auto.com/postcontent.aspx?tId=194358")</f>
        <v>http://bbs.12365auto.com/postcontent.aspx?tId=194358</v>
      </c>
      <c r="G6144" s="2"/>
      <c r="H6144" s="2" t="s">
        <v>8510</v>
      </c>
      <c r="I6144" s="2" t="s">
        <v>15</v>
      </c>
      <c r="J6144" s="2" t="s">
        <v>8508</v>
      </c>
      <c r="K6144" s="2" t="s">
        <v>8509</v>
      </c>
      <c r="L6144" s="2">
        <f t="shared" si="95"/>
        <v>150</v>
      </c>
    </row>
    <row r="6145" spans="1:12" ht="25" customHeight="1">
      <c r="A6145" s="2" t="s">
        <v>12</v>
      </c>
      <c r="B6145" s="2" t="str">
        <f>HYPERLINK("http://bbs.12365auto.com/postcontent.aspx?tId=194357","判断发动机有没有积碳 这些知识懂了吗")</f>
        <v>判断发动机有没有积碳 这些知识懂了吗</v>
      </c>
      <c r="C6145" s="2" t="s">
        <v>13</v>
      </c>
      <c r="D6145" s="2" t="s">
        <v>12</v>
      </c>
      <c r="E6145" s="2" t="s">
        <v>27</v>
      </c>
      <c r="F6145" s="2" t="str">
        <f>HYPERLINK("http://bbs.12365auto.com/postcontent.aspx?tId=194357","http://bbs.12365auto.com/postcontent.aspx?tId=194357")</f>
        <v>http://bbs.12365auto.com/postcontent.aspx?tId=194357</v>
      </c>
      <c r="G6145" s="2"/>
      <c r="H6145" s="2" t="s">
        <v>8507</v>
      </c>
      <c r="I6145" s="2" t="s">
        <v>15</v>
      </c>
      <c r="J6145" s="2" t="s">
        <v>8508</v>
      </c>
      <c r="K6145" s="2" t="s">
        <v>8509</v>
      </c>
      <c r="L6145" s="2">
        <f t="shared" si="95"/>
        <v>150</v>
      </c>
    </row>
    <row r="6146" spans="1:12" ht="25" customHeight="1">
      <c r="A6146" s="2" t="s">
        <v>12</v>
      </c>
      <c r="B6146" s="2" t="str">
        <f>HYPERLINK("http://bbs.12365auto.com/postcontent.aspx?tID=194357","判断发动机有没有积碳 这些知识懂了吗")</f>
        <v>判断发动机有没有积碳 这些知识懂了吗</v>
      </c>
      <c r="C6146" s="2" t="s">
        <v>13</v>
      </c>
      <c r="D6146" s="2" t="s">
        <v>12</v>
      </c>
      <c r="E6146" s="2" t="s">
        <v>28</v>
      </c>
      <c r="F6146" s="2" t="str">
        <f>HYPERLINK("http://bbs.12365auto.com/postcontent.aspx?tID=194357","http://bbs.12365auto.com/postcontent.aspx?tID=194357")</f>
        <v>http://bbs.12365auto.com/postcontent.aspx?tID=194357</v>
      </c>
      <c r="G6146" s="2"/>
      <c r="H6146" s="2" t="s">
        <v>8511</v>
      </c>
      <c r="I6146" s="2" t="s">
        <v>15</v>
      </c>
      <c r="J6146" s="2" t="s">
        <v>8508</v>
      </c>
      <c r="K6146" s="2" t="s">
        <v>8509</v>
      </c>
      <c r="L6146" s="2">
        <f t="shared" si="95"/>
        <v>150</v>
      </c>
    </row>
    <row r="6147" spans="1:12" ht="25" customHeight="1">
      <c r="A6147" s="2" t="s">
        <v>12</v>
      </c>
      <c r="B6147" s="2" t="str">
        <f>HYPERLINK("http://bbs.12365auto.com/postcontent.aspx?tID=194358","“防病毒”汽车真的靠谱吗")</f>
        <v>“防病毒”汽车真的靠谱吗</v>
      </c>
      <c r="C6147" s="2" t="s">
        <v>13</v>
      </c>
      <c r="D6147" s="2" t="s">
        <v>12</v>
      </c>
      <c r="E6147" s="2" t="s">
        <v>28</v>
      </c>
      <c r="F6147" s="2" t="str">
        <f>HYPERLINK("http://bbs.12365auto.com/postcontent.aspx?tID=194358","http://bbs.12365auto.com/postcontent.aspx?tID=194358")</f>
        <v>http://bbs.12365auto.com/postcontent.aspx?tID=194358</v>
      </c>
      <c r="G6147" s="2"/>
      <c r="H6147" s="2" t="s">
        <v>8512</v>
      </c>
      <c r="I6147" s="2" t="s">
        <v>15</v>
      </c>
      <c r="J6147" s="2" t="s">
        <v>8508</v>
      </c>
      <c r="K6147" s="2" t="s">
        <v>8509</v>
      </c>
      <c r="L6147" s="2">
        <f t="shared" ref="L6147:L6210" si="96">LEN(H6147)</f>
        <v>150</v>
      </c>
    </row>
    <row r="6148" spans="1:12" ht="25" customHeight="1">
      <c r="A6148" s="2" t="s">
        <v>12</v>
      </c>
      <c r="B6148" s="2" t="str">
        <f>HYPERLINK("http://m.12365auto.com/bbs/postcontent.aspx?tID=194356","爱车生锈心疼又难看没有办法预防吗")</f>
        <v>爱车生锈心疼又难看没有办法预防吗</v>
      </c>
      <c r="C6148" s="2" t="s">
        <v>13</v>
      </c>
      <c r="D6148" s="2" t="s">
        <v>23</v>
      </c>
      <c r="E6148" s="2"/>
      <c r="F6148" s="2" t="str">
        <f>HYPERLINK("http://m.12365auto.com/bbs/postcontent.aspx?tID=194356","http://m.12365auto.com/bbs/postcontent.aspx?tID=194356")</f>
        <v>http://m.12365auto.com/bbs/postcontent.aspx?tID=194356</v>
      </c>
      <c r="G6148" s="2"/>
      <c r="H6148" s="2" t="s">
        <v>8513</v>
      </c>
      <c r="I6148" s="2" t="s">
        <v>15</v>
      </c>
      <c r="J6148" s="2" t="s">
        <v>8508</v>
      </c>
      <c r="K6148" s="2" t="s">
        <v>8514</v>
      </c>
      <c r="L6148" s="2">
        <f t="shared" si="96"/>
        <v>150</v>
      </c>
    </row>
    <row r="6149" spans="1:12" ht="25" customHeight="1">
      <c r="A6149" s="2" t="s">
        <v>12</v>
      </c>
      <c r="B6149" s="2" t="str">
        <f>HYPERLINK("http://m.12365auto.com/bbs/postcontent.aspx?tID=194355","汽车突然打不着火的原因竟是这些 早看早预防")</f>
        <v>汽车突然打不着火的原因竟是这些 早看早预防</v>
      </c>
      <c r="C6149" s="2" t="s">
        <v>13</v>
      </c>
      <c r="D6149" s="2" t="s">
        <v>23</v>
      </c>
      <c r="E6149" s="2"/>
      <c r="F6149" s="2" t="str">
        <f>HYPERLINK("http://m.12365auto.com/bbs/postcontent.aspx?tID=194355","http://m.12365auto.com/bbs/postcontent.aspx?tID=194355")</f>
        <v>http://m.12365auto.com/bbs/postcontent.aspx?tID=194355</v>
      </c>
      <c r="G6149" s="2"/>
      <c r="H6149" s="2" t="s">
        <v>8515</v>
      </c>
      <c r="I6149" s="2" t="s">
        <v>15</v>
      </c>
      <c r="J6149" s="2" t="s">
        <v>8508</v>
      </c>
      <c r="K6149" s="2" t="s">
        <v>8514</v>
      </c>
      <c r="L6149" s="2">
        <f t="shared" si="96"/>
        <v>150</v>
      </c>
    </row>
    <row r="6150" spans="1:12" ht="25" customHeight="1">
      <c r="A6150" s="2" t="s">
        <v>12</v>
      </c>
      <c r="B6150" s="2" t="str">
        <f>HYPERLINK("http://bbs.12365auto.com/postcontent.aspx?tID=194355","汽车突然打不着火的原因竟是这些 早看早预防")</f>
        <v>汽车突然打不着火的原因竟是这些 早看早预防</v>
      </c>
      <c r="C6150" s="2" t="s">
        <v>13</v>
      </c>
      <c r="D6150" s="2" t="s">
        <v>12</v>
      </c>
      <c r="E6150" s="2" t="s">
        <v>28</v>
      </c>
      <c r="F6150" s="2" t="str">
        <f>HYPERLINK("http://bbs.12365auto.com/postcontent.aspx?tID=194355","http://bbs.12365auto.com/postcontent.aspx?tID=194355")</f>
        <v>http://bbs.12365auto.com/postcontent.aspx?tID=194355</v>
      </c>
      <c r="G6150" s="2"/>
      <c r="H6150" s="2" t="s">
        <v>8516</v>
      </c>
      <c r="I6150" s="2" t="s">
        <v>15</v>
      </c>
      <c r="J6150" s="2" t="s">
        <v>8508</v>
      </c>
      <c r="K6150" s="2" t="s">
        <v>8514</v>
      </c>
      <c r="L6150" s="2">
        <f t="shared" si="96"/>
        <v>150</v>
      </c>
    </row>
    <row r="6151" spans="1:12" ht="25" customHeight="1">
      <c r="A6151" s="2" t="s">
        <v>12</v>
      </c>
      <c r="B6151" s="2" t="str">
        <f>HYPERLINK("http://bbs.12365auto.com/postcontent.aspx?tId=194356","爱车生锈心疼又难看没有办法预防吗")</f>
        <v>爱车生锈心疼又难看没有办法预防吗</v>
      </c>
      <c r="C6151" s="2" t="s">
        <v>13</v>
      </c>
      <c r="D6151" s="2" t="s">
        <v>12</v>
      </c>
      <c r="E6151" s="2" t="s">
        <v>27</v>
      </c>
      <c r="F6151" s="2" t="str">
        <f>HYPERLINK("http://bbs.12365auto.com/postcontent.aspx?tId=194356","http://bbs.12365auto.com/postcontent.aspx?tId=194356")</f>
        <v>http://bbs.12365auto.com/postcontent.aspx?tId=194356</v>
      </c>
      <c r="G6151" s="2"/>
      <c r="H6151" s="2" t="s">
        <v>8513</v>
      </c>
      <c r="I6151" s="2" t="s">
        <v>15</v>
      </c>
      <c r="J6151" s="2" t="s">
        <v>8508</v>
      </c>
      <c r="K6151" s="2" t="s">
        <v>8514</v>
      </c>
      <c r="L6151" s="2">
        <f t="shared" si="96"/>
        <v>150</v>
      </c>
    </row>
    <row r="6152" spans="1:12" ht="25" customHeight="1">
      <c r="A6152" s="2" t="s">
        <v>12</v>
      </c>
      <c r="B6152" s="2" t="str">
        <f>HYPERLINK("http://bbs.12365auto.com/postcontent.aspx?tId=194355","汽车突然打不着火的原因竟是这些 早看早预防")</f>
        <v>汽车突然打不着火的原因竟是这些 早看早预防</v>
      </c>
      <c r="C6152" s="2" t="s">
        <v>13</v>
      </c>
      <c r="D6152" s="2" t="s">
        <v>12</v>
      </c>
      <c r="E6152" s="2" t="s">
        <v>27</v>
      </c>
      <c r="F6152" s="2" t="str">
        <f>HYPERLINK("http://bbs.12365auto.com/postcontent.aspx?tId=194355","http://bbs.12365auto.com/postcontent.aspx?tId=194355")</f>
        <v>http://bbs.12365auto.com/postcontent.aspx?tId=194355</v>
      </c>
      <c r="G6152" s="2"/>
      <c r="H6152" s="2" t="s">
        <v>8515</v>
      </c>
      <c r="I6152" s="2" t="s">
        <v>15</v>
      </c>
      <c r="J6152" s="2" t="s">
        <v>8508</v>
      </c>
      <c r="K6152" s="2" t="s">
        <v>8514</v>
      </c>
      <c r="L6152" s="2">
        <f t="shared" si="96"/>
        <v>150</v>
      </c>
    </row>
    <row r="6153" spans="1:12" ht="25" customHeight="1">
      <c r="A6153" s="2" t="s">
        <v>12</v>
      </c>
      <c r="B6153" s="2" t="str">
        <f>HYPERLINK("http://bbs.12365auto.com/postcontent.aspx?tID=194356","爱车生锈心疼又难看没有办法预防吗")</f>
        <v>爱车生锈心疼又难看没有办法预防吗</v>
      </c>
      <c r="C6153" s="2" t="s">
        <v>13</v>
      </c>
      <c r="D6153" s="2" t="s">
        <v>12</v>
      </c>
      <c r="E6153" s="2" t="s">
        <v>28</v>
      </c>
      <c r="F6153" s="2" t="str">
        <f>HYPERLINK("http://bbs.12365auto.com/postcontent.aspx?tID=194356","http://bbs.12365auto.com/postcontent.aspx?tID=194356")</f>
        <v>http://bbs.12365auto.com/postcontent.aspx?tID=194356</v>
      </c>
      <c r="G6153" s="2"/>
      <c r="H6153" s="2" t="s">
        <v>8517</v>
      </c>
      <c r="I6153" s="2" t="s">
        <v>15</v>
      </c>
      <c r="J6153" s="2" t="s">
        <v>8508</v>
      </c>
      <c r="K6153" s="2" t="s">
        <v>8514</v>
      </c>
      <c r="L6153" s="2">
        <f t="shared" si="96"/>
        <v>150</v>
      </c>
    </row>
    <row r="6154" spans="1:12" ht="25" customHeight="1">
      <c r="A6154" s="2" t="s">
        <v>12</v>
      </c>
      <c r="B6154" s="2" t="str">
        <f>HYPERLINK("http://m.12365auto.com/bbs/postcontent.aspx?tID=194354","汽车机油没有用完还可以使用 要如何保存了")</f>
        <v>汽车机油没有用完还可以使用 要如何保存了</v>
      </c>
      <c r="C6154" s="2" t="s">
        <v>13</v>
      </c>
      <c r="D6154" s="2" t="s">
        <v>23</v>
      </c>
      <c r="E6154" s="2"/>
      <c r="F6154" s="2" t="str">
        <f>HYPERLINK("http://m.12365auto.com/bbs/postcontent.aspx?tID=194354","http://m.12365auto.com/bbs/postcontent.aspx?tID=194354")</f>
        <v>http://m.12365auto.com/bbs/postcontent.aspx?tID=194354</v>
      </c>
      <c r="G6154" s="2"/>
      <c r="H6154" s="2" t="s">
        <v>8518</v>
      </c>
      <c r="I6154" s="2" t="s">
        <v>15</v>
      </c>
      <c r="J6154" s="2" t="s">
        <v>8508</v>
      </c>
      <c r="K6154" s="2" t="s">
        <v>8519</v>
      </c>
      <c r="L6154" s="2">
        <f t="shared" si="96"/>
        <v>150</v>
      </c>
    </row>
    <row r="6155" spans="1:12" ht="25" customHeight="1">
      <c r="A6155" s="2" t="s">
        <v>12</v>
      </c>
      <c r="B6155" s="2" t="str">
        <f>HYPERLINK("http://m.12365auto.com/bbs/postcontent.aspx?tID=194353","汽车经常出现的这几个小问题 你遇到过吗")</f>
        <v>汽车经常出现的这几个小问题 你遇到过吗</v>
      </c>
      <c r="C6155" s="2" t="s">
        <v>13</v>
      </c>
      <c r="D6155" s="2" t="s">
        <v>23</v>
      </c>
      <c r="E6155" s="2"/>
      <c r="F6155" s="2" t="str">
        <f>HYPERLINK("http://m.12365auto.com/bbs/postcontent.aspx?tID=194353","http://m.12365auto.com/bbs/postcontent.aspx?tID=194353")</f>
        <v>http://m.12365auto.com/bbs/postcontent.aspx?tID=194353</v>
      </c>
      <c r="G6155" s="2"/>
      <c r="H6155" s="2" t="s">
        <v>8520</v>
      </c>
      <c r="I6155" s="2" t="s">
        <v>15</v>
      </c>
      <c r="J6155" s="2" t="s">
        <v>8508</v>
      </c>
      <c r="K6155" s="2" t="s">
        <v>8519</v>
      </c>
      <c r="L6155" s="2">
        <f t="shared" si="96"/>
        <v>150</v>
      </c>
    </row>
    <row r="6156" spans="1:12" ht="25" customHeight="1">
      <c r="A6156" s="2" t="s">
        <v>12</v>
      </c>
      <c r="B6156" s="2" t="str">
        <f>HYPERLINK("http://bbs.12365auto.com/postcontent.aspx?tID=194354","汽车机油没有用完还可以使用 要如何保存了")</f>
        <v>汽车机油没有用完还可以使用 要如何保存了</v>
      </c>
      <c r="C6156" s="2" t="s">
        <v>13</v>
      </c>
      <c r="D6156" s="2" t="s">
        <v>12</v>
      </c>
      <c r="E6156" s="2" t="s">
        <v>28</v>
      </c>
      <c r="F6156" s="2" t="str">
        <f>HYPERLINK("http://bbs.12365auto.com/postcontent.aspx?tID=194354","http://bbs.12365auto.com/postcontent.aspx?tID=194354")</f>
        <v>http://bbs.12365auto.com/postcontent.aspx?tID=194354</v>
      </c>
      <c r="G6156" s="2"/>
      <c r="H6156" s="2" t="s">
        <v>8521</v>
      </c>
      <c r="I6156" s="2" t="s">
        <v>15</v>
      </c>
      <c r="J6156" s="2" t="s">
        <v>8508</v>
      </c>
      <c r="K6156" s="2" t="s">
        <v>8519</v>
      </c>
      <c r="L6156" s="2">
        <f t="shared" si="96"/>
        <v>150</v>
      </c>
    </row>
    <row r="6157" spans="1:12" ht="25" customHeight="1">
      <c r="A6157" s="2" t="s">
        <v>12</v>
      </c>
      <c r="B6157" s="2" t="str">
        <f>HYPERLINK("http://bbs.12365auto.com/postcontent.aspx?tId=194354","汽车机油没有用完还可以使用 要如何保存了")</f>
        <v>汽车机油没有用完还可以使用 要如何保存了</v>
      </c>
      <c r="C6157" s="2" t="s">
        <v>13</v>
      </c>
      <c r="D6157" s="2" t="s">
        <v>12</v>
      </c>
      <c r="E6157" s="2" t="s">
        <v>27</v>
      </c>
      <c r="F6157" s="2" t="str">
        <f>HYPERLINK("http://bbs.12365auto.com/postcontent.aspx?tId=194354","http://bbs.12365auto.com/postcontent.aspx?tId=194354")</f>
        <v>http://bbs.12365auto.com/postcontent.aspx?tId=194354</v>
      </c>
      <c r="G6157" s="2"/>
      <c r="H6157" s="2" t="s">
        <v>8518</v>
      </c>
      <c r="I6157" s="2" t="s">
        <v>15</v>
      </c>
      <c r="J6157" s="2" t="s">
        <v>8508</v>
      </c>
      <c r="K6157" s="2" t="s">
        <v>8519</v>
      </c>
      <c r="L6157" s="2">
        <f t="shared" si="96"/>
        <v>150</v>
      </c>
    </row>
    <row r="6158" spans="1:12" ht="25" customHeight="1">
      <c r="A6158" s="2" t="s">
        <v>12</v>
      </c>
      <c r="B6158" s="2" t="str">
        <f>HYPERLINK("http://bbs.12365auto.com/postcontent.aspx?tId=194353","汽车经常出现的这几个小问题 你遇到过吗")</f>
        <v>汽车经常出现的这几个小问题 你遇到过吗</v>
      </c>
      <c r="C6158" s="2" t="s">
        <v>13</v>
      </c>
      <c r="D6158" s="2" t="s">
        <v>12</v>
      </c>
      <c r="E6158" s="2" t="s">
        <v>27</v>
      </c>
      <c r="F6158" s="2" t="str">
        <f>HYPERLINK("http://bbs.12365auto.com/postcontent.aspx?tId=194353","http://bbs.12365auto.com/postcontent.aspx?tId=194353")</f>
        <v>http://bbs.12365auto.com/postcontent.aspx?tId=194353</v>
      </c>
      <c r="G6158" s="2"/>
      <c r="H6158" s="2" t="s">
        <v>8520</v>
      </c>
      <c r="I6158" s="2" t="s">
        <v>15</v>
      </c>
      <c r="J6158" s="2" t="s">
        <v>8508</v>
      </c>
      <c r="K6158" s="2" t="s">
        <v>8519</v>
      </c>
      <c r="L6158" s="2">
        <f t="shared" si="96"/>
        <v>150</v>
      </c>
    </row>
    <row r="6159" spans="1:12" ht="25" customHeight="1">
      <c r="A6159" s="2" t="s">
        <v>12</v>
      </c>
      <c r="B6159" s="2" t="str">
        <f>HYPERLINK("http://bbs.12365auto.com/postcontent.aspx?tID=194353","汽车经常出现的这几个小问题 你遇到过吗")</f>
        <v>汽车经常出现的这几个小问题 你遇到过吗</v>
      </c>
      <c r="C6159" s="2" t="s">
        <v>13</v>
      </c>
      <c r="D6159" s="2" t="s">
        <v>12</v>
      </c>
      <c r="E6159" s="2" t="s">
        <v>28</v>
      </c>
      <c r="F6159" s="2" t="str">
        <f>HYPERLINK("http://bbs.12365auto.com/postcontent.aspx?tID=194353","http://bbs.12365auto.com/postcontent.aspx?tID=194353")</f>
        <v>http://bbs.12365auto.com/postcontent.aspx?tID=194353</v>
      </c>
      <c r="G6159" s="2"/>
      <c r="H6159" s="2" t="s">
        <v>8522</v>
      </c>
      <c r="I6159" s="2" t="s">
        <v>15</v>
      </c>
      <c r="J6159" s="2" t="s">
        <v>8508</v>
      </c>
      <c r="K6159" s="2" t="s">
        <v>8519</v>
      </c>
      <c r="L6159" s="2">
        <f t="shared" si="96"/>
        <v>150</v>
      </c>
    </row>
    <row r="6160" spans="1:12" ht="25" customHeight="1">
      <c r="A6160" s="2" t="s">
        <v>12</v>
      </c>
      <c r="B6160" s="2" t="str">
        <f>HYPERLINK("http://m.12365auto.com/bbs/postcontent.aspx?tID=194351","功率和扭矩究竟有啥区别")</f>
        <v>功率和扭矩究竟有啥区别</v>
      </c>
      <c r="C6160" s="2" t="s">
        <v>13</v>
      </c>
      <c r="D6160" s="2" t="s">
        <v>23</v>
      </c>
      <c r="E6160" s="2"/>
      <c r="F6160" s="2" t="str">
        <f>HYPERLINK("http://m.12365auto.com/bbs/postcontent.aspx?tID=194351","http://m.12365auto.com/bbs/postcontent.aspx?tID=194351")</f>
        <v>http://m.12365auto.com/bbs/postcontent.aspx?tID=194351</v>
      </c>
      <c r="G6160" s="2"/>
      <c r="H6160" s="2" t="s">
        <v>8523</v>
      </c>
      <c r="I6160" s="2" t="s">
        <v>15</v>
      </c>
      <c r="J6160" s="2" t="s">
        <v>8508</v>
      </c>
      <c r="K6160" s="2" t="s">
        <v>8524</v>
      </c>
      <c r="L6160" s="2">
        <f t="shared" si="96"/>
        <v>150</v>
      </c>
    </row>
    <row r="6161" spans="1:12" ht="25" customHeight="1">
      <c r="A6161" s="2" t="s">
        <v>12</v>
      </c>
      <c r="B6161" s="2" t="str">
        <f>HYPERLINK("http://m.12365auto.com/bbs/postcontent.aspx?tID=194352","汽车天窗有哪些作用 这2个你知道么")</f>
        <v>汽车天窗有哪些作用 这2个你知道么</v>
      </c>
      <c r="C6161" s="2" t="s">
        <v>13</v>
      </c>
      <c r="D6161" s="2" t="s">
        <v>23</v>
      </c>
      <c r="E6161" s="2"/>
      <c r="F6161" s="2" t="str">
        <f>HYPERLINK("http://m.12365auto.com/bbs/postcontent.aspx?tID=194352","http://m.12365auto.com/bbs/postcontent.aspx?tID=194352")</f>
        <v>http://m.12365auto.com/bbs/postcontent.aspx?tID=194352</v>
      </c>
      <c r="G6161" s="2"/>
      <c r="H6161" s="2" t="s">
        <v>8525</v>
      </c>
      <c r="I6161" s="2" t="s">
        <v>15</v>
      </c>
      <c r="J6161" s="2" t="s">
        <v>8508</v>
      </c>
      <c r="K6161" s="2" t="s">
        <v>8524</v>
      </c>
      <c r="L6161" s="2">
        <f t="shared" si="96"/>
        <v>150</v>
      </c>
    </row>
    <row r="6162" spans="1:12" ht="25" customHeight="1">
      <c r="A6162" s="2" t="s">
        <v>12</v>
      </c>
      <c r="B6162" s="2" t="str">
        <f>HYPERLINK("http://bbs.12365auto.com/postcontent.aspx?tID=194352","汽车天窗有哪些作用 这2个你知道么")</f>
        <v>汽车天窗有哪些作用 这2个你知道么</v>
      </c>
      <c r="C6162" s="2" t="s">
        <v>13</v>
      </c>
      <c r="D6162" s="2" t="s">
        <v>12</v>
      </c>
      <c r="E6162" s="2" t="s">
        <v>28</v>
      </c>
      <c r="F6162" s="2" t="str">
        <f>HYPERLINK("http://bbs.12365auto.com/postcontent.aspx?tID=194352","http://bbs.12365auto.com/postcontent.aspx?tID=194352")</f>
        <v>http://bbs.12365auto.com/postcontent.aspx?tID=194352</v>
      </c>
      <c r="G6162" s="2"/>
      <c r="H6162" s="2" t="s">
        <v>8526</v>
      </c>
      <c r="I6162" s="2" t="s">
        <v>15</v>
      </c>
      <c r="J6162" s="2" t="s">
        <v>8508</v>
      </c>
      <c r="K6162" s="2" t="s">
        <v>8524</v>
      </c>
      <c r="L6162" s="2">
        <f t="shared" si="96"/>
        <v>150</v>
      </c>
    </row>
    <row r="6163" spans="1:12" ht="25" customHeight="1">
      <c r="A6163" s="2" t="s">
        <v>12</v>
      </c>
      <c r="B6163" s="2" t="str">
        <f>HYPERLINK("http://bbs.12365auto.com/postcontent.aspx?tId=194352","汽车天窗有哪些作用 这2个你知道么")</f>
        <v>汽车天窗有哪些作用 这2个你知道么</v>
      </c>
      <c r="C6163" s="2" t="s">
        <v>13</v>
      </c>
      <c r="D6163" s="2" t="s">
        <v>12</v>
      </c>
      <c r="E6163" s="2" t="s">
        <v>27</v>
      </c>
      <c r="F6163" s="2" t="str">
        <f>HYPERLINK("http://bbs.12365auto.com/postcontent.aspx?tId=194352","http://bbs.12365auto.com/postcontent.aspx?tId=194352")</f>
        <v>http://bbs.12365auto.com/postcontent.aspx?tId=194352</v>
      </c>
      <c r="G6163" s="2"/>
      <c r="H6163" s="2" t="s">
        <v>8525</v>
      </c>
      <c r="I6163" s="2" t="s">
        <v>15</v>
      </c>
      <c r="J6163" s="2" t="s">
        <v>8508</v>
      </c>
      <c r="K6163" s="2" t="s">
        <v>8524</v>
      </c>
      <c r="L6163" s="2">
        <f t="shared" si="96"/>
        <v>150</v>
      </c>
    </row>
    <row r="6164" spans="1:12" ht="25" customHeight="1">
      <c r="A6164" s="2" t="s">
        <v>12</v>
      </c>
      <c r="B6164" s="2" t="str">
        <f>HYPERLINK("http://bbs.12365auto.com/postcontent.aspx?tId=194351","功率和扭矩究竟有啥区别")</f>
        <v>功率和扭矩究竟有啥区别</v>
      </c>
      <c r="C6164" s="2" t="s">
        <v>13</v>
      </c>
      <c r="D6164" s="2" t="s">
        <v>12</v>
      </c>
      <c r="E6164" s="2" t="s">
        <v>27</v>
      </c>
      <c r="F6164" s="2" t="str">
        <f>HYPERLINK("http://bbs.12365auto.com/postcontent.aspx?tId=194351","http://bbs.12365auto.com/postcontent.aspx?tId=194351")</f>
        <v>http://bbs.12365auto.com/postcontent.aspx?tId=194351</v>
      </c>
      <c r="G6164" s="2"/>
      <c r="H6164" s="2" t="s">
        <v>8523</v>
      </c>
      <c r="I6164" s="2" t="s">
        <v>15</v>
      </c>
      <c r="J6164" s="2" t="s">
        <v>8508</v>
      </c>
      <c r="K6164" s="2" t="s">
        <v>8524</v>
      </c>
      <c r="L6164" s="2">
        <f t="shared" si="96"/>
        <v>150</v>
      </c>
    </row>
    <row r="6165" spans="1:12" ht="25" customHeight="1">
      <c r="A6165" s="2" t="s">
        <v>12</v>
      </c>
      <c r="B6165" s="2" t="str">
        <f>HYPERLINK("http://bbs.12365auto.com/postcontent.aspx?tID=194351","功率和扭矩究竟有啥区别")</f>
        <v>功率和扭矩究竟有啥区别</v>
      </c>
      <c r="C6165" s="2" t="s">
        <v>13</v>
      </c>
      <c r="D6165" s="2" t="s">
        <v>12</v>
      </c>
      <c r="E6165" s="2" t="s">
        <v>28</v>
      </c>
      <c r="F6165" s="2" t="str">
        <f>HYPERLINK("http://bbs.12365auto.com/postcontent.aspx?tID=194351","http://bbs.12365auto.com/postcontent.aspx?tID=194351")</f>
        <v>http://bbs.12365auto.com/postcontent.aspx?tID=194351</v>
      </c>
      <c r="G6165" s="2"/>
      <c r="H6165" s="2" t="s">
        <v>8527</v>
      </c>
      <c r="I6165" s="2" t="s">
        <v>15</v>
      </c>
      <c r="J6165" s="2" t="s">
        <v>8508</v>
      </c>
      <c r="K6165" s="2" t="s">
        <v>8524</v>
      </c>
      <c r="L6165" s="2">
        <f t="shared" si="96"/>
        <v>150</v>
      </c>
    </row>
    <row r="6166" spans="1:12" ht="25" customHeight="1">
      <c r="A6166" s="2" t="s">
        <v>12</v>
      </c>
      <c r="B6166" s="2" t="str">
        <f>HYPERLINK("http://m.12365auto.com/bbs/postcontent.aspx?tID=194350","纯电动汽车值不值得买 需要考虑这几点因素")</f>
        <v>纯电动汽车值不值得买 需要考虑这几点因素</v>
      </c>
      <c r="C6166" s="2" t="s">
        <v>13</v>
      </c>
      <c r="D6166" s="2" t="s">
        <v>23</v>
      </c>
      <c r="E6166" s="2"/>
      <c r="F6166" s="2" t="str">
        <f>HYPERLINK("http://m.12365auto.com/bbs/postcontent.aspx?tID=194350","http://m.12365auto.com/bbs/postcontent.aspx?tID=194350")</f>
        <v>http://m.12365auto.com/bbs/postcontent.aspx?tID=194350</v>
      </c>
      <c r="G6166" s="2"/>
      <c r="H6166" s="2" t="s">
        <v>8528</v>
      </c>
      <c r="I6166" s="2" t="s">
        <v>15</v>
      </c>
      <c r="J6166" s="2" t="s">
        <v>8508</v>
      </c>
      <c r="K6166" s="2" t="s">
        <v>8529</v>
      </c>
      <c r="L6166" s="2">
        <f t="shared" si="96"/>
        <v>150</v>
      </c>
    </row>
    <row r="6167" spans="1:12" ht="25" customHeight="1">
      <c r="A6167" s="2" t="s">
        <v>12</v>
      </c>
      <c r="B6167" s="2" t="str">
        <f>HYPERLINK("http://bbs.12365auto.com/postcontent.aspx?tID=194350","纯电动汽车值不值得买 需要考虑这几点因素")</f>
        <v>纯电动汽车值不值得买 需要考虑这几点因素</v>
      </c>
      <c r="C6167" s="2" t="s">
        <v>13</v>
      </c>
      <c r="D6167" s="2" t="s">
        <v>12</v>
      </c>
      <c r="E6167" s="2" t="s">
        <v>28</v>
      </c>
      <c r="F6167" s="2" t="str">
        <f>HYPERLINK("http://bbs.12365auto.com/postcontent.aspx?tID=194350","http://bbs.12365auto.com/postcontent.aspx?tID=194350")</f>
        <v>http://bbs.12365auto.com/postcontent.aspx?tID=194350</v>
      </c>
      <c r="G6167" s="2"/>
      <c r="H6167" s="2" t="s">
        <v>8530</v>
      </c>
      <c r="I6167" s="2" t="s">
        <v>15</v>
      </c>
      <c r="J6167" s="2" t="s">
        <v>8508</v>
      </c>
      <c r="K6167" s="2" t="s">
        <v>8529</v>
      </c>
      <c r="L6167" s="2">
        <f t="shared" si="96"/>
        <v>150</v>
      </c>
    </row>
    <row r="6168" spans="1:12" ht="25" customHeight="1">
      <c r="A6168" s="2" t="s">
        <v>12</v>
      </c>
      <c r="B6168" s="2" t="str">
        <f>HYPERLINK("http://bbs.12365auto.com/postcontent.aspx?tId=194350","纯电动汽车值不值得买 需要考虑这几点因素")</f>
        <v>纯电动汽车值不值得买 需要考虑这几点因素</v>
      </c>
      <c r="C6168" s="2" t="s">
        <v>13</v>
      </c>
      <c r="D6168" s="2" t="s">
        <v>12</v>
      </c>
      <c r="E6168" s="2" t="s">
        <v>27</v>
      </c>
      <c r="F6168" s="2" t="str">
        <f>HYPERLINK("http://bbs.12365auto.com/postcontent.aspx?tId=194350","http://bbs.12365auto.com/postcontent.aspx?tId=194350")</f>
        <v>http://bbs.12365auto.com/postcontent.aspx?tId=194350</v>
      </c>
      <c r="G6168" s="2"/>
      <c r="H6168" s="2" t="s">
        <v>8528</v>
      </c>
      <c r="I6168" s="2" t="s">
        <v>15</v>
      </c>
      <c r="J6168" s="2" t="s">
        <v>8508</v>
      </c>
      <c r="K6168" s="2" t="s">
        <v>8529</v>
      </c>
      <c r="L6168" s="2">
        <f t="shared" si="96"/>
        <v>150</v>
      </c>
    </row>
    <row r="6169" spans="1:12" ht="25" customHeight="1">
      <c r="A6169" s="2" t="s">
        <v>12</v>
      </c>
      <c r="B6169" s="2" t="str">
        <f>HYPERLINK("http://m.12365auto.com/bbs/postcontent.aspx?tID=194349","越贵的纯电动车保值率越高吗 可能你真的想错了")</f>
        <v>越贵的纯电动车保值率越高吗 可能你真的想错了</v>
      </c>
      <c r="C6169" s="2" t="s">
        <v>13</v>
      </c>
      <c r="D6169" s="2" t="s">
        <v>23</v>
      </c>
      <c r="E6169" s="2"/>
      <c r="F6169" s="2" t="str">
        <f>HYPERLINK("http://m.12365auto.com/bbs/postcontent.aspx?tID=194349","http://m.12365auto.com/bbs/postcontent.aspx?tID=194349")</f>
        <v>http://m.12365auto.com/bbs/postcontent.aspx?tID=194349</v>
      </c>
      <c r="G6169" s="2"/>
      <c r="H6169" s="2" t="s">
        <v>8531</v>
      </c>
      <c r="I6169" s="2" t="s">
        <v>15</v>
      </c>
      <c r="J6169" s="2" t="s">
        <v>8508</v>
      </c>
      <c r="K6169" s="2" t="s">
        <v>8532</v>
      </c>
      <c r="L6169" s="2">
        <f t="shared" si="96"/>
        <v>150</v>
      </c>
    </row>
    <row r="6170" spans="1:12" ht="25" customHeight="1">
      <c r="A6170" s="2" t="s">
        <v>12</v>
      </c>
      <c r="B6170" s="2" t="str">
        <f>HYPERLINK("http://bbs.12365auto.com/postcontent.aspx?tID=194349","越贵的纯电动车保值率越高吗 可能你真的想错了")</f>
        <v>越贵的纯电动车保值率越高吗 可能你真的想错了</v>
      </c>
      <c r="C6170" s="2" t="s">
        <v>13</v>
      </c>
      <c r="D6170" s="2" t="s">
        <v>12</v>
      </c>
      <c r="E6170" s="2" t="s">
        <v>28</v>
      </c>
      <c r="F6170" s="2" t="str">
        <f>HYPERLINK("http://bbs.12365auto.com/postcontent.aspx?tID=194349","http://bbs.12365auto.com/postcontent.aspx?tID=194349")</f>
        <v>http://bbs.12365auto.com/postcontent.aspx?tID=194349</v>
      </c>
      <c r="G6170" s="2"/>
      <c r="H6170" s="2" t="s">
        <v>8533</v>
      </c>
      <c r="I6170" s="2" t="s">
        <v>15</v>
      </c>
      <c r="J6170" s="2" t="s">
        <v>8508</v>
      </c>
      <c r="K6170" s="2" t="s">
        <v>8532</v>
      </c>
      <c r="L6170" s="2">
        <f t="shared" si="96"/>
        <v>150</v>
      </c>
    </row>
    <row r="6171" spans="1:12" ht="25" customHeight="1">
      <c r="A6171" s="2" t="s">
        <v>12</v>
      </c>
      <c r="B6171" s="2" t="str">
        <f>HYPERLINK("http://bbs.12365auto.com/postcontent.aspx?tId=194349","越贵的纯电动车保值率越高吗 可能你真的想错了")</f>
        <v>越贵的纯电动车保值率越高吗 可能你真的想错了</v>
      </c>
      <c r="C6171" s="2" t="s">
        <v>13</v>
      </c>
      <c r="D6171" s="2" t="s">
        <v>12</v>
      </c>
      <c r="E6171" s="2" t="s">
        <v>27</v>
      </c>
      <c r="F6171" s="2" t="str">
        <f>HYPERLINK("http://bbs.12365auto.com/postcontent.aspx?tId=194349","http://bbs.12365auto.com/postcontent.aspx?tId=194349")</f>
        <v>http://bbs.12365auto.com/postcontent.aspx?tId=194349</v>
      </c>
      <c r="G6171" s="2"/>
      <c r="H6171" s="2" t="s">
        <v>8531</v>
      </c>
      <c r="I6171" s="2" t="s">
        <v>15</v>
      </c>
      <c r="J6171" s="2" t="s">
        <v>8508</v>
      </c>
      <c r="K6171" s="2" t="s">
        <v>8532</v>
      </c>
      <c r="L6171" s="2">
        <f t="shared" si="96"/>
        <v>150</v>
      </c>
    </row>
    <row r="6172" spans="1:12" ht="25" customHeight="1">
      <c r="A6172" s="2" t="s">
        <v>12</v>
      </c>
      <c r="B6172" s="2" t="str">
        <f>HYPERLINK("http://m.12365auto.com/news/20200218/418855.shtml","发挥依旧稳定 IIHS测试雷克萨斯ES获优")</f>
        <v>发挥依旧稳定 IIHS测试雷克萨斯ES获优</v>
      </c>
      <c r="C6172" s="2" t="s">
        <v>13</v>
      </c>
      <c r="D6172" s="2" t="s">
        <v>12</v>
      </c>
      <c r="E6172" s="2"/>
      <c r="F6172" s="2" t="str">
        <f>HYPERLINK("http://m.12365auto.com/news/20200218/418855.shtml","http://m.12365auto.com/news/20200218/418855.shtml")</f>
        <v>http://m.12365auto.com/news/20200218/418855.shtml</v>
      </c>
      <c r="G6172" s="2"/>
      <c r="H6172" s="2" t="s">
        <v>8534</v>
      </c>
      <c r="I6172" s="2" t="s">
        <v>19</v>
      </c>
      <c r="J6172" s="2" t="s">
        <v>760</v>
      </c>
      <c r="K6172" s="2" t="s">
        <v>8535</v>
      </c>
      <c r="L6172" s="2">
        <f t="shared" si="96"/>
        <v>150</v>
      </c>
    </row>
    <row r="6173" spans="1:12" ht="25" customHeight="1">
      <c r="A6173" s="2" t="s">
        <v>12</v>
      </c>
      <c r="B6173" s="2" t="str">
        <f>HYPERLINK("http://www.12365auto.com/news/20200218/418855.shtml","发挥依旧稳定 IIHS测试雷克萨斯ES获优")</f>
        <v>发挥依旧稳定 IIHS测试雷克萨斯ES获优</v>
      </c>
      <c r="C6173" s="2" t="s">
        <v>13</v>
      </c>
      <c r="D6173" s="2" t="s">
        <v>12</v>
      </c>
      <c r="E6173" s="2" t="s">
        <v>276</v>
      </c>
      <c r="F6173" s="2" t="str">
        <f>HYPERLINK("http://www.12365auto.com/news/20200218/418855.shtml","http://www.12365auto.com/news/20200218/418855.shtml")</f>
        <v>http://www.12365auto.com/news/20200218/418855.shtml</v>
      </c>
      <c r="G6173" s="2"/>
      <c r="H6173" s="2" t="s">
        <v>8536</v>
      </c>
      <c r="I6173" s="2" t="s">
        <v>15</v>
      </c>
      <c r="J6173" s="2" t="s">
        <v>12</v>
      </c>
      <c r="K6173" s="2" t="s">
        <v>8535</v>
      </c>
      <c r="L6173" s="2">
        <f t="shared" si="96"/>
        <v>150</v>
      </c>
    </row>
    <row r="6174" spans="1:12" ht="25" customHeight="1">
      <c r="A6174" s="2" t="s">
        <v>12</v>
      </c>
      <c r="B6174" s="2" t="str">
        <f>HYPERLINK("http://www.12365auto.com/xcdg/20200218/418854.shtml","针对欧洲市场 斯巴鲁翼豹e-Boxer官图")</f>
        <v>针对欧洲市场 斯巴鲁翼豹e-Boxer官图</v>
      </c>
      <c r="C6174" s="2" t="s">
        <v>13</v>
      </c>
      <c r="D6174" s="2" t="s">
        <v>12</v>
      </c>
      <c r="E6174" s="2" t="s">
        <v>216</v>
      </c>
      <c r="F6174" s="2" t="str">
        <f>HYPERLINK("http://www.12365auto.com/xcdg/20200218/418854.shtml","http://www.12365auto.com/xcdg/20200218/418854.shtml")</f>
        <v>http://www.12365auto.com/xcdg/20200218/418854.shtml</v>
      </c>
      <c r="G6174" s="2"/>
      <c r="H6174" s="2" t="s">
        <v>8537</v>
      </c>
      <c r="I6174" s="2" t="s">
        <v>15</v>
      </c>
      <c r="J6174" s="2" t="s">
        <v>12</v>
      </c>
      <c r="K6174" s="2" t="s">
        <v>8538</v>
      </c>
      <c r="L6174" s="2">
        <f t="shared" si="96"/>
        <v>150</v>
      </c>
    </row>
    <row r="6175" spans="1:12" ht="25" customHeight="1">
      <c r="A6175" s="2" t="s">
        <v>12</v>
      </c>
      <c r="B6175" s="2" t="str">
        <f>HYPERLINK("http://m.12365auto.com/xcdg/20200218/418854.shtml","针对欧洲市场 斯巴鲁翼豹e-Boxer官图")</f>
        <v>针对欧洲市场 斯巴鲁翼豹e-Boxer官图</v>
      </c>
      <c r="C6175" s="2" t="s">
        <v>13</v>
      </c>
      <c r="D6175" s="2" t="s">
        <v>12</v>
      </c>
      <c r="E6175" s="2"/>
      <c r="F6175" s="2" t="str">
        <f>HYPERLINK("http://m.12365auto.com/xcdg/20200218/418854.shtml","http://m.12365auto.com/xcdg/20200218/418854.shtml")</f>
        <v>http://m.12365auto.com/xcdg/20200218/418854.shtml</v>
      </c>
      <c r="G6175" s="2"/>
      <c r="H6175" s="2" t="s">
        <v>8539</v>
      </c>
      <c r="I6175" s="2" t="s">
        <v>19</v>
      </c>
      <c r="J6175" s="2" t="s">
        <v>1197</v>
      </c>
      <c r="K6175" s="2" t="s">
        <v>8538</v>
      </c>
      <c r="L6175" s="2">
        <f t="shared" si="96"/>
        <v>150</v>
      </c>
    </row>
    <row r="6176" spans="1:12" ht="25" customHeight="1">
      <c r="A6176" s="2" t="s">
        <v>12</v>
      </c>
      <c r="B6176" s="2" t="str">
        <f>HYPERLINK("http://www.12365auto.com/news/20200218/418853.shtml","销售1147辆 海马汽车披露1月产销数据")</f>
        <v>销售1147辆 海马汽车披露1月产销数据</v>
      </c>
      <c r="C6176" s="2" t="s">
        <v>13</v>
      </c>
      <c r="D6176" s="2" t="s">
        <v>12</v>
      </c>
      <c r="E6176" s="2" t="s">
        <v>276</v>
      </c>
      <c r="F6176" s="2" t="str">
        <f>HYPERLINK("http://www.12365auto.com/news/20200218/418853.shtml","http://www.12365auto.com/news/20200218/418853.shtml")</f>
        <v>http://www.12365auto.com/news/20200218/418853.shtml</v>
      </c>
      <c r="G6176" s="2"/>
      <c r="H6176" s="2" t="s">
        <v>8540</v>
      </c>
      <c r="I6176" s="2" t="s">
        <v>15</v>
      </c>
      <c r="J6176" s="2" t="s">
        <v>12</v>
      </c>
      <c r="K6176" s="2" t="s">
        <v>8541</v>
      </c>
      <c r="L6176" s="2">
        <f t="shared" si="96"/>
        <v>150</v>
      </c>
    </row>
    <row r="6177" spans="1:12" ht="25" customHeight="1">
      <c r="A6177" s="2" t="s">
        <v>12</v>
      </c>
      <c r="B6177" s="2" t="str">
        <f>HYPERLINK("http://m.12365auto.com/news/20200218/418853.shtml","销售1147辆 海马汽车披露1月产销数据")</f>
        <v>销售1147辆 海马汽车披露1月产销数据</v>
      </c>
      <c r="C6177" s="2" t="s">
        <v>13</v>
      </c>
      <c r="D6177" s="2" t="s">
        <v>12</v>
      </c>
      <c r="E6177" s="2"/>
      <c r="F6177" s="2" t="str">
        <f>HYPERLINK("http://m.12365auto.com/news/20200218/418853.shtml","http://m.12365auto.com/news/20200218/418853.shtml")</f>
        <v>http://m.12365auto.com/news/20200218/418853.shtml</v>
      </c>
      <c r="G6177" s="2"/>
      <c r="H6177" s="2" t="s">
        <v>8542</v>
      </c>
      <c r="I6177" s="2" t="s">
        <v>19</v>
      </c>
      <c r="J6177" s="2" t="s">
        <v>274</v>
      </c>
      <c r="K6177" s="2" t="s">
        <v>8541</v>
      </c>
      <c r="L6177" s="2">
        <f t="shared" si="96"/>
        <v>150</v>
      </c>
    </row>
    <row r="6178" spans="1:12" ht="25" customHeight="1">
      <c r="A6178" s="2" t="s">
        <v>12</v>
      </c>
      <c r="B6178" s="2" t="str">
        <f>HYPERLINK("http://www.12365auto.com/zlts/20200218/447601.shtml","奇瑞瑞虎5x发动机抖动异响希望处理")</f>
        <v>奇瑞瑞虎5x发动机抖动异响希望处理</v>
      </c>
      <c r="C6178" s="2" t="s">
        <v>13</v>
      </c>
      <c r="D6178" s="2" t="s">
        <v>12</v>
      </c>
      <c r="E6178" s="2" t="s">
        <v>17</v>
      </c>
      <c r="F6178" s="2" t="str">
        <f>HYPERLINK("http://www.12365auto.com/zlts/20200218/447601.shtml","http://www.12365auto.com/zlts/20200218/447601.shtml")</f>
        <v>http://www.12365auto.com/zlts/20200218/447601.shtml</v>
      </c>
      <c r="G6178" s="2"/>
      <c r="H6178" s="2" t="s">
        <v>8543</v>
      </c>
      <c r="I6178" s="2" t="s">
        <v>15</v>
      </c>
      <c r="J6178" s="2" t="s">
        <v>12</v>
      </c>
      <c r="K6178" s="2" t="s">
        <v>8544</v>
      </c>
      <c r="L6178" s="2">
        <f t="shared" si="96"/>
        <v>150</v>
      </c>
    </row>
    <row r="6179" spans="1:12" ht="25" customHeight="1">
      <c r="A6179" s="2" t="s">
        <v>12</v>
      </c>
      <c r="B6179" s="2" t="str">
        <f>HYPERLINK("http://m.12365auto.com/zjdy/20200218/121355.shtml","中保研碰撞测试后车身质量是否改进？")</f>
        <v>中保研碰撞测试后车身质量是否改进？</v>
      </c>
      <c r="C6179" s="2" t="s">
        <v>13</v>
      </c>
      <c r="D6179" s="2" t="s">
        <v>12</v>
      </c>
      <c r="E6179" s="2"/>
      <c r="F6179" s="2" t="str">
        <f>HYPERLINK("http://m.12365auto.com/zjdy/20200218/121355.shtml","http://m.12365auto.com/zjdy/20200218/121355.shtml")</f>
        <v>http://m.12365auto.com/zjdy/20200218/121355.shtml</v>
      </c>
      <c r="G6179" s="2"/>
      <c r="H6179" s="2" t="s">
        <v>8545</v>
      </c>
      <c r="I6179" s="2" t="s">
        <v>19</v>
      </c>
      <c r="J6179" s="2" t="s">
        <v>12</v>
      </c>
      <c r="K6179" s="2" t="s">
        <v>8546</v>
      </c>
      <c r="L6179" s="2">
        <f t="shared" si="96"/>
        <v>63</v>
      </c>
    </row>
    <row r="6180" spans="1:12" ht="25" customHeight="1">
      <c r="A6180" s="2" t="s">
        <v>12</v>
      </c>
      <c r="B6180" s="2" t="str">
        <f>HYPERLINK("http://m.12365auto.com/zjdy/20200218/121356.shtml","爱信6AT说明书上说终身免维护需要换油吗？")</f>
        <v>爱信6AT说明书上说终身免维护需要换油吗？</v>
      </c>
      <c r="C6180" s="2" t="s">
        <v>13</v>
      </c>
      <c r="D6180" s="2" t="s">
        <v>12</v>
      </c>
      <c r="E6180" s="2"/>
      <c r="F6180" s="2" t="str">
        <f>HYPERLINK("http://m.12365auto.com/zjdy/20200218/121356.shtml","http://m.12365auto.com/zjdy/20200218/121356.shtml")</f>
        <v>http://m.12365auto.com/zjdy/20200218/121356.shtml</v>
      </c>
      <c r="G6180" s="2"/>
      <c r="H6180" s="2" t="s">
        <v>8547</v>
      </c>
      <c r="I6180" s="2" t="s">
        <v>19</v>
      </c>
      <c r="J6180" s="2" t="s">
        <v>12</v>
      </c>
      <c r="K6180" s="2" t="s">
        <v>8548</v>
      </c>
      <c r="L6180" s="2">
        <f t="shared" si="96"/>
        <v>24</v>
      </c>
    </row>
    <row r="6181" spans="1:12" ht="25" customHeight="1">
      <c r="A6181" s="2" t="s">
        <v>12</v>
      </c>
      <c r="B6181" s="2" t="str">
        <f>HYPERLINK("http://m.12365auto.com/xcdg/20200218/418852.shtml","新年换新车 首选上汽大众轿跑SUV途昂X")</f>
        <v>新年换新车 首选上汽大众轿跑SUV途昂X</v>
      </c>
      <c r="C6181" s="2" t="s">
        <v>13</v>
      </c>
      <c r="D6181" s="2" t="s">
        <v>12</v>
      </c>
      <c r="E6181" s="2"/>
      <c r="F6181" s="2" t="str">
        <f>HYPERLINK("http://m.12365auto.com/xcdg/20200218/418852.shtml","http://m.12365auto.com/xcdg/20200218/418852.shtml")</f>
        <v>http://m.12365auto.com/xcdg/20200218/418852.shtml</v>
      </c>
      <c r="G6181" s="2"/>
      <c r="H6181" s="2" t="s">
        <v>8549</v>
      </c>
      <c r="I6181" s="2" t="s">
        <v>19</v>
      </c>
      <c r="J6181" s="2" t="s">
        <v>1054</v>
      </c>
      <c r="K6181" s="2" t="s">
        <v>8550</v>
      </c>
      <c r="L6181" s="2">
        <f t="shared" si="96"/>
        <v>150</v>
      </c>
    </row>
    <row r="6182" spans="1:12" ht="25" customHeight="1">
      <c r="A6182" s="2" t="s">
        <v>12</v>
      </c>
      <c r="B6182" s="2" t="str">
        <f>HYPERLINK("http://www.12365auto.com/news/20200218/418851.shtml","复工复产正当时 车企损失知多少？")</f>
        <v>复工复产正当时 车企损失知多少？</v>
      </c>
      <c r="C6182" s="2" t="s">
        <v>13</v>
      </c>
      <c r="D6182" s="2" t="s">
        <v>12</v>
      </c>
      <c r="E6182" s="2" t="s">
        <v>276</v>
      </c>
      <c r="F6182" s="2" t="str">
        <f>HYPERLINK("http://www.12365auto.com/news/20200218/418851.shtml","http://www.12365auto.com/news/20200218/418851.shtml")</f>
        <v>http://www.12365auto.com/news/20200218/418851.shtml</v>
      </c>
      <c r="G6182" s="2"/>
      <c r="H6182" s="2" t="s">
        <v>8551</v>
      </c>
      <c r="I6182" s="2" t="s">
        <v>15</v>
      </c>
      <c r="J6182" s="2" t="s">
        <v>12</v>
      </c>
      <c r="K6182" s="2" t="s">
        <v>8552</v>
      </c>
      <c r="L6182" s="2">
        <f t="shared" si="96"/>
        <v>150</v>
      </c>
    </row>
    <row r="6183" spans="1:12" ht="25" customHeight="1">
      <c r="A6183" s="2" t="s">
        <v>12</v>
      </c>
      <c r="B6183" s="2" t="str">
        <f>HYPERLINK("http://m.12365auto.com/news/20200218/418851.shtml","复工复产正当时 车企损失知多少？")</f>
        <v>复工复产正当时 车企损失知多少？</v>
      </c>
      <c r="C6183" s="2" t="s">
        <v>13</v>
      </c>
      <c r="D6183" s="2" t="s">
        <v>12</v>
      </c>
      <c r="E6183" s="2"/>
      <c r="F6183" s="2" t="str">
        <f>HYPERLINK("http://m.12365auto.com/news/20200218/418851.shtml","http://m.12365auto.com/news/20200218/418851.shtml")</f>
        <v>http://m.12365auto.com/news/20200218/418851.shtml</v>
      </c>
      <c r="G6183" s="2"/>
      <c r="H6183" s="2" t="s">
        <v>8553</v>
      </c>
      <c r="I6183" s="2" t="s">
        <v>19</v>
      </c>
      <c r="J6183" s="2" t="s">
        <v>5466</v>
      </c>
      <c r="K6183" s="2" t="s">
        <v>8552</v>
      </c>
      <c r="L6183" s="2">
        <f t="shared" si="96"/>
        <v>150</v>
      </c>
    </row>
    <row r="6184" spans="1:12" ht="25" customHeight="1">
      <c r="A6184" s="2" t="s">
        <v>12</v>
      </c>
      <c r="B6184" s="2" t="str">
        <f>HYPERLINK("http://m.12365auto.com/xcdg/20200218/418850.shtml","宾利牌以 Mulliner Bacalar诠释定制水准")</f>
        <v>宾利牌以 Mulliner Bacalar诠释定制水准</v>
      </c>
      <c r="C6184" s="2" t="s">
        <v>13</v>
      </c>
      <c r="D6184" s="2" t="s">
        <v>12</v>
      </c>
      <c r="E6184" s="2"/>
      <c r="F6184" s="2" t="str">
        <f>HYPERLINK("http://m.12365auto.com/xcdg/20200218/418850.shtml","http://m.12365auto.com/xcdg/20200218/418850.shtml")</f>
        <v>http://m.12365auto.com/xcdg/20200218/418850.shtml</v>
      </c>
      <c r="G6184" s="2"/>
      <c r="H6184" s="2" t="s">
        <v>8554</v>
      </c>
      <c r="I6184" s="2" t="s">
        <v>19</v>
      </c>
      <c r="J6184" s="2" t="s">
        <v>1050</v>
      </c>
      <c r="K6184" s="2" t="s">
        <v>8555</v>
      </c>
      <c r="L6184" s="2">
        <f t="shared" si="96"/>
        <v>150</v>
      </c>
    </row>
    <row r="6185" spans="1:12" ht="25" customHeight="1">
      <c r="A6185" s="2" t="s">
        <v>12</v>
      </c>
      <c r="B6185" s="2" t="str">
        <f>HYPERLINK("http://www.12365auto.com/xcdg/20200218/418850.shtml","宾利牌以 Mulliner Bacalar诠释定制水准")</f>
        <v>宾利牌以 Mulliner Bacalar诠释定制水准</v>
      </c>
      <c r="C6185" s="2" t="s">
        <v>13</v>
      </c>
      <c r="D6185" s="2" t="s">
        <v>12</v>
      </c>
      <c r="E6185" s="2" t="s">
        <v>216</v>
      </c>
      <c r="F6185" s="2" t="str">
        <f>HYPERLINK("http://www.12365auto.com/xcdg/20200218/418850.shtml","http://www.12365auto.com/xcdg/20200218/418850.shtml")</f>
        <v>http://www.12365auto.com/xcdg/20200218/418850.shtml</v>
      </c>
      <c r="G6185" s="2"/>
      <c r="H6185" s="2" t="s">
        <v>8556</v>
      </c>
      <c r="I6185" s="2" t="s">
        <v>15</v>
      </c>
      <c r="J6185" s="2" t="s">
        <v>12</v>
      </c>
      <c r="K6185" s="2" t="s">
        <v>8555</v>
      </c>
      <c r="L6185" s="2">
        <f t="shared" si="96"/>
        <v>150</v>
      </c>
    </row>
    <row r="6186" spans="1:12" ht="25" customHeight="1">
      <c r="A6186" s="2" t="s">
        <v>12</v>
      </c>
      <c r="B6186" s="2" t="str">
        <f>HYPERLINK("http://www.12365auto.com/news/20200218/418849.shtml","疫情将影响汽车研发风向 车内净化受青睐")</f>
        <v>疫情将影响汽车研发风向 车内净化受青睐</v>
      </c>
      <c r="C6186" s="2" t="s">
        <v>13</v>
      </c>
      <c r="D6186" s="2" t="s">
        <v>12</v>
      </c>
      <c r="E6186" s="2" t="s">
        <v>276</v>
      </c>
      <c r="F6186" s="2" t="str">
        <f>HYPERLINK("http://www.12365auto.com/news/20200218/418849.shtml","http://www.12365auto.com/news/20200218/418849.shtml")</f>
        <v>http://www.12365auto.com/news/20200218/418849.shtml</v>
      </c>
      <c r="G6186" s="2"/>
      <c r="H6186" s="2" t="s">
        <v>8557</v>
      </c>
      <c r="I6186" s="2" t="s">
        <v>15</v>
      </c>
      <c r="J6186" s="2" t="s">
        <v>12</v>
      </c>
      <c r="K6186" s="2" t="s">
        <v>8558</v>
      </c>
      <c r="L6186" s="2">
        <f t="shared" si="96"/>
        <v>150</v>
      </c>
    </row>
    <row r="6187" spans="1:12" ht="25" customHeight="1">
      <c r="A6187" s="2" t="s">
        <v>12</v>
      </c>
      <c r="B6187" s="2" t="str">
        <f>HYPERLINK("http://m.12365auto.com/news/20200218/418849.shtml","疫情将影响汽车研发风向 车内净化受青睐")</f>
        <v>疫情将影响汽车研发风向 车内净化受青睐</v>
      </c>
      <c r="C6187" s="2" t="s">
        <v>13</v>
      </c>
      <c r="D6187" s="2" t="s">
        <v>12</v>
      </c>
      <c r="E6187" s="2"/>
      <c r="F6187" s="2" t="str">
        <f>HYPERLINK("http://m.12365auto.com/news/20200218/418849.shtml","http://m.12365auto.com/news/20200218/418849.shtml")</f>
        <v>http://m.12365auto.com/news/20200218/418849.shtml</v>
      </c>
      <c r="G6187" s="2"/>
      <c r="H6187" s="2" t="s">
        <v>8559</v>
      </c>
      <c r="I6187" s="2" t="s">
        <v>19</v>
      </c>
      <c r="J6187" s="2" t="s">
        <v>12</v>
      </c>
      <c r="K6187" s="2" t="s">
        <v>8558</v>
      </c>
      <c r="L6187" s="2">
        <f t="shared" si="96"/>
        <v>150</v>
      </c>
    </row>
    <row r="6188" spans="1:12" ht="25" customHeight="1">
      <c r="A6188" s="2" t="s">
        <v>12</v>
      </c>
      <c r="B6188" s="2" t="str">
        <f>HYPERLINK("http://www.12365auto.com/zlts/20200218/447597.shtml","一汽奔腾B50发动机噪音大 车身有生锈的现象")</f>
        <v>一汽奔腾B50发动机噪音大 车身有生锈的现象</v>
      </c>
      <c r="C6188" s="2" t="s">
        <v>13</v>
      </c>
      <c r="D6188" s="2" t="s">
        <v>12</v>
      </c>
      <c r="E6188" s="2"/>
      <c r="F6188" s="2" t="str">
        <f>HYPERLINK("http://www.12365auto.com/zlts/20200218/447597.shtml","http://www.12365auto.com/zlts/20200218/447597.shtml")</f>
        <v>http://www.12365auto.com/zlts/20200218/447597.shtml</v>
      </c>
      <c r="G6188" s="2"/>
      <c r="H6188" s="2" t="s">
        <v>8561</v>
      </c>
      <c r="I6188" s="2" t="s">
        <v>15</v>
      </c>
      <c r="J6188" s="2" t="s">
        <v>12</v>
      </c>
      <c r="K6188" s="2" t="s">
        <v>8560</v>
      </c>
      <c r="L6188" s="2">
        <f t="shared" si="96"/>
        <v>83</v>
      </c>
    </row>
    <row r="6189" spans="1:12" ht="25" customHeight="1">
      <c r="A6189" s="2" t="s">
        <v>12</v>
      </c>
      <c r="B6189" s="2" t="str">
        <f>HYPERLINK("http://m.12365auto.com/xcdg/20200218/418848.shtml","25万的Model3它不香么？买车可以再等等")</f>
        <v>25万的Model3它不香么？买车可以再等等</v>
      </c>
      <c r="C6189" s="2" t="s">
        <v>13</v>
      </c>
      <c r="D6189" s="2" t="s">
        <v>12</v>
      </c>
      <c r="E6189" s="2"/>
      <c r="F6189" s="2" t="str">
        <f>HYPERLINK("http://m.12365auto.com/xcdg/20200218/418848.shtml","http://m.12365auto.com/xcdg/20200218/418848.shtml")</f>
        <v>http://m.12365auto.com/xcdg/20200218/418848.shtml</v>
      </c>
      <c r="G6189" s="2"/>
      <c r="H6189" s="2" t="s">
        <v>8562</v>
      </c>
      <c r="I6189" s="2" t="s">
        <v>19</v>
      </c>
      <c r="J6189" s="2" t="s">
        <v>702</v>
      </c>
      <c r="K6189" s="2" t="s">
        <v>8563</v>
      </c>
      <c r="L6189" s="2">
        <f t="shared" si="96"/>
        <v>150</v>
      </c>
    </row>
    <row r="6190" spans="1:12" ht="25" customHeight="1">
      <c r="A6190" s="2" t="s">
        <v>12</v>
      </c>
      <c r="B6190" s="2" t="str">
        <f>HYPERLINK("http://www.12365auto.com/xcdg/20200218/418847.shtml","日内瓦车展：Czinger 21C首发1.9秒破百")</f>
        <v>日内瓦车展：Czinger 21C首发1.9秒破百</v>
      </c>
      <c r="C6190" s="2" t="s">
        <v>13</v>
      </c>
      <c r="D6190" s="2" t="s">
        <v>12</v>
      </c>
      <c r="E6190" s="2" t="s">
        <v>216</v>
      </c>
      <c r="F6190" s="2" t="str">
        <f>HYPERLINK("http://www.12365auto.com/xcdg/20200218/418847.shtml","http://www.12365auto.com/xcdg/20200218/418847.shtml")</f>
        <v>http://www.12365auto.com/xcdg/20200218/418847.shtml</v>
      </c>
      <c r="G6190" s="2"/>
      <c r="H6190" s="2" t="s">
        <v>8564</v>
      </c>
      <c r="I6190" s="2" t="s">
        <v>15</v>
      </c>
      <c r="J6190" s="2" t="s">
        <v>12</v>
      </c>
      <c r="K6190" s="2" t="s">
        <v>8565</v>
      </c>
      <c r="L6190" s="2">
        <f t="shared" si="96"/>
        <v>150</v>
      </c>
    </row>
    <row r="6191" spans="1:12" ht="25" customHeight="1">
      <c r="A6191" s="2" t="s">
        <v>12</v>
      </c>
      <c r="B6191" s="2" t="str">
        <f>HYPERLINK("http://m.12365auto.com/xcdg/20200218/418847.shtml","日内瓦车展：Czinger 21C首发1.9秒破百")</f>
        <v>日内瓦车展：Czinger 21C首发1.9秒破百</v>
      </c>
      <c r="C6191" s="2" t="s">
        <v>13</v>
      </c>
      <c r="D6191" s="2" t="s">
        <v>12</v>
      </c>
      <c r="E6191" s="2"/>
      <c r="F6191" s="2" t="str">
        <f>HYPERLINK("http://m.12365auto.com/xcdg/20200218/418847.shtml","http://m.12365auto.com/xcdg/20200218/418847.shtml")</f>
        <v>http://m.12365auto.com/xcdg/20200218/418847.shtml</v>
      </c>
      <c r="G6191" s="2"/>
      <c r="H6191" s="2" t="s">
        <v>8566</v>
      </c>
      <c r="I6191" s="2" t="s">
        <v>19</v>
      </c>
      <c r="J6191" s="2" t="s">
        <v>8567</v>
      </c>
      <c r="K6191" s="2" t="s">
        <v>8565</v>
      </c>
      <c r="L6191" s="2">
        <f t="shared" si="96"/>
        <v>150</v>
      </c>
    </row>
    <row r="6192" spans="1:12" ht="25" customHeight="1">
      <c r="A6192" s="2" t="s">
        <v>12</v>
      </c>
      <c r="B6192" s="2" t="str">
        <f>HYPERLINK("http://www.12365auto.com/zlts/20200218/447598.shtml","进口宝马X5新能源动力电池频繁故障")</f>
        <v>进口宝马X5新能源动力电池频繁故障</v>
      </c>
      <c r="C6192" s="2" t="s">
        <v>13</v>
      </c>
      <c r="D6192" s="2" t="s">
        <v>12</v>
      </c>
      <c r="E6192" s="2" t="s">
        <v>17</v>
      </c>
      <c r="F6192" s="2" t="str">
        <f>HYPERLINK("http://www.12365auto.com/zlts/20200218/447598.shtml","http://www.12365auto.com/zlts/20200218/447598.shtml")</f>
        <v>http://www.12365auto.com/zlts/20200218/447598.shtml</v>
      </c>
      <c r="G6192" s="2"/>
      <c r="H6192" s="2" t="s">
        <v>8568</v>
      </c>
      <c r="I6192" s="2" t="s">
        <v>19</v>
      </c>
      <c r="J6192" s="2" t="s">
        <v>12</v>
      </c>
      <c r="K6192" s="2" t="s">
        <v>8565</v>
      </c>
      <c r="L6192" s="2">
        <f t="shared" si="96"/>
        <v>150</v>
      </c>
    </row>
    <row r="6193" spans="1:12" ht="25" customHeight="1">
      <c r="A6193" s="2" t="s">
        <v>12</v>
      </c>
      <c r="B6193" s="2" t="str">
        <f>HYPERLINK("http://www.12365auto.com/xcdg/20200218/418846.shtml","星途换标新车2021年投放美国 搭载2.0T")</f>
        <v>星途换标新车2021年投放美国 搭载2.0T</v>
      </c>
      <c r="C6193" s="2" t="s">
        <v>13</v>
      </c>
      <c r="D6193" s="2" t="s">
        <v>12</v>
      </c>
      <c r="E6193" s="2" t="s">
        <v>216</v>
      </c>
      <c r="F6193" s="2" t="str">
        <f>HYPERLINK("http://www.12365auto.com/xcdg/20200218/418846.shtml","http://www.12365auto.com/xcdg/20200218/418846.shtml")</f>
        <v>http://www.12365auto.com/xcdg/20200218/418846.shtml</v>
      </c>
      <c r="G6193" s="2"/>
      <c r="H6193" s="2" t="s">
        <v>8569</v>
      </c>
      <c r="I6193" s="2" t="s">
        <v>15</v>
      </c>
      <c r="J6193" s="2" t="s">
        <v>12</v>
      </c>
      <c r="K6193" s="2" t="s">
        <v>8570</v>
      </c>
      <c r="L6193" s="2">
        <f t="shared" si="96"/>
        <v>150</v>
      </c>
    </row>
    <row r="6194" spans="1:12" ht="25" customHeight="1">
      <c r="A6194" s="2" t="s">
        <v>12</v>
      </c>
      <c r="B6194" s="2" t="str">
        <f>HYPERLINK("http://m.12365auto.com/xcdg/20200218/418846.shtml","星途换标新车2021年投放美国 搭载2.0T")</f>
        <v>星途换标新车2021年投放美国 搭载2.0T</v>
      </c>
      <c r="C6194" s="2" t="s">
        <v>13</v>
      </c>
      <c r="D6194" s="2" t="s">
        <v>12</v>
      </c>
      <c r="E6194" s="2"/>
      <c r="F6194" s="2" t="str">
        <f>HYPERLINK("http://m.12365auto.com/xcdg/20200218/418846.shtml","http://m.12365auto.com/xcdg/20200218/418846.shtml")</f>
        <v>http://m.12365auto.com/xcdg/20200218/418846.shtml</v>
      </c>
      <c r="G6194" s="2"/>
      <c r="H6194" s="2" t="s">
        <v>8571</v>
      </c>
      <c r="I6194" s="2" t="s">
        <v>19</v>
      </c>
      <c r="J6194" s="2" t="s">
        <v>702</v>
      </c>
      <c r="K6194" s="2" t="s">
        <v>8570</v>
      </c>
      <c r="L6194" s="2">
        <f t="shared" si="96"/>
        <v>150</v>
      </c>
    </row>
    <row r="6195" spans="1:12" ht="25" customHeight="1">
      <c r="A6195" s="2" t="s">
        <v>12</v>
      </c>
      <c r="B6195" s="2" t="str">
        <f>HYPERLINK("http://bbs.12365auto.com/postcontent.aspx?tID=194348","消灭疫情待春暖花开 驾驶四驱越野房车去旅行吧")</f>
        <v>消灭疫情待春暖花开 驾驶四驱越野房车去旅行吧</v>
      </c>
      <c r="C6195" s="2" t="s">
        <v>13</v>
      </c>
      <c r="D6195" s="2" t="s">
        <v>12</v>
      </c>
      <c r="E6195" s="2" t="s">
        <v>8572</v>
      </c>
      <c r="F6195" s="2" t="str">
        <f>HYPERLINK("http://bbs.12365auto.com/postcontent.aspx?tID=194348","http://bbs.12365auto.com/postcontent.aspx?tID=194348")</f>
        <v>http://bbs.12365auto.com/postcontent.aspx?tID=194348</v>
      </c>
      <c r="G6195" s="2"/>
      <c r="H6195" s="2" t="s">
        <v>8573</v>
      </c>
      <c r="I6195" s="2" t="s">
        <v>15</v>
      </c>
      <c r="J6195" s="2" t="s">
        <v>3269</v>
      </c>
      <c r="K6195" s="2" t="s">
        <v>8574</v>
      </c>
      <c r="L6195" s="2">
        <f t="shared" si="96"/>
        <v>150</v>
      </c>
    </row>
    <row r="6196" spans="1:12" ht="25" customHeight="1">
      <c r="A6196" s="2" t="s">
        <v>12</v>
      </c>
      <c r="B6196" s="2" t="str">
        <f>HYPERLINK("http://m.12365auto.com/xcdg/20200218/418844.shtml","国产B级标杆车型红旗H5  给你超值性价比")</f>
        <v>国产B级标杆车型红旗H5  给你超值性价比</v>
      </c>
      <c r="C6196" s="2" t="s">
        <v>13</v>
      </c>
      <c r="D6196" s="2" t="s">
        <v>12</v>
      </c>
      <c r="E6196" s="2"/>
      <c r="F6196" s="2" t="str">
        <f>HYPERLINK("http://m.12365auto.com/xcdg/20200218/418844.shtml","http://m.12365auto.com/xcdg/20200218/418844.shtml")</f>
        <v>http://m.12365auto.com/xcdg/20200218/418844.shtml</v>
      </c>
      <c r="G6196" s="2"/>
      <c r="H6196" s="2" t="s">
        <v>8575</v>
      </c>
      <c r="I6196" s="2" t="s">
        <v>19</v>
      </c>
      <c r="J6196" s="2" t="s">
        <v>8576</v>
      </c>
      <c r="K6196" s="2" t="s">
        <v>8577</v>
      </c>
      <c r="L6196" s="2">
        <f t="shared" si="96"/>
        <v>150</v>
      </c>
    </row>
    <row r="6197" spans="1:12" ht="25" customHeight="1">
      <c r="A6197" s="2" t="s">
        <v>12</v>
      </c>
      <c r="B6197" s="2" t="str">
        <f>HYPERLINK("http://m.12365auto.com/xcdg/20200218/418843.shtml","落地30万内 你能买到什么样的奥迪？")</f>
        <v>落地30万内 你能买到什么样的奥迪？</v>
      </c>
      <c r="C6197" s="2" t="s">
        <v>13</v>
      </c>
      <c r="D6197" s="2" t="s">
        <v>12</v>
      </c>
      <c r="E6197" s="2"/>
      <c r="F6197" s="2" t="str">
        <f>HYPERLINK("http://m.12365auto.com/xcdg/20200218/418843.shtml","http://m.12365auto.com/xcdg/20200218/418843.shtml")</f>
        <v>http://m.12365auto.com/xcdg/20200218/418843.shtml</v>
      </c>
      <c r="G6197" s="2"/>
      <c r="H6197" s="2" t="s">
        <v>8578</v>
      </c>
      <c r="I6197" s="2" t="s">
        <v>19</v>
      </c>
      <c r="J6197" s="2" t="s">
        <v>8579</v>
      </c>
      <c r="K6197" s="2" t="s">
        <v>8580</v>
      </c>
      <c r="L6197" s="2">
        <f t="shared" si="96"/>
        <v>150</v>
      </c>
    </row>
    <row r="6198" spans="1:12" ht="25" customHeight="1">
      <c r="A6198" s="2" t="s">
        <v>12</v>
      </c>
      <c r="B6198" s="2" t="str">
        <f>HYPERLINK("http://www.12365auto.com/xcdg/20200218/418842.shtml","北京现代全新名图将年内上市 全新设计")</f>
        <v>北京现代全新名图将年内上市 全新设计</v>
      </c>
      <c r="C6198" s="2" t="s">
        <v>13</v>
      </c>
      <c r="D6198" s="2" t="s">
        <v>12</v>
      </c>
      <c r="E6198" s="2" t="s">
        <v>216</v>
      </c>
      <c r="F6198" s="2" t="str">
        <f>HYPERLINK("http://www.12365auto.com/xcdg/20200218/418842.shtml","http://www.12365auto.com/xcdg/20200218/418842.shtml")</f>
        <v>http://www.12365auto.com/xcdg/20200218/418842.shtml</v>
      </c>
      <c r="G6198" s="2"/>
      <c r="H6198" s="2" t="s">
        <v>8581</v>
      </c>
      <c r="I6198" s="2" t="s">
        <v>15</v>
      </c>
      <c r="J6198" s="2" t="s">
        <v>12</v>
      </c>
      <c r="K6198" s="2" t="s">
        <v>8582</v>
      </c>
      <c r="L6198" s="2">
        <f t="shared" si="96"/>
        <v>150</v>
      </c>
    </row>
    <row r="6199" spans="1:12" ht="25" customHeight="1">
      <c r="A6199" s="2" t="s">
        <v>12</v>
      </c>
      <c r="B6199" s="2" t="str">
        <f>HYPERLINK("http://m.12365auto.com/xcdg/20200218/418842.shtml","北京现代全新名图将年内上市 全新设计")</f>
        <v>北京现代全新名图将年内上市 全新设计</v>
      </c>
      <c r="C6199" s="2" t="s">
        <v>13</v>
      </c>
      <c r="D6199" s="2" t="s">
        <v>12</v>
      </c>
      <c r="E6199" s="2"/>
      <c r="F6199" s="2" t="str">
        <f>HYPERLINK("http://m.12365auto.com/xcdg/20200218/418842.shtml","http://m.12365auto.com/xcdg/20200218/418842.shtml")</f>
        <v>http://m.12365auto.com/xcdg/20200218/418842.shtml</v>
      </c>
      <c r="G6199" s="2"/>
      <c r="H6199" s="2" t="s">
        <v>8583</v>
      </c>
      <c r="I6199" s="2" t="s">
        <v>19</v>
      </c>
      <c r="J6199" s="2" t="s">
        <v>751</v>
      </c>
      <c r="K6199" s="2" t="s">
        <v>8582</v>
      </c>
      <c r="L6199" s="2">
        <f t="shared" si="96"/>
        <v>150</v>
      </c>
    </row>
    <row r="6200" spans="1:12" ht="25" customHeight="1">
      <c r="A6200" s="2" t="s">
        <v>12</v>
      </c>
      <c r="B6200" s="2" t="str">
        <f>HYPERLINK("http://m.12365auto.com/xcdg/20200218/418841.shtml","掩饰不住的凶悍 宝马全新M3谍照曝光")</f>
        <v>掩饰不住的凶悍 宝马全新M3谍照曝光</v>
      </c>
      <c r="C6200" s="2" t="s">
        <v>13</v>
      </c>
      <c r="D6200" s="2" t="s">
        <v>12</v>
      </c>
      <c r="E6200" s="2"/>
      <c r="F6200" s="2" t="str">
        <f>HYPERLINK("http://m.12365auto.com/xcdg/20200218/418841.shtml","http://m.12365auto.com/xcdg/20200218/418841.shtml")</f>
        <v>http://m.12365auto.com/xcdg/20200218/418841.shtml</v>
      </c>
      <c r="G6200" s="2"/>
      <c r="H6200" s="2" t="s">
        <v>8584</v>
      </c>
      <c r="I6200" s="2" t="s">
        <v>19</v>
      </c>
      <c r="J6200" s="2" t="s">
        <v>12</v>
      </c>
      <c r="K6200" s="2" t="s">
        <v>8585</v>
      </c>
      <c r="L6200" s="2">
        <f t="shared" si="96"/>
        <v>150</v>
      </c>
    </row>
    <row r="6201" spans="1:12" ht="25" customHeight="1">
      <c r="A6201" s="2" t="s">
        <v>12</v>
      </c>
      <c r="B6201" s="2" t="str">
        <f>HYPERLINK("http://www.12365auto.com/xcdg/20200218/418841.shtml","掩饰不住的凶悍 宝马全新M3谍照曝光")</f>
        <v>掩饰不住的凶悍 宝马全新M3谍照曝光</v>
      </c>
      <c r="C6201" s="2" t="s">
        <v>13</v>
      </c>
      <c r="D6201" s="2" t="s">
        <v>12</v>
      </c>
      <c r="E6201" s="2" t="s">
        <v>224</v>
      </c>
      <c r="F6201" s="2" t="str">
        <f>HYPERLINK("http://www.12365auto.com/xcdg/20200218/418841.shtml","http://www.12365auto.com/xcdg/20200218/418841.shtml")</f>
        <v>http://www.12365auto.com/xcdg/20200218/418841.shtml</v>
      </c>
      <c r="G6201" s="2"/>
      <c r="H6201" s="2" t="s">
        <v>8586</v>
      </c>
      <c r="I6201" s="2" t="s">
        <v>15</v>
      </c>
      <c r="J6201" s="2" t="s">
        <v>12</v>
      </c>
      <c r="K6201" s="2" t="s">
        <v>8585</v>
      </c>
      <c r="L6201" s="2">
        <f t="shared" si="96"/>
        <v>150</v>
      </c>
    </row>
    <row r="6202" spans="1:12" ht="25" customHeight="1">
      <c r="A6202" s="2" t="s">
        <v>12</v>
      </c>
      <c r="B6202" s="2" t="str">
        <f>HYPERLINK("http://m.12365auto.com/news/20200218/418840.shtml","江淮嘉悦A5累销13162辆 1月份销量突破5千")</f>
        <v>江淮嘉悦A5累销13162辆 1月份销量突破5千</v>
      </c>
      <c r="C6202" s="2" t="s">
        <v>13</v>
      </c>
      <c r="D6202" s="2" t="s">
        <v>12</v>
      </c>
      <c r="E6202" s="2"/>
      <c r="F6202" s="2" t="str">
        <f>HYPERLINK("http://m.12365auto.com/news/20200218/418840.shtml","http://m.12365auto.com/news/20200218/418840.shtml")</f>
        <v>http://m.12365auto.com/news/20200218/418840.shtml</v>
      </c>
      <c r="G6202" s="2"/>
      <c r="H6202" s="2" t="s">
        <v>8587</v>
      </c>
      <c r="I6202" s="2" t="s">
        <v>19</v>
      </c>
      <c r="J6202" s="2" t="s">
        <v>1076</v>
      </c>
      <c r="K6202" s="2" t="s">
        <v>8588</v>
      </c>
      <c r="L6202" s="2">
        <f t="shared" si="96"/>
        <v>150</v>
      </c>
    </row>
    <row r="6203" spans="1:12" ht="25" customHeight="1">
      <c r="A6203" s="2" t="s">
        <v>12</v>
      </c>
      <c r="B6203" s="2" t="str">
        <f>HYPERLINK("http://www.12365auto.com/news/20200218/418840.shtml","江淮嘉悦A5累销13162辆 1月份销量突破5千")</f>
        <v>江淮嘉悦A5累销13162辆 1月份销量突破5千</v>
      </c>
      <c r="C6203" s="2" t="s">
        <v>13</v>
      </c>
      <c r="D6203" s="2" t="s">
        <v>12</v>
      </c>
      <c r="E6203" s="2" t="s">
        <v>276</v>
      </c>
      <c r="F6203" s="2" t="str">
        <f>HYPERLINK("http://www.12365auto.com/news/20200218/418840.shtml","http://www.12365auto.com/news/20200218/418840.shtml")</f>
        <v>http://www.12365auto.com/news/20200218/418840.shtml</v>
      </c>
      <c r="G6203" s="2"/>
      <c r="H6203" s="2" t="s">
        <v>8589</v>
      </c>
      <c r="I6203" s="2" t="s">
        <v>15</v>
      </c>
      <c r="J6203" s="2" t="s">
        <v>12</v>
      </c>
      <c r="K6203" s="2" t="s">
        <v>8588</v>
      </c>
      <c r="L6203" s="2">
        <f t="shared" si="96"/>
        <v>150</v>
      </c>
    </row>
    <row r="6204" spans="1:12" ht="25" customHeight="1">
      <c r="A6204" s="2" t="s">
        <v>12</v>
      </c>
      <c r="B6204" s="2" t="str">
        <f>HYPERLINK("http://m.12365auto.com/news/20200218/418839.shtml","2款纯电跑车 曝玛莎拉蒂电气化战略")</f>
        <v>2款纯电跑车 曝玛莎拉蒂电气化战略</v>
      </c>
      <c r="C6204" s="2" t="s">
        <v>13</v>
      </c>
      <c r="D6204" s="2" t="s">
        <v>12</v>
      </c>
      <c r="E6204" s="2"/>
      <c r="F6204" s="2" t="str">
        <f>HYPERLINK("http://m.12365auto.com/news/20200218/418839.shtml","http://m.12365auto.com/news/20200218/418839.shtml")</f>
        <v>http://m.12365auto.com/news/20200218/418839.shtml</v>
      </c>
      <c r="G6204" s="2"/>
      <c r="H6204" s="2" t="s">
        <v>8590</v>
      </c>
      <c r="I6204" s="2" t="s">
        <v>19</v>
      </c>
      <c r="J6204" s="2" t="s">
        <v>1069</v>
      </c>
      <c r="K6204" s="2" t="s">
        <v>8591</v>
      </c>
      <c r="L6204" s="2">
        <f t="shared" si="96"/>
        <v>150</v>
      </c>
    </row>
    <row r="6205" spans="1:12" ht="25" customHeight="1">
      <c r="A6205" s="2" t="s">
        <v>12</v>
      </c>
      <c r="B6205" s="2" t="str">
        <f>HYPERLINK("http://www.12365auto.com/news/20200218/418839.shtml","2款纯电跑车 曝玛莎拉蒂电气化战略")</f>
        <v>2款纯电跑车 曝玛莎拉蒂电气化战略</v>
      </c>
      <c r="C6205" s="2" t="s">
        <v>13</v>
      </c>
      <c r="D6205" s="2" t="s">
        <v>12</v>
      </c>
      <c r="E6205" s="2" t="s">
        <v>276</v>
      </c>
      <c r="F6205" s="2" t="str">
        <f>HYPERLINK("http://www.12365auto.com/news/20200218/418839.shtml","http://www.12365auto.com/news/20200218/418839.shtml")</f>
        <v>http://www.12365auto.com/news/20200218/418839.shtml</v>
      </c>
      <c r="G6205" s="2"/>
      <c r="H6205" s="2" t="s">
        <v>8592</v>
      </c>
      <c r="I6205" s="2" t="s">
        <v>15</v>
      </c>
      <c r="J6205" s="2" t="s">
        <v>12</v>
      </c>
      <c r="K6205" s="2" t="s">
        <v>8591</v>
      </c>
      <c r="L6205" s="2">
        <f t="shared" si="96"/>
        <v>150</v>
      </c>
    </row>
    <row r="6206" spans="1:12" ht="25" customHeight="1">
      <c r="A6206" s="2" t="s">
        <v>12</v>
      </c>
      <c r="B6206" s="2" t="str">
        <f>HYPERLINK("http://m.12365auto.com/xcdg/20200218/418838.shtml","25万元日系中型车推荐 各具特色各显神通")</f>
        <v>25万元日系中型车推荐 各具特色各显神通</v>
      </c>
      <c r="C6206" s="2" t="s">
        <v>13</v>
      </c>
      <c r="D6206" s="2" t="s">
        <v>12</v>
      </c>
      <c r="E6206" s="2"/>
      <c r="F6206" s="2" t="str">
        <f>HYPERLINK("http://m.12365auto.com/xcdg/20200218/418838.shtml","http://m.12365auto.com/xcdg/20200218/418838.shtml")</f>
        <v>http://m.12365auto.com/xcdg/20200218/418838.shtml</v>
      </c>
      <c r="G6206" s="2"/>
      <c r="H6206" s="2" t="s">
        <v>8593</v>
      </c>
      <c r="I6206" s="2" t="s">
        <v>19</v>
      </c>
      <c r="J6206" s="2" t="s">
        <v>2572</v>
      </c>
      <c r="K6206" s="2" t="s">
        <v>8594</v>
      </c>
      <c r="L6206" s="2">
        <f t="shared" si="96"/>
        <v>150</v>
      </c>
    </row>
    <row r="6207" spans="1:12" ht="25" customHeight="1">
      <c r="A6207" s="2" t="s">
        <v>12</v>
      </c>
      <c r="B6207" s="2" t="str">
        <f>HYPERLINK("http://m.12365auto.com/scbg/20200218/418837.shtml","舒适是招牌 雷克萨斯主销车座椅配置分析")</f>
        <v>舒适是招牌 雷克萨斯主销车座椅配置分析</v>
      </c>
      <c r="C6207" s="2" t="s">
        <v>13</v>
      </c>
      <c r="D6207" s="2" t="s">
        <v>12</v>
      </c>
      <c r="E6207" s="2"/>
      <c r="F6207" s="2" t="str">
        <f>HYPERLINK("http://m.12365auto.com/scbg/20200218/418837.shtml","http://m.12365auto.com/scbg/20200218/418837.shtml")</f>
        <v>http://m.12365auto.com/scbg/20200218/418837.shtml</v>
      </c>
      <c r="G6207" s="2"/>
      <c r="H6207" s="2" t="s">
        <v>8595</v>
      </c>
      <c r="I6207" s="2" t="s">
        <v>19</v>
      </c>
      <c r="J6207" s="2" t="s">
        <v>2589</v>
      </c>
      <c r="K6207" s="2" t="s">
        <v>8596</v>
      </c>
      <c r="L6207" s="2">
        <f t="shared" si="96"/>
        <v>150</v>
      </c>
    </row>
    <row r="6208" spans="1:12" ht="25" customHeight="1">
      <c r="A6208" s="2" t="s">
        <v>12</v>
      </c>
      <c r="B6208" s="2" t="str">
        <f>HYPERLINK("http://www.12365auto.com/scbg/20200218/418837.shtml","舒适是招牌 雷克萨斯主销车座椅配置分析")</f>
        <v>舒适是招牌 雷克萨斯主销车座椅配置分析</v>
      </c>
      <c r="C6208" s="2" t="s">
        <v>13</v>
      </c>
      <c r="D6208" s="2" t="s">
        <v>12</v>
      </c>
      <c r="E6208" s="2" t="s">
        <v>1548</v>
      </c>
      <c r="F6208" s="2" t="str">
        <f>HYPERLINK("http://www.12365auto.com/scbg/20200218/418837.shtml","http://www.12365auto.com/scbg/20200218/418837.shtml")</f>
        <v>http://www.12365auto.com/scbg/20200218/418837.shtml</v>
      </c>
      <c r="G6208" s="2"/>
      <c r="H6208" s="2" t="s">
        <v>8597</v>
      </c>
      <c r="I6208" s="2" t="s">
        <v>15</v>
      </c>
      <c r="J6208" s="2" t="s">
        <v>12</v>
      </c>
      <c r="K6208" s="2" t="s">
        <v>8596</v>
      </c>
      <c r="L6208" s="2">
        <f t="shared" si="96"/>
        <v>150</v>
      </c>
    </row>
    <row r="6209" spans="1:12" ht="25" customHeight="1">
      <c r="A6209" s="2" t="s">
        <v>12</v>
      </c>
      <c r="B6209" s="2" t="str">
        <f>HYPERLINK("http://bbs.12365auto.com/postcontent.aspx?tId=194347","既能商用又能家用的MPV，你想要吗")</f>
        <v>既能商用又能家用的MPV，你想要吗</v>
      </c>
      <c r="C6209" s="2" t="s">
        <v>13</v>
      </c>
      <c r="D6209" s="2" t="s">
        <v>12</v>
      </c>
      <c r="E6209" s="2" t="s">
        <v>210</v>
      </c>
      <c r="F6209" s="2" t="str">
        <f>HYPERLINK("http://bbs.12365auto.com/postcontent.aspx?tId=194347","http://bbs.12365auto.com/postcontent.aspx?tId=194347")</f>
        <v>http://bbs.12365auto.com/postcontent.aspx?tId=194347</v>
      </c>
      <c r="G6209" s="2"/>
      <c r="H6209" s="2" t="s">
        <v>8598</v>
      </c>
      <c r="I6209" s="2" t="s">
        <v>15</v>
      </c>
      <c r="J6209" s="2" t="s">
        <v>1790</v>
      </c>
      <c r="K6209" s="2" t="s">
        <v>8599</v>
      </c>
      <c r="L6209" s="2">
        <f t="shared" si="96"/>
        <v>150</v>
      </c>
    </row>
    <row r="6210" spans="1:12" ht="25" customHeight="1">
      <c r="A6210" s="2" t="s">
        <v>12</v>
      </c>
      <c r="B6210" s="2" t="str">
        <f>HYPERLINK("http://m.12365auto.com/bbs/postcontent.aspx?tID=194347","既能商用又能家用的MPV，你想要吗")</f>
        <v>既能商用又能家用的MPV，你想要吗</v>
      </c>
      <c r="C6210" s="2" t="s">
        <v>13</v>
      </c>
      <c r="D6210" s="2" t="s">
        <v>23</v>
      </c>
      <c r="E6210" s="2"/>
      <c r="F6210" s="2" t="str">
        <f>HYPERLINK("http://m.12365auto.com/bbs/postcontent.aspx?tID=194347","http://m.12365auto.com/bbs/postcontent.aspx?tID=194347")</f>
        <v>http://m.12365auto.com/bbs/postcontent.aspx?tID=194347</v>
      </c>
      <c r="G6210" s="2"/>
      <c r="H6210" s="2" t="s">
        <v>8598</v>
      </c>
      <c r="I6210" s="2" t="s">
        <v>15</v>
      </c>
      <c r="J6210" s="2" t="s">
        <v>1790</v>
      </c>
      <c r="K6210" s="2" t="s">
        <v>8599</v>
      </c>
      <c r="L6210" s="2">
        <f t="shared" si="96"/>
        <v>150</v>
      </c>
    </row>
    <row r="6211" spans="1:12" ht="25" customHeight="1">
      <c r="A6211" s="2" t="s">
        <v>12</v>
      </c>
      <c r="B6211" s="2" t="str">
        <f>HYPERLINK("http://bbs.12365auto.com/postcontent.aspx?tID=194347","既能商用又能家用的MPV，你想要吗")</f>
        <v>既能商用又能家用的MPV，你想要吗</v>
      </c>
      <c r="C6211" s="2" t="s">
        <v>13</v>
      </c>
      <c r="D6211" s="2" t="s">
        <v>12</v>
      </c>
      <c r="E6211" s="2" t="s">
        <v>214</v>
      </c>
      <c r="F6211" s="2" t="str">
        <f>HYPERLINK("http://bbs.12365auto.com/postcontent.aspx?tID=194347","http://bbs.12365auto.com/postcontent.aspx?tID=194347")</f>
        <v>http://bbs.12365auto.com/postcontent.aspx?tID=194347</v>
      </c>
      <c r="G6211" s="2"/>
      <c r="H6211" s="2" t="s">
        <v>8600</v>
      </c>
      <c r="I6211" s="2" t="s">
        <v>15</v>
      </c>
      <c r="J6211" s="2" t="s">
        <v>1790</v>
      </c>
      <c r="K6211" s="2" t="s">
        <v>8599</v>
      </c>
      <c r="L6211" s="2">
        <f t="shared" ref="L6211:L6274" si="97">LEN(H6211)</f>
        <v>150</v>
      </c>
    </row>
    <row r="6212" spans="1:12" ht="25" customHeight="1">
      <c r="A6212" s="2" t="s">
        <v>12</v>
      </c>
      <c r="B6212" s="2" t="str">
        <f>HYPERLINK("http://bbs.12365auto.com/postcontent.aspx?tId=194346","这几款车的内饰，你更喜欢哪款？")</f>
        <v>这几款车的内饰，你更喜欢哪款？</v>
      </c>
      <c r="C6212" s="2" t="s">
        <v>13</v>
      </c>
      <c r="D6212" s="2" t="s">
        <v>12</v>
      </c>
      <c r="E6212" s="2" t="s">
        <v>210</v>
      </c>
      <c r="F6212" s="2" t="str">
        <f>HYPERLINK("http://bbs.12365auto.com/postcontent.aspx?tId=194346","http://bbs.12365auto.com/postcontent.aspx?tId=194346")</f>
        <v>http://bbs.12365auto.com/postcontent.aspx?tId=194346</v>
      </c>
      <c r="G6212" s="2"/>
      <c r="H6212" s="2" t="s">
        <v>8601</v>
      </c>
      <c r="I6212" s="2" t="s">
        <v>15</v>
      </c>
      <c r="J6212" s="2" t="s">
        <v>1790</v>
      </c>
      <c r="K6212" s="2" t="s">
        <v>8602</v>
      </c>
      <c r="L6212" s="2">
        <f t="shared" si="97"/>
        <v>150</v>
      </c>
    </row>
    <row r="6213" spans="1:12" ht="25" customHeight="1">
      <c r="A6213" s="2" t="s">
        <v>12</v>
      </c>
      <c r="B6213" s="2" t="str">
        <f>HYPERLINK("http://m.12365auto.com/bbs/postcontent.aspx?tID=194346","这几款车的内饰，你更喜欢哪款？")</f>
        <v>这几款车的内饰，你更喜欢哪款？</v>
      </c>
      <c r="C6213" s="2" t="s">
        <v>13</v>
      </c>
      <c r="D6213" s="2" t="s">
        <v>23</v>
      </c>
      <c r="E6213" s="2"/>
      <c r="F6213" s="2" t="str">
        <f>HYPERLINK("http://m.12365auto.com/bbs/postcontent.aspx?tID=194346","http://m.12365auto.com/bbs/postcontent.aspx?tID=194346")</f>
        <v>http://m.12365auto.com/bbs/postcontent.aspx?tID=194346</v>
      </c>
      <c r="G6213" s="2"/>
      <c r="H6213" s="2" t="s">
        <v>8601</v>
      </c>
      <c r="I6213" s="2" t="s">
        <v>15</v>
      </c>
      <c r="J6213" s="2" t="s">
        <v>1790</v>
      </c>
      <c r="K6213" s="2" t="s">
        <v>8602</v>
      </c>
      <c r="L6213" s="2">
        <f t="shared" si="97"/>
        <v>150</v>
      </c>
    </row>
    <row r="6214" spans="1:12" ht="25" customHeight="1">
      <c r="A6214" s="2" t="s">
        <v>12</v>
      </c>
      <c r="B6214" s="2" t="str">
        <f>HYPERLINK("http://m.12365auto.com/xcdg/20200218/418836.shtml","自主轿跑SUV WEY VV7 GT和领克05怎么选")</f>
        <v>自主轿跑SUV WEY VV7 GT和领克05怎么选</v>
      </c>
      <c r="C6214" s="2" t="s">
        <v>13</v>
      </c>
      <c r="D6214" s="2" t="s">
        <v>12</v>
      </c>
      <c r="E6214" s="2"/>
      <c r="F6214" s="2" t="str">
        <f>HYPERLINK("http://m.12365auto.com/xcdg/20200218/418836.shtml","http://m.12365auto.com/xcdg/20200218/418836.shtml")</f>
        <v>http://m.12365auto.com/xcdg/20200218/418836.shtml</v>
      </c>
      <c r="G6214" s="2"/>
      <c r="H6214" s="2" t="s">
        <v>8603</v>
      </c>
      <c r="I6214" s="2" t="s">
        <v>19</v>
      </c>
      <c r="J6214" s="2" t="s">
        <v>8604</v>
      </c>
      <c r="K6214" s="2" t="s">
        <v>8602</v>
      </c>
      <c r="L6214" s="2">
        <f t="shared" si="97"/>
        <v>150</v>
      </c>
    </row>
    <row r="6215" spans="1:12" ht="25" customHeight="1">
      <c r="A6215" s="2" t="s">
        <v>12</v>
      </c>
      <c r="B6215" s="2" t="str">
        <f>HYPERLINK("http://bbs.12365auto.com/postcontent.aspx?tID=194346","这几款车的内饰，你更喜欢哪款？")</f>
        <v>这几款车的内饰，你更喜欢哪款？</v>
      </c>
      <c r="C6215" s="2" t="s">
        <v>13</v>
      </c>
      <c r="D6215" s="2" t="s">
        <v>12</v>
      </c>
      <c r="E6215" s="2" t="s">
        <v>214</v>
      </c>
      <c r="F6215" s="2" t="str">
        <f>HYPERLINK("http://bbs.12365auto.com/postcontent.aspx?tID=194346","http://bbs.12365auto.com/postcontent.aspx?tID=194346")</f>
        <v>http://bbs.12365auto.com/postcontent.aspx?tID=194346</v>
      </c>
      <c r="G6215" s="2"/>
      <c r="H6215" s="2" t="s">
        <v>8605</v>
      </c>
      <c r="I6215" s="2" t="s">
        <v>15</v>
      </c>
      <c r="J6215" s="2" t="s">
        <v>1790</v>
      </c>
      <c r="K6215" s="2" t="s">
        <v>8602</v>
      </c>
      <c r="L6215" s="2">
        <f t="shared" si="97"/>
        <v>150</v>
      </c>
    </row>
    <row r="6216" spans="1:12" ht="25" customHeight="1">
      <c r="A6216" s="2" t="s">
        <v>12</v>
      </c>
      <c r="B6216" s="2" t="str">
        <f>HYPERLINK("http://bbs.12365auto.com/postcontent.aspx?tId=194344","打遍天下无敌手，七座SUV的王者")</f>
        <v>打遍天下无敌手，七座SUV的王者</v>
      </c>
      <c r="C6216" s="2" t="s">
        <v>13</v>
      </c>
      <c r="D6216" s="2" t="s">
        <v>12</v>
      </c>
      <c r="E6216" s="2" t="s">
        <v>210</v>
      </c>
      <c r="F6216" s="2" t="str">
        <f>HYPERLINK("http://bbs.12365auto.com/postcontent.aspx?tId=194344","http://bbs.12365auto.com/postcontent.aspx?tId=194344")</f>
        <v>http://bbs.12365auto.com/postcontent.aspx?tId=194344</v>
      </c>
      <c r="G6216" s="2"/>
      <c r="H6216" s="2" t="s">
        <v>8606</v>
      </c>
      <c r="I6216" s="2" t="s">
        <v>15</v>
      </c>
      <c r="J6216" s="2" t="s">
        <v>1790</v>
      </c>
      <c r="K6216" s="2" t="s">
        <v>8607</v>
      </c>
      <c r="L6216" s="2">
        <f t="shared" si="97"/>
        <v>150</v>
      </c>
    </row>
    <row r="6217" spans="1:12" ht="25" customHeight="1">
      <c r="A6217" s="2" t="s">
        <v>12</v>
      </c>
      <c r="B6217" s="2" t="str">
        <f>HYPERLINK("http://bbs.12365auto.com/postcontent.aspx?tId=194345","2020年，高端MPV会再火一把吗？")</f>
        <v>2020年，高端MPV会再火一把吗？</v>
      </c>
      <c r="C6217" s="2" t="s">
        <v>13</v>
      </c>
      <c r="D6217" s="2" t="s">
        <v>12</v>
      </c>
      <c r="E6217" s="2" t="s">
        <v>210</v>
      </c>
      <c r="F6217" s="2" t="str">
        <f>HYPERLINK("http://bbs.12365auto.com/postcontent.aspx?tId=194345","http://bbs.12365auto.com/postcontent.aspx?tId=194345")</f>
        <v>http://bbs.12365auto.com/postcontent.aspx?tId=194345</v>
      </c>
      <c r="G6217" s="2"/>
      <c r="H6217" s="2" t="s">
        <v>8608</v>
      </c>
      <c r="I6217" s="2" t="s">
        <v>15</v>
      </c>
      <c r="J6217" s="2" t="s">
        <v>1790</v>
      </c>
      <c r="K6217" s="2" t="s">
        <v>8607</v>
      </c>
      <c r="L6217" s="2">
        <f t="shared" si="97"/>
        <v>150</v>
      </c>
    </row>
    <row r="6218" spans="1:12" ht="25" customHeight="1">
      <c r="A6218" s="2" t="s">
        <v>12</v>
      </c>
      <c r="B6218" s="2" t="str">
        <f>HYPERLINK("http://m.12365auto.com/bbs/postcontent.aspx?tID=194345","2020年，高端MPV会再火一把吗？")</f>
        <v>2020年，高端MPV会再火一把吗？</v>
      </c>
      <c r="C6218" s="2" t="s">
        <v>13</v>
      </c>
      <c r="D6218" s="2" t="s">
        <v>23</v>
      </c>
      <c r="E6218" s="2"/>
      <c r="F6218" s="2" t="str">
        <f>HYPERLINK("http://m.12365auto.com/bbs/postcontent.aspx?tID=194345","http://m.12365auto.com/bbs/postcontent.aspx?tID=194345")</f>
        <v>http://m.12365auto.com/bbs/postcontent.aspx?tID=194345</v>
      </c>
      <c r="G6218" s="2"/>
      <c r="H6218" s="2" t="s">
        <v>8608</v>
      </c>
      <c r="I6218" s="2" t="s">
        <v>15</v>
      </c>
      <c r="J6218" s="2" t="s">
        <v>1790</v>
      </c>
      <c r="K6218" s="2" t="s">
        <v>8607</v>
      </c>
      <c r="L6218" s="2">
        <f t="shared" si="97"/>
        <v>150</v>
      </c>
    </row>
    <row r="6219" spans="1:12" ht="25" customHeight="1">
      <c r="A6219" s="2" t="s">
        <v>12</v>
      </c>
      <c r="B6219" s="2" t="str">
        <f>HYPERLINK("http://m.12365auto.com/bbs/postcontent.aspx?tID=194344","打遍天下无敌手，七座SUV的王者")</f>
        <v>打遍天下无敌手，七座SUV的王者</v>
      </c>
      <c r="C6219" s="2" t="s">
        <v>13</v>
      </c>
      <c r="D6219" s="2" t="s">
        <v>23</v>
      </c>
      <c r="E6219" s="2"/>
      <c r="F6219" s="2" t="str">
        <f>HYPERLINK("http://m.12365auto.com/bbs/postcontent.aspx?tID=194344","http://m.12365auto.com/bbs/postcontent.aspx?tID=194344")</f>
        <v>http://m.12365auto.com/bbs/postcontent.aspx?tID=194344</v>
      </c>
      <c r="G6219" s="2"/>
      <c r="H6219" s="2" t="s">
        <v>8606</v>
      </c>
      <c r="I6219" s="2" t="s">
        <v>15</v>
      </c>
      <c r="J6219" s="2" t="s">
        <v>1790</v>
      </c>
      <c r="K6219" s="2" t="s">
        <v>8607</v>
      </c>
      <c r="L6219" s="2">
        <f t="shared" si="97"/>
        <v>150</v>
      </c>
    </row>
    <row r="6220" spans="1:12" ht="25" customHeight="1">
      <c r="A6220" s="2" t="s">
        <v>12</v>
      </c>
      <c r="B6220" s="2" t="str">
        <f>HYPERLINK("http://bbs.12365auto.com/postcontent.aspx?tID=194345","2020年，高端MPV会再火一把吗？")</f>
        <v>2020年，高端MPV会再火一把吗？</v>
      </c>
      <c r="C6220" s="2" t="s">
        <v>13</v>
      </c>
      <c r="D6220" s="2" t="s">
        <v>12</v>
      </c>
      <c r="E6220" s="2" t="s">
        <v>214</v>
      </c>
      <c r="F6220" s="2" t="str">
        <f>HYPERLINK("http://bbs.12365auto.com/postcontent.aspx?tID=194345","http://bbs.12365auto.com/postcontent.aspx?tID=194345")</f>
        <v>http://bbs.12365auto.com/postcontent.aspx?tID=194345</v>
      </c>
      <c r="G6220" s="2"/>
      <c r="H6220" s="2" t="s">
        <v>8609</v>
      </c>
      <c r="I6220" s="2" t="s">
        <v>15</v>
      </c>
      <c r="J6220" s="2" t="s">
        <v>1790</v>
      </c>
      <c r="K6220" s="2" t="s">
        <v>8607</v>
      </c>
      <c r="L6220" s="2">
        <f t="shared" si="97"/>
        <v>150</v>
      </c>
    </row>
    <row r="6221" spans="1:12" ht="25" customHeight="1">
      <c r="A6221" s="2" t="s">
        <v>12</v>
      </c>
      <c r="B6221" s="2" t="str">
        <f>HYPERLINK("http://bbs.12365auto.com/postcontent.aspx?tID=194344","打遍天下无敌手，七座SUV的王者")</f>
        <v>打遍天下无敌手，七座SUV的王者</v>
      </c>
      <c r="C6221" s="2" t="s">
        <v>13</v>
      </c>
      <c r="D6221" s="2" t="s">
        <v>12</v>
      </c>
      <c r="E6221" s="2" t="s">
        <v>214</v>
      </c>
      <c r="F6221" s="2" t="str">
        <f>HYPERLINK("http://bbs.12365auto.com/postcontent.aspx?tID=194344","http://bbs.12365auto.com/postcontent.aspx?tID=194344")</f>
        <v>http://bbs.12365auto.com/postcontent.aspx?tID=194344</v>
      </c>
      <c r="G6221" s="2"/>
      <c r="H6221" s="2" t="s">
        <v>8610</v>
      </c>
      <c r="I6221" s="2" t="s">
        <v>15</v>
      </c>
      <c r="J6221" s="2" t="s">
        <v>1790</v>
      </c>
      <c r="K6221" s="2" t="s">
        <v>8607</v>
      </c>
      <c r="L6221" s="2">
        <f t="shared" si="97"/>
        <v>150</v>
      </c>
    </row>
    <row r="6222" spans="1:12" ht="25" customHeight="1">
      <c r="A6222" s="2" t="s">
        <v>12</v>
      </c>
      <c r="B6222" s="2" t="str">
        <f>HYPERLINK("http://www.12365auto.com/news/20200218/418835.shtml","通用汽车年底将关闭澳大利亚与新西兰业务")</f>
        <v>通用汽车年底将关闭澳大利亚与新西兰业务</v>
      </c>
      <c r="C6222" s="2" t="s">
        <v>13</v>
      </c>
      <c r="D6222" s="2" t="s">
        <v>12</v>
      </c>
      <c r="E6222" s="2" t="s">
        <v>276</v>
      </c>
      <c r="F6222" s="2" t="str">
        <f>HYPERLINK("http://www.12365auto.com/news/20200218/418835.shtml","http://www.12365auto.com/news/20200218/418835.shtml")</f>
        <v>http://www.12365auto.com/news/20200218/418835.shtml</v>
      </c>
      <c r="G6222" s="2"/>
      <c r="H6222" s="2" t="s">
        <v>8611</v>
      </c>
      <c r="I6222" s="2" t="s">
        <v>15</v>
      </c>
      <c r="J6222" s="2" t="s">
        <v>12</v>
      </c>
      <c r="K6222" s="2" t="s">
        <v>8612</v>
      </c>
      <c r="L6222" s="2">
        <f t="shared" si="97"/>
        <v>150</v>
      </c>
    </row>
    <row r="6223" spans="1:12" ht="25" customHeight="1">
      <c r="A6223" s="2" t="s">
        <v>12</v>
      </c>
      <c r="B6223" s="2" t="str">
        <f>HYPERLINK("http://m.12365auto.com/news/20200218/418835.shtml","通用汽车年底将关闭澳大利亚与新西兰业务")</f>
        <v>通用汽车年底将关闭澳大利亚与新西兰业务</v>
      </c>
      <c r="C6223" s="2" t="s">
        <v>13</v>
      </c>
      <c r="D6223" s="2" t="s">
        <v>12</v>
      </c>
      <c r="E6223" s="2"/>
      <c r="F6223" s="2" t="str">
        <f>HYPERLINK("http://m.12365auto.com/news/20200218/418835.shtml","http://m.12365auto.com/news/20200218/418835.shtml")</f>
        <v>http://m.12365auto.com/news/20200218/418835.shtml</v>
      </c>
      <c r="G6223" s="2"/>
      <c r="H6223" s="2" t="s">
        <v>8613</v>
      </c>
      <c r="I6223" s="2" t="s">
        <v>19</v>
      </c>
      <c r="J6223" s="2" t="s">
        <v>5923</v>
      </c>
      <c r="K6223" s="2" t="s">
        <v>8612</v>
      </c>
      <c r="L6223" s="2">
        <f t="shared" si="97"/>
        <v>150</v>
      </c>
    </row>
    <row r="6224" spans="1:12" ht="25" customHeight="1">
      <c r="A6224" s="2" t="s">
        <v>12</v>
      </c>
      <c r="B6224" s="2" t="str">
        <f>HYPERLINK("http://www.12365auto.com/news/20200218/418834.shtml","外媒：捷豹路虎提高质量迫在眉睫")</f>
        <v>外媒：捷豹路虎提高质量迫在眉睫</v>
      </c>
      <c r="C6224" s="2" t="s">
        <v>13</v>
      </c>
      <c r="D6224" s="2" t="s">
        <v>12</v>
      </c>
      <c r="E6224" s="2" t="s">
        <v>276</v>
      </c>
      <c r="F6224" s="2" t="str">
        <f>HYPERLINK("http://www.12365auto.com/news/20200218/418834.shtml","http://www.12365auto.com/news/20200218/418834.shtml")</f>
        <v>http://www.12365auto.com/news/20200218/418834.shtml</v>
      </c>
      <c r="G6224" s="2"/>
      <c r="H6224" s="2" t="s">
        <v>8614</v>
      </c>
      <c r="I6224" s="2" t="s">
        <v>15</v>
      </c>
      <c r="J6224" s="2" t="s">
        <v>12</v>
      </c>
      <c r="K6224" s="2" t="s">
        <v>8615</v>
      </c>
      <c r="L6224" s="2">
        <f t="shared" si="97"/>
        <v>150</v>
      </c>
    </row>
    <row r="6225" spans="1:12" ht="25" customHeight="1">
      <c r="A6225" s="2" t="s">
        <v>12</v>
      </c>
      <c r="B6225" s="2" t="str">
        <f>HYPERLINK("http://m.12365auto.com/news/20200218/418834.shtml","外媒：捷豹路虎提高质量迫在眉睫")</f>
        <v>外媒：捷豹路虎提高质量迫在眉睫</v>
      </c>
      <c r="C6225" s="2" t="s">
        <v>13</v>
      </c>
      <c r="D6225" s="2" t="s">
        <v>12</v>
      </c>
      <c r="E6225" s="2"/>
      <c r="F6225" s="2" t="str">
        <f>HYPERLINK("http://m.12365auto.com/news/20200218/418834.shtml","http://m.12365auto.com/news/20200218/418834.shtml")</f>
        <v>http://m.12365auto.com/news/20200218/418834.shtml</v>
      </c>
      <c r="G6225" s="2"/>
      <c r="H6225" s="2" t="s">
        <v>8616</v>
      </c>
      <c r="I6225" s="2" t="s">
        <v>19</v>
      </c>
      <c r="J6225" s="2" t="s">
        <v>5923</v>
      </c>
      <c r="K6225" s="2" t="s">
        <v>8615</v>
      </c>
      <c r="L6225" s="2">
        <f t="shared" si="97"/>
        <v>150</v>
      </c>
    </row>
    <row r="6226" spans="1:12" ht="25" customHeight="1">
      <c r="A6226" s="2" t="s">
        <v>12</v>
      </c>
      <c r="B6226" s="2" t="str">
        <f>HYPERLINK("http://www.12365auto.com/news/20200218/418833.shtml","李书福合并沃尔沃要打造“中国版大众”？")</f>
        <v>李书福合并沃尔沃要打造“中国版大众”？</v>
      </c>
      <c r="C6226" s="2" t="s">
        <v>13</v>
      </c>
      <c r="D6226" s="2" t="s">
        <v>12</v>
      </c>
      <c r="E6226" s="2" t="s">
        <v>276</v>
      </c>
      <c r="F6226" s="2" t="str">
        <f>HYPERLINK("http://www.12365auto.com/news/20200218/418833.shtml","http://www.12365auto.com/news/20200218/418833.shtml")</f>
        <v>http://www.12365auto.com/news/20200218/418833.shtml</v>
      </c>
      <c r="G6226" s="2"/>
      <c r="H6226" s="2" t="s">
        <v>8617</v>
      </c>
      <c r="I6226" s="2" t="s">
        <v>15</v>
      </c>
      <c r="J6226" s="2" t="s">
        <v>12</v>
      </c>
      <c r="K6226" s="2" t="s">
        <v>8618</v>
      </c>
      <c r="L6226" s="2">
        <f t="shared" si="97"/>
        <v>150</v>
      </c>
    </row>
    <row r="6227" spans="1:12" ht="25" customHeight="1">
      <c r="A6227" s="2" t="s">
        <v>12</v>
      </c>
      <c r="B6227" s="2" t="str">
        <f>HYPERLINK("http://m.12365auto.com/news/20200218/418833.shtml","李书福合并沃尔沃要打造“中国版大众”？")</f>
        <v>李书福合并沃尔沃要打造“中国版大众”？</v>
      </c>
      <c r="C6227" s="2" t="s">
        <v>13</v>
      </c>
      <c r="D6227" s="2" t="s">
        <v>12</v>
      </c>
      <c r="E6227" s="2"/>
      <c r="F6227" s="2" t="str">
        <f>HYPERLINK("http://m.12365auto.com/news/20200218/418833.shtml","http://m.12365auto.com/news/20200218/418833.shtml")</f>
        <v>http://m.12365auto.com/news/20200218/418833.shtml</v>
      </c>
      <c r="G6227" s="2"/>
      <c r="H6227" s="2" t="s">
        <v>8619</v>
      </c>
      <c r="I6227" s="2" t="s">
        <v>19</v>
      </c>
      <c r="J6227" s="2" t="s">
        <v>5923</v>
      </c>
      <c r="K6227" s="2" t="s">
        <v>8618</v>
      </c>
      <c r="L6227" s="2">
        <f t="shared" si="97"/>
        <v>150</v>
      </c>
    </row>
    <row r="6228" spans="1:12" ht="25" customHeight="1">
      <c r="A6228" s="2" t="s">
        <v>12</v>
      </c>
      <c r="B6228" s="2" t="str">
        <f>HYPERLINK("http://m.12365auto.com/xcdg/20200218/418832.shtml","35万买路虎发现？ 居然还有这些配置")</f>
        <v>35万买路虎发现？ 居然还有这些配置</v>
      </c>
      <c r="C6228" s="2" t="s">
        <v>13</v>
      </c>
      <c r="D6228" s="2" t="s">
        <v>12</v>
      </c>
      <c r="E6228" s="2"/>
      <c r="F6228" s="2" t="str">
        <f>HYPERLINK("http://m.12365auto.com/xcdg/20200218/418832.shtml","http://m.12365auto.com/xcdg/20200218/418832.shtml")</f>
        <v>http://m.12365auto.com/xcdg/20200218/418832.shtml</v>
      </c>
      <c r="G6228" s="2"/>
      <c r="H6228" s="2" t="s">
        <v>8620</v>
      </c>
      <c r="I6228" s="2" t="s">
        <v>19</v>
      </c>
      <c r="J6228" s="2" t="s">
        <v>1257</v>
      </c>
      <c r="K6228" s="2" t="s">
        <v>8621</v>
      </c>
      <c r="L6228" s="2">
        <f t="shared" si="97"/>
        <v>150</v>
      </c>
    </row>
    <row r="6229" spans="1:12" ht="25" customHeight="1">
      <c r="A6229" s="2" t="s">
        <v>12</v>
      </c>
      <c r="B6229" s="2" t="str">
        <f>HYPERLINK("http://bbs.12365auto.com/postcontent.aspx?tID=194343","六年磨一剑 丰田汉兰达全面升级归来")</f>
        <v>六年磨一剑 丰田汉兰达全面升级归来</v>
      </c>
      <c r="C6229" s="2" t="s">
        <v>13</v>
      </c>
      <c r="D6229" s="2" t="s">
        <v>12</v>
      </c>
      <c r="E6229" s="2" t="s">
        <v>28</v>
      </c>
      <c r="F6229" s="2" t="str">
        <f>HYPERLINK("http://bbs.12365auto.com/postcontent.aspx?tID=194343","http://bbs.12365auto.com/postcontent.aspx?tID=194343")</f>
        <v>http://bbs.12365auto.com/postcontent.aspx?tID=194343</v>
      </c>
      <c r="G6229" s="2"/>
      <c r="H6229" s="2" t="s">
        <v>2989</v>
      </c>
      <c r="I6229" s="2" t="s">
        <v>15</v>
      </c>
      <c r="J6229" s="2" t="s">
        <v>5704</v>
      </c>
      <c r="K6229" s="2" t="s">
        <v>8622</v>
      </c>
      <c r="L6229" s="2">
        <f t="shared" si="97"/>
        <v>150</v>
      </c>
    </row>
    <row r="6230" spans="1:12" ht="25" customHeight="1">
      <c r="A6230" s="2" t="s">
        <v>12</v>
      </c>
      <c r="B6230" s="2" t="str">
        <f>HYPERLINK("http://www.12365auto.com/zlts/20200218/447594.shtml","上汽大众帕萨特新能源低速踩刹车时有异响")</f>
        <v>上汽大众帕萨特新能源低速踩刹车时有异响</v>
      </c>
      <c r="C6230" s="2" t="s">
        <v>13</v>
      </c>
      <c r="D6230" s="2" t="s">
        <v>12</v>
      </c>
      <c r="E6230" s="2" t="s">
        <v>17</v>
      </c>
      <c r="F6230" s="2" t="str">
        <f>HYPERLINK("http://www.12365auto.com/zlts/20200218/447594.shtml","http://www.12365auto.com/zlts/20200218/447594.shtml")</f>
        <v>http://www.12365auto.com/zlts/20200218/447594.shtml</v>
      </c>
      <c r="G6230" s="2"/>
      <c r="H6230" s="2" t="s">
        <v>8623</v>
      </c>
      <c r="I6230" s="2" t="s">
        <v>19</v>
      </c>
      <c r="J6230" s="2" t="s">
        <v>12</v>
      </c>
      <c r="K6230" s="2" t="s">
        <v>8622</v>
      </c>
      <c r="L6230" s="2">
        <f t="shared" si="97"/>
        <v>150</v>
      </c>
    </row>
    <row r="6231" spans="1:12" ht="25" customHeight="1">
      <c r="A6231" s="2" t="s">
        <v>12</v>
      </c>
      <c r="B6231" s="2" t="str">
        <f>HYPERLINK("http://bbs.12365auto.com/postcontent.aspx?tID=194342","吉利换回四缸机 是醒悟还是迷失")</f>
        <v>吉利换回四缸机 是醒悟还是迷失</v>
      </c>
      <c r="C6231" s="2" t="s">
        <v>13</v>
      </c>
      <c r="D6231" s="2" t="s">
        <v>12</v>
      </c>
      <c r="E6231" s="2" t="s">
        <v>28</v>
      </c>
      <c r="F6231" s="2" t="str">
        <f>HYPERLINK("http://bbs.12365auto.com/postcontent.aspx?tID=194342","http://bbs.12365auto.com/postcontent.aspx?tID=194342")</f>
        <v>http://bbs.12365auto.com/postcontent.aspx?tID=194342</v>
      </c>
      <c r="G6231" s="2"/>
      <c r="H6231" s="2" t="s">
        <v>8624</v>
      </c>
      <c r="I6231" s="2" t="s">
        <v>15</v>
      </c>
      <c r="J6231" s="2" t="s">
        <v>5704</v>
      </c>
      <c r="K6231" s="2" t="s">
        <v>8622</v>
      </c>
      <c r="L6231" s="2">
        <f t="shared" si="97"/>
        <v>150</v>
      </c>
    </row>
    <row r="6232" spans="1:12" ht="25" customHeight="1">
      <c r="A6232" s="2" t="s">
        <v>12</v>
      </c>
      <c r="B6232" s="2" t="str">
        <f>HYPERLINK("http://bbs.12365auto.com/postcontent.aspx?tId=194343","六年磨一剑 丰田汉兰达全面升级归来")</f>
        <v>六年磨一剑 丰田汉兰达全面升级归来</v>
      </c>
      <c r="C6232" s="2" t="s">
        <v>13</v>
      </c>
      <c r="D6232" s="2" t="s">
        <v>12</v>
      </c>
      <c r="E6232" s="2" t="s">
        <v>27</v>
      </c>
      <c r="F6232" s="2" t="str">
        <f>HYPERLINK("http://bbs.12365auto.com/postcontent.aspx?tId=194343","http://bbs.12365auto.com/postcontent.aspx?tId=194343")</f>
        <v>http://bbs.12365auto.com/postcontent.aspx?tId=194343</v>
      </c>
      <c r="G6232" s="2"/>
      <c r="H6232" s="2" t="s">
        <v>2987</v>
      </c>
      <c r="I6232" s="2" t="s">
        <v>15</v>
      </c>
      <c r="J6232" s="2" t="s">
        <v>5704</v>
      </c>
      <c r="K6232" s="2" t="s">
        <v>8622</v>
      </c>
      <c r="L6232" s="2">
        <f t="shared" si="97"/>
        <v>150</v>
      </c>
    </row>
    <row r="6233" spans="1:12" ht="25" customHeight="1">
      <c r="A6233" s="2" t="s">
        <v>12</v>
      </c>
      <c r="B6233" s="2" t="str">
        <f>HYPERLINK("http://bbs.12365auto.com/postcontent.aspx?tId=194342","吉利换回四缸机 是醒悟还是迷失")</f>
        <v>吉利换回四缸机 是醒悟还是迷失</v>
      </c>
      <c r="C6233" s="2" t="s">
        <v>13</v>
      </c>
      <c r="D6233" s="2" t="s">
        <v>12</v>
      </c>
      <c r="E6233" s="2" t="s">
        <v>27</v>
      </c>
      <c r="F6233" s="2" t="str">
        <f>HYPERLINK("http://bbs.12365auto.com/postcontent.aspx?tId=194342","http://bbs.12365auto.com/postcontent.aspx?tId=194342")</f>
        <v>http://bbs.12365auto.com/postcontent.aspx?tId=194342</v>
      </c>
      <c r="G6233" s="2"/>
      <c r="H6233" s="2" t="s">
        <v>1924</v>
      </c>
      <c r="I6233" s="2" t="s">
        <v>15</v>
      </c>
      <c r="J6233" s="2" t="s">
        <v>5704</v>
      </c>
      <c r="K6233" s="2" t="s">
        <v>8622</v>
      </c>
      <c r="L6233" s="2">
        <f t="shared" si="97"/>
        <v>150</v>
      </c>
    </row>
    <row r="6234" spans="1:12" ht="25" customHeight="1">
      <c r="A6234" s="2" t="s">
        <v>12</v>
      </c>
      <c r="B6234" s="2" t="str">
        <f>HYPERLINK("http://m.12365auto.com/bbs/postcontent.aspx?tID=194343","六年磨一剑 丰田汉兰达全面升级归来")</f>
        <v>六年磨一剑 丰田汉兰达全面升级归来</v>
      </c>
      <c r="C6234" s="2" t="s">
        <v>13</v>
      </c>
      <c r="D6234" s="2" t="s">
        <v>23</v>
      </c>
      <c r="E6234" s="2"/>
      <c r="F6234" s="2" t="str">
        <f>HYPERLINK("http://m.12365auto.com/bbs/postcontent.aspx?tID=194343","http://m.12365auto.com/bbs/postcontent.aspx?tID=194343")</f>
        <v>http://m.12365auto.com/bbs/postcontent.aspx?tID=194343</v>
      </c>
      <c r="G6234" s="2"/>
      <c r="H6234" s="2" t="s">
        <v>2987</v>
      </c>
      <c r="I6234" s="2" t="s">
        <v>15</v>
      </c>
      <c r="J6234" s="2" t="s">
        <v>5704</v>
      </c>
      <c r="K6234" s="2" t="s">
        <v>8622</v>
      </c>
      <c r="L6234" s="2">
        <f t="shared" si="97"/>
        <v>150</v>
      </c>
    </row>
    <row r="6235" spans="1:12" ht="25" customHeight="1">
      <c r="A6235" s="2" t="s">
        <v>12</v>
      </c>
      <c r="B6235" s="2" t="str">
        <f>HYPERLINK("http://m.12365auto.com/bbs/postcontent.aspx?tID=194342","吉利换回四缸机 是醒悟还是迷失")</f>
        <v>吉利换回四缸机 是醒悟还是迷失</v>
      </c>
      <c r="C6235" s="2" t="s">
        <v>13</v>
      </c>
      <c r="D6235" s="2" t="s">
        <v>23</v>
      </c>
      <c r="E6235" s="2"/>
      <c r="F6235" s="2" t="str">
        <f>HYPERLINK("http://m.12365auto.com/bbs/postcontent.aspx?tID=194342","http://m.12365auto.com/bbs/postcontent.aspx?tID=194342")</f>
        <v>http://m.12365auto.com/bbs/postcontent.aspx?tID=194342</v>
      </c>
      <c r="G6235" s="2"/>
      <c r="H6235" s="2" t="s">
        <v>1924</v>
      </c>
      <c r="I6235" s="2" t="s">
        <v>15</v>
      </c>
      <c r="J6235" s="2" t="s">
        <v>5704</v>
      </c>
      <c r="K6235" s="2" t="s">
        <v>8622</v>
      </c>
      <c r="L6235" s="2">
        <f t="shared" si="97"/>
        <v>150</v>
      </c>
    </row>
    <row r="6236" spans="1:12" ht="25" customHeight="1">
      <c r="A6236" s="2" t="s">
        <v>12</v>
      </c>
      <c r="B6236" s="2" t="str">
        <f>HYPERLINK("http://bbs.12365auto.com/postcontent.aspx?tId=194341","年轻人离梦想最近的那跑车")</f>
        <v>年轻人离梦想最近的那跑车</v>
      </c>
      <c r="C6236" s="2" t="s">
        <v>13</v>
      </c>
      <c r="D6236" s="2" t="s">
        <v>12</v>
      </c>
      <c r="E6236" s="2" t="s">
        <v>27</v>
      </c>
      <c r="F6236" s="2" t="str">
        <f>HYPERLINK("http://bbs.12365auto.com/postcontent.aspx?tId=194341","http://bbs.12365auto.com/postcontent.aspx?tId=194341")</f>
        <v>http://bbs.12365auto.com/postcontent.aspx?tId=194341</v>
      </c>
      <c r="G6236" s="2"/>
      <c r="H6236" s="2" t="s">
        <v>8625</v>
      </c>
      <c r="I6236" s="2" t="s">
        <v>15</v>
      </c>
      <c r="J6236" s="2" t="s">
        <v>5704</v>
      </c>
      <c r="K6236" s="2" t="s">
        <v>8626</v>
      </c>
      <c r="L6236" s="2">
        <f t="shared" si="97"/>
        <v>150</v>
      </c>
    </row>
    <row r="6237" spans="1:12" ht="25" customHeight="1">
      <c r="A6237" s="2" t="s">
        <v>12</v>
      </c>
      <c r="B6237" s="2" t="str">
        <f>HYPERLINK("http://www.12365auto.com/xcdg/20200218/418831.shtml","奥迪RS Q3 Sportback外观开箱解读")</f>
        <v>奥迪RS Q3 Sportback外观开箱解读</v>
      </c>
      <c r="C6237" s="2" t="s">
        <v>13</v>
      </c>
      <c r="D6237" s="2" t="s">
        <v>12</v>
      </c>
      <c r="E6237" s="2" t="s">
        <v>216</v>
      </c>
      <c r="F6237" s="2" t="str">
        <f>HYPERLINK("http://www.12365auto.com/xcdg/20200218/418831.shtml","http://www.12365auto.com/xcdg/20200218/418831.shtml")</f>
        <v>http://www.12365auto.com/xcdg/20200218/418831.shtml</v>
      </c>
      <c r="G6237" s="2"/>
      <c r="H6237" s="2" t="s">
        <v>8627</v>
      </c>
      <c r="I6237" s="2" t="s">
        <v>15</v>
      </c>
      <c r="J6237" s="2" t="s">
        <v>12</v>
      </c>
      <c r="K6237" s="2" t="s">
        <v>8626</v>
      </c>
      <c r="L6237" s="2">
        <f t="shared" si="97"/>
        <v>150</v>
      </c>
    </row>
    <row r="6238" spans="1:12" ht="25" customHeight="1">
      <c r="A6238" s="2" t="s">
        <v>12</v>
      </c>
      <c r="B6238" s="2" t="str">
        <f>HYPERLINK("http://m.12365auto.com/xcdg/20200218/418831.shtml","奥迪RS Q3 Sportback外观开箱解读")</f>
        <v>奥迪RS Q3 Sportback外观开箱解读</v>
      </c>
      <c r="C6238" s="2" t="s">
        <v>13</v>
      </c>
      <c r="D6238" s="2" t="s">
        <v>12</v>
      </c>
      <c r="E6238" s="2"/>
      <c r="F6238" s="2" t="str">
        <f>HYPERLINK("http://m.12365auto.com/xcdg/20200218/418831.shtml","http://m.12365auto.com/xcdg/20200218/418831.shtml")</f>
        <v>http://m.12365auto.com/xcdg/20200218/418831.shtml</v>
      </c>
      <c r="G6238" s="2"/>
      <c r="H6238" s="2" t="s">
        <v>8628</v>
      </c>
      <c r="I6238" s="2" t="s">
        <v>19</v>
      </c>
      <c r="J6238" s="2" t="s">
        <v>1247</v>
      </c>
      <c r="K6238" s="2" t="s">
        <v>8626</v>
      </c>
      <c r="L6238" s="2">
        <f t="shared" si="97"/>
        <v>150</v>
      </c>
    </row>
    <row r="6239" spans="1:12" ht="25" customHeight="1">
      <c r="A6239" s="2" t="s">
        <v>12</v>
      </c>
      <c r="B6239" s="2" t="str">
        <f>HYPERLINK("http://m.12365auto.com/bbs/postcontent.aspx?tID=194341","年轻人离梦想最近的那跑车")</f>
        <v>年轻人离梦想最近的那跑车</v>
      </c>
      <c r="C6239" s="2" t="s">
        <v>13</v>
      </c>
      <c r="D6239" s="2" t="s">
        <v>23</v>
      </c>
      <c r="E6239" s="2"/>
      <c r="F6239" s="2" t="str">
        <f>HYPERLINK("http://m.12365auto.com/bbs/postcontent.aspx?tID=194341","http://m.12365auto.com/bbs/postcontent.aspx?tID=194341")</f>
        <v>http://m.12365auto.com/bbs/postcontent.aspx?tID=194341</v>
      </c>
      <c r="G6239" s="2"/>
      <c r="H6239" s="2" t="s">
        <v>8625</v>
      </c>
      <c r="I6239" s="2" t="s">
        <v>15</v>
      </c>
      <c r="J6239" s="2" t="s">
        <v>5704</v>
      </c>
      <c r="K6239" s="2" t="s">
        <v>8626</v>
      </c>
      <c r="L6239" s="2">
        <f t="shared" si="97"/>
        <v>150</v>
      </c>
    </row>
    <row r="6240" spans="1:12" ht="25" customHeight="1">
      <c r="A6240" s="2" t="s">
        <v>12</v>
      </c>
      <c r="B6240" s="2" t="str">
        <f>HYPERLINK("http://bbs.12365auto.com/postcontent.aspx?tID=194341","年轻人离梦想最近的那跑车")</f>
        <v>年轻人离梦想最近的那跑车</v>
      </c>
      <c r="C6240" s="2" t="s">
        <v>13</v>
      </c>
      <c r="D6240" s="2" t="s">
        <v>12</v>
      </c>
      <c r="E6240" s="2" t="s">
        <v>28</v>
      </c>
      <c r="F6240" s="2" t="str">
        <f>HYPERLINK("http://bbs.12365auto.com/postcontent.aspx?tID=194341","http://bbs.12365auto.com/postcontent.aspx?tID=194341")</f>
        <v>http://bbs.12365auto.com/postcontent.aspx?tID=194341</v>
      </c>
      <c r="G6240" s="2"/>
      <c r="H6240" s="2" t="s">
        <v>8629</v>
      </c>
      <c r="I6240" s="2" t="s">
        <v>15</v>
      </c>
      <c r="J6240" s="2" t="s">
        <v>5704</v>
      </c>
      <c r="K6240" s="2" t="s">
        <v>8626</v>
      </c>
      <c r="L6240" s="2">
        <f t="shared" si="97"/>
        <v>150</v>
      </c>
    </row>
    <row r="6241" spans="1:12" ht="25" customHeight="1">
      <c r="A6241" s="2" t="s">
        <v>12</v>
      </c>
      <c r="B6241" s="2" t="str">
        <f>HYPERLINK("http://bbs.12365auto.com/postcontent.aspx?tId=194339","三款带“T”SUV，10万开回家")</f>
        <v>三款带“T”SUV，10万开回家</v>
      </c>
      <c r="C6241" s="2" t="s">
        <v>13</v>
      </c>
      <c r="D6241" s="2" t="s">
        <v>12</v>
      </c>
      <c r="E6241" s="2" t="s">
        <v>210</v>
      </c>
      <c r="F6241" s="2" t="str">
        <f>HYPERLINK("http://bbs.12365auto.com/postcontent.aspx?tId=194339","http://bbs.12365auto.com/postcontent.aspx?tId=194339")</f>
        <v>http://bbs.12365auto.com/postcontent.aspx?tId=194339</v>
      </c>
      <c r="G6241" s="2"/>
      <c r="H6241" s="2" t="s">
        <v>8630</v>
      </c>
      <c r="I6241" s="2" t="s">
        <v>15</v>
      </c>
      <c r="J6241" s="2" t="s">
        <v>1790</v>
      </c>
      <c r="K6241" s="2" t="s">
        <v>8631</v>
      </c>
      <c r="L6241" s="2">
        <f t="shared" si="97"/>
        <v>150</v>
      </c>
    </row>
    <row r="6242" spans="1:12" ht="25" customHeight="1">
      <c r="A6242" s="2" t="s">
        <v>12</v>
      </c>
      <c r="B6242" s="2" t="str">
        <f>HYPERLINK("http://bbs.12365auto.com/postcontent.aspx?tId=194340","20多万还买迈腾？这些豪华车一个比一个超值")</f>
        <v>20多万还买迈腾？这些豪华车一个比一个超值</v>
      </c>
      <c r="C6242" s="2" t="s">
        <v>13</v>
      </c>
      <c r="D6242" s="2" t="s">
        <v>12</v>
      </c>
      <c r="E6242" s="2" t="s">
        <v>210</v>
      </c>
      <c r="F6242" s="2" t="str">
        <f>HYPERLINK("http://bbs.12365auto.com/postcontent.aspx?tId=194340","http://bbs.12365auto.com/postcontent.aspx?tId=194340")</f>
        <v>http://bbs.12365auto.com/postcontent.aspx?tId=194340</v>
      </c>
      <c r="G6242" s="2"/>
      <c r="H6242" s="2" t="s">
        <v>8632</v>
      </c>
      <c r="I6242" s="2" t="s">
        <v>15</v>
      </c>
      <c r="J6242" s="2" t="s">
        <v>1790</v>
      </c>
      <c r="K6242" s="2" t="s">
        <v>8631</v>
      </c>
      <c r="L6242" s="2">
        <f t="shared" si="97"/>
        <v>150</v>
      </c>
    </row>
    <row r="6243" spans="1:12" ht="25" customHeight="1">
      <c r="A6243" s="2" t="s">
        <v>12</v>
      </c>
      <c r="B6243" s="2" t="str">
        <f>HYPERLINK("http://m.12365auto.com/bbs/postcontent.aspx?tID=194339","三款带“T”SUV，10万开回家")</f>
        <v>三款带“T”SUV，10万开回家</v>
      </c>
      <c r="C6243" s="2" t="s">
        <v>13</v>
      </c>
      <c r="D6243" s="2" t="s">
        <v>23</v>
      </c>
      <c r="E6243" s="2"/>
      <c r="F6243" s="2" t="str">
        <f>HYPERLINK("http://m.12365auto.com/bbs/postcontent.aspx?tID=194339","http://m.12365auto.com/bbs/postcontent.aspx?tID=194339")</f>
        <v>http://m.12365auto.com/bbs/postcontent.aspx?tID=194339</v>
      </c>
      <c r="G6243" s="2"/>
      <c r="H6243" s="2" t="s">
        <v>8630</v>
      </c>
      <c r="I6243" s="2" t="s">
        <v>15</v>
      </c>
      <c r="J6243" s="2" t="s">
        <v>1790</v>
      </c>
      <c r="K6243" s="2" t="s">
        <v>8631</v>
      </c>
      <c r="L6243" s="2">
        <f t="shared" si="97"/>
        <v>150</v>
      </c>
    </row>
    <row r="6244" spans="1:12" ht="25" customHeight="1">
      <c r="A6244" s="2" t="s">
        <v>12</v>
      </c>
      <c r="B6244" s="2" t="str">
        <f>HYPERLINK("http://m.12365auto.com/bbs/postcontent.aspx?tID=194340","20多万还买迈腾？这些豪华车一个比一个超值")</f>
        <v>20多万还买迈腾？这些豪华车一个比一个超值</v>
      </c>
      <c r="C6244" s="2" t="s">
        <v>13</v>
      </c>
      <c r="D6244" s="2" t="s">
        <v>23</v>
      </c>
      <c r="E6244" s="2"/>
      <c r="F6244" s="2" t="str">
        <f>HYPERLINK("http://m.12365auto.com/bbs/postcontent.aspx?tID=194340","http://m.12365auto.com/bbs/postcontent.aspx?tID=194340")</f>
        <v>http://m.12365auto.com/bbs/postcontent.aspx?tID=194340</v>
      </c>
      <c r="G6244" s="2"/>
      <c r="H6244" s="2" t="s">
        <v>8632</v>
      </c>
      <c r="I6244" s="2" t="s">
        <v>15</v>
      </c>
      <c r="J6244" s="2" t="s">
        <v>1790</v>
      </c>
      <c r="K6244" s="2" t="s">
        <v>8631</v>
      </c>
      <c r="L6244" s="2">
        <f t="shared" si="97"/>
        <v>150</v>
      </c>
    </row>
    <row r="6245" spans="1:12" ht="25" customHeight="1">
      <c r="A6245" s="2" t="s">
        <v>12</v>
      </c>
      <c r="B6245" s="2" t="str">
        <f>HYPERLINK("http://bbs.12365auto.com/postcontent.aspx?tId=194338","10万以内比较可靠的5款SUV")</f>
        <v>10万以内比较可靠的5款SUV</v>
      </c>
      <c r="C6245" s="2" t="s">
        <v>13</v>
      </c>
      <c r="D6245" s="2" t="s">
        <v>12</v>
      </c>
      <c r="E6245" s="2" t="s">
        <v>27</v>
      </c>
      <c r="F6245" s="2" t="str">
        <f>HYPERLINK("http://bbs.12365auto.com/postcontent.aspx?tId=194338","http://bbs.12365auto.com/postcontent.aspx?tId=194338")</f>
        <v>http://bbs.12365auto.com/postcontent.aspx?tId=194338</v>
      </c>
      <c r="G6245" s="2"/>
      <c r="H6245" s="2" t="s">
        <v>8633</v>
      </c>
      <c r="I6245" s="2" t="s">
        <v>15</v>
      </c>
      <c r="J6245" s="2" t="s">
        <v>5704</v>
      </c>
      <c r="K6245" s="2" t="s">
        <v>8631</v>
      </c>
      <c r="L6245" s="2">
        <f t="shared" si="97"/>
        <v>150</v>
      </c>
    </row>
    <row r="6246" spans="1:12" ht="25" customHeight="1">
      <c r="A6246" s="2" t="s">
        <v>12</v>
      </c>
      <c r="B6246" s="2" t="str">
        <f>HYPERLINK("http://m.12365auto.com/bbs/postcontent.aspx?tID=194338","10万以内比较可靠的5款SUV")</f>
        <v>10万以内比较可靠的5款SUV</v>
      </c>
      <c r="C6246" s="2" t="s">
        <v>13</v>
      </c>
      <c r="D6246" s="2" t="s">
        <v>23</v>
      </c>
      <c r="E6246" s="2"/>
      <c r="F6246" s="2" t="str">
        <f>HYPERLINK("http://m.12365auto.com/bbs/postcontent.aspx?tID=194338","http://m.12365auto.com/bbs/postcontent.aspx?tID=194338")</f>
        <v>http://m.12365auto.com/bbs/postcontent.aspx?tID=194338</v>
      </c>
      <c r="G6246" s="2"/>
      <c r="H6246" s="2" t="s">
        <v>8633</v>
      </c>
      <c r="I6246" s="2" t="s">
        <v>15</v>
      </c>
      <c r="J6246" s="2" t="s">
        <v>5704</v>
      </c>
      <c r="K6246" s="2" t="s">
        <v>8631</v>
      </c>
      <c r="L6246" s="2">
        <f t="shared" si="97"/>
        <v>150</v>
      </c>
    </row>
    <row r="6247" spans="1:12" ht="25" customHeight="1">
      <c r="A6247" s="2" t="s">
        <v>12</v>
      </c>
      <c r="B6247" s="2" t="str">
        <f>HYPERLINK("http://bbs.12365auto.com/postcontent.aspx?tID=194339","三款带“T”SUV，10万开回家")</f>
        <v>三款带“T”SUV，10万开回家</v>
      </c>
      <c r="C6247" s="2" t="s">
        <v>13</v>
      </c>
      <c r="D6247" s="2" t="s">
        <v>12</v>
      </c>
      <c r="E6247" s="2" t="s">
        <v>214</v>
      </c>
      <c r="F6247" s="2" t="str">
        <f>HYPERLINK("http://bbs.12365auto.com/postcontent.aspx?tID=194339","http://bbs.12365auto.com/postcontent.aspx?tID=194339")</f>
        <v>http://bbs.12365auto.com/postcontent.aspx?tID=194339</v>
      </c>
      <c r="G6247" s="2"/>
      <c r="H6247" s="2" t="s">
        <v>8634</v>
      </c>
      <c r="I6247" s="2" t="s">
        <v>15</v>
      </c>
      <c r="J6247" s="2" t="s">
        <v>1790</v>
      </c>
      <c r="K6247" s="2" t="s">
        <v>8631</v>
      </c>
      <c r="L6247" s="2">
        <f t="shared" si="97"/>
        <v>150</v>
      </c>
    </row>
    <row r="6248" spans="1:12" ht="25" customHeight="1">
      <c r="A6248" s="2" t="s">
        <v>12</v>
      </c>
      <c r="B6248" s="2" t="str">
        <f>HYPERLINK("http://bbs.12365auto.com/postcontent.aspx?tID=194338","10万以内比较可靠的5款SUV")</f>
        <v>10万以内比较可靠的5款SUV</v>
      </c>
      <c r="C6248" s="2" t="s">
        <v>13</v>
      </c>
      <c r="D6248" s="2" t="s">
        <v>12</v>
      </c>
      <c r="E6248" s="2" t="s">
        <v>28</v>
      </c>
      <c r="F6248" s="2" t="str">
        <f>HYPERLINK("http://bbs.12365auto.com/postcontent.aspx?tID=194338","http://bbs.12365auto.com/postcontent.aspx?tID=194338")</f>
        <v>http://bbs.12365auto.com/postcontent.aspx?tID=194338</v>
      </c>
      <c r="G6248" s="2"/>
      <c r="H6248" s="2" t="s">
        <v>8635</v>
      </c>
      <c r="I6248" s="2" t="s">
        <v>15</v>
      </c>
      <c r="J6248" s="2" t="s">
        <v>5704</v>
      </c>
      <c r="K6248" s="2" t="s">
        <v>8631</v>
      </c>
      <c r="L6248" s="2">
        <f t="shared" si="97"/>
        <v>150</v>
      </c>
    </row>
    <row r="6249" spans="1:12" ht="25" customHeight="1">
      <c r="A6249" s="2" t="s">
        <v>12</v>
      </c>
      <c r="B6249" s="2" t="str">
        <f>HYPERLINK("http://bbs.12365auto.com/postcontent.aspx?tID=194340","20多万还买迈腾？这些豪华车一个比一个超值")</f>
        <v>20多万还买迈腾？这些豪华车一个比一个超值</v>
      </c>
      <c r="C6249" s="2" t="s">
        <v>13</v>
      </c>
      <c r="D6249" s="2" t="s">
        <v>12</v>
      </c>
      <c r="E6249" s="2" t="s">
        <v>214</v>
      </c>
      <c r="F6249" s="2" t="str">
        <f>HYPERLINK("http://bbs.12365auto.com/postcontent.aspx?tID=194340","http://bbs.12365auto.com/postcontent.aspx?tID=194340")</f>
        <v>http://bbs.12365auto.com/postcontent.aspx?tID=194340</v>
      </c>
      <c r="G6249" s="2"/>
      <c r="H6249" s="2" t="s">
        <v>8636</v>
      </c>
      <c r="I6249" s="2" t="s">
        <v>15</v>
      </c>
      <c r="J6249" s="2" t="s">
        <v>1790</v>
      </c>
      <c r="K6249" s="2" t="s">
        <v>8631</v>
      </c>
      <c r="L6249" s="2">
        <f t="shared" si="97"/>
        <v>150</v>
      </c>
    </row>
    <row r="6250" spans="1:12" ht="25" customHeight="1">
      <c r="A6250" s="2" t="s">
        <v>12</v>
      </c>
      <c r="B6250" s="2" t="str">
        <f>HYPERLINK("http://bbs.12365auto.com/postcontent.aspx?tID=194336","2019全球卖最好的10款车 国内都有卖")</f>
        <v>2019全球卖最好的10款车 国内都有卖</v>
      </c>
      <c r="C6250" s="2" t="s">
        <v>13</v>
      </c>
      <c r="D6250" s="2" t="s">
        <v>12</v>
      </c>
      <c r="E6250" s="2" t="s">
        <v>28</v>
      </c>
      <c r="F6250" s="2" t="str">
        <f>HYPERLINK("http://bbs.12365auto.com/postcontent.aspx?tID=194336","http://bbs.12365auto.com/postcontent.aspx?tID=194336")</f>
        <v>http://bbs.12365auto.com/postcontent.aspx?tID=194336</v>
      </c>
      <c r="G6250" s="2"/>
      <c r="H6250" s="2" t="s">
        <v>8637</v>
      </c>
      <c r="I6250" s="2" t="s">
        <v>15</v>
      </c>
      <c r="J6250" s="2" t="s">
        <v>5704</v>
      </c>
      <c r="K6250" s="2" t="s">
        <v>8638</v>
      </c>
      <c r="L6250" s="2">
        <f t="shared" si="97"/>
        <v>150</v>
      </c>
    </row>
    <row r="6251" spans="1:12" ht="25" customHeight="1">
      <c r="A6251" s="2" t="s">
        <v>12</v>
      </c>
      <c r="B6251" s="2" t="str">
        <f>HYPERLINK("http://bbs.12365auto.com/postcontent.aspx?tId=194337","买不起汉兰达，这款合资七座SUV可以买吗？")</f>
        <v>买不起汉兰达，这款合资七座SUV可以买吗？</v>
      </c>
      <c r="C6251" s="2" t="s">
        <v>13</v>
      </c>
      <c r="D6251" s="2" t="s">
        <v>12</v>
      </c>
      <c r="E6251" s="2" t="s">
        <v>210</v>
      </c>
      <c r="F6251" s="2" t="str">
        <f>HYPERLINK("http://bbs.12365auto.com/postcontent.aspx?tId=194337","http://bbs.12365auto.com/postcontent.aspx?tId=194337")</f>
        <v>http://bbs.12365auto.com/postcontent.aspx?tId=194337</v>
      </c>
      <c r="G6251" s="2"/>
      <c r="H6251" s="2" t="s">
        <v>8639</v>
      </c>
      <c r="I6251" s="2" t="s">
        <v>15</v>
      </c>
      <c r="J6251" s="2" t="s">
        <v>1790</v>
      </c>
      <c r="K6251" s="2" t="s">
        <v>8638</v>
      </c>
      <c r="L6251" s="2">
        <f t="shared" si="97"/>
        <v>150</v>
      </c>
    </row>
    <row r="6252" spans="1:12" ht="25" customHeight="1">
      <c r="A6252" s="2" t="s">
        <v>12</v>
      </c>
      <c r="B6252" s="2" t="str">
        <f>HYPERLINK("http://m.12365auto.com/bbs/postcontent.aspx?tID=194336&amp;i=1","2019全球卖最好的10款车 国内都有卖")</f>
        <v>2019全球卖最好的10款车 国内都有卖</v>
      </c>
      <c r="C6252" s="2" t="s">
        <v>13</v>
      </c>
      <c r="D6252" s="2" t="s">
        <v>23</v>
      </c>
      <c r="E6252" s="2"/>
      <c r="F6252" s="2" t="str">
        <f>HYPERLINK("http://m.12365auto.com/bbs/postcontent.aspx?tID=194336&amp;i=1","http://m.12365auto.com/bbs/postcontent.aspx?tID=194336&amp;i=1")</f>
        <v>http://m.12365auto.com/bbs/postcontent.aspx?tID=194336&amp;i=1</v>
      </c>
      <c r="G6252" s="2"/>
      <c r="H6252" s="2" t="s">
        <v>8640</v>
      </c>
      <c r="I6252" s="2" t="s">
        <v>15</v>
      </c>
      <c r="J6252" s="2" t="s">
        <v>5704</v>
      </c>
      <c r="K6252" s="2" t="s">
        <v>8638</v>
      </c>
      <c r="L6252" s="2">
        <f t="shared" si="97"/>
        <v>150</v>
      </c>
    </row>
    <row r="6253" spans="1:12" ht="25" customHeight="1">
      <c r="A6253" s="2" t="s">
        <v>12</v>
      </c>
      <c r="B6253" s="2" t="str">
        <f>HYPERLINK("http://bbs.12365auto.com/postcontent.aspx?tId=194336","2019全球卖最好的10款车 国内都有卖")</f>
        <v>2019全球卖最好的10款车 国内都有卖</v>
      </c>
      <c r="C6253" s="2" t="s">
        <v>13</v>
      </c>
      <c r="D6253" s="2" t="s">
        <v>12</v>
      </c>
      <c r="E6253" s="2" t="s">
        <v>27</v>
      </c>
      <c r="F6253" s="2" t="str">
        <f>HYPERLINK("http://bbs.12365auto.com/postcontent.aspx?tId=194336","http://bbs.12365auto.com/postcontent.aspx?tId=194336")</f>
        <v>http://bbs.12365auto.com/postcontent.aspx?tId=194336</v>
      </c>
      <c r="G6253" s="2"/>
      <c r="H6253" s="2" t="s">
        <v>8640</v>
      </c>
      <c r="I6253" s="2" t="s">
        <v>15</v>
      </c>
      <c r="J6253" s="2" t="s">
        <v>5704</v>
      </c>
      <c r="K6253" s="2" t="s">
        <v>8638</v>
      </c>
      <c r="L6253" s="2">
        <f t="shared" si="97"/>
        <v>150</v>
      </c>
    </row>
    <row r="6254" spans="1:12" ht="25" customHeight="1">
      <c r="A6254" s="2" t="s">
        <v>12</v>
      </c>
      <c r="B6254" s="2" t="str">
        <f>HYPERLINK("http://www.12365auto.com/xcdg/20200218/418830.shtml","广汽新能源Aion V将4月上市 预计18万起")</f>
        <v>广汽新能源Aion V将4月上市 预计18万起</v>
      </c>
      <c r="C6254" s="2" t="s">
        <v>13</v>
      </c>
      <c r="D6254" s="2" t="s">
        <v>12</v>
      </c>
      <c r="E6254" s="2" t="s">
        <v>216</v>
      </c>
      <c r="F6254" s="2" t="str">
        <f>HYPERLINK("http://www.12365auto.com/xcdg/20200218/418830.shtml","http://www.12365auto.com/xcdg/20200218/418830.shtml")</f>
        <v>http://www.12365auto.com/xcdg/20200218/418830.shtml</v>
      </c>
      <c r="G6254" s="2"/>
      <c r="H6254" s="2" t="s">
        <v>8641</v>
      </c>
      <c r="I6254" s="2" t="s">
        <v>15</v>
      </c>
      <c r="J6254" s="2" t="s">
        <v>12</v>
      </c>
      <c r="K6254" s="2" t="s">
        <v>8638</v>
      </c>
      <c r="L6254" s="2">
        <f t="shared" si="97"/>
        <v>150</v>
      </c>
    </row>
    <row r="6255" spans="1:12" ht="25" customHeight="1">
      <c r="A6255" s="2" t="s">
        <v>12</v>
      </c>
      <c r="B6255" s="2" t="str">
        <f>HYPERLINK("http://m.12365auto.com/xcdg/20200218/418830.shtml","广汽新能源Aion V将4月上市 预计18万起")</f>
        <v>广汽新能源Aion V将4月上市 预计18万起</v>
      </c>
      <c r="C6255" s="2" t="s">
        <v>13</v>
      </c>
      <c r="D6255" s="2" t="s">
        <v>12</v>
      </c>
      <c r="E6255" s="2"/>
      <c r="F6255" s="2" t="str">
        <f>HYPERLINK("http://m.12365auto.com/xcdg/20200218/418830.shtml","http://m.12365auto.com/xcdg/20200218/418830.shtml")</f>
        <v>http://m.12365auto.com/xcdg/20200218/418830.shtml</v>
      </c>
      <c r="G6255" s="2"/>
      <c r="H6255" s="2" t="s">
        <v>8642</v>
      </c>
      <c r="I6255" s="2" t="s">
        <v>19</v>
      </c>
      <c r="J6255" s="2" t="s">
        <v>257</v>
      </c>
      <c r="K6255" s="2" t="s">
        <v>8638</v>
      </c>
      <c r="L6255" s="2">
        <f t="shared" si="97"/>
        <v>150</v>
      </c>
    </row>
    <row r="6256" spans="1:12" ht="25" customHeight="1">
      <c r="A6256" s="2" t="s">
        <v>12</v>
      </c>
      <c r="B6256" s="2" t="str">
        <f>HYPERLINK("http://m.12365auto.com/bbs/postcontent.aspx?tID=194336","2019全球卖最好的10款车 国内都有卖")</f>
        <v>2019全球卖最好的10款车 国内都有卖</v>
      </c>
      <c r="C6256" s="2" t="s">
        <v>13</v>
      </c>
      <c r="D6256" s="2" t="s">
        <v>23</v>
      </c>
      <c r="E6256" s="2"/>
      <c r="F6256" s="2" t="str">
        <f>HYPERLINK("http://m.12365auto.com/bbs/postcontent.aspx?tID=194336","http://m.12365auto.com/bbs/postcontent.aspx?tID=194336")</f>
        <v>http://m.12365auto.com/bbs/postcontent.aspx?tID=194336</v>
      </c>
      <c r="G6256" s="2"/>
      <c r="H6256" s="2" t="s">
        <v>8640</v>
      </c>
      <c r="I6256" s="2" t="s">
        <v>15</v>
      </c>
      <c r="J6256" s="2" t="s">
        <v>5704</v>
      </c>
      <c r="K6256" s="2" t="s">
        <v>8638</v>
      </c>
      <c r="L6256" s="2">
        <f t="shared" si="97"/>
        <v>150</v>
      </c>
    </row>
    <row r="6257" spans="1:12" ht="25" customHeight="1">
      <c r="A6257" s="2" t="s">
        <v>12</v>
      </c>
      <c r="B6257" s="2" t="str">
        <f>HYPERLINK("http://bbs.12365auto.com/postcontent.aspx?tID=194337","买不起汉兰达，这款合资七座SUV可以买吗？")</f>
        <v>买不起汉兰达，这款合资七座SUV可以买吗？</v>
      </c>
      <c r="C6257" s="2" t="s">
        <v>13</v>
      </c>
      <c r="D6257" s="2" t="s">
        <v>12</v>
      </c>
      <c r="E6257" s="2" t="s">
        <v>214</v>
      </c>
      <c r="F6257" s="2" t="str">
        <f>HYPERLINK("http://bbs.12365auto.com/postcontent.aspx?tID=194337","http://bbs.12365auto.com/postcontent.aspx?tID=194337")</f>
        <v>http://bbs.12365auto.com/postcontent.aspx?tID=194337</v>
      </c>
      <c r="G6257" s="2"/>
      <c r="H6257" s="2" t="s">
        <v>8643</v>
      </c>
      <c r="I6257" s="2" t="s">
        <v>15</v>
      </c>
      <c r="J6257" s="2" t="s">
        <v>1790</v>
      </c>
      <c r="K6257" s="2" t="s">
        <v>8638</v>
      </c>
      <c r="L6257" s="2">
        <f t="shared" si="97"/>
        <v>150</v>
      </c>
    </row>
    <row r="6258" spans="1:12" ht="25" customHeight="1">
      <c r="A6258" s="2" t="s">
        <v>12</v>
      </c>
      <c r="B6258" s="2" t="str">
        <f>HYPERLINK("http://bbs.12365auto.com/postcontent.aspx?tID=194335","MPV市场拐点已至，2020年或是爆发年？")</f>
        <v>MPV市场拐点已至，2020年或是爆发年？</v>
      </c>
      <c r="C6258" s="2" t="s">
        <v>13</v>
      </c>
      <c r="D6258" s="2" t="s">
        <v>12</v>
      </c>
      <c r="E6258" s="2" t="s">
        <v>214</v>
      </c>
      <c r="F6258" s="2" t="str">
        <f>HYPERLINK("http://bbs.12365auto.com/postcontent.aspx?tID=194335","http://bbs.12365auto.com/postcontent.aspx?tID=194335")</f>
        <v>http://bbs.12365auto.com/postcontent.aspx?tID=194335</v>
      </c>
      <c r="G6258" s="2"/>
      <c r="H6258" s="2" t="s">
        <v>8644</v>
      </c>
      <c r="I6258" s="2" t="s">
        <v>15</v>
      </c>
      <c r="J6258" s="2" t="s">
        <v>1790</v>
      </c>
      <c r="K6258" s="2" t="s">
        <v>8645</v>
      </c>
      <c r="L6258" s="2">
        <f t="shared" si="97"/>
        <v>150</v>
      </c>
    </row>
    <row r="6259" spans="1:12" ht="25" customHeight="1">
      <c r="A6259" s="2" t="s">
        <v>12</v>
      </c>
      <c r="B6259" s="2" t="str">
        <f>HYPERLINK("http://bbs.12365auto.com/postcontent.aspx?tID=194334","这才是男人的车！20万入手大排量V6")</f>
        <v>这才是男人的车！20万入手大排量V6</v>
      </c>
      <c r="C6259" s="2" t="s">
        <v>13</v>
      </c>
      <c r="D6259" s="2" t="s">
        <v>12</v>
      </c>
      <c r="E6259" s="2" t="s">
        <v>214</v>
      </c>
      <c r="F6259" s="2" t="str">
        <f>HYPERLINK("http://bbs.12365auto.com/postcontent.aspx?tID=194334","http://bbs.12365auto.com/postcontent.aspx?tID=194334")</f>
        <v>http://bbs.12365auto.com/postcontent.aspx?tID=194334</v>
      </c>
      <c r="G6259" s="2"/>
      <c r="H6259" s="2" t="s">
        <v>8646</v>
      </c>
      <c r="I6259" s="2" t="s">
        <v>15</v>
      </c>
      <c r="J6259" s="2" t="s">
        <v>1790</v>
      </c>
      <c r="K6259" s="2" t="s">
        <v>8645</v>
      </c>
      <c r="L6259" s="2">
        <f t="shared" si="97"/>
        <v>150</v>
      </c>
    </row>
    <row r="6260" spans="1:12" ht="25" customHeight="1">
      <c r="A6260" s="2" t="s">
        <v>12</v>
      </c>
      <c r="B6260" s="2" t="str">
        <f>HYPERLINK("http://bbs.12365auto.com/postcontent.aspx?tId=194335","MPV市场拐点已至，2020年或是爆发年？")</f>
        <v>MPV市场拐点已至，2020年或是爆发年？</v>
      </c>
      <c r="C6260" s="2" t="s">
        <v>13</v>
      </c>
      <c r="D6260" s="2" t="s">
        <v>12</v>
      </c>
      <c r="E6260" s="2" t="s">
        <v>210</v>
      </c>
      <c r="F6260" s="2" t="str">
        <f>HYPERLINK("http://bbs.12365auto.com/postcontent.aspx?tId=194335","http://bbs.12365auto.com/postcontent.aspx?tId=194335")</f>
        <v>http://bbs.12365auto.com/postcontent.aspx?tId=194335</v>
      </c>
      <c r="G6260" s="2"/>
      <c r="H6260" s="2" t="s">
        <v>8647</v>
      </c>
      <c r="I6260" s="2" t="s">
        <v>15</v>
      </c>
      <c r="J6260" s="2" t="s">
        <v>1790</v>
      </c>
      <c r="K6260" s="2" t="s">
        <v>8645</v>
      </c>
      <c r="L6260" s="2">
        <f t="shared" si="97"/>
        <v>150</v>
      </c>
    </row>
    <row r="6261" spans="1:12" ht="25" customHeight="1">
      <c r="A6261" s="2" t="s">
        <v>12</v>
      </c>
      <c r="B6261" s="2" t="str">
        <f>HYPERLINK("http://bbs.12365auto.com/postcontent.aspx?tId=194334","这才是男人的车！20万入手大排量V6")</f>
        <v>这才是男人的车！20万入手大排量V6</v>
      </c>
      <c r="C6261" s="2" t="s">
        <v>13</v>
      </c>
      <c r="D6261" s="2" t="s">
        <v>12</v>
      </c>
      <c r="E6261" s="2" t="s">
        <v>210</v>
      </c>
      <c r="F6261" s="2" t="str">
        <f>HYPERLINK("http://bbs.12365auto.com/postcontent.aspx?tId=194334","http://bbs.12365auto.com/postcontent.aspx?tId=194334")</f>
        <v>http://bbs.12365auto.com/postcontent.aspx?tId=194334</v>
      </c>
      <c r="G6261" s="2"/>
      <c r="H6261" s="2" t="s">
        <v>8648</v>
      </c>
      <c r="I6261" s="2" t="s">
        <v>15</v>
      </c>
      <c r="J6261" s="2" t="s">
        <v>1790</v>
      </c>
      <c r="K6261" s="2" t="s">
        <v>8645</v>
      </c>
      <c r="L6261" s="2">
        <f t="shared" si="97"/>
        <v>150</v>
      </c>
    </row>
    <row r="6262" spans="1:12" ht="25" customHeight="1">
      <c r="A6262" s="2" t="s">
        <v>12</v>
      </c>
      <c r="B6262" s="2" t="str">
        <f>HYPERLINK("http://bbs.12365auto.com/postcontent.aspx?tId=194333","日系B级三剑客怎么选")</f>
        <v>日系B级三剑客怎么选</v>
      </c>
      <c r="C6262" s="2" t="s">
        <v>13</v>
      </c>
      <c r="D6262" s="2" t="s">
        <v>12</v>
      </c>
      <c r="E6262" s="2" t="s">
        <v>27</v>
      </c>
      <c r="F6262" s="2" t="str">
        <f>HYPERLINK("http://bbs.12365auto.com/postcontent.aspx?tId=194333","http://bbs.12365auto.com/postcontent.aspx?tId=194333")</f>
        <v>http://bbs.12365auto.com/postcontent.aspx?tId=194333</v>
      </c>
      <c r="G6262" s="2"/>
      <c r="H6262" s="2" t="s">
        <v>8649</v>
      </c>
      <c r="I6262" s="2" t="s">
        <v>15</v>
      </c>
      <c r="J6262" s="2" t="s">
        <v>5704</v>
      </c>
      <c r="K6262" s="2" t="s">
        <v>8645</v>
      </c>
      <c r="L6262" s="2">
        <f t="shared" si="97"/>
        <v>150</v>
      </c>
    </row>
    <row r="6263" spans="1:12" ht="25" customHeight="1">
      <c r="A6263" s="2" t="s">
        <v>12</v>
      </c>
      <c r="B6263" s="2" t="str">
        <f>HYPERLINK("http://bbs.12365auto.com/postcontent.aspx?tID=194333","日系B级三剑客怎么选")</f>
        <v>日系B级三剑客怎么选</v>
      </c>
      <c r="C6263" s="2" t="s">
        <v>13</v>
      </c>
      <c r="D6263" s="2" t="s">
        <v>12</v>
      </c>
      <c r="E6263" s="2" t="s">
        <v>28</v>
      </c>
      <c r="F6263" s="2" t="str">
        <f>HYPERLINK("http://bbs.12365auto.com/postcontent.aspx?tID=194333","http://bbs.12365auto.com/postcontent.aspx?tID=194333")</f>
        <v>http://bbs.12365auto.com/postcontent.aspx?tID=194333</v>
      </c>
      <c r="G6263" s="2"/>
      <c r="H6263" s="2" t="s">
        <v>8650</v>
      </c>
      <c r="I6263" s="2" t="s">
        <v>15</v>
      </c>
      <c r="J6263" s="2" t="s">
        <v>5704</v>
      </c>
      <c r="K6263" s="2" t="s">
        <v>8645</v>
      </c>
      <c r="L6263" s="2">
        <f t="shared" si="97"/>
        <v>150</v>
      </c>
    </row>
    <row r="6264" spans="1:12" ht="25" customHeight="1">
      <c r="A6264" s="2" t="s">
        <v>12</v>
      </c>
      <c r="B6264" s="2" t="str">
        <f>HYPERLINK("http://www.12365auto.com/news/20200218/418829.shtml","广汽传祺GM8逆势大涨 将升级滤芯技术")</f>
        <v>广汽传祺GM8逆势大涨 将升级滤芯技术</v>
      </c>
      <c r="C6264" s="2" t="s">
        <v>13</v>
      </c>
      <c r="D6264" s="2" t="s">
        <v>12</v>
      </c>
      <c r="E6264" s="2" t="s">
        <v>276</v>
      </c>
      <c r="F6264" s="2" t="str">
        <f>HYPERLINK("http://www.12365auto.com/news/20200218/418829.shtml","http://www.12365auto.com/news/20200218/418829.shtml")</f>
        <v>http://www.12365auto.com/news/20200218/418829.shtml</v>
      </c>
      <c r="G6264" s="2"/>
      <c r="H6264" s="2" t="s">
        <v>8651</v>
      </c>
      <c r="I6264" s="2" t="s">
        <v>15</v>
      </c>
      <c r="J6264" s="2" t="s">
        <v>12</v>
      </c>
      <c r="K6264" s="2" t="s">
        <v>8645</v>
      </c>
      <c r="L6264" s="2">
        <f t="shared" si="97"/>
        <v>150</v>
      </c>
    </row>
    <row r="6265" spans="1:12" ht="25" customHeight="1">
      <c r="A6265" s="2" t="s">
        <v>12</v>
      </c>
      <c r="B6265" s="2" t="str">
        <f>HYPERLINK("http://m.12365auto.com/news/20200218/418829.shtml","广汽传祺GM8逆势大涨 将升级滤芯技术")</f>
        <v>广汽传祺GM8逆势大涨 将升级滤芯技术</v>
      </c>
      <c r="C6265" s="2" t="s">
        <v>13</v>
      </c>
      <c r="D6265" s="2" t="s">
        <v>12</v>
      </c>
      <c r="E6265" s="2"/>
      <c r="F6265" s="2" t="str">
        <f>HYPERLINK("http://m.12365auto.com/news/20200218/418829.shtml","http://m.12365auto.com/news/20200218/418829.shtml")</f>
        <v>http://m.12365auto.com/news/20200218/418829.shtml</v>
      </c>
      <c r="G6265" s="2"/>
      <c r="H6265" s="2" t="s">
        <v>8652</v>
      </c>
      <c r="I6265" s="2" t="s">
        <v>19</v>
      </c>
      <c r="J6265" s="2" t="s">
        <v>6086</v>
      </c>
      <c r="K6265" s="2" t="s">
        <v>8645</v>
      </c>
      <c r="L6265" s="2">
        <f t="shared" si="97"/>
        <v>150</v>
      </c>
    </row>
    <row r="6266" spans="1:12" ht="25" customHeight="1">
      <c r="A6266" s="2" t="s">
        <v>12</v>
      </c>
      <c r="B6266" s="2" t="str">
        <f>HYPERLINK("http://m.12365auto.com/bbs/postcontent.aspx?tID=194333","日系B级三剑客怎么选")</f>
        <v>日系B级三剑客怎么选</v>
      </c>
      <c r="C6266" s="2" t="s">
        <v>13</v>
      </c>
      <c r="D6266" s="2" t="s">
        <v>23</v>
      </c>
      <c r="E6266" s="2"/>
      <c r="F6266" s="2" t="str">
        <f>HYPERLINK("http://m.12365auto.com/bbs/postcontent.aspx?tID=194333","http://m.12365auto.com/bbs/postcontent.aspx?tID=194333")</f>
        <v>http://m.12365auto.com/bbs/postcontent.aspx?tID=194333</v>
      </c>
      <c r="G6266" s="2"/>
      <c r="H6266" s="2" t="s">
        <v>8649</v>
      </c>
      <c r="I6266" s="2" t="s">
        <v>15</v>
      </c>
      <c r="J6266" s="2" t="s">
        <v>5704</v>
      </c>
      <c r="K6266" s="2" t="s">
        <v>8645</v>
      </c>
      <c r="L6266" s="2">
        <f t="shared" si="97"/>
        <v>150</v>
      </c>
    </row>
    <row r="6267" spans="1:12" ht="25" customHeight="1">
      <c r="A6267" s="2" t="s">
        <v>12</v>
      </c>
      <c r="B6267" s="2" t="str">
        <f>HYPERLINK("http://bbs.12365auto.com/postcontent.aspx?tId=194332","为何满大街出租车都用大众")</f>
        <v>为何满大街出租车都用大众</v>
      </c>
      <c r="C6267" s="2" t="s">
        <v>13</v>
      </c>
      <c r="D6267" s="2" t="s">
        <v>12</v>
      </c>
      <c r="E6267" s="2" t="s">
        <v>27</v>
      </c>
      <c r="F6267" s="2" t="str">
        <f>HYPERLINK("http://bbs.12365auto.com/postcontent.aspx?tId=194332","http://bbs.12365auto.com/postcontent.aspx?tId=194332")</f>
        <v>http://bbs.12365auto.com/postcontent.aspx?tId=194332</v>
      </c>
      <c r="G6267" s="2"/>
      <c r="H6267" s="2" t="s">
        <v>2712</v>
      </c>
      <c r="I6267" s="2" t="s">
        <v>15</v>
      </c>
      <c r="J6267" s="2" t="s">
        <v>5704</v>
      </c>
      <c r="K6267" s="2" t="s">
        <v>8653</v>
      </c>
      <c r="L6267" s="2">
        <f t="shared" si="97"/>
        <v>150</v>
      </c>
    </row>
    <row r="6268" spans="1:12" ht="25" customHeight="1">
      <c r="A6268" s="2" t="s">
        <v>12</v>
      </c>
      <c r="B6268" s="2" t="str">
        <f>HYPERLINK("http://bbs.12365auto.com/postcontent.aspx?tID=194332","为何满大街出租车都用大众")</f>
        <v>为何满大街出租车都用大众</v>
      </c>
      <c r="C6268" s="2" t="s">
        <v>13</v>
      </c>
      <c r="D6268" s="2" t="s">
        <v>12</v>
      </c>
      <c r="E6268" s="2" t="s">
        <v>28</v>
      </c>
      <c r="F6268" s="2" t="str">
        <f>HYPERLINK("http://bbs.12365auto.com/postcontent.aspx?tID=194332","http://bbs.12365auto.com/postcontent.aspx?tID=194332")</f>
        <v>http://bbs.12365auto.com/postcontent.aspx?tID=194332</v>
      </c>
      <c r="G6268" s="2"/>
      <c r="H6268" s="2" t="s">
        <v>8654</v>
      </c>
      <c r="I6268" s="2" t="s">
        <v>15</v>
      </c>
      <c r="J6268" s="2" t="s">
        <v>5704</v>
      </c>
      <c r="K6268" s="2" t="s">
        <v>8653</v>
      </c>
      <c r="L6268" s="2">
        <f t="shared" si="97"/>
        <v>150</v>
      </c>
    </row>
    <row r="6269" spans="1:12" ht="25" customHeight="1">
      <c r="A6269" s="2" t="s">
        <v>12</v>
      </c>
      <c r="B6269" s="2" t="str">
        <f>HYPERLINK("http://m.12365auto.com/bbs/postcontent.aspx?tID=194332","为何满大街出租车都用大众")</f>
        <v>为何满大街出租车都用大众</v>
      </c>
      <c r="C6269" s="2" t="s">
        <v>13</v>
      </c>
      <c r="D6269" s="2" t="s">
        <v>23</v>
      </c>
      <c r="E6269" s="2"/>
      <c r="F6269" s="2" t="str">
        <f>HYPERLINK("http://m.12365auto.com/bbs/postcontent.aspx?tID=194332","http://m.12365auto.com/bbs/postcontent.aspx?tID=194332")</f>
        <v>http://m.12365auto.com/bbs/postcontent.aspx?tID=194332</v>
      </c>
      <c r="G6269" s="2"/>
      <c r="H6269" s="2" t="s">
        <v>2712</v>
      </c>
      <c r="I6269" s="2" t="s">
        <v>15</v>
      </c>
      <c r="J6269" s="2" t="s">
        <v>5704</v>
      </c>
      <c r="K6269" s="2" t="s">
        <v>8653</v>
      </c>
      <c r="L6269" s="2">
        <f t="shared" si="97"/>
        <v>150</v>
      </c>
    </row>
    <row r="6270" spans="1:12" ht="25" customHeight="1">
      <c r="A6270" s="2" t="s">
        <v>12</v>
      </c>
      <c r="B6270" s="2" t="str">
        <f>HYPERLINK("http://bbs.12365auto.com/postcontent.aspx?tID=194329","性价比高的SUV，千万别忽视这几款")</f>
        <v>性价比高的SUV，千万别忽视这几款</v>
      </c>
      <c r="C6270" s="2" t="s">
        <v>13</v>
      </c>
      <c r="D6270" s="2" t="s">
        <v>12</v>
      </c>
      <c r="E6270" s="2" t="s">
        <v>214</v>
      </c>
      <c r="F6270" s="2" t="str">
        <f>HYPERLINK("http://bbs.12365auto.com/postcontent.aspx?tID=194329","http://bbs.12365auto.com/postcontent.aspx?tID=194329")</f>
        <v>http://bbs.12365auto.com/postcontent.aspx?tID=194329</v>
      </c>
      <c r="G6270" s="2"/>
      <c r="H6270" s="2" t="s">
        <v>8655</v>
      </c>
      <c r="I6270" s="2" t="s">
        <v>15</v>
      </c>
      <c r="J6270" s="2" t="s">
        <v>1790</v>
      </c>
      <c r="K6270" s="2" t="s">
        <v>8656</v>
      </c>
      <c r="L6270" s="2">
        <f t="shared" si="97"/>
        <v>150</v>
      </c>
    </row>
    <row r="6271" spans="1:12" ht="25" customHeight="1">
      <c r="A6271" s="2" t="s">
        <v>12</v>
      </c>
      <c r="B6271" s="2" t="str">
        <f>HYPERLINK("http://bbs.12365auto.com/postcontent.aspx?tId=194329","性价比高的SUV，千万别忽视这几款")</f>
        <v>性价比高的SUV，千万别忽视这几款</v>
      </c>
      <c r="C6271" s="2" t="s">
        <v>13</v>
      </c>
      <c r="D6271" s="2" t="s">
        <v>12</v>
      </c>
      <c r="E6271" s="2" t="s">
        <v>210</v>
      </c>
      <c r="F6271" s="2" t="str">
        <f>HYPERLINK("http://bbs.12365auto.com/postcontent.aspx?tId=194329","http://bbs.12365auto.com/postcontent.aspx?tId=194329")</f>
        <v>http://bbs.12365auto.com/postcontent.aspx?tId=194329</v>
      </c>
      <c r="G6271" s="2"/>
      <c r="H6271" s="2" t="s">
        <v>3080</v>
      </c>
      <c r="I6271" s="2" t="s">
        <v>15</v>
      </c>
      <c r="J6271" s="2" t="s">
        <v>1790</v>
      </c>
      <c r="K6271" s="2" t="s">
        <v>8656</v>
      </c>
      <c r="L6271" s="2">
        <f t="shared" si="97"/>
        <v>150</v>
      </c>
    </row>
    <row r="6272" spans="1:12" ht="25" customHeight="1">
      <c r="A6272" s="2" t="s">
        <v>12</v>
      </c>
      <c r="B6272" s="2" t="str">
        <f>HYPERLINK("http://bbs.12365auto.com/postcontent.aspx?tId=194331","好看性价比也高的合资SUV，销量会好吗？")</f>
        <v>好看性价比也高的合资SUV，销量会好吗？</v>
      </c>
      <c r="C6272" s="2" t="s">
        <v>13</v>
      </c>
      <c r="D6272" s="2" t="s">
        <v>12</v>
      </c>
      <c r="E6272" s="2" t="s">
        <v>210</v>
      </c>
      <c r="F6272" s="2" t="str">
        <f>HYPERLINK("http://bbs.12365auto.com/postcontent.aspx?tId=194331","http://bbs.12365auto.com/postcontent.aspx?tId=194331")</f>
        <v>http://bbs.12365auto.com/postcontent.aspx?tId=194331</v>
      </c>
      <c r="G6272" s="2"/>
      <c r="H6272" s="2" t="s">
        <v>8657</v>
      </c>
      <c r="I6272" s="2" t="s">
        <v>15</v>
      </c>
      <c r="J6272" s="2" t="s">
        <v>1790</v>
      </c>
      <c r="K6272" s="2" t="s">
        <v>8656</v>
      </c>
      <c r="L6272" s="2">
        <f t="shared" si="97"/>
        <v>150</v>
      </c>
    </row>
    <row r="6273" spans="1:12" ht="25" customHeight="1">
      <c r="A6273" s="2" t="s">
        <v>12</v>
      </c>
      <c r="B6273" s="2" t="str">
        <f>HYPERLINK("http://bbs.12365auto.com/postcontent.aspx?tId=194330","五款不保值的好车 购买二手车人群的福音")</f>
        <v>五款不保值的好车 购买二手车人群的福音</v>
      </c>
      <c r="C6273" s="2" t="s">
        <v>13</v>
      </c>
      <c r="D6273" s="2" t="s">
        <v>12</v>
      </c>
      <c r="E6273" s="2" t="s">
        <v>27</v>
      </c>
      <c r="F6273" s="2" t="str">
        <f>HYPERLINK("http://bbs.12365auto.com/postcontent.aspx?tId=194330","http://bbs.12365auto.com/postcontent.aspx?tId=194330")</f>
        <v>http://bbs.12365auto.com/postcontent.aspx?tId=194330</v>
      </c>
      <c r="G6273" s="2"/>
      <c r="H6273" s="2" t="s">
        <v>8658</v>
      </c>
      <c r="I6273" s="2" t="s">
        <v>15</v>
      </c>
      <c r="J6273" s="2" t="s">
        <v>5704</v>
      </c>
      <c r="K6273" s="2" t="s">
        <v>8656</v>
      </c>
      <c r="L6273" s="2">
        <f t="shared" si="97"/>
        <v>150</v>
      </c>
    </row>
    <row r="6274" spans="1:12" ht="25" customHeight="1">
      <c r="A6274" s="2" t="s">
        <v>12</v>
      </c>
      <c r="B6274" s="2" t="str">
        <f>HYPERLINK("http://bbs.12365auto.com/postcontent.aspx?tID=194330","五款不保值的好车 购买二手车人群的福音")</f>
        <v>五款不保值的好车 购买二手车人群的福音</v>
      </c>
      <c r="C6274" s="2" t="s">
        <v>13</v>
      </c>
      <c r="D6274" s="2" t="s">
        <v>12</v>
      </c>
      <c r="E6274" s="2" t="s">
        <v>28</v>
      </c>
      <c r="F6274" s="2" t="str">
        <f>HYPERLINK("http://bbs.12365auto.com/postcontent.aspx?tID=194330","http://bbs.12365auto.com/postcontent.aspx?tID=194330")</f>
        <v>http://bbs.12365auto.com/postcontent.aspx?tID=194330</v>
      </c>
      <c r="G6274" s="2"/>
      <c r="H6274" s="2" t="s">
        <v>8659</v>
      </c>
      <c r="I6274" s="2" t="s">
        <v>15</v>
      </c>
      <c r="J6274" s="2" t="s">
        <v>5704</v>
      </c>
      <c r="K6274" s="2" t="s">
        <v>8656</v>
      </c>
      <c r="L6274" s="2">
        <f t="shared" si="97"/>
        <v>150</v>
      </c>
    </row>
    <row r="6275" spans="1:12" ht="25" customHeight="1">
      <c r="A6275" s="2" t="s">
        <v>12</v>
      </c>
      <c r="B6275" s="2" t="str">
        <f>HYPERLINK("http://bbs.12365auto.com/postcontent.aspx?tID=194331","好看性价比也高的合资SUV，销量会好吗？")</f>
        <v>好看性价比也高的合资SUV，销量会好吗？</v>
      </c>
      <c r="C6275" s="2" t="s">
        <v>13</v>
      </c>
      <c r="D6275" s="2" t="s">
        <v>12</v>
      </c>
      <c r="E6275" s="2" t="s">
        <v>214</v>
      </c>
      <c r="F6275" s="2" t="str">
        <f>HYPERLINK("http://bbs.12365auto.com/postcontent.aspx?tID=194331","http://bbs.12365auto.com/postcontent.aspx?tID=194331")</f>
        <v>http://bbs.12365auto.com/postcontent.aspx?tID=194331</v>
      </c>
      <c r="G6275" s="2"/>
      <c r="H6275" s="2" t="s">
        <v>8660</v>
      </c>
      <c r="I6275" s="2" t="s">
        <v>15</v>
      </c>
      <c r="J6275" s="2" t="s">
        <v>1790</v>
      </c>
      <c r="K6275" s="2" t="s">
        <v>8656</v>
      </c>
      <c r="L6275" s="2">
        <f t="shared" ref="L6275:L6338" si="98">LEN(H6275)</f>
        <v>150</v>
      </c>
    </row>
    <row r="6276" spans="1:12" ht="25" customHeight="1">
      <c r="A6276" s="2" t="s">
        <v>12</v>
      </c>
      <c r="B6276" s="2" t="str">
        <f>HYPERLINK("http://www.12365auto.com/xcdg/20200218/418828.shtml","长安年内推3款新车 CS55 PLUS纯电版领衔")</f>
        <v>长安年内推3款新车 CS55 PLUS纯电版领衔</v>
      </c>
      <c r="C6276" s="2" t="s">
        <v>13</v>
      </c>
      <c r="D6276" s="2" t="s">
        <v>12</v>
      </c>
      <c r="E6276" s="2" t="s">
        <v>216</v>
      </c>
      <c r="F6276" s="2" t="str">
        <f>HYPERLINK("http://www.12365auto.com/xcdg/20200218/418828.shtml","http://www.12365auto.com/xcdg/20200218/418828.shtml")</f>
        <v>http://www.12365auto.com/xcdg/20200218/418828.shtml</v>
      </c>
      <c r="G6276" s="2"/>
      <c r="H6276" s="2" t="s">
        <v>8661</v>
      </c>
      <c r="I6276" s="2" t="s">
        <v>15</v>
      </c>
      <c r="J6276" s="2" t="s">
        <v>12</v>
      </c>
      <c r="K6276" s="2" t="s">
        <v>8656</v>
      </c>
      <c r="L6276" s="2">
        <f t="shared" si="98"/>
        <v>150</v>
      </c>
    </row>
    <row r="6277" spans="1:12" ht="25" customHeight="1">
      <c r="A6277" s="2" t="s">
        <v>12</v>
      </c>
      <c r="B6277" s="2" t="str">
        <f>HYPERLINK("http://m.12365auto.com/xcdg/20200218/418828.shtml","长安年内推3款新车 CS55 PLUS纯电版领衔")</f>
        <v>长安年内推3款新车 CS55 PLUS纯电版领衔</v>
      </c>
      <c r="C6277" s="2" t="s">
        <v>13</v>
      </c>
      <c r="D6277" s="2" t="s">
        <v>12</v>
      </c>
      <c r="E6277" s="2"/>
      <c r="F6277" s="2" t="str">
        <f>HYPERLINK("http://m.12365auto.com/xcdg/20200218/418828.shtml","http://m.12365auto.com/xcdg/20200218/418828.shtml")</f>
        <v>http://m.12365auto.com/xcdg/20200218/418828.shtml</v>
      </c>
      <c r="G6277" s="2"/>
      <c r="H6277" s="2" t="s">
        <v>8662</v>
      </c>
      <c r="I6277" s="2" t="s">
        <v>19</v>
      </c>
      <c r="J6277" s="2" t="s">
        <v>257</v>
      </c>
      <c r="K6277" s="2" t="s">
        <v>8656</v>
      </c>
      <c r="L6277" s="2">
        <f t="shared" si="98"/>
        <v>150</v>
      </c>
    </row>
    <row r="6278" spans="1:12" ht="25" customHeight="1">
      <c r="A6278" s="2" t="s">
        <v>12</v>
      </c>
      <c r="B6278" s="2" t="str">
        <f>HYPERLINK("http://m.12365auto.com/bbs/postcontent.aspx?tID=194330","五款不保值的好车 购买二手车人群的福音")</f>
        <v>五款不保值的好车 购买二手车人群的福音</v>
      </c>
      <c r="C6278" s="2" t="s">
        <v>13</v>
      </c>
      <c r="D6278" s="2" t="s">
        <v>23</v>
      </c>
      <c r="E6278" s="2"/>
      <c r="F6278" s="2" t="str">
        <f>HYPERLINK("http://m.12365auto.com/bbs/postcontent.aspx?tID=194330","http://m.12365auto.com/bbs/postcontent.aspx?tID=194330")</f>
        <v>http://m.12365auto.com/bbs/postcontent.aspx?tID=194330</v>
      </c>
      <c r="G6278" s="2"/>
      <c r="H6278" s="2" t="s">
        <v>8658</v>
      </c>
      <c r="I6278" s="2" t="s">
        <v>15</v>
      </c>
      <c r="J6278" s="2" t="s">
        <v>5704</v>
      </c>
      <c r="K6278" s="2" t="s">
        <v>8656</v>
      </c>
      <c r="L6278" s="2">
        <f t="shared" si="98"/>
        <v>150</v>
      </c>
    </row>
    <row r="6279" spans="1:12" ht="25" customHeight="1">
      <c r="A6279" s="2" t="s">
        <v>12</v>
      </c>
      <c r="B6279" s="2" t="str">
        <f>HYPERLINK("http://www.12365auto.com/xcdg/20200218/418827.shtml","红旗HS7 2.0T两驱SUV将上市 预计28万起售")</f>
        <v>红旗HS7 2.0T两驱SUV将上市 预计28万起售</v>
      </c>
      <c r="C6279" s="2" t="s">
        <v>13</v>
      </c>
      <c r="D6279" s="2" t="s">
        <v>12</v>
      </c>
      <c r="E6279" s="2" t="s">
        <v>216</v>
      </c>
      <c r="F6279" s="2" t="str">
        <f>HYPERLINK("http://www.12365auto.com/xcdg/20200218/418827.shtml","http://www.12365auto.com/xcdg/20200218/418827.shtml")</f>
        <v>http://www.12365auto.com/xcdg/20200218/418827.shtml</v>
      </c>
      <c r="G6279" s="2"/>
      <c r="H6279" s="2" t="s">
        <v>8663</v>
      </c>
      <c r="I6279" s="2" t="s">
        <v>15</v>
      </c>
      <c r="J6279" s="2" t="s">
        <v>12</v>
      </c>
      <c r="K6279" s="2" t="s">
        <v>8664</v>
      </c>
      <c r="L6279" s="2">
        <f t="shared" si="98"/>
        <v>150</v>
      </c>
    </row>
    <row r="6280" spans="1:12" ht="25" customHeight="1">
      <c r="A6280" s="2" t="s">
        <v>12</v>
      </c>
      <c r="B6280" s="2" t="str">
        <f>HYPERLINK("http://m.12365auto.com/xcdg/20200218/418827.shtml","红旗HS7 2.0T两驱SUV将上市 预计28万起售")</f>
        <v>红旗HS7 2.0T两驱SUV将上市 预计28万起售</v>
      </c>
      <c r="C6280" s="2" t="s">
        <v>13</v>
      </c>
      <c r="D6280" s="2" t="s">
        <v>12</v>
      </c>
      <c r="E6280" s="2"/>
      <c r="F6280" s="2" t="str">
        <f>HYPERLINK("http://m.12365auto.com/xcdg/20200218/418827.shtml","http://m.12365auto.com/xcdg/20200218/418827.shtml")</f>
        <v>http://m.12365auto.com/xcdg/20200218/418827.shtml</v>
      </c>
      <c r="G6280" s="2"/>
      <c r="H6280" s="2" t="s">
        <v>8665</v>
      </c>
      <c r="I6280" s="2" t="s">
        <v>19</v>
      </c>
      <c r="J6280" s="2" t="s">
        <v>3053</v>
      </c>
      <c r="K6280" s="2" t="s">
        <v>8664</v>
      </c>
      <c r="L6280" s="2">
        <f t="shared" si="98"/>
        <v>150</v>
      </c>
    </row>
    <row r="6281" spans="1:12" ht="25" customHeight="1">
      <c r="A6281" s="2" t="s">
        <v>12</v>
      </c>
      <c r="B6281" s="2" t="str">
        <f>HYPERLINK("http://bbs.12365auto.com/postcontent.aspx?tId=194328","CS75 PLUS已经很帅了 长安又推出了一款更帅的SUV")</f>
        <v>CS75 PLUS已经很帅了 长安又推出了一款更帅的SUV</v>
      </c>
      <c r="C6281" s="2" t="s">
        <v>13</v>
      </c>
      <c r="D6281" s="2" t="s">
        <v>12</v>
      </c>
      <c r="E6281" s="2" t="s">
        <v>27</v>
      </c>
      <c r="F6281" s="2" t="str">
        <f>HYPERLINK("http://bbs.12365auto.com/postcontent.aspx?tId=194328","http://bbs.12365auto.com/postcontent.aspx?tId=194328")</f>
        <v>http://bbs.12365auto.com/postcontent.aspx?tId=194328</v>
      </c>
      <c r="G6281" s="2"/>
      <c r="H6281" s="2" t="s">
        <v>8666</v>
      </c>
      <c r="I6281" s="2" t="s">
        <v>15</v>
      </c>
      <c r="J6281" s="2" t="s">
        <v>5704</v>
      </c>
      <c r="K6281" s="2" t="s">
        <v>8664</v>
      </c>
      <c r="L6281" s="2">
        <f t="shared" si="98"/>
        <v>150</v>
      </c>
    </row>
    <row r="6282" spans="1:12" ht="25" customHeight="1">
      <c r="A6282" s="2" t="s">
        <v>12</v>
      </c>
      <c r="B6282" s="2" t="str">
        <f>HYPERLINK("http://bbs.12365auto.com/postcontent.aspx?tId=194327","在辉腾辉昂相继失败后 不服输的大众 再次推出辉道")</f>
        <v>在辉腾辉昂相继失败后 不服输的大众 再次推出辉道</v>
      </c>
      <c r="C6282" s="2" t="s">
        <v>13</v>
      </c>
      <c r="D6282" s="2" t="s">
        <v>12</v>
      </c>
      <c r="E6282" s="2" t="s">
        <v>27</v>
      </c>
      <c r="F6282" s="2" t="str">
        <f>HYPERLINK("http://bbs.12365auto.com/postcontent.aspx?tId=194327","http://bbs.12365auto.com/postcontent.aspx?tId=194327")</f>
        <v>http://bbs.12365auto.com/postcontent.aspx?tId=194327</v>
      </c>
      <c r="G6282" s="2"/>
      <c r="H6282" s="2" t="s">
        <v>7718</v>
      </c>
      <c r="I6282" s="2" t="s">
        <v>15</v>
      </c>
      <c r="J6282" s="2" t="s">
        <v>5704</v>
      </c>
      <c r="K6282" s="2" t="s">
        <v>8664</v>
      </c>
      <c r="L6282" s="2">
        <f t="shared" si="98"/>
        <v>150</v>
      </c>
    </row>
    <row r="6283" spans="1:12" ht="25" customHeight="1">
      <c r="A6283" s="2" t="s">
        <v>12</v>
      </c>
      <c r="B6283" s="2" t="str">
        <f>HYPERLINK("http://bbs.12365auto.com/postcontent.aspx?tID=194328","CS75 PLUS已经很帅了 长安又推出了一款更帅的SUV")</f>
        <v>CS75 PLUS已经很帅了 长安又推出了一款更帅的SUV</v>
      </c>
      <c r="C6283" s="2" t="s">
        <v>13</v>
      </c>
      <c r="D6283" s="2" t="s">
        <v>12</v>
      </c>
      <c r="E6283" s="2" t="s">
        <v>28</v>
      </c>
      <c r="F6283" s="2" t="str">
        <f>HYPERLINK("http://bbs.12365auto.com/postcontent.aspx?tID=194328","http://bbs.12365auto.com/postcontent.aspx?tID=194328")</f>
        <v>http://bbs.12365auto.com/postcontent.aspx?tID=194328</v>
      </c>
      <c r="G6283" s="2"/>
      <c r="H6283" s="2" t="s">
        <v>8667</v>
      </c>
      <c r="I6283" s="2" t="s">
        <v>15</v>
      </c>
      <c r="J6283" s="2" t="s">
        <v>5704</v>
      </c>
      <c r="K6283" s="2" t="s">
        <v>8664</v>
      </c>
      <c r="L6283" s="2">
        <f t="shared" si="98"/>
        <v>150</v>
      </c>
    </row>
    <row r="6284" spans="1:12" ht="25" customHeight="1">
      <c r="A6284" s="2" t="s">
        <v>12</v>
      </c>
      <c r="B6284" s="2" t="str">
        <f>HYPERLINK("http://bbs.12365auto.com/postcontent.aspx?tID=194327","在辉腾辉昂相继失败后 不服输的大众 再次推出辉道")</f>
        <v>在辉腾辉昂相继失败后 不服输的大众 再次推出辉道</v>
      </c>
      <c r="C6284" s="2" t="s">
        <v>13</v>
      </c>
      <c r="D6284" s="2" t="s">
        <v>12</v>
      </c>
      <c r="E6284" s="2" t="s">
        <v>28</v>
      </c>
      <c r="F6284" s="2" t="str">
        <f>HYPERLINK("http://bbs.12365auto.com/postcontent.aspx?tID=194327","http://bbs.12365auto.com/postcontent.aspx?tID=194327")</f>
        <v>http://bbs.12365auto.com/postcontent.aspx?tID=194327</v>
      </c>
      <c r="G6284" s="2"/>
      <c r="H6284" s="2" t="s">
        <v>7714</v>
      </c>
      <c r="I6284" s="2" t="s">
        <v>15</v>
      </c>
      <c r="J6284" s="2" t="s">
        <v>5704</v>
      </c>
      <c r="K6284" s="2" t="s">
        <v>8664</v>
      </c>
      <c r="L6284" s="2">
        <f t="shared" si="98"/>
        <v>150</v>
      </c>
    </row>
    <row r="6285" spans="1:12" ht="25" customHeight="1">
      <c r="A6285" s="2" t="s">
        <v>12</v>
      </c>
      <c r="B6285" s="2" t="str">
        <f>HYPERLINK("http://m.12365auto.com/bbs/postcontent.aspx?tID=194328","CS75 PLUS已经很帅了 长安又推出了一款更帅的SUV")</f>
        <v>CS75 PLUS已经很帅了 长安又推出了一款更帅的SUV</v>
      </c>
      <c r="C6285" s="2" t="s">
        <v>13</v>
      </c>
      <c r="D6285" s="2" t="s">
        <v>23</v>
      </c>
      <c r="E6285" s="2"/>
      <c r="F6285" s="2" t="str">
        <f>HYPERLINK("http://m.12365auto.com/bbs/postcontent.aspx?tID=194328","http://m.12365auto.com/bbs/postcontent.aspx?tID=194328")</f>
        <v>http://m.12365auto.com/bbs/postcontent.aspx?tID=194328</v>
      </c>
      <c r="G6285" s="2"/>
      <c r="H6285" s="2" t="s">
        <v>8666</v>
      </c>
      <c r="I6285" s="2" t="s">
        <v>15</v>
      </c>
      <c r="J6285" s="2" t="s">
        <v>5704</v>
      </c>
      <c r="K6285" s="2" t="s">
        <v>8664</v>
      </c>
      <c r="L6285" s="2">
        <f t="shared" si="98"/>
        <v>150</v>
      </c>
    </row>
    <row r="6286" spans="1:12" ht="25" customHeight="1">
      <c r="A6286" s="2" t="s">
        <v>12</v>
      </c>
      <c r="B6286" s="2" t="str">
        <f>HYPERLINK("http://m.12365auto.com/bbs/postcontent.aspx?tID=194327","在辉腾辉昂相继失败后 不服输的大众 再次推出辉道")</f>
        <v>在辉腾辉昂相继失败后 不服输的大众 再次推出辉道</v>
      </c>
      <c r="C6286" s="2" t="s">
        <v>13</v>
      </c>
      <c r="D6286" s="2" t="s">
        <v>23</v>
      </c>
      <c r="E6286" s="2"/>
      <c r="F6286" s="2" t="str">
        <f>HYPERLINK("http://m.12365auto.com/bbs/postcontent.aspx?tID=194327","http://m.12365auto.com/bbs/postcontent.aspx?tID=194327")</f>
        <v>http://m.12365auto.com/bbs/postcontent.aspx?tID=194327</v>
      </c>
      <c r="G6286" s="2"/>
      <c r="H6286" s="2" t="s">
        <v>7718</v>
      </c>
      <c r="I6286" s="2" t="s">
        <v>15</v>
      </c>
      <c r="J6286" s="2" t="s">
        <v>5704</v>
      </c>
      <c r="K6286" s="2" t="s">
        <v>8664</v>
      </c>
      <c r="L6286" s="2">
        <f t="shared" si="98"/>
        <v>150</v>
      </c>
    </row>
    <row r="6287" spans="1:12" ht="25" customHeight="1">
      <c r="A6287" s="2" t="s">
        <v>12</v>
      </c>
      <c r="B6287" s="2" t="str">
        <f>HYPERLINK("http://bbs.12365auto.com/postcontent.aspx?tId=194326","最便宜的豪华7座SUV 这三款最低30万就可购买")</f>
        <v>最便宜的豪华7座SUV 这三款最低30万就可购买</v>
      </c>
      <c r="C6287" s="2" t="s">
        <v>13</v>
      </c>
      <c r="D6287" s="2" t="s">
        <v>12</v>
      </c>
      <c r="E6287" s="2" t="s">
        <v>27</v>
      </c>
      <c r="F6287" s="2" t="str">
        <f>HYPERLINK("http://bbs.12365auto.com/postcontent.aspx?tId=194326","http://bbs.12365auto.com/postcontent.aspx?tId=194326")</f>
        <v>http://bbs.12365auto.com/postcontent.aspx?tId=194326</v>
      </c>
      <c r="G6287" s="2"/>
      <c r="H6287" s="2" t="s">
        <v>6478</v>
      </c>
      <c r="I6287" s="2" t="s">
        <v>15</v>
      </c>
      <c r="J6287" s="2" t="s">
        <v>5704</v>
      </c>
      <c r="K6287" s="2" t="s">
        <v>8668</v>
      </c>
      <c r="L6287" s="2">
        <f t="shared" si="98"/>
        <v>150</v>
      </c>
    </row>
    <row r="6288" spans="1:12" ht="25" customHeight="1">
      <c r="A6288" s="2" t="s">
        <v>12</v>
      </c>
      <c r="B6288" s="2" t="str">
        <f>HYPERLINK("http://bbs.12365auto.com/postcontent.aspx?tID=194326","最便宜的豪华7座SUV 这三款最低30万就可购买")</f>
        <v>最便宜的豪华7座SUV 这三款最低30万就可购买</v>
      </c>
      <c r="C6288" s="2" t="s">
        <v>13</v>
      </c>
      <c r="D6288" s="2" t="s">
        <v>12</v>
      </c>
      <c r="E6288" s="2" t="s">
        <v>28</v>
      </c>
      <c r="F6288" s="2" t="str">
        <f>HYPERLINK("http://bbs.12365auto.com/postcontent.aspx?tID=194326","http://bbs.12365auto.com/postcontent.aspx?tID=194326")</f>
        <v>http://bbs.12365auto.com/postcontent.aspx?tID=194326</v>
      </c>
      <c r="G6288" s="2"/>
      <c r="H6288" s="2" t="s">
        <v>6480</v>
      </c>
      <c r="I6288" s="2" t="s">
        <v>15</v>
      </c>
      <c r="J6288" s="2" t="s">
        <v>5704</v>
      </c>
      <c r="K6288" s="2" t="s">
        <v>8668</v>
      </c>
      <c r="L6288" s="2">
        <f t="shared" si="98"/>
        <v>150</v>
      </c>
    </row>
    <row r="6289" spans="1:12" ht="25" customHeight="1">
      <c r="A6289" s="2" t="s">
        <v>12</v>
      </c>
      <c r="B6289" s="2" t="str">
        <f>HYPERLINK("http://www.12365auto.com/xcdg/20200218/418826.shtml","雪铁龙C5 Aircross插混版曝光 年中交付")</f>
        <v>雪铁龙C5 Aircross插混版曝光 年中交付</v>
      </c>
      <c r="C6289" s="2" t="s">
        <v>13</v>
      </c>
      <c r="D6289" s="2" t="s">
        <v>12</v>
      </c>
      <c r="E6289" s="2" t="s">
        <v>216</v>
      </c>
      <c r="F6289" s="2" t="str">
        <f>HYPERLINK("http://www.12365auto.com/xcdg/20200218/418826.shtml","http://www.12365auto.com/xcdg/20200218/418826.shtml")</f>
        <v>http://www.12365auto.com/xcdg/20200218/418826.shtml</v>
      </c>
      <c r="G6289" s="2"/>
      <c r="H6289" s="2" t="s">
        <v>8669</v>
      </c>
      <c r="I6289" s="2" t="s">
        <v>15</v>
      </c>
      <c r="J6289" s="2" t="s">
        <v>12</v>
      </c>
      <c r="K6289" s="2" t="s">
        <v>8670</v>
      </c>
      <c r="L6289" s="2">
        <f t="shared" si="98"/>
        <v>150</v>
      </c>
    </row>
    <row r="6290" spans="1:12" ht="25" customHeight="1">
      <c r="A6290" s="2" t="s">
        <v>12</v>
      </c>
      <c r="B6290" s="2" t="str">
        <f>HYPERLINK("http://m.12365auto.com/xcdg/20200218/418826.shtml","雪铁龙C5 Aircross插混版曝光 年中交付")</f>
        <v>雪铁龙C5 Aircross插混版曝光 年中交付</v>
      </c>
      <c r="C6290" s="2" t="s">
        <v>13</v>
      </c>
      <c r="D6290" s="2" t="s">
        <v>12</v>
      </c>
      <c r="E6290" s="2"/>
      <c r="F6290" s="2" t="str">
        <f>HYPERLINK("http://m.12365auto.com/xcdg/20200218/418826.shtml","http://m.12365auto.com/xcdg/20200218/418826.shtml")</f>
        <v>http://m.12365auto.com/xcdg/20200218/418826.shtml</v>
      </c>
      <c r="G6290" s="2"/>
      <c r="H6290" s="2" t="s">
        <v>8671</v>
      </c>
      <c r="I6290" s="2" t="s">
        <v>19</v>
      </c>
      <c r="J6290" s="2" t="s">
        <v>220</v>
      </c>
      <c r="K6290" s="2" t="s">
        <v>8670</v>
      </c>
      <c r="L6290" s="2">
        <f t="shared" si="98"/>
        <v>150</v>
      </c>
    </row>
    <row r="6291" spans="1:12" ht="25" customHeight="1">
      <c r="A6291" s="2" t="s">
        <v>12</v>
      </c>
      <c r="B6291" s="2" t="str">
        <f>HYPERLINK("http://www.12365auto.com/news/20200218/418825.shtml","奇瑞SUV持续火爆 瑞虎系1月销量大涨10.8%")</f>
        <v>奇瑞SUV持续火爆 瑞虎系1月销量大涨10.8%</v>
      </c>
      <c r="C6291" s="2" t="s">
        <v>13</v>
      </c>
      <c r="D6291" s="2" t="s">
        <v>12</v>
      </c>
      <c r="E6291" s="2" t="s">
        <v>276</v>
      </c>
      <c r="F6291" s="2" t="str">
        <f>HYPERLINK("http://www.12365auto.com/news/20200218/418825.shtml","http://www.12365auto.com/news/20200218/418825.shtml")</f>
        <v>http://www.12365auto.com/news/20200218/418825.shtml</v>
      </c>
      <c r="G6291" s="2"/>
      <c r="H6291" s="2" t="s">
        <v>8672</v>
      </c>
      <c r="I6291" s="2" t="s">
        <v>15</v>
      </c>
      <c r="J6291" s="2" t="s">
        <v>12</v>
      </c>
      <c r="K6291" s="2" t="s">
        <v>8673</v>
      </c>
      <c r="L6291" s="2">
        <f t="shared" si="98"/>
        <v>150</v>
      </c>
    </row>
    <row r="6292" spans="1:12" ht="25" customHeight="1">
      <c r="A6292" s="2" t="s">
        <v>12</v>
      </c>
      <c r="B6292" s="2" t="str">
        <f>HYPERLINK("http://m.12365auto.com/news/20200218/418825.shtml","奇瑞SUV持续火爆 瑞虎系1月销量大涨10.8%")</f>
        <v>奇瑞SUV持续火爆 瑞虎系1月销量大涨10.8%</v>
      </c>
      <c r="C6292" s="2" t="s">
        <v>13</v>
      </c>
      <c r="D6292" s="2" t="s">
        <v>12</v>
      </c>
      <c r="E6292" s="2"/>
      <c r="F6292" s="2" t="str">
        <f>HYPERLINK("http://m.12365auto.com/news/20200218/418825.shtml","http://m.12365auto.com/news/20200218/418825.shtml")</f>
        <v>http://m.12365auto.com/news/20200218/418825.shtml</v>
      </c>
      <c r="G6292" s="2"/>
      <c r="H6292" s="2" t="s">
        <v>8674</v>
      </c>
      <c r="I6292" s="2" t="s">
        <v>19</v>
      </c>
      <c r="J6292" s="2" t="s">
        <v>3053</v>
      </c>
      <c r="K6292" s="2" t="s">
        <v>8673</v>
      </c>
      <c r="L6292" s="2">
        <f t="shared" si="98"/>
        <v>150</v>
      </c>
    </row>
    <row r="6293" spans="1:12" ht="25" customHeight="1">
      <c r="A6293" s="2" t="s">
        <v>12</v>
      </c>
      <c r="B6293" s="2" t="str">
        <f>HYPERLINK("http://www.12365auto.com/xcdg/20200218/418824.shtml","奥迪RS Q3 Sportback“开箱”解读")</f>
        <v>奥迪RS Q3 Sportback“开箱”解读</v>
      </c>
      <c r="C6293" s="2" t="s">
        <v>13</v>
      </c>
      <c r="D6293" s="2" t="s">
        <v>12</v>
      </c>
      <c r="E6293" s="2" t="s">
        <v>216</v>
      </c>
      <c r="F6293" s="2" t="str">
        <f>HYPERLINK("http://www.12365auto.com/xcdg/20200218/418824.shtml","http://www.12365auto.com/xcdg/20200218/418824.shtml")</f>
        <v>http://www.12365auto.com/xcdg/20200218/418824.shtml</v>
      </c>
      <c r="G6293" s="2"/>
      <c r="H6293" s="2" t="s">
        <v>8675</v>
      </c>
      <c r="I6293" s="2" t="s">
        <v>15</v>
      </c>
      <c r="J6293" s="2" t="s">
        <v>12</v>
      </c>
      <c r="K6293" s="2" t="s">
        <v>8676</v>
      </c>
      <c r="L6293" s="2">
        <f t="shared" si="98"/>
        <v>150</v>
      </c>
    </row>
    <row r="6294" spans="1:12" ht="25" customHeight="1">
      <c r="A6294" s="2" t="s">
        <v>12</v>
      </c>
      <c r="B6294" s="2" t="str">
        <f>HYPERLINK("http://m.12365auto.com/xcdg/20200218/418824.shtml","奥迪RS Q3 Sportback“开箱”解读")</f>
        <v>奥迪RS Q3 Sportback“开箱”解读</v>
      </c>
      <c r="C6294" s="2" t="s">
        <v>13</v>
      </c>
      <c r="D6294" s="2" t="s">
        <v>12</v>
      </c>
      <c r="E6294" s="2"/>
      <c r="F6294" s="2" t="str">
        <f>HYPERLINK("http://m.12365auto.com/xcdg/20200218/418824.shtml","http://m.12365auto.com/xcdg/20200218/418824.shtml")</f>
        <v>http://m.12365auto.com/xcdg/20200218/418824.shtml</v>
      </c>
      <c r="G6294" s="2"/>
      <c r="H6294" s="2" t="s">
        <v>8677</v>
      </c>
      <c r="I6294" s="2" t="s">
        <v>19</v>
      </c>
      <c r="J6294" s="2" t="s">
        <v>1247</v>
      </c>
      <c r="K6294" s="2" t="s">
        <v>8676</v>
      </c>
      <c r="L6294" s="2">
        <f t="shared" si="98"/>
        <v>150</v>
      </c>
    </row>
    <row r="6295" spans="1:12" ht="25" customHeight="1">
      <c r="A6295" s="2" t="s">
        <v>12</v>
      </c>
      <c r="B6295" s="2" t="str">
        <f>HYPERLINK("http://www.12365auto.com/news/20200218/418823.shtml","车内灭菌除味剂靠谱吗？能起一定效果吗？")</f>
        <v>车内灭菌除味剂靠谱吗？能起一定效果吗？</v>
      </c>
      <c r="C6295" s="2" t="s">
        <v>13</v>
      </c>
      <c r="D6295" s="2" t="s">
        <v>12</v>
      </c>
      <c r="E6295" s="2" t="s">
        <v>372</v>
      </c>
      <c r="F6295" s="2" t="str">
        <f>HYPERLINK("http://www.12365auto.com/news/20200218/418823.shtml","http://www.12365auto.com/news/20200218/418823.shtml")</f>
        <v>http://www.12365auto.com/news/20200218/418823.shtml</v>
      </c>
      <c r="G6295" s="2"/>
      <c r="H6295" s="2" t="s">
        <v>8678</v>
      </c>
      <c r="I6295" s="2" t="s">
        <v>15</v>
      </c>
      <c r="J6295" s="2" t="s">
        <v>12</v>
      </c>
      <c r="K6295" s="2" t="s">
        <v>8679</v>
      </c>
      <c r="L6295" s="2">
        <f t="shared" si="98"/>
        <v>150</v>
      </c>
    </row>
    <row r="6296" spans="1:12" ht="25" customHeight="1">
      <c r="A6296" s="2" t="s">
        <v>12</v>
      </c>
      <c r="B6296" s="2" t="str">
        <f>HYPERLINK("http://m.12365auto.com/news/20200218/418823.shtml","车内灭菌除味剂靠谱吗？能起一定效果吗？")</f>
        <v>车内灭菌除味剂靠谱吗？能起一定效果吗？</v>
      </c>
      <c r="C6296" s="2" t="s">
        <v>13</v>
      </c>
      <c r="D6296" s="2" t="s">
        <v>12</v>
      </c>
      <c r="E6296" s="2"/>
      <c r="F6296" s="2" t="str">
        <f>HYPERLINK("http://m.12365auto.com/news/20200218/418823.shtml","http://m.12365auto.com/news/20200218/418823.shtml")</f>
        <v>http://m.12365auto.com/news/20200218/418823.shtml</v>
      </c>
      <c r="G6296" s="2"/>
      <c r="H6296" s="2" t="s">
        <v>8680</v>
      </c>
      <c r="I6296" s="2" t="s">
        <v>19</v>
      </c>
      <c r="J6296" s="2" t="s">
        <v>222</v>
      </c>
      <c r="K6296" s="2" t="s">
        <v>8679</v>
      </c>
      <c r="L6296" s="2">
        <f t="shared" si="98"/>
        <v>150</v>
      </c>
    </row>
    <row r="6297" spans="1:12" ht="25" customHeight="1">
      <c r="A6297" s="2" t="s">
        <v>12</v>
      </c>
      <c r="B6297" s="2" t="str">
        <f>HYPERLINK("http://www.12365auto.com/news/20200218/418822.shtml","怕是库存胎？轮胎上的数字都是什么意思")</f>
        <v>怕是库存胎？轮胎上的数字都是什么意思</v>
      </c>
      <c r="C6297" s="2" t="s">
        <v>13</v>
      </c>
      <c r="D6297" s="2" t="s">
        <v>12</v>
      </c>
      <c r="E6297" s="2" t="s">
        <v>372</v>
      </c>
      <c r="F6297" s="2" t="str">
        <f>HYPERLINK("http://www.12365auto.com/news/20200218/418822.shtml","http://www.12365auto.com/news/20200218/418822.shtml")</f>
        <v>http://www.12365auto.com/news/20200218/418822.shtml</v>
      </c>
      <c r="G6297" s="2"/>
      <c r="H6297" s="2" t="s">
        <v>8681</v>
      </c>
      <c r="I6297" s="2" t="s">
        <v>15</v>
      </c>
      <c r="J6297" s="2" t="s">
        <v>12</v>
      </c>
      <c r="K6297" s="2" t="s">
        <v>8682</v>
      </c>
      <c r="L6297" s="2">
        <f t="shared" si="98"/>
        <v>150</v>
      </c>
    </row>
    <row r="6298" spans="1:12" ht="25" customHeight="1">
      <c r="A6298" s="2" t="s">
        <v>12</v>
      </c>
      <c r="B6298" s="2" t="str">
        <f>HYPERLINK("http://m.12365auto.com/news/20200218/418822.shtml","怕是库存胎？轮胎上的数字都是什么意思")</f>
        <v>怕是库存胎？轮胎上的数字都是什么意思</v>
      </c>
      <c r="C6298" s="2" t="s">
        <v>13</v>
      </c>
      <c r="D6298" s="2" t="s">
        <v>12</v>
      </c>
      <c r="E6298" s="2"/>
      <c r="F6298" s="2" t="str">
        <f>HYPERLINK("http://m.12365auto.com/news/20200218/418822.shtml","http://m.12365auto.com/news/20200218/418822.shtml")</f>
        <v>http://m.12365auto.com/news/20200218/418822.shtml</v>
      </c>
      <c r="G6298" s="2"/>
      <c r="H6298" s="2" t="s">
        <v>8683</v>
      </c>
      <c r="I6298" s="2" t="s">
        <v>19</v>
      </c>
      <c r="J6298" s="2" t="s">
        <v>222</v>
      </c>
      <c r="K6298" s="2" t="s">
        <v>8682</v>
      </c>
      <c r="L6298" s="2">
        <f t="shared" si="98"/>
        <v>150</v>
      </c>
    </row>
    <row r="6299" spans="1:12" ht="25" customHeight="1">
      <c r="A6299" s="2" t="s">
        <v>12</v>
      </c>
      <c r="B6299" s="2" t="str">
        <f>HYPERLINK("http://www.12365auto.com/xcdg/20200218/418821.shtml","大众ABT迈特威实拍曝光 搭2.0T/动力提升")</f>
        <v>大众ABT迈特威实拍曝光 搭2.0T/动力提升</v>
      </c>
      <c r="C6299" s="2" t="s">
        <v>13</v>
      </c>
      <c r="D6299" s="2" t="s">
        <v>12</v>
      </c>
      <c r="E6299" s="2" t="s">
        <v>216</v>
      </c>
      <c r="F6299" s="2" t="str">
        <f>HYPERLINK("http://www.12365auto.com/xcdg/20200218/418821.shtml","http://www.12365auto.com/xcdg/20200218/418821.shtml")</f>
        <v>http://www.12365auto.com/xcdg/20200218/418821.shtml</v>
      </c>
      <c r="G6299" s="2"/>
      <c r="H6299" s="2" t="s">
        <v>8684</v>
      </c>
      <c r="I6299" s="2" t="s">
        <v>15</v>
      </c>
      <c r="J6299" s="2" t="s">
        <v>12</v>
      </c>
      <c r="K6299" s="2" t="s">
        <v>8685</v>
      </c>
      <c r="L6299" s="2">
        <f t="shared" si="98"/>
        <v>150</v>
      </c>
    </row>
    <row r="6300" spans="1:12" ht="25" customHeight="1">
      <c r="A6300" s="2" t="s">
        <v>12</v>
      </c>
      <c r="B6300" s="2" t="str">
        <f>HYPERLINK("http://m.12365auto.com/xcdg/20200218/418821.shtml","大众ABT迈特威实拍曝光 搭2.0T/动力提升")</f>
        <v>大众ABT迈特威实拍曝光 搭2.0T/动力提升</v>
      </c>
      <c r="C6300" s="2" t="s">
        <v>13</v>
      </c>
      <c r="D6300" s="2" t="s">
        <v>12</v>
      </c>
      <c r="E6300" s="2"/>
      <c r="F6300" s="2" t="str">
        <f>HYPERLINK("http://m.12365auto.com/xcdg/20200218/418821.shtml","http://m.12365auto.com/xcdg/20200218/418821.shtml")</f>
        <v>http://m.12365auto.com/xcdg/20200218/418821.shtml</v>
      </c>
      <c r="G6300" s="2"/>
      <c r="H6300" s="2" t="s">
        <v>8686</v>
      </c>
      <c r="I6300" s="2" t="s">
        <v>19</v>
      </c>
      <c r="J6300" s="2" t="s">
        <v>220</v>
      </c>
      <c r="K6300" s="2" t="s">
        <v>8685</v>
      </c>
      <c r="L6300" s="2">
        <f t="shared" si="98"/>
        <v>150</v>
      </c>
    </row>
    <row r="6301" spans="1:12" ht="25" customHeight="1">
      <c r="A6301" s="2" t="s">
        <v>12</v>
      </c>
      <c r="B6301" s="2" t="str">
        <f>HYPERLINK("http://m.12365auto.com/news/20200218/418820.shtml","长城收购泰国罗勇府工厂 助力进阶东南亚")</f>
        <v>长城收购泰国罗勇府工厂 助力进阶东南亚</v>
      </c>
      <c r="C6301" s="2" t="s">
        <v>13</v>
      </c>
      <c r="D6301" s="2" t="s">
        <v>12</v>
      </c>
      <c r="E6301" s="2"/>
      <c r="F6301" s="2" t="str">
        <f>HYPERLINK("http://m.12365auto.com/news/20200218/418820.shtml","http://m.12365auto.com/news/20200218/418820.shtml")</f>
        <v>http://m.12365auto.com/news/20200218/418820.shtml</v>
      </c>
      <c r="G6301" s="2"/>
      <c r="H6301" s="2" t="s">
        <v>8687</v>
      </c>
      <c r="I6301" s="2" t="s">
        <v>19</v>
      </c>
      <c r="J6301" s="2" t="s">
        <v>1933</v>
      </c>
      <c r="K6301" s="2" t="s">
        <v>8688</v>
      </c>
      <c r="L6301" s="2">
        <f t="shared" si="98"/>
        <v>150</v>
      </c>
    </row>
    <row r="6302" spans="1:12" ht="25" customHeight="1">
      <c r="A6302" s="2" t="s">
        <v>12</v>
      </c>
      <c r="B6302" s="2" t="str">
        <f>HYPERLINK("http://www.12365auto.com/news/20200218/418820.shtml","长城收购泰国罗勇府工厂 助力进阶东南亚")</f>
        <v>长城收购泰国罗勇府工厂 助力进阶东南亚</v>
      </c>
      <c r="C6302" s="2" t="s">
        <v>13</v>
      </c>
      <c r="D6302" s="2" t="s">
        <v>12</v>
      </c>
      <c r="E6302" s="2" t="s">
        <v>276</v>
      </c>
      <c r="F6302" s="2" t="str">
        <f>HYPERLINK("http://www.12365auto.com/news/20200218/418820.shtml","http://www.12365auto.com/news/20200218/418820.shtml")</f>
        <v>http://www.12365auto.com/news/20200218/418820.shtml</v>
      </c>
      <c r="G6302" s="2"/>
      <c r="H6302" s="2" t="s">
        <v>8689</v>
      </c>
      <c r="I6302" s="2" t="s">
        <v>15</v>
      </c>
      <c r="J6302" s="2" t="s">
        <v>12</v>
      </c>
      <c r="K6302" s="2" t="s">
        <v>8688</v>
      </c>
      <c r="L6302" s="2">
        <f t="shared" si="98"/>
        <v>150</v>
      </c>
    </row>
    <row r="6303" spans="1:12" ht="25" customHeight="1">
      <c r="A6303" s="2" t="s">
        <v>12</v>
      </c>
      <c r="B6303" s="2" t="str">
        <f>HYPERLINK("http://www.12365auto.com/xcdg/20200218/418819.shtml","大众探岳插混版纯电续航54km 预计24万起")</f>
        <v>大众探岳插混版纯电续航54km 预计24万起</v>
      </c>
      <c r="C6303" s="2" t="s">
        <v>13</v>
      </c>
      <c r="D6303" s="2" t="s">
        <v>12</v>
      </c>
      <c r="E6303" s="2" t="s">
        <v>216</v>
      </c>
      <c r="F6303" s="2" t="str">
        <f>HYPERLINK("http://www.12365auto.com/xcdg/20200218/418819.shtml","http://www.12365auto.com/xcdg/20200218/418819.shtml")</f>
        <v>http://www.12365auto.com/xcdg/20200218/418819.shtml</v>
      </c>
      <c r="G6303" s="2"/>
      <c r="H6303" s="2" t="s">
        <v>8690</v>
      </c>
      <c r="I6303" s="2" t="s">
        <v>15</v>
      </c>
      <c r="J6303" s="2" t="s">
        <v>12</v>
      </c>
      <c r="K6303" s="2" t="s">
        <v>8691</v>
      </c>
      <c r="L6303" s="2">
        <f t="shared" si="98"/>
        <v>150</v>
      </c>
    </row>
    <row r="6304" spans="1:12" ht="25" customHeight="1">
      <c r="A6304" s="2" t="s">
        <v>12</v>
      </c>
      <c r="B6304" s="2" t="str">
        <f>HYPERLINK("http://m.12365auto.com/xcdg/20200218/418819.shtml","大众探岳插混版纯电续航54km 预计24万起")</f>
        <v>大众探岳插混版纯电续航54km 预计24万起</v>
      </c>
      <c r="C6304" s="2" t="s">
        <v>13</v>
      </c>
      <c r="D6304" s="2" t="s">
        <v>12</v>
      </c>
      <c r="E6304" s="2"/>
      <c r="F6304" s="2" t="str">
        <f>HYPERLINK("http://m.12365auto.com/xcdg/20200218/418819.shtml","http://m.12365auto.com/xcdg/20200218/418819.shtml")</f>
        <v>http://m.12365auto.com/xcdg/20200218/418819.shtml</v>
      </c>
      <c r="G6304" s="2"/>
      <c r="H6304" s="2" t="s">
        <v>8692</v>
      </c>
      <c r="I6304" s="2" t="s">
        <v>19</v>
      </c>
      <c r="J6304" s="2" t="s">
        <v>732</v>
      </c>
      <c r="K6304" s="2" t="s">
        <v>8691</v>
      </c>
      <c r="L6304" s="2">
        <f t="shared" si="98"/>
        <v>150</v>
      </c>
    </row>
    <row r="6305" spans="1:12" ht="25" customHeight="1">
      <c r="A6305" s="2" t="s">
        <v>12</v>
      </c>
      <c r="B6305" s="2" t="str">
        <f>HYPERLINK("http://www.12365auto.com/news/20200218/418818.shtml","凯迪拉克1月销量近2万 新产品持续上量")</f>
        <v>凯迪拉克1月销量近2万 新产品持续上量</v>
      </c>
      <c r="C6305" s="2" t="s">
        <v>13</v>
      </c>
      <c r="D6305" s="2" t="s">
        <v>12</v>
      </c>
      <c r="E6305" s="2" t="s">
        <v>276</v>
      </c>
      <c r="F6305" s="2" t="str">
        <f>HYPERLINK("http://www.12365auto.com/news/20200218/418818.shtml","http://www.12365auto.com/news/20200218/418818.shtml")</f>
        <v>http://www.12365auto.com/news/20200218/418818.shtml</v>
      </c>
      <c r="G6305" s="2"/>
      <c r="H6305" s="2" t="s">
        <v>8693</v>
      </c>
      <c r="I6305" s="2" t="s">
        <v>15</v>
      </c>
      <c r="J6305" s="2" t="s">
        <v>12</v>
      </c>
      <c r="K6305" s="2" t="s">
        <v>8694</v>
      </c>
      <c r="L6305" s="2">
        <f t="shared" si="98"/>
        <v>150</v>
      </c>
    </row>
    <row r="6306" spans="1:12" ht="25" customHeight="1">
      <c r="A6306" s="2" t="s">
        <v>12</v>
      </c>
      <c r="B6306" s="2" t="str">
        <f>HYPERLINK("http://m.12365auto.com/news/20200218/418818.shtml","凯迪拉克1月销量近2万 新产品持续上量")</f>
        <v>凯迪拉克1月销量近2万 新产品持续上量</v>
      </c>
      <c r="C6306" s="2" t="s">
        <v>13</v>
      </c>
      <c r="D6306" s="2" t="s">
        <v>12</v>
      </c>
      <c r="E6306" s="2"/>
      <c r="F6306" s="2" t="str">
        <f>HYPERLINK("http://m.12365auto.com/news/20200218/418818.shtml","http://m.12365auto.com/news/20200218/418818.shtml")</f>
        <v>http://m.12365auto.com/news/20200218/418818.shtml</v>
      </c>
      <c r="G6306" s="2"/>
      <c r="H6306" s="2" t="s">
        <v>8695</v>
      </c>
      <c r="I6306" s="2" t="s">
        <v>19</v>
      </c>
      <c r="J6306" s="2" t="s">
        <v>3053</v>
      </c>
      <c r="K6306" s="2" t="s">
        <v>8694</v>
      </c>
      <c r="L6306" s="2">
        <f t="shared" si="98"/>
        <v>150</v>
      </c>
    </row>
    <row r="6307" spans="1:12" ht="25" customHeight="1">
      <c r="A6307" s="2" t="s">
        <v>12</v>
      </c>
      <c r="B6307" s="2" t="str">
        <f>HYPERLINK("http://m.12365auto.com/xcdg/20200218/418817.shtml","宝马M2特别版官图曝光 6月开售/仅售500台")</f>
        <v>宝马M2特别版官图曝光 6月开售/仅售500台</v>
      </c>
      <c r="C6307" s="2" t="s">
        <v>13</v>
      </c>
      <c r="D6307" s="2" t="s">
        <v>12</v>
      </c>
      <c r="E6307" s="2"/>
      <c r="F6307" s="2" t="str">
        <f>HYPERLINK("http://m.12365auto.com/xcdg/20200218/418817.shtml","http://m.12365auto.com/xcdg/20200218/418817.shtml")</f>
        <v>http://m.12365auto.com/xcdg/20200218/418817.shtml</v>
      </c>
      <c r="G6307" s="2"/>
      <c r="H6307" s="2" t="s">
        <v>8696</v>
      </c>
      <c r="I6307" s="2" t="s">
        <v>19</v>
      </c>
      <c r="J6307" s="2" t="s">
        <v>222</v>
      </c>
      <c r="K6307" s="2" t="s">
        <v>8697</v>
      </c>
      <c r="L6307" s="2">
        <f t="shared" si="98"/>
        <v>150</v>
      </c>
    </row>
    <row r="6308" spans="1:12" ht="25" customHeight="1">
      <c r="A6308" s="2" t="s">
        <v>12</v>
      </c>
      <c r="B6308" s="2" t="str">
        <f>HYPERLINK("http://www.12365auto.com/xcdg/20200218/418817.shtml","宝马M2特别版官图曝光 6月开售/仅售500台")</f>
        <v>宝马M2特别版官图曝光 6月开售/仅售500台</v>
      </c>
      <c r="C6308" s="2" t="s">
        <v>13</v>
      </c>
      <c r="D6308" s="2" t="s">
        <v>12</v>
      </c>
      <c r="E6308" s="2" t="s">
        <v>245</v>
      </c>
      <c r="F6308" s="2" t="str">
        <f>HYPERLINK("http://www.12365auto.com/xcdg/20200218/418817.shtml","http://www.12365auto.com/xcdg/20200218/418817.shtml")</f>
        <v>http://www.12365auto.com/xcdg/20200218/418817.shtml</v>
      </c>
      <c r="G6308" s="2"/>
      <c r="H6308" s="2" t="s">
        <v>8698</v>
      </c>
      <c r="I6308" s="2" t="s">
        <v>19</v>
      </c>
      <c r="J6308" s="2" t="s">
        <v>12</v>
      </c>
      <c r="K6308" s="2" t="s">
        <v>8697</v>
      </c>
      <c r="L6308" s="2">
        <f t="shared" si="98"/>
        <v>150</v>
      </c>
    </row>
    <row r="6309" spans="1:12" ht="25" customHeight="1">
      <c r="A6309" s="2" t="s">
        <v>12</v>
      </c>
      <c r="B6309" s="2" t="str">
        <f>HYPERLINK("http://m.12365auto.com/news/20200218/418816.shtml","威马EX5今年1月销量仅808台 同比大幅下滑")</f>
        <v>威马EX5今年1月销量仅808台 同比大幅下滑</v>
      </c>
      <c r="C6309" s="2" t="s">
        <v>13</v>
      </c>
      <c r="D6309" s="2" t="s">
        <v>12</v>
      </c>
      <c r="E6309" s="2"/>
      <c r="F6309" s="2" t="str">
        <f>HYPERLINK("http://m.12365auto.com/news/20200218/418816.shtml","http://m.12365auto.com/news/20200218/418816.shtml")</f>
        <v>http://m.12365auto.com/news/20200218/418816.shtml</v>
      </c>
      <c r="G6309" s="2"/>
      <c r="H6309" s="2" t="s">
        <v>8699</v>
      </c>
      <c r="I6309" s="2" t="s">
        <v>19</v>
      </c>
      <c r="J6309" s="2" t="s">
        <v>257</v>
      </c>
      <c r="K6309" s="2" t="s">
        <v>8700</v>
      </c>
      <c r="L6309" s="2">
        <f t="shared" si="98"/>
        <v>150</v>
      </c>
    </row>
    <row r="6310" spans="1:12" ht="25" customHeight="1">
      <c r="A6310" s="2" t="s">
        <v>12</v>
      </c>
      <c r="B6310" s="2" t="str">
        <f>HYPERLINK("http://www.12365auto.com/news/20200218/418816.shtml","威马EX5今年1月销量仅808台 同比大幅下滑")</f>
        <v>威马EX5今年1月销量仅808台 同比大幅下滑</v>
      </c>
      <c r="C6310" s="2" t="s">
        <v>13</v>
      </c>
      <c r="D6310" s="2" t="s">
        <v>12</v>
      </c>
      <c r="E6310" s="2" t="s">
        <v>282</v>
      </c>
      <c r="F6310" s="2" t="str">
        <f>HYPERLINK("http://www.12365auto.com/news/20200218/418816.shtml","http://www.12365auto.com/news/20200218/418816.shtml")</f>
        <v>http://www.12365auto.com/news/20200218/418816.shtml</v>
      </c>
      <c r="G6310" s="2"/>
      <c r="H6310" s="2" t="s">
        <v>8701</v>
      </c>
      <c r="I6310" s="2" t="s">
        <v>19</v>
      </c>
      <c r="J6310" s="2" t="s">
        <v>12</v>
      </c>
      <c r="K6310" s="2" t="s">
        <v>8700</v>
      </c>
      <c r="L6310" s="2">
        <f t="shared" si="98"/>
        <v>150</v>
      </c>
    </row>
    <row r="6311" spans="1:12" ht="25" customHeight="1">
      <c r="A6311" s="2" t="s">
        <v>12</v>
      </c>
      <c r="B6311" s="2" t="str">
        <f>HYPERLINK("http://m.12365auto.com/xcdg/20200218/418815.shtml","奔腾T77新增1.5T 能否撼动哈弗H6地位？")</f>
        <v>奔腾T77新增1.5T 能否撼动哈弗H6地位？</v>
      </c>
      <c r="C6311" s="2" t="s">
        <v>13</v>
      </c>
      <c r="D6311" s="2" t="s">
        <v>12</v>
      </c>
      <c r="E6311" s="2"/>
      <c r="F6311" s="2" t="str">
        <f>HYPERLINK("http://m.12365auto.com/xcdg/20200218/418815.shtml","http://m.12365auto.com/xcdg/20200218/418815.shtml")</f>
        <v>http://m.12365auto.com/xcdg/20200218/418815.shtml</v>
      </c>
      <c r="G6311" s="2"/>
      <c r="H6311" s="2" t="s">
        <v>8702</v>
      </c>
      <c r="I6311" s="2" t="s">
        <v>19</v>
      </c>
      <c r="J6311" s="2" t="s">
        <v>6130</v>
      </c>
      <c r="K6311" s="2" t="s">
        <v>8703</v>
      </c>
      <c r="L6311" s="2">
        <f t="shared" si="98"/>
        <v>150</v>
      </c>
    </row>
    <row r="6312" spans="1:12" ht="25" customHeight="1">
      <c r="A6312" s="2" t="s">
        <v>12</v>
      </c>
      <c r="B6312" s="2" t="str">
        <f>HYPERLINK("http://m.12365auto.com/xcdg/20200218/418814.shtml","大众新款朗逸纯电曝光 续航将提升24%")</f>
        <v>大众新款朗逸纯电曝光 续航将提升24%</v>
      </c>
      <c r="C6312" s="2" t="s">
        <v>13</v>
      </c>
      <c r="D6312" s="2" t="s">
        <v>12</v>
      </c>
      <c r="E6312" s="2"/>
      <c r="F6312" s="2" t="str">
        <f>HYPERLINK("http://m.12365auto.com/xcdg/20200218/418814.shtml","http://m.12365auto.com/xcdg/20200218/418814.shtml")</f>
        <v>http://m.12365auto.com/xcdg/20200218/418814.shtml</v>
      </c>
      <c r="G6312" s="2"/>
      <c r="H6312" s="2" t="s">
        <v>8704</v>
      </c>
      <c r="I6312" s="2" t="s">
        <v>19</v>
      </c>
      <c r="J6312" s="2" t="s">
        <v>12</v>
      </c>
      <c r="K6312" s="2" t="s">
        <v>8705</v>
      </c>
      <c r="L6312" s="2">
        <f t="shared" si="98"/>
        <v>150</v>
      </c>
    </row>
    <row r="6313" spans="1:12" ht="25" customHeight="1">
      <c r="A6313" s="2" t="s">
        <v>12</v>
      </c>
      <c r="B6313" s="2" t="str">
        <f>HYPERLINK("http://www.12365auto.com/xcdg/20200218/418814.shtml","大众新款朗逸纯电曝光 续航将提升24%")</f>
        <v>大众新款朗逸纯电曝光 续航将提升24%</v>
      </c>
      <c r="C6313" s="2" t="s">
        <v>13</v>
      </c>
      <c r="D6313" s="2" t="s">
        <v>12</v>
      </c>
      <c r="E6313" s="2" t="s">
        <v>245</v>
      </c>
      <c r="F6313" s="2" t="str">
        <f>HYPERLINK("http://www.12365auto.com/xcdg/20200218/418814.shtml","http://www.12365auto.com/xcdg/20200218/418814.shtml")</f>
        <v>http://www.12365auto.com/xcdg/20200218/418814.shtml</v>
      </c>
      <c r="G6313" s="2"/>
      <c r="H6313" s="2" t="s">
        <v>8706</v>
      </c>
      <c r="I6313" s="2" t="s">
        <v>19</v>
      </c>
      <c r="J6313" s="2" t="s">
        <v>12</v>
      </c>
      <c r="K6313" s="2" t="s">
        <v>8705</v>
      </c>
      <c r="L6313" s="2">
        <f t="shared" si="98"/>
        <v>150</v>
      </c>
    </row>
    <row r="6314" spans="1:12" ht="25" customHeight="1">
      <c r="A6314" s="2" t="s">
        <v>12</v>
      </c>
      <c r="B6314" s="2" t="str">
        <f>HYPERLINK("http://bbs.12365auto.com/postcontent.aspx?tID=194325","宝来失速")</f>
        <v>宝来失速</v>
      </c>
      <c r="C6314" s="2" t="s">
        <v>13</v>
      </c>
      <c r="D6314" s="2" t="s">
        <v>12</v>
      </c>
      <c r="E6314" s="2" t="s">
        <v>67</v>
      </c>
      <c r="F6314" s="2" t="str">
        <f>HYPERLINK("http://bbs.12365auto.com/postcontent.aspx?tID=194325","http://bbs.12365auto.com/postcontent.aspx?tID=194325")</f>
        <v>http://bbs.12365auto.com/postcontent.aspx?tID=194325</v>
      </c>
      <c r="G6314" s="2"/>
      <c r="H6314" s="2" t="s">
        <v>8707</v>
      </c>
      <c r="I6314" s="2" t="s">
        <v>15</v>
      </c>
      <c r="J6314" s="2" t="s">
        <v>8708</v>
      </c>
      <c r="K6314" s="2" t="s">
        <v>8709</v>
      </c>
      <c r="L6314" s="2">
        <f t="shared" si="98"/>
        <v>66</v>
      </c>
    </row>
    <row r="6315" spans="1:12" ht="25" customHeight="1">
      <c r="A6315" s="2" t="s">
        <v>12</v>
      </c>
      <c r="B6315" s="2" t="str">
        <f>HYPERLINK("http://bbs.12365auto.com/postcontent.aspx?tId=194324","Fraunhofer IPMS开发IP核")</f>
        <v>Fraunhofer IPMS开发IP核</v>
      </c>
      <c r="C6315" s="2" t="s">
        <v>13</v>
      </c>
      <c r="D6315" s="2" t="s">
        <v>12</v>
      </c>
      <c r="E6315" s="2" t="s">
        <v>27</v>
      </c>
      <c r="F6315" s="2" t="str">
        <f>HYPERLINK("http://bbs.12365auto.com/postcontent.aspx?tId=194324","http://bbs.12365auto.com/postcontent.aspx?tId=194324")</f>
        <v>http://bbs.12365auto.com/postcontent.aspx?tId=194324</v>
      </c>
      <c r="G6315" s="2"/>
      <c r="H6315" s="2" t="s">
        <v>8710</v>
      </c>
      <c r="I6315" s="2" t="s">
        <v>15</v>
      </c>
      <c r="J6315" s="2" t="s">
        <v>2009</v>
      </c>
      <c r="K6315" s="2" t="s">
        <v>8711</v>
      </c>
      <c r="L6315" s="2">
        <f t="shared" si="98"/>
        <v>150</v>
      </c>
    </row>
    <row r="6316" spans="1:12" ht="25" customHeight="1">
      <c r="A6316" s="2" t="s">
        <v>12</v>
      </c>
      <c r="B6316" s="2" t="str">
        <f>HYPERLINK("http://bbs.12365auto.com/postcontent.aspx?tID=194324","Fraunhofer IPMS开发IP核")</f>
        <v>Fraunhofer IPMS开发IP核</v>
      </c>
      <c r="C6316" s="2" t="s">
        <v>13</v>
      </c>
      <c r="D6316" s="2" t="s">
        <v>12</v>
      </c>
      <c r="E6316" s="2" t="s">
        <v>28</v>
      </c>
      <c r="F6316" s="2" t="str">
        <f>HYPERLINK("http://bbs.12365auto.com/postcontent.aspx?tID=194324","http://bbs.12365auto.com/postcontent.aspx?tID=194324")</f>
        <v>http://bbs.12365auto.com/postcontent.aspx?tID=194324</v>
      </c>
      <c r="G6316" s="2"/>
      <c r="H6316" s="2" t="s">
        <v>8712</v>
      </c>
      <c r="I6316" s="2" t="s">
        <v>15</v>
      </c>
      <c r="J6316" s="2" t="s">
        <v>2009</v>
      </c>
      <c r="K6316" s="2" t="s">
        <v>8711</v>
      </c>
      <c r="L6316" s="2">
        <f t="shared" si="98"/>
        <v>150</v>
      </c>
    </row>
    <row r="6317" spans="1:12" ht="25" customHeight="1">
      <c r="A6317" s="2" t="s">
        <v>12</v>
      </c>
      <c r="B6317" s="2" t="str">
        <f>HYPERLINK("http://m.12365auto.com/xcdg/20200218/418813.shtml","名爵今年推3款新车 改款MG6领衔登场")</f>
        <v>名爵今年推3款新车 改款MG6领衔登场</v>
      </c>
      <c r="C6317" s="2" t="s">
        <v>13</v>
      </c>
      <c r="D6317" s="2" t="s">
        <v>12</v>
      </c>
      <c r="E6317" s="2"/>
      <c r="F6317" s="2" t="str">
        <f>HYPERLINK("http://m.12365auto.com/xcdg/20200218/418813.shtml","http://m.12365auto.com/xcdg/20200218/418813.shtml")</f>
        <v>http://m.12365auto.com/xcdg/20200218/418813.shtml</v>
      </c>
      <c r="G6317" s="2"/>
      <c r="H6317" s="2" t="s">
        <v>8713</v>
      </c>
      <c r="I6317" s="2" t="s">
        <v>19</v>
      </c>
      <c r="J6317" s="2" t="s">
        <v>732</v>
      </c>
      <c r="K6317" s="2" t="s">
        <v>8711</v>
      </c>
      <c r="L6317" s="2">
        <f t="shared" si="98"/>
        <v>150</v>
      </c>
    </row>
    <row r="6318" spans="1:12" ht="25" customHeight="1">
      <c r="A6318" s="2" t="s">
        <v>12</v>
      </c>
      <c r="B6318" s="2" t="str">
        <f>HYPERLINK("http://www.12365auto.com/xcdg/20200218/418813.shtml","名爵今年推3款新车 改款MG6领衔登场")</f>
        <v>名爵今年推3款新车 改款MG6领衔登场</v>
      </c>
      <c r="C6318" s="2" t="s">
        <v>13</v>
      </c>
      <c r="D6318" s="2" t="s">
        <v>12</v>
      </c>
      <c r="E6318" s="2" t="s">
        <v>245</v>
      </c>
      <c r="F6318" s="2" t="str">
        <f>HYPERLINK("http://www.12365auto.com/xcdg/20200218/418813.shtml","http://www.12365auto.com/xcdg/20200218/418813.shtml")</f>
        <v>http://www.12365auto.com/xcdg/20200218/418813.shtml</v>
      </c>
      <c r="G6318" s="2"/>
      <c r="H6318" s="2" t="s">
        <v>8714</v>
      </c>
      <c r="I6318" s="2" t="s">
        <v>19</v>
      </c>
      <c r="J6318" s="2" t="s">
        <v>12</v>
      </c>
      <c r="K6318" s="2" t="s">
        <v>8711</v>
      </c>
      <c r="L6318" s="2">
        <f t="shared" si="98"/>
        <v>150</v>
      </c>
    </row>
    <row r="6319" spans="1:12" ht="25" customHeight="1">
      <c r="A6319" s="2" t="s">
        <v>12</v>
      </c>
      <c r="B6319" s="2" t="str">
        <f>HYPERLINK("http://m.12365auto.com/bbs/postcontent.aspx?tID=194324","Fraunhofer IPMS开发IP核")</f>
        <v>Fraunhofer IPMS开发IP核</v>
      </c>
      <c r="C6319" s="2" t="s">
        <v>13</v>
      </c>
      <c r="D6319" s="2" t="s">
        <v>23</v>
      </c>
      <c r="E6319" s="2"/>
      <c r="F6319" s="2" t="str">
        <f>HYPERLINK("http://m.12365auto.com/bbs/postcontent.aspx?tID=194324","http://m.12365auto.com/bbs/postcontent.aspx?tID=194324")</f>
        <v>http://m.12365auto.com/bbs/postcontent.aspx?tID=194324</v>
      </c>
      <c r="G6319" s="2"/>
      <c r="H6319" s="2" t="s">
        <v>8710</v>
      </c>
      <c r="I6319" s="2" t="s">
        <v>15</v>
      </c>
      <c r="J6319" s="2" t="s">
        <v>2009</v>
      </c>
      <c r="K6319" s="2" t="s">
        <v>8711</v>
      </c>
      <c r="L6319" s="2">
        <f t="shared" si="98"/>
        <v>150</v>
      </c>
    </row>
    <row r="6320" spans="1:12" ht="25" customHeight="1">
      <c r="A6320" s="2" t="s">
        <v>12</v>
      </c>
      <c r="B6320" s="2" t="str">
        <f>HYPERLINK("http://www.12365auto.com/zlts/20200218/447590.shtml","东风雪铁龙世嘉行驶中变速箱电磁阀故障")</f>
        <v>东风雪铁龙世嘉行驶中变速箱电磁阀故障</v>
      </c>
      <c r="C6320" s="2" t="s">
        <v>13</v>
      </c>
      <c r="D6320" s="2" t="s">
        <v>12</v>
      </c>
      <c r="E6320" s="2"/>
      <c r="F6320" s="2" t="str">
        <f>HYPERLINK("http://www.12365auto.com/zlts/20200218/447590.shtml","http://www.12365auto.com/zlts/20200218/447590.shtml")</f>
        <v>http://www.12365auto.com/zlts/20200218/447590.shtml</v>
      </c>
      <c r="G6320" s="2"/>
      <c r="H6320" s="2" t="s">
        <v>8716</v>
      </c>
      <c r="I6320" s="2" t="s">
        <v>15</v>
      </c>
      <c r="J6320" s="2" t="s">
        <v>12</v>
      </c>
      <c r="K6320" s="2" t="s">
        <v>8715</v>
      </c>
      <c r="L6320" s="2">
        <f t="shared" si="98"/>
        <v>81</v>
      </c>
    </row>
    <row r="6321" spans="1:12" ht="25" customHeight="1">
      <c r="A6321" s="2" t="s">
        <v>12</v>
      </c>
      <c r="B6321" s="2" t="str">
        <f>HYPERLINK("http://www.12365auto.com/zlts/20200218/447592.shtml","郑州日产途达发动机异响 变速箱脱挡 电瓶亏电")</f>
        <v>郑州日产途达发动机异响 变速箱脱挡 电瓶亏电</v>
      </c>
      <c r="C6321" s="2" t="s">
        <v>13</v>
      </c>
      <c r="D6321" s="2" t="s">
        <v>12</v>
      </c>
      <c r="E6321" s="2"/>
      <c r="F6321" s="2" t="str">
        <f>HYPERLINK("http://www.12365auto.com/zlts/20200218/447592.shtml","http://www.12365auto.com/zlts/20200218/447592.shtml")</f>
        <v>http://www.12365auto.com/zlts/20200218/447592.shtml</v>
      </c>
      <c r="G6321" s="2"/>
      <c r="H6321" s="2" t="s">
        <v>8718</v>
      </c>
      <c r="I6321" s="2" t="s">
        <v>15</v>
      </c>
      <c r="J6321" s="2" t="s">
        <v>12</v>
      </c>
      <c r="K6321" s="2" t="s">
        <v>8717</v>
      </c>
      <c r="L6321" s="2">
        <f t="shared" si="98"/>
        <v>83</v>
      </c>
    </row>
    <row r="6322" spans="1:12" ht="25" customHeight="1">
      <c r="A6322" s="2" t="s">
        <v>12</v>
      </c>
      <c r="B6322" s="2" t="str">
        <f>HYPERLINK("http://m.12365auto.com/news/20200218/418812.shtml","东风本田CR-V逆势大涨42.1% 新款年内上市")</f>
        <v>东风本田CR-V逆势大涨42.1% 新款年内上市</v>
      </c>
      <c r="C6322" s="2" t="s">
        <v>13</v>
      </c>
      <c r="D6322" s="2" t="s">
        <v>12</v>
      </c>
      <c r="E6322" s="2"/>
      <c r="F6322" s="2" t="str">
        <f>HYPERLINK("http://m.12365auto.com/news/20200218/418812.shtml","http://m.12365auto.com/news/20200218/418812.shtml")</f>
        <v>http://m.12365auto.com/news/20200218/418812.shtml</v>
      </c>
      <c r="G6322" s="2"/>
      <c r="H6322" s="2" t="s">
        <v>8719</v>
      </c>
      <c r="I6322" s="2" t="s">
        <v>19</v>
      </c>
      <c r="J6322" s="2" t="s">
        <v>265</v>
      </c>
      <c r="K6322" s="2" t="s">
        <v>8720</v>
      </c>
      <c r="L6322" s="2">
        <f t="shared" si="98"/>
        <v>150</v>
      </c>
    </row>
    <row r="6323" spans="1:12" ht="25" customHeight="1">
      <c r="A6323" s="2" t="s">
        <v>12</v>
      </c>
      <c r="B6323" s="2" t="str">
        <f>HYPERLINK("http://www.12365auto.com/news/20200218/418812.shtml","东风本田CR-V逆势大涨42.1% 新款年内上市")</f>
        <v>东风本田CR-V逆势大涨42.1% 新款年内上市</v>
      </c>
      <c r="C6323" s="2" t="s">
        <v>13</v>
      </c>
      <c r="D6323" s="2" t="s">
        <v>12</v>
      </c>
      <c r="E6323" s="2" t="s">
        <v>282</v>
      </c>
      <c r="F6323" s="2" t="str">
        <f>HYPERLINK("http://www.12365auto.com/news/20200218/418812.shtml","http://www.12365auto.com/news/20200218/418812.shtml")</f>
        <v>http://www.12365auto.com/news/20200218/418812.shtml</v>
      </c>
      <c r="G6323" s="2"/>
      <c r="H6323" s="2" t="s">
        <v>8721</v>
      </c>
      <c r="I6323" s="2" t="s">
        <v>19</v>
      </c>
      <c r="J6323" s="2" t="s">
        <v>12</v>
      </c>
      <c r="K6323" s="2" t="s">
        <v>8720</v>
      </c>
      <c r="L6323" s="2">
        <f t="shared" si="98"/>
        <v>150</v>
      </c>
    </row>
    <row r="6324" spans="1:12" ht="25" customHeight="1">
      <c r="A6324" s="2" t="s">
        <v>12</v>
      </c>
      <c r="B6324" s="2" t="str">
        <f>HYPERLINK("http://bbs.12365auto.com/postcontent.aspx?tId=194322","造型更凌厉/日内瓦车展发布 现代全新i20官图")</f>
        <v>造型更凌厉/日内瓦车展发布 现代全新i20官图</v>
      </c>
      <c r="C6324" s="2" t="s">
        <v>13</v>
      </c>
      <c r="D6324" s="2" t="s">
        <v>12</v>
      </c>
      <c r="E6324" s="2" t="s">
        <v>27</v>
      </c>
      <c r="F6324" s="2" t="str">
        <f>HYPERLINK("http://bbs.12365auto.com/postcontent.aspx?tId=194322","http://bbs.12365auto.com/postcontent.aspx?tId=194322")</f>
        <v>http://bbs.12365auto.com/postcontent.aspx?tId=194322</v>
      </c>
      <c r="G6324" s="2"/>
      <c r="H6324" s="2" t="s">
        <v>8722</v>
      </c>
      <c r="I6324" s="2" t="s">
        <v>15</v>
      </c>
      <c r="J6324" s="2" t="s">
        <v>2009</v>
      </c>
      <c r="K6324" s="2" t="s">
        <v>8723</v>
      </c>
      <c r="L6324" s="2">
        <f t="shared" si="98"/>
        <v>150</v>
      </c>
    </row>
    <row r="6325" spans="1:12" ht="25" customHeight="1">
      <c r="A6325" s="2" t="s">
        <v>12</v>
      </c>
      <c r="B6325" s="2" t="str">
        <f>HYPERLINK("http://bbs.12365auto.com/postcontent.aspx?tId=194323","5万块钱能买什么？这种车现在卖得最火！")</f>
        <v>5万块钱能买什么？这种车现在卖得最火！</v>
      </c>
      <c r="C6325" s="2" t="s">
        <v>13</v>
      </c>
      <c r="D6325" s="2" t="s">
        <v>12</v>
      </c>
      <c r="E6325" s="2" t="s">
        <v>27</v>
      </c>
      <c r="F6325" s="2" t="str">
        <f>HYPERLINK("http://bbs.12365auto.com/postcontent.aspx?tId=194323","http://bbs.12365auto.com/postcontent.aspx?tId=194323")</f>
        <v>http://bbs.12365auto.com/postcontent.aspx?tId=194323</v>
      </c>
      <c r="G6325" s="2"/>
      <c r="H6325" s="2" t="s">
        <v>8724</v>
      </c>
      <c r="I6325" s="2" t="s">
        <v>15</v>
      </c>
      <c r="J6325" s="2" t="s">
        <v>2009</v>
      </c>
      <c r="K6325" s="2" t="s">
        <v>8723</v>
      </c>
      <c r="L6325" s="2">
        <f t="shared" si="98"/>
        <v>150</v>
      </c>
    </row>
    <row r="6326" spans="1:12" ht="25" customHeight="1">
      <c r="A6326" s="2" t="s">
        <v>12</v>
      </c>
      <c r="B6326" s="2" t="str">
        <f>HYPERLINK("http://bbs.12365auto.com/postcontent.aspx?tID=194323","5万块钱能买什么？这种车现在卖得最火！")</f>
        <v>5万块钱能买什么？这种车现在卖得最火！</v>
      </c>
      <c r="C6326" s="2" t="s">
        <v>13</v>
      </c>
      <c r="D6326" s="2" t="s">
        <v>12</v>
      </c>
      <c r="E6326" s="2" t="s">
        <v>28</v>
      </c>
      <c r="F6326" s="2" t="str">
        <f>HYPERLINK("http://bbs.12365auto.com/postcontent.aspx?tID=194323","http://bbs.12365auto.com/postcontent.aspx?tID=194323")</f>
        <v>http://bbs.12365auto.com/postcontent.aspx?tID=194323</v>
      </c>
      <c r="G6326" s="2"/>
      <c r="H6326" s="2" t="s">
        <v>8725</v>
      </c>
      <c r="I6326" s="2" t="s">
        <v>15</v>
      </c>
      <c r="J6326" s="2" t="s">
        <v>2009</v>
      </c>
      <c r="K6326" s="2" t="s">
        <v>8723</v>
      </c>
      <c r="L6326" s="2">
        <f t="shared" si="98"/>
        <v>150</v>
      </c>
    </row>
    <row r="6327" spans="1:12" ht="25" customHeight="1">
      <c r="A6327" s="2" t="s">
        <v>12</v>
      </c>
      <c r="B6327" s="2" t="str">
        <f>HYPERLINK("http://bbs.12365auto.com/postcontent.aspx?tID=194322","造型更凌厉/日内瓦车展发布 现代全新i20官图")</f>
        <v>造型更凌厉/日内瓦车展发布 现代全新i20官图</v>
      </c>
      <c r="C6327" s="2" t="s">
        <v>13</v>
      </c>
      <c r="D6327" s="2" t="s">
        <v>12</v>
      </c>
      <c r="E6327" s="2" t="s">
        <v>28</v>
      </c>
      <c r="F6327" s="2" t="str">
        <f>HYPERLINK("http://bbs.12365auto.com/postcontent.aspx?tID=194322","http://bbs.12365auto.com/postcontent.aspx?tID=194322")</f>
        <v>http://bbs.12365auto.com/postcontent.aspx?tID=194322</v>
      </c>
      <c r="G6327" s="2"/>
      <c r="H6327" s="2" t="s">
        <v>8726</v>
      </c>
      <c r="I6327" s="2" t="s">
        <v>15</v>
      </c>
      <c r="J6327" s="2" t="s">
        <v>2009</v>
      </c>
      <c r="K6327" s="2" t="s">
        <v>8723</v>
      </c>
      <c r="L6327" s="2">
        <f t="shared" si="98"/>
        <v>150</v>
      </c>
    </row>
    <row r="6328" spans="1:12" ht="25" customHeight="1">
      <c r="A6328" s="2" t="s">
        <v>12</v>
      </c>
      <c r="B6328" s="2" t="str">
        <f>HYPERLINK("http://m.12365auto.com/bbs/postcontent.aspx?tID=194322","造型更凌厉/日内瓦车展发布 现代全新i20官图")</f>
        <v>造型更凌厉/日内瓦车展发布 现代全新i20官图</v>
      </c>
      <c r="C6328" s="2" t="s">
        <v>13</v>
      </c>
      <c r="D6328" s="2" t="s">
        <v>23</v>
      </c>
      <c r="E6328" s="2"/>
      <c r="F6328" s="2" t="str">
        <f>HYPERLINK("http://m.12365auto.com/bbs/postcontent.aspx?tID=194322","http://m.12365auto.com/bbs/postcontent.aspx?tID=194322")</f>
        <v>http://m.12365auto.com/bbs/postcontent.aspx?tID=194322</v>
      </c>
      <c r="G6328" s="2"/>
      <c r="H6328" s="2" t="s">
        <v>8722</v>
      </c>
      <c r="I6328" s="2" t="s">
        <v>15</v>
      </c>
      <c r="J6328" s="2" t="s">
        <v>2009</v>
      </c>
      <c r="K6328" s="2" t="s">
        <v>8723</v>
      </c>
      <c r="L6328" s="2">
        <f t="shared" si="98"/>
        <v>150</v>
      </c>
    </row>
    <row r="6329" spans="1:12" ht="25" customHeight="1">
      <c r="A6329" s="2" t="s">
        <v>12</v>
      </c>
      <c r="B6329" s="2" t="str">
        <f>HYPERLINK("http://m.12365auto.com/bbs/postcontent.aspx?tID=194323","5万块钱能买什么？这种车现在卖得最火！")</f>
        <v>5万块钱能买什么？这种车现在卖得最火！</v>
      </c>
      <c r="C6329" s="2" t="s">
        <v>13</v>
      </c>
      <c r="D6329" s="2" t="s">
        <v>23</v>
      </c>
      <c r="E6329" s="2"/>
      <c r="F6329" s="2" t="str">
        <f>HYPERLINK("http://m.12365auto.com/bbs/postcontent.aspx?tID=194323","http://m.12365auto.com/bbs/postcontent.aspx?tID=194323")</f>
        <v>http://m.12365auto.com/bbs/postcontent.aspx?tID=194323</v>
      </c>
      <c r="G6329" s="2"/>
      <c r="H6329" s="2" t="s">
        <v>8724</v>
      </c>
      <c r="I6329" s="2" t="s">
        <v>15</v>
      </c>
      <c r="J6329" s="2" t="s">
        <v>2009</v>
      </c>
      <c r="K6329" s="2" t="s">
        <v>8723</v>
      </c>
      <c r="L6329" s="2">
        <f t="shared" si="98"/>
        <v>150</v>
      </c>
    </row>
    <row r="6330" spans="1:12" ht="25" customHeight="1">
      <c r="A6330" s="2" t="s">
        <v>12</v>
      </c>
      <c r="B6330" s="2" t="str">
        <f>HYPERLINK("http://www.12365auto.com/news/20200218/418811.shtml","声学的杰作 未来车型或将取消车内音响")</f>
        <v>声学的杰作 未来车型或将取消车内音响</v>
      </c>
      <c r="C6330" s="2" t="s">
        <v>13</v>
      </c>
      <c r="D6330" s="2" t="s">
        <v>12</v>
      </c>
      <c r="E6330" s="2" t="s">
        <v>276</v>
      </c>
      <c r="F6330" s="2" t="str">
        <f>HYPERLINK("http://www.12365auto.com/news/20200218/418811.shtml","http://www.12365auto.com/news/20200218/418811.shtml")</f>
        <v>http://www.12365auto.com/news/20200218/418811.shtml</v>
      </c>
      <c r="G6330" s="2"/>
      <c r="H6330" s="2" t="s">
        <v>8727</v>
      </c>
      <c r="I6330" s="2" t="s">
        <v>15</v>
      </c>
      <c r="J6330" s="2" t="s">
        <v>12</v>
      </c>
      <c r="K6330" s="2" t="s">
        <v>8728</v>
      </c>
      <c r="L6330" s="2">
        <f t="shared" si="98"/>
        <v>150</v>
      </c>
    </row>
    <row r="6331" spans="1:12" ht="25" customHeight="1">
      <c r="A6331" s="2" t="s">
        <v>12</v>
      </c>
      <c r="B6331" s="2" t="str">
        <f>HYPERLINK("http://bbs.12365auto.com/postcontent.aspx?tId=194321","奔驰进前五探岳失榜眼，1月SUV榜单看点足")</f>
        <v>奔驰进前五探岳失榜眼，1月SUV榜单看点足</v>
      </c>
      <c r="C6331" s="2" t="s">
        <v>13</v>
      </c>
      <c r="D6331" s="2" t="s">
        <v>12</v>
      </c>
      <c r="E6331" s="2" t="s">
        <v>27</v>
      </c>
      <c r="F6331" s="2" t="str">
        <f>HYPERLINK("http://bbs.12365auto.com/postcontent.aspx?tId=194321","http://bbs.12365auto.com/postcontent.aspx?tId=194321")</f>
        <v>http://bbs.12365auto.com/postcontent.aspx?tId=194321</v>
      </c>
      <c r="G6331" s="2"/>
      <c r="H6331" s="2" t="s">
        <v>8729</v>
      </c>
      <c r="I6331" s="2" t="s">
        <v>15</v>
      </c>
      <c r="J6331" s="2" t="s">
        <v>2009</v>
      </c>
      <c r="K6331" s="2" t="s">
        <v>8728</v>
      </c>
      <c r="L6331" s="2">
        <f t="shared" si="98"/>
        <v>150</v>
      </c>
    </row>
    <row r="6332" spans="1:12" ht="25" customHeight="1">
      <c r="A6332" s="2" t="s">
        <v>12</v>
      </c>
      <c r="B6332" s="2" t="str">
        <f>HYPERLINK("http://m.12365auto.com/news/20200218/418811.shtml","声学的杰作 未来车型或将取消车内音响")</f>
        <v>声学的杰作 未来车型或将取消车内音响</v>
      </c>
      <c r="C6332" s="2" t="s">
        <v>13</v>
      </c>
      <c r="D6332" s="2" t="s">
        <v>12</v>
      </c>
      <c r="E6332" s="2"/>
      <c r="F6332" s="2" t="str">
        <f>HYPERLINK("http://m.12365auto.com/news/20200218/418811.shtml","http://m.12365auto.com/news/20200218/418811.shtml")</f>
        <v>http://m.12365auto.com/news/20200218/418811.shtml</v>
      </c>
      <c r="G6332" s="2"/>
      <c r="H6332" s="2" t="s">
        <v>8730</v>
      </c>
      <c r="I6332" s="2" t="s">
        <v>19</v>
      </c>
      <c r="J6332" s="2" t="s">
        <v>3058</v>
      </c>
      <c r="K6332" s="2" t="s">
        <v>8728</v>
      </c>
      <c r="L6332" s="2">
        <f t="shared" si="98"/>
        <v>150</v>
      </c>
    </row>
    <row r="6333" spans="1:12" ht="25" customHeight="1">
      <c r="A6333" s="2" t="s">
        <v>12</v>
      </c>
      <c r="B6333" s="2" t="str">
        <f>HYPERLINK("http://bbs.12365auto.com/postcontent.aspx?tID=194321","奔驰进前五探岳失榜眼，1月SUV榜单看点足")</f>
        <v>奔驰进前五探岳失榜眼，1月SUV榜单看点足</v>
      </c>
      <c r="C6333" s="2" t="s">
        <v>13</v>
      </c>
      <c r="D6333" s="2" t="s">
        <v>12</v>
      </c>
      <c r="E6333" s="2" t="s">
        <v>28</v>
      </c>
      <c r="F6333" s="2" t="str">
        <f>HYPERLINK("http://bbs.12365auto.com/postcontent.aspx?tID=194321","http://bbs.12365auto.com/postcontent.aspx?tID=194321")</f>
        <v>http://bbs.12365auto.com/postcontent.aspx?tID=194321</v>
      </c>
      <c r="G6333" s="2"/>
      <c r="H6333" s="2" t="s">
        <v>8731</v>
      </c>
      <c r="I6333" s="2" t="s">
        <v>15</v>
      </c>
      <c r="J6333" s="2" t="s">
        <v>2009</v>
      </c>
      <c r="K6333" s="2" t="s">
        <v>8728</v>
      </c>
      <c r="L6333" s="2">
        <f t="shared" si="98"/>
        <v>150</v>
      </c>
    </row>
    <row r="6334" spans="1:12" ht="25" customHeight="1">
      <c r="A6334" s="2" t="s">
        <v>12</v>
      </c>
      <c r="B6334" s="2" t="str">
        <f>HYPERLINK("http://m.12365auto.com/bbs/postcontent.aspx?tID=194321","奔驰进前五探岳失榜眼，1月SUV榜单看点足")</f>
        <v>奔驰进前五探岳失榜眼，1月SUV榜单看点足</v>
      </c>
      <c r="C6334" s="2" t="s">
        <v>13</v>
      </c>
      <c r="D6334" s="2" t="s">
        <v>23</v>
      </c>
      <c r="E6334" s="2"/>
      <c r="F6334" s="2" t="str">
        <f>HYPERLINK("http://m.12365auto.com/bbs/postcontent.aspx?tID=194321","http://m.12365auto.com/bbs/postcontent.aspx?tID=194321")</f>
        <v>http://m.12365auto.com/bbs/postcontent.aspx?tID=194321</v>
      </c>
      <c r="G6334" s="2"/>
      <c r="H6334" s="2" t="s">
        <v>8729</v>
      </c>
      <c r="I6334" s="2" t="s">
        <v>15</v>
      </c>
      <c r="J6334" s="2" t="s">
        <v>2009</v>
      </c>
      <c r="K6334" s="2" t="s">
        <v>8728</v>
      </c>
      <c r="L6334" s="2">
        <f t="shared" si="98"/>
        <v>150</v>
      </c>
    </row>
    <row r="6335" spans="1:12" ht="25" customHeight="1">
      <c r="A6335" s="2" t="s">
        <v>12</v>
      </c>
      <c r="B6335" s="2" t="str">
        <f>HYPERLINK("http://bbs.12365auto.com/postcontent.aspx?tId=194320","不用贴标志 四大特征暴露开车新手")</f>
        <v>不用贴标志 四大特征暴露开车新手</v>
      </c>
      <c r="C6335" s="2" t="s">
        <v>13</v>
      </c>
      <c r="D6335" s="2" t="s">
        <v>12</v>
      </c>
      <c r="E6335" s="2" t="s">
        <v>27</v>
      </c>
      <c r="F6335" s="2" t="str">
        <f>HYPERLINK("http://bbs.12365auto.com/postcontent.aspx?tId=194320","http://bbs.12365auto.com/postcontent.aspx?tId=194320")</f>
        <v>http://bbs.12365auto.com/postcontent.aspx?tId=194320</v>
      </c>
      <c r="G6335" s="2"/>
      <c r="H6335" s="2" t="s">
        <v>8732</v>
      </c>
      <c r="I6335" s="2" t="s">
        <v>15</v>
      </c>
      <c r="J6335" s="2" t="s">
        <v>2009</v>
      </c>
      <c r="K6335" s="2" t="s">
        <v>8733</v>
      </c>
      <c r="L6335" s="2">
        <f t="shared" si="98"/>
        <v>150</v>
      </c>
    </row>
    <row r="6336" spans="1:12" ht="25" customHeight="1">
      <c r="A6336" s="2" t="s">
        <v>12</v>
      </c>
      <c r="B6336" s="2" t="str">
        <f>HYPERLINK("http://m.12365auto.com/xcdg/20200218/418810.shtml","20万左右想买SUV 看完这8款心里就有数了")</f>
        <v>20万左右想买SUV 看完这8款心里就有数了</v>
      </c>
      <c r="C6336" s="2" t="s">
        <v>13</v>
      </c>
      <c r="D6336" s="2" t="s">
        <v>12</v>
      </c>
      <c r="E6336" s="2"/>
      <c r="F6336" s="2" t="str">
        <f>HYPERLINK("http://m.12365auto.com/xcdg/20200218/418810.shtml","http://m.12365auto.com/xcdg/20200218/418810.shtml")</f>
        <v>http://m.12365auto.com/xcdg/20200218/418810.shtml</v>
      </c>
      <c r="G6336" s="2"/>
      <c r="H6336" s="2" t="s">
        <v>8734</v>
      </c>
      <c r="I6336" s="2" t="s">
        <v>19</v>
      </c>
      <c r="J6336" s="2" t="s">
        <v>6112</v>
      </c>
      <c r="K6336" s="2" t="s">
        <v>8733</v>
      </c>
      <c r="L6336" s="2">
        <f t="shared" si="98"/>
        <v>150</v>
      </c>
    </row>
    <row r="6337" spans="1:12" ht="25" customHeight="1">
      <c r="A6337" s="2" t="s">
        <v>12</v>
      </c>
      <c r="B6337" s="2" t="str">
        <f>HYPERLINK("http://m.12365auto.com/bbs/postcontent.aspx?tID=194320","不用贴标志 四大特征暴露开车新手")</f>
        <v>不用贴标志 四大特征暴露开车新手</v>
      </c>
      <c r="C6337" s="2" t="s">
        <v>13</v>
      </c>
      <c r="D6337" s="2" t="s">
        <v>23</v>
      </c>
      <c r="E6337" s="2"/>
      <c r="F6337" s="2" t="str">
        <f>HYPERLINK("http://m.12365auto.com/bbs/postcontent.aspx?tID=194320","http://m.12365auto.com/bbs/postcontent.aspx?tID=194320")</f>
        <v>http://m.12365auto.com/bbs/postcontent.aspx?tID=194320</v>
      </c>
      <c r="G6337" s="2"/>
      <c r="H6337" s="2" t="s">
        <v>8732</v>
      </c>
      <c r="I6337" s="2" t="s">
        <v>15</v>
      </c>
      <c r="J6337" s="2" t="s">
        <v>2009</v>
      </c>
      <c r="K6337" s="2" t="s">
        <v>8733</v>
      </c>
      <c r="L6337" s="2">
        <f t="shared" si="98"/>
        <v>150</v>
      </c>
    </row>
    <row r="6338" spans="1:12" ht="25" customHeight="1">
      <c r="A6338" s="2" t="s">
        <v>12</v>
      </c>
      <c r="B6338" s="2" t="str">
        <f>HYPERLINK("http://bbs.12365auto.com/postcontent.aspx?tID=194320","不用贴标志 四大特征暴露开车新手")</f>
        <v>不用贴标志 四大特征暴露开车新手</v>
      </c>
      <c r="C6338" s="2" t="s">
        <v>13</v>
      </c>
      <c r="D6338" s="2" t="s">
        <v>12</v>
      </c>
      <c r="E6338" s="2" t="s">
        <v>28</v>
      </c>
      <c r="F6338" s="2" t="str">
        <f>HYPERLINK("http://bbs.12365auto.com/postcontent.aspx?tID=194320","http://bbs.12365auto.com/postcontent.aspx?tID=194320")</f>
        <v>http://bbs.12365auto.com/postcontent.aspx?tID=194320</v>
      </c>
      <c r="G6338" s="2"/>
      <c r="H6338" s="2" t="s">
        <v>8735</v>
      </c>
      <c r="I6338" s="2" t="s">
        <v>15</v>
      </c>
      <c r="J6338" s="2" t="s">
        <v>2009</v>
      </c>
      <c r="K6338" s="2" t="s">
        <v>8733</v>
      </c>
      <c r="L6338" s="2">
        <f t="shared" si="98"/>
        <v>150</v>
      </c>
    </row>
    <row r="6339" spans="1:12" ht="25" customHeight="1">
      <c r="A6339" s="2" t="s">
        <v>12</v>
      </c>
      <c r="B6339" s="2" t="str">
        <f>HYPERLINK("http://www.12365auto.com/xcdg/20200218/418809.shtml","不到15万的合资中型SUV 捷达VS7行不行？")</f>
        <v>不到15万的合资中型SUV 捷达VS7行不行？</v>
      </c>
      <c r="C6339" s="2" t="s">
        <v>13</v>
      </c>
      <c r="D6339" s="2" t="s">
        <v>12</v>
      </c>
      <c r="E6339" s="2" t="s">
        <v>216</v>
      </c>
      <c r="F6339" s="2" t="str">
        <f>HYPERLINK("http://www.12365auto.com/xcdg/20200218/418809.shtml","http://www.12365auto.com/xcdg/20200218/418809.shtml")</f>
        <v>http://www.12365auto.com/xcdg/20200218/418809.shtml</v>
      </c>
      <c r="G6339" s="2"/>
      <c r="H6339" s="2" t="s">
        <v>8736</v>
      </c>
      <c r="I6339" s="2" t="s">
        <v>15</v>
      </c>
      <c r="J6339" s="2" t="s">
        <v>12</v>
      </c>
      <c r="K6339" s="2" t="s">
        <v>8737</v>
      </c>
      <c r="L6339" s="2">
        <f t="shared" ref="L6339:L6402" si="99">LEN(H6339)</f>
        <v>150</v>
      </c>
    </row>
    <row r="6340" spans="1:12" ht="25" customHeight="1">
      <c r="A6340" s="2" t="s">
        <v>12</v>
      </c>
      <c r="B6340" s="2" t="str">
        <f>HYPERLINK("http://bbs.12365auto.com/postcontent.aspx?tId=194319","学会如何跟车险公司沟通交流")</f>
        <v>学会如何跟车险公司沟通交流</v>
      </c>
      <c r="C6340" s="2" t="s">
        <v>13</v>
      </c>
      <c r="D6340" s="2" t="s">
        <v>12</v>
      </c>
      <c r="E6340" s="2" t="s">
        <v>27</v>
      </c>
      <c r="F6340" s="2" t="str">
        <f>HYPERLINK("http://bbs.12365auto.com/postcontent.aspx?tId=194319","http://bbs.12365auto.com/postcontent.aspx?tId=194319")</f>
        <v>http://bbs.12365auto.com/postcontent.aspx?tId=194319</v>
      </c>
      <c r="G6340" s="2"/>
      <c r="H6340" s="2" t="s">
        <v>8738</v>
      </c>
      <c r="I6340" s="2" t="s">
        <v>15</v>
      </c>
      <c r="J6340" s="2" t="s">
        <v>2009</v>
      </c>
      <c r="K6340" s="2" t="s">
        <v>8737</v>
      </c>
      <c r="L6340" s="2">
        <f t="shared" si="99"/>
        <v>150</v>
      </c>
    </row>
    <row r="6341" spans="1:12" ht="25" customHeight="1">
      <c r="A6341" s="2" t="s">
        <v>12</v>
      </c>
      <c r="B6341" s="2" t="str">
        <f>HYPERLINK("http://m.12365auto.com/xcdg/20200218/418809.shtml","不到15万的合资中型SUV 捷达VS7行不行？")</f>
        <v>不到15万的合资中型SUV 捷达VS7行不行？</v>
      </c>
      <c r="C6341" s="2" t="s">
        <v>13</v>
      </c>
      <c r="D6341" s="2" t="s">
        <v>12</v>
      </c>
      <c r="E6341" s="2"/>
      <c r="F6341" s="2" t="str">
        <f>HYPERLINK("http://m.12365auto.com/xcdg/20200218/418809.shtml","http://m.12365auto.com/xcdg/20200218/418809.shtml")</f>
        <v>http://m.12365auto.com/xcdg/20200218/418809.shtml</v>
      </c>
      <c r="G6341" s="2"/>
      <c r="H6341" s="2" t="s">
        <v>8739</v>
      </c>
      <c r="I6341" s="2" t="s">
        <v>19</v>
      </c>
      <c r="J6341" s="2" t="s">
        <v>1255</v>
      </c>
      <c r="K6341" s="2" t="s">
        <v>8737</v>
      </c>
      <c r="L6341" s="2">
        <f t="shared" si="99"/>
        <v>150</v>
      </c>
    </row>
    <row r="6342" spans="1:12" ht="25" customHeight="1">
      <c r="A6342" s="2" t="s">
        <v>12</v>
      </c>
      <c r="B6342" s="2" t="str">
        <f>HYPERLINK("http://bbs.12365auto.com/postcontent.aspx?tID=194319","学会如何跟车险公司沟通交流")</f>
        <v>学会如何跟车险公司沟通交流</v>
      </c>
      <c r="C6342" s="2" t="s">
        <v>13</v>
      </c>
      <c r="D6342" s="2" t="s">
        <v>12</v>
      </c>
      <c r="E6342" s="2" t="s">
        <v>28</v>
      </c>
      <c r="F6342" s="2" t="str">
        <f>HYPERLINK("http://bbs.12365auto.com/postcontent.aspx?tID=194319","http://bbs.12365auto.com/postcontent.aspx?tID=194319")</f>
        <v>http://bbs.12365auto.com/postcontent.aspx?tID=194319</v>
      </c>
      <c r="G6342" s="2"/>
      <c r="H6342" s="2" t="s">
        <v>8740</v>
      </c>
      <c r="I6342" s="2" t="s">
        <v>15</v>
      </c>
      <c r="J6342" s="2" t="s">
        <v>2009</v>
      </c>
      <c r="K6342" s="2" t="s">
        <v>8737</v>
      </c>
      <c r="L6342" s="2">
        <f t="shared" si="99"/>
        <v>150</v>
      </c>
    </row>
    <row r="6343" spans="1:12" ht="25" customHeight="1">
      <c r="A6343" s="2" t="s">
        <v>12</v>
      </c>
      <c r="B6343" s="2" t="str">
        <f>HYPERLINK("http://m.12365auto.com/bbs/postcontent.aspx?tID=194319","学会如何跟车险公司沟通交流")</f>
        <v>学会如何跟车险公司沟通交流</v>
      </c>
      <c r="C6343" s="2" t="s">
        <v>13</v>
      </c>
      <c r="D6343" s="2" t="s">
        <v>23</v>
      </c>
      <c r="E6343" s="2"/>
      <c r="F6343" s="2" t="str">
        <f>HYPERLINK("http://m.12365auto.com/bbs/postcontent.aspx?tID=194319","http://m.12365auto.com/bbs/postcontent.aspx?tID=194319")</f>
        <v>http://m.12365auto.com/bbs/postcontent.aspx?tID=194319</v>
      </c>
      <c r="G6343" s="2"/>
      <c r="H6343" s="2" t="s">
        <v>8738</v>
      </c>
      <c r="I6343" s="2" t="s">
        <v>15</v>
      </c>
      <c r="J6343" s="2" t="s">
        <v>2009</v>
      </c>
      <c r="K6343" s="2" t="s">
        <v>8737</v>
      </c>
      <c r="L6343" s="2">
        <f t="shared" si="99"/>
        <v>150</v>
      </c>
    </row>
    <row r="6344" spans="1:12" ht="25" customHeight="1">
      <c r="A6344" s="2" t="s">
        <v>12</v>
      </c>
      <c r="B6344" s="2" t="str">
        <f>HYPERLINK("http://www.12365auto.com/zlts/20200218/447593.shtml","东风日产奇骏未发生碰撞漆面龟裂")</f>
        <v>东风日产奇骏未发生碰撞漆面龟裂</v>
      </c>
      <c r="C6344" s="2" t="s">
        <v>13</v>
      </c>
      <c r="D6344" s="2" t="s">
        <v>12</v>
      </c>
      <c r="E6344" s="2" t="s">
        <v>17</v>
      </c>
      <c r="F6344" s="2" t="str">
        <f>HYPERLINK("http://www.12365auto.com/zlts/20200218/447593.shtml","http://www.12365auto.com/zlts/20200218/447593.shtml")</f>
        <v>http://www.12365auto.com/zlts/20200218/447593.shtml</v>
      </c>
      <c r="G6344" s="2"/>
      <c r="H6344" s="2" t="s">
        <v>8741</v>
      </c>
      <c r="I6344" s="2" t="s">
        <v>19</v>
      </c>
      <c r="J6344" s="2" t="s">
        <v>12</v>
      </c>
      <c r="K6344" s="2" t="s">
        <v>8742</v>
      </c>
      <c r="L6344" s="2">
        <f t="shared" si="99"/>
        <v>150</v>
      </c>
    </row>
    <row r="6345" spans="1:12" ht="25" customHeight="1">
      <c r="A6345" s="2" t="s">
        <v>12</v>
      </c>
      <c r="B6345" s="2" t="s">
        <v>8743</v>
      </c>
      <c r="C6345" s="2" t="s">
        <v>13</v>
      </c>
      <c r="D6345" s="2" t="s">
        <v>12</v>
      </c>
      <c r="E6345" s="2" t="s">
        <v>27</v>
      </c>
      <c r="F6345" s="2" t="str">
        <f>HYPERLINK("http://bbs.12365auto.com/postcontent.aspx?tId=194318","http://bbs.12365auto.com/postcontent.aspx?tId=194318")</f>
        <v>http://bbs.12365auto.com/postcontent.aspx?tId=194318</v>
      </c>
      <c r="G6345" s="2"/>
      <c r="H6345" s="2" t="s">
        <v>8744</v>
      </c>
      <c r="I6345" s="2" t="s">
        <v>15</v>
      </c>
      <c r="J6345" s="2" t="s">
        <v>2009</v>
      </c>
      <c r="K6345" s="2" t="s">
        <v>8745</v>
      </c>
      <c r="L6345" s="2">
        <f t="shared" si="99"/>
        <v>150</v>
      </c>
    </row>
    <row r="6346" spans="1:12" ht="25" customHeight="1">
      <c r="A6346" s="2" t="s">
        <v>12</v>
      </c>
      <c r="B6346" s="2" t="str">
        <f>HYPERLINK("http://bbs.12365auto.com/postcontent.aspx?tId=194317","汽车美学的诠释——上汽大众帕萨特")</f>
        <v>汽车美学的诠释——上汽大众帕萨特</v>
      </c>
      <c r="C6346" s="2" t="s">
        <v>13</v>
      </c>
      <c r="D6346" s="2" t="s">
        <v>12</v>
      </c>
      <c r="E6346" s="2" t="s">
        <v>27</v>
      </c>
      <c r="F6346" s="2" t="str">
        <f>HYPERLINK("http://bbs.12365auto.com/postcontent.aspx?tId=194317","http://bbs.12365auto.com/postcontent.aspx?tId=194317")</f>
        <v>http://bbs.12365auto.com/postcontent.aspx?tId=194317</v>
      </c>
      <c r="G6346" s="2"/>
      <c r="H6346" s="2" t="s">
        <v>8746</v>
      </c>
      <c r="I6346" s="2" t="s">
        <v>15</v>
      </c>
      <c r="J6346" s="2" t="s">
        <v>2009</v>
      </c>
      <c r="K6346" s="2" t="s">
        <v>8745</v>
      </c>
      <c r="L6346" s="2">
        <f t="shared" si="99"/>
        <v>150</v>
      </c>
    </row>
    <row r="6347" spans="1:12" ht="25" customHeight="1">
      <c r="A6347" s="2" t="s">
        <v>12</v>
      </c>
      <c r="B6347" s="2" t="str">
        <f>HYPERLINK("http://m.12365auto.com/xcdg/20200218/418808.shtml","1月最畅销10大MPV 艾力绅大涨19.6%")</f>
        <v>1月最畅销10大MPV 艾力绅大涨19.6%</v>
      </c>
      <c r="C6347" s="2" t="s">
        <v>13</v>
      </c>
      <c r="D6347" s="2" t="s">
        <v>12</v>
      </c>
      <c r="E6347" s="2"/>
      <c r="F6347" s="2" t="str">
        <f>HYPERLINK("http://m.12365auto.com/xcdg/20200218/418808.shtml","http://m.12365auto.com/xcdg/20200218/418808.shtml")</f>
        <v>http://m.12365auto.com/xcdg/20200218/418808.shtml</v>
      </c>
      <c r="G6347" s="2"/>
      <c r="H6347" s="2" t="s">
        <v>8747</v>
      </c>
      <c r="I6347" s="2" t="s">
        <v>19</v>
      </c>
      <c r="J6347" s="2" t="s">
        <v>739</v>
      </c>
      <c r="K6347" s="2" t="s">
        <v>8745</v>
      </c>
      <c r="L6347" s="2">
        <f t="shared" si="99"/>
        <v>150</v>
      </c>
    </row>
    <row r="6348" spans="1:12" ht="25" customHeight="1">
      <c r="A6348" s="2" t="s">
        <v>12</v>
      </c>
      <c r="B6348" s="2" t="s">
        <v>8743</v>
      </c>
      <c r="C6348" s="2" t="s">
        <v>13</v>
      </c>
      <c r="D6348" s="2" t="s">
        <v>23</v>
      </c>
      <c r="E6348" s="2"/>
      <c r="F6348" s="2" t="str">
        <f>HYPERLINK("http://m.12365auto.com/bbs/postcontent.aspx?tID=194318","http://m.12365auto.com/bbs/postcontent.aspx?tID=194318")</f>
        <v>http://m.12365auto.com/bbs/postcontent.aspx?tID=194318</v>
      </c>
      <c r="G6348" s="2"/>
      <c r="H6348" s="2" t="s">
        <v>8744</v>
      </c>
      <c r="I6348" s="2" t="s">
        <v>15</v>
      </c>
      <c r="J6348" s="2" t="s">
        <v>2009</v>
      </c>
      <c r="K6348" s="2" t="s">
        <v>8745</v>
      </c>
      <c r="L6348" s="2">
        <f t="shared" si="99"/>
        <v>150</v>
      </c>
    </row>
    <row r="6349" spans="1:12" ht="25" customHeight="1">
      <c r="A6349" s="2" t="s">
        <v>12</v>
      </c>
      <c r="B6349" s="2" t="str">
        <f>HYPERLINK("http://m.12365auto.com/bbs/postcontent.aspx?tID=194317","汽车美学的诠释——上汽大众帕萨特")</f>
        <v>汽车美学的诠释——上汽大众帕萨特</v>
      </c>
      <c r="C6349" s="2" t="s">
        <v>13</v>
      </c>
      <c r="D6349" s="2" t="s">
        <v>23</v>
      </c>
      <c r="E6349" s="2"/>
      <c r="F6349" s="2" t="str">
        <f>HYPERLINK("http://m.12365auto.com/bbs/postcontent.aspx?tID=194317","http://m.12365auto.com/bbs/postcontent.aspx?tID=194317")</f>
        <v>http://m.12365auto.com/bbs/postcontent.aspx?tID=194317</v>
      </c>
      <c r="G6349" s="2"/>
      <c r="H6349" s="2" t="s">
        <v>8746</v>
      </c>
      <c r="I6349" s="2" t="s">
        <v>15</v>
      </c>
      <c r="J6349" s="2" t="s">
        <v>2009</v>
      </c>
      <c r="K6349" s="2" t="s">
        <v>8745</v>
      </c>
      <c r="L6349" s="2">
        <f t="shared" si="99"/>
        <v>150</v>
      </c>
    </row>
    <row r="6350" spans="1:12" ht="25" customHeight="1">
      <c r="A6350" s="2" t="s">
        <v>12</v>
      </c>
      <c r="B6350" s="2" t="str">
        <f>HYPERLINK("http://bbs.12365auto.com/postcontent.aspx?tID=194317","汽车美学的诠释——上汽大众帕萨特")</f>
        <v>汽车美学的诠释——上汽大众帕萨特</v>
      </c>
      <c r="C6350" s="2" t="s">
        <v>13</v>
      </c>
      <c r="D6350" s="2" t="s">
        <v>12</v>
      </c>
      <c r="E6350" s="2" t="s">
        <v>28</v>
      </c>
      <c r="F6350" s="2" t="str">
        <f>HYPERLINK("http://bbs.12365auto.com/postcontent.aspx?tID=194317","http://bbs.12365auto.com/postcontent.aspx?tID=194317")</f>
        <v>http://bbs.12365auto.com/postcontent.aspx?tID=194317</v>
      </c>
      <c r="G6350" s="2"/>
      <c r="H6350" s="2" t="s">
        <v>8748</v>
      </c>
      <c r="I6350" s="2" t="s">
        <v>15</v>
      </c>
      <c r="J6350" s="2" t="s">
        <v>2009</v>
      </c>
      <c r="K6350" s="2" t="s">
        <v>8745</v>
      </c>
      <c r="L6350" s="2">
        <f t="shared" si="99"/>
        <v>150</v>
      </c>
    </row>
    <row r="6351" spans="1:12" ht="25" customHeight="1">
      <c r="A6351" s="2" t="s">
        <v>12</v>
      </c>
      <c r="B6351" s="2" t="s">
        <v>8743</v>
      </c>
      <c r="C6351" s="2" t="s">
        <v>13</v>
      </c>
      <c r="D6351" s="2" t="s">
        <v>12</v>
      </c>
      <c r="E6351" s="2" t="s">
        <v>28</v>
      </c>
      <c r="F6351" s="2" t="str">
        <f>HYPERLINK("http://bbs.12365auto.com/postcontent.aspx?tID=194318","http://bbs.12365auto.com/postcontent.aspx?tID=194318")</f>
        <v>http://bbs.12365auto.com/postcontent.aspx?tID=194318</v>
      </c>
      <c r="G6351" s="2"/>
      <c r="H6351" s="2" t="s">
        <v>8749</v>
      </c>
      <c r="I6351" s="2" t="s">
        <v>15</v>
      </c>
      <c r="J6351" s="2" t="s">
        <v>2009</v>
      </c>
      <c r="K6351" s="2" t="s">
        <v>8745</v>
      </c>
      <c r="L6351" s="2">
        <f t="shared" si="99"/>
        <v>150</v>
      </c>
    </row>
    <row r="6352" spans="1:12" ht="25" customHeight="1">
      <c r="A6352" s="2" t="s">
        <v>12</v>
      </c>
      <c r="B6352" s="2" t="str">
        <f>HYPERLINK("http://bbs.12365auto.com/postcontent.aspx?tId=194316","买车容易养车难 教你3招轻松保养汽车")</f>
        <v>买车容易养车难 教你3招轻松保养汽车</v>
      </c>
      <c r="C6352" s="2" t="s">
        <v>13</v>
      </c>
      <c r="D6352" s="2" t="s">
        <v>12</v>
      </c>
      <c r="E6352" s="2" t="s">
        <v>27</v>
      </c>
      <c r="F6352" s="2" t="str">
        <f>HYPERLINK("http://bbs.12365auto.com/postcontent.aspx?tId=194316","http://bbs.12365auto.com/postcontent.aspx?tId=194316")</f>
        <v>http://bbs.12365auto.com/postcontent.aspx?tId=194316</v>
      </c>
      <c r="G6352" s="2"/>
      <c r="H6352" s="2" t="s">
        <v>8750</v>
      </c>
      <c r="I6352" s="2" t="s">
        <v>15</v>
      </c>
      <c r="J6352" s="2" t="s">
        <v>2009</v>
      </c>
      <c r="K6352" s="2" t="s">
        <v>8751</v>
      </c>
      <c r="L6352" s="2">
        <f t="shared" si="99"/>
        <v>150</v>
      </c>
    </row>
    <row r="6353" spans="1:12" ht="25" customHeight="1">
      <c r="A6353" s="2" t="s">
        <v>12</v>
      </c>
      <c r="B6353" s="2" t="str">
        <f>HYPERLINK("http://bbs.12365auto.com/postcontent.aspx?tId=194315","车窗扔垃圾威力究竟有多大")</f>
        <v>车窗扔垃圾威力究竟有多大</v>
      </c>
      <c r="C6353" s="2" t="s">
        <v>13</v>
      </c>
      <c r="D6353" s="2" t="s">
        <v>12</v>
      </c>
      <c r="E6353" s="2" t="s">
        <v>27</v>
      </c>
      <c r="F6353" s="2" t="str">
        <f>HYPERLINK("http://bbs.12365auto.com/postcontent.aspx?tId=194315","http://bbs.12365auto.com/postcontent.aspx?tId=194315")</f>
        <v>http://bbs.12365auto.com/postcontent.aspx?tId=194315</v>
      </c>
      <c r="G6353" s="2"/>
      <c r="H6353" s="2" t="s">
        <v>8752</v>
      </c>
      <c r="I6353" s="2" t="s">
        <v>15</v>
      </c>
      <c r="J6353" s="2" t="s">
        <v>2009</v>
      </c>
      <c r="K6353" s="2" t="s">
        <v>8751</v>
      </c>
      <c r="L6353" s="2">
        <f t="shared" si="99"/>
        <v>150</v>
      </c>
    </row>
    <row r="6354" spans="1:12" ht="25" customHeight="1">
      <c r="A6354" s="2" t="s">
        <v>12</v>
      </c>
      <c r="B6354" s="2" t="str">
        <f>HYPERLINK("http://bbs.12365auto.com/postcontent.aspx?tID=194316","买车容易养车难 教你3招轻松保养汽车")</f>
        <v>买车容易养车难 教你3招轻松保养汽车</v>
      </c>
      <c r="C6354" s="2" t="s">
        <v>13</v>
      </c>
      <c r="D6354" s="2" t="s">
        <v>12</v>
      </c>
      <c r="E6354" s="2" t="s">
        <v>28</v>
      </c>
      <c r="F6354" s="2" t="str">
        <f>HYPERLINK("http://bbs.12365auto.com/postcontent.aspx?tID=194316","http://bbs.12365auto.com/postcontent.aspx?tID=194316")</f>
        <v>http://bbs.12365auto.com/postcontent.aspx?tID=194316</v>
      </c>
      <c r="G6354" s="2"/>
      <c r="H6354" s="2" t="s">
        <v>8753</v>
      </c>
      <c r="I6354" s="2" t="s">
        <v>15</v>
      </c>
      <c r="J6354" s="2" t="s">
        <v>2009</v>
      </c>
      <c r="K6354" s="2" t="s">
        <v>8751</v>
      </c>
      <c r="L6354" s="2">
        <f t="shared" si="99"/>
        <v>150</v>
      </c>
    </row>
    <row r="6355" spans="1:12" ht="25" customHeight="1">
      <c r="A6355" s="2" t="s">
        <v>12</v>
      </c>
      <c r="B6355" s="2" t="str">
        <f>HYPERLINK("http://bbs.12365auto.com/postcontent.aspx?tID=194315","车窗扔垃圾威力究竟有多大")</f>
        <v>车窗扔垃圾威力究竟有多大</v>
      </c>
      <c r="C6355" s="2" t="s">
        <v>13</v>
      </c>
      <c r="D6355" s="2" t="s">
        <v>12</v>
      </c>
      <c r="E6355" s="2" t="s">
        <v>28</v>
      </c>
      <c r="F6355" s="2" t="str">
        <f>HYPERLINK("http://bbs.12365auto.com/postcontent.aspx?tID=194315","http://bbs.12365auto.com/postcontent.aspx?tID=194315")</f>
        <v>http://bbs.12365auto.com/postcontent.aspx?tID=194315</v>
      </c>
      <c r="G6355" s="2"/>
      <c r="H6355" s="2" t="s">
        <v>8754</v>
      </c>
      <c r="I6355" s="2" t="s">
        <v>15</v>
      </c>
      <c r="J6355" s="2" t="s">
        <v>2009</v>
      </c>
      <c r="K6355" s="2" t="s">
        <v>8751</v>
      </c>
      <c r="L6355" s="2">
        <f t="shared" si="99"/>
        <v>150</v>
      </c>
    </row>
    <row r="6356" spans="1:12" ht="25" customHeight="1">
      <c r="A6356" s="2" t="s">
        <v>12</v>
      </c>
      <c r="B6356" s="2" t="str">
        <f>HYPERLINK("http://m.12365auto.com/bbs/postcontent.aspx?tID=194315","车窗扔垃圾威力究竟有多大")</f>
        <v>车窗扔垃圾威力究竟有多大</v>
      </c>
      <c r="C6356" s="2" t="s">
        <v>13</v>
      </c>
      <c r="D6356" s="2" t="s">
        <v>23</v>
      </c>
      <c r="E6356" s="2"/>
      <c r="F6356" s="2" t="str">
        <f>HYPERLINK("http://m.12365auto.com/bbs/postcontent.aspx?tID=194315","http://m.12365auto.com/bbs/postcontent.aspx?tID=194315")</f>
        <v>http://m.12365auto.com/bbs/postcontent.aspx?tID=194315</v>
      </c>
      <c r="G6356" s="2"/>
      <c r="H6356" s="2" t="s">
        <v>8752</v>
      </c>
      <c r="I6356" s="2" t="s">
        <v>15</v>
      </c>
      <c r="J6356" s="2" t="s">
        <v>2009</v>
      </c>
      <c r="K6356" s="2" t="s">
        <v>8751</v>
      </c>
      <c r="L6356" s="2">
        <f t="shared" si="99"/>
        <v>150</v>
      </c>
    </row>
    <row r="6357" spans="1:12" ht="25" customHeight="1">
      <c r="A6357" s="2" t="s">
        <v>12</v>
      </c>
      <c r="B6357" s="2" t="str">
        <f>HYPERLINK("http://m.12365auto.com/bbs/postcontent.aspx?tID=194316","买车容易养车难 教你3招轻松保养汽车")</f>
        <v>买车容易养车难 教你3招轻松保养汽车</v>
      </c>
      <c r="C6357" s="2" t="s">
        <v>13</v>
      </c>
      <c r="D6357" s="2" t="s">
        <v>23</v>
      </c>
      <c r="E6357" s="2"/>
      <c r="F6357" s="2" t="str">
        <f>HYPERLINK("http://m.12365auto.com/bbs/postcontent.aspx?tID=194316","http://m.12365auto.com/bbs/postcontent.aspx?tID=194316")</f>
        <v>http://m.12365auto.com/bbs/postcontent.aspx?tID=194316</v>
      </c>
      <c r="G6357" s="2"/>
      <c r="H6357" s="2" t="s">
        <v>8750</v>
      </c>
      <c r="I6357" s="2" t="s">
        <v>15</v>
      </c>
      <c r="J6357" s="2" t="s">
        <v>2009</v>
      </c>
      <c r="K6357" s="2" t="s">
        <v>8751</v>
      </c>
      <c r="L6357" s="2">
        <f t="shared" si="99"/>
        <v>150</v>
      </c>
    </row>
    <row r="6358" spans="1:12" ht="25" customHeight="1">
      <c r="A6358" s="2" t="s">
        <v>12</v>
      </c>
      <c r="B6358" s="2" t="str">
        <f>HYPERLINK("http://www.12365auto.com/xcdg/20200218/418807.shtml","现代全新i20官图曝光 下月亮相/搭1.0T")</f>
        <v>现代全新i20官图曝光 下月亮相/搭1.0T</v>
      </c>
      <c r="C6358" s="2" t="s">
        <v>13</v>
      </c>
      <c r="D6358" s="2" t="s">
        <v>12</v>
      </c>
      <c r="E6358" s="2" t="s">
        <v>216</v>
      </c>
      <c r="F6358" s="2" t="str">
        <f>HYPERLINK("http://www.12365auto.com/xcdg/20200218/418807.shtml","http://www.12365auto.com/xcdg/20200218/418807.shtml")</f>
        <v>http://www.12365auto.com/xcdg/20200218/418807.shtml</v>
      </c>
      <c r="G6358" s="2"/>
      <c r="H6358" s="2" t="s">
        <v>8755</v>
      </c>
      <c r="I6358" s="2" t="s">
        <v>15</v>
      </c>
      <c r="J6358" s="2" t="s">
        <v>12</v>
      </c>
      <c r="K6358" s="2" t="s">
        <v>8756</v>
      </c>
      <c r="L6358" s="2">
        <f t="shared" si="99"/>
        <v>150</v>
      </c>
    </row>
    <row r="6359" spans="1:12" ht="25" customHeight="1">
      <c r="A6359" s="2" t="s">
        <v>12</v>
      </c>
      <c r="B6359" s="2" t="str">
        <f>HYPERLINK("http://m.12365auto.com/xcdg/20200218/418807.shtml","现代全新i20官图曝光 下月亮相/搭1.0T")</f>
        <v>现代全新i20官图曝光 下月亮相/搭1.0T</v>
      </c>
      <c r="C6359" s="2" t="s">
        <v>13</v>
      </c>
      <c r="D6359" s="2" t="s">
        <v>12</v>
      </c>
      <c r="E6359" s="2"/>
      <c r="F6359" s="2" t="str">
        <f>HYPERLINK("http://m.12365auto.com/xcdg/20200218/418807.shtml","http://m.12365auto.com/xcdg/20200218/418807.shtml")</f>
        <v>http://m.12365auto.com/xcdg/20200218/418807.shtml</v>
      </c>
      <c r="G6359" s="2"/>
      <c r="H6359" s="2" t="s">
        <v>8757</v>
      </c>
      <c r="I6359" s="2" t="s">
        <v>19</v>
      </c>
      <c r="J6359" s="2" t="s">
        <v>220</v>
      </c>
      <c r="K6359" s="2" t="s">
        <v>8756</v>
      </c>
      <c r="L6359" s="2">
        <f t="shared" si="99"/>
        <v>150</v>
      </c>
    </row>
    <row r="6360" spans="1:12" ht="25" customHeight="1">
      <c r="A6360" s="2" t="s">
        <v>12</v>
      </c>
      <c r="B6360" s="2" t="str">
        <f>HYPERLINK("http://m.12365auto.com/xcdg/20200218/418806.shtml","打折到你心动 折扣力度最大SUV车型海选")</f>
        <v>打折到你心动 折扣力度最大SUV车型海选</v>
      </c>
      <c r="C6360" s="2" t="s">
        <v>13</v>
      </c>
      <c r="D6360" s="2" t="s">
        <v>12</v>
      </c>
      <c r="E6360" s="2"/>
      <c r="F6360" s="2" t="str">
        <f>HYPERLINK("http://m.12365auto.com/xcdg/20200218/418806.shtml","http://m.12365auto.com/xcdg/20200218/418806.shtml")</f>
        <v>http://m.12365auto.com/xcdg/20200218/418806.shtml</v>
      </c>
      <c r="G6360" s="2"/>
      <c r="H6360" s="2" t="s">
        <v>8758</v>
      </c>
      <c r="I6360" s="2" t="s">
        <v>19</v>
      </c>
      <c r="J6360" s="2" t="s">
        <v>2837</v>
      </c>
      <c r="K6360" s="2" t="s">
        <v>8759</v>
      </c>
      <c r="L6360" s="2">
        <f t="shared" si="99"/>
        <v>150</v>
      </c>
    </row>
    <row r="6361" spans="1:12" ht="25" customHeight="1">
      <c r="A6361" s="2" t="s">
        <v>12</v>
      </c>
      <c r="B6361" s="2" t="str">
        <f>HYPERLINK("http://m.12365auto.com/news/20200218/418805.shtml","大众因排放问题再次面临63亿元赔偿")</f>
        <v>大众因排放问题再次面临63亿元赔偿</v>
      </c>
      <c r="C6361" s="2" t="s">
        <v>13</v>
      </c>
      <c r="D6361" s="2" t="s">
        <v>12</v>
      </c>
      <c r="E6361" s="2"/>
      <c r="F6361" s="2" t="str">
        <f>HYPERLINK("http://m.12365auto.com/news/20200218/418805.shtml","http://m.12365auto.com/news/20200218/418805.shtml")</f>
        <v>http://m.12365auto.com/news/20200218/418805.shtml</v>
      </c>
      <c r="G6361" s="2"/>
      <c r="H6361" s="2" t="s">
        <v>8760</v>
      </c>
      <c r="I6361" s="2" t="s">
        <v>19</v>
      </c>
      <c r="J6361" s="2" t="s">
        <v>2808</v>
      </c>
      <c r="K6361" s="2" t="s">
        <v>8761</v>
      </c>
      <c r="L6361" s="2">
        <f t="shared" si="99"/>
        <v>150</v>
      </c>
    </row>
    <row r="6362" spans="1:12" ht="25" customHeight="1">
      <c r="A6362" s="2" t="s">
        <v>12</v>
      </c>
      <c r="B6362" s="2" t="str">
        <f>HYPERLINK("http://www.12365auto.com/news/20200218/418805.shtml","大众因排放问题再次面临63亿元赔偿")</f>
        <v>大众因排放问题再次面临63亿元赔偿</v>
      </c>
      <c r="C6362" s="2" t="s">
        <v>13</v>
      </c>
      <c r="D6362" s="2" t="s">
        <v>12</v>
      </c>
      <c r="E6362" s="2" t="s">
        <v>276</v>
      </c>
      <c r="F6362" s="2" t="str">
        <f>HYPERLINK("http://www.12365auto.com/news/20200218/418805.shtml","http://www.12365auto.com/news/20200218/418805.shtml")</f>
        <v>http://www.12365auto.com/news/20200218/418805.shtml</v>
      </c>
      <c r="G6362" s="2"/>
      <c r="H6362" s="2" t="s">
        <v>8762</v>
      </c>
      <c r="I6362" s="2" t="s">
        <v>15</v>
      </c>
      <c r="J6362" s="2" t="s">
        <v>12</v>
      </c>
      <c r="K6362" s="2" t="s">
        <v>8761</v>
      </c>
      <c r="L6362" s="2">
        <f t="shared" si="99"/>
        <v>150</v>
      </c>
    </row>
    <row r="6363" spans="1:12" ht="25" customHeight="1">
      <c r="A6363" s="2" t="s">
        <v>12</v>
      </c>
      <c r="B6363" s="2" t="str">
        <f>HYPERLINK("http://m.12365auto.com/news/20200218/418804.shtml","美Model 3车主可付费升级后排座椅加热")</f>
        <v>美Model 3车主可付费升级后排座椅加热</v>
      </c>
      <c r="C6363" s="2" t="s">
        <v>13</v>
      </c>
      <c r="D6363" s="2" t="s">
        <v>12</v>
      </c>
      <c r="E6363" s="2"/>
      <c r="F6363" s="2" t="str">
        <f>HYPERLINK("http://m.12365auto.com/news/20200218/418804.shtml","http://m.12365auto.com/news/20200218/418804.shtml")</f>
        <v>http://m.12365auto.com/news/20200218/418804.shtml</v>
      </c>
      <c r="G6363" s="2"/>
      <c r="H6363" s="2" t="s">
        <v>8763</v>
      </c>
      <c r="I6363" s="2" t="s">
        <v>19</v>
      </c>
      <c r="J6363" s="2" t="s">
        <v>855</v>
      </c>
      <c r="K6363" s="2" t="s">
        <v>8764</v>
      </c>
      <c r="L6363" s="2">
        <f t="shared" si="99"/>
        <v>150</v>
      </c>
    </row>
    <row r="6364" spans="1:12" ht="25" customHeight="1">
      <c r="A6364" s="2" t="s">
        <v>12</v>
      </c>
      <c r="B6364" s="2" t="str">
        <f>HYPERLINK("http://m.12365auto.com/xcdg/20200218/418802.shtml","2020年第7周上市新车汇总")</f>
        <v>2020年第7周上市新车汇总</v>
      </c>
      <c r="C6364" s="2" t="s">
        <v>13</v>
      </c>
      <c r="D6364" s="2" t="s">
        <v>12</v>
      </c>
      <c r="E6364" s="2"/>
      <c r="F6364" s="2" t="str">
        <f>HYPERLINK("http://m.12365auto.com/xcdg/20200218/418802.shtml","http://m.12365auto.com/xcdg/20200218/418802.shtml")</f>
        <v>http://m.12365auto.com/xcdg/20200218/418802.shtml</v>
      </c>
      <c r="G6364" s="2"/>
      <c r="H6364" s="2" t="s">
        <v>8765</v>
      </c>
      <c r="I6364" s="2" t="s">
        <v>19</v>
      </c>
      <c r="J6364" s="2" t="s">
        <v>1230</v>
      </c>
      <c r="K6364" s="2" t="s">
        <v>8764</v>
      </c>
      <c r="L6364" s="2">
        <f t="shared" si="99"/>
        <v>150</v>
      </c>
    </row>
    <row r="6365" spans="1:12" ht="25" customHeight="1">
      <c r="A6365" s="2" t="s">
        <v>12</v>
      </c>
      <c r="B6365" s="2" t="str">
        <f>HYPERLINK("http://m.12365auto.com/dcbg/20200218/418803.shtml","新车产品力指数：一汽-大众捷达VS7")</f>
        <v>新车产品力指数：一汽-大众捷达VS7</v>
      </c>
      <c r="C6365" s="2" t="s">
        <v>13</v>
      </c>
      <c r="D6365" s="2" t="s">
        <v>12</v>
      </c>
      <c r="E6365" s="2"/>
      <c r="F6365" s="2" t="str">
        <f>HYPERLINK("http://m.12365auto.com/dcbg/20200218/418803.shtml","http://m.12365auto.com/dcbg/20200218/418803.shtml")</f>
        <v>http://m.12365auto.com/dcbg/20200218/418803.shtml</v>
      </c>
      <c r="G6365" s="2"/>
      <c r="H6365" s="2" t="s">
        <v>8766</v>
      </c>
      <c r="I6365" s="2" t="s">
        <v>19</v>
      </c>
      <c r="J6365" s="2" t="s">
        <v>1241</v>
      </c>
      <c r="K6365" s="2" t="s">
        <v>8764</v>
      </c>
      <c r="L6365" s="2">
        <f t="shared" si="99"/>
        <v>150</v>
      </c>
    </row>
    <row r="6366" spans="1:12" ht="25" customHeight="1">
      <c r="A6366" s="2" t="s">
        <v>12</v>
      </c>
      <c r="B6366" s="2" t="str">
        <f>HYPERLINK("http://www.12365auto.com/news/20200218/418804.shtml","美Model 3车主可付费升级后排座椅加热")</f>
        <v>美Model 3车主可付费升级后排座椅加热</v>
      </c>
      <c r="C6366" s="2" t="s">
        <v>13</v>
      </c>
      <c r="D6366" s="2" t="s">
        <v>12</v>
      </c>
      <c r="E6366" s="2" t="s">
        <v>276</v>
      </c>
      <c r="F6366" s="2" t="str">
        <f>HYPERLINK("http://www.12365auto.com/news/20200218/418804.shtml","http://www.12365auto.com/news/20200218/418804.shtml")</f>
        <v>http://www.12365auto.com/news/20200218/418804.shtml</v>
      </c>
      <c r="G6366" s="2"/>
      <c r="H6366" s="2" t="s">
        <v>8767</v>
      </c>
      <c r="I6366" s="2" t="s">
        <v>15</v>
      </c>
      <c r="J6366" s="2" t="s">
        <v>12</v>
      </c>
      <c r="K6366" s="2" t="s">
        <v>8764</v>
      </c>
      <c r="L6366" s="2">
        <f t="shared" si="99"/>
        <v>150</v>
      </c>
    </row>
    <row r="6367" spans="1:12" ht="25" customHeight="1">
      <c r="A6367" s="2" t="s">
        <v>12</v>
      </c>
      <c r="B6367" s="2" t="str">
        <f>HYPERLINK("http://www.12365auto.com/xcdg/20200218/418802.shtml","2020年第7周上市新车汇总")</f>
        <v>2020年第7周上市新车汇总</v>
      </c>
      <c r="C6367" s="2" t="s">
        <v>13</v>
      </c>
      <c r="D6367" s="2" t="s">
        <v>12</v>
      </c>
      <c r="E6367" s="2" t="s">
        <v>216</v>
      </c>
      <c r="F6367" s="2" t="str">
        <f>HYPERLINK("http://www.12365auto.com/xcdg/20200218/418802.shtml","http://www.12365auto.com/xcdg/20200218/418802.shtml")</f>
        <v>http://www.12365auto.com/xcdg/20200218/418802.shtml</v>
      </c>
      <c r="G6367" s="2"/>
      <c r="H6367" s="2" t="s">
        <v>8768</v>
      </c>
      <c r="I6367" s="2" t="s">
        <v>15</v>
      </c>
      <c r="J6367" s="2" t="s">
        <v>12</v>
      </c>
      <c r="K6367" s="2" t="s">
        <v>8764</v>
      </c>
      <c r="L6367" s="2">
        <f t="shared" si="99"/>
        <v>150</v>
      </c>
    </row>
    <row r="6368" spans="1:12" ht="25" customHeight="1">
      <c r="A6368" s="2" t="s">
        <v>12</v>
      </c>
      <c r="B6368" s="2" t="str">
        <f>HYPERLINK("http://www.12365auto.com/dcbg/20200218/418803.shtml","新车产品力指数：一汽-大众捷达VS7")</f>
        <v>新车产品力指数：一汽-大众捷达VS7</v>
      </c>
      <c r="C6368" s="2" t="s">
        <v>13</v>
      </c>
      <c r="D6368" s="2" t="s">
        <v>12</v>
      </c>
      <c r="E6368" s="2" t="s">
        <v>1319</v>
      </c>
      <c r="F6368" s="2" t="str">
        <f>HYPERLINK("http://www.12365auto.com/dcbg/20200218/418803.shtml","http://www.12365auto.com/dcbg/20200218/418803.shtml")</f>
        <v>http://www.12365auto.com/dcbg/20200218/418803.shtml</v>
      </c>
      <c r="G6368" s="2"/>
      <c r="H6368" s="2" t="s">
        <v>8769</v>
      </c>
      <c r="I6368" s="2" t="s">
        <v>15</v>
      </c>
      <c r="J6368" s="2" t="s">
        <v>12</v>
      </c>
      <c r="K6368" s="2" t="s">
        <v>8764</v>
      </c>
      <c r="L6368" s="2">
        <f t="shared" si="99"/>
        <v>150</v>
      </c>
    </row>
    <row r="6369" spans="1:12" ht="25" customHeight="1">
      <c r="A6369" s="2" t="s">
        <v>12</v>
      </c>
      <c r="B6369" s="2" t="str">
        <f>HYPERLINK("http://m.12365auto.com/news/20200218/418801.shtml","溢价过高 比尔盖茨谈论纯电动车现状")</f>
        <v>溢价过高 比尔盖茨谈论纯电动车现状</v>
      </c>
      <c r="C6369" s="2" t="s">
        <v>13</v>
      </c>
      <c r="D6369" s="2" t="s">
        <v>12</v>
      </c>
      <c r="E6369" s="2"/>
      <c r="F6369" s="2" t="str">
        <f>HYPERLINK("http://m.12365auto.com/news/20200218/418801.shtml","http://m.12365auto.com/news/20200218/418801.shtml")</f>
        <v>http://m.12365auto.com/news/20200218/418801.shtml</v>
      </c>
      <c r="G6369" s="2"/>
      <c r="H6369" s="2" t="s">
        <v>8770</v>
      </c>
      <c r="I6369" s="2" t="s">
        <v>19</v>
      </c>
      <c r="J6369" s="2" t="s">
        <v>6734</v>
      </c>
      <c r="K6369" s="2" t="s">
        <v>8771</v>
      </c>
      <c r="L6369" s="2">
        <f t="shared" si="99"/>
        <v>150</v>
      </c>
    </row>
    <row r="6370" spans="1:12" ht="25" customHeight="1">
      <c r="A6370" s="2" t="s">
        <v>12</v>
      </c>
      <c r="B6370" s="2" t="str">
        <f>HYPERLINK("http://www.12365auto.com/news/20200218/418801.shtml","溢价过高 比尔盖茨谈论纯电动车现状")</f>
        <v>溢价过高 比尔盖茨谈论纯电动车现状</v>
      </c>
      <c r="C6370" s="2" t="s">
        <v>13</v>
      </c>
      <c r="D6370" s="2" t="s">
        <v>12</v>
      </c>
      <c r="E6370" s="2" t="s">
        <v>276</v>
      </c>
      <c r="F6370" s="2" t="str">
        <f>HYPERLINK("http://www.12365auto.com/news/20200218/418801.shtml","http://www.12365auto.com/news/20200218/418801.shtml")</f>
        <v>http://www.12365auto.com/news/20200218/418801.shtml</v>
      </c>
      <c r="G6370" s="2"/>
      <c r="H6370" s="2" t="s">
        <v>8772</v>
      </c>
      <c r="I6370" s="2" t="s">
        <v>15</v>
      </c>
      <c r="J6370" s="2" t="s">
        <v>12</v>
      </c>
      <c r="K6370" s="2" t="s">
        <v>8771</v>
      </c>
      <c r="L6370" s="2">
        <f t="shared" si="99"/>
        <v>150</v>
      </c>
    </row>
    <row r="6371" spans="1:12" ht="25" customHeight="1">
      <c r="A6371" s="2" t="s">
        <v>12</v>
      </c>
      <c r="B6371" s="2" t="str">
        <f>HYPERLINK("http://m.12365auto.com/news/20200218/418800.shtml","达200万英里 现代合作伙伴发力自动驾驶")</f>
        <v>达200万英里 现代合作伙伴发力自动驾驶</v>
      </c>
      <c r="C6371" s="2" t="s">
        <v>13</v>
      </c>
      <c r="D6371" s="2" t="s">
        <v>12</v>
      </c>
      <c r="E6371" s="2"/>
      <c r="F6371" s="2" t="str">
        <f>HYPERLINK("http://m.12365auto.com/news/20200218/418800.shtml","http://m.12365auto.com/news/20200218/418800.shtml")</f>
        <v>http://m.12365auto.com/news/20200218/418800.shtml</v>
      </c>
      <c r="G6371" s="2"/>
      <c r="H6371" s="2" t="s">
        <v>8773</v>
      </c>
      <c r="I6371" s="2" t="s">
        <v>19</v>
      </c>
      <c r="J6371" s="2" t="s">
        <v>1188</v>
      </c>
      <c r="K6371" s="2" t="s">
        <v>8774</v>
      </c>
      <c r="L6371" s="2">
        <f t="shared" si="99"/>
        <v>150</v>
      </c>
    </row>
    <row r="6372" spans="1:12" ht="25" customHeight="1">
      <c r="A6372" s="2" t="s">
        <v>12</v>
      </c>
      <c r="B6372" s="2" t="str">
        <f>HYPERLINK("http://www.12365auto.com/news/20200218/418800.shtml","达200万英里 现代合作伙伴发力自动驾驶")</f>
        <v>达200万英里 现代合作伙伴发力自动驾驶</v>
      </c>
      <c r="C6372" s="2" t="s">
        <v>13</v>
      </c>
      <c r="D6372" s="2" t="s">
        <v>12</v>
      </c>
      <c r="E6372" s="2" t="s">
        <v>276</v>
      </c>
      <c r="F6372" s="2" t="str">
        <f>HYPERLINK("http://www.12365auto.com/news/20200218/418800.shtml","http://www.12365auto.com/news/20200218/418800.shtml")</f>
        <v>http://www.12365auto.com/news/20200218/418800.shtml</v>
      </c>
      <c r="G6372" s="2"/>
      <c r="H6372" s="2" t="s">
        <v>8775</v>
      </c>
      <c r="I6372" s="2" t="s">
        <v>15</v>
      </c>
      <c r="J6372" s="2" t="s">
        <v>12</v>
      </c>
      <c r="K6372" s="2" t="s">
        <v>8774</v>
      </c>
      <c r="L6372" s="2">
        <f t="shared" si="99"/>
        <v>150</v>
      </c>
    </row>
    <row r="6373" spans="1:12" ht="25" customHeight="1">
      <c r="A6373" s="2" t="s">
        <v>12</v>
      </c>
      <c r="B6373" s="2" t="str">
        <f>HYPERLINK("http://m.12365auto.com/news/20200218/418799.shtml","鼓励绿色出行 北京加大交通整治力度")</f>
        <v>鼓励绿色出行 北京加大交通整治力度</v>
      </c>
      <c r="C6373" s="2" t="s">
        <v>13</v>
      </c>
      <c r="D6373" s="2" t="s">
        <v>12</v>
      </c>
      <c r="E6373" s="2"/>
      <c r="F6373" s="2" t="str">
        <f>HYPERLINK("http://m.12365auto.com/news/20200218/418799.shtml","http://m.12365auto.com/news/20200218/418799.shtml")</f>
        <v>http://m.12365auto.com/news/20200218/418799.shtml</v>
      </c>
      <c r="G6373" s="2"/>
      <c r="H6373" s="2" t="s">
        <v>8776</v>
      </c>
      <c r="I6373" s="2" t="s">
        <v>19</v>
      </c>
      <c r="J6373" s="2" t="s">
        <v>1170</v>
      </c>
      <c r="K6373" s="2" t="s">
        <v>8777</v>
      </c>
      <c r="L6373" s="2">
        <f t="shared" si="99"/>
        <v>150</v>
      </c>
    </row>
    <row r="6374" spans="1:12" ht="25" customHeight="1">
      <c r="A6374" s="2" t="s">
        <v>12</v>
      </c>
      <c r="B6374" s="2" t="str">
        <f>HYPERLINK("http://www.12365auto.com/news/20200218/418799.shtml","鼓励绿色出行 北京加大交通整治力度")</f>
        <v>鼓励绿色出行 北京加大交通整治力度</v>
      </c>
      <c r="C6374" s="2" t="s">
        <v>13</v>
      </c>
      <c r="D6374" s="2" t="s">
        <v>12</v>
      </c>
      <c r="E6374" s="2" t="s">
        <v>276</v>
      </c>
      <c r="F6374" s="2" t="str">
        <f>HYPERLINK("http://www.12365auto.com/news/20200218/418799.shtml","http://www.12365auto.com/news/20200218/418799.shtml")</f>
        <v>http://www.12365auto.com/news/20200218/418799.shtml</v>
      </c>
      <c r="G6374" s="2"/>
      <c r="H6374" s="2" t="s">
        <v>8778</v>
      </c>
      <c r="I6374" s="2" t="s">
        <v>15</v>
      </c>
      <c r="J6374" s="2" t="s">
        <v>12</v>
      </c>
      <c r="K6374" s="2" t="s">
        <v>8777</v>
      </c>
      <c r="L6374" s="2">
        <f t="shared" si="99"/>
        <v>150</v>
      </c>
    </row>
    <row r="6375" spans="1:12" ht="25" customHeight="1">
      <c r="A6375" s="2" t="s">
        <v>12</v>
      </c>
      <c r="B6375" s="2" t="str">
        <f>HYPERLINK("http://m.12365auto.com/news/20200218/418798.shtml","东风日产前高管大谷俊明加盟宝能汽车")</f>
        <v>东风日产前高管大谷俊明加盟宝能汽车</v>
      </c>
      <c r="C6375" s="2" t="s">
        <v>13</v>
      </c>
      <c r="D6375" s="2" t="s">
        <v>12</v>
      </c>
      <c r="E6375" s="2"/>
      <c r="F6375" s="2" t="str">
        <f>HYPERLINK("http://m.12365auto.com/news/20200218/418798.shtml","http://m.12365auto.com/news/20200218/418798.shtml")</f>
        <v>http://m.12365auto.com/news/20200218/418798.shtml</v>
      </c>
      <c r="G6375" s="2"/>
      <c r="H6375" s="2" t="s">
        <v>8779</v>
      </c>
      <c r="I6375" s="2" t="s">
        <v>19</v>
      </c>
      <c r="J6375" s="2" t="s">
        <v>286</v>
      </c>
      <c r="K6375" s="2" t="s">
        <v>8780</v>
      </c>
      <c r="L6375" s="2">
        <f t="shared" si="99"/>
        <v>150</v>
      </c>
    </row>
    <row r="6376" spans="1:12" ht="25" customHeight="1">
      <c r="A6376" s="2" t="s">
        <v>12</v>
      </c>
      <c r="B6376" s="2" t="str">
        <f>HYPERLINK("http://www.12365auto.com/news/20200218/418798.shtml","东风日产前高管大谷俊明加盟宝能汽车")</f>
        <v>东风日产前高管大谷俊明加盟宝能汽车</v>
      </c>
      <c r="C6376" s="2" t="s">
        <v>13</v>
      </c>
      <c r="D6376" s="2" t="s">
        <v>12</v>
      </c>
      <c r="E6376" s="2" t="s">
        <v>276</v>
      </c>
      <c r="F6376" s="2" t="str">
        <f>HYPERLINK("http://www.12365auto.com/news/20200218/418798.shtml","http://www.12365auto.com/news/20200218/418798.shtml")</f>
        <v>http://www.12365auto.com/news/20200218/418798.shtml</v>
      </c>
      <c r="G6376" s="2"/>
      <c r="H6376" s="2" t="s">
        <v>8781</v>
      </c>
      <c r="I6376" s="2" t="s">
        <v>15</v>
      </c>
      <c r="J6376" s="2" t="s">
        <v>12</v>
      </c>
      <c r="K6376" s="2" t="s">
        <v>8780</v>
      </c>
      <c r="L6376" s="2">
        <f t="shared" si="99"/>
        <v>150</v>
      </c>
    </row>
    <row r="6377" spans="1:12" ht="25" customHeight="1">
      <c r="A6377" s="2" t="s">
        <v>12</v>
      </c>
      <c r="B6377" s="2" t="str">
        <f>HYPERLINK("http://www.12365auto.com/news/20200218/418797.shtml","减负经销商 讴歌推出多项支持鼓励政策")</f>
        <v>减负经销商 讴歌推出多项支持鼓励政策</v>
      </c>
      <c r="C6377" s="2" t="s">
        <v>13</v>
      </c>
      <c r="D6377" s="2" t="s">
        <v>12</v>
      </c>
      <c r="E6377" s="2" t="s">
        <v>282</v>
      </c>
      <c r="F6377" s="2" t="str">
        <f>HYPERLINK("http://www.12365auto.com/news/20200218/418797.shtml","http://www.12365auto.com/news/20200218/418797.shtml")</f>
        <v>http://www.12365auto.com/news/20200218/418797.shtml</v>
      </c>
      <c r="G6377" s="2"/>
      <c r="H6377" s="2" t="s">
        <v>8782</v>
      </c>
      <c r="I6377" s="2" t="s">
        <v>19</v>
      </c>
      <c r="J6377" s="2" t="s">
        <v>12</v>
      </c>
      <c r="K6377" s="2" t="s">
        <v>8783</v>
      </c>
      <c r="L6377" s="2">
        <f t="shared" si="99"/>
        <v>150</v>
      </c>
    </row>
    <row r="6378" spans="1:12" ht="25" customHeight="1">
      <c r="A6378" s="2" t="s">
        <v>12</v>
      </c>
      <c r="B6378" s="2" t="str">
        <f>HYPERLINK("http://m.12365auto.com/news/20200218/418797.shtml","减负经销商 讴歌推出多项支持鼓励政策")</f>
        <v>减负经销商 讴歌推出多项支持鼓励政策</v>
      </c>
      <c r="C6378" s="2" t="s">
        <v>13</v>
      </c>
      <c r="D6378" s="2" t="s">
        <v>12</v>
      </c>
      <c r="E6378" s="2"/>
      <c r="F6378" s="2" t="str">
        <f>HYPERLINK("http://m.12365auto.com/news/20200218/418797.shtml","http://m.12365auto.com/news/20200218/418797.shtml")</f>
        <v>http://m.12365auto.com/news/20200218/418797.shtml</v>
      </c>
      <c r="G6378" s="2"/>
      <c r="H6378" s="2" t="s">
        <v>8784</v>
      </c>
      <c r="I6378" s="2" t="s">
        <v>19</v>
      </c>
      <c r="J6378" s="2" t="s">
        <v>2808</v>
      </c>
      <c r="K6378" s="2" t="s">
        <v>8783</v>
      </c>
      <c r="L6378" s="2">
        <f t="shared" si="99"/>
        <v>150</v>
      </c>
    </row>
    <row r="6379" spans="1:12" ht="25" customHeight="1">
      <c r="A6379" s="2" t="s">
        <v>12</v>
      </c>
      <c r="B6379" s="2" t="str">
        <f>HYPERLINK("http://www.12365auto.com/scbg/20200218/418796.shtml","加快本土化进程 特斯拉新车机系统体验")</f>
        <v>加快本土化进程 特斯拉新车机系统体验</v>
      </c>
      <c r="C6379" s="2" t="s">
        <v>13</v>
      </c>
      <c r="D6379" s="2" t="s">
        <v>12</v>
      </c>
      <c r="E6379" s="2" t="s">
        <v>1548</v>
      </c>
      <c r="F6379" s="2" t="str">
        <f>HYPERLINK("http://www.12365auto.com/scbg/20200218/418796.shtml","http://www.12365auto.com/scbg/20200218/418796.shtml")</f>
        <v>http://www.12365auto.com/scbg/20200218/418796.shtml</v>
      </c>
      <c r="G6379" s="2"/>
      <c r="H6379" s="2" t="s">
        <v>8785</v>
      </c>
      <c r="I6379" s="2" t="s">
        <v>15</v>
      </c>
      <c r="J6379" s="2" t="s">
        <v>12</v>
      </c>
      <c r="K6379" s="2" t="s">
        <v>8786</v>
      </c>
      <c r="L6379" s="2">
        <f t="shared" si="99"/>
        <v>150</v>
      </c>
    </row>
    <row r="6380" spans="1:12" ht="25" customHeight="1">
      <c r="A6380" s="2" t="s">
        <v>12</v>
      </c>
      <c r="B6380" s="2" t="str">
        <f>HYPERLINK("http://m.12365auto.com/scbg/20200218/418796.shtml","加快本土化进程 特斯拉新车机系统体验")</f>
        <v>加快本土化进程 特斯拉新车机系统体验</v>
      </c>
      <c r="C6380" s="2" t="s">
        <v>13</v>
      </c>
      <c r="D6380" s="2" t="s">
        <v>12</v>
      </c>
      <c r="E6380" s="2"/>
      <c r="F6380" s="2" t="str">
        <f>HYPERLINK("http://m.12365auto.com/scbg/20200218/418796.shtml","http://m.12365auto.com/scbg/20200218/418796.shtml")</f>
        <v>http://m.12365auto.com/scbg/20200218/418796.shtml</v>
      </c>
      <c r="G6380" s="2"/>
      <c r="H6380" s="2" t="s">
        <v>8787</v>
      </c>
      <c r="I6380" s="2" t="s">
        <v>19</v>
      </c>
      <c r="J6380" s="2" t="s">
        <v>855</v>
      </c>
      <c r="K6380" s="2" t="s">
        <v>8786</v>
      </c>
      <c r="L6380" s="2">
        <f t="shared" si="99"/>
        <v>150</v>
      </c>
    </row>
    <row r="6381" spans="1:12" ht="25" customHeight="1">
      <c r="A6381" s="2" t="s">
        <v>12</v>
      </c>
      <c r="B6381" s="2" t="str">
        <f>HYPERLINK("http://www.12365auto.com/news/20200218/418795.shtml","N95级空气防护 长安欧尚推疫情关怀政策")</f>
        <v>N95级空气防护 长安欧尚推疫情关怀政策</v>
      </c>
      <c r="C6381" s="2" t="s">
        <v>13</v>
      </c>
      <c r="D6381" s="2" t="s">
        <v>12</v>
      </c>
      <c r="E6381" s="2" t="s">
        <v>282</v>
      </c>
      <c r="F6381" s="2" t="str">
        <f>HYPERLINK("http://www.12365auto.com/news/20200218/418795.shtml","http://www.12365auto.com/news/20200218/418795.shtml")</f>
        <v>http://www.12365auto.com/news/20200218/418795.shtml</v>
      </c>
      <c r="G6381" s="2"/>
      <c r="H6381" s="2" t="s">
        <v>8788</v>
      </c>
      <c r="I6381" s="2" t="s">
        <v>19</v>
      </c>
      <c r="J6381" s="2" t="s">
        <v>12</v>
      </c>
      <c r="K6381" s="2" t="s">
        <v>8789</v>
      </c>
      <c r="L6381" s="2">
        <f t="shared" si="99"/>
        <v>150</v>
      </c>
    </row>
    <row r="6382" spans="1:12" ht="25" customHeight="1">
      <c r="A6382" s="2" t="s">
        <v>12</v>
      </c>
      <c r="B6382" s="2" t="str">
        <f>HYPERLINK("http://m.12365auto.com/news/20200218/418795.shtml","N95级空气防护 长安欧尚推疫情关怀政策")</f>
        <v>N95级空气防护 长安欧尚推疫情关怀政策</v>
      </c>
      <c r="C6382" s="2" t="s">
        <v>13</v>
      </c>
      <c r="D6382" s="2" t="s">
        <v>12</v>
      </c>
      <c r="E6382" s="2"/>
      <c r="F6382" s="2" t="str">
        <f>HYPERLINK("http://m.12365auto.com/news/20200218/418795.shtml","http://m.12365auto.com/news/20200218/418795.shtml")</f>
        <v>http://m.12365auto.com/news/20200218/418795.shtml</v>
      </c>
      <c r="G6382" s="2"/>
      <c r="H6382" s="2" t="s">
        <v>8790</v>
      </c>
      <c r="I6382" s="2" t="s">
        <v>19</v>
      </c>
      <c r="J6382" s="2" t="s">
        <v>3577</v>
      </c>
      <c r="K6382" s="2" t="s">
        <v>8789</v>
      </c>
      <c r="L6382" s="2">
        <f t="shared" si="99"/>
        <v>150</v>
      </c>
    </row>
    <row r="6383" spans="1:12" ht="25" customHeight="1">
      <c r="A6383" s="2" t="s">
        <v>12</v>
      </c>
      <c r="B6383" s="2" t="str">
        <f>HYPERLINK("http://m.12365auto.com/xcdg/20200218/418792.shtml","解读低配车 拍昂克赛拉1.5L自动质美版")</f>
        <v>解读低配车 拍昂克赛拉1.5L自动质美版</v>
      </c>
      <c r="C6383" s="2" t="s">
        <v>13</v>
      </c>
      <c r="D6383" s="2" t="s">
        <v>12</v>
      </c>
      <c r="E6383" s="2"/>
      <c r="F6383" s="2" t="str">
        <f>HYPERLINK("http://m.12365auto.com/xcdg/20200218/418792.shtml","http://m.12365auto.com/xcdg/20200218/418792.shtml")</f>
        <v>http://m.12365auto.com/xcdg/20200218/418792.shtml</v>
      </c>
      <c r="G6383" s="2"/>
      <c r="H6383" s="2" t="s">
        <v>8791</v>
      </c>
      <c r="I6383" s="2" t="s">
        <v>19</v>
      </c>
      <c r="J6383" s="2" t="s">
        <v>8792</v>
      </c>
      <c r="K6383" s="2" t="s">
        <v>8793</v>
      </c>
      <c r="L6383" s="2">
        <f t="shared" si="99"/>
        <v>150</v>
      </c>
    </row>
    <row r="6384" spans="1:12" ht="25" customHeight="1">
      <c r="A6384" s="2" t="s">
        <v>12</v>
      </c>
      <c r="B6384" s="2" t="str">
        <f>HYPERLINK("http://m.12365auto.com/scbg/20200218/418790.shtml","美系vs德系 锐际/探岳底盘对比测试")</f>
        <v>美系vs德系 锐际/探岳底盘对比测试</v>
      </c>
      <c r="C6384" s="2" t="s">
        <v>13</v>
      </c>
      <c r="D6384" s="2" t="s">
        <v>12</v>
      </c>
      <c r="E6384" s="2"/>
      <c r="F6384" s="2" t="str">
        <f>HYPERLINK("http://m.12365auto.com/scbg/20200218/418790.shtml","http://m.12365auto.com/scbg/20200218/418790.shtml")</f>
        <v>http://m.12365auto.com/scbg/20200218/418790.shtml</v>
      </c>
      <c r="G6384" s="2"/>
      <c r="H6384" s="2" t="s">
        <v>8794</v>
      </c>
      <c r="I6384" s="2" t="s">
        <v>19</v>
      </c>
      <c r="J6384" s="2" t="s">
        <v>1746</v>
      </c>
      <c r="K6384" s="2" t="s">
        <v>8795</v>
      </c>
      <c r="L6384" s="2">
        <f t="shared" si="99"/>
        <v>150</v>
      </c>
    </row>
    <row r="6385" spans="1:12" ht="25" customHeight="1">
      <c r="A6385" s="2" t="s">
        <v>12</v>
      </c>
      <c r="B6385" s="2" t="str">
        <f>HYPERLINK("http://www.12365auto.com/scbg/20200218/418790.shtml","美系vs德系 锐际/探岳底盘对比测试")</f>
        <v>美系vs德系 锐际/探岳底盘对比测试</v>
      </c>
      <c r="C6385" s="2" t="s">
        <v>13</v>
      </c>
      <c r="D6385" s="2" t="s">
        <v>12</v>
      </c>
      <c r="E6385" s="2" t="s">
        <v>1548</v>
      </c>
      <c r="F6385" s="2" t="str">
        <f>HYPERLINK("http://www.12365auto.com/scbg/20200218/418790.shtml","http://www.12365auto.com/scbg/20200218/418790.shtml")</f>
        <v>http://www.12365auto.com/scbg/20200218/418790.shtml</v>
      </c>
      <c r="G6385" s="2"/>
      <c r="H6385" s="2" t="s">
        <v>8796</v>
      </c>
      <c r="I6385" s="2" t="s">
        <v>15</v>
      </c>
      <c r="J6385" s="2" t="s">
        <v>12</v>
      </c>
      <c r="K6385" s="2" t="s">
        <v>8795</v>
      </c>
      <c r="L6385" s="2">
        <f t="shared" si="99"/>
        <v>150</v>
      </c>
    </row>
    <row r="6386" spans="1:12" ht="25" customHeight="1">
      <c r="A6386" s="2" t="s">
        <v>12</v>
      </c>
      <c r="B6386" s="2" t="str">
        <f>HYPERLINK("http://www.12365auto.com/zlts/20200218/447587.shtml","一汽大众高尔夫车内有异味 刹车有异响")</f>
        <v>一汽大众高尔夫车内有异味 刹车有异响</v>
      </c>
      <c r="C6386" s="2" t="s">
        <v>13</v>
      </c>
      <c r="D6386" s="2" t="s">
        <v>12</v>
      </c>
      <c r="E6386" s="2"/>
      <c r="F6386" s="2" t="str">
        <f>HYPERLINK("http://www.12365auto.com/zlts/20200218/447587.shtml","http://www.12365auto.com/zlts/20200218/447587.shtml")</f>
        <v>http://www.12365auto.com/zlts/20200218/447587.shtml</v>
      </c>
      <c r="G6386" s="2"/>
      <c r="H6386" s="2" t="s">
        <v>8798</v>
      </c>
      <c r="I6386" s="2" t="s">
        <v>15</v>
      </c>
      <c r="J6386" s="2" t="s">
        <v>12</v>
      </c>
      <c r="K6386" s="2" t="s">
        <v>8797</v>
      </c>
      <c r="L6386" s="2">
        <f t="shared" si="99"/>
        <v>84</v>
      </c>
    </row>
    <row r="6387" spans="1:12" ht="25" customHeight="1">
      <c r="A6387" s="2" t="s">
        <v>12</v>
      </c>
      <c r="B6387" s="2" t="str">
        <f>HYPERLINK("http://www.12365auto.com/xcdg/20200218/418794.shtml","日内瓦车展亮相 柯尼赛克发布新车预告图")</f>
        <v>日内瓦车展亮相 柯尼赛克发布新车预告图</v>
      </c>
      <c r="C6387" s="2" t="s">
        <v>13</v>
      </c>
      <c r="D6387" s="2" t="s">
        <v>12</v>
      </c>
      <c r="E6387" s="2" t="s">
        <v>245</v>
      </c>
      <c r="F6387" s="2" t="str">
        <f>HYPERLINK("http://www.12365auto.com/xcdg/20200218/418794.shtml","http://www.12365auto.com/xcdg/20200218/418794.shtml")</f>
        <v>http://www.12365auto.com/xcdg/20200218/418794.shtml</v>
      </c>
      <c r="G6387" s="2"/>
      <c r="H6387" s="2" t="s">
        <v>8799</v>
      </c>
      <c r="I6387" s="2" t="s">
        <v>19</v>
      </c>
      <c r="J6387" s="2" t="s">
        <v>12</v>
      </c>
      <c r="K6387" s="2" t="s">
        <v>8800</v>
      </c>
      <c r="L6387" s="2">
        <f t="shared" si="99"/>
        <v>150</v>
      </c>
    </row>
    <row r="6388" spans="1:12" ht="25" customHeight="1">
      <c r="A6388" s="2" t="s">
        <v>12</v>
      </c>
      <c r="B6388" s="2" t="str">
        <f>HYPERLINK("http://m.12365auto.com/xcdg/20200218/418794.shtml","日内瓦车展亮相 柯尼赛克发布新车预告图")</f>
        <v>日内瓦车展亮相 柯尼赛克发布新车预告图</v>
      </c>
      <c r="C6388" s="2" t="s">
        <v>13</v>
      </c>
      <c r="D6388" s="2" t="s">
        <v>12</v>
      </c>
      <c r="E6388" s="2"/>
      <c r="F6388" s="2" t="str">
        <f>HYPERLINK("http://m.12365auto.com/xcdg/20200218/418794.shtml","http://m.12365auto.com/xcdg/20200218/418794.shtml")</f>
        <v>http://m.12365auto.com/xcdg/20200218/418794.shtml</v>
      </c>
      <c r="G6388" s="2"/>
      <c r="H6388" s="2" t="s">
        <v>8801</v>
      </c>
      <c r="I6388" s="2" t="s">
        <v>19</v>
      </c>
      <c r="J6388" s="2" t="s">
        <v>1230</v>
      </c>
      <c r="K6388" s="2" t="s">
        <v>8800</v>
      </c>
      <c r="L6388" s="2">
        <f t="shared" si="99"/>
        <v>150</v>
      </c>
    </row>
    <row r="6389" spans="1:12" ht="25" customHeight="1">
      <c r="A6389" s="2" t="s">
        <v>12</v>
      </c>
      <c r="B6389" s="2" t="str">
        <f>HYPERLINK("http://www.12365auto.com/xcdg/20200218/418789.shtml","基于长轴版打造 宝马330Le或于2021年上市")</f>
        <v>基于长轴版打造 宝马330Le或于2021年上市</v>
      </c>
      <c r="C6389" s="2" t="s">
        <v>13</v>
      </c>
      <c r="D6389" s="2" t="s">
        <v>12</v>
      </c>
      <c r="E6389" s="2" t="s">
        <v>245</v>
      </c>
      <c r="F6389" s="2" t="str">
        <f>HYPERLINK("http://www.12365auto.com/xcdg/20200218/418789.shtml","http://www.12365auto.com/xcdg/20200218/418789.shtml")</f>
        <v>http://www.12365auto.com/xcdg/20200218/418789.shtml</v>
      </c>
      <c r="G6389" s="2"/>
      <c r="H6389" s="2" t="s">
        <v>8802</v>
      </c>
      <c r="I6389" s="2" t="s">
        <v>19</v>
      </c>
      <c r="J6389" s="2" t="s">
        <v>12</v>
      </c>
      <c r="K6389" s="2" t="s">
        <v>8803</v>
      </c>
      <c r="L6389" s="2">
        <f t="shared" si="99"/>
        <v>150</v>
      </c>
    </row>
    <row r="6390" spans="1:12" ht="25" customHeight="1">
      <c r="A6390" s="2" t="s">
        <v>12</v>
      </c>
      <c r="B6390" s="2" t="str">
        <f>HYPERLINK("http://www.12365auto.com/xcdg/20200218/418787.shtml","全新起亚嘉华内饰谍照曝光 流行元素加身")</f>
        <v>全新起亚嘉华内饰谍照曝光 流行元素加身</v>
      </c>
      <c r="C6390" s="2" t="s">
        <v>13</v>
      </c>
      <c r="D6390" s="2" t="s">
        <v>12</v>
      </c>
      <c r="E6390" s="2" t="s">
        <v>224</v>
      </c>
      <c r="F6390" s="2" t="str">
        <f>HYPERLINK("http://www.12365auto.com/xcdg/20200218/418787.shtml","http://www.12365auto.com/xcdg/20200218/418787.shtml")</f>
        <v>http://www.12365auto.com/xcdg/20200218/418787.shtml</v>
      </c>
      <c r="G6390" s="2"/>
      <c r="H6390" s="2" t="s">
        <v>8804</v>
      </c>
      <c r="I6390" s="2" t="s">
        <v>15</v>
      </c>
      <c r="J6390" s="2" t="s">
        <v>12</v>
      </c>
      <c r="K6390" s="2" t="s">
        <v>8805</v>
      </c>
      <c r="L6390" s="2">
        <f t="shared" si="99"/>
        <v>150</v>
      </c>
    </row>
    <row r="6391" spans="1:12" ht="25" customHeight="1">
      <c r="A6391" s="2" t="s">
        <v>12</v>
      </c>
      <c r="B6391" s="2" t="str">
        <f>HYPERLINK("http://m.12365auto.com/xcdg/20200218/418787.shtml","全新起亚嘉华内饰谍照曝光 流行元素加身")</f>
        <v>全新起亚嘉华内饰谍照曝光 流行元素加身</v>
      </c>
      <c r="C6391" s="2" t="s">
        <v>13</v>
      </c>
      <c r="D6391" s="2" t="s">
        <v>12</v>
      </c>
      <c r="E6391" s="2"/>
      <c r="F6391" s="2" t="str">
        <f>HYPERLINK("http://m.12365auto.com/xcdg/20200218/418787.shtml","http://m.12365auto.com/xcdg/20200218/418787.shtml")</f>
        <v>http://m.12365auto.com/xcdg/20200218/418787.shtml</v>
      </c>
      <c r="G6391" s="2"/>
      <c r="H6391" s="2" t="s">
        <v>8806</v>
      </c>
      <c r="I6391" s="2" t="s">
        <v>19</v>
      </c>
      <c r="J6391" s="2" t="s">
        <v>1241</v>
      </c>
      <c r="K6391" s="2" t="s">
        <v>8805</v>
      </c>
      <c r="L6391" s="2">
        <f t="shared" si="99"/>
        <v>150</v>
      </c>
    </row>
    <row r="6392" spans="1:12" ht="25" customHeight="1">
      <c r="A6392" s="2" t="s">
        <v>12</v>
      </c>
      <c r="B6392" s="2" t="str">
        <f>HYPERLINK("http://bbs.12365auto.com/postcontent.aspx?tID=194314","长安福特翼虎哪一款最值得购买？")</f>
        <v>长安福特翼虎哪一款最值得购买？</v>
      </c>
      <c r="C6392" s="2" t="s">
        <v>13</v>
      </c>
      <c r="D6392" s="2" t="s">
        <v>12</v>
      </c>
      <c r="E6392" s="2" t="s">
        <v>28</v>
      </c>
      <c r="F6392" s="2" t="str">
        <f>HYPERLINK("http://bbs.12365auto.com/postcontent.aspx?tID=194314","http://bbs.12365auto.com/postcontent.aspx?tID=194314")</f>
        <v>http://bbs.12365auto.com/postcontent.aspx?tID=194314</v>
      </c>
      <c r="G6392" s="2"/>
      <c r="H6392" s="2" t="s">
        <v>8807</v>
      </c>
      <c r="I6392" s="2" t="s">
        <v>15</v>
      </c>
      <c r="J6392" s="2" t="s">
        <v>2459</v>
      </c>
      <c r="K6392" s="2" t="s">
        <v>8808</v>
      </c>
      <c r="L6392" s="2">
        <f t="shared" si="99"/>
        <v>150</v>
      </c>
    </row>
    <row r="6393" spans="1:12" ht="25" customHeight="1">
      <c r="A6393" s="2" t="s">
        <v>12</v>
      </c>
      <c r="B6393" s="2" t="str">
        <f>HYPERLINK("http://m.12365auto.com/bbs/postcontent.aspx?tID=194314","长安福特翼虎哪一款最值得购买？")</f>
        <v>长安福特翼虎哪一款最值得购买？</v>
      </c>
      <c r="C6393" s="2" t="s">
        <v>13</v>
      </c>
      <c r="D6393" s="2" t="s">
        <v>23</v>
      </c>
      <c r="E6393" s="2"/>
      <c r="F6393" s="2" t="str">
        <f>HYPERLINK("http://m.12365auto.com/bbs/postcontent.aspx?tID=194314","http://m.12365auto.com/bbs/postcontent.aspx?tID=194314")</f>
        <v>http://m.12365auto.com/bbs/postcontent.aspx?tID=194314</v>
      </c>
      <c r="G6393" s="2"/>
      <c r="H6393" s="2" t="s">
        <v>8809</v>
      </c>
      <c r="I6393" s="2" t="s">
        <v>15</v>
      </c>
      <c r="J6393" s="2" t="s">
        <v>2459</v>
      </c>
      <c r="K6393" s="2" t="s">
        <v>8808</v>
      </c>
      <c r="L6393" s="2">
        <f t="shared" si="99"/>
        <v>150</v>
      </c>
    </row>
    <row r="6394" spans="1:12" ht="25" customHeight="1">
      <c r="A6394" s="2" t="s">
        <v>12</v>
      </c>
      <c r="B6394" s="2" t="str">
        <f>HYPERLINK("http://bbs.12365auto.com/postcontent.aspx?tId=194314","长安福特翼虎哪一款最值得购买？")</f>
        <v>长安福特翼虎哪一款最值得购买？</v>
      </c>
      <c r="C6394" s="2" t="s">
        <v>13</v>
      </c>
      <c r="D6394" s="2" t="s">
        <v>12</v>
      </c>
      <c r="E6394" s="2" t="s">
        <v>27</v>
      </c>
      <c r="F6394" s="2" t="str">
        <f>HYPERLINK("http://bbs.12365auto.com/postcontent.aspx?tId=194314","http://bbs.12365auto.com/postcontent.aspx?tId=194314")</f>
        <v>http://bbs.12365auto.com/postcontent.aspx?tId=194314</v>
      </c>
      <c r="G6394" s="2"/>
      <c r="H6394" s="2" t="s">
        <v>8809</v>
      </c>
      <c r="I6394" s="2" t="s">
        <v>15</v>
      </c>
      <c r="J6394" s="2" t="s">
        <v>2459</v>
      </c>
      <c r="K6394" s="2" t="s">
        <v>8808</v>
      </c>
      <c r="L6394" s="2">
        <f t="shared" si="99"/>
        <v>150</v>
      </c>
    </row>
    <row r="6395" spans="1:12" ht="25" customHeight="1">
      <c r="A6395" s="2" t="s">
        <v>12</v>
      </c>
      <c r="B6395" s="2" t="str">
        <f>HYPERLINK("http://bbs.12365auto.com/postcontent.aspx?tID=194313","8AT表现如何？ 星越值不值得买")</f>
        <v>8AT表现如何？ 星越值不值得买</v>
      </c>
      <c r="C6395" s="2" t="s">
        <v>13</v>
      </c>
      <c r="D6395" s="2" t="s">
        <v>12</v>
      </c>
      <c r="E6395" s="2" t="s">
        <v>28</v>
      </c>
      <c r="F6395" s="2" t="str">
        <f>HYPERLINK("http://bbs.12365auto.com/postcontent.aspx?tID=194313","http://bbs.12365auto.com/postcontent.aspx?tID=194313")</f>
        <v>http://bbs.12365auto.com/postcontent.aspx?tID=194313</v>
      </c>
      <c r="G6395" s="2"/>
      <c r="H6395" s="2" t="s">
        <v>8810</v>
      </c>
      <c r="I6395" s="2" t="s">
        <v>15</v>
      </c>
      <c r="J6395" s="2" t="s">
        <v>2459</v>
      </c>
      <c r="K6395" s="2" t="s">
        <v>8811</v>
      </c>
      <c r="L6395" s="2">
        <f t="shared" si="99"/>
        <v>150</v>
      </c>
    </row>
    <row r="6396" spans="1:12" ht="25" customHeight="1">
      <c r="A6396" s="2" t="s">
        <v>12</v>
      </c>
      <c r="B6396" s="2" t="str">
        <f>HYPERLINK("http://m.12365auto.com/bbs/postcontent.aspx?tID=194313","8AT表现如何？ 越值不值得买")</f>
        <v>8AT表现如何？ 越值不值得买</v>
      </c>
      <c r="C6396" s="2" t="s">
        <v>13</v>
      </c>
      <c r="D6396" s="2" t="s">
        <v>23</v>
      </c>
      <c r="E6396" s="2"/>
      <c r="F6396" s="2" t="str">
        <f>HYPERLINK("http://m.12365auto.com/bbs/postcontent.aspx?tID=194313","http://m.12365auto.com/bbs/postcontent.aspx?tID=194313")</f>
        <v>http://m.12365auto.com/bbs/postcontent.aspx?tID=194313</v>
      </c>
      <c r="G6396" s="2"/>
      <c r="H6396" s="2" t="s">
        <v>8812</v>
      </c>
      <c r="I6396" s="2" t="s">
        <v>15</v>
      </c>
      <c r="J6396" s="2" t="s">
        <v>2459</v>
      </c>
      <c r="K6396" s="2" t="s">
        <v>8811</v>
      </c>
      <c r="L6396" s="2">
        <f t="shared" si="99"/>
        <v>150</v>
      </c>
    </row>
    <row r="6397" spans="1:12" ht="25" customHeight="1">
      <c r="A6397" s="2" t="s">
        <v>12</v>
      </c>
      <c r="B6397" s="2" t="str">
        <f>HYPERLINK("http://bbs.12365auto.com/postcontent.aspx?tId=194313","8AT表现如何？ 越值不值得买")</f>
        <v>8AT表现如何？ 越值不值得买</v>
      </c>
      <c r="C6397" s="2" t="s">
        <v>13</v>
      </c>
      <c r="D6397" s="2" t="s">
        <v>12</v>
      </c>
      <c r="E6397" s="2" t="s">
        <v>27</v>
      </c>
      <c r="F6397" s="2" t="str">
        <f>HYPERLINK("http://bbs.12365auto.com/postcontent.aspx?tId=194313","http://bbs.12365auto.com/postcontent.aspx?tId=194313")</f>
        <v>http://bbs.12365auto.com/postcontent.aspx?tId=194313</v>
      </c>
      <c r="G6397" s="2"/>
      <c r="H6397" s="2" t="s">
        <v>8812</v>
      </c>
      <c r="I6397" s="2" t="s">
        <v>15</v>
      </c>
      <c r="J6397" s="2" t="s">
        <v>2459</v>
      </c>
      <c r="K6397" s="2" t="s">
        <v>8811</v>
      </c>
      <c r="L6397" s="2">
        <f t="shared" si="99"/>
        <v>150</v>
      </c>
    </row>
    <row r="6398" spans="1:12" ht="25" customHeight="1">
      <c r="A6398" s="2" t="s">
        <v>12</v>
      </c>
      <c r="B6398" s="2" t="str">
        <f>HYPERLINK("http://bbs.12365auto.com/postcontent.aspx?tId=194312","2020款WEY VV5值不值得买")</f>
        <v>2020款WEY VV5值不值得买</v>
      </c>
      <c r="C6398" s="2" t="s">
        <v>13</v>
      </c>
      <c r="D6398" s="2" t="s">
        <v>12</v>
      </c>
      <c r="E6398" s="2" t="s">
        <v>27</v>
      </c>
      <c r="F6398" s="2" t="str">
        <f>HYPERLINK("http://bbs.12365auto.com/postcontent.aspx?tId=194312","http://bbs.12365auto.com/postcontent.aspx?tId=194312")</f>
        <v>http://bbs.12365auto.com/postcontent.aspx?tId=194312</v>
      </c>
      <c r="G6398" s="2"/>
      <c r="H6398" s="2" t="s">
        <v>8813</v>
      </c>
      <c r="I6398" s="2" t="s">
        <v>15</v>
      </c>
      <c r="J6398" s="2" t="s">
        <v>2459</v>
      </c>
      <c r="K6398" s="2" t="s">
        <v>8814</v>
      </c>
      <c r="L6398" s="2">
        <f t="shared" si="99"/>
        <v>150</v>
      </c>
    </row>
    <row r="6399" spans="1:12" ht="25" customHeight="1">
      <c r="A6399" s="2" t="s">
        <v>12</v>
      </c>
      <c r="B6399" s="2" t="str">
        <f>HYPERLINK("http://bbs.12365auto.com/postcontent.aspx?tID=194312","2020款WEY VV5值不值得买")</f>
        <v>2020款WEY VV5值不值得买</v>
      </c>
      <c r="C6399" s="2" t="s">
        <v>13</v>
      </c>
      <c r="D6399" s="2" t="s">
        <v>12</v>
      </c>
      <c r="E6399" s="2" t="s">
        <v>28</v>
      </c>
      <c r="F6399" s="2" t="str">
        <f>HYPERLINK("http://bbs.12365auto.com/postcontent.aspx?tID=194312","http://bbs.12365auto.com/postcontent.aspx?tID=194312")</f>
        <v>http://bbs.12365auto.com/postcontent.aspx?tID=194312</v>
      </c>
      <c r="G6399" s="2"/>
      <c r="H6399" s="2" t="s">
        <v>8815</v>
      </c>
      <c r="I6399" s="2" t="s">
        <v>15</v>
      </c>
      <c r="J6399" s="2" t="s">
        <v>2459</v>
      </c>
      <c r="K6399" s="2" t="s">
        <v>8814</v>
      </c>
      <c r="L6399" s="2">
        <f t="shared" si="99"/>
        <v>150</v>
      </c>
    </row>
    <row r="6400" spans="1:12" ht="25" customHeight="1">
      <c r="A6400" s="2" t="s">
        <v>12</v>
      </c>
      <c r="B6400" s="2" t="str">
        <f>HYPERLINK("http://m.12365auto.com/bbs/postcontent.aspx?tID=194312","2020款WEY VV5值不值得买")</f>
        <v>2020款WEY VV5值不值得买</v>
      </c>
      <c r="C6400" s="2" t="s">
        <v>13</v>
      </c>
      <c r="D6400" s="2" t="s">
        <v>23</v>
      </c>
      <c r="E6400" s="2"/>
      <c r="F6400" s="2" t="str">
        <f>HYPERLINK("http://m.12365auto.com/bbs/postcontent.aspx?tID=194312","http://m.12365auto.com/bbs/postcontent.aspx?tID=194312")</f>
        <v>http://m.12365auto.com/bbs/postcontent.aspx?tID=194312</v>
      </c>
      <c r="G6400" s="2"/>
      <c r="H6400" s="2" t="s">
        <v>8813</v>
      </c>
      <c r="I6400" s="2" t="s">
        <v>15</v>
      </c>
      <c r="J6400" s="2" t="s">
        <v>2459</v>
      </c>
      <c r="K6400" s="2" t="s">
        <v>8814</v>
      </c>
      <c r="L6400" s="2">
        <f t="shared" si="99"/>
        <v>150</v>
      </c>
    </row>
    <row r="6401" spans="1:12" ht="25" customHeight="1">
      <c r="A6401" s="2" t="s">
        <v>12</v>
      </c>
      <c r="B6401" s="2" t="str">
        <f>HYPERLINK("http://bbs.12365auto.com/postcontent.aspx?tId=194311","新款现代瑞纳 值不值得买？")</f>
        <v>新款现代瑞纳 值不值得买？</v>
      </c>
      <c r="C6401" s="2" t="s">
        <v>13</v>
      </c>
      <c r="D6401" s="2" t="s">
        <v>12</v>
      </c>
      <c r="E6401" s="2" t="s">
        <v>27</v>
      </c>
      <c r="F6401" s="2" t="str">
        <f>HYPERLINK("http://bbs.12365auto.com/postcontent.aspx?tId=194311","http://bbs.12365auto.com/postcontent.aspx?tId=194311")</f>
        <v>http://bbs.12365auto.com/postcontent.aspx?tId=194311</v>
      </c>
      <c r="G6401" s="2"/>
      <c r="H6401" s="2" t="s">
        <v>8816</v>
      </c>
      <c r="I6401" s="2" t="s">
        <v>15</v>
      </c>
      <c r="J6401" s="2" t="s">
        <v>2459</v>
      </c>
      <c r="K6401" s="2" t="s">
        <v>8817</v>
      </c>
      <c r="L6401" s="2">
        <f t="shared" si="99"/>
        <v>150</v>
      </c>
    </row>
    <row r="6402" spans="1:12" ht="25" customHeight="1">
      <c r="A6402" s="2" t="s">
        <v>12</v>
      </c>
      <c r="B6402" s="2" t="str">
        <f>HYPERLINK("http://bbs.12365auto.com/postcontent.aspx?tID=194311","新款现代瑞纳 值不值得买？")</f>
        <v>新款现代瑞纳 值不值得买？</v>
      </c>
      <c r="C6402" s="2" t="s">
        <v>13</v>
      </c>
      <c r="D6402" s="2" t="s">
        <v>12</v>
      </c>
      <c r="E6402" s="2" t="s">
        <v>28</v>
      </c>
      <c r="F6402" s="2" t="str">
        <f>HYPERLINK("http://bbs.12365auto.com/postcontent.aspx?tID=194311","http://bbs.12365auto.com/postcontent.aspx?tID=194311")</f>
        <v>http://bbs.12365auto.com/postcontent.aspx?tID=194311</v>
      </c>
      <c r="G6402" s="2"/>
      <c r="H6402" s="2" t="s">
        <v>8818</v>
      </c>
      <c r="I6402" s="2" t="s">
        <v>15</v>
      </c>
      <c r="J6402" s="2" t="s">
        <v>2459</v>
      </c>
      <c r="K6402" s="2" t="s">
        <v>8817</v>
      </c>
      <c r="L6402" s="2">
        <f t="shared" si="99"/>
        <v>150</v>
      </c>
    </row>
    <row r="6403" spans="1:12" ht="25" customHeight="1">
      <c r="A6403" s="2" t="s">
        <v>12</v>
      </c>
      <c r="B6403" s="2" t="str">
        <f>HYPERLINK("http://m.12365auto.com/bbs/postcontent.aspx?tID=194311","新款现代瑞纳 值不值得买？")</f>
        <v>新款现代瑞纳 值不值得买？</v>
      </c>
      <c r="C6403" s="2" t="s">
        <v>13</v>
      </c>
      <c r="D6403" s="2" t="s">
        <v>23</v>
      </c>
      <c r="E6403" s="2"/>
      <c r="F6403" s="2" t="str">
        <f>HYPERLINK("http://m.12365auto.com/bbs/postcontent.aspx?tID=194311","http://m.12365auto.com/bbs/postcontent.aspx?tID=194311")</f>
        <v>http://m.12365auto.com/bbs/postcontent.aspx?tID=194311</v>
      </c>
      <c r="G6403" s="2"/>
      <c r="H6403" s="2" t="s">
        <v>8816</v>
      </c>
      <c r="I6403" s="2" t="s">
        <v>15</v>
      </c>
      <c r="J6403" s="2" t="s">
        <v>2459</v>
      </c>
      <c r="K6403" s="2" t="s">
        <v>8817</v>
      </c>
      <c r="L6403" s="2">
        <f t="shared" ref="L6403:L6466" si="100">LEN(H6403)</f>
        <v>150</v>
      </c>
    </row>
    <row r="6404" spans="1:12" ht="25" customHeight="1">
      <c r="A6404" s="2" t="s">
        <v>12</v>
      </c>
      <c r="B6404" s="2" t="str">
        <f>HYPERLINK("http://www.12365auto.com/xcdg/20200218/418791.shtml","或年内上市 大众探岳GTE插混版申报图曝光")</f>
        <v>或年内上市 大众探岳GTE插混版申报图曝光</v>
      </c>
      <c r="C6404" s="2" t="s">
        <v>13</v>
      </c>
      <c r="D6404" s="2" t="s">
        <v>12</v>
      </c>
      <c r="E6404" s="2" t="s">
        <v>245</v>
      </c>
      <c r="F6404" s="2" t="str">
        <f>HYPERLINK("http://www.12365auto.com/xcdg/20200218/418791.shtml","http://www.12365auto.com/xcdg/20200218/418791.shtml")</f>
        <v>http://www.12365auto.com/xcdg/20200218/418791.shtml</v>
      </c>
      <c r="G6404" s="2"/>
      <c r="H6404" s="2" t="s">
        <v>8819</v>
      </c>
      <c r="I6404" s="2" t="s">
        <v>19</v>
      </c>
      <c r="J6404" s="2" t="s">
        <v>12</v>
      </c>
      <c r="K6404" s="2" t="s">
        <v>8820</v>
      </c>
      <c r="L6404" s="2">
        <f t="shared" si="100"/>
        <v>150</v>
      </c>
    </row>
    <row r="6405" spans="1:12" ht="25" customHeight="1">
      <c r="A6405" s="2" t="s">
        <v>12</v>
      </c>
      <c r="B6405" s="2" t="str">
        <f>HYPERLINK("http://www.12365auto.com/xcdg/20200218/418793.shtml","与沃尔沃同平台打造 领克七座SUV谍照曝光")</f>
        <v>与沃尔沃同平台打造 领克七座SUV谍照曝光</v>
      </c>
      <c r="C6405" s="2" t="s">
        <v>13</v>
      </c>
      <c r="D6405" s="2" t="s">
        <v>12</v>
      </c>
      <c r="E6405" s="2" t="s">
        <v>216</v>
      </c>
      <c r="F6405" s="2" t="str">
        <f>HYPERLINK("http://www.12365auto.com/xcdg/20200218/418793.shtml","http://www.12365auto.com/xcdg/20200218/418793.shtml")</f>
        <v>http://www.12365auto.com/xcdg/20200218/418793.shtml</v>
      </c>
      <c r="G6405" s="2"/>
      <c r="H6405" s="2" t="s">
        <v>8821</v>
      </c>
      <c r="I6405" s="2" t="s">
        <v>15</v>
      </c>
      <c r="J6405" s="2" t="s">
        <v>12</v>
      </c>
      <c r="K6405" s="2" t="s">
        <v>8822</v>
      </c>
      <c r="L6405" s="2">
        <f t="shared" si="100"/>
        <v>150</v>
      </c>
    </row>
    <row r="6406" spans="1:12" ht="25" customHeight="1">
      <c r="A6406" s="2" t="s">
        <v>12</v>
      </c>
      <c r="B6406" s="2" t="str">
        <f>HYPERLINK("http://m.12365auto.com/xcdg/20200218/418786.shtml","首款纯电动车型 雪佛兰畅巡将于2月20日上市")</f>
        <v>首款纯电动车型 雪佛兰畅巡将于2月20日上市</v>
      </c>
      <c r="C6406" s="2" t="s">
        <v>13</v>
      </c>
      <c r="D6406" s="2" t="s">
        <v>12</v>
      </c>
      <c r="E6406" s="2"/>
      <c r="F6406" s="2" t="str">
        <f>HYPERLINK("http://m.12365auto.com/xcdg/20200218/418786.shtml","http://m.12365auto.com/xcdg/20200218/418786.shtml")</f>
        <v>http://m.12365auto.com/xcdg/20200218/418786.shtml</v>
      </c>
      <c r="G6406" s="2"/>
      <c r="H6406" s="2" t="s">
        <v>8823</v>
      </c>
      <c r="I6406" s="2" t="s">
        <v>19</v>
      </c>
      <c r="J6406" s="2" t="s">
        <v>1305</v>
      </c>
      <c r="K6406" s="2" t="s">
        <v>8824</v>
      </c>
      <c r="L6406" s="2">
        <f t="shared" si="100"/>
        <v>150</v>
      </c>
    </row>
    <row r="6407" spans="1:12" ht="25" customHeight="1">
      <c r="A6407" s="2" t="s">
        <v>12</v>
      </c>
      <c r="B6407" s="2" t="str">
        <f>HYPERLINK("http://www.12365auto.com/xcdg/20200218/418786.shtml","首款纯电动车型 雪佛兰畅巡将于2月20日上市")</f>
        <v>首款纯电动车型 雪佛兰畅巡将于2月20日上市</v>
      </c>
      <c r="C6407" s="2" t="s">
        <v>13</v>
      </c>
      <c r="D6407" s="2" t="s">
        <v>12</v>
      </c>
      <c r="E6407" s="2" t="s">
        <v>245</v>
      </c>
      <c r="F6407" s="2" t="str">
        <f>HYPERLINK("http://www.12365auto.com/xcdg/20200218/418786.shtml","http://www.12365auto.com/xcdg/20200218/418786.shtml")</f>
        <v>http://www.12365auto.com/xcdg/20200218/418786.shtml</v>
      </c>
      <c r="G6407" s="2"/>
      <c r="H6407" s="2" t="s">
        <v>8825</v>
      </c>
      <c r="I6407" s="2" t="s">
        <v>19</v>
      </c>
      <c r="J6407" s="2" t="s">
        <v>12</v>
      </c>
      <c r="K6407" s="2" t="s">
        <v>8824</v>
      </c>
      <c r="L6407" s="2">
        <f t="shared" si="100"/>
        <v>150</v>
      </c>
    </row>
    <row r="6408" spans="1:12" ht="25" customHeight="1">
      <c r="A6408" s="2" t="s">
        <v>12</v>
      </c>
      <c r="B6408" s="2" t="str">
        <f>HYPERLINK("http://www.12365auto.com/zlts/20200218/447586.shtml","上汽大众朗逸刹车异响无解决方案")</f>
        <v>上汽大众朗逸刹车异响无解决方案</v>
      </c>
      <c r="C6408" s="2" t="s">
        <v>13</v>
      </c>
      <c r="D6408" s="2" t="s">
        <v>12</v>
      </c>
      <c r="E6408" s="2" t="s">
        <v>17</v>
      </c>
      <c r="F6408" s="2" t="str">
        <f>HYPERLINK("http://www.12365auto.com/zlts/20200218/447586.shtml","http://www.12365auto.com/zlts/20200218/447586.shtml")</f>
        <v>http://www.12365auto.com/zlts/20200218/447586.shtml</v>
      </c>
      <c r="G6408" s="2"/>
      <c r="H6408" s="2" t="s">
        <v>8826</v>
      </c>
      <c r="I6408" s="2" t="s">
        <v>15</v>
      </c>
      <c r="J6408" s="2" t="s">
        <v>12</v>
      </c>
      <c r="K6408" s="2" t="s">
        <v>8827</v>
      </c>
      <c r="L6408" s="2">
        <f t="shared" si="100"/>
        <v>150</v>
      </c>
    </row>
    <row r="6409" spans="1:12" ht="25" customHeight="1">
      <c r="A6409" s="2" t="s">
        <v>12</v>
      </c>
      <c r="B6409" s="2" t="str">
        <f>HYPERLINK("http://www.12365auto.com/zlts/20200218/447585.shtml","奇瑞艾瑞泽7e启动后出现高压故障")</f>
        <v>奇瑞艾瑞泽7e启动后出现高压故障</v>
      </c>
      <c r="C6409" s="2" t="s">
        <v>13</v>
      </c>
      <c r="D6409" s="2" t="s">
        <v>12</v>
      </c>
      <c r="E6409" s="2" t="s">
        <v>17</v>
      </c>
      <c r="F6409" s="2" t="str">
        <f>HYPERLINK("http://www.12365auto.com/zlts/20200218/447585.shtml","http://www.12365auto.com/zlts/20200218/447585.shtml")</f>
        <v>http://www.12365auto.com/zlts/20200218/447585.shtml</v>
      </c>
      <c r="G6409" s="2"/>
      <c r="H6409" s="2" t="s">
        <v>8828</v>
      </c>
      <c r="I6409" s="2" t="s">
        <v>19</v>
      </c>
      <c r="J6409" s="2" t="s">
        <v>12</v>
      </c>
      <c r="K6409" s="2" t="s">
        <v>8829</v>
      </c>
      <c r="L6409" s="2">
        <f t="shared" si="100"/>
        <v>150</v>
      </c>
    </row>
    <row r="6410" spans="1:12" ht="25" customHeight="1">
      <c r="A6410" s="2" t="s">
        <v>12</v>
      </c>
      <c r="B6410" s="2" t="str">
        <f>HYPERLINK("http://m.12365auto.com/zjdy/20200218/121352.shtml","CS35 plus电子手刹夹紧力不足是何原因？")</f>
        <v>CS35 plus电子手刹夹紧力不足是何原因？</v>
      </c>
      <c r="C6410" s="2" t="s">
        <v>13</v>
      </c>
      <c r="D6410" s="2" t="s">
        <v>12</v>
      </c>
      <c r="E6410" s="2"/>
      <c r="F6410" s="2" t="str">
        <f>HYPERLINK("http://m.12365auto.com/zjdy/20200218/121352.shtml","http://m.12365auto.com/zjdy/20200218/121352.shtml")</f>
        <v>http://m.12365auto.com/zjdy/20200218/121352.shtml</v>
      </c>
      <c r="G6410" s="2"/>
      <c r="H6410" s="2" t="s">
        <v>8830</v>
      </c>
      <c r="I6410" s="2" t="s">
        <v>19</v>
      </c>
      <c r="J6410" s="2" t="s">
        <v>12</v>
      </c>
      <c r="K6410" s="2" t="s">
        <v>8831</v>
      </c>
      <c r="L6410" s="2">
        <f t="shared" si="100"/>
        <v>35</v>
      </c>
    </row>
    <row r="6411" spans="1:12" ht="25" customHeight="1">
      <c r="A6411" s="2" t="s">
        <v>12</v>
      </c>
      <c r="B6411" s="2" t="str">
        <f>HYPERLINK("http://m.12365auto.com/zjdy/20200218/121354.shtml","防冻液多少公里或多久需要添加？")</f>
        <v>防冻液多少公里或多久需要添加？</v>
      </c>
      <c r="C6411" s="2" t="s">
        <v>13</v>
      </c>
      <c r="D6411" s="2" t="s">
        <v>12</v>
      </c>
      <c r="E6411" s="2"/>
      <c r="F6411" s="2" t="str">
        <f>HYPERLINK("http://m.12365auto.com/zjdy/20200218/121354.shtml","http://m.12365auto.com/zjdy/20200218/121354.shtml")</f>
        <v>http://m.12365auto.com/zjdy/20200218/121354.shtml</v>
      </c>
      <c r="G6411" s="2"/>
      <c r="H6411" s="2" t="s">
        <v>8832</v>
      </c>
      <c r="I6411" s="2" t="s">
        <v>19</v>
      </c>
      <c r="J6411" s="2" t="s">
        <v>12</v>
      </c>
      <c r="K6411" s="2" t="s">
        <v>8833</v>
      </c>
      <c r="L6411" s="2">
        <f t="shared" si="100"/>
        <v>15</v>
      </c>
    </row>
    <row r="6412" spans="1:12" ht="25" customHeight="1">
      <c r="A6412" s="2" t="s">
        <v>12</v>
      </c>
      <c r="B6412" s="2" t="str">
        <f>HYPERLINK("http://m.12365auto.com/zjdy/20200217/121351.shtml","启动机有电流声无法启动是为什么？")</f>
        <v>启动机有电流声无法启动是为什么？</v>
      </c>
      <c r="C6412" s="2" t="s">
        <v>13</v>
      </c>
      <c r="D6412" s="2" t="s">
        <v>12</v>
      </c>
      <c r="E6412" s="2"/>
      <c r="F6412" s="2" t="str">
        <f>HYPERLINK("http://m.12365auto.com/zjdy/20200217/121351.shtml","http://m.12365auto.com/zjdy/20200217/121351.shtml")</f>
        <v>http://m.12365auto.com/zjdy/20200217/121351.shtml</v>
      </c>
      <c r="G6412" s="2"/>
      <c r="H6412" s="2" t="s">
        <v>8834</v>
      </c>
      <c r="I6412" s="2" t="s">
        <v>19</v>
      </c>
      <c r="J6412" s="2" t="s">
        <v>12</v>
      </c>
      <c r="K6412" s="2" t="s">
        <v>8835</v>
      </c>
      <c r="L6412" s="2">
        <f t="shared" si="100"/>
        <v>14</v>
      </c>
    </row>
    <row r="6413" spans="1:12" ht="25" customHeight="1">
      <c r="A6413" s="2" t="s">
        <v>12</v>
      </c>
      <c r="B6413" s="2" t="str">
        <f>HYPERLINK("http://m.12365auto.com/zjdy/20200217/121350.shtml","荣威i5比亚迪秦以及艾瑞泽5哪个可以购买？")</f>
        <v>荣威i5比亚迪秦以及艾瑞泽5哪个可以购买？</v>
      </c>
      <c r="C6413" s="2" t="s">
        <v>13</v>
      </c>
      <c r="D6413" s="2" t="s">
        <v>12</v>
      </c>
      <c r="E6413" s="2"/>
      <c r="F6413" s="2" t="str">
        <f>HYPERLINK("http://m.12365auto.com/zjdy/20200217/121350.shtml","http://m.12365auto.com/zjdy/20200217/121350.shtml")</f>
        <v>http://m.12365auto.com/zjdy/20200217/121350.shtml</v>
      </c>
      <c r="G6413" s="2"/>
      <c r="H6413" s="2" t="s">
        <v>8836</v>
      </c>
      <c r="I6413" s="2" t="s">
        <v>19</v>
      </c>
      <c r="J6413" s="2" t="s">
        <v>12</v>
      </c>
      <c r="K6413" s="2" t="s">
        <v>8837</v>
      </c>
      <c r="L6413" s="2">
        <f t="shared" si="100"/>
        <v>34</v>
      </c>
    </row>
    <row r="6414" spans="1:12" ht="25" customHeight="1">
      <c r="A6414" s="2" t="s">
        <v>12</v>
      </c>
      <c r="B6414" s="2" t="str">
        <f>HYPERLINK("http://m.12365auto.com/zjdy/20200217/121348.shtml","比亚迪秦燃油版和艾瑞泽5哪个更好一些？")</f>
        <v>比亚迪秦燃油版和艾瑞泽5哪个更好一些？</v>
      </c>
      <c r="C6414" s="2" t="s">
        <v>13</v>
      </c>
      <c r="D6414" s="2" t="s">
        <v>12</v>
      </c>
      <c r="E6414" s="2"/>
      <c r="F6414" s="2" t="str">
        <f>HYPERLINK("http://m.12365auto.com/zjdy/20200217/121348.shtml","http://m.12365auto.com/zjdy/20200217/121348.shtml")</f>
        <v>http://m.12365auto.com/zjdy/20200217/121348.shtml</v>
      </c>
      <c r="G6414" s="2"/>
      <c r="H6414" s="2" t="s">
        <v>8838</v>
      </c>
      <c r="I6414" s="2" t="s">
        <v>19</v>
      </c>
      <c r="J6414" s="2" t="s">
        <v>12</v>
      </c>
      <c r="K6414" s="2" t="s">
        <v>8839</v>
      </c>
      <c r="L6414" s="2">
        <f t="shared" si="100"/>
        <v>30</v>
      </c>
    </row>
    <row r="6415" spans="1:12" ht="25" customHeight="1">
      <c r="A6415" s="2" t="s">
        <v>12</v>
      </c>
      <c r="B6415" s="2" t="str">
        <f>HYPERLINK("http://m.12365auto.com/zjdy/20200217/121349.shtml","停放三四天后电瓶亏电是为什么？")</f>
        <v>停放三四天后电瓶亏电是为什么？</v>
      </c>
      <c r="C6415" s="2" t="s">
        <v>13</v>
      </c>
      <c r="D6415" s="2" t="s">
        <v>12</v>
      </c>
      <c r="E6415" s="2"/>
      <c r="F6415" s="2" t="str">
        <f>HYPERLINK("http://m.12365auto.com/zjdy/20200217/121349.shtml","http://m.12365auto.com/zjdy/20200217/121349.shtml")</f>
        <v>http://m.12365auto.com/zjdy/20200217/121349.shtml</v>
      </c>
      <c r="G6415" s="2"/>
      <c r="H6415" s="2" t="s">
        <v>8840</v>
      </c>
      <c r="I6415" s="2" t="s">
        <v>19</v>
      </c>
      <c r="J6415" s="2" t="s">
        <v>12</v>
      </c>
      <c r="K6415" s="2" t="s">
        <v>8841</v>
      </c>
      <c r="L6415" s="2">
        <f t="shared" si="100"/>
        <v>25</v>
      </c>
    </row>
    <row r="6416" spans="1:12" ht="25" customHeight="1">
      <c r="A6416" s="2" t="s">
        <v>12</v>
      </c>
      <c r="B6416" s="2" t="str">
        <f>HYPERLINK("http://m.12365auto.com/zjdy/20200217/121347.shtml","双离合变速箱超车方法哪种更好？")</f>
        <v>双离合变速箱超车方法哪种更好？</v>
      </c>
      <c r="C6416" s="2" t="s">
        <v>13</v>
      </c>
      <c r="D6416" s="2" t="s">
        <v>12</v>
      </c>
      <c r="E6416" s="2"/>
      <c r="F6416" s="2" t="str">
        <f>HYPERLINK("http://m.12365auto.com/zjdy/20200217/121347.shtml","http://m.12365auto.com/zjdy/20200217/121347.shtml")</f>
        <v>http://m.12365auto.com/zjdy/20200217/121347.shtml</v>
      </c>
      <c r="G6416" s="2"/>
      <c r="H6416" s="2" t="s">
        <v>8842</v>
      </c>
      <c r="I6416" s="2" t="s">
        <v>19</v>
      </c>
      <c r="J6416" s="2" t="s">
        <v>12</v>
      </c>
      <c r="K6416" s="2" t="s">
        <v>8843</v>
      </c>
      <c r="L6416" s="2">
        <f t="shared" si="100"/>
        <v>38</v>
      </c>
    </row>
    <row r="6417" spans="1:12" ht="25" customHeight="1">
      <c r="A6417" s="2" t="s">
        <v>12</v>
      </c>
      <c r="B6417" s="2" t="str">
        <f>HYPERLINK("http://m.12365auto.com/zjdy/20200217/121346.shtml","奇瑞艾瑞泽5和比亚迪秦哪个更好？")</f>
        <v>奇瑞艾瑞泽5和比亚迪秦哪个更好？</v>
      </c>
      <c r="C6417" s="2" t="s">
        <v>13</v>
      </c>
      <c r="D6417" s="2" t="s">
        <v>12</v>
      </c>
      <c r="E6417" s="2"/>
      <c r="F6417" s="2" t="str">
        <f>HYPERLINK("http://m.12365auto.com/zjdy/20200217/121346.shtml","http://m.12365auto.com/zjdy/20200217/121346.shtml")</f>
        <v>http://m.12365auto.com/zjdy/20200217/121346.shtml</v>
      </c>
      <c r="G6417" s="2"/>
      <c r="H6417" s="2" t="s">
        <v>8844</v>
      </c>
      <c r="I6417" s="2" t="s">
        <v>19</v>
      </c>
      <c r="J6417" s="2" t="s">
        <v>12</v>
      </c>
      <c r="K6417" s="2" t="s">
        <v>8845</v>
      </c>
      <c r="L6417" s="2">
        <f t="shared" si="100"/>
        <v>38</v>
      </c>
    </row>
    <row r="6418" spans="1:12" ht="25" customHeight="1">
      <c r="A6418" s="2" t="s">
        <v>12</v>
      </c>
      <c r="B6418" s="2" t="str">
        <f>HYPERLINK("http://www.12365auto.com/zlts/20200218/447584.shtml","车门内部生锈转向不准座椅晃动车身异响雨刮卡顿")</f>
        <v>车门内部生锈转向不准座椅晃动车身异响雨刮卡顿</v>
      </c>
      <c r="C6418" s="2" t="s">
        <v>13</v>
      </c>
      <c r="D6418" s="2" t="s">
        <v>12</v>
      </c>
      <c r="E6418" s="2"/>
      <c r="F6418" s="2" t="str">
        <f>HYPERLINK("http://www.12365auto.com/zlts/20200218/447584.shtml","http://www.12365auto.com/zlts/20200218/447584.shtml")</f>
        <v>http://www.12365auto.com/zlts/20200218/447584.shtml</v>
      </c>
      <c r="G6418" s="2"/>
      <c r="H6418" s="2" t="s">
        <v>8847</v>
      </c>
      <c r="I6418" s="2" t="s">
        <v>15</v>
      </c>
      <c r="J6418" s="2" t="s">
        <v>12</v>
      </c>
      <c r="K6418" s="2" t="s">
        <v>8846</v>
      </c>
      <c r="L6418" s="2">
        <f t="shared" si="100"/>
        <v>90</v>
      </c>
    </row>
    <row r="6419" spans="1:12" ht="25" customHeight="1">
      <c r="A6419" s="2" t="s">
        <v>12</v>
      </c>
      <c r="B6419" s="2" t="str">
        <f>HYPERLINK("http://www.12365auto.com/scbg/20200218/418785.shtml","2020款广汽本田皓影新车商品性评价")</f>
        <v>2020款广汽本田皓影新车商品性评价</v>
      </c>
      <c r="C6419" s="2" t="s">
        <v>13</v>
      </c>
      <c r="D6419" s="2" t="s">
        <v>12</v>
      </c>
      <c r="E6419" s="2" t="s">
        <v>1548</v>
      </c>
      <c r="F6419" s="2" t="str">
        <f>HYPERLINK("http://www.12365auto.com/scbg/20200218/418785.shtml","http://www.12365auto.com/scbg/20200218/418785.shtml")</f>
        <v>http://www.12365auto.com/scbg/20200218/418785.shtml</v>
      </c>
      <c r="G6419" s="2"/>
      <c r="H6419" s="2" t="s">
        <v>8848</v>
      </c>
      <c r="I6419" s="2" t="s">
        <v>15</v>
      </c>
      <c r="J6419" s="2" t="s">
        <v>12</v>
      </c>
      <c r="K6419" s="2" t="s">
        <v>8849</v>
      </c>
      <c r="L6419" s="2">
        <f t="shared" si="100"/>
        <v>150</v>
      </c>
    </row>
    <row r="6420" spans="1:12" ht="25" customHeight="1">
      <c r="A6420" s="2" t="s">
        <v>12</v>
      </c>
      <c r="B6420" s="2" t="str">
        <f>HYPERLINK("http://m.12365auto.com/scbg/20200218/418785.shtml","2020款广汽本田皓影新车商品性评价")</f>
        <v>2020款广汽本田皓影新车商品性评价</v>
      </c>
      <c r="C6420" s="2" t="s">
        <v>13</v>
      </c>
      <c r="D6420" s="2" t="s">
        <v>12</v>
      </c>
      <c r="E6420" s="2"/>
      <c r="F6420" s="2" t="str">
        <f>HYPERLINK("http://m.12365auto.com/scbg/20200218/418785.shtml","http://m.12365auto.com/scbg/20200218/418785.shtml")</f>
        <v>http://m.12365auto.com/scbg/20200218/418785.shtml</v>
      </c>
      <c r="G6420" s="2"/>
      <c r="H6420" s="2" t="s">
        <v>8850</v>
      </c>
      <c r="I6420" s="2" t="s">
        <v>19</v>
      </c>
      <c r="J6420" s="2" t="s">
        <v>1326</v>
      </c>
      <c r="K6420" s="2" t="s">
        <v>8849</v>
      </c>
      <c r="L6420" s="2">
        <f t="shared" si="100"/>
        <v>150</v>
      </c>
    </row>
    <row r="6421" spans="1:12" ht="25" customHeight="1">
      <c r="A6421" s="2" t="s">
        <v>12</v>
      </c>
      <c r="B6421" s="2" t="str">
        <f>HYPERLINK("http://www.12365auto.com/zlts/20200218/447582.shtml","变速箱异响，车门异响")</f>
        <v>变速箱异响，车门异响</v>
      </c>
      <c r="C6421" s="2" t="s">
        <v>13</v>
      </c>
      <c r="D6421" s="2" t="s">
        <v>12</v>
      </c>
      <c r="E6421" s="2"/>
      <c r="F6421" s="2" t="str">
        <f>HYPERLINK("http://www.12365auto.com/zlts/20200218/447582.shtml","http://www.12365auto.com/zlts/20200218/447582.shtml")</f>
        <v>http://www.12365auto.com/zlts/20200218/447582.shtml</v>
      </c>
      <c r="G6421" s="2"/>
      <c r="H6421" s="2" t="s">
        <v>8852</v>
      </c>
      <c r="I6421" s="2" t="s">
        <v>15</v>
      </c>
      <c r="J6421" s="2" t="s">
        <v>12</v>
      </c>
      <c r="K6421" s="2" t="s">
        <v>8851</v>
      </c>
      <c r="L6421" s="2">
        <f t="shared" si="100"/>
        <v>87</v>
      </c>
    </row>
    <row r="6422" spans="1:12" ht="25" customHeight="1">
      <c r="A6422" s="2" t="s">
        <v>12</v>
      </c>
      <c r="B6422" s="2" t="str">
        <f>HYPERLINK("http://bbs.12365auto.com/postcontent.aspx?tId=194310","两月新车，发动机部件生锈")</f>
        <v>两月新车，发动机部件生锈</v>
      </c>
      <c r="C6422" s="2" t="s">
        <v>13</v>
      </c>
      <c r="D6422" s="2" t="s">
        <v>12</v>
      </c>
      <c r="E6422" s="2" t="s">
        <v>66</v>
      </c>
      <c r="F6422" s="2" t="str">
        <f>HYPERLINK("http://bbs.12365auto.com/postcontent.aspx?tId=194310","http://bbs.12365auto.com/postcontent.aspx?tId=194310")</f>
        <v>http://bbs.12365auto.com/postcontent.aspx?tId=194310</v>
      </c>
      <c r="G6422" s="2"/>
      <c r="H6422" s="2" t="s">
        <v>8853</v>
      </c>
      <c r="I6422" s="2" t="s">
        <v>15</v>
      </c>
      <c r="J6422" s="2" t="s">
        <v>8854</v>
      </c>
      <c r="K6422" s="2" t="s">
        <v>8855</v>
      </c>
      <c r="L6422" s="2">
        <f t="shared" si="100"/>
        <v>20</v>
      </c>
    </row>
    <row r="6423" spans="1:12" ht="25" customHeight="1">
      <c r="A6423" s="2" t="s">
        <v>12</v>
      </c>
      <c r="B6423" s="2" t="str">
        <f>HYPERLINK("http://m.12365auto.com/bbs/postcontent.aspx?tID=194310","两月新车，发动机部件生锈")</f>
        <v>两月新车，发动机部件生锈</v>
      </c>
      <c r="C6423" s="2" t="s">
        <v>13</v>
      </c>
      <c r="D6423" s="2" t="s">
        <v>23</v>
      </c>
      <c r="E6423" s="2"/>
      <c r="F6423" s="2" t="str">
        <f>HYPERLINK("http://m.12365auto.com/bbs/postcontent.aspx?tID=194310","http://m.12365auto.com/bbs/postcontent.aspx?tID=194310")</f>
        <v>http://m.12365auto.com/bbs/postcontent.aspx?tID=194310</v>
      </c>
      <c r="G6423" s="2"/>
      <c r="H6423" s="2" t="s">
        <v>8853</v>
      </c>
      <c r="I6423" s="2" t="s">
        <v>15</v>
      </c>
      <c r="J6423" s="2" t="s">
        <v>8854</v>
      </c>
      <c r="K6423" s="2" t="s">
        <v>8855</v>
      </c>
      <c r="L6423" s="2">
        <f t="shared" si="100"/>
        <v>20</v>
      </c>
    </row>
    <row r="6424" spans="1:12" ht="25" customHeight="1">
      <c r="A6424" s="2" t="s">
        <v>12</v>
      </c>
      <c r="B6424" s="2" t="str">
        <f>HYPERLINK("http://bbs.12365auto.com/postcontent.aspx?tID=194310","两月新车，发动机部件生锈")</f>
        <v>两月新车，发动机部件生锈</v>
      </c>
      <c r="C6424" s="2" t="s">
        <v>13</v>
      </c>
      <c r="D6424" s="2" t="s">
        <v>12</v>
      </c>
      <c r="E6424" s="2" t="s">
        <v>67</v>
      </c>
      <c r="F6424" s="2" t="str">
        <f>HYPERLINK("http://bbs.12365auto.com/postcontent.aspx?tID=194310","http://bbs.12365auto.com/postcontent.aspx?tID=194310")</f>
        <v>http://bbs.12365auto.com/postcontent.aspx?tID=194310</v>
      </c>
      <c r="G6424" s="2"/>
      <c r="H6424" s="2" t="s">
        <v>8856</v>
      </c>
      <c r="I6424" s="2" t="s">
        <v>15</v>
      </c>
      <c r="J6424" s="2" t="s">
        <v>8854</v>
      </c>
      <c r="K6424" s="2" t="s">
        <v>8855</v>
      </c>
      <c r="L6424" s="2">
        <f t="shared" si="100"/>
        <v>32</v>
      </c>
    </row>
    <row r="6425" spans="1:12" ht="25" customHeight="1">
      <c r="A6425" s="2" t="s">
        <v>12</v>
      </c>
      <c r="B6425" s="2" t="str">
        <f>HYPERLINK("http://www.12365auto.com/zlts/20200218/447580.shtml","因车全包价格，税钱让我先给，我已经交税了")</f>
        <v>因车全包价格，税钱让我先给，我已经交税了</v>
      </c>
      <c r="C6425" s="2" t="s">
        <v>13</v>
      </c>
      <c r="D6425" s="2" t="s">
        <v>12</v>
      </c>
      <c r="E6425" s="2"/>
      <c r="F6425" s="2" t="str">
        <f>HYPERLINK("http://www.12365auto.com/zlts/20200218/447580.shtml","http://www.12365auto.com/zlts/20200218/447580.shtml")</f>
        <v>http://www.12365auto.com/zlts/20200218/447580.shtml</v>
      </c>
      <c r="G6425" s="2"/>
      <c r="H6425" s="2" t="s">
        <v>8858</v>
      </c>
      <c r="I6425" s="2" t="s">
        <v>15</v>
      </c>
      <c r="J6425" s="2" t="s">
        <v>12</v>
      </c>
      <c r="K6425" s="2" t="s">
        <v>8857</v>
      </c>
      <c r="L6425" s="2">
        <f t="shared" si="100"/>
        <v>93</v>
      </c>
    </row>
    <row r="6426" spans="1:12" ht="25" customHeight="1">
      <c r="A6426" s="2" t="s">
        <v>12</v>
      </c>
      <c r="B6426" s="2" t="str">
        <f>HYPERLINK("http://www.12365auto.com/zlts/20200217/447579.shtml","变速箱电磁阀故障，无法提速")</f>
        <v>变速箱电磁阀故障，无法提速</v>
      </c>
      <c r="C6426" s="2" t="s">
        <v>13</v>
      </c>
      <c r="D6426" s="2" t="s">
        <v>12</v>
      </c>
      <c r="E6426" s="2"/>
      <c r="F6426" s="2" t="str">
        <f>HYPERLINK("http://www.12365auto.com/zlts/20200217/447579.shtml","http://www.12365auto.com/zlts/20200217/447579.shtml")</f>
        <v>http://www.12365auto.com/zlts/20200217/447579.shtml</v>
      </c>
      <c r="G6426" s="2"/>
      <c r="H6426" s="2" t="s">
        <v>8860</v>
      </c>
      <c r="I6426" s="2" t="s">
        <v>15</v>
      </c>
      <c r="J6426" s="2" t="s">
        <v>12</v>
      </c>
      <c r="K6426" s="2" t="s">
        <v>8859</v>
      </c>
      <c r="L6426" s="2">
        <f t="shared" si="100"/>
        <v>81</v>
      </c>
    </row>
    <row r="6427" spans="1:12" ht="25" customHeight="1">
      <c r="A6427" s="2" t="s">
        <v>12</v>
      </c>
      <c r="B6427" s="2" t="str">
        <f>HYPERLINK("http://www.12365auto.com/zlts/20200217/447577.shtml","奇瑞艾瑞泽GX电子辅助系统失效 手刹解除不了")</f>
        <v>奇瑞艾瑞泽GX电子辅助系统失效 手刹解除不了</v>
      </c>
      <c r="C6427" s="2" t="s">
        <v>13</v>
      </c>
      <c r="D6427" s="2" t="s">
        <v>12</v>
      </c>
      <c r="E6427" s="2" t="s">
        <v>17</v>
      </c>
      <c r="F6427" s="2" t="str">
        <f>HYPERLINK("http://www.12365auto.com/zlts/20200217/447577.shtml","http://www.12365auto.com/zlts/20200217/447577.shtml")</f>
        <v>http://www.12365auto.com/zlts/20200217/447577.shtml</v>
      </c>
      <c r="G6427" s="2"/>
      <c r="H6427" s="2" t="s">
        <v>8861</v>
      </c>
      <c r="I6427" s="2" t="s">
        <v>19</v>
      </c>
      <c r="J6427" s="2" t="s">
        <v>12</v>
      </c>
      <c r="K6427" s="2" t="s">
        <v>8862</v>
      </c>
      <c r="L6427" s="2">
        <f t="shared" si="100"/>
        <v>150</v>
      </c>
    </row>
    <row r="6428" spans="1:12" ht="25" customHeight="1">
      <c r="A6428" s="2" t="s">
        <v>12</v>
      </c>
      <c r="B6428" s="2" t="str">
        <f>HYPERLINK("http://www.12365auto.com/zlts/20200217/447575.shtml","方向跑偏")</f>
        <v>方向跑偏</v>
      </c>
      <c r="C6428" s="2" t="s">
        <v>13</v>
      </c>
      <c r="D6428" s="2" t="s">
        <v>12</v>
      </c>
      <c r="E6428" s="2"/>
      <c r="F6428" s="2" t="str">
        <f>HYPERLINK("http://www.12365auto.com/zlts/20200217/447575.shtml","http://www.12365auto.com/zlts/20200217/447575.shtml")</f>
        <v>http://www.12365auto.com/zlts/20200217/447575.shtml</v>
      </c>
      <c r="G6428" s="2"/>
      <c r="H6428" s="2" t="s">
        <v>8864</v>
      </c>
      <c r="I6428" s="2" t="s">
        <v>15</v>
      </c>
      <c r="J6428" s="2" t="s">
        <v>12</v>
      </c>
      <c r="K6428" s="2" t="s">
        <v>8863</v>
      </c>
      <c r="L6428" s="2">
        <f t="shared" si="100"/>
        <v>83</v>
      </c>
    </row>
    <row r="6429" spans="1:12" ht="25" customHeight="1">
      <c r="A6429" s="2" t="s">
        <v>12</v>
      </c>
      <c r="B6429" s="2" t="str">
        <f>HYPERLINK("http://www.12365auto.com/zlts/20200217/447572.shtml","2020款奔驰E300L新车严重异响，左前轮刹车尖叫声")</f>
        <v>2020款奔驰E300L新车严重异响，左前轮刹车尖叫声</v>
      </c>
      <c r="C6429" s="2" t="s">
        <v>13</v>
      </c>
      <c r="D6429" s="2" t="s">
        <v>12</v>
      </c>
      <c r="E6429" s="2"/>
      <c r="F6429" s="2" t="str">
        <f>HYPERLINK("http://www.12365auto.com/zlts/20200217/447572.shtml","http://www.12365auto.com/zlts/20200217/447572.shtml")</f>
        <v>http://www.12365auto.com/zlts/20200217/447572.shtml</v>
      </c>
      <c r="G6429" s="2"/>
      <c r="H6429" s="2" t="s">
        <v>8866</v>
      </c>
      <c r="I6429" s="2" t="s">
        <v>15</v>
      </c>
      <c r="J6429" s="2" t="s">
        <v>12</v>
      </c>
      <c r="K6429" s="2" t="s">
        <v>8865</v>
      </c>
      <c r="L6429" s="2">
        <f t="shared" si="100"/>
        <v>82</v>
      </c>
    </row>
    <row r="6430" spans="1:12" ht="25" customHeight="1">
      <c r="A6430" s="2" t="s">
        <v>12</v>
      </c>
      <c r="B6430" s="2" t="str">
        <f>HYPERLINK("http://www.12365auto.com/zlts/20200217/447570.shtml","中控台下臭味严重，地盘异响，一档起步发动机抖动！")</f>
        <v>中控台下臭味严重，地盘异响，一档起步发动机抖动！</v>
      </c>
      <c r="C6430" s="2" t="s">
        <v>13</v>
      </c>
      <c r="D6430" s="2" t="s">
        <v>12</v>
      </c>
      <c r="E6430" s="2"/>
      <c r="F6430" s="2" t="str">
        <f>HYPERLINK("http://www.12365auto.com/zlts/20200217/447570.shtml","http://www.12365auto.com/zlts/20200217/447570.shtml")</f>
        <v>http://www.12365auto.com/zlts/20200217/447570.shtml</v>
      </c>
      <c r="G6430" s="2"/>
      <c r="H6430" s="2" t="s">
        <v>8868</v>
      </c>
      <c r="I6430" s="2" t="s">
        <v>15</v>
      </c>
      <c r="J6430" s="2" t="s">
        <v>12</v>
      </c>
      <c r="K6430" s="2" t="s">
        <v>8867</v>
      </c>
      <c r="L6430" s="2">
        <f t="shared" si="100"/>
        <v>81</v>
      </c>
    </row>
    <row r="6431" spans="1:12" ht="25" customHeight="1">
      <c r="A6431" s="2" t="s">
        <v>12</v>
      </c>
      <c r="B6431" s="2" t="str">
        <f>HYPERLINK("http://www.12365auto.com/zlts/20200217/447568.shtml","众泰SR7车身以及底盘异响过减速带噪音大")</f>
        <v>众泰SR7车身以及底盘异响过减速带噪音大</v>
      </c>
      <c r="C6431" s="2" t="s">
        <v>13</v>
      </c>
      <c r="D6431" s="2" t="s">
        <v>12</v>
      </c>
      <c r="E6431" s="2" t="s">
        <v>17</v>
      </c>
      <c r="F6431" s="2" t="str">
        <f>HYPERLINK("http://www.12365auto.com/zlts/20200217/447568.shtml","http://www.12365auto.com/zlts/20200217/447568.shtml")</f>
        <v>http://www.12365auto.com/zlts/20200217/447568.shtml</v>
      </c>
      <c r="G6431" s="2"/>
      <c r="H6431" s="2" t="s">
        <v>8869</v>
      </c>
      <c r="I6431" s="2" t="s">
        <v>19</v>
      </c>
      <c r="J6431" s="2" t="s">
        <v>12</v>
      </c>
      <c r="K6431" s="2" t="s">
        <v>8870</v>
      </c>
      <c r="L6431" s="2">
        <f t="shared" si="100"/>
        <v>150</v>
      </c>
    </row>
    <row r="6432" spans="1:12" ht="25" customHeight="1">
      <c r="A6432" s="2" t="s">
        <v>12</v>
      </c>
      <c r="B6432" s="2" t="str">
        <f>HYPERLINK("http://www.12365auto.com/zlts/20200217/447565.shtml","广汽丰田雷凌双擎E+新车发动机故障")</f>
        <v>广汽丰田雷凌双擎E+新车发动机故障</v>
      </c>
      <c r="C6432" s="2" t="s">
        <v>13</v>
      </c>
      <c r="D6432" s="2" t="s">
        <v>12</v>
      </c>
      <c r="E6432" s="2" t="s">
        <v>17</v>
      </c>
      <c r="F6432" s="2" t="str">
        <f>HYPERLINK("http://www.12365auto.com/zlts/20200217/447565.shtml","http://www.12365auto.com/zlts/20200217/447565.shtml")</f>
        <v>http://www.12365auto.com/zlts/20200217/447565.shtml</v>
      </c>
      <c r="G6432" s="2"/>
      <c r="H6432" s="2" t="s">
        <v>8871</v>
      </c>
      <c r="I6432" s="2" t="s">
        <v>19</v>
      </c>
      <c r="J6432" s="2" t="s">
        <v>12</v>
      </c>
      <c r="K6432" s="2" t="s">
        <v>8872</v>
      </c>
      <c r="L6432" s="2">
        <f t="shared" si="100"/>
        <v>150</v>
      </c>
    </row>
    <row r="6433" spans="1:12" ht="25" customHeight="1">
      <c r="A6433" s="2" t="s">
        <v>12</v>
      </c>
      <c r="B6433" s="2" t="str">
        <f>HYPERLINK("http://www.12365auto.com/zlts/20200217/447566.shtml","漏电或电瓶问题")</f>
        <v>漏电或电瓶问题</v>
      </c>
      <c r="C6433" s="2" t="s">
        <v>13</v>
      </c>
      <c r="D6433" s="2" t="s">
        <v>12</v>
      </c>
      <c r="E6433" s="2"/>
      <c r="F6433" s="2" t="str">
        <f>HYPERLINK("http://www.12365auto.com/zlts/20200217/447566.shtml","http://www.12365auto.com/zlts/20200217/447566.shtml")</f>
        <v>http://www.12365auto.com/zlts/20200217/447566.shtml</v>
      </c>
      <c r="G6433" s="2"/>
      <c r="H6433" s="2" t="s">
        <v>8874</v>
      </c>
      <c r="I6433" s="2" t="s">
        <v>15</v>
      </c>
      <c r="J6433" s="2" t="s">
        <v>12</v>
      </c>
      <c r="K6433" s="2" t="s">
        <v>8873</v>
      </c>
      <c r="L6433" s="2">
        <f t="shared" si="100"/>
        <v>92</v>
      </c>
    </row>
    <row r="6434" spans="1:12" ht="25" customHeight="1">
      <c r="A6434" s="2" t="s">
        <v>12</v>
      </c>
      <c r="B6434" s="2" t="str">
        <f>HYPERLINK("http://www.12365auto.com/zlts/20200217/447562.shtml","斯柯达柯珞克4S店销售库存车涉嫌欺诈")</f>
        <v>斯柯达柯珞克4S店销售库存车涉嫌欺诈</v>
      </c>
      <c r="C6434" s="2" t="s">
        <v>13</v>
      </c>
      <c r="D6434" s="2" t="s">
        <v>12</v>
      </c>
      <c r="E6434" s="2" t="s">
        <v>17</v>
      </c>
      <c r="F6434" s="2" t="str">
        <f>HYPERLINK("http://www.12365auto.com/zlts/20200217/447562.shtml","http://www.12365auto.com/zlts/20200217/447562.shtml")</f>
        <v>http://www.12365auto.com/zlts/20200217/447562.shtml</v>
      </c>
      <c r="G6434" s="2"/>
      <c r="H6434" s="2" t="s">
        <v>8875</v>
      </c>
      <c r="I6434" s="2" t="s">
        <v>19</v>
      </c>
      <c r="J6434" s="2" t="s">
        <v>12</v>
      </c>
      <c r="K6434" s="2" t="s">
        <v>8876</v>
      </c>
      <c r="L6434" s="2">
        <f t="shared" si="100"/>
        <v>150</v>
      </c>
    </row>
    <row r="6435" spans="1:12" ht="25" customHeight="1">
      <c r="A6435" s="2" t="s">
        <v>12</v>
      </c>
      <c r="B6435" s="2" t="str">
        <f>HYPERLINK("http://www.12365auto.com/zlts/20200217/447558.shtml","别克英朗排杆挡按钮脱落要去尽快解决")</f>
        <v>别克英朗排杆挡按钮脱落要去尽快解决</v>
      </c>
      <c r="C6435" s="2" t="s">
        <v>13</v>
      </c>
      <c r="D6435" s="2" t="s">
        <v>12</v>
      </c>
      <c r="E6435" s="2"/>
      <c r="F6435" s="2" t="str">
        <f>HYPERLINK("http://www.12365auto.com/zlts/20200217/447558.shtml","http://www.12365auto.com/zlts/20200217/447558.shtml")</f>
        <v>http://www.12365auto.com/zlts/20200217/447558.shtml</v>
      </c>
      <c r="G6435" s="2"/>
      <c r="H6435" s="2" t="s">
        <v>8878</v>
      </c>
      <c r="I6435" s="2" t="s">
        <v>15</v>
      </c>
      <c r="J6435" s="2" t="s">
        <v>12</v>
      </c>
      <c r="K6435" s="2" t="s">
        <v>8877</v>
      </c>
      <c r="L6435" s="2">
        <f t="shared" si="100"/>
        <v>84</v>
      </c>
    </row>
    <row r="6436" spans="1:12" ht="25" customHeight="1">
      <c r="A6436" s="2" t="s">
        <v>12</v>
      </c>
      <c r="B6436" s="2" t="str">
        <f>HYPERLINK("http://www.12365auto.com/zlts/20200217/447561.shtml","一汽大众迈腾变速箱故障行驶过程中顿挫")</f>
        <v>一汽大众迈腾变速箱故障行驶过程中顿挫</v>
      </c>
      <c r="C6436" s="2" t="s">
        <v>13</v>
      </c>
      <c r="D6436" s="2" t="s">
        <v>12</v>
      </c>
      <c r="E6436" s="2" t="s">
        <v>17</v>
      </c>
      <c r="F6436" s="2" t="str">
        <f>HYPERLINK("http://www.12365auto.com/zlts/20200217/447561.shtml","http://www.12365auto.com/zlts/20200217/447561.shtml")</f>
        <v>http://www.12365auto.com/zlts/20200217/447561.shtml</v>
      </c>
      <c r="G6436" s="2"/>
      <c r="H6436" s="2" t="s">
        <v>8879</v>
      </c>
      <c r="I6436" s="2" t="s">
        <v>19</v>
      </c>
      <c r="J6436" s="2" t="s">
        <v>12</v>
      </c>
      <c r="K6436" s="2" t="s">
        <v>8880</v>
      </c>
      <c r="L6436" s="2">
        <f t="shared" si="100"/>
        <v>150</v>
      </c>
    </row>
    <row r="6437" spans="1:12" ht="25" customHeight="1">
      <c r="A6437" s="2" t="s">
        <v>12</v>
      </c>
      <c r="B6437" s="2" t="str">
        <f>HYPERLINK("http://www.12365auto.com/zlts/20200217/447555.shtml","汽车仪表盘进灰")</f>
        <v>汽车仪表盘进灰</v>
      </c>
      <c r="C6437" s="2" t="s">
        <v>13</v>
      </c>
      <c r="D6437" s="2" t="s">
        <v>12</v>
      </c>
      <c r="E6437" s="2"/>
      <c r="F6437" s="2" t="str">
        <f>HYPERLINK("http://www.12365auto.com/zlts/20200217/447555.shtml","http://www.12365auto.com/zlts/20200217/447555.shtml")</f>
        <v>http://www.12365auto.com/zlts/20200217/447555.shtml</v>
      </c>
      <c r="G6437" s="2"/>
      <c r="H6437" s="2" t="s">
        <v>8882</v>
      </c>
      <c r="I6437" s="2" t="s">
        <v>15</v>
      </c>
      <c r="J6437" s="2" t="s">
        <v>12</v>
      </c>
      <c r="K6437" s="2" t="s">
        <v>8881</v>
      </c>
      <c r="L6437" s="2">
        <f t="shared" si="100"/>
        <v>88</v>
      </c>
    </row>
    <row r="6438" spans="1:12" ht="25" customHeight="1">
      <c r="A6438" s="2" t="s">
        <v>12</v>
      </c>
      <c r="B6438" s="2" t="str">
        <f>HYPERLINK("http://www.12365auto.com/zlts/20200217/447557.shtml","车停放车库十天左右全车没电")</f>
        <v>车停放车库十天左右全车没电</v>
      </c>
      <c r="C6438" s="2" t="s">
        <v>13</v>
      </c>
      <c r="D6438" s="2" t="s">
        <v>12</v>
      </c>
      <c r="E6438" s="2"/>
      <c r="F6438" s="2" t="str">
        <f>HYPERLINK("http://www.12365auto.com/zlts/20200217/447557.shtml","http://www.12365auto.com/zlts/20200217/447557.shtml")</f>
        <v>http://www.12365auto.com/zlts/20200217/447557.shtml</v>
      </c>
      <c r="G6438" s="2"/>
      <c r="H6438" s="2" t="s">
        <v>17688</v>
      </c>
      <c r="I6438" s="2" t="s">
        <v>15</v>
      </c>
      <c r="J6438" s="2" t="s">
        <v>12</v>
      </c>
      <c r="K6438" s="2" t="s">
        <v>8883</v>
      </c>
      <c r="L6438" s="2">
        <f t="shared" si="100"/>
        <v>79</v>
      </c>
    </row>
    <row r="6439" spans="1:12" ht="25" customHeight="1">
      <c r="A6439" s="2" t="s">
        <v>12</v>
      </c>
      <c r="B6439" s="2" t="str">
        <f>HYPERLINK("http://www.12365auto.com/zlts/20200217/447556.shtml","60码以下车子行驶共振，方向盘抖动明显，难以忍受！")</f>
        <v>60码以下车子行驶共振，方向盘抖动明显，难以忍受！</v>
      </c>
      <c r="C6439" s="2" t="s">
        <v>13</v>
      </c>
      <c r="D6439" s="2" t="s">
        <v>12</v>
      </c>
      <c r="E6439" s="2"/>
      <c r="F6439" s="2" t="str">
        <f>HYPERLINK("http://www.12365auto.com/zlts/20200217/447556.shtml","http://www.12365auto.com/zlts/20200217/447556.shtml")</f>
        <v>http://www.12365auto.com/zlts/20200217/447556.shtml</v>
      </c>
      <c r="G6439" s="2"/>
      <c r="H6439" s="2" t="s">
        <v>17689</v>
      </c>
      <c r="I6439" s="2" t="s">
        <v>15</v>
      </c>
      <c r="J6439" s="2" t="s">
        <v>12</v>
      </c>
      <c r="K6439" s="2" t="s">
        <v>8884</v>
      </c>
      <c r="L6439" s="2">
        <f t="shared" si="100"/>
        <v>86</v>
      </c>
    </row>
    <row r="6440" spans="1:12" ht="25" customHeight="1">
      <c r="A6440" s="2" t="s">
        <v>12</v>
      </c>
      <c r="B6440" s="2" t="str">
        <f>HYPERLINK("http://www.12365auto.com/zlts/20200217/447553.shtml","一汽大众高尔夫变速箱挂挡不走 故障灯亮")</f>
        <v>一汽大众高尔夫变速箱挂挡不走 故障灯亮</v>
      </c>
      <c r="C6440" s="2" t="s">
        <v>13</v>
      </c>
      <c r="D6440" s="2" t="s">
        <v>12</v>
      </c>
      <c r="E6440" s="2" t="s">
        <v>17</v>
      </c>
      <c r="F6440" s="2" t="str">
        <f>HYPERLINK("http://www.12365auto.com/zlts/20200217/447553.shtml","http://www.12365auto.com/zlts/20200217/447553.shtml")</f>
        <v>http://www.12365auto.com/zlts/20200217/447553.shtml</v>
      </c>
      <c r="G6440" s="2"/>
      <c r="H6440" s="2" t="s">
        <v>8885</v>
      </c>
      <c r="I6440" s="2" t="s">
        <v>19</v>
      </c>
      <c r="J6440" s="2" t="s">
        <v>12</v>
      </c>
      <c r="K6440" s="2" t="s">
        <v>8886</v>
      </c>
      <c r="L6440" s="2">
        <f t="shared" si="100"/>
        <v>150</v>
      </c>
    </row>
    <row r="6441" spans="1:12" ht="25" customHeight="1">
      <c r="A6441" s="2" t="s">
        <v>12</v>
      </c>
      <c r="B6441" s="2" t="str">
        <f>HYPERLINK("http://www.12365auto.com/zlts/20200217/447551.shtml","斯柯达速派发动机故障灯亮 烧机油严重")</f>
        <v>斯柯达速派发动机故障灯亮 烧机油严重</v>
      </c>
      <c r="C6441" s="2" t="s">
        <v>13</v>
      </c>
      <c r="D6441" s="2" t="s">
        <v>12</v>
      </c>
      <c r="E6441" s="2" t="s">
        <v>17</v>
      </c>
      <c r="F6441" s="2" t="str">
        <f>HYPERLINK("http://www.12365auto.com/zlts/20200217/447551.shtml","http://www.12365auto.com/zlts/20200217/447551.shtml")</f>
        <v>http://www.12365auto.com/zlts/20200217/447551.shtml</v>
      </c>
      <c r="G6441" s="2"/>
      <c r="H6441" s="2" t="s">
        <v>8887</v>
      </c>
      <c r="I6441" s="2" t="s">
        <v>19</v>
      </c>
      <c r="J6441" s="2" t="s">
        <v>12</v>
      </c>
      <c r="K6441" s="2" t="s">
        <v>8888</v>
      </c>
      <c r="L6441" s="2">
        <f t="shared" si="100"/>
        <v>150</v>
      </c>
    </row>
    <row r="6442" spans="1:12" ht="25" customHeight="1">
      <c r="A6442" s="2" t="s">
        <v>12</v>
      </c>
      <c r="B6442" s="2" t="str">
        <f>HYPERLINK("http://www.12365auto.com/zlts/20200217/447549.shtml","一汽丰田RAV4荣放邓禄普轮胎起皮")</f>
        <v>一汽丰田RAV4荣放邓禄普轮胎起皮</v>
      </c>
      <c r="C6442" s="2" t="s">
        <v>13</v>
      </c>
      <c r="D6442" s="2" t="s">
        <v>12</v>
      </c>
      <c r="E6442" s="2" t="s">
        <v>17</v>
      </c>
      <c r="F6442" s="2" t="str">
        <f>HYPERLINK("http://www.12365auto.com/zlts/20200217/447549.shtml","http://www.12365auto.com/zlts/20200217/447549.shtml")</f>
        <v>http://www.12365auto.com/zlts/20200217/447549.shtml</v>
      </c>
      <c r="G6442" s="2"/>
      <c r="H6442" s="2" t="s">
        <v>8889</v>
      </c>
      <c r="I6442" s="2" t="s">
        <v>19</v>
      </c>
      <c r="J6442" s="2" t="s">
        <v>12</v>
      </c>
      <c r="K6442" s="2" t="s">
        <v>8890</v>
      </c>
      <c r="L6442" s="2">
        <f t="shared" si="100"/>
        <v>150</v>
      </c>
    </row>
    <row r="6443" spans="1:12" ht="25" customHeight="1">
      <c r="A6443" s="2" t="s">
        <v>12</v>
      </c>
      <c r="B6443" s="2" t="str">
        <f>HYPERLINK("http://www.12365auto.com/zlts/20200217/447547.shtml","广汽丰田凯美瑞仪表台破损老化影响视线")</f>
        <v>广汽丰田凯美瑞仪表台破损老化影响视线</v>
      </c>
      <c r="C6443" s="2" t="s">
        <v>13</v>
      </c>
      <c r="D6443" s="2" t="s">
        <v>12</v>
      </c>
      <c r="E6443" s="2" t="s">
        <v>17</v>
      </c>
      <c r="F6443" s="2" t="str">
        <f>HYPERLINK("http://www.12365auto.com/zlts/20200217/447547.shtml","http://www.12365auto.com/zlts/20200217/447547.shtml")</f>
        <v>http://www.12365auto.com/zlts/20200217/447547.shtml</v>
      </c>
      <c r="G6443" s="2"/>
      <c r="H6443" s="2" t="s">
        <v>8891</v>
      </c>
      <c r="I6443" s="2" t="s">
        <v>19</v>
      </c>
      <c r="J6443" s="2" t="s">
        <v>12</v>
      </c>
      <c r="K6443" s="2" t="s">
        <v>8892</v>
      </c>
      <c r="L6443" s="2">
        <f t="shared" si="100"/>
        <v>150</v>
      </c>
    </row>
    <row r="6444" spans="1:12" ht="25" customHeight="1">
      <c r="A6444" s="2" t="s">
        <v>12</v>
      </c>
      <c r="B6444" s="2" t="str">
        <f>HYPERLINK("http://m.12365auto.com/zjdy/20200217/121344.shtml","长安CS55前悬挂异响应该如何处理？")</f>
        <v>长安CS55前悬挂异响应该如何处理？</v>
      </c>
      <c r="C6444" s="2" t="s">
        <v>13</v>
      </c>
      <c r="D6444" s="2" t="s">
        <v>12</v>
      </c>
      <c r="E6444" s="2"/>
      <c r="F6444" s="2" t="str">
        <f>HYPERLINK("http://m.12365auto.com/zjdy/20200217/121344.shtml","http://m.12365auto.com/zjdy/20200217/121344.shtml")</f>
        <v>http://m.12365auto.com/zjdy/20200217/121344.shtml</v>
      </c>
      <c r="G6444" s="2"/>
      <c r="H6444" s="2" t="s">
        <v>8893</v>
      </c>
      <c r="I6444" s="2" t="s">
        <v>19</v>
      </c>
      <c r="J6444" s="2" t="s">
        <v>12</v>
      </c>
      <c r="K6444" s="2" t="s">
        <v>8894</v>
      </c>
      <c r="L6444" s="2">
        <f t="shared" si="100"/>
        <v>54</v>
      </c>
    </row>
    <row r="6445" spans="1:12" ht="25" customHeight="1">
      <c r="A6445" s="2" t="s">
        <v>12</v>
      </c>
      <c r="B6445" s="2" t="str">
        <f>HYPERLINK("http://www.12365auto.com/zlts/20200217/447542.shtml","东风悦达起亚KX CROSS行驶中异响抖动")</f>
        <v>东风悦达起亚KX CROSS行驶中异响抖动</v>
      </c>
      <c r="C6445" s="2" t="s">
        <v>13</v>
      </c>
      <c r="D6445" s="2" t="s">
        <v>12</v>
      </c>
      <c r="E6445" s="2" t="s">
        <v>17</v>
      </c>
      <c r="F6445" s="2" t="str">
        <f>HYPERLINK("http://www.12365auto.com/zlts/20200217/447542.shtml","http://www.12365auto.com/zlts/20200217/447542.shtml")</f>
        <v>http://www.12365auto.com/zlts/20200217/447542.shtml</v>
      </c>
      <c r="G6445" s="2"/>
      <c r="H6445" s="2" t="s">
        <v>8895</v>
      </c>
      <c r="I6445" s="2" t="s">
        <v>19</v>
      </c>
      <c r="J6445" s="2" t="s">
        <v>12</v>
      </c>
      <c r="K6445" s="2" t="s">
        <v>8896</v>
      </c>
      <c r="L6445" s="2">
        <f t="shared" si="100"/>
        <v>150</v>
      </c>
    </row>
    <row r="6446" spans="1:12" ht="25" customHeight="1">
      <c r="A6446" s="2" t="s">
        <v>12</v>
      </c>
      <c r="B6446" s="2" t="str">
        <f>HYPERLINK("http://www.12365auto.com/zlts/20200217/447541.shtml","奇瑞瑞虎8水箱泄漏防冻液存在质量问题")</f>
        <v>奇瑞瑞虎8水箱泄漏防冻液存在质量问题</v>
      </c>
      <c r="C6446" s="2" t="s">
        <v>13</v>
      </c>
      <c r="D6446" s="2" t="s">
        <v>12</v>
      </c>
      <c r="E6446" s="2" t="s">
        <v>17</v>
      </c>
      <c r="F6446" s="2" t="str">
        <f>HYPERLINK("http://www.12365auto.com/zlts/20200217/447541.shtml","http://www.12365auto.com/zlts/20200217/447541.shtml")</f>
        <v>http://www.12365auto.com/zlts/20200217/447541.shtml</v>
      </c>
      <c r="G6446" s="2"/>
      <c r="H6446" s="2" t="s">
        <v>8897</v>
      </c>
      <c r="I6446" s="2" t="s">
        <v>15</v>
      </c>
      <c r="J6446" s="2" t="s">
        <v>12</v>
      </c>
      <c r="K6446" s="2" t="s">
        <v>8896</v>
      </c>
      <c r="L6446" s="2">
        <f t="shared" si="100"/>
        <v>150</v>
      </c>
    </row>
    <row r="6447" spans="1:12" ht="25" customHeight="1">
      <c r="A6447" s="2" t="s">
        <v>12</v>
      </c>
      <c r="B6447" s="2" t="str">
        <f>HYPERLINK("http://www.12365auto.com/zlts/20200217/447540.shtml","一汽大众探岳上坡辅助功能疑似减配")</f>
        <v>一汽大众探岳上坡辅助功能疑似减配</v>
      </c>
      <c r="C6447" s="2" t="s">
        <v>13</v>
      </c>
      <c r="D6447" s="2" t="s">
        <v>12</v>
      </c>
      <c r="E6447" s="2" t="s">
        <v>17</v>
      </c>
      <c r="F6447" s="2" t="str">
        <f>HYPERLINK("http://www.12365auto.com/zlts/20200217/447540.shtml","http://www.12365auto.com/zlts/20200217/447540.shtml")</f>
        <v>http://www.12365auto.com/zlts/20200217/447540.shtml</v>
      </c>
      <c r="G6447" s="2"/>
      <c r="H6447" s="2" t="s">
        <v>8898</v>
      </c>
      <c r="I6447" s="2" t="s">
        <v>15</v>
      </c>
      <c r="J6447" s="2" t="s">
        <v>12</v>
      </c>
      <c r="K6447" s="2" t="s">
        <v>8899</v>
      </c>
      <c r="L6447" s="2">
        <f t="shared" si="100"/>
        <v>150</v>
      </c>
    </row>
    <row r="6448" spans="1:12" ht="25" customHeight="1">
      <c r="A6448" s="2" t="s">
        <v>12</v>
      </c>
      <c r="B6448" s="2" t="str">
        <f>HYPERLINK("http://www.12365auto.com/zlts/20200217/447539.shtml","长安CS15发动机漏油 存在质量问题")</f>
        <v>长安CS15发动机漏油 存在质量问题</v>
      </c>
      <c r="C6448" s="2" t="s">
        <v>13</v>
      </c>
      <c r="D6448" s="2" t="s">
        <v>12</v>
      </c>
      <c r="E6448" s="2" t="s">
        <v>17</v>
      </c>
      <c r="F6448" s="2" t="str">
        <f>HYPERLINK("http://www.12365auto.com/zlts/20200217/447539.shtml","http://www.12365auto.com/zlts/20200217/447539.shtml")</f>
        <v>http://www.12365auto.com/zlts/20200217/447539.shtml</v>
      </c>
      <c r="G6448" s="2"/>
      <c r="H6448" s="2" t="s">
        <v>8900</v>
      </c>
      <c r="I6448" s="2" t="s">
        <v>19</v>
      </c>
      <c r="J6448" s="2" t="s">
        <v>12</v>
      </c>
      <c r="K6448" s="2" t="s">
        <v>8901</v>
      </c>
      <c r="L6448" s="2">
        <f t="shared" si="100"/>
        <v>150</v>
      </c>
    </row>
    <row r="6449" spans="1:12" ht="25" customHeight="1">
      <c r="A6449" s="2" t="s">
        <v>12</v>
      </c>
      <c r="B6449" s="2" t="str">
        <f>HYPERLINK("http://www.12365auto.com/zlts/20200217/447537.shtml","一汽大众CC车辆事故后4S店维修技术差")</f>
        <v>一汽大众CC车辆事故后4S店维修技术差</v>
      </c>
      <c r="C6449" s="2" t="s">
        <v>13</v>
      </c>
      <c r="D6449" s="2" t="s">
        <v>12</v>
      </c>
      <c r="E6449" s="2" t="s">
        <v>17</v>
      </c>
      <c r="F6449" s="2" t="str">
        <f>HYPERLINK("http://www.12365auto.com/zlts/20200217/447537.shtml","http://www.12365auto.com/zlts/20200217/447537.shtml")</f>
        <v>http://www.12365auto.com/zlts/20200217/447537.shtml</v>
      </c>
      <c r="G6449" s="2"/>
      <c r="H6449" s="2" t="s">
        <v>8902</v>
      </c>
      <c r="I6449" s="2" t="s">
        <v>15</v>
      </c>
      <c r="J6449" s="2" t="s">
        <v>12</v>
      </c>
      <c r="K6449" s="2" t="s">
        <v>8903</v>
      </c>
      <c r="L6449" s="2">
        <f t="shared" si="100"/>
        <v>150</v>
      </c>
    </row>
    <row r="6450" spans="1:12" ht="25" customHeight="1">
      <c r="A6450" s="2" t="s">
        <v>12</v>
      </c>
      <c r="B6450" s="2" t="str">
        <f>HYPERLINK("http://www.12365auto.com/zlts/20200217/447535.shtml","猎豹CS10挂挡后无任何动力输出影响使用")</f>
        <v>猎豹CS10挂挡后无任何动力输出影响使用</v>
      </c>
      <c r="C6450" s="2" t="s">
        <v>13</v>
      </c>
      <c r="D6450" s="2" t="s">
        <v>12</v>
      </c>
      <c r="E6450" s="2" t="s">
        <v>17</v>
      </c>
      <c r="F6450" s="2" t="str">
        <f>HYPERLINK("http://www.12365auto.com/zlts/20200217/447535.shtml","http://www.12365auto.com/zlts/20200217/447535.shtml")</f>
        <v>http://www.12365auto.com/zlts/20200217/447535.shtml</v>
      </c>
      <c r="G6450" s="2"/>
      <c r="H6450" s="2" t="s">
        <v>8904</v>
      </c>
      <c r="I6450" s="2" t="s">
        <v>15</v>
      </c>
      <c r="J6450" s="2" t="s">
        <v>12</v>
      </c>
      <c r="K6450" s="2" t="s">
        <v>8905</v>
      </c>
      <c r="L6450" s="2">
        <f t="shared" si="100"/>
        <v>150</v>
      </c>
    </row>
    <row r="6451" spans="1:12" ht="25" customHeight="1">
      <c r="A6451" s="2" t="s">
        <v>12</v>
      </c>
      <c r="B6451" s="2" t="str">
        <f>HYPERLINK("http://m.12365auto.com/zjdy/20200217/121343.shtml","凯美瑞后排安全带不报警是否影响使用？")</f>
        <v>凯美瑞后排安全带不报警是否影响使用？</v>
      </c>
      <c r="C6451" s="2" t="s">
        <v>13</v>
      </c>
      <c r="D6451" s="2" t="s">
        <v>12</v>
      </c>
      <c r="E6451" s="2"/>
      <c r="F6451" s="2" t="str">
        <f>HYPERLINK("http://m.12365auto.com/zjdy/20200217/121343.shtml","http://m.12365auto.com/zjdy/20200217/121343.shtml")</f>
        <v>http://m.12365auto.com/zjdy/20200217/121343.shtml</v>
      </c>
      <c r="G6451" s="2"/>
      <c r="H6451" s="2" t="s">
        <v>8906</v>
      </c>
      <c r="I6451" s="2" t="s">
        <v>19</v>
      </c>
      <c r="J6451" s="2" t="s">
        <v>12</v>
      </c>
      <c r="K6451" s="2" t="s">
        <v>8907</v>
      </c>
      <c r="L6451" s="2">
        <f t="shared" si="100"/>
        <v>150</v>
      </c>
    </row>
    <row r="6452" spans="1:12" ht="25" customHeight="1">
      <c r="A6452" s="2" t="s">
        <v>12</v>
      </c>
      <c r="B6452" s="2" t="str">
        <f>HYPERLINK("http://www.12365auto.com/zlts/20200217/447532.shtml","斯柯达柯迪亚克方向盘抖动 挡把按钮无法复位")</f>
        <v>斯柯达柯迪亚克方向盘抖动 挡把按钮无法复位</v>
      </c>
      <c r="C6452" s="2" t="s">
        <v>13</v>
      </c>
      <c r="D6452" s="2" t="s">
        <v>12</v>
      </c>
      <c r="E6452" s="2" t="s">
        <v>17</v>
      </c>
      <c r="F6452" s="2" t="str">
        <f>HYPERLINK("http://www.12365auto.com/zlts/20200217/447532.shtml","http://www.12365auto.com/zlts/20200217/447532.shtml")</f>
        <v>http://www.12365auto.com/zlts/20200217/447532.shtml</v>
      </c>
      <c r="G6452" s="2"/>
      <c r="H6452" s="2" t="s">
        <v>8908</v>
      </c>
      <c r="I6452" s="2" t="s">
        <v>15</v>
      </c>
      <c r="J6452" s="2" t="s">
        <v>12</v>
      </c>
      <c r="K6452" s="2" t="s">
        <v>8909</v>
      </c>
      <c r="L6452" s="2">
        <f t="shared" si="100"/>
        <v>150</v>
      </c>
    </row>
    <row r="6453" spans="1:12" ht="25" customHeight="1">
      <c r="A6453" s="2" t="s">
        <v>12</v>
      </c>
      <c r="B6453" s="2" t="str">
        <f>HYPERLINK("http://m.12365auto.com/news/20200217/418784.shtml","第十六届北京国际汽车展览会将延期举行")</f>
        <v>第十六届北京国际汽车展览会将延期举行</v>
      </c>
      <c r="C6453" s="2" t="s">
        <v>13</v>
      </c>
      <c r="D6453" s="2" t="s">
        <v>12</v>
      </c>
      <c r="E6453" s="2"/>
      <c r="F6453" s="2" t="str">
        <f>HYPERLINK("http://m.12365auto.com/news/20200217/418784.shtml","http://m.12365auto.com/news/20200217/418784.shtml")</f>
        <v>http://m.12365auto.com/news/20200217/418784.shtml</v>
      </c>
      <c r="G6453" s="2"/>
      <c r="H6453" s="2" t="s">
        <v>8910</v>
      </c>
      <c r="I6453" s="2" t="s">
        <v>19</v>
      </c>
      <c r="J6453" s="2" t="s">
        <v>12</v>
      </c>
      <c r="K6453" s="2" t="s">
        <v>8911</v>
      </c>
      <c r="L6453" s="2">
        <f t="shared" si="100"/>
        <v>150</v>
      </c>
    </row>
    <row r="6454" spans="1:12" ht="25" customHeight="1">
      <c r="A6454" s="2" t="s">
        <v>12</v>
      </c>
      <c r="B6454" s="2" t="str">
        <f>HYPERLINK("http://www.12365auto.com/news/20200217/418784.shtml","第十六届北京国际汽车展览会将延期举行")</f>
        <v>第十六届北京国际汽车展览会将延期举行</v>
      </c>
      <c r="C6454" s="2" t="s">
        <v>13</v>
      </c>
      <c r="D6454" s="2" t="s">
        <v>12</v>
      </c>
      <c r="E6454" s="2" t="s">
        <v>282</v>
      </c>
      <c r="F6454" s="2" t="str">
        <f>HYPERLINK("http://www.12365auto.com/news/20200217/418784.shtml","http://www.12365auto.com/news/20200217/418784.shtml")</f>
        <v>http://www.12365auto.com/news/20200217/418784.shtml</v>
      </c>
      <c r="G6454" s="2"/>
      <c r="H6454" s="2" t="s">
        <v>8912</v>
      </c>
      <c r="I6454" s="2" t="s">
        <v>19</v>
      </c>
      <c r="J6454" s="2" t="s">
        <v>12</v>
      </c>
      <c r="K6454" s="2" t="s">
        <v>8911</v>
      </c>
      <c r="L6454" s="2">
        <f t="shared" si="100"/>
        <v>150</v>
      </c>
    </row>
    <row r="6455" spans="1:12" ht="25" customHeight="1">
      <c r="A6455" s="2" t="s">
        <v>12</v>
      </c>
      <c r="B6455" s="2" t="str">
        <f>HYPERLINK("http://www.12365auto.com/zlts/20200217/447531.shtml","东风本田CR-V发动机机油乳化严重")</f>
        <v>东风本田CR-V发动机机油乳化严重</v>
      </c>
      <c r="C6455" s="2" t="s">
        <v>13</v>
      </c>
      <c r="D6455" s="2" t="s">
        <v>12</v>
      </c>
      <c r="E6455" s="2" t="s">
        <v>17</v>
      </c>
      <c r="F6455" s="2" t="str">
        <f>HYPERLINK("http://www.12365auto.com/zlts/20200217/447531.shtml","http://www.12365auto.com/zlts/20200217/447531.shtml")</f>
        <v>http://www.12365auto.com/zlts/20200217/447531.shtml</v>
      </c>
      <c r="G6455" s="2"/>
      <c r="H6455" s="2" t="s">
        <v>8913</v>
      </c>
      <c r="I6455" s="2" t="s">
        <v>19</v>
      </c>
      <c r="J6455" s="2" t="s">
        <v>12</v>
      </c>
      <c r="K6455" s="2" t="s">
        <v>8914</v>
      </c>
      <c r="L6455" s="2">
        <f t="shared" si="100"/>
        <v>150</v>
      </c>
    </row>
    <row r="6456" spans="1:12" ht="25" customHeight="1">
      <c r="A6456" s="2" t="s">
        <v>12</v>
      </c>
      <c r="B6456" s="2" t="str">
        <f>HYPERLINK("http://www.12365auto.com/zlts/20200217/447530.shtml","吉利缤瑞投诉后问题不解决 一直拖延")</f>
        <v>吉利缤瑞投诉后问题不解决 一直拖延</v>
      </c>
      <c r="C6456" s="2" t="s">
        <v>13</v>
      </c>
      <c r="D6456" s="2" t="s">
        <v>12</v>
      </c>
      <c r="E6456" s="2" t="s">
        <v>17</v>
      </c>
      <c r="F6456" s="2" t="str">
        <f>HYPERLINK("http://www.12365auto.com/zlts/20200217/447530.shtml","http://www.12365auto.com/zlts/20200217/447530.shtml")</f>
        <v>http://www.12365auto.com/zlts/20200217/447530.shtml</v>
      </c>
      <c r="G6456" s="2"/>
      <c r="H6456" s="2" t="s">
        <v>8915</v>
      </c>
      <c r="I6456" s="2" t="s">
        <v>15</v>
      </c>
      <c r="J6456" s="2" t="s">
        <v>12</v>
      </c>
      <c r="K6456" s="2" t="s">
        <v>8916</v>
      </c>
      <c r="L6456" s="2">
        <f t="shared" si="100"/>
        <v>150</v>
      </c>
    </row>
    <row r="6457" spans="1:12" ht="25" customHeight="1">
      <c r="A6457" s="2" t="s">
        <v>12</v>
      </c>
      <c r="B6457" s="2" t="str">
        <f>HYPERLINK("http://m.12365auto.com/zjdy/20200217/121342.shtml","起亚智跑与KX3傲跑哪款更值得购买？")</f>
        <v>起亚智跑与KX3傲跑哪款更值得购买？</v>
      </c>
      <c r="C6457" s="2" t="s">
        <v>13</v>
      </c>
      <c r="D6457" s="2" t="s">
        <v>12</v>
      </c>
      <c r="E6457" s="2"/>
      <c r="F6457" s="2" t="str">
        <f>HYPERLINK("http://m.12365auto.com/zjdy/20200217/121342.shtml","http://m.12365auto.com/zjdy/20200217/121342.shtml")</f>
        <v>http://m.12365auto.com/zjdy/20200217/121342.shtml</v>
      </c>
      <c r="G6457" s="2"/>
      <c r="H6457" s="2" t="s">
        <v>8917</v>
      </c>
      <c r="I6457" s="2" t="s">
        <v>19</v>
      </c>
      <c r="J6457" s="2" t="s">
        <v>12</v>
      </c>
      <c r="K6457" s="2" t="s">
        <v>8918</v>
      </c>
      <c r="L6457" s="2">
        <f t="shared" si="100"/>
        <v>85</v>
      </c>
    </row>
    <row r="6458" spans="1:12" ht="25" customHeight="1">
      <c r="A6458" s="2" t="s">
        <v>12</v>
      </c>
      <c r="B6458" s="2" t="str">
        <f>HYPERLINK("http://m.12365auto.com/zjdy/20200217/121341.shtml","捷途X70内置行车记录仪视频没声音怎么办？")</f>
        <v>捷途X70内置行车记录仪视频没声音怎么办？</v>
      </c>
      <c r="C6458" s="2" t="s">
        <v>13</v>
      </c>
      <c r="D6458" s="2" t="s">
        <v>12</v>
      </c>
      <c r="E6458" s="2"/>
      <c r="F6458" s="2" t="str">
        <f>HYPERLINK("http://m.12365auto.com/zjdy/20200217/121341.shtml","http://m.12365auto.com/zjdy/20200217/121341.shtml")</f>
        <v>http://m.12365auto.com/zjdy/20200217/121341.shtml</v>
      </c>
      <c r="G6458" s="2"/>
      <c r="H6458" s="2" t="s">
        <v>8919</v>
      </c>
      <c r="I6458" s="2" t="s">
        <v>19</v>
      </c>
      <c r="J6458" s="2" t="s">
        <v>12</v>
      </c>
      <c r="K6458" s="2" t="s">
        <v>8920</v>
      </c>
      <c r="L6458" s="2">
        <f t="shared" si="100"/>
        <v>48</v>
      </c>
    </row>
    <row r="6459" spans="1:12" ht="25" customHeight="1">
      <c r="A6459" s="2" t="s">
        <v>12</v>
      </c>
      <c r="B6459" s="2" t="str">
        <f>HYPERLINK("http://www.12365auto.com/zlts/20200217/447524.shtml","东风本田CR-V发动机机油增多 加速无力")</f>
        <v>东风本田CR-V发动机机油增多 加速无力</v>
      </c>
      <c r="C6459" s="2" t="s">
        <v>13</v>
      </c>
      <c r="D6459" s="2" t="s">
        <v>12</v>
      </c>
      <c r="E6459" s="2" t="s">
        <v>17</v>
      </c>
      <c r="F6459" s="2" t="str">
        <f>HYPERLINK("http://www.12365auto.com/zlts/20200217/447524.shtml","http://www.12365auto.com/zlts/20200217/447524.shtml")</f>
        <v>http://www.12365auto.com/zlts/20200217/447524.shtml</v>
      </c>
      <c r="G6459" s="2"/>
      <c r="H6459" s="2" t="s">
        <v>8921</v>
      </c>
      <c r="I6459" s="2" t="s">
        <v>19</v>
      </c>
      <c r="J6459" s="2" t="s">
        <v>12</v>
      </c>
      <c r="K6459" s="2" t="s">
        <v>8922</v>
      </c>
      <c r="L6459" s="2">
        <f t="shared" si="100"/>
        <v>150</v>
      </c>
    </row>
    <row r="6460" spans="1:12" ht="25" customHeight="1">
      <c r="A6460" s="2" t="s">
        <v>12</v>
      </c>
      <c r="B6460" s="2" t="str">
        <f>HYPERLINK("http://www.12365auto.com/zlts/20200217/447522.shtml","长安CS55前悬挂系统异响售后未解决问题")</f>
        <v>长安CS55前悬挂系统异响售后未解决问题</v>
      </c>
      <c r="C6460" s="2" t="s">
        <v>13</v>
      </c>
      <c r="D6460" s="2" t="s">
        <v>12</v>
      </c>
      <c r="E6460" s="2" t="s">
        <v>17</v>
      </c>
      <c r="F6460" s="2" t="str">
        <f>HYPERLINK("http://www.12365auto.com/zlts/20200217/447522.shtml","http://www.12365auto.com/zlts/20200217/447522.shtml")</f>
        <v>http://www.12365auto.com/zlts/20200217/447522.shtml</v>
      </c>
      <c r="G6460" s="2"/>
      <c r="H6460" s="2" t="s">
        <v>8923</v>
      </c>
      <c r="I6460" s="2" t="s">
        <v>19</v>
      </c>
      <c r="J6460" s="2" t="s">
        <v>12</v>
      </c>
      <c r="K6460" s="2" t="s">
        <v>8924</v>
      </c>
      <c r="L6460" s="2">
        <f t="shared" si="100"/>
        <v>150</v>
      </c>
    </row>
    <row r="6461" spans="1:12" ht="25" customHeight="1">
      <c r="A6461" s="2" t="s">
        <v>12</v>
      </c>
      <c r="B6461" s="2" t="str">
        <f>HYPERLINK("http://www.12365auto.com/zlts/20200217/447520.shtml","哈弗M6经销商疑似出售问题车希望厂家处理")</f>
        <v>哈弗M6经销商疑似出售问题车希望厂家处理</v>
      </c>
      <c r="C6461" s="2" t="s">
        <v>13</v>
      </c>
      <c r="D6461" s="2" t="s">
        <v>12</v>
      </c>
      <c r="E6461" s="2" t="s">
        <v>17</v>
      </c>
      <c r="F6461" s="2" t="str">
        <f>HYPERLINK("http://www.12365auto.com/zlts/20200217/447520.shtml","http://www.12365auto.com/zlts/20200217/447520.shtml")</f>
        <v>http://www.12365auto.com/zlts/20200217/447520.shtml</v>
      </c>
      <c r="G6461" s="2"/>
      <c r="H6461" s="2" t="s">
        <v>8925</v>
      </c>
      <c r="I6461" s="2" t="s">
        <v>19</v>
      </c>
      <c r="J6461" s="2" t="s">
        <v>12</v>
      </c>
      <c r="K6461" s="2" t="s">
        <v>8926</v>
      </c>
      <c r="L6461" s="2">
        <f t="shared" si="100"/>
        <v>150</v>
      </c>
    </row>
    <row r="6462" spans="1:12" ht="25" customHeight="1">
      <c r="A6462" s="2" t="s">
        <v>12</v>
      </c>
      <c r="B6462" s="2" t="str">
        <f>HYPERLINK("http://m.12365auto.com/zjdy/20200217/121340.shtml","17款指南者车内异味严重是什么原因？")</f>
        <v>17款指南者车内异味严重是什么原因？</v>
      </c>
      <c r="C6462" s="2" t="s">
        <v>13</v>
      </c>
      <c r="D6462" s="2" t="s">
        <v>12</v>
      </c>
      <c r="E6462" s="2"/>
      <c r="F6462" s="2" t="str">
        <f>HYPERLINK("http://m.12365auto.com/zjdy/20200217/121340.shtml","http://m.12365auto.com/zjdy/20200217/121340.shtml")</f>
        <v>http://m.12365auto.com/zjdy/20200217/121340.shtml</v>
      </c>
      <c r="G6462" s="2"/>
      <c r="H6462" s="2" t="s">
        <v>8927</v>
      </c>
      <c r="I6462" s="2" t="s">
        <v>19</v>
      </c>
      <c r="J6462" s="2" t="s">
        <v>12</v>
      </c>
      <c r="K6462" s="2" t="s">
        <v>8928</v>
      </c>
      <c r="L6462" s="2">
        <f t="shared" si="100"/>
        <v>37</v>
      </c>
    </row>
    <row r="6463" spans="1:12" ht="25" customHeight="1">
      <c r="A6463" s="2" t="s">
        <v>12</v>
      </c>
      <c r="B6463" s="2" t="str">
        <f>HYPERLINK("http://m.12365auto.com/zjdy/20200217/121339.shtml","长安逸动和吉利帝豪哪款车值得入手？")</f>
        <v>长安逸动和吉利帝豪哪款车值得入手？</v>
      </c>
      <c r="C6463" s="2" t="s">
        <v>13</v>
      </c>
      <c r="D6463" s="2" t="s">
        <v>12</v>
      </c>
      <c r="E6463" s="2"/>
      <c r="F6463" s="2" t="str">
        <f>HYPERLINK("http://m.12365auto.com/zjdy/20200217/121339.shtml","http://m.12365auto.com/zjdy/20200217/121339.shtml")</f>
        <v>http://m.12365auto.com/zjdy/20200217/121339.shtml</v>
      </c>
      <c r="G6463" s="2"/>
      <c r="H6463" s="2" t="s">
        <v>8929</v>
      </c>
      <c r="I6463" s="2" t="s">
        <v>19</v>
      </c>
      <c r="J6463" s="2" t="s">
        <v>12</v>
      </c>
      <c r="K6463" s="2" t="s">
        <v>8930</v>
      </c>
      <c r="L6463" s="2">
        <f t="shared" si="100"/>
        <v>46</v>
      </c>
    </row>
    <row r="6464" spans="1:12" ht="25" customHeight="1">
      <c r="A6464" s="2" t="s">
        <v>12</v>
      </c>
      <c r="B6464" s="2" t="str">
        <f>HYPERLINK("http://www.12365auto.com/zlts/20200217/447518.shtml","郑州日产途达电瓶漏电导致无法着车")</f>
        <v>郑州日产途达电瓶漏电导致无法着车</v>
      </c>
      <c r="C6464" s="2" t="s">
        <v>13</v>
      </c>
      <c r="D6464" s="2" t="s">
        <v>12</v>
      </c>
      <c r="E6464" s="2" t="s">
        <v>17</v>
      </c>
      <c r="F6464" s="2" t="str">
        <f>HYPERLINK("http://www.12365auto.com/zlts/20200217/447518.shtml","http://www.12365auto.com/zlts/20200217/447518.shtml")</f>
        <v>http://www.12365auto.com/zlts/20200217/447518.shtml</v>
      </c>
      <c r="G6464" s="2"/>
      <c r="H6464" s="2" t="s">
        <v>8931</v>
      </c>
      <c r="I6464" s="2" t="s">
        <v>19</v>
      </c>
      <c r="J6464" s="2" t="s">
        <v>12</v>
      </c>
      <c r="K6464" s="2" t="s">
        <v>8932</v>
      </c>
      <c r="L6464" s="2">
        <f t="shared" si="100"/>
        <v>150</v>
      </c>
    </row>
    <row r="6465" spans="1:12" ht="25" customHeight="1">
      <c r="A6465" s="2" t="s">
        <v>12</v>
      </c>
      <c r="B6465" s="2" t="str">
        <f>HYPERLINK("http://m.12365auto.com/zjdy/20200217/121338.shtml","大众朗逸中控台有异响是什么原因？")</f>
        <v>大众朗逸中控台有异响是什么原因？</v>
      </c>
      <c r="C6465" s="2" t="s">
        <v>13</v>
      </c>
      <c r="D6465" s="2" t="s">
        <v>12</v>
      </c>
      <c r="E6465" s="2"/>
      <c r="F6465" s="2" t="str">
        <f>HYPERLINK("http://m.12365auto.com/zjdy/20200217/121338.shtml","http://m.12365auto.com/zjdy/20200217/121338.shtml")</f>
        <v>http://m.12365auto.com/zjdy/20200217/121338.shtml</v>
      </c>
      <c r="G6465" s="2"/>
      <c r="H6465" s="2" t="s">
        <v>8933</v>
      </c>
      <c r="I6465" s="2" t="s">
        <v>19</v>
      </c>
      <c r="J6465" s="2" t="s">
        <v>12</v>
      </c>
      <c r="K6465" s="2" t="s">
        <v>8934</v>
      </c>
      <c r="L6465" s="2">
        <f t="shared" si="100"/>
        <v>109</v>
      </c>
    </row>
    <row r="6466" spans="1:12" ht="25" customHeight="1">
      <c r="A6466" s="2" t="s">
        <v>12</v>
      </c>
      <c r="B6466" s="2" t="str">
        <f>HYPERLINK("http://bbs.12365auto.com/postcontent.aspx?tId=194304","电池进步到底有多难？还有哪些突破空间？")</f>
        <v>电池进步到底有多难？还有哪些突破空间？</v>
      </c>
      <c r="C6466" s="2" t="s">
        <v>13</v>
      </c>
      <c r="D6466" s="2" t="s">
        <v>12</v>
      </c>
      <c r="E6466" s="2" t="s">
        <v>210</v>
      </c>
      <c r="F6466" s="2" t="str">
        <f>HYPERLINK("http://bbs.12365auto.com/postcontent.aspx?tId=194304","http://bbs.12365auto.com/postcontent.aspx?tId=194304")</f>
        <v>http://bbs.12365auto.com/postcontent.aspx?tId=194304</v>
      </c>
      <c r="G6466" s="2"/>
      <c r="H6466" s="2" t="s">
        <v>8935</v>
      </c>
      <c r="I6466" s="2" t="s">
        <v>15</v>
      </c>
      <c r="J6466" s="2" t="s">
        <v>7198</v>
      </c>
      <c r="K6466" s="2" t="s">
        <v>8936</v>
      </c>
      <c r="L6466" s="2">
        <f t="shared" si="100"/>
        <v>150</v>
      </c>
    </row>
    <row r="6467" spans="1:12" ht="25" customHeight="1">
      <c r="A6467" s="2" t="s">
        <v>12</v>
      </c>
      <c r="B6467" s="2" t="str">
        <f>HYPERLINK("http://m.12365auto.com/bbs/postcontent.aspx?tID=194304","电池进步到底有多难？还有哪些突破空间？")</f>
        <v>电池进步到底有多难？还有哪些突破空间？</v>
      </c>
      <c r="C6467" s="2" t="s">
        <v>13</v>
      </c>
      <c r="D6467" s="2" t="s">
        <v>23</v>
      </c>
      <c r="E6467" s="2"/>
      <c r="F6467" s="2" t="str">
        <f>HYPERLINK("http://m.12365auto.com/bbs/postcontent.aspx?tID=194304","http://m.12365auto.com/bbs/postcontent.aspx?tID=194304")</f>
        <v>http://m.12365auto.com/bbs/postcontent.aspx?tID=194304</v>
      </c>
      <c r="G6467" s="2"/>
      <c r="H6467" s="2" t="s">
        <v>8935</v>
      </c>
      <c r="I6467" s="2" t="s">
        <v>15</v>
      </c>
      <c r="J6467" s="2" t="s">
        <v>7198</v>
      </c>
      <c r="K6467" s="2" t="s">
        <v>8936</v>
      </c>
      <c r="L6467" s="2">
        <f t="shared" ref="L6467:L6530" si="101">LEN(H6467)</f>
        <v>150</v>
      </c>
    </row>
    <row r="6468" spans="1:12" ht="25" customHeight="1">
      <c r="A6468" s="2" t="s">
        <v>12</v>
      </c>
      <c r="B6468" s="2" t="str">
        <f>HYPERLINK("http://bbs.12365auto.com/postcontent.aspx?tID=194304","电池进步到底有多难？还有哪些突破空间？")</f>
        <v>电池进步到底有多难？还有哪些突破空间？</v>
      </c>
      <c r="C6468" s="2" t="s">
        <v>13</v>
      </c>
      <c r="D6468" s="2" t="s">
        <v>12</v>
      </c>
      <c r="E6468" s="2" t="s">
        <v>214</v>
      </c>
      <c r="F6468" s="2" t="str">
        <f>HYPERLINK("http://bbs.12365auto.com/postcontent.aspx?tID=194304","http://bbs.12365auto.com/postcontent.aspx?tID=194304")</f>
        <v>http://bbs.12365auto.com/postcontent.aspx?tID=194304</v>
      </c>
      <c r="G6468" s="2"/>
      <c r="H6468" s="2" t="s">
        <v>8937</v>
      </c>
      <c r="I6468" s="2" t="s">
        <v>15</v>
      </c>
      <c r="J6468" s="2" t="s">
        <v>7198</v>
      </c>
      <c r="K6468" s="2" t="s">
        <v>8936</v>
      </c>
      <c r="L6468" s="2">
        <f t="shared" si="101"/>
        <v>150</v>
      </c>
    </row>
    <row r="6469" spans="1:12" ht="25" customHeight="1">
      <c r="A6469" s="2" t="s">
        <v>12</v>
      </c>
      <c r="B6469" s="2" t="str">
        <f>HYPERLINK("http://bbs.12365auto.com/postcontent.aspx?tId=194303","车辆保养小套路 早知道早预防")</f>
        <v>车辆保养小套路 早知道早预防</v>
      </c>
      <c r="C6469" s="2" t="s">
        <v>13</v>
      </c>
      <c r="D6469" s="2" t="s">
        <v>12</v>
      </c>
      <c r="E6469" s="2" t="s">
        <v>210</v>
      </c>
      <c r="F6469" s="2" t="str">
        <f>HYPERLINK("http://bbs.12365auto.com/postcontent.aspx?tId=194303","http://bbs.12365auto.com/postcontent.aspx?tId=194303")</f>
        <v>http://bbs.12365auto.com/postcontent.aspx?tId=194303</v>
      </c>
      <c r="G6469" s="2"/>
      <c r="H6469" s="2" t="s">
        <v>8938</v>
      </c>
      <c r="I6469" s="2" t="s">
        <v>15</v>
      </c>
      <c r="J6469" s="2" t="s">
        <v>1446</v>
      </c>
      <c r="K6469" s="2" t="s">
        <v>8939</v>
      </c>
      <c r="L6469" s="2">
        <f t="shared" si="101"/>
        <v>150</v>
      </c>
    </row>
    <row r="6470" spans="1:12" ht="25" customHeight="1">
      <c r="A6470" s="2" t="s">
        <v>12</v>
      </c>
      <c r="B6470" s="2" t="str">
        <f>HYPERLINK("http://bbs.12365auto.com/postcontent.aspx?tId=194302","加油要不要佐料，看看燃油宝红黑史吧")</f>
        <v>加油要不要佐料，看看燃油宝红黑史吧</v>
      </c>
      <c r="C6470" s="2" t="s">
        <v>13</v>
      </c>
      <c r="D6470" s="2" t="s">
        <v>12</v>
      </c>
      <c r="E6470" s="2" t="s">
        <v>27</v>
      </c>
      <c r="F6470" s="2" t="str">
        <f>HYPERLINK("http://bbs.12365auto.com/postcontent.aspx?tId=194302","http://bbs.12365auto.com/postcontent.aspx?tId=194302")</f>
        <v>http://bbs.12365auto.com/postcontent.aspx?tId=194302</v>
      </c>
      <c r="G6470" s="2"/>
      <c r="H6470" s="2" t="s">
        <v>8940</v>
      </c>
      <c r="I6470" s="2" t="s">
        <v>15</v>
      </c>
      <c r="J6470" s="2" t="s">
        <v>7198</v>
      </c>
      <c r="K6470" s="2" t="s">
        <v>8939</v>
      </c>
      <c r="L6470" s="2">
        <f t="shared" si="101"/>
        <v>150</v>
      </c>
    </row>
    <row r="6471" spans="1:12" ht="25" customHeight="1">
      <c r="A6471" s="2" t="s">
        <v>12</v>
      </c>
      <c r="B6471" s="2" t="str">
        <f>HYPERLINK("http://m.12365auto.com/bbs/postcontent.aspx?tID=194302","加油要不要佐料 看看燃油宝红黑史吧")</f>
        <v>加油要不要佐料 看看燃油宝红黑史吧</v>
      </c>
      <c r="C6471" s="2" t="s">
        <v>13</v>
      </c>
      <c r="D6471" s="2" t="s">
        <v>23</v>
      </c>
      <c r="E6471" s="2"/>
      <c r="F6471" s="2" t="str">
        <f>HYPERLINK("http://m.12365auto.com/bbs/postcontent.aspx?tID=194302","http://m.12365auto.com/bbs/postcontent.aspx?tID=194302")</f>
        <v>http://m.12365auto.com/bbs/postcontent.aspx?tID=194302</v>
      </c>
      <c r="G6471" s="2"/>
      <c r="H6471" s="2" t="s">
        <v>8940</v>
      </c>
      <c r="I6471" s="2" t="s">
        <v>15</v>
      </c>
      <c r="J6471" s="2" t="s">
        <v>7198</v>
      </c>
      <c r="K6471" s="2" t="s">
        <v>8939</v>
      </c>
      <c r="L6471" s="2">
        <f t="shared" si="101"/>
        <v>150</v>
      </c>
    </row>
    <row r="6472" spans="1:12" ht="25" customHeight="1">
      <c r="A6472" s="2" t="s">
        <v>12</v>
      </c>
      <c r="B6472" s="2" t="str">
        <f>HYPERLINK("http://m.12365auto.com/bbs/postcontent.aspx?tID=194303","车辆保养小套路 早知道早预防")</f>
        <v>车辆保养小套路 早知道早预防</v>
      </c>
      <c r="C6472" s="2" t="s">
        <v>13</v>
      </c>
      <c r="D6472" s="2" t="s">
        <v>23</v>
      </c>
      <c r="E6472" s="2"/>
      <c r="F6472" s="2" t="str">
        <f>HYPERLINK("http://m.12365auto.com/bbs/postcontent.aspx?tID=194303","http://m.12365auto.com/bbs/postcontent.aspx?tID=194303")</f>
        <v>http://m.12365auto.com/bbs/postcontent.aspx?tID=194303</v>
      </c>
      <c r="G6472" s="2"/>
      <c r="H6472" s="2" t="s">
        <v>8938</v>
      </c>
      <c r="I6472" s="2" t="s">
        <v>15</v>
      </c>
      <c r="J6472" s="2" t="s">
        <v>1446</v>
      </c>
      <c r="K6472" s="2" t="s">
        <v>8939</v>
      </c>
      <c r="L6472" s="2">
        <f t="shared" si="101"/>
        <v>150</v>
      </c>
    </row>
    <row r="6473" spans="1:12" ht="25" customHeight="1">
      <c r="A6473" s="2" t="s">
        <v>12</v>
      </c>
      <c r="B6473" s="2" t="str">
        <f>HYPERLINK("http://bbs.12365auto.com/postcontent.aspx?tID=194303","车辆保养小套路 早知道早预防")</f>
        <v>车辆保养小套路 早知道早预防</v>
      </c>
      <c r="C6473" s="2" t="s">
        <v>13</v>
      </c>
      <c r="D6473" s="2" t="s">
        <v>12</v>
      </c>
      <c r="E6473" s="2" t="s">
        <v>214</v>
      </c>
      <c r="F6473" s="2" t="str">
        <f>HYPERLINK("http://bbs.12365auto.com/postcontent.aspx?tID=194303","http://bbs.12365auto.com/postcontent.aspx?tID=194303")</f>
        <v>http://bbs.12365auto.com/postcontent.aspx?tID=194303</v>
      </c>
      <c r="G6473" s="2"/>
      <c r="H6473" s="2" t="s">
        <v>8941</v>
      </c>
      <c r="I6473" s="2" t="s">
        <v>15</v>
      </c>
      <c r="J6473" s="2" t="s">
        <v>1446</v>
      </c>
      <c r="K6473" s="2" t="s">
        <v>8939</v>
      </c>
      <c r="L6473" s="2">
        <f t="shared" si="101"/>
        <v>150</v>
      </c>
    </row>
    <row r="6474" spans="1:12" ht="25" customHeight="1">
      <c r="A6474" s="2" t="s">
        <v>12</v>
      </c>
      <c r="B6474" s="2" t="str">
        <f>HYPERLINK("http://bbs.12365auto.com/postcontent.aspx?tID=194302","加油要不要佐料 看看燃油宝红黑史吧")</f>
        <v>加油要不要佐料 看看燃油宝红黑史吧</v>
      </c>
      <c r="C6474" s="2" t="s">
        <v>13</v>
      </c>
      <c r="D6474" s="2" t="s">
        <v>12</v>
      </c>
      <c r="E6474" s="2" t="s">
        <v>28</v>
      </c>
      <c r="F6474" s="2" t="str">
        <f>HYPERLINK("http://bbs.12365auto.com/postcontent.aspx?tID=194302","http://bbs.12365auto.com/postcontent.aspx?tID=194302")</f>
        <v>http://bbs.12365auto.com/postcontent.aspx?tID=194302</v>
      </c>
      <c r="G6474" s="2"/>
      <c r="H6474" s="2" t="s">
        <v>8942</v>
      </c>
      <c r="I6474" s="2" t="s">
        <v>15</v>
      </c>
      <c r="J6474" s="2" t="s">
        <v>7198</v>
      </c>
      <c r="K6474" s="2" t="s">
        <v>8939</v>
      </c>
      <c r="L6474" s="2">
        <f t="shared" si="101"/>
        <v>150</v>
      </c>
    </row>
    <row r="6475" spans="1:12" ht="25" customHeight="1">
      <c r="A6475" s="2" t="s">
        <v>12</v>
      </c>
      <c r="B6475" s="2" t="str">
        <f>HYPERLINK("http://bbs.12365auto.com/postcontent.aspx?tId=194301","“9点1刻”教你如何正确操纵方向盘")</f>
        <v>“9点1刻”教你如何正确操纵方向盘</v>
      </c>
      <c r="C6475" s="2" t="s">
        <v>13</v>
      </c>
      <c r="D6475" s="2" t="s">
        <v>12</v>
      </c>
      <c r="E6475" s="2" t="s">
        <v>210</v>
      </c>
      <c r="F6475" s="2" t="str">
        <f>HYPERLINK("http://bbs.12365auto.com/postcontent.aspx?tId=194301","http://bbs.12365auto.com/postcontent.aspx?tId=194301")</f>
        <v>http://bbs.12365auto.com/postcontent.aspx?tId=194301</v>
      </c>
      <c r="G6475" s="2"/>
      <c r="H6475" s="2" t="s">
        <v>8943</v>
      </c>
      <c r="I6475" s="2" t="s">
        <v>15</v>
      </c>
      <c r="J6475" s="2" t="s">
        <v>7198</v>
      </c>
      <c r="K6475" s="2" t="s">
        <v>8944</v>
      </c>
      <c r="L6475" s="2">
        <f t="shared" si="101"/>
        <v>150</v>
      </c>
    </row>
    <row r="6476" spans="1:12" ht="25" customHeight="1">
      <c r="A6476" s="2" t="s">
        <v>12</v>
      </c>
      <c r="B6476" s="2" t="str">
        <f>HYPERLINK("http://m.12365auto.com/bbs/postcontent.aspx?tID=194301","“9点1刻”教你如何正确操纵方向盘")</f>
        <v>“9点1刻”教你如何正确操纵方向盘</v>
      </c>
      <c r="C6476" s="2" t="s">
        <v>13</v>
      </c>
      <c r="D6476" s="2" t="s">
        <v>23</v>
      </c>
      <c r="E6476" s="2"/>
      <c r="F6476" s="2" t="str">
        <f>HYPERLINK("http://m.12365auto.com/bbs/postcontent.aspx?tID=194301","http://m.12365auto.com/bbs/postcontent.aspx?tID=194301")</f>
        <v>http://m.12365auto.com/bbs/postcontent.aspx?tID=194301</v>
      </c>
      <c r="G6476" s="2"/>
      <c r="H6476" s="2" t="s">
        <v>8943</v>
      </c>
      <c r="I6476" s="2" t="s">
        <v>15</v>
      </c>
      <c r="J6476" s="2" t="s">
        <v>7198</v>
      </c>
      <c r="K6476" s="2" t="s">
        <v>8944</v>
      </c>
      <c r="L6476" s="2">
        <f t="shared" si="101"/>
        <v>150</v>
      </c>
    </row>
    <row r="6477" spans="1:12" ht="25" customHeight="1">
      <c r="A6477" s="2" t="s">
        <v>12</v>
      </c>
      <c r="B6477" s="2" t="str">
        <f>HYPERLINK("http://bbs.12365auto.com/postcontent.aspx?tID=194301","“9点1刻”教你如何正确操纵方向盘")</f>
        <v>“9点1刻”教你如何正确操纵方向盘</v>
      </c>
      <c r="C6477" s="2" t="s">
        <v>13</v>
      </c>
      <c r="D6477" s="2" t="s">
        <v>12</v>
      </c>
      <c r="E6477" s="2" t="s">
        <v>214</v>
      </c>
      <c r="F6477" s="2" t="str">
        <f>HYPERLINK("http://bbs.12365auto.com/postcontent.aspx?tID=194301","http://bbs.12365auto.com/postcontent.aspx?tID=194301")</f>
        <v>http://bbs.12365auto.com/postcontent.aspx?tID=194301</v>
      </c>
      <c r="G6477" s="2"/>
      <c r="H6477" s="2" t="s">
        <v>8945</v>
      </c>
      <c r="I6477" s="2" t="s">
        <v>15</v>
      </c>
      <c r="J6477" s="2" t="s">
        <v>7198</v>
      </c>
      <c r="K6477" s="2" t="s">
        <v>8944</v>
      </c>
      <c r="L6477" s="2">
        <f t="shared" si="101"/>
        <v>150</v>
      </c>
    </row>
    <row r="6478" spans="1:12" ht="25" customHeight="1">
      <c r="A6478" s="2" t="s">
        <v>12</v>
      </c>
      <c r="B6478" s="2" t="str">
        <f>HYPERLINK("http://bbs.12365auto.com/postcontent.aspx?tId=194300","笑出鹅叫 这些汽车创新功能 是神奇还是脑残？")</f>
        <v>笑出鹅叫 这些汽车创新功能 是神奇还是脑残？</v>
      </c>
      <c r="C6478" s="2" t="s">
        <v>13</v>
      </c>
      <c r="D6478" s="2" t="s">
        <v>12</v>
      </c>
      <c r="E6478" s="2" t="s">
        <v>27</v>
      </c>
      <c r="F6478" s="2" t="str">
        <f>HYPERLINK("http://bbs.12365auto.com/postcontent.aspx?tId=194300","http://bbs.12365auto.com/postcontent.aspx?tId=194300")</f>
        <v>http://bbs.12365auto.com/postcontent.aspx?tId=194300</v>
      </c>
      <c r="G6478" s="2"/>
      <c r="H6478" s="2" t="s">
        <v>8946</v>
      </c>
      <c r="I6478" s="2" t="s">
        <v>15</v>
      </c>
      <c r="J6478" s="2" t="s">
        <v>7198</v>
      </c>
      <c r="K6478" s="2" t="s">
        <v>8947</v>
      </c>
      <c r="L6478" s="2">
        <f t="shared" si="101"/>
        <v>150</v>
      </c>
    </row>
    <row r="6479" spans="1:12" ht="25" customHeight="1">
      <c r="A6479" s="2" t="s">
        <v>12</v>
      </c>
      <c r="B6479" s="2" t="str">
        <f>HYPERLINK("http://m.12365auto.com/bbs/postcontent.aspx?tID=194300","笑出鹅叫 这些汽车创新功能 是神奇还是脑残？")</f>
        <v>笑出鹅叫 这些汽车创新功能 是神奇还是脑残？</v>
      </c>
      <c r="C6479" s="2" t="s">
        <v>13</v>
      </c>
      <c r="D6479" s="2" t="s">
        <v>23</v>
      </c>
      <c r="E6479" s="2"/>
      <c r="F6479" s="2" t="str">
        <f>HYPERLINK("http://m.12365auto.com/bbs/postcontent.aspx?tID=194300","http://m.12365auto.com/bbs/postcontent.aspx?tID=194300")</f>
        <v>http://m.12365auto.com/bbs/postcontent.aspx?tID=194300</v>
      </c>
      <c r="G6479" s="2"/>
      <c r="H6479" s="2" t="s">
        <v>8946</v>
      </c>
      <c r="I6479" s="2" t="s">
        <v>15</v>
      </c>
      <c r="J6479" s="2" t="s">
        <v>7198</v>
      </c>
      <c r="K6479" s="2" t="s">
        <v>8947</v>
      </c>
      <c r="L6479" s="2">
        <f t="shared" si="101"/>
        <v>150</v>
      </c>
    </row>
    <row r="6480" spans="1:12" ht="25" customHeight="1">
      <c r="A6480" s="2" t="s">
        <v>12</v>
      </c>
      <c r="B6480" s="2" t="str">
        <f>HYPERLINK("http://bbs.12365auto.com/postcontent.aspx?tID=194300","笑出鹅叫 这些汽车创新功能 是神奇还是脑残？")</f>
        <v>笑出鹅叫 这些汽车创新功能 是神奇还是脑残？</v>
      </c>
      <c r="C6480" s="2" t="s">
        <v>13</v>
      </c>
      <c r="D6480" s="2" t="s">
        <v>12</v>
      </c>
      <c r="E6480" s="2" t="s">
        <v>28</v>
      </c>
      <c r="F6480" s="2" t="str">
        <f>HYPERLINK("http://bbs.12365auto.com/postcontent.aspx?tID=194300","http://bbs.12365auto.com/postcontent.aspx?tID=194300")</f>
        <v>http://bbs.12365auto.com/postcontent.aspx?tID=194300</v>
      </c>
      <c r="G6480" s="2"/>
      <c r="H6480" s="2" t="s">
        <v>8948</v>
      </c>
      <c r="I6480" s="2" t="s">
        <v>15</v>
      </c>
      <c r="J6480" s="2" t="s">
        <v>7198</v>
      </c>
      <c r="K6480" s="2" t="s">
        <v>8947</v>
      </c>
      <c r="L6480" s="2">
        <f t="shared" si="101"/>
        <v>150</v>
      </c>
    </row>
    <row r="6481" spans="1:12" ht="25" customHeight="1">
      <c r="A6481" s="2" t="s">
        <v>12</v>
      </c>
      <c r="B6481" s="2" t="str">
        <f>HYPERLINK("http://m.12365auto.com/zjdy/20200217/121336.shtml","雪佛兰探界者问题较多可以换车吗？")</f>
        <v>雪佛兰探界者问题较多可以换车吗？</v>
      </c>
      <c r="C6481" s="2" t="s">
        <v>13</v>
      </c>
      <c r="D6481" s="2" t="s">
        <v>12</v>
      </c>
      <c r="E6481" s="2"/>
      <c r="F6481" s="2" t="str">
        <f>HYPERLINK("http://m.12365auto.com/zjdy/20200217/121336.shtml","http://m.12365auto.com/zjdy/20200217/121336.shtml")</f>
        <v>http://m.12365auto.com/zjdy/20200217/121336.shtml</v>
      </c>
      <c r="G6481" s="2"/>
      <c r="H6481" s="2" t="s">
        <v>8949</v>
      </c>
      <c r="I6481" s="2" t="s">
        <v>19</v>
      </c>
      <c r="J6481" s="2" t="s">
        <v>12</v>
      </c>
      <c r="K6481" s="2" t="s">
        <v>8950</v>
      </c>
      <c r="L6481" s="2">
        <f t="shared" si="101"/>
        <v>52</v>
      </c>
    </row>
    <row r="6482" spans="1:12" ht="25" customHeight="1">
      <c r="A6482" s="2" t="s">
        <v>12</v>
      </c>
      <c r="B6482" s="2" t="str">
        <f>HYPERLINK("http://bbs.12365auto.com/postcontent.aspx?tId=194298","延伸阅读：底盘调校 究竟调的是什么？")</f>
        <v>延伸阅读：底盘调校 究竟调的是什么？</v>
      </c>
      <c r="C6482" s="2" t="s">
        <v>13</v>
      </c>
      <c r="D6482" s="2" t="s">
        <v>12</v>
      </c>
      <c r="E6482" s="2" t="s">
        <v>210</v>
      </c>
      <c r="F6482" s="2" t="str">
        <f>HYPERLINK("http://bbs.12365auto.com/postcontent.aspx?tId=194298","http://bbs.12365auto.com/postcontent.aspx?tId=194298")</f>
        <v>http://bbs.12365auto.com/postcontent.aspx?tId=194298</v>
      </c>
      <c r="G6482" s="2"/>
      <c r="H6482" s="2" t="s">
        <v>8951</v>
      </c>
      <c r="I6482" s="2" t="s">
        <v>15</v>
      </c>
      <c r="J6482" s="2" t="s">
        <v>8952</v>
      </c>
      <c r="K6482" s="2" t="s">
        <v>8953</v>
      </c>
      <c r="L6482" s="2">
        <f t="shared" si="101"/>
        <v>150</v>
      </c>
    </row>
    <row r="6483" spans="1:12" ht="25" customHeight="1">
      <c r="A6483" s="2" t="s">
        <v>12</v>
      </c>
      <c r="B6483" s="2" t="str">
        <f>HYPERLINK("http://bbs.12365auto.com/postcontent.aspx?tId=194299","精准购车 聊纯电动汽车购买需求分析")</f>
        <v>精准购车 聊纯电动汽车购买需求分析</v>
      </c>
      <c r="C6483" s="2" t="s">
        <v>13</v>
      </c>
      <c r="D6483" s="2" t="s">
        <v>12</v>
      </c>
      <c r="E6483" s="2" t="s">
        <v>210</v>
      </c>
      <c r="F6483" s="2" t="str">
        <f>HYPERLINK("http://bbs.12365auto.com/postcontent.aspx?tId=194299","http://bbs.12365auto.com/postcontent.aspx?tId=194299")</f>
        <v>http://bbs.12365auto.com/postcontent.aspx?tId=194299</v>
      </c>
      <c r="G6483" s="2"/>
      <c r="H6483" s="2" t="s">
        <v>8954</v>
      </c>
      <c r="I6483" s="2" t="s">
        <v>15</v>
      </c>
      <c r="J6483" s="2" t="s">
        <v>8952</v>
      </c>
      <c r="K6483" s="2" t="s">
        <v>8953</v>
      </c>
      <c r="L6483" s="2">
        <f t="shared" si="101"/>
        <v>150</v>
      </c>
    </row>
    <row r="6484" spans="1:12" ht="25" customHeight="1">
      <c r="A6484" s="2" t="s">
        <v>12</v>
      </c>
      <c r="B6484" s="2" t="str">
        <f>HYPERLINK("http://bbs.12365auto.com/postcontent.aspx?tID=194299","精准购车 聊纯电动汽车购买需求分析")</f>
        <v>精准购车 聊纯电动汽车购买需求分析</v>
      </c>
      <c r="C6484" s="2" t="s">
        <v>13</v>
      </c>
      <c r="D6484" s="2" t="s">
        <v>12</v>
      </c>
      <c r="E6484" s="2" t="s">
        <v>214</v>
      </c>
      <c r="F6484" s="2" t="str">
        <f>HYPERLINK("http://bbs.12365auto.com/postcontent.aspx?tID=194299","http://bbs.12365auto.com/postcontent.aspx?tID=194299")</f>
        <v>http://bbs.12365auto.com/postcontent.aspx?tID=194299</v>
      </c>
      <c r="G6484" s="2"/>
      <c r="H6484" s="2" t="s">
        <v>8955</v>
      </c>
      <c r="I6484" s="2" t="s">
        <v>15</v>
      </c>
      <c r="J6484" s="2" t="s">
        <v>8952</v>
      </c>
      <c r="K6484" s="2" t="s">
        <v>8953</v>
      </c>
      <c r="L6484" s="2">
        <f t="shared" si="101"/>
        <v>150</v>
      </c>
    </row>
    <row r="6485" spans="1:12" ht="25" customHeight="1">
      <c r="A6485" s="2" t="s">
        <v>12</v>
      </c>
      <c r="B6485" s="2" t="str">
        <f>HYPERLINK("http://m.12365auto.com/bbs/postcontent.aspx?tID=194299","精准购车 聊纯电动汽车购买需求分析")</f>
        <v>精准购车 聊纯电动汽车购买需求分析</v>
      </c>
      <c r="C6485" s="2" t="s">
        <v>13</v>
      </c>
      <c r="D6485" s="2" t="s">
        <v>23</v>
      </c>
      <c r="E6485" s="2"/>
      <c r="F6485" s="2" t="str">
        <f>HYPERLINK("http://m.12365auto.com/bbs/postcontent.aspx?tID=194299","http://m.12365auto.com/bbs/postcontent.aspx?tID=194299")</f>
        <v>http://m.12365auto.com/bbs/postcontent.aspx?tID=194299</v>
      </c>
      <c r="G6485" s="2"/>
      <c r="H6485" s="2" t="s">
        <v>8954</v>
      </c>
      <c r="I6485" s="2" t="s">
        <v>15</v>
      </c>
      <c r="J6485" s="2" t="s">
        <v>8952</v>
      </c>
      <c r="K6485" s="2" t="s">
        <v>8953</v>
      </c>
      <c r="L6485" s="2">
        <f t="shared" si="101"/>
        <v>150</v>
      </c>
    </row>
    <row r="6486" spans="1:12" ht="25" customHeight="1">
      <c r="A6486" s="2" t="s">
        <v>12</v>
      </c>
      <c r="B6486" s="2" t="str">
        <f>HYPERLINK("http://m.12365auto.com/bbs/postcontent.aspx?tID=194298","延伸阅读：底盘调校 究竟调的是什么？")</f>
        <v>延伸阅读：底盘调校 究竟调的是什么？</v>
      </c>
      <c r="C6486" s="2" t="s">
        <v>13</v>
      </c>
      <c r="D6486" s="2" t="s">
        <v>23</v>
      </c>
      <c r="E6486" s="2"/>
      <c r="F6486" s="2" t="str">
        <f>HYPERLINK("http://m.12365auto.com/bbs/postcontent.aspx?tID=194298","http://m.12365auto.com/bbs/postcontent.aspx?tID=194298")</f>
        <v>http://m.12365auto.com/bbs/postcontent.aspx?tID=194298</v>
      </c>
      <c r="G6486" s="2"/>
      <c r="H6486" s="2" t="s">
        <v>8951</v>
      </c>
      <c r="I6486" s="2" t="s">
        <v>15</v>
      </c>
      <c r="J6486" s="2" t="s">
        <v>8952</v>
      </c>
      <c r="K6486" s="2" t="s">
        <v>8953</v>
      </c>
      <c r="L6486" s="2">
        <f t="shared" si="101"/>
        <v>150</v>
      </c>
    </row>
    <row r="6487" spans="1:12" ht="25" customHeight="1">
      <c r="A6487" s="2" t="s">
        <v>12</v>
      </c>
      <c r="B6487" s="2" t="str">
        <f>HYPERLINK("http://bbs.12365auto.com/postcontent.aspx?tID=194298","延伸阅读：底盘调校 究竟调的是什么？")</f>
        <v>延伸阅读：底盘调校 究竟调的是什么？</v>
      </c>
      <c r="C6487" s="2" t="s">
        <v>13</v>
      </c>
      <c r="D6487" s="2" t="s">
        <v>12</v>
      </c>
      <c r="E6487" s="2" t="s">
        <v>214</v>
      </c>
      <c r="F6487" s="2" t="str">
        <f>HYPERLINK("http://bbs.12365auto.com/postcontent.aspx?tID=194298","http://bbs.12365auto.com/postcontent.aspx?tID=194298")</f>
        <v>http://bbs.12365auto.com/postcontent.aspx?tID=194298</v>
      </c>
      <c r="G6487" s="2"/>
      <c r="H6487" s="2" t="s">
        <v>8956</v>
      </c>
      <c r="I6487" s="2" t="s">
        <v>15</v>
      </c>
      <c r="J6487" s="2" t="s">
        <v>8952</v>
      </c>
      <c r="K6487" s="2" t="s">
        <v>8953</v>
      </c>
      <c r="L6487" s="2">
        <f t="shared" si="101"/>
        <v>150</v>
      </c>
    </row>
    <row r="6488" spans="1:12" ht="25" customHeight="1">
      <c r="A6488" s="2" t="s">
        <v>12</v>
      </c>
      <c r="B6488" s="2" t="str">
        <f>HYPERLINK("http://m.12365auto.com/topic/20200217/418783.shtml","车内挥发性有机物和醛酮类物质采样测定方法")</f>
        <v>车内挥发性有机物和醛酮类物质采样测定方法</v>
      </c>
      <c r="C6488" s="2" t="s">
        <v>13</v>
      </c>
      <c r="D6488" s="2" t="s">
        <v>12</v>
      </c>
      <c r="E6488" s="2"/>
      <c r="F6488" s="2" t="str">
        <f>HYPERLINK("http://m.12365auto.com/topic/20200217/418783.shtml","http://m.12365auto.com/topic/20200217/418783.shtml")</f>
        <v>http://m.12365auto.com/topic/20200217/418783.shtml</v>
      </c>
      <c r="G6488" s="2"/>
      <c r="H6488" s="2" t="s">
        <v>8957</v>
      </c>
      <c r="I6488" s="2" t="s">
        <v>19</v>
      </c>
      <c r="J6488" s="2" t="s">
        <v>12</v>
      </c>
      <c r="K6488" s="2" t="s">
        <v>8958</v>
      </c>
      <c r="L6488" s="2">
        <f t="shared" si="101"/>
        <v>150</v>
      </c>
    </row>
    <row r="6489" spans="1:12" ht="25" customHeight="1">
      <c r="A6489" s="2" t="s">
        <v>12</v>
      </c>
      <c r="B6489" s="2" t="str">
        <f>HYPERLINK("http://www.12365auto.com/zlts/20200217/447513.shtml","广汽丰田凯美瑞仪表台皮革出油粘手")</f>
        <v>广汽丰田凯美瑞仪表台皮革出油粘手</v>
      </c>
      <c r="C6489" s="2" t="s">
        <v>13</v>
      </c>
      <c r="D6489" s="2" t="s">
        <v>12</v>
      </c>
      <c r="E6489" s="2" t="s">
        <v>17</v>
      </c>
      <c r="F6489" s="2" t="str">
        <f>HYPERLINK("http://www.12365auto.com/zlts/20200217/447513.shtml","http://www.12365auto.com/zlts/20200217/447513.shtml")</f>
        <v>http://www.12365auto.com/zlts/20200217/447513.shtml</v>
      </c>
      <c r="G6489" s="2"/>
      <c r="H6489" s="2" t="s">
        <v>8959</v>
      </c>
      <c r="I6489" s="2" t="s">
        <v>19</v>
      </c>
      <c r="J6489" s="2" t="s">
        <v>12</v>
      </c>
      <c r="K6489" s="2" t="s">
        <v>8960</v>
      </c>
      <c r="L6489" s="2">
        <f t="shared" si="101"/>
        <v>150</v>
      </c>
    </row>
    <row r="6490" spans="1:12" ht="25" customHeight="1">
      <c r="A6490" s="2" t="s">
        <v>12</v>
      </c>
      <c r="B6490" s="2" t="str">
        <f>HYPERLINK("http://m.12365auto.com/news/20200217/418781.shtml","长安欧尚1月销量公布 长安欧尚X7破13000台")</f>
        <v>长安欧尚1月销量公布 长安欧尚X7破13000台</v>
      </c>
      <c r="C6490" s="2" t="s">
        <v>13</v>
      </c>
      <c r="D6490" s="2" t="s">
        <v>12</v>
      </c>
      <c r="E6490" s="2"/>
      <c r="F6490" s="2" t="str">
        <f>HYPERLINK("http://m.12365auto.com/news/20200217/418781.shtml","http://m.12365auto.com/news/20200217/418781.shtml")</f>
        <v>http://m.12365auto.com/news/20200217/418781.shtml</v>
      </c>
      <c r="G6490" s="2"/>
      <c r="H6490" s="2" t="s">
        <v>8961</v>
      </c>
      <c r="I6490" s="2" t="s">
        <v>19</v>
      </c>
      <c r="J6490" s="2" t="s">
        <v>6805</v>
      </c>
      <c r="K6490" s="2" t="s">
        <v>8962</v>
      </c>
      <c r="L6490" s="2">
        <f t="shared" si="101"/>
        <v>150</v>
      </c>
    </row>
    <row r="6491" spans="1:12" ht="25" customHeight="1">
      <c r="A6491" s="2" t="s">
        <v>12</v>
      </c>
      <c r="B6491" s="2" t="str">
        <f>HYPERLINK("http://www.12365auto.com/news/20200217/418781.shtml","长安欧尚1月销量公布 长安欧尚X7破13000台")</f>
        <v>长安欧尚1月销量公布 长安欧尚X7破13000台</v>
      </c>
      <c r="C6491" s="2" t="s">
        <v>13</v>
      </c>
      <c r="D6491" s="2" t="s">
        <v>12</v>
      </c>
      <c r="E6491" s="2" t="s">
        <v>282</v>
      </c>
      <c r="F6491" s="2" t="str">
        <f>HYPERLINK("http://www.12365auto.com/news/20200217/418781.shtml","http://www.12365auto.com/news/20200217/418781.shtml")</f>
        <v>http://www.12365auto.com/news/20200217/418781.shtml</v>
      </c>
      <c r="G6491" s="2"/>
      <c r="H6491" s="2" t="s">
        <v>8963</v>
      </c>
      <c r="I6491" s="2" t="s">
        <v>19</v>
      </c>
      <c r="J6491" s="2" t="s">
        <v>12</v>
      </c>
      <c r="K6491" s="2" t="s">
        <v>8962</v>
      </c>
      <c r="L6491" s="2">
        <f t="shared" si="101"/>
        <v>150</v>
      </c>
    </row>
    <row r="6492" spans="1:12" ht="25" customHeight="1">
      <c r="A6492" s="2" t="s">
        <v>12</v>
      </c>
      <c r="B6492" s="2" t="str">
        <f>HYPERLINK("http://m.12365auto.com/xcdg/20200217/418780.shtml","大众ID.4跨界电动车谍照 将于6月份亮相")</f>
        <v>大众ID.4跨界电动车谍照 将于6月份亮相</v>
      </c>
      <c r="C6492" s="2" t="s">
        <v>13</v>
      </c>
      <c r="D6492" s="2" t="s">
        <v>12</v>
      </c>
      <c r="E6492" s="2"/>
      <c r="F6492" s="2" t="str">
        <f>HYPERLINK("http://m.12365auto.com/xcdg/20200217/418780.shtml","http://m.12365auto.com/xcdg/20200217/418780.shtml")</f>
        <v>http://m.12365auto.com/xcdg/20200217/418780.shtml</v>
      </c>
      <c r="G6492" s="2"/>
      <c r="H6492" s="2" t="s">
        <v>8964</v>
      </c>
      <c r="I6492" s="2" t="s">
        <v>19</v>
      </c>
      <c r="J6492" s="2" t="s">
        <v>220</v>
      </c>
      <c r="K6492" s="2" t="s">
        <v>8965</v>
      </c>
      <c r="L6492" s="2">
        <f t="shared" si="101"/>
        <v>150</v>
      </c>
    </row>
    <row r="6493" spans="1:12" ht="25" customHeight="1">
      <c r="A6493" s="2" t="s">
        <v>12</v>
      </c>
      <c r="B6493" s="2" t="str">
        <f>HYPERLINK("http://www.12365auto.com/xcdg/20200217/418780.shtml","大众ID.4跨界电动车谍照 将于6月份亮相")</f>
        <v>大众ID.4跨界电动车谍照 将于6月份亮相</v>
      </c>
      <c r="C6493" s="2" t="s">
        <v>13</v>
      </c>
      <c r="D6493" s="2" t="s">
        <v>12</v>
      </c>
      <c r="E6493" s="2" t="s">
        <v>224</v>
      </c>
      <c r="F6493" s="2" t="str">
        <f>HYPERLINK("http://www.12365auto.com/xcdg/20200217/418780.shtml","http://www.12365auto.com/xcdg/20200217/418780.shtml")</f>
        <v>http://www.12365auto.com/xcdg/20200217/418780.shtml</v>
      </c>
      <c r="G6493" s="2"/>
      <c r="H6493" s="2" t="s">
        <v>8966</v>
      </c>
      <c r="I6493" s="2" t="s">
        <v>15</v>
      </c>
      <c r="J6493" s="2" t="s">
        <v>12</v>
      </c>
      <c r="K6493" s="2" t="s">
        <v>8965</v>
      </c>
      <c r="L6493" s="2">
        <f t="shared" si="101"/>
        <v>150</v>
      </c>
    </row>
    <row r="6494" spans="1:12" ht="25" customHeight="1">
      <c r="A6494" s="2" t="s">
        <v>12</v>
      </c>
      <c r="B6494" s="2" t="str">
        <f>HYPERLINK("http://m.12365auto.com/xcdg/20200217/418779.shtml","大众ID Rugged渲染图曝光 四驱系统/硬派外观")</f>
        <v>大众ID Rugged渲染图曝光 四驱系统/硬派外观</v>
      </c>
      <c r="C6494" s="2" t="s">
        <v>13</v>
      </c>
      <c r="D6494" s="2" t="s">
        <v>12</v>
      </c>
      <c r="E6494" s="2"/>
      <c r="F6494" s="2" t="str">
        <f>HYPERLINK("http://m.12365auto.com/xcdg/20200217/418779.shtml","http://m.12365auto.com/xcdg/20200217/418779.shtml")</f>
        <v>http://m.12365auto.com/xcdg/20200217/418779.shtml</v>
      </c>
      <c r="G6494" s="2"/>
      <c r="H6494" s="2" t="s">
        <v>8967</v>
      </c>
      <c r="I6494" s="2" t="s">
        <v>19</v>
      </c>
      <c r="J6494" s="2" t="s">
        <v>220</v>
      </c>
      <c r="K6494" s="2" t="s">
        <v>8968</v>
      </c>
      <c r="L6494" s="2">
        <f t="shared" si="101"/>
        <v>150</v>
      </c>
    </row>
    <row r="6495" spans="1:12" ht="25" customHeight="1">
      <c r="A6495" s="2" t="s">
        <v>12</v>
      </c>
      <c r="B6495" s="2" t="str">
        <f>HYPERLINK("http://www.12365auto.com/xcdg/20200217/418779.shtml","大众ID Rugged渲染图曝光 四驱系统/硬派外观")</f>
        <v>大众ID Rugged渲染图曝光 四驱系统/硬派外观</v>
      </c>
      <c r="C6495" s="2" t="s">
        <v>13</v>
      </c>
      <c r="D6495" s="2" t="s">
        <v>12</v>
      </c>
      <c r="E6495" s="2" t="s">
        <v>245</v>
      </c>
      <c r="F6495" s="2" t="str">
        <f>HYPERLINK("http://www.12365auto.com/xcdg/20200217/418779.shtml","http://www.12365auto.com/xcdg/20200217/418779.shtml")</f>
        <v>http://www.12365auto.com/xcdg/20200217/418779.shtml</v>
      </c>
      <c r="G6495" s="2"/>
      <c r="H6495" s="2" t="s">
        <v>8969</v>
      </c>
      <c r="I6495" s="2" t="s">
        <v>19</v>
      </c>
      <c r="J6495" s="2" t="s">
        <v>12</v>
      </c>
      <c r="K6495" s="2" t="s">
        <v>8968</v>
      </c>
      <c r="L6495" s="2">
        <f t="shared" si="101"/>
        <v>150</v>
      </c>
    </row>
    <row r="6496" spans="1:12" ht="25" customHeight="1">
      <c r="A6496" s="2" t="s">
        <v>12</v>
      </c>
      <c r="B6496" s="2" t="str">
        <f>HYPERLINK("http://m.12365auto.com/xcdg/20200217/418778.shtml","斯柯达全新轿跑SUV曝光 两款车型可选")</f>
        <v>斯柯达全新轿跑SUV曝光 两款车型可选</v>
      </c>
      <c r="C6496" s="2" t="s">
        <v>13</v>
      </c>
      <c r="D6496" s="2" t="s">
        <v>12</v>
      </c>
      <c r="E6496" s="2"/>
      <c r="F6496" s="2" t="str">
        <f>HYPERLINK("http://m.12365auto.com/xcdg/20200217/418778.shtml","http://m.12365auto.com/xcdg/20200217/418778.shtml")</f>
        <v>http://m.12365auto.com/xcdg/20200217/418778.shtml</v>
      </c>
      <c r="G6496" s="2"/>
      <c r="H6496" s="2" t="s">
        <v>8970</v>
      </c>
      <c r="I6496" s="2" t="s">
        <v>19</v>
      </c>
      <c r="J6496" s="2" t="s">
        <v>220</v>
      </c>
      <c r="K6496" s="2" t="s">
        <v>8971</v>
      </c>
      <c r="L6496" s="2">
        <f t="shared" si="101"/>
        <v>150</v>
      </c>
    </row>
    <row r="6497" spans="1:12" ht="25" customHeight="1">
      <c r="A6497" s="2" t="s">
        <v>12</v>
      </c>
      <c r="B6497" s="2" t="str">
        <f>HYPERLINK("http://www.12365auto.com/xcdg/20200217/418778.shtml","斯柯达全新轿跑SUV曝光 两款车型可选")</f>
        <v>斯柯达全新轿跑SUV曝光 两款车型可选</v>
      </c>
      <c r="C6497" s="2" t="s">
        <v>13</v>
      </c>
      <c r="D6497" s="2" t="s">
        <v>12</v>
      </c>
      <c r="E6497" s="2" t="s">
        <v>245</v>
      </c>
      <c r="F6497" s="2" t="str">
        <f>HYPERLINK("http://www.12365auto.com/xcdg/20200217/418778.shtml","http://www.12365auto.com/xcdg/20200217/418778.shtml")</f>
        <v>http://www.12365auto.com/xcdg/20200217/418778.shtml</v>
      </c>
      <c r="G6497" s="2"/>
      <c r="H6497" s="2" t="s">
        <v>8972</v>
      </c>
      <c r="I6497" s="2" t="s">
        <v>19</v>
      </c>
      <c r="J6497" s="2" t="s">
        <v>12</v>
      </c>
      <c r="K6497" s="2" t="s">
        <v>8971</v>
      </c>
      <c r="L6497" s="2">
        <f t="shared" si="101"/>
        <v>150</v>
      </c>
    </row>
    <row r="6498" spans="1:12" ht="25" customHeight="1">
      <c r="A6498" s="2" t="s">
        <v>12</v>
      </c>
      <c r="B6498" s="2" t="str">
        <f>HYPERLINK("http://m.12365auto.com/xcdg/20200217/418777.shtml","保时捷新款911 GTS Coupe实车 明年夏季亮相")</f>
        <v>保时捷新款911 GTS Coupe实车 明年夏季亮相</v>
      </c>
      <c r="C6498" s="2" t="s">
        <v>13</v>
      </c>
      <c r="D6498" s="2" t="s">
        <v>12</v>
      </c>
      <c r="E6498" s="2"/>
      <c r="F6498" s="2" t="str">
        <f>HYPERLINK("http://m.12365auto.com/xcdg/20200217/418777.shtml","http://m.12365auto.com/xcdg/20200217/418777.shtml")</f>
        <v>http://m.12365auto.com/xcdg/20200217/418777.shtml</v>
      </c>
      <c r="G6498" s="2"/>
      <c r="H6498" s="2" t="s">
        <v>8973</v>
      </c>
      <c r="I6498" s="2" t="s">
        <v>19</v>
      </c>
      <c r="J6498" s="2" t="s">
        <v>220</v>
      </c>
      <c r="K6498" s="2" t="s">
        <v>8974</v>
      </c>
      <c r="L6498" s="2">
        <f t="shared" si="101"/>
        <v>150</v>
      </c>
    </row>
    <row r="6499" spans="1:12" ht="25" customHeight="1">
      <c r="A6499" s="2" t="s">
        <v>12</v>
      </c>
      <c r="B6499" s="2" t="str">
        <f>HYPERLINK("http://www.12365auto.com/xcdg/20200217/418777.shtml","保时捷新款911 GTS Coupe实车 明年夏季亮相")</f>
        <v>保时捷新款911 GTS Coupe实车 明年夏季亮相</v>
      </c>
      <c r="C6499" s="2" t="s">
        <v>13</v>
      </c>
      <c r="D6499" s="2" t="s">
        <v>12</v>
      </c>
      <c r="E6499" s="2" t="s">
        <v>224</v>
      </c>
      <c r="F6499" s="2" t="str">
        <f>HYPERLINK("http://www.12365auto.com/xcdg/20200217/418777.shtml","http://www.12365auto.com/xcdg/20200217/418777.shtml")</f>
        <v>http://www.12365auto.com/xcdg/20200217/418777.shtml</v>
      </c>
      <c r="G6499" s="2"/>
      <c r="H6499" s="2" t="s">
        <v>8975</v>
      </c>
      <c r="I6499" s="2" t="s">
        <v>15</v>
      </c>
      <c r="J6499" s="2" t="s">
        <v>12</v>
      </c>
      <c r="K6499" s="2" t="s">
        <v>8974</v>
      </c>
      <c r="L6499" s="2">
        <f t="shared" si="101"/>
        <v>150</v>
      </c>
    </row>
    <row r="6500" spans="1:12" ht="25" customHeight="1">
      <c r="A6500" s="2" t="s">
        <v>12</v>
      </c>
      <c r="B6500" s="2" t="str">
        <f>HYPERLINK("http://m.12365auto.com/xcdg/20200217/418776.shtml","雷诺国产轿跑SUV 预计15万起/竞争CX-4")</f>
        <v>雷诺国产轿跑SUV 预计15万起/竞争CX-4</v>
      </c>
      <c r="C6500" s="2" t="s">
        <v>13</v>
      </c>
      <c r="D6500" s="2" t="s">
        <v>12</v>
      </c>
      <c r="E6500" s="2"/>
      <c r="F6500" s="2" t="str">
        <f>HYPERLINK("http://m.12365auto.com/xcdg/20200217/418776.shtml","http://m.12365auto.com/xcdg/20200217/418776.shtml")</f>
        <v>http://m.12365auto.com/xcdg/20200217/418776.shtml</v>
      </c>
      <c r="G6500" s="2"/>
      <c r="H6500" s="2" t="s">
        <v>8976</v>
      </c>
      <c r="I6500" s="2" t="s">
        <v>19</v>
      </c>
      <c r="J6500" s="2" t="s">
        <v>2603</v>
      </c>
      <c r="K6500" s="2" t="s">
        <v>8977</v>
      </c>
      <c r="L6500" s="2">
        <f t="shared" si="101"/>
        <v>150</v>
      </c>
    </row>
    <row r="6501" spans="1:12" ht="25" customHeight="1">
      <c r="A6501" s="2" t="s">
        <v>12</v>
      </c>
      <c r="B6501" s="2" t="str">
        <f>HYPERLINK("http://www.12365auto.com/xcdg/20200217/418776.shtml","雷诺国产轿跑SUV 预计15万起/竞争CX-4")</f>
        <v>雷诺国产轿跑SUV 预计15万起/竞争CX-4</v>
      </c>
      <c r="C6501" s="2" t="s">
        <v>13</v>
      </c>
      <c r="D6501" s="2" t="s">
        <v>12</v>
      </c>
      <c r="E6501" s="2" t="s">
        <v>245</v>
      </c>
      <c r="F6501" s="2" t="str">
        <f>HYPERLINK("http://www.12365auto.com/xcdg/20200217/418776.shtml","http://www.12365auto.com/xcdg/20200217/418776.shtml")</f>
        <v>http://www.12365auto.com/xcdg/20200217/418776.shtml</v>
      </c>
      <c r="G6501" s="2"/>
      <c r="H6501" s="2" t="s">
        <v>8978</v>
      </c>
      <c r="I6501" s="2" t="s">
        <v>19</v>
      </c>
      <c r="J6501" s="2" t="s">
        <v>12</v>
      </c>
      <c r="K6501" s="2" t="s">
        <v>8977</v>
      </c>
      <c r="L6501" s="2">
        <f t="shared" si="101"/>
        <v>150</v>
      </c>
    </row>
    <row r="6502" spans="1:12" ht="25" customHeight="1">
      <c r="A6502" s="2" t="s">
        <v>12</v>
      </c>
      <c r="B6502" s="2" t="str">
        <f>HYPERLINK("http://www.12365auto.com/zlts/20200217/447508.shtml","宝骏730座椅及头枕缺陷导致身体不适")</f>
        <v>宝骏730座椅及头枕缺陷导致身体不适</v>
      </c>
      <c r="C6502" s="2" t="s">
        <v>13</v>
      </c>
      <c r="D6502" s="2" t="s">
        <v>12</v>
      </c>
      <c r="E6502" s="2" t="s">
        <v>17</v>
      </c>
      <c r="F6502" s="2" t="str">
        <f>HYPERLINK("http://www.12365auto.com/zlts/20200217/447508.shtml","http://www.12365auto.com/zlts/20200217/447508.shtml")</f>
        <v>http://www.12365auto.com/zlts/20200217/447508.shtml</v>
      </c>
      <c r="G6502" s="2"/>
      <c r="H6502" s="2" t="s">
        <v>8979</v>
      </c>
      <c r="I6502" s="2" t="s">
        <v>19</v>
      </c>
      <c r="J6502" s="2" t="s">
        <v>12</v>
      </c>
      <c r="K6502" s="2" t="s">
        <v>8977</v>
      </c>
      <c r="L6502" s="2">
        <f t="shared" si="101"/>
        <v>150</v>
      </c>
    </row>
    <row r="6503" spans="1:12" ht="25" customHeight="1">
      <c r="A6503" s="2" t="s">
        <v>12</v>
      </c>
      <c r="B6503" s="2" t="str">
        <f>HYPERLINK("http://m.12365auto.com/news/20200217/418775.shtml","一汽丰田1月销量超6.2万辆  RAV4涨21.9%")</f>
        <v>一汽丰田1月销量超6.2万辆  RAV4涨21.9%</v>
      </c>
      <c r="C6503" s="2" t="s">
        <v>13</v>
      </c>
      <c r="D6503" s="2" t="s">
        <v>12</v>
      </c>
      <c r="E6503" s="2"/>
      <c r="F6503" s="2" t="str">
        <f>HYPERLINK("http://m.12365auto.com/news/20200217/418775.shtml","http://m.12365auto.com/news/20200217/418775.shtml")</f>
        <v>http://m.12365auto.com/news/20200217/418775.shtml</v>
      </c>
      <c r="G6503" s="2"/>
      <c r="H6503" s="2" t="s">
        <v>8980</v>
      </c>
      <c r="I6503" s="2" t="s">
        <v>19</v>
      </c>
      <c r="J6503" s="2" t="s">
        <v>739</v>
      </c>
      <c r="K6503" s="2" t="s">
        <v>8981</v>
      </c>
      <c r="L6503" s="2">
        <f t="shared" si="101"/>
        <v>150</v>
      </c>
    </row>
    <row r="6504" spans="1:12" ht="25" customHeight="1">
      <c r="A6504" s="2" t="s">
        <v>12</v>
      </c>
      <c r="B6504" s="2" t="str">
        <f>HYPERLINK("http://www.12365auto.com/news/20200217/418775.shtml","一汽丰田1月销量超6.2万辆  RAV4涨21.9%")</f>
        <v>一汽丰田1月销量超6.2万辆  RAV4涨21.9%</v>
      </c>
      <c r="C6504" s="2" t="s">
        <v>13</v>
      </c>
      <c r="D6504" s="2" t="s">
        <v>12</v>
      </c>
      <c r="E6504" s="2" t="s">
        <v>282</v>
      </c>
      <c r="F6504" s="2" t="str">
        <f>HYPERLINK("http://www.12365auto.com/news/20200217/418775.shtml","http://www.12365auto.com/news/20200217/418775.shtml")</f>
        <v>http://www.12365auto.com/news/20200217/418775.shtml</v>
      </c>
      <c r="G6504" s="2"/>
      <c r="H6504" s="2" t="s">
        <v>8982</v>
      </c>
      <c r="I6504" s="2" t="s">
        <v>19</v>
      </c>
      <c r="J6504" s="2" t="s">
        <v>12</v>
      </c>
      <c r="K6504" s="2" t="s">
        <v>8981</v>
      </c>
      <c r="L6504" s="2">
        <f t="shared" si="101"/>
        <v>150</v>
      </c>
    </row>
    <row r="6505" spans="1:12" ht="25" customHeight="1">
      <c r="A6505" s="2" t="s">
        <v>12</v>
      </c>
      <c r="B6505" s="2" t="str">
        <f>HYPERLINK("http://m.12365auto.com/news/20200217/418774.shtml","最高补贴5000元 佛山推出汽车消费政策")</f>
        <v>最高补贴5000元 佛山推出汽车消费政策</v>
      </c>
      <c r="C6505" s="2" t="s">
        <v>13</v>
      </c>
      <c r="D6505" s="2" t="s">
        <v>12</v>
      </c>
      <c r="E6505" s="2"/>
      <c r="F6505" s="2" t="str">
        <f>HYPERLINK("http://m.12365auto.com/news/20200217/418774.shtml","http://m.12365auto.com/news/20200217/418774.shtml")</f>
        <v>http://m.12365auto.com/news/20200217/418774.shtml</v>
      </c>
      <c r="G6505" s="2"/>
      <c r="H6505" s="2" t="s">
        <v>8983</v>
      </c>
      <c r="I6505" s="2" t="s">
        <v>19</v>
      </c>
      <c r="J6505" s="2" t="s">
        <v>1170</v>
      </c>
      <c r="K6505" s="2" t="s">
        <v>8984</v>
      </c>
      <c r="L6505" s="2">
        <f t="shared" si="101"/>
        <v>150</v>
      </c>
    </row>
    <row r="6506" spans="1:12" ht="25" customHeight="1">
      <c r="A6506" s="2" t="s">
        <v>12</v>
      </c>
      <c r="B6506" s="2" t="str">
        <f>HYPERLINK("http://m.12365auto.com/xcdg/20200217/418773.shtml","新款奥迪Q2L正式上市 售21.88-26.85万元")</f>
        <v>新款奥迪Q2L正式上市 售21.88-26.85万元</v>
      </c>
      <c r="C6506" s="2" t="s">
        <v>13</v>
      </c>
      <c r="D6506" s="2" t="s">
        <v>12</v>
      </c>
      <c r="E6506" s="2"/>
      <c r="F6506" s="2" t="str">
        <f>HYPERLINK("http://m.12365auto.com/xcdg/20200217/418773.shtml","http://m.12365auto.com/xcdg/20200217/418773.shtml")</f>
        <v>http://m.12365auto.com/xcdg/20200217/418773.shtml</v>
      </c>
      <c r="G6506" s="2"/>
      <c r="H6506" s="2" t="s">
        <v>8985</v>
      </c>
      <c r="I6506" s="2" t="s">
        <v>19</v>
      </c>
      <c r="J6506" s="2" t="s">
        <v>836</v>
      </c>
      <c r="K6506" s="2" t="s">
        <v>8984</v>
      </c>
      <c r="L6506" s="2">
        <f t="shared" si="101"/>
        <v>150</v>
      </c>
    </row>
    <row r="6507" spans="1:12" ht="25" customHeight="1">
      <c r="A6507" s="2" t="s">
        <v>12</v>
      </c>
      <c r="B6507" s="2" t="str">
        <f>HYPERLINK("http://www.12365auto.com/news/20200217/418774.shtml","最高补贴5000元 佛山推出汽车消费政策")</f>
        <v>最高补贴5000元 佛山推出汽车消费政策</v>
      </c>
      <c r="C6507" s="2" t="s">
        <v>13</v>
      </c>
      <c r="D6507" s="2" t="s">
        <v>12</v>
      </c>
      <c r="E6507" s="2" t="s">
        <v>282</v>
      </c>
      <c r="F6507" s="2" t="str">
        <f>HYPERLINK("http://www.12365auto.com/news/20200217/418774.shtml","http://www.12365auto.com/news/20200217/418774.shtml")</f>
        <v>http://www.12365auto.com/news/20200217/418774.shtml</v>
      </c>
      <c r="G6507" s="2"/>
      <c r="H6507" s="2" t="s">
        <v>8986</v>
      </c>
      <c r="I6507" s="2" t="s">
        <v>19</v>
      </c>
      <c r="J6507" s="2" t="s">
        <v>12</v>
      </c>
      <c r="K6507" s="2" t="s">
        <v>8984</v>
      </c>
      <c r="L6507" s="2">
        <f t="shared" si="101"/>
        <v>150</v>
      </c>
    </row>
    <row r="6508" spans="1:12" ht="25" customHeight="1">
      <c r="A6508" s="2" t="s">
        <v>12</v>
      </c>
      <c r="B6508" s="2" t="str">
        <f>HYPERLINK("http://www.12365auto.com/xcdg/20200217/418773.shtml","新款奥迪Q2L正式上市 售21.88-26.85万元")</f>
        <v>新款奥迪Q2L正式上市 售21.88-26.85万元</v>
      </c>
      <c r="C6508" s="2" t="s">
        <v>13</v>
      </c>
      <c r="D6508" s="2" t="s">
        <v>12</v>
      </c>
      <c r="E6508" s="2" t="s">
        <v>245</v>
      </c>
      <c r="F6508" s="2" t="str">
        <f>HYPERLINK("http://www.12365auto.com/xcdg/20200217/418773.shtml","http://www.12365auto.com/xcdg/20200217/418773.shtml")</f>
        <v>http://www.12365auto.com/xcdg/20200217/418773.shtml</v>
      </c>
      <c r="G6508" s="2"/>
      <c r="H6508" s="2" t="s">
        <v>8987</v>
      </c>
      <c r="I6508" s="2" t="s">
        <v>19</v>
      </c>
      <c r="J6508" s="2" t="s">
        <v>12</v>
      </c>
      <c r="K6508" s="2" t="s">
        <v>8984</v>
      </c>
      <c r="L6508" s="2">
        <f t="shared" si="101"/>
        <v>150</v>
      </c>
    </row>
    <row r="6509" spans="1:12" ht="25" customHeight="1">
      <c r="A6509" s="2" t="s">
        <v>12</v>
      </c>
      <c r="B6509" s="2" t="str">
        <f>HYPERLINK("http://m.12365auto.com/xcdg/20200217/418772.shtml","史上最强？ 帕加尼Huayra Imola官图")</f>
        <v>史上最强？ 帕加尼Huayra Imola官图</v>
      </c>
      <c r="C6509" s="2" t="s">
        <v>13</v>
      </c>
      <c r="D6509" s="2" t="s">
        <v>12</v>
      </c>
      <c r="E6509" s="2"/>
      <c r="F6509" s="2" t="str">
        <f>HYPERLINK("http://m.12365auto.com/xcdg/20200217/418772.shtml","http://m.12365auto.com/xcdg/20200217/418772.shtml")</f>
        <v>http://m.12365auto.com/xcdg/20200217/418772.shtml</v>
      </c>
      <c r="G6509" s="2"/>
      <c r="H6509" s="2" t="s">
        <v>8988</v>
      </c>
      <c r="I6509" s="2" t="s">
        <v>19</v>
      </c>
      <c r="J6509" s="2" t="s">
        <v>338</v>
      </c>
      <c r="K6509" s="2" t="s">
        <v>8989</v>
      </c>
      <c r="L6509" s="2">
        <f t="shared" si="101"/>
        <v>150</v>
      </c>
    </row>
    <row r="6510" spans="1:12" ht="25" customHeight="1">
      <c r="A6510" s="2" t="s">
        <v>12</v>
      </c>
      <c r="B6510" s="2" t="str">
        <f>HYPERLINK("http://www.12365auto.com/xcdg/20200217/418772.shtml","史上最强？ 帕加尼Huayra Imola官图")</f>
        <v>史上最强？ 帕加尼Huayra Imola官图</v>
      </c>
      <c r="C6510" s="2" t="s">
        <v>13</v>
      </c>
      <c r="D6510" s="2" t="s">
        <v>12</v>
      </c>
      <c r="E6510" s="2" t="s">
        <v>245</v>
      </c>
      <c r="F6510" s="2" t="str">
        <f>HYPERLINK("http://www.12365auto.com/xcdg/20200217/418772.shtml","http://www.12365auto.com/xcdg/20200217/418772.shtml")</f>
        <v>http://www.12365auto.com/xcdg/20200217/418772.shtml</v>
      </c>
      <c r="G6510" s="2"/>
      <c r="H6510" s="2" t="s">
        <v>8990</v>
      </c>
      <c r="I6510" s="2" t="s">
        <v>19</v>
      </c>
      <c r="J6510" s="2" t="s">
        <v>12</v>
      </c>
      <c r="K6510" s="2" t="s">
        <v>8989</v>
      </c>
      <c r="L6510" s="2">
        <f t="shared" si="101"/>
        <v>150</v>
      </c>
    </row>
    <row r="6511" spans="1:12" ht="25" customHeight="1">
      <c r="A6511" s="2" t="s">
        <v>12</v>
      </c>
      <c r="B6511" s="2" t="str">
        <f>HYPERLINK("http://m.12365auto.com/news/20200217/418771.shtml","利润27亿欧元 雷诺集团发布2019年财报")</f>
        <v>利润27亿欧元 雷诺集团发布2019年财报</v>
      </c>
      <c r="C6511" s="2" t="s">
        <v>13</v>
      </c>
      <c r="D6511" s="2" t="s">
        <v>12</v>
      </c>
      <c r="E6511" s="2"/>
      <c r="F6511" s="2" t="str">
        <f>HYPERLINK("http://m.12365auto.com/news/20200217/418771.shtml","http://m.12365auto.com/news/20200217/418771.shtml")</f>
        <v>http://m.12365auto.com/news/20200217/418771.shtml</v>
      </c>
      <c r="G6511" s="2"/>
      <c r="H6511" s="2" t="s">
        <v>8991</v>
      </c>
      <c r="I6511" s="2" t="s">
        <v>19</v>
      </c>
      <c r="J6511" s="2" t="s">
        <v>274</v>
      </c>
      <c r="K6511" s="2" t="s">
        <v>8992</v>
      </c>
      <c r="L6511" s="2">
        <f t="shared" si="101"/>
        <v>150</v>
      </c>
    </row>
    <row r="6512" spans="1:12" ht="25" customHeight="1">
      <c r="A6512" s="2" t="s">
        <v>12</v>
      </c>
      <c r="B6512" s="2" t="str">
        <f>HYPERLINK("http://www.12365auto.com/news/20200217/418771.shtml","利润27亿欧元 雷诺集团发布2019年财报")</f>
        <v>利润27亿欧元 雷诺集团发布2019年财报</v>
      </c>
      <c r="C6512" s="2" t="s">
        <v>13</v>
      </c>
      <c r="D6512" s="2" t="s">
        <v>12</v>
      </c>
      <c r="E6512" s="2" t="s">
        <v>282</v>
      </c>
      <c r="F6512" s="2" t="str">
        <f>HYPERLINK("http://www.12365auto.com/news/20200217/418771.shtml","http://www.12365auto.com/news/20200217/418771.shtml")</f>
        <v>http://www.12365auto.com/news/20200217/418771.shtml</v>
      </c>
      <c r="G6512" s="2"/>
      <c r="H6512" s="2" t="s">
        <v>8993</v>
      </c>
      <c r="I6512" s="2" t="s">
        <v>19</v>
      </c>
      <c r="J6512" s="2" t="s">
        <v>12</v>
      </c>
      <c r="K6512" s="2" t="s">
        <v>8992</v>
      </c>
      <c r="L6512" s="2">
        <f t="shared" si="101"/>
        <v>150</v>
      </c>
    </row>
    <row r="6513" spans="1:12" ht="25" customHeight="1">
      <c r="A6513" s="2" t="s">
        <v>12</v>
      </c>
      <c r="B6513" s="2" t="str">
        <f>HYPERLINK("http://m.12365auto.com/news/20200217/418770.shtml","推SUV 阿尔法罗密欧Giulietta将停产")</f>
        <v>推SUV 阿尔法罗密欧Giulietta将停产</v>
      </c>
      <c r="C6513" s="2" t="s">
        <v>13</v>
      </c>
      <c r="D6513" s="2" t="s">
        <v>12</v>
      </c>
      <c r="E6513" s="2"/>
      <c r="F6513" s="2" t="str">
        <f>HYPERLINK("http://m.12365auto.com/news/20200217/418770.shtml","http://m.12365auto.com/news/20200217/418770.shtml")</f>
        <v>http://m.12365auto.com/news/20200217/418770.shtml</v>
      </c>
      <c r="G6513" s="2"/>
      <c r="H6513" s="2" t="s">
        <v>8994</v>
      </c>
      <c r="I6513" s="2" t="s">
        <v>19</v>
      </c>
      <c r="J6513" s="2" t="s">
        <v>2560</v>
      </c>
      <c r="K6513" s="2" t="s">
        <v>8995</v>
      </c>
      <c r="L6513" s="2">
        <f t="shared" si="101"/>
        <v>150</v>
      </c>
    </row>
    <row r="6514" spans="1:12" ht="25" customHeight="1">
      <c r="A6514" s="2" t="s">
        <v>12</v>
      </c>
      <c r="B6514" s="2" t="str">
        <f>HYPERLINK("http://www.12365auto.com/news/20200217/418770.shtml","推SUV 阿尔法罗密欧Giulietta将停产")</f>
        <v>推SUV 阿尔法罗密欧Giulietta将停产</v>
      </c>
      <c r="C6514" s="2" t="s">
        <v>13</v>
      </c>
      <c r="D6514" s="2" t="s">
        <v>12</v>
      </c>
      <c r="E6514" s="2" t="s">
        <v>282</v>
      </c>
      <c r="F6514" s="2" t="str">
        <f>HYPERLINK("http://www.12365auto.com/news/20200217/418770.shtml","http://www.12365auto.com/news/20200217/418770.shtml")</f>
        <v>http://www.12365auto.com/news/20200217/418770.shtml</v>
      </c>
      <c r="G6514" s="2"/>
      <c r="H6514" s="2" t="s">
        <v>8996</v>
      </c>
      <c r="I6514" s="2" t="s">
        <v>19</v>
      </c>
      <c r="J6514" s="2" t="s">
        <v>12</v>
      </c>
      <c r="K6514" s="2" t="s">
        <v>8995</v>
      </c>
      <c r="L6514" s="2">
        <f t="shared" si="101"/>
        <v>150</v>
      </c>
    </row>
    <row r="6515" spans="1:12" ht="25" customHeight="1">
      <c r="A6515" s="2" t="s">
        <v>12</v>
      </c>
      <c r="B6515" s="2" t="str">
        <f>HYPERLINK("http://m.12365auto.com/news/20200217/418769.shtml","MEB Entry平台打造 奥迪欲推微型电动车")</f>
        <v>MEB Entry平台打造 奥迪欲推微型电动车</v>
      </c>
      <c r="C6515" s="2" t="s">
        <v>13</v>
      </c>
      <c r="D6515" s="2" t="s">
        <v>12</v>
      </c>
      <c r="E6515" s="2"/>
      <c r="F6515" s="2" t="str">
        <f>HYPERLINK("http://m.12365auto.com/news/20200217/418769.shtml","http://m.12365auto.com/news/20200217/418769.shtml")</f>
        <v>http://m.12365auto.com/news/20200217/418769.shtml</v>
      </c>
      <c r="G6515" s="2"/>
      <c r="H6515" s="2" t="s">
        <v>8997</v>
      </c>
      <c r="I6515" s="2" t="s">
        <v>19</v>
      </c>
      <c r="J6515" s="2" t="s">
        <v>781</v>
      </c>
      <c r="K6515" s="2" t="s">
        <v>8998</v>
      </c>
      <c r="L6515" s="2">
        <f t="shared" si="101"/>
        <v>150</v>
      </c>
    </row>
    <row r="6516" spans="1:12" ht="25" customHeight="1">
      <c r="A6516" s="2" t="s">
        <v>12</v>
      </c>
      <c r="B6516" s="2" t="str">
        <f>HYPERLINK("http://www.12365auto.com/news/20200217/418769.shtml","MEB Entry平台打造 奥迪欲推微型电动车")</f>
        <v>MEB Entry平台打造 奥迪欲推微型电动车</v>
      </c>
      <c r="C6516" s="2" t="s">
        <v>13</v>
      </c>
      <c r="D6516" s="2" t="s">
        <v>12</v>
      </c>
      <c r="E6516" s="2" t="s">
        <v>282</v>
      </c>
      <c r="F6516" s="2" t="str">
        <f>HYPERLINK("http://www.12365auto.com/news/20200217/418769.shtml","http://www.12365auto.com/news/20200217/418769.shtml")</f>
        <v>http://www.12365auto.com/news/20200217/418769.shtml</v>
      </c>
      <c r="G6516" s="2"/>
      <c r="H6516" s="2" t="s">
        <v>8999</v>
      </c>
      <c r="I6516" s="2" t="s">
        <v>19</v>
      </c>
      <c r="J6516" s="2" t="s">
        <v>12</v>
      </c>
      <c r="K6516" s="2" t="s">
        <v>8998</v>
      </c>
      <c r="L6516" s="2">
        <f t="shared" si="101"/>
        <v>150</v>
      </c>
    </row>
    <row r="6517" spans="1:12" ht="25" customHeight="1">
      <c r="A6517" s="2" t="s">
        <v>12</v>
      </c>
      <c r="B6517" s="2" t="str">
        <f>HYPERLINK("http://m.12365auto.com/news/20200217/418768.shtml","多款产品热销 奇瑞集团1月销售5.31万辆")</f>
        <v>多款产品热销 奇瑞集团1月销售5.31万辆</v>
      </c>
      <c r="C6517" s="2" t="s">
        <v>13</v>
      </c>
      <c r="D6517" s="2" t="s">
        <v>12</v>
      </c>
      <c r="E6517" s="2"/>
      <c r="F6517" s="2" t="str">
        <f>HYPERLINK("http://m.12365auto.com/news/20200217/418768.shtml","http://m.12365auto.com/news/20200217/418768.shtml")</f>
        <v>http://m.12365auto.com/news/20200217/418768.shtml</v>
      </c>
      <c r="G6517" s="2"/>
      <c r="H6517" s="2" t="s">
        <v>9000</v>
      </c>
      <c r="I6517" s="2" t="s">
        <v>19</v>
      </c>
      <c r="J6517" s="2" t="s">
        <v>274</v>
      </c>
      <c r="K6517" s="2" t="s">
        <v>9001</v>
      </c>
      <c r="L6517" s="2">
        <f t="shared" si="101"/>
        <v>150</v>
      </c>
    </row>
    <row r="6518" spans="1:12" ht="25" customHeight="1">
      <c r="A6518" s="2" t="s">
        <v>12</v>
      </c>
      <c r="B6518" s="2" t="str">
        <f>HYPERLINK("http://www.12365auto.com/news/20200217/418768.shtml","多款产品热销 奇瑞集团1月销售5.31万辆")</f>
        <v>多款产品热销 奇瑞集团1月销售5.31万辆</v>
      </c>
      <c r="C6518" s="2" t="s">
        <v>13</v>
      </c>
      <c r="D6518" s="2" t="s">
        <v>12</v>
      </c>
      <c r="E6518" s="2" t="s">
        <v>282</v>
      </c>
      <c r="F6518" s="2" t="str">
        <f>HYPERLINK("http://www.12365auto.com/news/20200217/418768.shtml","http://www.12365auto.com/news/20200217/418768.shtml")</f>
        <v>http://www.12365auto.com/news/20200217/418768.shtml</v>
      </c>
      <c r="G6518" s="2"/>
      <c r="H6518" s="2" t="s">
        <v>9002</v>
      </c>
      <c r="I6518" s="2" t="s">
        <v>19</v>
      </c>
      <c r="J6518" s="2" t="s">
        <v>12</v>
      </c>
      <c r="K6518" s="2" t="s">
        <v>9001</v>
      </c>
      <c r="L6518" s="2">
        <f t="shared" si="101"/>
        <v>150</v>
      </c>
    </row>
    <row r="6519" spans="1:12" ht="25" customHeight="1">
      <c r="A6519" s="2" t="s">
        <v>12</v>
      </c>
      <c r="B6519" s="2" t="str">
        <f>HYPERLINK("http://m.12365auto.com/news/20200217/418767.shtml","起亚：计划2021年推出高性能电动车")</f>
        <v>起亚：计划2021年推出高性能电动车</v>
      </c>
      <c r="C6519" s="2" t="s">
        <v>13</v>
      </c>
      <c r="D6519" s="2" t="s">
        <v>12</v>
      </c>
      <c r="E6519" s="2"/>
      <c r="F6519" s="2" t="str">
        <f>HYPERLINK("http://m.12365auto.com/news/20200217/418767.shtml","http://m.12365auto.com/news/20200217/418767.shtml")</f>
        <v>http://m.12365auto.com/news/20200217/418767.shtml</v>
      </c>
      <c r="G6519" s="2"/>
      <c r="H6519" s="2" t="s">
        <v>9003</v>
      </c>
      <c r="I6519" s="2" t="s">
        <v>19</v>
      </c>
      <c r="J6519" s="2" t="s">
        <v>781</v>
      </c>
      <c r="K6519" s="2" t="s">
        <v>9004</v>
      </c>
      <c r="L6519" s="2">
        <f t="shared" si="101"/>
        <v>150</v>
      </c>
    </row>
    <row r="6520" spans="1:12" ht="25" customHeight="1">
      <c r="A6520" s="2" t="s">
        <v>12</v>
      </c>
      <c r="B6520" s="2" t="str">
        <f>HYPERLINK("http://www.12365auto.com/news/20200217/418767.shtml","起亚：计划2021年推出高性能电动车")</f>
        <v>起亚：计划2021年推出高性能电动车</v>
      </c>
      <c r="C6520" s="2" t="s">
        <v>13</v>
      </c>
      <c r="D6520" s="2" t="s">
        <v>12</v>
      </c>
      <c r="E6520" s="2" t="s">
        <v>282</v>
      </c>
      <c r="F6520" s="2" t="str">
        <f>HYPERLINK("http://www.12365auto.com/news/20200217/418767.shtml","http://www.12365auto.com/news/20200217/418767.shtml")</f>
        <v>http://www.12365auto.com/news/20200217/418767.shtml</v>
      </c>
      <c r="G6520" s="2"/>
      <c r="H6520" s="2" t="s">
        <v>9005</v>
      </c>
      <c r="I6520" s="2" t="s">
        <v>19</v>
      </c>
      <c r="J6520" s="2" t="s">
        <v>12</v>
      </c>
      <c r="K6520" s="2" t="s">
        <v>9004</v>
      </c>
      <c r="L6520" s="2">
        <f t="shared" si="101"/>
        <v>150</v>
      </c>
    </row>
    <row r="6521" spans="1:12" ht="25" customHeight="1">
      <c r="A6521" s="2" t="s">
        <v>12</v>
      </c>
      <c r="B6521" s="2" t="str">
        <f>HYPERLINK("http://m.12365auto.com/xcdg/20200217/418766.shtml","丰田全新一代汉兰达年底上市 造型硬朗")</f>
        <v>丰田全新一代汉兰达年底上市 造型硬朗</v>
      </c>
      <c r="C6521" s="2" t="s">
        <v>13</v>
      </c>
      <c r="D6521" s="2" t="s">
        <v>12</v>
      </c>
      <c r="E6521" s="2"/>
      <c r="F6521" s="2" t="str">
        <f>HYPERLINK("http://m.12365auto.com/xcdg/20200217/418766.shtml","http://m.12365auto.com/xcdg/20200217/418766.shtml")</f>
        <v>http://m.12365auto.com/xcdg/20200217/418766.shtml</v>
      </c>
      <c r="G6521" s="2"/>
      <c r="H6521" s="2" t="s">
        <v>9006</v>
      </c>
      <c r="I6521" s="2" t="s">
        <v>19</v>
      </c>
      <c r="J6521" s="2" t="s">
        <v>751</v>
      </c>
      <c r="K6521" s="2" t="s">
        <v>9007</v>
      </c>
      <c r="L6521" s="2">
        <f t="shared" si="101"/>
        <v>150</v>
      </c>
    </row>
    <row r="6522" spans="1:12" ht="25" customHeight="1">
      <c r="A6522" s="2" t="s">
        <v>12</v>
      </c>
      <c r="B6522" s="2" t="str">
        <f>HYPERLINK("http://www.12365auto.com/xcdg/20200217/418766.shtml","丰田全新一代汉兰达年底上市 造型硬朗")</f>
        <v>丰田全新一代汉兰达年底上市 造型硬朗</v>
      </c>
      <c r="C6522" s="2" t="s">
        <v>13</v>
      </c>
      <c r="D6522" s="2" t="s">
        <v>12</v>
      </c>
      <c r="E6522" s="2" t="s">
        <v>245</v>
      </c>
      <c r="F6522" s="2" t="str">
        <f>HYPERLINK("http://www.12365auto.com/xcdg/20200217/418766.shtml","http://www.12365auto.com/xcdg/20200217/418766.shtml")</f>
        <v>http://www.12365auto.com/xcdg/20200217/418766.shtml</v>
      </c>
      <c r="G6522" s="2"/>
      <c r="H6522" s="2" t="s">
        <v>9008</v>
      </c>
      <c r="I6522" s="2" t="s">
        <v>19</v>
      </c>
      <c r="J6522" s="2" t="s">
        <v>12</v>
      </c>
      <c r="K6522" s="2" t="s">
        <v>9007</v>
      </c>
      <c r="L6522" s="2">
        <f t="shared" si="101"/>
        <v>150</v>
      </c>
    </row>
    <row r="6523" spans="1:12" ht="25" customHeight="1">
      <c r="A6523" s="2" t="s">
        <v>12</v>
      </c>
      <c r="B6523" s="2" t="str">
        <f>HYPERLINK("http://www.12365auto.com/news/20200217/418765.shtml","国产Model 3恢复交付 月产能将超一万辆")</f>
        <v>国产Model 3恢复交付 月产能将超一万辆</v>
      </c>
      <c r="C6523" s="2" t="s">
        <v>13</v>
      </c>
      <c r="D6523" s="2" t="s">
        <v>12</v>
      </c>
      <c r="E6523" s="2" t="s">
        <v>276</v>
      </c>
      <c r="F6523" s="2" t="str">
        <f>HYPERLINK("http://www.12365auto.com/news/20200217/418765.shtml","http://www.12365auto.com/news/20200217/418765.shtml")</f>
        <v>http://www.12365auto.com/news/20200217/418765.shtml</v>
      </c>
      <c r="G6523" s="2"/>
      <c r="H6523" s="2" t="s">
        <v>9009</v>
      </c>
      <c r="I6523" s="2" t="s">
        <v>15</v>
      </c>
      <c r="J6523" s="2" t="s">
        <v>12</v>
      </c>
      <c r="K6523" s="2" t="s">
        <v>9010</v>
      </c>
      <c r="L6523" s="2">
        <f t="shared" si="101"/>
        <v>150</v>
      </c>
    </row>
    <row r="6524" spans="1:12" ht="25" customHeight="1">
      <c r="A6524" s="2" t="s">
        <v>12</v>
      </c>
      <c r="B6524" s="2" t="str">
        <f>HYPERLINK("http://m.12365auto.com/news/20200217/418765.shtml","国产Model 3恢复交付 月产能将超一万辆")</f>
        <v>国产Model 3恢复交付 月产能将超一万辆</v>
      </c>
      <c r="C6524" s="2" t="s">
        <v>13</v>
      </c>
      <c r="D6524" s="2" t="s">
        <v>12</v>
      </c>
      <c r="E6524" s="2"/>
      <c r="F6524" s="2" t="str">
        <f>HYPERLINK("http://m.12365auto.com/news/20200217/418765.shtml","http://m.12365auto.com/news/20200217/418765.shtml")</f>
        <v>http://m.12365auto.com/news/20200217/418765.shtml</v>
      </c>
      <c r="G6524" s="2"/>
      <c r="H6524" s="2" t="s">
        <v>9011</v>
      </c>
      <c r="I6524" s="2" t="s">
        <v>19</v>
      </c>
      <c r="J6524" s="2" t="s">
        <v>5923</v>
      </c>
      <c r="K6524" s="2" t="s">
        <v>9010</v>
      </c>
      <c r="L6524" s="2">
        <f t="shared" si="101"/>
        <v>150</v>
      </c>
    </row>
    <row r="6525" spans="1:12" ht="25" customHeight="1">
      <c r="A6525" s="2" t="s">
        <v>12</v>
      </c>
      <c r="B6525" s="2" t="str">
        <f>HYPERLINK("http://www.12365auto.com/news/20200217/418764.shtml","长城汽车收购通用汽车泰国罗勇府工厂")</f>
        <v>长城汽车收购通用汽车泰国罗勇府工厂</v>
      </c>
      <c r="C6525" s="2" t="s">
        <v>13</v>
      </c>
      <c r="D6525" s="2" t="s">
        <v>12</v>
      </c>
      <c r="E6525" s="2" t="s">
        <v>276</v>
      </c>
      <c r="F6525" s="2" t="str">
        <f>HYPERLINK("http://www.12365auto.com/news/20200217/418764.shtml","http://www.12365auto.com/news/20200217/418764.shtml")</f>
        <v>http://www.12365auto.com/news/20200217/418764.shtml</v>
      </c>
      <c r="G6525" s="2"/>
      <c r="H6525" s="2" t="s">
        <v>9012</v>
      </c>
      <c r="I6525" s="2" t="s">
        <v>15</v>
      </c>
      <c r="J6525" s="2" t="s">
        <v>12</v>
      </c>
      <c r="K6525" s="2" t="s">
        <v>9013</v>
      </c>
      <c r="L6525" s="2">
        <f t="shared" si="101"/>
        <v>150</v>
      </c>
    </row>
    <row r="6526" spans="1:12" ht="25" customHeight="1">
      <c r="A6526" s="2" t="s">
        <v>12</v>
      </c>
      <c r="B6526" s="2" t="str">
        <f>HYPERLINK("http://m.12365auto.com/news/20200217/418764.shtml","长城汽车收购通用汽车泰国罗勇府工厂")</f>
        <v>长城汽车收购通用汽车泰国罗勇府工厂</v>
      </c>
      <c r="C6526" s="2" t="s">
        <v>13</v>
      </c>
      <c r="D6526" s="2" t="s">
        <v>12</v>
      </c>
      <c r="E6526" s="2"/>
      <c r="F6526" s="2" t="str">
        <f>HYPERLINK("http://m.12365auto.com/news/20200217/418764.shtml","http://m.12365auto.com/news/20200217/418764.shtml")</f>
        <v>http://m.12365auto.com/news/20200217/418764.shtml</v>
      </c>
      <c r="G6526" s="2"/>
      <c r="H6526" s="2" t="s">
        <v>9014</v>
      </c>
      <c r="I6526" s="2" t="s">
        <v>19</v>
      </c>
      <c r="J6526" s="2" t="s">
        <v>9015</v>
      </c>
      <c r="K6526" s="2" t="s">
        <v>9013</v>
      </c>
      <c r="L6526" s="2">
        <f t="shared" si="101"/>
        <v>150</v>
      </c>
    </row>
    <row r="6527" spans="1:12" ht="25" customHeight="1">
      <c r="A6527" s="2" t="s">
        <v>12</v>
      </c>
      <c r="B6527" s="2" t="str">
        <f>HYPERLINK("http://m.12365auto.com/xcdg/20200217/418763.shtml","小型纯电SUV新选择 别克VELITE 7 续航500km")</f>
        <v>小型纯电SUV新选择 别克VELITE 7 续航500km</v>
      </c>
      <c r="C6527" s="2" t="s">
        <v>13</v>
      </c>
      <c r="D6527" s="2" t="s">
        <v>12</v>
      </c>
      <c r="E6527" s="2"/>
      <c r="F6527" s="2" t="str">
        <f>HYPERLINK("http://m.12365auto.com/xcdg/20200217/418763.shtml","http://m.12365auto.com/xcdg/20200217/418763.shtml")</f>
        <v>http://m.12365auto.com/xcdg/20200217/418763.shtml</v>
      </c>
      <c r="G6527" s="2"/>
      <c r="H6527" s="2" t="s">
        <v>9016</v>
      </c>
      <c r="I6527" s="2" t="s">
        <v>19</v>
      </c>
      <c r="J6527" s="2" t="s">
        <v>2660</v>
      </c>
      <c r="K6527" s="2" t="s">
        <v>9017</v>
      </c>
      <c r="L6527" s="2">
        <f t="shared" si="101"/>
        <v>150</v>
      </c>
    </row>
    <row r="6528" spans="1:12" ht="25" customHeight="1">
      <c r="A6528" s="2" t="s">
        <v>12</v>
      </c>
      <c r="B6528" s="2" t="str">
        <f>HYPERLINK("http://www.12365auto.com/xcdg/20200217/418763.shtml","小型纯电SUV新选择 别克VELITE 7 续航500km")</f>
        <v>小型纯电SUV新选择 别克VELITE 7 续航500km</v>
      </c>
      <c r="C6528" s="2" t="s">
        <v>13</v>
      </c>
      <c r="D6528" s="2" t="s">
        <v>12</v>
      </c>
      <c r="E6528" s="2" t="s">
        <v>216</v>
      </c>
      <c r="F6528" s="2" t="str">
        <f>HYPERLINK("http://www.12365auto.com/xcdg/20200217/418763.shtml","http://www.12365auto.com/xcdg/20200217/418763.shtml")</f>
        <v>http://www.12365auto.com/xcdg/20200217/418763.shtml</v>
      </c>
      <c r="G6528" s="2"/>
      <c r="H6528" s="2" t="s">
        <v>9018</v>
      </c>
      <c r="I6528" s="2" t="s">
        <v>15</v>
      </c>
      <c r="J6528" s="2" t="s">
        <v>12</v>
      </c>
      <c r="K6528" s="2" t="s">
        <v>9017</v>
      </c>
      <c r="L6528" s="2">
        <f t="shared" si="101"/>
        <v>150</v>
      </c>
    </row>
    <row r="6529" spans="1:12" ht="25" customHeight="1">
      <c r="A6529" s="2" t="s">
        <v>12</v>
      </c>
      <c r="B6529" s="2" t="str">
        <f>HYPERLINK("http://m.12365auto.com/xcdg/20200217/418762.shtml","微蓝插电混动版将上市 工况下纯电续航60km")</f>
        <v>微蓝插电混动版将上市 工况下纯电续航60km</v>
      </c>
      <c r="C6529" s="2" t="s">
        <v>13</v>
      </c>
      <c r="D6529" s="2" t="s">
        <v>12</v>
      </c>
      <c r="E6529" s="2"/>
      <c r="F6529" s="2" t="str">
        <f>HYPERLINK("http://m.12365auto.com/xcdg/20200217/418762.shtml","http://m.12365auto.com/xcdg/20200217/418762.shtml")</f>
        <v>http://m.12365auto.com/xcdg/20200217/418762.shtml</v>
      </c>
      <c r="G6529" s="2"/>
      <c r="H6529" s="2" t="s">
        <v>9019</v>
      </c>
      <c r="I6529" s="2" t="s">
        <v>19</v>
      </c>
      <c r="J6529" s="2" t="s">
        <v>2660</v>
      </c>
      <c r="K6529" s="2" t="s">
        <v>9020</v>
      </c>
      <c r="L6529" s="2">
        <f t="shared" si="101"/>
        <v>150</v>
      </c>
    </row>
    <row r="6530" spans="1:12" ht="25" customHeight="1">
      <c r="A6530" s="2" t="s">
        <v>12</v>
      </c>
      <c r="B6530" s="2" t="str">
        <f>HYPERLINK("http://www.12365auto.com/xcdg/20200217/418762.shtml","微蓝插电混动版将上市 工况下纯电续航60km")</f>
        <v>微蓝插电混动版将上市 工况下纯电续航60km</v>
      </c>
      <c r="C6530" s="2" t="s">
        <v>13</v>
      </c>
      <c r="D6530" s="2" t="s">
        <v>12</v>
      </c>
      <c r="E6530" s="2" t="s">
        <v>216</v>
      </c>
      <c r="F6530" s="2" t="str">
        <f>HYPERLINK("http://www.12365auto.com/xcdg/20200217/418762.shtml","http://www.12365auto.com/xcdg/20200217/418762.shtml")</f>
        <v>http://www.12365auto.com/xcdg/20200217/418762.shtml</v>
      </c>
      <c r="G6530" s="2"/>
      <c r="H6530" s="2" t="s">
        <v>9021</v>
      </c>
      <c r="I6530" s="2" t="s">
        <v>15</v>
      </c>
      <c r="J6530" s="2" t="s">
        <v>12</v>
      </c>
      <c r="K6530" s="2" t="s">
        <v>9020</v>
      </c>
      <c r="L6530" s="2">
        <f t="shared" si="101"/>
        <v>150</v>
      </c>
    </row>
    <row r="6531" spans="1:12" ht="25" customHeight="1">
      <c r="A6531" s="2" t="s">
        <v>12</v>
      </c>
      <c r="B6531" s="2" t="str">
        <f>HYPERLINK("http://www.12365auto.com/zlts/20200217/447503.shtml","关于宝马加装服务外包的问题")</f>
        <v>关于宝马加装服务外包的问题</v>
      </c>
      <c r="C6531" s="2" t="s">
        <v>13</v>
      </c>
      <c r="D6531" s="2" t="s">
        <v>12</v>
      </c>
      <c r="E6531" s="2"/>
      <c r="F6531" s="2" t="str">
        <f>HYPERLINK("http://www.12365auto.com/zlts/20200217/447503.shtml","http://www.12365auto.com/zlts/20200217/447503.shtml")</f>
        <v>http://www.12365auto.com/zlts/20200217/447503.shtml</v>
      </c>
      <c r="G6531" s="2"/>
      <c r="H6531" s="2" t="s">
        <v>17690</v>
      </c>
      <c r="I6531" s="2" t="s">
        <v>15</v>
      </c>
      <c r="J6531" s="2" t="s">
        <v>12</v>
      </c>
      <c r="K6531" s="2" t="s">
        <v>9022</v>
      </c>
      <c r="L6531" s="2">
        <f t="shared" ref="L6531:L6594" si="102">LEN(H6531)</f>
        <v>81</v>
      </c>
    </row>
    <row r="6532" spans="1:12" ht="25" customHeight="1">
      <c r="A6532" s="2" t="s">
        <v>12</v>
      </c>
      <c r="B6532" s="2" t="str">
        <f>HYPERLINK("http://www.12365auto.com/zlts/20200217/447504.shtml","上汽名爵HS电瓶频繁亏电影响使用")</f>
        <v>上汽名爵HS电瓶频繁亏电影响使用</v>
      </c>
      <c r="C6532" s="2" t="s">
        <v>13</v>
      </c>
      <c r="D6532" s="2" t="s">
        <v>12</v>
      </c>
      <c r="E6532" s="2" t="s">
        <v>17</v>
      </c>
      <c r="F6532" s="2" t="str">
        <f>HYPERLINK("http://www.12365auto.com/zlts/20200217/447504.shtml","http://www.12365auto.com/zlts/20200217/447504.shtml")</f>
        <v>http://www.12365auto.com/zlts/20200217/447504.shtml</v>
      </c>
      <c r="G6532" s="2"/>
      <c r="H6532" s="2" t="s">
        <v>9023</v>
      </c>
      <c r="I6532" s="2" t="s">
        <v>19</v>
      </c>
      <c r="J6532" s="2" t="s">
        <v>12</v>
      </c>
      <c r="K6532" s="2" t="s">
        <v>9024</v>
      </c>
      <c r="L6532" s="2">
        <f t="shared" si="102"/>
        <v>150</v>
      </c>
    </row>
    <row r="6533" spans="1:12" ht="25" customHeight="1">
      <c r="A6533" s="2" t="s">
        <v>12</v>
      </c>
      <c r="B6533" s="2" t="str">
        <f>HYPERLINK("http://m.12365auto.com/bbs/postcontent.aspx?tID=194297","长安厂家和4S店对车子有问题不处理")</f>
        <v>长安厂家和4S店对车子有问题不处理</v>
      </c>
      <c r="C6533" s="2" t="s">
        <v>13</v>
      </c>
      <c r="D6533" s="2" t="s">
        <v>23</v>
      </c>
      <c r="E6533" s="2"/>
      <c r="F6533" s="2" t="str">
        <f>HYPERLINK("http://m.12365auto.com/bbs/postcontent.aspx?tID=194297","http://m.12365auto.com/bbs/postcontent.aspx?tID=194297")</f>
        <v>http://m.12365auto.com/bbs/postcontent.aspx?tID=194297</v>
      </c>
      <c r="G6533" s="2"/>
      <c r="H6533" s="2" t="s">
        <v>9025</v>
      </c>
      <c r="I6533" s="2" t="s">
        <v>15</v>
      </c>
      <c r="J6533" s="2" t="s">
        <v>9026</v>
      </c>
      <c r="K6533" s="2" t="s">
        <v>9024</v>
      </c>
      <c r="L6533" s="2">
        <f t="shared" si="102"/>
        <v>150</v>
      </c>
    </row>
    <row r="6534" spans="1:12" ht="25" customHeight="1">
      <c r="A6534" s="2" t="s">
        <v>12</v>
      </c>
      <c r="B6534" s="2" t="str">
        <f>HYPERLINK("http://bbs.12365auto.com/postcontent.aspx?tID=194297","长安厂家和4S店对车子有问题不处理")</f>
        <v>长安厂家和4S店对车子有问题不处理</v>
      </c>
      <c r="C6534" s="2" t="s">
        <v>13</v>
      </c>
      <c r="D6534" s="2" t="s">
        <v>12</v>
      </c>
      <c r="E6534" s="2" t="s">
        <v>1660</v>
      </c>
      <c r="F6534" s="2" t="str">
        <f>HYPERLINK("http://bbs.12365auto.com/postcontent.aspx?tID=194297","http://bbs.12365auto.com/postcontent.aspx?tID=194297")</f>
        <v>http://bbs.12365auto.com/postcontent.aspx?tID=194297</v>
      </c>
      <c r="G6534" s="2"/>
      <c r="H6534" s="2" t="s">
        <v>9027</v>
      </c>
      <c r="I6534" s="2" t="s">
        <v>15</v>
      </c>
      <c r="J6534" s="2" t="s">
        <v>9026</v>
      </c>
      <c r="K6534" s="2" t="s">
        <v>9024</v>
      </c>
      <c r="L6534" s="2">
        <f t="shared" si="102"/>
        <v>150</v>
      </c>
    </row>
    <row r="6535" spans="1:12" ht="25" customHeight="1">
      <c r="A6535" s="2" t="s">
        <v>12</v>
      </c>
      <c r="B6535" s="2" t="str">
        <f>HYPERLINK("http://bbs.12365auto.com/postcontent.aspx?tId=194297","长安厂家和4S店对车子有问题不处理")</f>
        <v>长安厂家和4S店对车子有问题不处理</v>
      </c>
      <c r="C6535" s="2" t="s">
        <v>13</v>
      </c>
      <c r="D6535" s="2" t="s">
        <v>12</v>
      </c>
      <c r="E6535" s="2" t="s">
        <v>1664</v>
      </c>
      <c r="F6535" s="2" t="str">
        <f>HYPERLINK("http://bbs.12365auto.com/postcontent.aspx?tId=194297","http://bbs.12365auto.com/postcontent.aspx?tId=194297")</f>
        <v>http://bbs.12365auto.com/postcontent.aspx?tId=194297</v>
      </c>
      <c r="G6535" s="2"/>
      <c r="H6535" s="2" t="s">
        <v>9025</v>
      </c>
      <c r="I6535" s="2" t="s">
        <v>15</v>
      </c>
      <c r="J6535" s="2" t="s">
        <v>9026</v>
      </c>
      <c r="K6535" s="2" t="s">
        <v>9024</v>
      </c>
      <c r="L6535" s="2">
        <f t="shared" si="102"/>
        <v>150</v>
      </c>
    </row>
    <row r="6536" spans="1:12" ht="25" customHeight="1">
      <c r="A6536" s="2" t="s">
        <v>12</v>
      </c>
      <c r="B6536" s="2" t="str">
        <f>HYPERLINK("http://www.12365auto.com/zlts/20200217/447502.shtml","东风标致207后桥变形有异响希望厂家处理")</f>
        <v>东风标致207后桥变形有异响希望厂家处理</v>
      </c>
      <c r="C6536" s="2" t="s">
        <v>13</v>
      </c>
      <c r="D6536" s="2" t="s">
        <v>12</v>
      </c>
      <c r="E6536" s="2" t="s">
        <v>17</v>
      </c>
      <c r="F6536" s="2" t="str">
        <f>HYPERLINK("http://www.12365auto.com/zlts/20200217/447502.shtml","http://www.12365auto.com/zlts/20200217/447502.shtml")</f>
        <v>http://www.12365auto.com/zlts/20200217/447502.shtml</v>
      </c>
      <c r="G6536" s="2"/>
      <c r="H6536" s="2" t="s">
        <v>9028</v>
      </c>
      <c r="I6536" s="2" t="s">
        <v>19</v>
      </c>
      <c r="J6536" s="2" t="s">
        <v>12</v>
      </c>
      <c r="K6536" s="2" t="s">
        <v>9029</v>
      </c>
      <c r="L6536" s="2">
        <f t="shared" si="102"/>
        <v>150</v>
      </c>
    </row>
    <row r="6537" spans="1:12" ht="25" customHeight="1">
      <c r="A6537" s="2" t="s">
        <v>12</v>
      </c>
      <c r="B6537" s="2" t="str">
        <f>HYPERLINK("http://www.12365auto.com/zlts/20200217/447501.shtml","郑州日产途达电瓶无电导致无法启动")</f>
        <v>郑州日产途达电瓶无电导致无法启动</v>
      </c>
      <c r="C6537" s="2" t="s">
        <v>13</v>
      </c>
      <c r="D6537" s="2" t="s">
        <v>12</v>
      </c>
      <c r="E6537" s="2" t="s">
        <v>17</v>
      </c>
      <c r="F6537" s="2" t="str">
        <f>HYPERLINK("http://www.12365auto.com/zlts/20200217/447501.shtml","http://www.12365auto.com/zlts/20200217/447501.shtml")</f>
        <v>http://www.12365auto.com/zlts/20200217/447501.shtml</v>
      </c>
      <c r="G6537" s="2"/>
      <c r="H6537" s="2" t="s">
        <v>9030</v>
      </c>
      <c r="I6537" s="2" t="s">
        <v>19</v>
      </c>
      <c r="J6537" s="2" t="s">
        <v>12</v>
      </c>
      <c r="K6537" s="2" t="s">
        <v>9031</v>
      </c>
      <c r="L6537" s="2">
        <f t="shared" si="102"/>
        <v>150</v>
      </c>
    </row>
    <row r="6538" spans="1:12" ht="25" customHeight="1">
      <c r="A6538" s="2" t="s">
        <v>12</v>
      </c>
      <c r="B6538" s="2" t="str">
        <f>HYPERLINK("http://m.12365auto.com/zjdy/20200217/121335.shtml","雪佛兰探界者无法加速可否要求换车？")</f>
        <v>雪佛兰探界者无法加速可否要求换车？</v>
      </c>
      <c r="C6538" s="2" t="s">
        <v>13</v>
      </c>
      <c r="D6538" s="2" t="s">
        <v>12</v>
      </c>
      <c r="E6538" s="2"/>
      <c r="F6538" s="2" t="str">
        <f>HYPERLINK("http://m.12365auto.com/zjdy/20200217/121335.shtml","http://m.12365auto.com/zjdy/20200217/121335.shtml")</f>
        <v>http://m.12365auto.com/zjdy/20200217/121335.shtml</v>
      </c>
      <c r="G6538" s="2"/>
      <c r="H6538" s="2" t="s">
        <v>9032</v>
      </c>
      <c r="I6538" s="2" t="s">
        <v>19</v>
      </c>
      <c r="J6538" s="2" t="s">
        <v>12</v>
      </c>
      <c r="K6538" s="2" t="s">
        <v>9033</v>
      </c>
      <c r="L6538" s="2">
        <f t="shared" si="102"/>
        <v>38</v>
      </c>
    </row>
    <row r="6539" spans="1:12" ht="25" customHeight="1">
      <c r="A6539" s="2" t="s">
        <v>12</v>
      </c>
      <c r="B6539" s="2" t="str">
        <f>HYPERLINK("http://www.12365auto.com/news/20200217/418761.shtml","倒车雷达和倒车影像到底哪个更靠谱？")</f>
        <v>倒车雷达和倒车影像到底哪个更靠谱？</v>
      </c>
      <c r="C6539" s="2" t="s">
        <v>13</v>
      </c>
      <c r="D6539" s="2" t="s">
        <v>12</v>
      </c>
      <c r="E6539" s="2" t="s">
        <v>372</v>
      </c>
      <c r="F6539" s="2" t="str">
        <f>HYPERLINK("http://www.12365auto.com/news/20200217/418761.shtml","http://www.12365auto.com/news/20200217/418761.shtml")</f>
        <v>http://www.12365auto.com/news/20200217/418761.shtml</v>
      </c>
      <c r="G6539" s="2"/>
      <c r="H6539" s="2" t="s">
        <v>9034</v>
      </c>
      <c r="I6539" s="2" t="s">
        <v>15</v>
      </c>
      <c r="J6539" s="2" t="s">
        <v>12</v>
      </c>
      <c r="K6539" s="2" t="s">
        <v>9035</v>
      </c>
      <c r="L6539" s="2">
        <f t="shared" si="102"/>
        <v>150</v>
      </c>
    </row>
    <row r="6540" spans="1:12" ht="25" customHeight="1">
      <c r="A6540" s="2" t="s">
        <v>12</v>
      </c>
      <c r="B6540" s="2" t="str">
        <f>HYPERLINK("http://m.12365auto.com/news/20200217/418761.shtml","倒车雷达和倒车影像到底哪个更靠谱？")</f>
        <v>倒车雷达和倒车影像到底哪个更靠谱？</v>
      </c>
      <c r="C6540" s="2" t="s">
        <v>13</v>
      </c>
      <c r="D6540" s="2" t="s">
        <v>12</v>
      </c>
      <c r="E6540" s="2"/>
      <c r="F6540" s="2" t="str">
        <f>HYPERLINK("http://m.12365auto.com/news/20200217/418761.shtml","http://m.12365auto.com/news/20200217/418761.shtml")</f>
        <v>http://m.12365auto.com/news/20200217/418761.shtml</v>
      </c>
      <c r="G6540" s="2"/>
      <c r="H6540" s="2" t="s">
        <v>9036</v>
      </c>
      <c r="I6540" s="2" t="s">
        <v>19</v>
      </c>
      <c r="J6540" s="2" t="s">
        <v>3507</v>
      </c>
      <c r="K6540" s="2" t="s">
        <v>9035</v>
      </c>
      <c r="L6540" s="2">
        <f t="shared" si="102"/>
        <v>150</v>
      </c>
    </row>
    <row r="6541" spans="1:12" ht="25" customHeight="1">
      <c r="A6541" s="2" t="s">
        <v>12</v>
      </c>
      <c r="B6541" s="2" t="str">
        <f>HYPERLINK("http://www.12365auto.com/zlts/20200217/447496.shtml","东风本田思域购买新车不予提供合格证")</f>
        <v>东风本田思域购买新车不予提供合格证</v>
      </c>
      <c r="C6541" s="2" t="s">
        <v>13</v>
      </c>
      <c r="D6541" s="2" t="s">
        <v>12</v>
      </c>
      <c r="E6541" s="2"/>
      <c r="F6541" s="2" t="str">
        <f>HYPERLINK("http://www.12365auto.com/zlts/20200217/447496.shtml","http://www.12365auto.com/zlts/20200217/447496.shtml")</f>
        <v>http://www.12365auto.com/zlts/20200217/447496.shtml</v>
      </c>
      <c r="G6541" s="2"/>
      <c r="H6541" s="2" t="s">
        <v>17691</v>
      </c>
      <c r="I6541" s="2" t="s">
        <v>15</v>
      </c>
      <c r="J6541" s="2" t="s">
        <v>12</v>
      </c>
      <c r="K6541" s="2" t="s">
        <v>9037</v>
      </c>
      <c r="L6541" s="2">
        <f t="shared" si="102"/>
        <v>85</v>
      </c>
    </row>
    <row r="6542" spans="1:12" ht="25" customHeight="1">
      <c r="A6542" s="2" t="s">
        <v>12</v>
      </c>
      <c r="B6542" s="2" t="str">
        <f>HYPERLINK("http://www.12365auto.com/news/20200217/418760.shtml","买车到底要不要天窗？其实不用这么纠结")</f>
        <v>买车到底要不要天窗？其实不用这么纠结</v>
      </c>
      <c r="C6542" s="2" t="s">
        <v>13</v>
      </c>
      <c r="D6542" s="2" t="s">
        <v>12</v>
      </c>
      <c r="E6542" s="2" t="s">
        <v>372</v>
      </c>
      <c r="F6542" s="2" t="str">
        <f>HYPERLINK("http://www.12365auto.com/news/20200217/418760.shtml","http://www.12365auto.com/news/20200217/418760.shtml")</f>
        <v>http://www.12365auto.com/news/20200217/418760.shtml</v>
      </c>
      <c r="G6542" s="2"/>
      <c r="H6542" s="2" t="s">
        <v>9038</v>
      </c>
      <c r="I6542" s="2" t="s">
        <v>15</v>
      </c>
      <c r="J6542" s="2" t="s">
        <v>12</v>
      </c>
      <c r="K6542" s="2" t="s">
        <v>9039</v>
      </c>
      <c r="L6542" s="2">
        <f t="shared" si="102"/>
        <v>150</v>
      </c>
    </row>
    <row r="6543" spans="1:12" ht="25" customHeight="1">
      <c r="A6543" s="2" t="s">
        <v>12</v>
      </c>
      <c r="B6543" s="2" t="str">
        <f>HYPERLINK("http://m.12365auto.com/bbs/postcontent.aspx?tID=194296","新全顺T型旅居房车 商旅两用 星级享受")</f>
        <v>新全顺T型旅居房车 商旅两用 星级享受</v>
      </c>
      <c r="C6543" s="2" t="s">
        <v>13</v>
      </c>
      <c r="D6543" s="2" t="s">
        <v>23</v>
      </c>
      <c r="E6543" s="2"/>
      <c r="F6543" s="2" t="str">
        <f>HYPERLINK("http://m.12365auto.com/bbs/postcontent.aspx?tID=194296","http://m.12365auto.com/bbs/postcontent.aspx?tID=194296")</f>
        <v>http://m.12365auto.com/bbs/postcontent.aspx?tID=194296</v>
      </c>
      <c r="G6543" s="2"/>
      <c r="H6543" s="2" t="s">
        <v>9040</v>
      </c>
      <c r="I6543" s="2" t="s">
        <v>15</v>
      </c>
      <c r="J6543" s="2" t="s">
        <v>9041</v>
      </c>
      <c r="K6543" s="2" t="s">
        <v>9039</v>
      </c>
      <c r="L6543" s="2">
        <f t="shared" si="102"/>
        <v>150</v>
      </c>
    </row>
    <row r="6544" spans="1:12" ht="25" customHeight="1">
      <c r="A6544" s="2" t="s">
        <v>12</v>
      </c>
      <c r="B6544" s="2" t="str">
        <f>HYPERLINK("http://bbs.12365auto.com/postcontent.aspx?tID=194296","新全顺T型旅居房车 商旅两用 星级享受")</f>
        <v>新全顺T型旅居房车 商旅两用 星级享受</v>
      </c>
      <c r="C6544" s="2" t="s">
        <v>13</v>
      </c>
      <c r="D6544" s="2" t="s">
        <v>12</v>
      </c>
      <c r="E6544" s="2" t="s">
        <v>28</v>
      </c>
      <c r="F6544" s="2" t="str">
        <f>HYPERLINK("http://bbs.12365auto.com/postcontent.aspx?tID=194296","http://bbs.12365auto.com/postcontent.aspx?tID=194296")</f>
        <v>http://bbs.12365auto.com/postcontent.aspx?tID=194296</v>
      </c>
      <c r="G6544" s="2"/>
      <c r="H6544" s="2" t="s">
        <v>9042</v>
      </c>
      <c r="I6544" s="2" t="s">
        <v>15</v>
      </c>
      <c r="J6544" s="2" t="s">
        <v>9041</v>
      </c>
      <c r="K6544" s="2" t="s">
        <v>9039</v>
      </c>
      <c r="L6544" s="2">
        <f t="shared" si="102"/>
        <v>150</v>
      </c>
    </row>
    <row r="6545" spans="1:12" ht="25" customHeight="1">
      <c r="A6545" s="2" t="s">
        <v>12</v>
      </c>
      <c r="B6545" s="2" t="str">
        <f>HYPERLINK("http://bbs.12365auto.com/postcontent.aspx?tId=194296","新全顺T型旅居房车 商旅两用 星级享受")</f>
        <v>新全顺T型旅居房车 商旅两用 星级享受</v>
      </c>
      <c r="C6545" s="2" t="s">
        <v>13</v>
      </c>
      <c r="D6545" s="2" t="s">
        <v>12</v>
      </c>
      <c r="E6545" s="2" t="s">
        <v>27</v>
      </c>
      <c r="F6545" s="2" t="str">
        <f>HYPERLINK("http://bbs.12365auto.com/postcontent.aspx?tId=194296","http://bbs.12365auto.com/postcontent.aspx?tId=194296")</f>
        <v>http://bbs.12365auto.com/postcontent.aspx?tId=194296</v>
      </c>
      <c r="G6545" s="2"/>
      <c r="H6545" s="2" t="s">
        <v>9040</v>
      </c>
      <c r="I6545" s="2" t="s">
        <v>15</v>
      </c>
      <c r="J6545" s="2" t="s">
        <v>9041</v>
      </c>
      <c r="K6545" s="2" t="s">
        <v>9039</v>
      </c>
      <c r="L6545" s="2">
        <f t="shared" si="102"/>
        <v>150</v>
      </c>
    </row>
    <row r="6546" spans="1:12" ht="25" customHeight="1">
      <c r="A6546" s="2" t="s">
        <v>12</v>
      </c>
      <c r="B6546" s="2" t="str">
        <f>HYPERLINK("http://m.12365auto.com/news/20200217/418760.shtml","买车到底要不要天窗？其实不用这么纠结")</f>
        <v>买车到底要不要天窗？其实不用这么纠结</v>
      </c>
      <c r="C6546" s="2" t="s">
        <v>13</v>
      </c>
      <c r="D6546" s="2" t="s">
        <v>12</v>
      </c>
      <c r="E6546" s="2"/>
      <c r="F6546" s="2" t="str">
        <f>HYPERLINK("http://m.12365auto.com/news/20200217/418760.shtml","http://m.12365auto.com/news/20200217/418760.shtml")</f>
        <v>http://m.12365auto.com/news/20200217/418760.shtml</v>
      </c>
      <c r="G6546" s="2"/>
      <c r="H6546" s="2" t="s">
        <v>9043</v>
      </c>
      <c r="I6546" s="2" t="s">
        <v>19</v>
      </c>
      <c r="J6546" s="2" t="s">
        <v>3507</v>
      </c>
      <c r="K6546" s="2" t="s">
        <v>9039</v>
      </c>
      <c r="L6546" s="2">
        <f t="shared" si="102"/>
        <v>150</v>
      </c>
    </row>
    <row r="6547" spans="1:12" ht="25" customHeight="1">
      <c r="A6547" s="2" t="s">
        <v>12</v>
      </c>
      <c r="B6547" s="2" t="str">
        <f>HYPERLINK("http://m.12365auto.com/zjdy/20200217/121334.shtml","长安逸动这款车发动机质量怎么样？")</f>
        <v>长安逸动这款车发动机质量怎么样？</v>
      </c>
      <c r="C6547" s="2" t="s">
        <v>13</v>
      </c>
      <c r="D6547" s="2" t="s">
        <v>12</v>
      </c>
      <c r="E6547" s="2"/>
      <c r="F6547" s="2" t="str">
        <f>HYPERLINK("http://m.12365auto.com/zjdy/20200217/121334.shtml","http://m.12365auto.com/zjdy/20200217/121334.shtml")</f>
        <v>http://m.12365auto.com/zjdy/20200217/121334.shtml</v>
      </c>
      <c r="G6547" s="2"/>
      <c r="H6547" s="2" t="s">
        <v>9044</v>
      </c>
      <c r="I6547" s="2" t="s">
        <v>19</v>
      </c>
      <c r="J6547" s="2" t="s">
        <v>12</v>
      </c>
      <c r="K6547" s="2" t="s">
        <v>9045</v>
      </c>
      <c r="L6547" s="2">
        <f t="shared" si="102"/>
        <v>33</v>
      </c>
    </row>
    <row r="6548" spans="1:12" ht="25" customHeight="1">
      <c r="A6548" s="2" t="s">
        <v>12</v>
      </c>
      <c r="B6548" s="2" t="str">
        <f>HYPERLINK("http://www.12365auto.com/zlts/20200217/447500.shtml","上汽荣威i6中网开裂厂家未回复处理")</f>
        <v>上汽荣威i6中网开裂厂家未回复处理</v>
      </c>
      <c r="C6548" s="2" t="s">
        <v>13</v>
      </c>
      <c r="D6548" s="2" t="s">
        <v>12</v>
      </c>
      <c r="E6548" s="2"/>
      <c r="F6548" s="2" t="str">
        <f>HYPERLINK("http://www.12365auto.com/zlts/20200217/447500.shtml","http://www.12365auto.com/zlts/20200217/447500.shtml")</f>
        <v>http://www.12365auto.com/zlts/20200217/447500.shtml</v>
      </c>
      <c r="G6548" s="2"/>
      <c r="H6548" s="2" t="s">
        <v>17692</v>
      </c>
      <c r="I6548" s="2" t="s">
        <v>15</v>
      </c>
      <c r="J6548" s="2" t="s">
        <v>12</v>
      </c>
      <c r="K6548" s="2" t="s">
        <v>9046</v>
      </c>
      <c r="L6548" s="2">
        <f t="shared" si="102"/>
        <v>89</v>
      </c>
    </row>
    <row r="6549" spans="1:12" ht="25" customHeight="1">
      <c r="A6549" s="2" t="s">
        <v>12</v>
      </c>
      <c r="B6549" s="2" t="str">
        <f>HYPERLINK("http://m.12365auto.com/xcdg/20200217/418759.shtml","个性时尚 4款15万左右合资小型SUV推荐")</f>
        <v>个性时尚 4款15万左右合资小型SUV推荐</v>
      </c>
      <c r="C6549" s="2" t="s">
        <v>13</v>
      </c>
      <c r="D6549" s="2" t="s">
        <v>12</v>
      </c>
      <c r="E6549" s="2"/>
      <c r="F6549" s="2" t="str">
        <f>HYPERLINK("http://m.12365auto.com/xcdg/20200217/418759.shtml","http://m.12365auto.com/xcdg/20200217/418759.shtml")</f>
        <v>http://m.12365auto.com/xcdg/20200217/418759.shtml</v>
      </c>
      <c r="G6549" s="2"/>
      <c r="H6549" s="2" t="s">
        <v>9047</v>
      </c>
      <c r="I6549" s="2" t="s">
        <v>19</v>
      </c>
      <c r="J6549" s="2" t="s">
        <v>9048</v>
      </c>
      <c r="K6549" s="2" t="s">
        <v>9049</v>
      </c>
      <c r="L6549" s="2">
        <f t="shared" si="102"/>
        <v>150</v>
      </c>
    </row>
    <row r="6550" spans="1:12" ht="25" customHeight="1">
      <c r="A6550" s="2" t="s">
        <v>12</v>
      </c>
      <c r="B6550" s="2" t="str">
        <f>HYPERLINK("http://www.12365auto.com/zlts/20200217/447499.shtml","北京现代途胜升级后发动机动力弱厂家未回复")</f>
        <v>北京现代途胜升级后发动机动力弱厂家未回复</v>
      </c>
      <c r="C6550" s="2" t="s">
        <v>13</v>
      </c>
      <c r="D6550" s="2" t="s">
        <v>12</v>
      </c>
      <c r="E6550" s="2" t="s">
        <v>17</v>
      </c>
      <c r="F6550" s="2" t="str">
        <f>HYPERLINK("http://www.12365auto.com/zlts/20200217/447499.shtml","http://www.12365auto.com/zlts/20200217/447499.shtml")</f>
        <v>http://www.12365auto.com/zlts/20200217/447499.shtml</v>
      </c>
      <c r="G6550" s="2"/>
      <c r="H6550" s="2" t="s">
        <v>9050</v>
      </c>
      <c r="I6550" s="2" t="s">
        <v>19</v>
      </c>
      <c r="J6550" s="2" t="s">
        <v>12</v>
      </c>
      <c r="K6550" s="2" t="s">
        <v>9051</v>
      </c>
      <c r="L6550" s="2">
        <f t="shared" si="102"/>
        <v>150</v>
      </c>
    </row>
    <row r="6551" spans="1:12" ht="25" customHeight="1">
      <c r="A6551" s="2" t="s">
        <v>12</v>
      </c>
      <c r="B6551" s="2" t="str">
        <f>HYPERLINK("http://m.12365auto.com/xcdg/20200217/418758.shtml","实力全面提升 海外实拍全新丰田汉兰达")</f>
        <v>实力全面提升 海外实拍全新丰田汉兰达</v>
      </c>
      <c r="C6551" s="2" t="s">
        <v>13</v>
      </c>
      <c r="D6551" s="2" t="s">
        <v>12</v>
      </c>
      <c r="E6551" s="2"/>
      <c r="F6551" s="2" t="str">
        <f>HYPERLINK("http://m.12365auto.com/xcdg/20200217/418758.shtml","http://m.12365auto.com/xcdg/20200217/418758.shtml")</f>
        <v>http://m.12365auto.com/xcdg/20200217/418758.shtml</v>
      </c>
      <c r="G6551" s="2"/>
      <c r="H6551" s="2" t="s">
        <v>9052</v>
      </c>
      <c r="I6551" s="2" t="s">
        <v>19</v>
      </c>
      <c r="J6551" s="2" t="s">
        <v>2048</v>
      </c>
      <c r="K6551" s="2" t="s">
        <v>9051</v>
      </c>
      <c r="L6551" s="2">
        <f t="shared" si="102"/>
        <v>150</v>
      </c>
    </row>
    <row r="6552" spans="1:12" ht="25" customHeight="1">
      <c r="A6552" s="2" t="s">
        <v>12</v>
      </c>
      <c r="B6552" s="2" t="str">
        <f>HYPERLINK("http://www.12365auto.com/xcdg/20200217/418758.shtml","实力全面提升 海外实拍全新丰田汉兰达")</f>
        <v>实力全面提升 海外实拍全新丰田汉兰达</v>
      </c>
      <c r="C6552" s="2" t="s">
        <v>13</v>
      </c>
      <c r="D6552" s="2" t="s">
        <v>12</v>
      </c>
      <c r="E6552" s="2" t="s">
        <v>216</v>
      </c>
      <c r="F6552" s="2" t="str">
        <f>HYPERLINK("http://www.12365auto.com/xcdg/20200217/418758.shtml","http://www.12365auto.com/xcdg/20200217/418758.shtml")</f>
        <v>http://www.12365auto.com/xcdg/20200217/418758.shtml</v>
      </c>
      <c r="G6552" s="2"/>
      <c r="H6552" s="2" t="s">
        <v>9053</v>
      </c>
      <c r="I6552" s="2" t="s">
        <v>15</v>
      </c>
      <c r="J6552" s="2" t="s">
        <v>12</v>
      </c>
      <c r="K6552" s="2" t="s">
        <v>9051</v>
      </c>
      <c r="L6552" s="2">
        <f t="shared" si="102"/>
        <v>150</v>
      </c>
    </row>
    <row r="6553" spans="1:12" ht="25" customHeight="1">
      <c r="A6553" s="2" t="s">
        <v>12</v>
      </c>
      <c r="B6553" s="2" t="str">
        <f>HYPERLINK("http://bbs.12365auto.com/postcontent.aspx?tID=194295","不想爱车经常维修 这些开车坏习惯必须改掉")</f>
        <v>不想爱车经常维修 这些开车坏习惯必须改掉</v>
      </c>
      <c r="C6553" s="2" t="s">
        <v>13</v>
      </c>
      <c r="D6553" s="2" t="s">
        <v>12</v>
      </c>
      <c r="E6553" s="2" t="s">
        <v>1393</v>
      </c>
      <c r="F6553" s="2" t="str">
        <f>HYPERLINK("http://bbs.12365auto.com/postcontent.aspx?tID=194295","http://bbs.12365auto.com/postcontent.aspx?tID=194295")</f>
        <v>http://bbs.12365auto.com/postcontent.aspx?tID=194295</v>
      </c>
      <c r="G6553" s="2"/>
      <c r="H6553" s="2" t="s">
        <v>9054</v>
      </c>
      <c r="I6553" s="2" t="s">
        <v>15</v>
      </c>
      <c r="J6553" s="2" t="s">
        <v>9055</v>
      </c>
      <c r="K6553" s="2" t="s">
        <v>9056</v>
      </c>
      <c r="L6553" s="2">
        <f t="shared" si="102"/>
        <v>150</v>
      </c>
    </row>
    <row r="6554" spans="1:12" ht="25" customHeight="1">
      <c r="A6554" s="2" t="s">
        <v>12</v>
      </c>
      <c r="B6554" s="2" t="str">
        <f>HYPERLINK("http://bbs.12365auto.com/postcontent.aspx?tId=194295","不想爱车经常维修 这些开车坏习惯必须改掉")</f>
        <v>不想爱车经常维修 这些开车坏习惯必须改掉</v>
      </c>
      <c r="C6554" s="2" t="s">
        <v>13</v>
      </c>
      <c r="D6554" s="2" t="s">
        <v>12</v>
      </c>
      <c r="E6554" s="2" t="s">
        <v>1397</v>
      </c>
      <c r="F6554" s="2" t="str">
        <f>HYPERLINK("http://bbs.12365auto.com/postcontent.aspx?tId=194295","http://bbs.12365auto.com/postcontent.aspx?tId=194295")</f>
        <v>http://bbs.12365auto.com/postcontent.aspx?tId=194295</v>
      </c>
      <c r="G6554" s="2"/>
      <c r="H6554" s="2" t="s">
        <v>9057</v>
      </c>
      <c r="I6554" s="2" t="s">
        <v>15</v>
      </c>
      <c r="J6554" s="2" t="s">
        <v>9055</v>
      </c>
      <c r="K6554" s="2" t="s">
        <v>9056</v>
      </c>
      <c r="L6554" s="2">
        <f t="shared" si="102"/>
        <v>150</v>
      </c>
    </row>
    <row r="6555" spans="1:12" ht="25" customHeight="1">
      <c r="A6555" s="2" t="s">
        <v>12</v>
      </c>
      <c r="B6555" s="2" t="str">
        <f>HYPERLINK("http://bbs.12365auto.com/postcontent.aspx?tId=194294","MQB平台是真的没区别 还是无止境减配的开端")</f>
        <v>MQB平台是真的没区别 还是无止境减配的开端</v>
      </c>
      <c r="C6555" s="2" t="s">
        <v>13</v>
      </c>
      <c r="D6555" s="2" t="s">
        <v>12</v>
      </c>
      <c r="E6555" s="2" t="s">
        <v>1397</v>
      </c>
      <c r="F6555" s="2" t="str">
        <f>HYPERLINK("http://bbs.12365auto.com/postcontent.aspx?tId=194294","http://bbs.12365auto.com/postcontent.aspx?tId=194294")</f>
        <v>http://bbs.12365auto.com/postcontent.aspx?tId=194294</v>
      </c>
      <c r="G6555" s="2"/>
      <c r="H6555" s="2" t="s">
        <v>9058</v>
      </c>
      <c r="I6555" s="2" t="s">
        <v>15</v>
      </c>
      <c r="J6555" s="2" t="s">
        <v>9055</v>
      </c>
      <c r="K6555" s="2" t="s">
        <v>9056</v>
      </c>
      <c r="L6555" s="2">
        <f t="shared" si="102"/>
        <v>150</v>
      </c>
    </row>
    <row r="6556" spans="1:12" ht="25" customHeight="1">
      <c r="A6556" s="2" t="s">
        <v>12</v>
      </c>
      <c r="B6556" s="2" t="str">
        <f>HYPERLINK("http://m.12365auto.com/bbs/postcontent.aspx?tID=194295","不想爱车经常维修 这些开车坏习惯必须改掉")</f>
        <v>不想爱车经常维修 这些开车坏习惯必须改掉</v>
      </c>
      <c r="C6556" s="2" t="s">
        <v>13</v>
      </c>
      <c r="D6556" s="2" t="s">
        <v>23</v>
      </c>
      <c r="E6556" s="2"/>
      <c r="F6556" s="2" t="str">
        <f>HYPERLINK("http://m.12365auto.com/bbs/postcontent.aspx?tID=194295","http://m.12365auto.com/bbs/postcontent.aspx?tID=194295")</f>
        <v>http://m.12365auto.com/bbs/postcontent.aspx?tID=194295</v>
      </c>
      <c r="G6556" s="2"/>
      <c r="H6556" s="2" t="s">
        <v>9057</v>
      </c>
      <c r="I6556" s="2" t="s">
        <v>15</v>
      </c>
      <c r="J6556" s="2" t="s">
        <v>9055</v>
      </c>
      <c r="K6556" s="2" t="s">
        <v>9056</v>
      </c>
      <c r="L6556" s="2">
        <f t="shared" si="102"/>
        <v>150</v>
      </c>
    </row>
    <row r="6557" spans="1:12" ht="25" customHeight="1">
      <c r="A6557" s="2" t="s">
        <v>12</v>
      </c>
      <c r="B6557" s="2" t="str">
        <f>HYPERLINK("http://m.12365auto.com/bbs/postcontent.aspx?tID=194294","MQB平台是真的没区别 还是无止境减配的开端")</f>
        <v>MQB平台是真的没区别 还是无止境减配的开端</v>
      </c>
      <c r="C6557" s="2" t="s">
        <v>13</v>
      </c>
      <c r="D6557" s="2" t="s">
        <v>23</v>
      </c>
      <c r="E6557" s="2"/>
      <c r="F6557" s="2" t="str">
        <f>HYPERLINK("http://m.12365auto.com/bbs/postcontent.aspx?tID=194294","http://m.12365auto.com/bbs/postcontent.aspx?tID=194294")</f>
        <v>http://m.12365auto.com/bbs/postcontent.aspx?tID=194294</v>
      </c>
      <c r="G6557" s="2"/>
      <c r="H6557" s="2" t="s">
        <v>9058</v>
      </c>
      <c r="I6557" s="2" t="s">
        <v>15</v>
      </c>
      <c r="J6557" s="2" t="s">
        <v>9055</v>
      </c>
      <c r="K6557" s="2" t="s">
        <v>9056</v>
      </c>
      <c r="L6557" s="2">
        <f t="shared" si="102"/>
        <v>150</v>
      </c>
    </row>
    <row r="6558" spans="1:12" ht="25" customHeight="1">
      <c r="A6558" s="2" t="s">
        <v>12</v>
      </c>
      <c r="B6558" s="2" t="str">
        <f>HYPERLINK("http://m.12365auto.com/xcdg/20200217/418757.shtml","解读低配车 实拍雅阁 230TRUBO 舒适版")</f>
        <v>解读低配车 实拍雅阁 230TRUBO 舒适版</v>
      </c>
      <c r="C6558" s="2" t="s">
        <v>13</v>
      </c>
      <c r="D6558" s="2" t="s">
        <v>12</v>
      </c>
      <c r="E6558" s="2"/>
      <c r="F6558" s="2" t="str">
        <f>HYPERLINK("http://m.12365auto.com/xcdg/20200217/418757.shtml","http://m.12365auto.com/xcdg/20200217/418757.shtml")</f>
        <v>http://m.12365auto.com/xcdg/20200217/418757.shtml</v>
      </c>
      <c r="G6558" s="2"/>
      <c r="H6558" s="2" t="s">
        <v>9059</v>
      </c>
      <c r="I6558" s="2" t="s">
        <v>19</v>
      </c>
      <c r="J6558" s="2" t="s">
        <v>9060</v>
      </c>
      <c r="K6558" s="2" t="s">
        <v>9056</v>
      </c>
      <c r="L6558" s="2">
        <f t="shared" si="102"/>
        <v>150</v>
      </c>
    </row>
    <row r="6559" spans="1:12" ht="25" customHeight="1">
      <c r="A6559" s="2" t="s">
        <v>12</v>
      </c>
      <c r="B6559" s="2" t="str">
        <f>HYPERLINK("http://bbs.12365auto.com/postcontent.aspx?tID=194294","MQB平台是真的没区别 还是无止境减配的开端")</f>
        <v>MQB平台是真的没区别 还是无止境减配的开端</v>
      </c>
      <c r="C6559" s="2" t="s">
        <v>13</v>
      </c>
      <c r="D6559" s="2" t="s">
        <v>12</v>
      </c>
      <c r="E6559" s="2" t="s">
        <v>1393</v>
      </c>
      <c r="F6559" s="2" t="str">
        <f>HYPERLINK("http://bbs.12365auto.com/postcontent.aspx?tID=194294","http://bbs.12365auto.com/postcontent.aspx?tID=194294")</f>
        <v>http://bbs.12365auto.com/postcontent.aspx?tID=194294</v>
      </c>
      <c r="G6559" s="2"/>
      <c r="H6559" s="2" t="s">
        <v>9061</v>
      </c>
      <c r="I6559" s="2" t="s">
        <v>15</v>
      </c>
      <c r="J6559" s="2" t="s">
        <v>9055</v>
      </c>
      <c r="K6559" s="2" t="s">
        <v>9056</v>
      </c>
      <c r="L6559" s="2">
        <f t="shared" si="102"/>
        <v>150</v>
      </c>
    </row>
    <row r="6560" spans="1:12" ht="25" customHeight="1">
      <c r="A6560" s="2" t="s">
        <v>12</v>
      </c>
      <c r="B6560" s="2" t="str">
        <f>HYPERLINK("http://bbs.12365auto.com/postcontent.aspx?tID=194293","高速跑120发动机转速多少 如果比这个数低就是好车")</f>
        <v>高速跑120发动机转速多少 如果比这个数低就是好车</v>
      </c>
      <c r="C6560" s="2" t="s">
        <v>13</v>
      </c>
      <c r="D6560" s="2" t="s">
        <v>12</v>
      </c>
      <c r="E6560" s="2" t="s">
        <v>1393</v>
      </c>
      <c r="F6560" s="2" t="str">
        <f>HYPERLINK("http://bbs.12365auto.com/postcontent.aspx?tID=194293","http://bbs.12365auto.com/postcontent.aspx?tID=194293")</f>
        <v>http://bbs.12365auto.com/postcontent.aspx?tID=194293</v>
      </c>
      <c r="G6560" s="2"/>
      <c r="H6560" s="2" t="s">
        <v>9062</v>
      </c>
      <c r="I6560" s="2" t="s">
        <v>15</v>
      </c>
      <c r="J6560" s="2" t="s">
        <v>9055</v>
      </c>
      <c r="K6560" s="2" t="s">
        <v>9063</v>
      </c>
      <c r="L6560" s="2">
        <f t="shared" si="102"/>
        <v>150</v>
      </c>
    </row>
    <row r="6561" spans="1:12" ht="25" customHeight="1">
      <c r="A6561" s="2" t="s">
        <v>12</v>
      </c>
      <c r="B6561" s="2" t="str">
        <f>HYPERLINK("http://bbs.12365auto.com/postcontent.aspx?tId=194293","高速跑120发动机转速多少 如果比这个数低就是好车")</f>
        <v>高速跑120发动机转速多少 如果比这个数低就是好车</v>
      </c>
      <c r="C6561" s="2" t="s">
        <v>13</v>
      </c>
      <c r="D6561" s="2" t="s">
        <v>12</v>
      </c>
      <c r="E6561" s="2" t="s">
        <v>1397</v>
      </c>
      <c r="F6561" s="2" t="str">
        <f>HYPERLINK("http://bbs.12365auto.com/postcontent.aspx?tId=194293","http://bbs.12365auto.com/postcontent.aspx?tId=194293")</f>
        <v>http://bbs.12365auto.com/postcontent.aspx?tId=194293</v>
      </c>
      <c r="G6561" s="2"/>
      <c r="H6561" s="2" t="s">
        <v>9064</v>
      </c>
      <c r="I6561" s="2" t="s">
        <v>15</v>
      </c>
      <c r="J6561" s="2" t="s">
        <v>9055</v>
      </c>
      <c r="K6561" s="2" t="s">
        <v>9063</v>
      </c>
      <c r="L6561" s="2">
        <f t="shared" si="102"/>
        <v>150</v>
      </c>
    </row>
    <row r="6562" spans="1:12" ht="25" customHeight="1">
      <c r="A6562" s="2" t="s">
        <v>12</v>
      </c>
      <c r="B6562" s="2" t="str">
        <f>HYPERLINK("http://bbs.12365auto.com/postcontent.aspx?tId=194292","特斯拉的“生化模式”是什么 可以抵抗病毒吗")</f>
        <v>特斯拉的“生化模式”是什么 可以抵抗病毒吗</v>
      </c>
      <c r="C6562" s="2" t="s">
        <v>13</v>
      </c>
      <c r="D6562" s="2" t="s">
        <v>12</v>
      </c>
      <c r="E6562" s="2" t="s">
        <v>1397</v>
      </c>
      <c r="F6562" s="2" t="str">
        <f>HYPERLINK("http://bbs.12365auto.com/postcontent.aspx?tId=194292","http://bbs.12365auto.com/postcontent.aspx?tId=194292")</f>
        <v>http://bbs.12365auto.com/postcontent.aspx?tId=194292</v>
      </c>
      <c r="G6562" s="2"/>
      <c r="H6562" s="2" t="s">
        <v>9065</v>
      </c>
      <c r="I6562" s="2" t="s">
        <v>15</v>
      </c>
      <c r="J6562" s="2" t="s">
        <v>9055</v>
      </c>
      <c r="K6562" s="2" t="s">
        <v>9063</v>
      </c>
      <c r="L6562" s="2">
        <f t="shared" si="102"/>
        <v>150</v>
      </c>
    </row>
    <row r="6563" spans="1:12" ht="25" customHeight="1">
      <c r="A6563" s="2" t="s">
        <v>12</v>
      </c>
      <c r="B6563" s="2" t="str">
        <f>HYPERLINK("http://m.12365auto.com/bbs/postcontent.aspx?tID=194292","特斯拉的“生化模式”是什么 可以抵抗病毒吗")</f>
        <v>特斯拉的“生化模式”是什么 可以抵抗病毒吗</v>
      </c>
      <c r="C6563" s="2" t="s">
        <v>13</v>
      </c>
      <c r="D6563" s="2" t="s">
        <v>23</v>
      </c>
      <c r="E6563" s="2"/>
      <c r="F6563" s="2" t="str">
        <f>HYPERLINK("http://m.12365auto.com/bbs/postcontent.aspx?tID=194292","http://m.12365auto.com/bbs/postcontent.aspx?tID=194292")</f>
        <v>http://m.12365auto.com/bbs/postcontent.aspx?tID=194292</v>
      </c>
      <c r="G6563" s="2"/>
      <c r="H6563" s="2" t="s">
        <v>9065</v>
      </c>
      <c r="I6563" s="2" t="s">
        <v>15</v>
      </c>
      <c r="J6563" s="2" t="s">
        <v>9055</v>
      </c>
      <c r="K6563" s="2" t="s">
        <v>9063</v>
      </c>
      <c r="L6563" s="2">
        <f t="shared" si="102"/>
        <v>150</v>
      </c>
    </row>
    <row r="6564" spans="1:12" ht="25" customHeight="1">
      <c r="A6564" s="2" t="s">
        <v>12</v>
      </c>
      <c r="B6564" s="2" t="str">
        <f>HYPERLINK("http://m.12365auto.com/bbs/postcontent.aspx?tID=194293","高速跑120发动机转速多少 如果比这个数低就是好车")</f>
        <v>高速跑120发动机转速多少 如果比这个数低就是好车</v>
      </c>
      <c r="C6564" s="2" t="s">
        <v>13</v>
      </c>
      <c r="D6564" s="2" t="s">
        <v>23</v>
      </c>
      <c r="E6564" s="2"/>
      <c r="F6564" s="2" t="str">
        <f>HYPERLINK("http://m.12365auto.com/bbs/postcontent.aspx?tID=194293","http://m.12365auto.com/bbs/postcontent.aspx?tID=194293")</f>
        <v>http://m.12365auto.com/bbs/postcontent.aspx?tID=194293</v>
      </c>
      <c r="G6564" s="2"/>
      <c r="H6564" s="2" t="s">
        <v>9064</v>
      </c>
      <c r="I6564" s="2" t="s">
        <v>15</v>
      </c>
      <c r="J6564" s="2" t="s">
        <v>9055</v>
      </c>
      <c r="K6564" s="2" t="s">
        <v>9063</v>
      </c>
      <c r="L6564" s="2">
        <f t="shared" si="102"/>
        <v>150</v>
      </c>
    </row>
    <row r="6565" spans="1:12" ht="25" customHeight="1">
      <c r="A6565" s="2" t="s">
        <v>12</v>
      </c>
      <c r="B6565" s="2" t="str">
        <f>HYPERLINK("http://bbs.12365auto.com/postcontent.aspx?tID=194292","特斯拉的“生化模式”是什么 可以抵抗病毒吗")</f>
        <v>特斯拉的“生化模式”是什么 可以抵抗病毒吗</v>
      </c>
      <c r="C6565" s="2" t="s">
        <v>13</v>
      </c>
      <c r="D6565" s="2" t="s">
        <v>12</v>
      </c>
      <c r="E6565" s="2" t="s">
        <v>1393</v>
      </c>
      <c r="F6565" s="2" t="str">
        <f>HYPERLINK("http://bbs.12365auto.com/postcontent.aspx?tID=194292","http://bbs.12365auto.com/postcontent.aspx?tID=194292")</f>
        <v>http://bbs.12365auto.com/postcontent.aspx?tID=194292</v>
      </c>
      <c r="G6565" s="2"/>
      <c r="H6565" s="2" t="s">
        <v>9066</v>
      </c>
      <c r="I6565" s="2" t="s">
        <v>15</v>
      </c>
      <c r="J6565" s="2" t="s">
        <v>9055</v>
      </c>
      <c r="K6565" s="2" t="s">
        <v>9063</v>
      </c>
      <c r="L6565" s="2">
        <f t="shared" si="102"/>
        <v>150</v>
      </c>
    </row>
    <row r="6566" spans="1:12" ht="25" customHeight="1">
      <c r="A6566" s="2" t="s">
        <v>12</v>
      </c>
      <c r="B6566" s="2" t="str">
        <f>HYPERLINK("http://bbs.12365auto.com/postcontent.aspx?tID=194291","疫情会加速无人驾驶技术的快速发展吗")</f>
        <v>疫情会加速无人驾驶技术的快速发展吗</v>
      </c>
      <c r="C6566" s="2" t="s">
        <v>13</v>
      </c>
      <c r="D6566" s="2" t="s">
        <v>12</v>
      </c>
      <c r="E6566" s="2" t="s">
        <v>1393</v>
      </c>
      <c r="F6566" s="2" t="str">
        <f>HYPERLINK("http://bbs.12365auto.com/postcontent.aspx?tID=194291","http://bbs.12365auto.com/postcontent.aspx?tID=194291")</f>
        <v>http://bbs.12365auto.com/postcontent.aspx?tID=194291</v>
      </c>
      <c r="G6566" s="2"/>
      <c r="H6566" s="2" t="s">
        <v>9067</v>
      </c>
      <c r="I6566" s="2" t="s">
        <v>15</v>
      </c>
      <c r="J6566" s="2" t="s">
        <v>9055</v>
      </c>
      <c r="K6566" s="2" t="s">
        <v>9068</v>
      </c>
      <c r="L6566" s="2">
        <f t="shared" si="102"/>
        <v>150</v>
      </c>
    </row>
    <row r="6567" spans="1:12" ht="25" customHeight="1">
      <c r="A6567" s="2" t="s">
        <v>12</v>
      </c>
      <c r="B6567" s="2" t="str">
        <f>HYPERLINK("http://bbs.12365auto.com/postcontent.aspx?tID=194290","这些“硬核”汽车配置你交过智商税吗")</f>
        <v>这些“硬核”汽车配置你交过智商税吗</v>
      </c>
      <c r="C6567" s="2" t="s">
        <v>13</v>
      </c>
      <c r="D6567" s="2" t="s">
        <v>12</v>
      </c>
      <c r="E6567" s="2" t="s">
        <v>1393</v>
      </c>
      <c r="F6567" s="2" t="str">
        <f>HYPERLINK("http://bbs.12365auto.com/postcontent.aspx?tID=194290","http://bbs.12365auto.com/postcontent.aspx?tID=194290")</f>
        <v>http://bbs.12365auto.com/postcontent.aspx?tID=194290</v>
      </c>
      <c r="G6567" s="2"/>
      <c r="H6567" s="2" t="s">
        <v>9069</v>
      </c>
      <c r="I6567" s="2" t="s">
        <v>15</v>
      </c>
      <c r="J6567" s="2" t="s">
        <v>9055</v>
      </c>
      <c r="K6567" s="2" t="s">
        <v>9068</v>
      </c>
      <c r="L6567" s="2">
        <f t="shared" si="102"/>
        <v>150</v>
      </c>
    </row>
    <row r="6568" spans="1:12" ht="25" customHeight="1">
      <c r="A6568" s="2" t="s">
        <v>12</v>
      </c>
      <c r="B6568" s="2" t="str">
        <f>HYPERLINK("http://bbs.12365auto.com/postcontent.aspx?tId=194291","疫情会加速无人驾驶技术的快速发展吗")</f>
        <v>疫情会加速无人驾驶技术的快速发展吗</v>
      </c>
      <c r="C6568" s="2" t="s">
        <v>13</v>
      </c>
      <c r="D6568" s="2" t="s">
        <v>12</v>
      </c>
      <c r="E6568" s="2" t="s">
        <v>1397</v>
      </c>
      <c r="F6568" s="2" t="str">
        <f>HYPERLINK("http://bbs.12365auto.com/postcontent.aspx?tId=194291","http://bbs.12365auto.com/postcontent.aspx?tId=194291")</f>
        <v>http://bbs.12365auto.com/postcontent.aspx?tId=194291</v>
      </c>
      <c r="G6568" s="2"/>
      <c r="H6568" s="2" t="s">
        <v>9070</v>
      </c>
      <c r="I6568" s="2" t="s">
        <v>15</v>
      </c>
      <c r="J6568" s="2" t="s">
        <v>9055</v>
      </c>
      <c r="K6568" s="2" t="s">
        <v>9068</v>
      </c>
      <c r="L6568" s="2">
        <f t="shared" si="102"/>
        <v>150</v>
      </c>
    </row>
    <row r="6569" spans="1:12" ht="25" customHeight="1">
      <c r="A6569" s="2" t="s">
        <v>12</v>
      </c>
      <c r="B6569" s="2" t="str">
        <f>HYPERLINK("http://bbs.12365auto.com/postcontent.aspx?tId=194290","这些“硬核”汽车配置你交过智商税吗")</f>
        <v>这些“硬核”汽车配置你交过智商税吗</v>
      </c>
      <c r="C6569" s="2" t="s">
        <v>13</v>
      </c>
      <c r="D6569" s="2" t="s">
        <v>12</v>
      </c>
      <c r="E6569" s="2" t="s">
        <v>1397</v>
      </c>
      <c r="F6569" s="2" t="str">
        <f>HYPERLINK("http://bbs.12365auto.com/postcontent.aspx?tId=194290","http://bbs.12365auto.com/postcontent.aspx?tId=194290")</f>
        <v>http://bbs.12365auto.com/postcontent.aspx?tId=194290</v>
      </c>
      <c r="G6569" s="2"/>
      <c r="H6569" s="2" t="s">
        <v>9071</v>
      </c>
      <c r="I6569" s="2" t="s">
        <v>15</v>
      </c>
      <c r="J6569" s="2" t="s">
        <v>9055</v>
      </c>
      <c r="K6569" s="2" t="s">
        <v>9068</v>
      </c>
      <c r="L6569" s="2">
        <f t="shared" si="102"/>
        <v>150</v>
      </c>
    </row>
    <row r="6570" spans="1:12" ht="25" customHeight="1">
      <c r="A6570" s="2" t="s">
        <v>12</v>
      </c>
      <c r="B6570" s="2" t="str">
        <f>HYPERLINK("http://m.12365auto.com/bbs/postcontent.aspx?tID=194291","疫情会加速无人驾驶技术的快速发展吗")</f>
        <v>疫情会加速无人驾驶技术的快速发展吗</v>
      </c>
      <c r="C6570" s="2" t="s">
        <v>13</v>
      </c>
      <c r="D6570" s="2" t="s">
        <v>23</v>
      </c>
      <c r="E6570" s="2"/>
      <c r="F6570" s="2" t="str">
        <f>HYPERLINK("http://m.12365auto.com/bbs/postcontent.aspx?tID=194291","http://m.12365auto.com/bbs/postcontent.aspx?tID=194291")</f>
        <v>http://m.12365auto.com/bbs/postcontent.aspx?tID=194291</v>
      </c>
      <c r="G6570" s="2"/>
      <c r="H6570" s="2" t="s">
        <v>9070</v>
      </c>
      <c r="I6570" s="2" t="s">
        <v>15</v>
      </c>
      <c r="J6570" s="2" t="s">
        <v>9055</v>
      </c>
      <c r="K6570" s="2" t="s">
        <v>9068</v>
      </c>
      <c r="L6570" s="2">
        <f t="shared" si="102"/>
        <v>150</v>
      </c>
    </row>
    <row r="6571" spans="1:12" ht="25" customHeight="1">
      <c r="A6571" s="2" t="s">
        <v>12</v>
      </c>
      <c r="B6571" s="2" t="str">
        <f>HYPERLINK("http://m.12365auto.com/bbs/postcontent.aspx?tID=194290","这些“硬核”汽车配置你交过智商税吗")</f>
        <v>这些“硬核”汽车配置你交过智商税吗</v>
      </c>
      <c r="C6571" s="2" t="s">
        <v>13</v>
      </c>
      <c r="D6571" s="2" t="s">
        <v>23</v>
      </c>
      <c r="E6571" s="2"/>
      <c r="F6571" s="2" t="str">
        <f>HYPERLINK("http://m.12365auto.com/bbs/postcontent.aspx?tID=194290","http://m.12365auto.com/bbs/postcontent.aspx?tID=194290")</f>
        <v>http://m.12365auto.com/bbs/postcontent.aspx?tID=194290</v>
      </c>
      <c r="G6571" s="2"/>
      <c r="H6571" s="2" t="s">
        <v>9071</v>
      </c>
      <c r="I6571" s="2" t="s">
        <v>15</v>
      </c>
      <c r="J6571" s="2" t="s">
        <v>9055</v>
      </c>
      <c r="K6571" s="2" t="s">
        <v>9068</v>
      </c>
      <c r="L6571" s="2">
        <f t="shared" si="102"/>
        <v>150</v>
      </c>
    </row>
    <row r="6572" spans="1:12" ht="25" customHeight="1">
      <c r="A6572" s="2" t="s">
        <v>12</v>
      </c>
      <c r="B6572" s="2" t="str">
        <f>HYPERLINK("http://bbs.12365auto.com/postcontent.aspx?tID=194289","同样是锂电池 为什么车企敢终身质保而手机厂商却不敢")</f>
        <v>同样是锂电池 为什么车企敢终身质保而手机厂商却不敢</v>
      </c>
      <c r="C6572" s="2" t="s">
        <v>13</v>
      </c>
      <c r="D6572" s="2" t="s">
        <v>12</v>
      </c>
      <c r="E6572" s="2" t="s">
        <v>1393</v>
      </c>
      <c r="F6572" s="2" t="str">
        <f>HYPERLINK("http://bbs.12365auto.com/postcontent.aspx?tID=194289","http://bbs.12365auto.com/postcontent.aspx?tID=194289")</f>
        <v>http://bbs.12365auto.com/postcontent.aspx?tID=194289</v>
      </c>
      <c r="G6572" s="2"/>
      <c r="H6572" s="2" t="s">
        <v>9072</v>
      </c>
      <c r="I6572" s="2" t="s">
        <v>15</v>
      </c>
      <c r="J6572" s="2" t="s">
        <v>9055</v>
      </c>
      <c r="K6572" s="2" t="s">
        <v>9073</v>
      </c>
      <c r="L6572" s="2">
        <f t="shared" si="102"/>
        <v>150</v>
      </c>
    </row>
    <row r="6573" spans="1:12" ht="25" customHeight="1">
      <c r="A6573" s="2" t="s">
        <v>12</v>
      </c>
      <c r="B6573" s="2" t="str">
        <f>HYPERLINK("http://bbs.12365auto.com/postcontent.aspx?tId=194289","同样是锂电池 为什么车企敢终身质保而手机厂商却不敢")</f>
        <v>同样是锂电池 为什么车企敢终身质保而手机厂商却不敢</v>
      </c>
      <c r="C6573" s="2" t="s">
        <v>13</v>
      </c>
      <c r="D6573" s="2" t="s">
        <v>12</v>
      </c>
      <c r="E6573" s="2" t="s">
        <v>1397</v>
      </c>
      <c r="F6573" s="2" t="str">
        <f>HYPERLINK("http://bbs.12365auto.com/postcontent.aspx?tId=194289","http://bbs.12365auto.com/postcontent.aspx?tId=194289")</f>
        <v>http://bbs.12365auto.com/postcontent.aspx?tId=194289</v>
      </c>
      <c r="G6573" s="2"/>
      <c r="H6573" s="2" t="s">
        <v>9074</v>
      </c>
      <c r="I6573" s="2" t="s">
        <v>15</v>
      </c>
      <c r="J6573" s="2" t="s">
        <v>9055</v>
      </c>
      <c r="K6573" s="2" t="s">
        <v>9073</v>
      </c>
      <c r="L6573" s="2">
        <f t="shared" si="102"/>
        <v>150</v>
      </c>
    </row>
    <row r="6574" spans="1:12" ht="25" customHeight="1">
      <c r="A6574" s="2" t="s">
        <v>12</v>
      </c>
      <c r="B6574" s="2" t="str">
        <f>HYPERLINK("http://m.12365auto.com/bbs/postcontent.aspx?tID=194289","同样是锂电池 为什么车企敢终身质保而手机厂商却不敢")</f>
        <v>同样是锂电池 为什么车企敢终身质保而手机厂商却不敢</v>
      </c>
      <c r="C6574" s="2" t="s">
        <v>13</v>
      </c>
      <c r="D6574" s="2" t="s">
        <v>23</v>
      </c>
      <c r="E6574" s="2"/>
      <c r="F6574" s="2" t="str">
        <f>HYPERLINK("http://m.12365auto.com/bbs/postcontent.aspx?tID=194289","http://m.12365auto.com/bbs/postcontent.aspx?tID=194289")</f>
        <v>http://m.12365auto.com/bbs/postcontent.aspx?tID=194289</v>
      </c>
      <c r="G6574" s="2"/>
      <c r="H6574" s="2" t="s">
        <v>9074</v>
      </c>
      <c r="I6574" s="2" t="s">
        <v>15</v>
      </c>
      <c r="J6574" s="2" t="s">
        <v>9055</v>
      </c>
      <c r="K6574" s="2" t="s">
        <v>9073</v>
      </c>
      <c r="L6574" s="2">
        <f t="shared" si="102"/>
        <v>150</v>
      </c>
    </row>
    <row r="6575" spans="1:12" ht="25" customHeight="1">
      <c r="A6575" s="2" t="s">
        <v>12</v>
      </c>
      <c r="B6575" s="2" t="str">
        <f>HYPERLINK("http://www.12365auto.com/xcdg/20200217/418756.shtml","丰田计划推出GR卡罗拉 最大马力超250匹")</f>
        <v>丰田计划推出GR卡罗拉 最大马力超250匹</v>
      </c>
      <c r="C6575" s="2" t="s">
        <v>13</v>
      </c>
      <c r="D6575" s="2" t="s">
        <v>12</v>
      </c>
      <c r="E6575" s="2" t="s">
        <v>216</v>
      </c>
      <c r="F6575" s="2" t="str">
        <f>HYPERLINK("http://www.12365auto.com/xcdg/20200217/418756.shtml","http://www.12365auto.com/xcdg/20200217/418756.shtml")</f>
        <v>http://www.12365auto.com/xcdg/20200217/418756.shtml</v>
      </c>
      <c r="G6575" s="2"/>
      <c r="H6575" s="2" t="s">
        <v>9075</v>
      </c>
      <c r="I6575" s="2" t="s">
        <v>15</v>
      </c>
      <c r="J6575" s="2" t="s">
        <v>12</v>
      </c>
      <c r="K6575" s="2" t="s">
        <v>9076</v>
      </c>
      <c r="L6575" s="2">
        <f t="shared" si="102"/>
        <v>150</v>
      </c>
    </row>
    <row r="6576" spans="1:12" ht="25" customHeight="1">
      <c r="A6576" s="2" t="s">
        <v>12</v>
      </c>
      <c r="B6576" s="2" t="str">
        <f>HYPERLINK("http://m.12365auto.com/xcdg/20200217/418756.shtml","丰田计划推出GR卡罗拉 最大马力超250匹")</f>
        <v>丰田计划推出GR卡罗拉 最大马力超250匹</v>
      </c>
      <c r="C6576" s="2" t="s">
        <v>13</v>
      </c>
      <c r="D6576" s="2" t="s">
        <v>12</v>
      </c>
      <c r="E6576" s="2"/>
      <c r="F6576" s="2" t="str">
        <f>HYPERLINK("http://m.12365auto.com/xcdg/20200217/418756.shtml","http://m.12365auto.com/xcdg/20200217/418756.shtml")</f>
        <v>http://m.12365auto.com/xcdg/20200217/418756.shtml</v>
      </c>
      <c r="G6576" s="2"/>
      <c r="H6576" s="2" t="s">
        <v>9077</v>
      </c>
      <c r="I6576" s="2" t="s">
        <v>19</v>
      </c>
      <c r="J6576" s="2" t="s">
        <v>4514</v>
      </c>
      <c r="K6576" s="2" t="s">
        <v>9076</v>
      </c>
      <c r="L6576" s="2">
        <f t="shared" si="102"/>
        <v>150</v>
      </c>
    </row>
    <row r="6577" spans="1:12" ht="25" customHeight="1">
      <c r="A6577" s="2" t="s">
        <v>12</v>
      </c>
      <c r="B6577" s="2" t="str">
        <f>HYPERLINK("http://bbs.12365auto.com/postcontent.aspx?tID=194288","让很多车企和电池厂商趋之若鹜 固态电池究竟有多强")</f>
        <v>让很多车企和电池厂商趋之若鹜 固态电池究竟有多强</v>
      </c>
      <c r="C6577" s="2" t="s">
        <v>13</v>
      </c>
      <c r="D6577" s="2" t="s">
        <v>12</v>
      </c>
      <c r="E6577" s="2" t="s">
        <v>1393</v>
      </c>
      <c r="F6577" s="2" t="str">
        <f>HYPERLINK("http://bbs.12365auto.com/postcontent.aspx?tID=194288","http://bbs.12365auto.com/postcontent.aspx?tID=194288")</f>
        <v>http://bbs.12365auto.com/postcontent.aspx?tID=194288</v>
      </c>
      <c r="G6577" s="2"/>
      <c r="H6577" s="2" t="s">
        <v>9078</v>
      </c>
      <c r="I6577" s="2" t="s">
        <v>15</v>
      </c>
      <c r="J6577" s="2" t="s">
        <v>9055</v>
      </c>
      <c r="K6577" s="2" t="s">
        <v>9076</v>
      </c>
      <c r="L6577" s="2">
        <f t="shared" si="102"/>
        <v>150</v>
      </c>
    </row>
    <row r="6578" spans="1:12" ht="25" customHeight="1">
      <c r="A6578" s="2" t="s">
        <v>12</v>
      </c>
      <c r="B6578" s="2" t="str">
        <f>HYPERLINK("http://bbs.12365auto.com/postcontent.aspx?tId=194288","让很多车企和电池厂商趋之若鹜 固态电池究竟有多强")</f>
        <v>让很多车企和电池厂商趋之若鹜 固态电池究竟有多强</v>
      </c>
      <c r="C6578" s="2" t="s">
        <v>13</v>
      </c>
      <c r="D6578" s="2" t="s">
        <v>12</v>
      </c>
      <c r="E6578" s="2" t="s">
        <v>1397</v>
      </c>
      <c r="F6578" s="2" t="str">
        <f>HYPERLINK("http://bbs.12365auto.com/postcontent.aspx?tId=194288","http://bbs.12365auto.com/postcontent.aspx?tId=194288")</f>
        <v>http://bbs.12365auto.com/postcontent.aspx?tId=194288</v>
      </c>
      <c r="G6578" s="2"/>
      <c r="H6578" s="2" t="s">
        <v>9079</v>
      </c>
      <c r="I6578" s="2" t="s">
        <v>15</v>
      </c>
      <c r="J6578" s="2" t="s">
        <v>9055</v>
      </c>
      <c r="K6578" s="2" t="s">
        <v>9076</v>
      </c>
      <c r="L6578" s="2">
        <f t="shared" si="102"/>
        <v>150</v>
      </c>
    </row>
    <row r="6579" spans="1:12" ht="25" customHeight="1">
      <c r="A6579" s="2" t="s">
        <v>12</v>
      </c>
      <c r="B6579" s="2" t="str">
        <f>HYPERLINK("http://m.12365auto.com/bbs/postcontent.aspx?tID=194288","让很多车企和电池厂商趋之若鹜 固态电池究竟有多强")</f>
        <v>让很多车企和电池厂商趋之若鹜 固态电池究竟有多强</v>
      </c>
      <c r="C6579" s="2" t="s">
        <v>13</v>
      </c>
      <c r="D6579" s="2" t="s">
        <v>23</v>
      </c>
      <c r="E6579" s="2"/>
      <c r="F6579" s="2" t="str">
        <f>HYPERLINK("http://m.12365auto.com/bbs/postcontent.aspx?tID=194288","http://m.12365auto.com/bbs/postcontent.aspx?tID=194288")</f>
        <v>http://m.12365auto.com/bbs/postcontent.aspx?tID=194288</v>
      </c>
      <c r="G6579" s="2"/>
      <c r="H6579" s="2" t="s">
        <v>9079</v>
      </c>
      <c r="I6579" s="2" t="s">
        <v>15</v>
      </c>
      <c r="J6579" s="2" t="s">
        <v>9055</v>
      </c>
      <c r="K6579" s="2" t="s">
        <v>9076</v>
      </c>
      <c r="L6579" s="2">
        <f t="shared" si="102"/>
        <v>150</v>
      </c>
    </row>
    <row r="6580" spans="1:12" ht="25" customHeight="1">
      <c r="A6580" s="2" t="s">
        <v>12</v>
      </c>
      <c r="B6580" s="2" t="str">
        <f>HYPERLINK("http://www.12365auto.com/zlts/20200217/447498.shtml","郑州日产途达气囊异响希望厂家处理")</f>
        <v>郑州日产途达气囊异响希望厂家处理</v>
      </c>
      <c r="C6580" s="2" t="s">
        <v>13</v>
      </c>
      <c r="D6580" s="2" t="s">
        <v>12</v>
      </c>
      <c r="E6580" s="2" t="s">
        <v>17</v>
      </c>
      <c r="F6580" s="2" t="str">
        <f>HYPERLINK("http://www.12365auto.com/zlts/20200217/447498.shtml","http://www.12365auto.com/zlts/20200217/447498.shtml")</f>
        <v>http://www.12365auto.com/zlts/20200217/447498.shtml</v>
      </c>
      <c r="G6580" s="2"/>
      <c r="H6580" s="2" t="s">
        <v>9080</v>
      </c>
      <c r="I6580" s="2" t="s">
        <v>19</v>
      </c>
      <c r="J6580" s="2" t="s">
        <v>12</v>
      </c>
      <c r="K6580" s="2" t="s">
        <v>9076</v>
      </c>
      <c r="L6580" s="2">
        <f t="shared" si="102"/>
        <v>150</v>
      </c>
    </row>
    <row r="6581" spans="1:12" ht="25" customHeight="1">
      <c r="A6581" s="2" t="s">
        <v>12</v>
      </c>
      <c r="B6581" s="2" t="str">
        <f>HYPERLINK("http://www.12365auto.com/xcdg/20200217/418755.shtml","现代纯电动概念车Prophecy预告图 造型圆润")</f>
        <v>现代纯电动概念车Prophecy预告图 造型圆润</v>
      </c>
      <c r="C6581" s="2" t="s">
        <v>13</v>
      </c>
      <c r="D6581" s="2" t="s">
        <v>12</v>
      </c>
      <c r="E6581" s="2" t="s">
        <v>216</v>
      </c>
      <c r="F6581" s="2" t="str">
        <f>HYPERLINK("http://www.12365auto.com/xcdg/20200217/418755.shtml","http://www.12365auto.com/xcdg/20200217/418755.shtml")</f>
        <v>http://www.12365auto.com/xcdg/20200217/418755.shtml</v>
      </c>
      <c r="G6581" s="2"/>
      <c r="H6581" s="2" t="s">
        <v>9081</v>
      </c>
      <c r="I6581" s="2" t="s">
        <v>15</v>
      </c>
      <c r="J6581" s="2" t="s">
        <v>12</v>
      </c>
      <c r="K6581" s="2" t="s">
        <v>9082</v>
      </c>
      <c r="L6581" s="2">
        <f t="shared" si="102"/>
        <v>150</v>
      </c>
    </row>
    <row r="6582" spans="1:12" ht="25" customHeight="1">
      <c r="A6582" s="2" t="s">
        <v>12</v>
      </c>
      <c r="B6582" s="2" t="str">
        <f>HYPERLINK("http://m.12365auto.com/xcdg/20200217/418755.shtml","现代纯电动概念车Prophecy预告图 造型圆润")</f>
        <v>现代纯电动概念车Prophecy预告图 造型圆润</v>
      </c>
      <c r="C6582" s="2" t="s">
        <v>13</v>
      </c>
      <c r="D6582" s="2" t="s">
        <v>12</v>
      </c>
      <c r="E6582" s="2"/>
      <c r="F6582" s="2" t="str">
        <f>HYPERLINK("http://m.12365auto.com/xcdg/20200217/418755.shtml","http://m.12365auto.com/xcdg/20200217/418755.shtml")</f>
        <v>http://m.12365auto.com/xcdg/20200217/418755.shtml</v>
      </c>
      <c r="G6582" s="2"/>
      <c r="H6582" s="2" t="s">
        <v>9083</v>
      </c>
      <c r="I6582" s="2" t="s">
        <v>19</v>
      </c>
      <c r="J6582" s="2" t="s">
        <v>4514</v>
      </c>
      <c r="K6582" s="2" t="s">
        <v>9082</v>
      </c>
      <c r="L6582" s="2">
        <f t="shared" si="102"/>
        <v>150</v>
      </c>
    </row>
    <row r="6583" spans="1:12" ht="25" customHeight="1">
      <c r="A6583" s="2" t="s">
        <v>12</v>
      </c>
      <c r="B6583" s="2" t="str">
        <f>HYPERLINK("http://bbs.12365auto.com/postcontent.aspx?tID=194286","带你了解一下“混合动力”车型的区别")</f>
        <v>带你了解一下“混合动力”车型的区别</v>
      </c>
      <c r="C6583" s="2" t="s">
        <v>13</v>
      </c>
      <c r="D6583" s="2" t="s">
        <v>12</v>
      </c>
      <c r="E6583" s="2" t="s">
        <v>1393</v>
      </c>
      <c r="F6583" s="2" t="str">
        <f>HYPERLINK("http://bbs.12365auto.com/postcontent.aspx?tID=194286","http://bbs.12365auto.com/postcontent.aspx?tID=194286")</f>
        <v>http://bbs.12365auto.com/postcontent.aspx?tID=194286</v>
      </c>
      <c r="G6583" s="2"/>
      <c r="H6583" s="2" t="s">
        <v>9084</v>
      </c>
      <c r="I6583" s="2" t="s">
        <v>15</v>
      </c>
      <c r="J6583" s="2" t="s">
        <v>9055</v>
      </c>
      <c r="K6583" s="2" t="s">
        <v>9082</v>
      </c>
      <c r="L6583" s="2">
        <f t="shared" si="102"/>
        <v>150</v>
      </c>
    </row>
    <row r="6584" spans="1:12" ht="25" customHeight="1">
      <c r="A6584" s="2" t="s">
        <v>12</v>
      </c>
      <c r="B6584" s="2" t="str">
        <f>HYPERLINK("http://bbs.12365auto.com/postcontent.aspx?tID=194287","“健康汽车”能否防新冠状病毒")</f>
        <v>“健康汽车”能否防新冠状病毒</v>
      </c>
      <c r="C6584" s="2" t="s">
        <v>13</v>
      </c>
      <c r="D6584" s="2" t="s">
        <v>12</v>
      </c>
      <c r="E6584" s="2" t="s">
        <v>1393</v>
      </c>
      <c r="F6584" s="2" t="str">
        <f>HYPERLINK("http://bbs.12365auto.com/postcontent.aspx?tID=194287","http://bbs.12365auto.com/postcontent.aspx?tID=194287")</f>
        <v>http://bbs.12365auto.com/postcontent.aspx?tID=194287</v>
      </c>
      <c r="G6584" s="2"/>
      <c r="H6584" s="2" t="s">
        <v>9085</v>
      </c>
      <c r="I6584" s="2" t="s">
        <v>15</v>
      </c>
      <c r="J6584" s="2" t="s">
        <v>9055</v>
      </c>
      <c r="K6584" s="2" t="s">
        <v>9082</v>
      </c>
      <c r="L6584" s="2">
        <f t="shared" si="102"/>
        <v>150</v>
      </c>
    </row>
    <row r="6585" spans="1:12" ht="25" customHeight="1">
      <c r="A6585" s="2" t="s">
        <v>12</v>
      </c>
      <c r="B6585" s="2" t="str">
        <f>HYPERLINK("http://bbs.12365auto.com/postcontent.aspx?tId=194287","“健康汽车”能否防新冠状病毒")</f>
        <v>“健康汽车”能否防新冠状病毒</v>
      </c>
      <c r="C6585" s="2" t="s">
        <v>13</v>
      </c>
      <c r="D6585" s="2" t="s">
        <v>12</v>
      </c>
      <c r="E6585" s="2" t="s">
        <v>1397</v>
      </c>
      <c r="F6585" s="2" t="str">
        <f>HYPERLINK("http://bbs.12365auto.com/postcontent.aspx?tId=194287","http://bbs.12365auto.com/postcontent.aspx?tId=194287")</f>
        <v>http://bbs.12365auto.com/postcontent.aspx?tId=194287</v>
      </c>
      <c r="G6585" s="2"/>
      <c r="H6585" s="2" t="s">
        <v>9086</v>
      </c>
      <c r="I6585" s="2" t="s">
        <v>15</v>
      </c>
      <c r="J6585" s="2" t="s">
        <v>9055</v>
      </c>
      <c r="K6585" s="2" t="s">
        <v>9082</v>
      </c>
      <c r="L6585" s="2">
        <f t="shared" si="102"/>
        <v>150</v>
      </c>
    </row>
    <row r="6586" spans="1:12" ht="25" customHeight="1">
      <c r="A6586" s="2" t="s">
        <v>12</v>
      </c>
      <c r="B6586" s="2" t="str">
        <f>HYPERLINK("http://bbs.12365auto.com/postcontent.aspx?tId=194286","带你了解一下“混合动力”车型的区别")</f>
        <v>带你了解一下“混合动力”车型的区别</v>
      </c>
      <c r="C6586" s="2" t="s">
        <v>13</v>
      </c>
      <c r="D6586" s="2" t="s">
        <v>12</v>
      </c>
      <c r="E6586" s="2" t="s">
        <v>1397</v>
      </c>
      <c r="F6586" s="2" t="str">
        <f>HYPERLINK("http://bbs.12365auto.com/postcontent.aspx?tId=194286","http://bbs.12365auto.com/postcontent.aspx?tId=194286")</f>
        <v>http://bbs.12365auto.com/postcontent.aspx?tId=194286</v>
      </c>
      <c r="G6586" s="2"/>
      <c r="H6586" s="2" t="s">
        <v>9087</v>
      </c>
      <c r="I6586" s="2" t="s">
        <v>15</v>
      </c>
      <c r="J6586" s="2" t="s">
        <v>9055</v>
      </c>
      <c r="K6586" s="2" t="s">
        <v>9082</v>
      </c>
      <c r="L6586" s="2">
        <f t="shared" si="102"/>
        <v>150</v>
      </c>
    </row>
    <row r="6587" spans="1:12" ht="25" customHeight="1">
      <c r="A6587" s="2" t="s">
        <v>12</v>
      </c>
      <c r="B6587" s="2" t="str">
        <f>HYPERLINK("http://m.12365auto.com/bbs/postcontent.aspx?tID=194286","带你了解一下“混合动力”车型的区别")</f>
        <v>带你了解一下“混合动力”车型的区别</v>
      </c>
      <c r="C6587" s="2" t="s">
        <v>13</v>
      </c>
      <c r="D6587" s="2" t="s">
        <v>23</v>
      </c>
      <c r="E6587" s="2"/>
      <c r="F6587" s="2" t="str">
        <f>HYPERLINK("http://m.12365auto.com/bbs/postcontent.aspx?tID=194286","http://m.12365auto.com/bbs/postcontent.aspx?tID=194286")</f>
        <v>http://m.12365auto.com/bbs/postcontent.aspx?tID=194286</v>
      </c>
      <c r="G6587" s="2"/>
      <c r="H6587" s="2" t="s">
        <v>9087</v>
      </c>
      <c r="I6587" s="2" t="s">
        <v>15</v>
      </c>
      <c r="J6587" s="2" t="s">
        <v>9055</v>
      </c>
      <c r="K6587" s="2" t="s">
        <v>9082</v>
      </c>
      <c r="L6587" s="2">
        <f t="shared" si="102"/>
        <v>150</v>
      </c>
    </row>
    <row r="6588" spans="1:12" ht="25" customHeight="1">
      <c r="A6588" s="2" t="s">
        <v>12</v>
      </c>
      <c r="B6588" s="2" t="str">
        <f>HYPERLINK("http://m.12365auto.com/bbs/postcontent.aspx?tID=194287","“健康汽车”能否防新冠状病毒")</f>
        <v>“健康汽车”能否防新冠状病毒</v>
      </c>
      <c r="C6588" s="2" t="s">
        <v>13</v>
      </c>
      <c r="D6588" s="2" t="s">
        <v>23</v>
      </c>
      <c r="E6588" s="2"/>
      <c r="F6588" s="2" t="str">
        <f>HYPERLINK("http://m.12365auto.com/bbs/postcontent.aspx?tID=194287","http://m.12365auto.com/bbs/postcontent.aspx?tID=194287")</f>
        <v>http://m.12365auto.com/bbs/postcontent.aspx?tID=194287</v>
      </c>
      <c r="G6588" s="2"/>
      <c r="H6588" s="2" t="s">
        <v>9086</v>
      </c>
      <c r="I6588" s="2" t="s">
        <v>15</v>
      </c>
      <c r="J6588" s="2" t="s">
        <v>9055</v>
      </c>
      <c r="K6588" s="2" t="s">
        <v>9082</v>
      </c>
      <c r="L6588" s="2">
        <f t="shared" si="102"/>
        <v>150</v>
      </c>
    </row>
    <row r="6589" spans="1:12" ht="25" customHeight="1">
      <c r="A6589" s="2" t="s">
        <v>12</v>
      </c>
      <c r="B6589" s="2" t="str">
        <f>HYPERLINK("http://www.12365auto.com/xcdg/20200217/418754.shtml","疯狂加价？斯巴鲁WRX STI W209加35万提车")</f>
        <v>疯狂加价？斯巴鲁WRX STI W209加35万提车</v>
      </c>
      <c r="C6589" s="2" t="s">
        <v>13</v>
      </c>
      <c r="D6589" s="2" t="s">
        <v>12</v>
      </c>
      <c r="E6589" s="2" t="s">
        <v>216</v>
      </c>
      <c r="F6589" s="2" t="str">
        <f>HYPERLINK("http://www.12365auto.com/xcdg/20200217/418754.shtml","http://www.12365auto.com/xcdg/20200217/418754.shtml")</f>
        <v>http://www.12365auto.com/xcdg/20200217/418754.shtml</v>
      </c>
      <c r="G6589" s="2"/>
      <c r="H6589" s="2" t="s">
        <v>9088</v>
      </c>
      <c r="I6589" s="2" t="s">
        <v>15</v>
      </c>
      <c r="J6589" s="2" t="s">
        <v>12</v>
      </c>
      <c r="K6589" s="2" t="s">
        <v>9089</v>
      </c>
      <c r="L6589" s="2">
        <f t="shared" si="102"/>
        <v>150</v>
      </c>
    </row>
    <row r="6590" spans="1:12" ht="25" customHeight="1">
      <c r="A6590" s="2" t="s">
        <v>12</v>
      </c>
      <c r="B6590" s="2" t="str">
        <f>HYPERLINK("http://m.12365auto.com/xcdg/20200217/418754.shtml","疯狂加价？斯巴鲁WRX STI W209加35万提车")</f>
        <v>疯狂加价？斯巴鲁WRX STI W209加35万提车</v>
      </c>
      <c r="C6590" s="2" t="s">
        <v>13</v>
      </c>
      <c r="D6590" s="2" t="s">
        <v>12</v>
      </c>
      <c r="E6590" s="2"/>
      <c r="F6590" s="2" t="str">
        <f>HYPERLINK("http://m.12365auto.com/xcdg/20200217/418754.shtml","http://m.12365auto.com/xcdg/20200217/418754.shtml")</f>
        <v>http://m.12365auto.com/xcdg/20200217/418754.shtml</v>
      </c>
      <c r="G6590" s="2"/>
      <c r="H6590" s="2" t="s">
        <v>9090</v>
      </c>
      <c r="I6590" s="2" t="s">
        <v>19</v>
      </c>
      <c r="J6590" s="2" t="s">
        <v>4514</v>
      </c>
      <c r="K6590" s="2" t="s">
        <v>9089</v>
      </c>
      <c r="L6590" s="2">
        <f t="shared" si="102"/>
        <v>150</v>
      </c>
    </row>
    <row r="6591" spans="1:12" ht="25" customHeight="1">
      <c r="A6591" s="2" t="s">
        <v>12</v>
      </c>
      <c r="B6591" s="2" t="str">
        <f>HYPERLINK("http://www.12365auto.com/xcdg/20200217/418752.shtml","全新车型 雷诺twingo ze预计亮相日内瓦车展")</f>
        <v>全新车型 雷诺twingo ze预计亮相日内瓦车展</v>
      </c>
      <c r="C6591" s="2" t="s">
        <v>13</v>
      </c>
      <c r="D6591" s="2" t="s">
        <v>12</v>
      </c>
      <c r="E6591" s="2" t="s">
        <v>216</v>
      </c>
      <c r="F6591" s="2" t="str">
        <f>HYPERLINK("http://www.12365auto.com/xcdg/20200217/418752.shtml","http://www.12365auto.com/xcdg/20200217/418752.shtml")</f>
        <v>http://www.12365auto.com/xcdg/20200217/418752.shtml</v>
      </c>
      <c r="G6591" s="2"/>
      <c r="H6591" s="2" t="s">
        <v>9091</v>
      </c>
      <c r="I6591" s="2" t="s">
        <v>15</v>
      </c>
      <c r="J6591" s="2" t="s">
        <v>12</v>
      </c>
      <c r="K6591" s="2" t="s">
        <v>9092</v>
      </c>
      <c r="L6591" s="2">
        <f t="shared" si="102"/>
        <v>150</v>
      </c>
    </row>
    <row r="6592" spans="1:12" ht="25" customHeight="1">
      <c r="A6592" s="2" t="s">
        <v>12</v>
      </c>
      <c r="B6592" s="2" t="str">
        <f>HYPERLINK("http://m.12365auto.com/xcdg/20200217/418752.shtml","全新车型 雷诺twingo ze预计亮相日内瓦车展")</f>
        <v>全新车型 雷诺twingo ze预计亮相日内瓦车展</v>
      </c>
      <c r="C6592" s="2" t="s">
        <v>13</v>
      </c>
      <c r="D6592" s="2" t="s">
        <v>12</v>
      </c>
      <c r="E6592" s="2"/>
      <c r="F6592" s="2" t="str">
        <f>HYPERLINK("http://m.12365auto.com/xcdg/20200217/418752.shtml","http://m.12365auto.com/xcdg/20200217/418752.shtml")</f>
        <v>http://m.12365auto.com/xcdg/20200217/418752.shtml</v>
      </c>
      <c r="G6592" s="2"/>
      <c r="H6592" s="2" t="s">
        <v>9093</v>
      </c>
      <c r="I6592" s="2" t="s">
        <v>19</v>
      </c>
      <c r="J6592" s="2" t="s">
        <v>1710</v>
      </c>
      <c r="K6592" s="2" t="s">
        <v>9092</v>
      </c>
      <c r="L6592" s="2">
        <f t="shared" si="102"/>
        <v>150</v>
      </c>
    </row>
    <row r="6593" spans="1:12" ht="25" customHeight="1">
      <c r="A6593" s="2" t="s">
        <v>12</v>
      </c>
      <c r="B6593" s="2" t="str">
        <f>HYPERLINK("http://www.12365auto.com/news/20200217/418751.shtml","玛莎拉蒂公布新品规划：Ghibli插混/跑车等")</f>
        <v>玛莎拉蒂公布新品规划：Ghibli插混/跑车等</v>
      </c>
      <c r="C6593" s="2" t="s">
        <v>13</v>
      </c>
      <c r="D6593" s="2" t="s">
        <v>12</v>
      </c>
      <c r="E6593" s="2" t="s">
        <v>276</v>
      </c>
      <c r="F6593" s="2" t="str">
        <f>HYPERLINK("http://www.12365auto.com/news/20200217/418751.shtml","http://www.12365auto.com/news/20200217/418751.shtml")</f>
        <v>http://www.12365auto.com/news/20200217/418751.shtml</v>
      </c>
      <c r="G6593" s="2"/>
      <c r="H6593" s="2" t="s">
        <v>9094</v>
      </c>
      <c r="I6593" s="2" t="s">
        <v>15</v>
      </c>
      <c r="J6593" s="2" t="s">
        <v>12</v>
      </c>
      <c r="K6593" s="2" t="s">
        <v>9095</v>
      </c>
      <c r="L6593" s="2">
        <f t="shared" si="102"/>
        <v>150</v>
      </c>
    </row>
    <row r="6594" spans="1:12" ht="25" customHeight="1">
      <c r="A6594" s="2" t="s">
        <v>12</v>
      </c>
      <c r="B6594" s="2" t="str">
        <f>HYPERLINK("http://m.12365auto.com/news/20200217/418751.shtml","玛莎拉蒂公布新品规划：Ghibli插混/跑车等")</f>
        <v>玛莎拉蒂公布新品规划：Ghibli插混/跑车等</v>
      </c>
      <c r="C6594" s="2" t="s">
        <v>13</v>
      </c>
      <c r="D6594" s="2" t="s">
        <v>12</v>
      </c>
      <c r="E6594" s="2"/>
      <c r="F6594" s="2" t="str">
        <f>HYPERLINK("http://m.12365auto.com/news/20200217/418751.shtml","http://m.12365auto.com/news/20200217/418751.shtml")</f>
        <v>http://m.12365auto.com/news/20200217/418751.shtml</v>
      </c>
      <c r="G6594" s="2"/>
      <c r="H6594" s="2" t="s">
        <v>9096</v>
      </c>
      <c r="I6594" s="2" t="s">
        <v>19</v>
      </c>
      <c r="J6594" s="2" t="s">
        <v>1827</v>
      </c>
      <c r="K6594" s="2" t="s">
        <v>9095</v>
      </c>
      <c r="L6594" s="2">
        <f t="shared" si="102"/>
        <v>150</v>
      </c>
    </row>
    <row r="6595" spans="1:12" ht="25" customHeight="1">
      <c r="A6595" s="2" t="s">
        <v>12</v>
      </c>
      <c r="B6595" s="2" t="str">
        <f>HYPERLINK("http://www.12365auto.com/zlts/20200217/447497.shtml","上汽名爵HS电瓶亏电一直无法解决")</f>
        <v>上汽名爵HS电瓶亏电一直无法解决</v>
      </c>
      <c r="C6595" s="2" t="s">
        <v>13</v>
      </c>
      <c r="D6595" s="2" t="s">
        <v>12</v>
      </c>
      <c r="E6595" s="2" t="s">
        <v>17</v>
      </c>
      <c r="F6595" s="2" t="str">
        <f>HYPERLINK("http://www.12365auto.com/zlts/20200217/447497.shtml","http://www.12365auto.com/zlts/20200217/447497.shtml")</f>
        <v>http://www.12365auto.com/zlts/20200217/447497.shtml</v>
      </c>
      <c r="G6595" s="2"/>
      <c r="H6595" s="2" t="s">
        <v>9097</v>
      </c>
      <c r="I6595" s="2" t="s">
        <v>19</v>
      </c>
      <c r="J6595" s="2" t="s">
        <v>12</v>
      </c>
      <c r="K6595" s="2" t="s">
        <v>9095</v>
      </c>
      <c r="L6595" s="2">
        <f t="shared" ref="L6595:L6658" si="103">LEN(H6595)</f>
        <v>150</v>
      </c>
    </row>
    <row r="6596" spans="1:12" ht="25" customHeight="1">
      <c r="A6596" s="2" t="s">
        <v>12</v>
      </c>
      <c r="B6596" s="2" t="str">
        <f>HYPERLINK("http://www.12365auto.com/xcdg/20200217/418750.shtml","全新飞度在日本上市 提供1.3L燃油/1.5L混动")</f>
        <v>全新飞度在日本上市 提供1.3L燃油/1.5L混动</v>
      </c>
      <c r="C6596" s="2" t="s">
        <v>13</v>
      </c>
      <c r="D6596" s="2" t="s">
        <v>12</v>
      </c>
      <c r="E6596" s="2" t="s">
        <v>216</v>
      </c>
      <c r="F6596" s="2" t="str">
        <f>HYPERLINK("http://www.12365auto.com/xcdg/20200217/418750.shtml","http://www.12365auto.com/xcdg/20200217/418750.shtml")</f>
        <v>http://www.12365auto.com/xcdg/20200217/418750.shtml</v>
      </c>
      <c r="G6596" s="2"/>
      <c r="H6596" s="2" t="s">
        <v>9098</v>
      </c>
      <c r="I6596" s="2" t="s">
        <v>15</v>
      </c>
      <c r="J6596" s="2" t="s">
        <v>12</v>
      </c>
      <c r="K6596" s="2" t="s">
        <v>9099</v>
      </c>
      <c r="L6596" s="2">
        <f t="shared" si="103"/>
        <v>150</v>
      </c>
    </row>
    <row r="6597" spans="1:12" ht="25" customHeight="1">
      <c r="A6597" s="2" t="s">
        <v>12</v>
      </c>
      <c r="B6597" s="2" t="str">
        <f>HYPERLINK("http://m.12365auto.com/xcdg/20200217/418750.shtml","全新飞度在日本上市 提供1.3L燃油/1.5L混动")</f>
        <v>全新飞度在日本上市 提供1.3L燃油/1.5L混动</v>
      </c>
      <c r="C6597" s="2" t="s">
        <v>13</v>
      </c>
      <c r="D6597" s="2" t="s">
        <v>12</v>
      </c>
      <c r="E6597" s="2"/>
      <c r="F6597" s="2" t="str">
        <f>HYPERLINK("http://m.12365auto.com/xcdg/20200217/418750.shtml","http://m.12365auto.com/xcdg/20200217/418750.shtml")</f>
        <v>http://m.12365auto.com/xcdg/20200217/418750.shtml</v>
      </c>
      <c r="G6597" s="2"/>
      <c r="H6597" s="2" t="s">
        <v>9100</v>
      </c>
      <c r="I6597" s="2" t="s">
        <v>19</v>
      </c>
      <c r="J6597" s="2" t="s">
        <v>1827</v>
      </c>
      <c r="K6597" s="2" t="s">
        <v>9099</v>
      </c>
      <c r="L6597" s="2">
        <f t="shared" si="103"/>
        <v>150</v>
      </c>
    </row>
    <row r="6598" spans="1:12" ht="25" customHeight="1">
      <c r="A6598" s="2" t="s">
        <v>12</v>
      </c>
      <c r="B6598" s="2" t="str">
        <f>HYPERLINK("http://www.12365auto.com/xcdg/20200217/418749.shtml","雷诺新能源规划曝光 Dacia推城市代步电动车")</f>
        <v>雷诺新能源规划曝光 Dacia推城市代步电动车</v>
      </c>
      <c r="C6598" s="2" t="s">
        <v>13</v>
      </c>
      <c r="D6598" s="2" t="s">
        <v>12</v>
      </c>
      <c r="E6598" s="2" t="s">
        <v>216</v>
      </c>
      <c r="F6598" s="2" t="str">
        <f>HYPERLINK("http://www.12365auto.com/xcdg/20200217/418749.shtml","http://www.12365auto.com/xcdg/20200217/418749.shtml")</f>
        <v>http://www.12365auto.com/xcdg/20200217/418749.shtml</v>
      </c>
      <c r="G6598" s="2"/>
      <c r="H6598" s="2" t="s">
        <v>9101</v>
      </c>
      <c r="I6598" s="2" t="s">
        <v>15</v>
      </c>
      <c r="J6598" s="2" t="s">
        <v>12</v>
      </c>
      <c r="K6598" s="2" t="s">
        <v>9102</v>
      </c>
      <c r="L6598" s="2">
        <f t="shared" si="103"/>
        <v>150</v>
      </c>
    </row>
    <row r="6599" spans="1:12" ht="25" customHeight="1">
      <c r="A6599" s="2" t="s">
        <v>12</v>
      </c>
      <c r="B6599" s="2" t="str">
        <f>HYPERLINK("http://m.12365auto.com/xcdg/20200217/418749.shtml","雷诺新能源规划曝光 Dacia推城市代步电动车")</f>
        <v>雷诺新能源规划曝光 Dacia推城市代步电动车</v>
      </c>
      <c r="C6599" s="2" t="s">
        <v>13</v>
      </c>
      <c r="D6599" s="2" t="s">
        <v>12</v>
      </c>
      <c r="E6599" s="2"/>
      <c r="F6599" s="2" t="str">
        <f>HYPERLINK("http://m.12365auto.com/xcdg/20200217/418749.shtml","http://m.12365auto.com/xcdg/20200217/418749.shtml")</f>
        <v>http://m.12365auto.com/xcdg/20200217/418749.shtml</v>
      </c>
      <c r="G6599" s="2"/>
      <c r="H6599" s="2" t="s">
        <v>9103</v>
      </c>
      <c r="I6599" s="2" t="s">
        <v>19</v>
      </c>
      <c r="J6599" s="2" t="s">
        <v>1827</v>
      </c>
      <c r="K6599" s="2" t="s">
        <v>9102</v>
      </c>
      <c r="L6599" s="2">
        <f t="shared" si="103"/>
        <v>150</v>
      </c>
    </row>
    <row r="6600" spans="1:12" ht="25" customHeight="1">
      <c r="A6600" s="2" t="s">
        <v>12</v>
      </c>
      <c r="B6600" s="2" t="str">
        <f>HYPERLINK("http://www.12365auto.com/news/20200217/418748.shtml","哪吒汽车扩大人才储备 再招千人助力2.0时代")</f>
        <v>哪吒汽车扩大人才储备 再招千人助力2.0时代</v>
      </c>
      <c r="C6600" s="2" t="s">
        <v>13</v>
      </c>
      <c r="D6600" s="2" t="s">
        <v>12</v>
      </c>
      <c r="E6600" s="2" t="s">
        <v>276</v>
      </c>
      <c r="F6600" s="2" t="str">
        <f>HYPERLINK("http://www.12365auto.com/news/20200217/418748.shtml","http://www.12365auto.com/news/20200217/418748.shtml")</f>
        <v>http://www.12365auto.com/news/20200217/418748.shtml</v>
      </c>
      <c r="G6600" s="2"/>
      <c r="H6600" s="2" t="s">
        <v>9104</v>
      </c>
      <c r="I6600" s="2" t="s">
        <v>15</v>
      </c>
      <c r="J6600" s="2" t="s">
        <v>12</v>
      </c>
      <c r="K6600" s="2" t="s">
        <v>9105</v>
      </c>
      <c r="L6600" s="2">
        <f t="shared" si="103"/>
        <v>150</v>
      </c>
    </row>
    <row r="6601" spans="1:12" ht="25" customHeight="1">
      <c r="A6601" s="2" t="s">
        <v>12</v>
      </c>
      <c r="B6601" s="2" t="str">
        <f>HYPERLINK("http://m.12365auto.com/news/20200217/418748.shtml","哪吒汽车扩大人才储备 再招千人助力2.0时代")</f>
        <v>哪吒汽车扩大人才储备 再招千人助力2.0时代</v>
      </c>
      <c r="C6601" s="2" t="s">
        <v>13</v>
      </c>
      <c r="D6601" s="2" t="s">
        <v>12</v>
      </c>
      <c r="E6601" s="2"/>
      <c r="F6601" s="2" t="str">
        <f>HYPERLINK("http://m.12365auto.com/news/20200217/418748.shtml","http://m.12365auto.com/news/20200217/418748.shtml")</f>
        <v>http://m.12365auto.com/news/20200217/418748.shtml</v>
      </c>
      <c r="G6601" s="2"/>
      <c r="H6601" s="2" t="s">
        <v>9106</v>
      </c>
      <c r="I6601" s="2" t="s">
        <v>19</v>
      </c>
      <c r="J6601" s="2" t="s">
        <v>12</v>
      </c>
      <c r="K6601" s="2" t="s">
        <v>9105</v>
      </c>
      <c r="L6601" s="2">
        <f t="shared" si="103"/>
        <v>150</v>
      </c>
    </row>
    <row r="6602" spans="1:12" ht="25" customHeight="1">
      <c r="A6602" s="2" t="s">
        <v>12</v>
      </c>
      <c r="B6602" s="2" t="str">
        <f>HYPERLINK("http://www.12365auto.com/news/20200217/418747.shtml","华晨宝马沈阳工厂将于2月17日起复工")</f>
        <v>华晨宝马沈阳工厂将于2月17日起复工</v>
      </c>
      <c r="C6602" s="2" t="s">
        <v>13</v>
      </c>
      <c r="D6602" s="2" t="s">
        <v>12</v>
      </c>
      <c r="E6602" s="2" t="s">
        <v>276</v>
      </c>
      <c r="F6602" s="2" t="str">
        <f>HYPERLINK("http://www.12365auto.com/news/20200217/418747.shtml","http://www.12365auto.com/news/20200217/418747.shtml")</f>
        <v>http://www.12365auto.com/news/20200217/418747.shtml</v>
      </c>
      <c r="G6602" s="2"/>
      <c r="H6602" s="2" t="s">
        <v>9107</v>
      </c>
      <c r="I6602" s="2" t="s">
        <v>15</v>
      </c>
      <c r="J6602" s="2" t="s">
        <v>12</v>
      </c>
      <c r="K6602" s="2" t="s">
        <v>9108</v>
      </c>
      <c r="L6602" s="2">
        <f t="shared" si="103"/>
        <v>150</v>
      </c>
    </row>
    <row r="6603" spans="1:12" ht="25" customHeight="1">
      <c r="A6603" s="2" t="s">
        <v>12</v>
      </c>
      <c r="B6603" s="2" t="str">
        <f>HYPERLINK("http://m.12365auto.com/news/20200217/418747.shtml","华晨宝马沈阳工厂将于2月17日起复工")</f>
        <v>华晨宝马沈阳工厂将于2月17日起复工</v>
      </c>
      <c r="C6603" s="2" t="s">
        <v>13</v>
      </c>
      <c r="D6603" s="2" t="s">
        <v>12</v>
      </c>
      <c r="E6603" s="2"/>
      <c r="F6603" s="2" t="str">
        <f>HYPERLINK("http://m.12365auto.com/news/20200217/418747.shtml","http://m.12365auto.com/news/20200217/418747.shtml")</f>
        <v>http://m.12365auto.com/news/20200217/418747.shtml</v>
      </c>
      <c r="G6603" s="2"/>
      <c r="H6603" s="2" t="s">
        <v>9109</v>
      </c>
      <c r="I6603" s="2" t="s">
        <v>19</v>
      </c>
      <c r="J6603" s="2" t="s">
        <v>6010</v>
      </c>
      <c r="K6603" s="2" t="s">
        <v>9108</v>
      </c>
      <c r="L6603" s="2">
        <f t="shared" si="103"/>
        <v>150</v>
      </c>
    </row>
    <row r="6604" spans="1:12" ht="25" customHeight="1">
      <c r="A6604" s="2" t="s">
        <v>12</v>
      </c>
      <c r="B6604" s="2" t="str">
        <f>HYPERLINK("http://www.12365auto.com/zlts/20200217/447495.shtml","长城炮电瓶故障导致发动机启动异常")</f>
        <v>长城炮电瓶故障导致发动机启动异常</v>
      </c>
      <c r="C6604" s="2" t="s">
        <v>13</v>
      </c>
      <c r="D6604" s="2" t="s">
        <v>12</v>
      </c>
      <c r="E6604" s="2" t="s">
        <v>17</v>
      </c>
      <c r="F6604" s="2" t="str">
        <f>HYPERLINK("http://www.12365auto.com/zlts/20200217/447495.shtml","http://www.12365auto.com/zlts/20200217/447495.shtml")</f>
        <v>http://www.12365auto.com/zlts/20200217/447495.shtml</v>
      </c>
      <c r="G6604" s="2"/>
      <c r="H6604" s="2" t="s">
        <v>9110</v>
      </c>
      <c r="I6604" s="2" t="s">
        <v>19</v>
      </c>
      <c r="J6604" s="2" t="s">
        <v>12</v>
      </c>
      <c r="K6604" s="2" t="s">
        <v>9111</v>
      </c>
      <c r="L6604" s="2">
        <f t="shared" si="103"/>
        <v>150</v>
      </c>
    </row>
    <row r="6605" spans="1:12" ht="25" customHeight="1">
      <c r="A6605" s="2" t="s">
        <v>12</v>
      </c>
      <c r="B6605" s="2" t="str">
        <f>HYPERLINK("http://m.12365auto.com/xcdg/20200217/418746.shtml","连续5月销量破万的实力 长安CS35 PLUS解析")</f>
        <v>连续5月销量破万的实力 长安CS35 PLUS解析</v>
      </c>
      <c r="C6605" s="2" t="s">
        <v>13</v>
      </c>
      <c r="D6605" s="2" t="s">
        <v>12</v>
      </c>
      <c r="E6605" s="2"/>
      <c r="F6605" s="2" t="str">
        <f>HYPERLINK("http://m.12365auto.com/xcdg/20200217/418746.shtml","http://m.12365auto.com/xcdg/20200217/418746.shtml")</f>
        <v>http://m.12365auto.com/xcdg/20200217/418746.shtml</v>
      </c>
      <c r="G6605" s="2"/>
      <c r="H6605" s="2" t="s">
        <v>9112</v>
      </c>
      <c r="I6605" s="2" t="s">
        <v>19</v>
      </c>
      <c r="J6605" s="2" t="s">
        <v>6805</v>
      </c>
      <c r="K6605" s="2" t="s">
        <v>9111</v>
      </c>
      <c r="L6605" s="2">
        <f t="shared" si="103"/>
        <v>150</v>
      </c>
    </row>
    <row r="6606" spans="1:12" ht="25" customHeight="1">
      <c r="A6606" s="2" t="s">
        <v>12</v>
      </c>
      <c r="B6606" s="2" t="str">
        <f>HYPERLINK("http://m.12365auto.com/xcdg/20200217/418745.shtml","13万买合资小型SUV 别看价格低/配置均到位")</f>
        <v>13万买合资小型SUV 别看价格低/配置均到位</v>
      </c>
      <c r="C6606" s="2" t="s">
        <v>13</v>
      </c>
      <c r="D6606" s="2" t="s">
        <v>12</v>
      </c>
      <c r="E6606" s="2"/>
      <c r="F6606" s="2" t="str">
        <f>HYPERLINK("http://m.12365auto.com/xcdg/20200217/418745.shtml","http://m.12365auto.com/xcdg/20200217/418745.shtml")</f>
        <v>http://m.12365auto.com/xcdg/20200217/418745.shtml</v>
      </c>
      <c r="G6606" s="2"/>
      <c r="H6606" s="2" t="s">
        <v>9113</v>
      </c>
      <c r="I6606" s="2" t="s">
        <v>19</v>
      </c>
      <c r="J6606" s="2" t="s">
        <v>5970</v>
      </c>
      <c r="K6606" s="2" t="s">
        <v>9114</v>
      </c>
      <c r="L6606" s="2">
        <f t="shared" si="103"/>
        <v>150</v>
      </c>
    </row>
    <row r="6607" spans="1:12" ht="25" customHeight="1">
      <c r="A6607" s="2" t="s">
        <v>12</v>
      </c>
      <c r="B6607" s="2" t="str">
        <f>HYPERLINK("http://www.12365auto.com/xcdg/20200217/418743.shtml","2020年重磅新车提前了解 疫情过了去提车")</f>
        <v>2020年重磅新车提前了解 疫情过了去提车</v>
      </c>
      <c r="C6607" s="2" t="s">
        <v>13</v>
      </c>
      <c r="D6607" s="2" t="s">
        <v>12</v>
      </c>
      <c r="E6607" s="2" t="s">
        <v>216</v>
      </c>
      <c r="F6607" s="2" t="str">
        <f>HYPERLINK("http://www.12365auto.com/xcdg/20200217/418743.shtml","http://www.12365auto.com/xcdg/20200217/418743.shtml")</f>
        <v>http://www.12365auto.com/xcdg/20200217/418743.shtml</v>
      </c>
      <c r="G6607" s="2"/>
      <c r="H6607" s="2" t="s">
        <v>9115</v>
      </c>
      <c r="I6607" s="2" t="s">
        <v>15</v>
      </c>
      <c r="J6607" s="2" t="s">
        <v>12</v>
      </c>
      <c r="K6607" s="2" t="s">
        <v>9116</v>
      </c>
      <c r="L6607" s="2">
        <f t="shared" si="103"/>
        <v>108</v>
      </c>
    </row>
    <row r="6608" spans="1:12" ht="25" customHeight="1">
      <c r="A6608" s="2" t="s">
        <v>12</v>
      </c>
      <c r="B6608" s="2" t="str">
        <f>HYPERLINK("http://m.12365auto.com/xcdg/20200217/418743.shtml","2020年重磅新车提前了解 疫情过了去提车")</f>
        <v>2020年重磅新车提前了解 疫情过了去提车</v>
      </c>
      <c r="C6608" s="2" t="s">
        <v>13</v>
      </c>
      <c r="D6608" s="2" t="s">
        <v>12</v>
      </c>
      <c r="E6608" s="2"/>
      <c r="F6608" s="2" t="str">
        <f>HYPERLINK("http://m.12365auto.com/xcdg/20200217/418743.shtml","http://m.12365auto.com/xcdg/20200217/418743.shtml")</f>
        <v>http://m.12365auto.com/xcdg/20200217/418743.shtml</v>
      </c>
      <c r="G6608" s="2"/>
      <c r="H6608" s="2" t="s">
        <v>9117</v>
      </c>
      <c r="I6608" s="2" t="s">
        <v>19</v>
      </c>
      <c r="J6608" s="2" t="s">
        <v>9118</v>
      </c>
      <c r="K6608" s="2" t="s">
        <v>9116</v>
      </c>
      <c r="L6608" s="2">
        <f t="shared" si="103"/>
        <v>110</v>
      </c>
    </row>
    <row r="6609" spans="1:12" ht="25" customHeight="1">
      <c r="A6609" s="2" t="s">
        <v>12</v>
      </c>
      <c r="B6609" s="2" t="str">
        <f>HYPERLINK("http://m.12365auto.com/xcdg/20200217/418742.shtml","四款热销家用SUV大PK 预算20万哪款是你的菜")</f>
        <v>四款热销家用SUV大PK 预算20万哪款是你的菜</v>
      </c>
      <c r="C6609" s="2" t="s">
        <v>13</v>
      </c>
      <c r="D6609" s="2" t="s">
        <v>12</v>
      </c>
      <c r="E6609" s="2"/>
      <c r="F6609" s="2" t="str">
        <f>HYPERLINK("http://m.12365auto.com/xcdg/20200217/418742.shtml","http://m.12365auto.com/xcdg/20200217/418742.shtml")</f>
        <v>http://m.12365auto.com/xcdg/20200217/418742.shtml</v>
      </c>
      <c r="G6609" s="2"/>
      <c r="H6609" s="2" t="s">
        <v>9119</v>
      </c>
      <c r="I6609" s="2" t="s">
        <v>19</v>
      </c>
      <c r="J6609" s="2" t="s">
        <v>1006</v>
      </c>
      <c r="K6609" s="2" t="s">
        <v>9120</v>
      </c>
      <c r="L6609" s="2">
        <f t="shared" si="103"/>
        <v>150</v>
      </c>
    </row>
    <row r="6610" spans="1:12" ht="25" customHeight="1">
      <c r="A6610" s="2" t="s">
        <v>12</v>
      </c>
      <c r="B6610" s="2" t="str">
        <f>HYPERLINK("http://www.12365auto.com/zlts/20200217/447494.shtml","东风标致308方向盘可上下左右晃动")</f>
        <v>东风标致308方向盘可上下左右晃动</v>
      </c>
      <c r="C6610" s="2" t="s">
        <v>13</v>
      </c>
      <c r="D6610" s="2" t="s">
        <v>12</v>
      </c>
      <c r="E6610" s="2" t="s">
        <v>17</v>
      </c>
      <c r="F6610" s="2" t="str">
        <f>HYPERLINK("http://www.12365auto.com/zlts/20200217/447494.shtml","http://www.12365auto.com/zlts/20200217/447494.shtml")</f>
        <v>http://www.12365auto.com/zlts/20200217/447494.shtml</v>
      </c>
      <c r="G6610" s="2"/>
      <c r="H6610" s="2" t="s">
        <v>9121</v>
      </c>
      <c r="I6610" s="2" t="s">
        <v>19</v>
      </c>
      <c r="J6610" s="2" t="s">
        <v>12</v>
      </c>
      <c r="K6610" s="2" t="s">
        <v>9122</v>
      </c>
      <c r="L6610" s="2">
        <f t="shared" si="103"/>
        <v>150</v>
      </c>
    </row>
    <row r="6611" spans="1:12" ht="25" customHeight="1">
      <c r="A6611" s="2" t="s">
        <v>12</v>
      </c>
      <c r="B6611" s="2" t="str">
        <f>HYPERLINK("http://m.12365auto.com/bbs/postcontent.aspx?tID=194284","阿斯顿马丁拒绝被吉利收购")</f>
        <v>阿斯顿马丁拒绝被吉利收购</v>
      </c>
      <c r="C6611" s="2" t="s">
        <v>13</v>
      </c>
      <c r="D6611" s="2" t="s">
        <v>23</v>
      </c>
      <c r="E6611" s="2"/>
      <c r="F6611" s="2" t="str">
        <f>HYPERLINK("http://m.12365auto.com/bbs/postcontent.aspx?tID=194284","http://m.12365auto.com/bbs/postcontent.aspx?tID=194284")</f>
        <v>http://m.12365auto.com/bbs/postcontent.aspx?tID=194284</v>
      </c>
      <c r="G6611" s="2"/>
      <c r="H6611" s="2" t="s">
        <v>9123</v>
      </c>
      <c r="I6611" s="2" t="s">
        <v>15</v>
      </c>
      <c r="J6611" s="2" t="s">
        <v>9124</v>
      </c>
      <c r="K6611" s="2" t="s">
        <v>9122</v>
      </c>
      <c r="L6611" s="2">
        <f t="shared" si="103"/>
        <v>150</v>
      </c>
    </row>
    <row r="6612" spans="1:12" ht="25" customHeight="1">
      <c r="A6612" s="2" t="s">
        <v>12</v>
      </c>
      <c r="B6612" s="2" t="str">
        <f>HYPERLINK("http://bbs.12365auto.com/postcontent.aspx?tID=194284","阿斯顿马丁拒绝被吉利收购")</f>
        <v>阿斯顿马丁拒绝被吉利收购</v>
      </c>
      <c r="C6612" s="2" t="s">
        <v>13</v>
      </c>
      <c r="D6612" s="2" t="s">
        <v>12</v>
      </c>
      <c r="E6612" s="2" t="s">
        <v>28</v>
      </c>
      <c r="F6612" s="2" t="str">
        <f>HYPERLINK("http://bbs.12365auto.com/postcontent.aspx?tID=194284","http://bbs.12365auto.com/postcontent.aspx?tID=194284")</f>
        <v>http://bbs.12365auto.com/postcontent.aspx?tID=194284</v>
      </c>
      <c r="G6612" s="2"/>
      <c r="H6612" s="2" t="s">
        <v>9125</v>
      </c>
      <c r="I6612" s="2" t="s">
        <v>15</v>
      </c>
      <c r="J6612" s="2" t="s">
        <v>9124</v>
      </c>
      <c r="K6612" s="2" t="s">
        <v>9122</v>
      </c>
      <c r="L6612" s="2">
        <f t="shared" si="103"/>
        <v>150</v>
      </c>
    </row>
    <row r="6613" spans="1:12" ht="25" customHeight="1">
      <c r="A6613" s="2" t="s">
        <v>12</v>
      </c>
      <c r="B6613" s="2" t="str">
        <f>HYPERLINK("http://m.12365auto.com/xcdg/20200217/418741.shtml","动力/性价比缺一不可 这4款合资SUV你看好谁")</f>
        <v>动力/性价比缺一不可 这4款合资SUV你看好谁</v>
      </c>
      <c r="C6613" s="2" t="s">
        <v>13</v>
      </c>
      <c r="D6613" s="2" t="s">
        <v>12</v>
      </c>
      <c r="E6613" s="2"/>
      <c r="F6613" s="2" t="str">
        <f>HYPERLINK("http://m.12365auto.com/xcdg/20200217/418741.shtml","http://m.12365auto.com/xcdg/20200217/418741.shtml")</f>
        <v>http://m.12365auto.com/xcdg/20200217/418741.shtml</v>
      </c>
      <c r="G6613" s="2"/>
      <c r="H6613" s="2" t="s">
        <v>9126</v>
      </c>
      <c r="I6613" s="2" t="s">
        <v>19</v>
      </c>
      <c r="J6613" s="2" t="s">
        <v>4552</v>
      </c>
      <c r="K6613" s="2" t="s">
        <v>9122</v>
      </c>
      <c r="L6613" s="2">
        <f t="shared" si="103"/>
        <v>150</v>
      </c>
    </row>
    <row r="6614" spans="1:12" ht="25" customHeight="1">
      <c r="A6614" s="2" t="s">
        <v>12</v>
      </c>
      <c r="B6614" s="2" t="str">
        <f>HYPERLINK("http://bbs.12365auto.com/postcontent.aspx?tId=194284","阿斯顿马丁拒绝被吉利收购")</f>
        <v>阿斯顿马丁拒绝被吉利收购</v>
      </c>
      <c r="C6614" s="2" t="s">
        <v>13</v>
      </c>
      <c r="D6614" s="2" t="s">
        <v>12</v>
      </c>
      <c r="E6614" s="2" t="s">
        <v>27</v>
      </c>
      <c r="F6614" s="2" t="str">
        <f>HYPERLINK("http://bbs.12365auto.com/postcontent.aspx?tId=194284","http://bbs.12365auto.com/postcontent.aspx?tId=194284")</f>
        <v>http://bbs.12365auto.com/postcontent.aspx?tId=194284</v>
      </c>
      <c r="G6614" s="2"/>
      <c r="H6614" s="2" t="s">
        <v>9123</v>
      </c>
      <c r="I6614" s="2" t="s">
        <v>15</v>
      </c>
      <c r="J6614" s="2" t="s">
        <v>9124</v>
      </c>
      <c r="K6614" s="2" t="s">
        <v>9122</v>
      </c>
      <c r="L6614" s="2">
        <f t="shared" si="103"/>
        <v>150</v>
      </c>
    </row>
    <row r="6615" spans="1:12" ht="25" customHeight="1">
      <c r="A6615" s="2" t="s">
        <v>12</v>
      </c>
      <c r="B6615" s="2" t="str">
        <f>HYPERLINK("http://www.12365auto.com/news/20200217/418744.shtml","别只看净化过滤 关注车内空气质量不能忽视它")</f>
        <v>别只看净化过滤 关注车内空气质量不能忽视它</v>
      </c>
      <c r="C6615" s="2" t="s">
        <v>13</v>
      </c>
      <c r="D6615" s="2" t="s">
        <v>12</v>
      </c>
      <c r="E6615" s="2" t="s">
        <v>276</v>
      </c>
      <c r="F6615" s="2" t="str">
        <f>HYPERLINK("http://www.12365auto.com/news/20200217/418744.shtml","http://www.12365auto.com/news/20200217/418744.shtml")</f>
        <v>http://www.12365auto.com/news/20200217/418744.shtml</v>
      </c>
      <c r="G6615" s="2"/>
      <c r="H6615" s="2" t="s">
        <v>9127</v>
      </c>
      <c r="I6615" s="2" t="s">
        <v>15</v>
      </c>
      <c r="J6615" s="2" t="s">
        <v>12</v>
      </c>
      <c r="K6615" s="2" t="s">
        <v>9128</v>
      </c>
      <c r="L6615" s="2">
        <f t="shared" si="103"/>
        <v>150</v>
      </c>
    </row>
    <row r="6616" spans="1:12" ht="25" customHeight="1">
      <c r="A6616" s="2" t="s">
        <v>12</v>
      </c>
      <c r="B6616" s="2" t="str">
        <f>HYPERLINK("http://m.12365auto.com/news/20200217/418744.shtml","别只看净化过滤 关注车内空气质量不能忽视它")</f>
        <v>别只看净化过滤 关注车内空气质量不能忽视它</v>
      </c>
      <c r="C6616" s="2" t="s">
        <v>13</v>
      </c>
      <c r="D6616" s="2" t="s">
        <v>12</v>
      </c>
      <c r="E6616" s="2"/>
      <c r="F6616" s="2" t="str">
        <f>HYPERLINK("http://m.12365auto.com/news/20200217/418744.shtml","http://m.12365auto.com/news/20200217/418744.shtml")</f>
        <v>http://m.12365auto.com/news/20200217/418744.shtml</v>
      </c>
      <c r="G6616" s="2"/>
      <c r="H6616" s="2" t="s">
        <v>9129</v>
      </c>
      <c r="I6616" s="2" t="s">
        <v>19</v>
      </c>
      <c r="J6616" s="2" t="s">
        <v>9130</v>
      </c>
      <c r="K6616" s="2" t="s">
        <v>9128</v>
      </c>
      <c r="L6616" s="2">
        <f t="shared" si="103"/>
        <v>150</v>
      </c>
    </row>
    <row r="6617" spans="1:12" ht="25" customHeight="1">
      <c r="A6617" s="2" t="s">
        <v>12</v>
      </c>
      <c r="B6617" s="2" t="str">
        <f>HYPERLINK("http://m.12365auto.com/bbs/postcontent.aspx?tID=194282","别砸钱了！这三个故障一旦出现不可能修好")</f>
        <v>别砸钱了！这三个故障一旦出现不可能修好</v>
      </c>
      <c r="C6617" s="2" t="s">
        <v>13</v>
      </c>
      <c r="D6617" s="2" t="s">
        <v>23</v>
      </c>
      <c r="E6617" s="2"/>
      <c r="F6617" s="2" t="str">
        <f>HYPERLINK("http://m.12365auto.com/bbs/postcontent.aspx?tID=194282","http://m.12365auto.com/bbs/postcontent.aspx?tID=194282")</f>
        <v>http://m.12365auto.com/bbs/postcontent.aspx?tID=194282</v>
      </c>
      <c r="G6617" s="2"/>
      <c r="H6617" s="2" t="s">
        <v>9131</v>
      </c>
      <c r="I6617" s="2" t="s">
        <v>15</v>
      </c>
      <c r="J6617" s="2" t="s">
        <v>9124</v>
      </c>
      <c r="K6617" s="2" t="s">
        <v>9128</v>
      </c>
      <c r="L6617" s="2">
        <f t="shared" si="103"/>
        <v>150</v>
      </c>
    </row>
    <row r="6618" spans="1:12" ht="25" customHeight="1">
      <c r="A6618" s="2" t="s">
        <v>12</v>
      </c>
      <c r="B6618" s="2" t="str">
        <f>HYPERLINK("http://m.12365auto.com/bbs/postcontent.aspx?tID=194283","魂动设计的马自达年轻人都喜欢")</f>
        <v>魂动设计的马自达年轻人都喜欢</v>
      </c>
      <c r="C6618" s="2" t="s">
        <v>13</v>
      </c>
      <c r="D6618" s="2" t="s">
        <v>23</v>
      </c>
      <c r="E6618" s="2"/>
      <c r="F6618" s="2" t="str">
        <f>HYPERLINK("http://m.12365auto.com/bbs/postcontent.aspx?tID=194283","http://m.12365auto.com/bbs/postcontent.aspx?tID=194283")</f>
        <v>http://m.12365auto.com/bbs/postcontent.aspx?tID=194283</v>
      </c>
      <c r="G6618" s="2"/>
      <c r="H6618" s="2" t="s">
        <v>5718</v>
      </c>
      <c r="I6618" s="2" t="s">
        <v>15</v>
      </c>
      <c r="J6618" s="2" t="s">
        <v>9124</v>
      </c>
      <c r="K6618" s="2" t="s">
        <v>9128</v>
      </c>
      <c r="L6618" s="2">
        <f t="shared" si="103"/>
        <v>150</v>
      </c>
    </row>
    <row r="6619" spans="1:12" ht="25" customHeight="1">
      <c r="A6619" s="2" t="s">
        <v>12</v>
      </c>
      <c r="B6619" s="2" t="str">
        <f>HYPERLINK("http://bbs.12365auto.com/postcontent.aspx?tID=194283","魂动设计的马自达年轻人都喜欢")</f>
        <v>魂动设计的马自达年轻人都喜欢</v>
      </c>
      <c r="C6619" s="2" t="s">
        <v>13</v>
      </c>
      <c r="D6619" s="2" t="s">
        <v>12</v>
      </c>
      <c r="E6619" s="2" t="s">
        <v>28</v>
      </c>
      <c r="F6619" s="2" t="str">
        <f>HYPERLINK("http://bbs.12365auto.com/postcontent.aspx?tID=194283","http://bbs.12365auto.com/postcontent.aspx?tID=194283")</f>
        <v>http://bbs.12365auto.com/postcontent.aspx?tID=194283</v>
      </c>
      <c r="G6619" s="2"/>
      <c r="H6619" s="2" t="s">
        <v>1115</v>
      </c>
      <c r="I6619" s="2" t="s">
        <v>15</v>
      </c>
      <c r="J6619" s="2" t="s">
        <v>9124</v>
      </c>
      <c r="K6619" s="2" t="s">
        <v>9128</v>
      </c>
      <c r="L6619" s="2">
        <f t="shared" si="103"/>
        <v>150</v>
      </c>
    </row>
    <row r="6620" spans="1:12" ht="25" customHeight="1">
      <c r="A6620" s="2" t="s">
        <v>12</v>
      </c>
      <c r="B6620" s="2" t="str">
        <f>HYPERLINK("http://bbs.12365auto.com/postcontent.aspx?tID=194282","别砸钱了！这三个故障一旦出现不可能修好")</f>
        <v>别砸钱了！这三个故障一旦出现不可能修好</v>
      </c>
      <c r="C6620" s="2" t="s">
        <v>13</v>
      </c>
      <c r="D6620" s="2" t="s">
        <v>12</v>
      </c>
      <c r="E6620" s="2" t="s">
        <v>28</v>
      </c>
      <c r="F6620" s="2" t="str">
        <f>HYPERLINK("http://bbs.12365auto.com/postcontent.aspx?tID=194282","http://bbs.12365auto.com/postcontent.aspx?tID=194282")</f>
        <v>http://bbs.12365auto.com/postcontent.aspx?tID=194282</v>
      </c>
      <c r="G6620" s="2"/>
      <c r="H6620" s="2" t="s">
        <v>9132</v>
      </c>
      <c r="I6620" s="2" t="s">
        <v>15</v>
      </c>
      <c r="J6620" s="2" t="s">
        <v>9124</v>
      </c>
      <c r="K6620" s="2" t="s">
        <v>9128</v>
      </c>
      <c r="L6620" s="2">
        <f t="shared" si="103"/>
        <v>150</v>
      </c>
    </row>
    <row r="6621" spans="1:12" ht="25" customHeight="1">
      <c r="A6621" s="2" t="s">
        <v>12</v>
      </c>
      <c r="B6621" s="2" t="str">
        <f>HYPERLINK("http://bbs.12365auto.com/postcontent.aspx?tId=194282","别砸钱了！这三个故障一旦出现不可能修好")</f>
        <v>别砸钱了！这三个故障一旦出现不可能修好</v>
      </c>
      <c r="C6621" s="2" t="s">
        <v>13</v>
      </c>
      <c r="D6621" s="2" t="s">
        <v>12</v>
      </c>
      <c r="E6621" s="2" t="s">
        <v>27</v>
      </c>
      <c r="F6621" s="2" t="str">
        <f>HYPERLINK("http://bbs.12365auto.com/postcontent.aspx?tId=194282","http://bbs.12365auto.com/postcontent.aspx?tId=194282")</f>
        <v>http://bbs.12365auto.com/postcontent.aspx?tId=194282</v>
      </c>
      <c r="G6621" s="2"/>
      <c r="H6621" s="2" t="s">
        <v>9131</v>
      </c>
      <c r="I6621" s="2" t="s">
        <v>15</v>
      </c>
      <c r="J6621" s="2" t="s">
        <v>9124</v>
      </c>
      <c r="K6621" s="2" t="s">
        <v>9128</v>
      </c>
      <c r="L6621" s="2">
        <f t="shared" si="103"/>
        <v>150</v>
      </c>
    </row>
    <row r="6622" spans="1:12" ht="25" customHeight="1">
      <c r="A6622" s="2" t="s">
        <v>12</v>
      </c>
      <c r="B6622" s="2" t="str">
        <f>HYPERLINK("http://bbs.12365auto.com/postcontent.aspx?tId=194283","魂动设计的马自达年轻人都喜欢")</f>
        <v>魂动设计的马自达年轻人都喜欢</v>
      </c>
      <c r="C6622" s="2" t="s">
        <v>13</v>
      </c>
      <c r="D6622" s="2" t="s">
        <v>12</v>
      </c>
      <c r="E6622" s="2" t="s">
        <v>27</v>
      </c>
      <c r="F6622" s="2" t="str">
        <f>HYPERLINK("http://bbs.12365auto.com/postcontent.aspx?tId=194283","http://bbs.12365auto.com/postcontent.aspx?tId=194283")</f>
        <v>http://bbs.12365auto.com/postcontent.aspx?tId=194283</v>
      </c>
      <c r="G6622" s="2"/>
      <c r="H6622" s="2" t="s">
        <v>5718</v>
      </c>
      <c r="I6622" s="2" t="s">
        <v>15</v>
      </c>
      <c r="J6622" s="2" t="s">
        <v>9124</v>
      </c>
      <c r="K6622" s="2" t="s">
        <v>9128</v>
      </c>
      <c r="L6622" s="2">
        <f t="shared" si="103"/>
        <v>150</v>
      </c>
    </row>
    <row r="6623" spans="1:12" ht="25" customHeight="1">
      <c r="A6623" s="2" t="s">
        <v>12</v>
      </c>
      <c r="B6623" s="2" t="str">
        <f>HYPERLINK("http://m.12365auto.com/bbs/postcontent.aspx?tID=194281","日系车皮薄？大众车厚重？")</f>
        <v>日系车皮薄？大众车厚重？</v>
      </c>
      <c r="C6623" s="2" t="s">
        <v>13</v>
      </c>
      <c r="D6623" s="2" t="s">
        <v>23</v>
      </c>
      <c r="E6623" s="2"/>
      <c r="F6623" s="2" t="str">
        <f>HYPERLINK("http://m.12365auto.com/bbs/postcontent.aspx?tID=194281","http://m.12365auto.com/bbs/postcontent.aspx?tID=194281")</f>
        <v>http://m.12365auto.com/bbs/postcontent.aspx?tID=194281</v>
      </c>
      <c r="G6623" s="2"/>
      <c r="H6623" s="2" t="s">
        <v>9133</v>
      </c>
      <c r="I6623" s="2" t="s">
        <v>15</v>
      </c>
      <c r="J6623" s="2" t="s">
        <v>9124</v>
      </c>
      <c r="K6623" s="2" t="s">
        <v>9134</v>
      </c>
      <c r="L6623" s="2">
        <f t="shared" si="103"/>
        <v>150</v>
      </c>
    </row>
    <row r="6624" spans="1:12" ht="25" customHeight="1">
      <c r="A6624" s="2" t="s">
        <v>12</v>
      </c>
      <c r="B6624" s="2" t="str">
        <f>HYPERLINK("http://bbs.12365auto.com/postcontent.aspx?tID=194281","日系车皮薄？大众车厚重？")</f>
        <v>日系车皮薄？大众车厚重？</v>
      </c>
      <c r="C6624" s="2" t="s">
        <v>13</v>
      </c>
      <c r="D6624" s="2" t="s">
        <v>12</v>
      </c>
      <c r="E6624" s="2" t="s">
        <v>28</v>
      </c>
      <c r="F6624" s="2" t="str">
        <f>HYPERLINK("http://bbs.12365auto.com/postcontent.aspx?tID=194281","http://bbs.12365auto.com/postcontent.aspx?tID=194281")</f>
        <v>http://bbs.12365auto.com/postcontent.aspx?tID=194281</v>
      </c>
      <c r="G6624" s="2"/>
      <c r="H6624" s="2" t="s">
        <v>9135</v>
      </c>
      <c r="I6624" s="2" t="s">
        <v>15</v>
      </c>
      <c r="J6624" s="2" t="s">
        <v>9124</v>
      </c>
      <c r="K6624" s="2" t="s">
        <v>9134</v>
      </c>
      <c r="L6624" s="2">
        <f t="shared" si="103"/>
        <v>150</v>
      </c>
    </row>
    <row r="6625" spans="1:12" ht="25" customHeight="1">
      <c r="A6625" s="2" t="s">
        <v>12</v>
      </c>
      <c r="B6625" s="2" t="str">
        <f>HYPERLINK("http://bbs.12365auto.com/postcontent.aspx?tId=194281","日系车皮薄？大众车厚重？")</f>
        <v>日系车皮薄？大众车厚重？</v>
      </c>
      <c r="C6625" s="2" t="s">
        <v>13</v>
      </c>
      <c r="D6625" s="2" t="s">
        <v>12</v>
      </c>
      <c r="E6625" s="2" t="s">
        <v>27</v>
      </c>
      <c r="F6625" s="2" t="str">
        <f>HYPERLINK("http://bbs.12365auto.com/postcontent.aspx?tId=194281","http://bbs.12365auto.com/postcontent.aspx?tId=194281")</f>
        <v>http://bbs.12365auto.com/postcontent.aspx?tId=194281</v>
      </c>
      <c r="G6625" s="2"/>
      <c r="H6625" s="2" t="s">
        <v>9133</v>
      </c>
      <c r="I6625" s="2" t="s">
        <v>15</v>
      </c>
      <c r="J6625" s="2" t="s">
        <v>9124</v>
      </c>
      <c r="K6625" s="2" t="s">
        <v>9134</v>
      </c>
      <c r="L6625" s="2">
        <f t="shared" si="103"/>
        <v>150</v>
      </c>
    </row>
    <row r="6626" spans="1:12" ht="25" customHeight="1">
      <c r="A6626" s="2" t="s">
        <v>12</v>
      </c>
      <c r="B6626" s="2" t="str">
        <f>HYPERLINK("http://m.12365auto.com/bbs/postcontent.aspx?tID=194279","雷凌or卡罗拉")</f>
        <v>雷凌or卡罗拉</v>
      </c>
      <c r="C6626" s="2" t="s">
        <v>13</v>
      </c>
      <c r="D6626" s="2" t="s">
        <v>23</v>
      </c>
      <c r="E6626" s="2"/>
      <c r="F6626" s="2" t="str">
        <f>HYPERLINK("http://m.12365auto.com/bbs/postcontent.aspx?tID=194279","http://m.12365auto.com/bbs/postcontent.aspx?tID=194279")</f>
        <v>http://m.12365auto.com/bbs/postcontent.aspx?tID=194279</v>
      </c>
      <c r="G6626" s="2"/>
      <c r="H6626" s="2" t="s">
        <v>1140</v>
      </c>
      <c r="I6626" s="2" t="s">
        <v>15</v>
      </c>
      <c r="J6626" s="2" t="s">
        <v>9124</v>
      </c>
      <c r="K6626" s="2" t="s">
        <v>9136</v>
      </c>
      <c r="L6626" s="2">
        <f t="shared" si="103"/>
        <v>150</v>
      </c>
    </row>
    <row r="6627" spans="1:12" ht="25" customHeight="1">
      <c r="A6627" s="2" t="s">
        <v>12</v>
      </c>
      <c r="B6627" s="2" t="str">
        <f>HYPERLINK("http://m.12365auto.com/bbs/postcontent.aspx?tID=194280","2019年最让人意想不到的五款SUV")</f>
        <v>2019年最让人意想不到的五款SUV</v>
      </c>
      <c r="C6627" s="2" t="s">
        <v>13</v>
      </c>
      <c r="D6627" s="2" t="s">
        <v>23</v>
      </c>
      <c r="E6627" s="2"/>
      <c r="F6627" s="2" t="str">
        <f>HYPERLINK("http://m.12365auto.com/bbs/postcontent.aspx?tID=194280","http://m.12365auto.com/bbs/postcontent.aspx?tID=194280")</f>
        <v>http://m.12365auto.com/bbs/postcontent.aspx?tID=194280</v>
      </c>
      <c r="G6627" s="2"/>
      <c r="H6627" s="2" t="s">
        <v>7354</v>
      </c>
      <c r="I6627" s="2" t="s">
        <v>15</v>
      </c>
      <c r="J6627" s="2" t="s">
        <v>9124</v>
      </c>
      <c r="K6627" s="2" t="s">
        <v>9136</v>
      </c>
      <c r="L6627" s="2">
        <f t="shared" si="103"/>
        <v>150</v>
      </c>
    </row>
    <row r="6628" spans="1:12" ht="25" customHeight="1">
      <c r="A6628" s="2" t="s">
        <v>12</v>
      </c>
      <c r="B6628" s="2" t="str">
        <f>HYPERLINK("http://www.12365auto.com/scbg/20200217/418739.shtml","将节油舒适进行到底 凯美瑞车主体验帕萨特")</f>
        <v>将节油舒适进行到底 凯美瑞车主体验帕萨特</v>
      </c>
      <c r="C6628" s="2" t="s">
        <v>13</v>
      </c>
      <c r="D6628" s="2" t="s">
        <v>12</v>
      </c>
      <c r="E6628" s="2" t="s">
        <v>1548</v>
      </c>
      <c r="F6628" s="2" t="str">
        <f>HYPERLINK("http://www.12365auto.com/scbg/20200217/418739.shtml","http://www.12365auto.com/scbg/20200217/418739.shtml")</f>
        <v>http://www.12365auto.com/scbg/20200217/418739.shtml</v>
      </c>
      <c r="G6628" s="2"/>
      <c r="H6628" s="2" t="s">
        <v>9137</v>
      </c>
      <c r="I6628" s="2" t="s">
        <v>15</v>
      </c>
      <c r="J6628" s="2" t="s">
        <v>12</v>
      </c>
      <c r="K6628" s="2" t="s">
        <v>9136</v>
      </c>
      <c r="L6628" s="2">
        <f t="shared" si="103"/>
        <v>150</v>
      </c>
    </row>
    <row r="6629" spans="1:12" ht="25" customHeight="1">
      <c r="A6629" s="2" t="s">
        <v>12</v>
      </c>
      <c r="B6629" s="2" t="str">
        <f>HYPERLINK("http://bbs.12365auto.com/postcontent.aspx?tID=194280","2019年最让人意想不到的五款SUV")</f>
        <v>2019年最让人意想不到的五款SUV</v>
      </c>
      <c r="C6629" s="2" t="s">
        <v>13</v>
      </c>
      <c r="D6629" s="2" t="s">
        <v>12</v>
      </c>
      <c r="E6629" s="2" t="s">
        <v>28</v>
      </c>
      <c r="F6629" s="2" t="str">
        <f>HYPERLINK("http://bbs.12365auto.com/postcontent.aspx?tID=194280","http://bbs.12365auto.com/postcontent.aspx?tID=194280")</f>
        <v>http://bbs.12365auto.com/postcontent.aspx?tID=194280</v>
      </c>
      <c r="G6629" s="2"/>
      <c r="H6629" s="2" t="s">
        <v>9138</v>
      </c>
      <c r="I6629" s="2" t="s">
        <v>15</v>
      </c>
      <c r="J6629" s="2" t="s">
        <v>9124</v>
      </c>
      <c r="K6629" s="2" t="s">
        <v>9136</v>
      </c>
      <c r="L6629" s="2">
        <f t="shared" si="103"/>
        <v>150</v>
      </c>
    </row>
    <row r="6630" spans="1:12" ht="25" customHeight="1">
      <c r="A6630" s="2" t="s">
        <v>12</v>
      </c>
      <c r="B6630" s="2" t="str">
        <f>HYPERLINK("http://bbs.12365auto.com/postcontent.aspx?tID=194279","雷凌or卡罗拉")</f>
        <v>雷凌or卡罗拉</v>
      </c>
      <c r="C6630" s="2" t="s">
        <v>13</v>
      </c>
      <c r="D6630" s="2" t="s">
        <v>12</v>
      </c>
      <c r="E6630" s="2" t="s">
        <v>28</v>
      </c>
      <c r="F6630" s="2" t="str">
        <f>HYPERLINK("http://bbs.12365auto.com/postcontent.aspx?tID=194279","http://bbs.12365auto.com/postcontent.aspx?tID=194279")</f>
        <v>http://bbs.12365auto.com/postcontent.aspx?tID=194279</v>
      </c>
      <c r="G6630" s="2"/>
      <c r="H6630" s="2" t="s">
        <v>9139</v>
      </c>
      <c r="I6630" s="2" t="s">
        <v>15</v>
      </c>
      <c r="J6630" s="2" t="s">
        <v>9124</v>
      </c>
      <c r="K6630" s="2" t="s">
        <v>9136</v>
      </c>
      <c r="L6630" s="2">
        <f t="shared" si="103"/>
        <v>150</v>
      </c>
    </row>
    <row r="6631" spans="1:12" ht="25" customHeight="1">
      <c r="A6631" s="2" t="s">
        <v>12</v>
      </c>
      <c r="B6631" s="2" t="str">
        <f>HYPERLINK("http://m.12365auto.com/scbg/20200217/418739.shtml","将节油舒适进行到底 凯美瑞车主体验帕萨特")</f>
        <v>将节油舒适进行到底 凯美瑞车主体验帕萨特</v>
      </c>
      <c r="C6631" s="2" t="s">
        <v>13</v>
      </c>
      <c r="D6631" s="2" t="s">
        <v>12</v>
      </c>
      <c r="E6631" s="2"/>
      <c r="F6631" s="2" t="str">
        <f>HYPERLINK("http://m.12365auto.com/scbg/20200217/418739.shtml","http://m.12365auto.com/scbg/20200217/418739.shtml")</f>
        <v>http://m.12365auto.com/scbg/20200217/418739.shtml</v>
      </c>
      <c r="G6631" s="2"/>
      <c r="H6631" s="2" t="s">
        <v>9140</v>
      </c>
      <c r="I6631" s="2" t="s">
        <v>19</v>
      </c>
      <c r="J6631" s="2" t="s">
        <v>9141</v>
      </c>
      <c r="K6631" s="2" t="s">
        <v>9136</v>
      </c>
      <c r="L6631" s="2">
        <f t="shared" si="103"/>
        <v>150</v>
      </c>
    </row>
    <row r="6632" spans="1:12" ht="25" customHeight="1">
      <c r="A6632" s="2" t="s">
        <v>12</v>
      </c>
      <c r="B6632" s="2" t="str">
        <f>HYPERLINK("http://bbs.12365auto.com/postcontent.aspx?tId=194279","雷凌or卡罗拉")</f>
        <v>雷凌or卡罗拉</v>
      </c>
      <c r="C6632" s="2" t="s">
        <v>13</v>
      </c>
      <c r="D6632" s="2" t="s">
        <v>12</v>
      </c>
      <c r="E6632" s="2" t="s">
        <v>27</v>
      </c>
      <c r="F6632" s="2" t="str">
        <f>HYPERLINK("http://bbs.12365auto.com/postcontent.aspx?tId=194279","http://bbs.12365auto.com/postcontent.aspx?tId=194279")</f>
        <v>http://bbs.12365auto.com/postcontent.aspx?tId=194279</v>
      </c>
      <c r="G6632" s="2"/>
      <c r="H6632" s="2" t="s">
        <v>1140</v>
      </c>
      <c r="I6632" s="2" t="s">
        <v>15</v>
      </c>
      <c r="J6632" s="2" t="s">
        <v>9124</v>
      </c>
      <c r="K6632" s="2" t="s">
        <v>9136</v>
      </c>
      <c r="L6632" s="2">
        <f t="shared" si="103"/>
        <v>150</v>
      </c>
    </row>
    <row r="6633" spans="1:12" ht="25" customHeight="1">
      <c r="A6633" s="2" t="s">
        <v>12</v>
      </c>
      <c r="B6633" s="2" t="str">
        <f>HYPERLINK("http://bbs.12365auto.com/postcontent.aspx?tId=194280","2019年最让人意想不到的五款SUV")</f>
        <v>2019年最让人意想不到的五款SUV</v>
      </c>
      <c r="C6633" s="2" t="s">
        <v>13</v>
      </c>
      <c r="D6633" s="2" t="s">
        <v>12</v>
      </c>
      <c r="E6633" s="2" t="s">
        <v>27</v>
      </c>
      <c r="F6633" s="2" t="str">
        <f>HYPERLINK("http://bbs.12365auto.com/postcontent.aspx?tId=194280","http://bbs.12365auto.com/postcontent.aspx?tId=194280")</f>
        <v>http://bbs.12365auto.com/postcontent.aspx?tId=194280</v>
      </c>
      <c r="G6633" s="2"/>
      <c r="H6633" s="2" t="s">
        <v>7354</v>
      </c>
      <c r="I6633" s="2" t="s">
        <v>15</v>
      </c>
      <c r="J6633" s="2" t="s">
        <v>9124</v>
      </c>
      <c r="K6633" s="2" t="s">
        <v>9136</v>
      </c>
      <c r="L6633" s="2">
        <f t="shared" si="103"/>
        <v>150</v>
      </c>
    </row>
    <row r="6634" spans="1:12" ht="25" customHeight="1">
      <c r="A6634" s="2" t="s">
        <v>12</v>
      </c>
      <c r="B6634" s="2" t="str">
        <f>HYPERLINK("http://www.12365auto.com/news/20200217/418740.shtml","车内空气质量3大谣言 事实并非你想象的那样")</f>
        <v>车内空气质量3大谣言 事实并非你想象的那样</v>
      </c>
      <c r="C6634" s="2" t="s">
        <v>13</v>
      </c>
      <c r="D6634" s="2" t="s">
        <v>12</v>
      </c>
      <c r="E6634" s="2" t="s">
        <v>276</v>
      </c>
      <c r="F6634" s="2" t="str">
        <f>HYPERLINK("http://www.12365auto.com/news/20200217/418740.shtml","http://www.12365auto.com/news/20200217/418740.shtml")</f>
        <v>http://www.12365auto.com/news/20200217/418740.shtml</v>
      </c>
      <c r="G6634" s="2"/>
      <c r="H6634" s="2" t="s">
        <v>9142</v>
      </c>
      <c r="I6634" s="2" t="s">
        <v>15</v>
      </c>
      <c r="J6634" s="2" t="s">
        <v>12</v>
      </c>
      <c r="K6634" s="2" t="s">
        <v>9143</v>
      </c>
      <c r="L6634" s="2">
        <f t="shared" si="103"/>
        <v>150</v>
      </c>
    </row>
    <row r="6635" spans="1:12" ht="25" customHeight="1">
      <c r="A6635" s="2" t="s">
        <v>12</v>
      </c>
      <c r="B6635" s="2" t="str">
        <f>HYPERLINK("http://m.12365auto.com/bbs/postcontent.aspx?tID=194277","奥迪2020年在华新车规划 将推超18款新车")</f>
        <v>奥迪2020年在华新车规划 将推超18款新车</v>
      </c>
      <c r="C6635" s="2" t="s">
        <v>13</v>
      </c>
      <c r="D6635" s="2" t="s">
        <v>23</v>
      </c>
      <c r="E6635" s="2"/>
      <c r="F6635" s="2" t="str">
        <f>HYPERLINK("http://m.12365auto.com/bbs/postcontent.aspx?tID=194277","http://m.12365auto.com/bbs/postcontent.aspx?tID=194277")</f>
        <v>http://m.12365auto.com/bbs/postcontent.aspx?tID=194277</v>
      </c>
      <c r="G6635" s="2"/>
      <c r="H6635" s="2" t="s">
        <v>9144</v>
      </c>
      <c r="I6635" s="2" t="s">
        <v>15</v>
      </c>
      <c r="J6635" s="2" t="s">
        <v>9124</v>
      </c>
      <c r="K6635" s="2" t="s">
        <v>9143</v>
      </c>
      <c r="L6635" s="2">
        <f t="shared" si="103"/>
        <v>150</v>
      </c>
    </row>
    <row r="6636" spans="1:12" ht="25" customHeight="1">
      <c r="A6636" s="2" t="s">
        <v>12</v>
      </c>
      <c r="B6636" s="2" t="str">
        <f>HYPERLINK("http://www.12365auto.com/xcdg/20200217/418753.shtml","新款斯柯达昕锐/昕动上市 售7.84-11.14万元")</f>
        <v>新款斯柯达昕锐/昕动上市 售7.84-11.14万元</v>
      </c>
      <c r="C6636" s="2" t="s">
        <v>13</v>
      </c>
      <c r="D6636" s="2" t="s">
        <v>12</v>
      </c>
      <c r="E6636" s="2" t="s">
        <v>216</v>
      </c>
      <c r="F6636" s="2" t="str">
        <f>HYPERLINK("http://www.12365auto.com/xcdg/20200217/418753.shtml","http://www.12365auto.com/xcdg/20200217/418753.shtml")</f>
        <v>http://www.12365auto.com/xcdg/20200217/418753.shtml</v>
      </c>
      <c r="G6636" s="2"/>
      <c r="H6636" s="2" t="s">
        <v>9145</v>
      </c>
      <c r="I6636" s="2" t="s">
        <v>15</v>
      </c>
      <c r="J6636" s="2" t="s">
        <v>12</v>
      </c>
      <c r="K6636" s="2" t="s">
        <v>9143</v>
      </c>
      <c r="L6636" s="2">
        <f t="shared" si="103"/>
        <v>150</v>
      </c>
    </row>
    <row r="6637" spans="1:12" ht="25" customHeight="1">
      <c r="A6637" s="2" t="s">
        <v>12</v>
      </c>
      <c r="B6637" s="2" t="str">
        <f>HYPERLINK("http://www.12365auto.com/zlts/20200217/447493.shtml","长城C30车身生锈存在质量问题希望解决")</f>
        <v>长城C30车身生锈存在质量问题希望解决</v>
      </c>
      <c r="C6637" s="2" t="s">
        <v>13</v>
      </c>
      <c r="D6637" s="2" t="s">
        <v>12</v>
      </c>
      <c r="E6637" s="2" t="s">
        <v>17</v>
      </c>
      <c r="F6637" s="2" t="str">
        <f>HYPERLINK("http://www.12365auto.com/zlts/20200217/447493.shtml","http://www.12365auto.com/zlts/20200217/447493.shtml")</f>
        <v>http://www.12365auto.com/zlts/20200217/447493.shtml</v>
      </c>
      <c r="G6637" s="2"/>
      <c r="H6637" s="2" t="s">
        <v>9146</v>
      </c>
      <c r="I6637" s="2" t="s">
        <v>19</v>
      </c>
      <c r="J6637" s="2" t="s">
        <v>12</v>
      </c>
      <c r="K6637" s="2" t="s">
        <v>9143</v>
      </c>
      <c r="L6637" s="2">
        <f t="shared" si="103"/>
        <v>150</v>
      </c>
    </row>
    <row r="6638" spans="1:12" ht="25" customHeight="1">
      <c r="A6638" s="2" t="s">
        <v>12</v>
      </c>
      <c r="B6638" s="2" t="str">
        <f>HYPERLINK("http://m.12365auto.com/xcdg/20200217/418753.shtml","新款斯柯达昕锐/昕动上市 售7.84-11.14万元")</f>
        <v>新款斯柯达昕锐/昕动上市 售7.84-11.14万元</v>
      </c>
      <c r="C6638" s="2" t="s">
        <v>13</v>
      </c>
      <c r="D6638" s="2" t="s">
        <v>12</v>
      </c>
      <c r="E6638" s="2"/>
      <c r="F6638" s="2" t="str">
        <f>HYPERLINK("http://m.12365auto.com/xcdg/20200217/418753.shtml","http://m.12365auto.com/xcdg/20200217/418753.shtml")</f>
        <v>http://m.12365auto.com/xcdg/20200217/418753.shtml</v>
      </c>
      <c r="G6638" s="2"/>
      <c r="H6638" s="2" t="s">
        <v>9147</v>
      </c>
      <c r="I6638" s="2" t="s">
        <v>19</v>
      </c>
      <c r="J6638" s="2" t="s">
        <v>1305</v>
      </c>
      <c r="K6638" s="2" t="s">
        <v>9143</v>
      </c>
      <c r="L6638" s="2">
        <f t="shared" si="103"/>
        <v>150</v>
      </c>
    </row>
    <row r="6639" spans="1:12" ht="25" customHeight="1">
      <c r="A6639" s="2" t="s">
        <v>12</v>
      </c>
      <c r="B6639" s="2" t="str">
        <f>HYPERLINK("http://m.12365auto.com/bbs/postcontent.aspx?tID=194278","四大自主高端品牌，谁最有望成功？")</f>
        <v>四大自主高端品牌，谁最有望成功？</v>
      </c>
      <c r="C6639" s="2" t="s">
        <v>13</v>
      </c>
      <c r="D6639" s="2" t="s">
        <v>23</v>
      </c>
      <c r="E6639" s="2"/>
      <c r="F6639" s="2" t="str">
        <f>HYPERLINK("http://m.12365auto.com/bbs/postcontent.aspx?tID=194278","http://m.12365auto.com/bbs/postcontent.aspx?tID=194278")</f>
        <v>http://m.12365auto.com/bbs/postcontent.aspx?tID=194278</v>
      </c>
      <c r="G6639" s="2"/>
      <c r="H6639" s="2" t="s">
        <v>9148</v>
      </c>
      <c r="I6639" s="2" t="s">
        <v>15</v>
      </c>
      <c r="J6639" s="2" t="s">
        <v>9124</v>
      </c>
      <c r="K6639" s="2" t="s">
        <v>9143</v>
      </c>
      <c r="L6639" s="2">
        <f t="shared" si="103"/>
        <v>150</v>
      </c>
    </row>
    <row r="6640" spans="1:12" ht="25" customHeight="1">
      <c r="A6640" s="2" t="s">
        <v>12</v>
      </c>
      <c r="B6640" s="2" t="str">
        <f>HYPERLINK("http://bbs.12365auto.com/postcontent.aspx?tID=194277","奥迪2020年在华新车规划 将推超18款新车")</f>
        <v>奥迪2020年在华新车规划 将推超18款新车</v>
      </c>
      <c r="C6640" s="2" t="s">
        <v>13</v>
      </c>
      <c r="D6640" s="2" t="s">
        <v>12</v>
      </c>
      <c r="E6640" s="2" t="s">
        <v>28</v>
      </c>
      <c r="F6640" s="2" t="str">
        <f>HYPERLINK("http://bbs.12365auto.com/postcontent.aspx?tID=194277","http://bbs.12365auto.com/postcontent.aspx?tID=194277")</f>
        <v>http://bbs.12365auto.com/postcontent.aspx?tID=194277</v>
      </c>
      <c r="G6640" s="2"/>
      <c r="H6640" s="2" t="s">
        <v>9149</v>
      </c>
      <c r="I6640" s="2" t="s">
        <v>15</v>
      </c>
      <c r="J6640" s="2" t="s">
        <v>9124</v>
      </c>
      <c r="K6640" s="2" t="s">
        <v>9143</v>
      </c>
      <c r="L6640" s="2">
        <f t="shared" si="103"/>
        <v>150</v>
      </c>
    </row>
    <row r="6641" spans="1:12" ht="25" customHeight="1">
      <c r="A6641" s="2" t="s">
        <v>12</v>
      </c>
      <c r="B6641" s="2" t="str">
        <f>HYPERLINK("http://bbs.12365auto.com/postcontent.aspx?tID=194278","四大自主高端品牌，谁最有望成功？")</f>
        <v>四大自主高端品牌，谁最有望成功？</v>
      </c>
      <c r="C6641" s="2" t="s">
        <v>13</v>
      </c>
      <c r="D6641" s="2" t="s">
        <v>12</v>
      </c>
      <c r="E6641" s="2" t="s">
        <v>28</v>
      </c>
      <c r="F6641" s="2" t="str">
        <f>HYPERLINK("http://bbs.12365auto.com/postcontent.aspx?tID=194278","http://bbs.12365auto.com/postcontent.aspx?tID=194278")</f>
        <v>http://bbs.12365auto.com/postcontent.aspx?tID=194278</v>
      </c>
      <c r="G6641" s="2"/>
      <c r="H6641" s="2" t="s">
        <v>9150</v>
      </c>
      <c r="I6641" s="2" t="s">
        <v>15</v>
      </c>
      <c r="J6641" s="2" t="s">
        <v>9124</v>
      </c>
      <c r="K6641" s="2" t="s">
        <v>9143</v>
      </c>
      <c r="L6641" s="2">
        <f t="shared" si="103"/>
        <v>150</v>
      </c>
    </row>
    <row r="6642" spans="1:12" ht="25" customHeight="1">
      <c r="A6642" s="2" t="s">
        <v>12</v>
      </c>
      <c r="B6642" s="2" t="str">
        <f>HYPERLINK("http://m.12365auto.com/news/20200217/418740.shtml","车内空气质量3大谣言 事实并非你想象的那样")</f>
        <v>车内空气质量3大谣言 事实并非你想象的那样</v>
      </c>
      <c r="C6642" s="2" t="s">
        <v>13</v>
      </c>
      <c r="D6642" s="2" t="s">
        <v>12</v>
      </c>
      <c r="E6642" s="2"/>
      <c r="F6642" s="2" t="str">
        <f>HYPERLINK("http://m.12365auto.com/news/20200217/418740.shtml","http://m.12365auto.com/news/20200217/418740.shtml")</f>
        <v>http://m.12365auto.com/news/20200217/418740.shtml</v>
      </c>
      <c r="G6642" s="2"/>
      <c r="H6642" s="2" t="s">
        <v>9151</v>
      </c>
      <c r="I6642" s="2" t="s">
        <v>19</v>
      </c>
      <c r="J6642" s="2" t="s">
        <v>12</v>
      </c>
      <c r="K6642" s="2" t="s">
        <v>9143</v>
      </c>
      <c r="L6642" s="2">
        <f t="shared" si="103"/>
        <v>150</v>
      </c>
    </row>
    <row r="6643" spans="1:12" ht="25" customHeight="1">
      <c r="A6643" s="2" t="s">
        <v>12</v>
      </c>
      <c r="B6643" s="2" t="str">
        <f>HYPERLINK("http://bbs.12365auto.com/postcontent.aspx?tId=194278","四大自主高端品牌，谁最有望成功？")</f>
        <v>四大自主高端品牌，谁最有望成功？</v>
      </c>
      <c r="C6643" s="2" t="s">
        <v>13</v>
      </c>
      <c r="D6643" s="2" t="s">
        <v>12</v>
      </c>
      <c r="E6643" s="2" t="s">
        <v>27</v>
      </c>
      <c r="F6643" s="2" t="str">
        <f>HYPERLINK("http://bbs.12365auto.com/postcontent.aspx?tId=194278","http://bbs.12365auto.com/postcontent.aspx?tId=194278")</f>
        <v>http://bbs.12365auto.com/postcontent.aspx?tId=194278</v>
      </c>
      <c r="G6643" s="2"/>
      <c r="H6643" s="2" t="s">
        <v>9148</v>
      </c>
      <c r="I6643" s="2" t="s">
        <v>15</v>
      </c>
      <c r="J6643" s="2" t="s">
        <v>9124</v>
      </c>
      <c r="K6643" s="2" t="s">
        <v>9143</v>
      </c>
      <c r="L6643" s="2">
        <f t="shared" si="103"/>
        <v>150</v>
      </c>
    </row>
    <row r="6644" spans="1:12" ht="25" customHeight="1">
      <c r="A6644" s="2" t="s">
        <v>12</v>
      </c>
      <c r="B6644" s="2" t="str">
        <f>HYPERLINK("http://bbs.12365auto.com/postcontent.aspx?tId=194277","奥迪2020年在华新车规划 将推超18款新车")</f>
        <v>奥迪2020年在华新车规划 将推超18款新车</v>
      </c>
      <c r="C6644" s="2" t="s">
        <v>13</v>
      </c>
      <c r="D6644" s="2" t="s">
        <v>12</v>
      </c>
      <c r="E6644" s="2" t="s">
        <v>27</v>
      </c>
      <c r="F6644" s="2" t="str">
        <f>HYPERLINK("http://bbs.12365auto.com/postcontent.aspx?tId=194277","http://bbs.12365auto.com/postcontent.aspx?tId=194277")</f>
        <v>http://bbs.12365auto.com/postcontent.aspx?tId=194277</v>
      </c>
      <c r="G6644" s="2"/>
      <c r="H6644" s="2" t="s">
        <v>9144</v>
      </c>
      <c r="I6644" s="2" t="s">
        <v>15</v>
      </c>
      <c r="J6644" s="2" t="s">
        <v>9124</v>
      </c>
      <c r="K6644" s="2" t="s">
        <v>9143</v>
      </c>
      <c r="L6644" s="2">
        <f t="shared" si="103"/>
        <v>150</v>
      </c>
    </row>
    <row r="6645" spans="1:12" ht="25" customHeight="1">
      <c r="A6645" s="2" t="s">
        <v>12</v>
      </c>
      <c r="B6645" s="2" t="str">
        <f>HYPERLINK("http://m.12365auto.com/bbs/postcontent.aspx?tID=194276","五款不保值的好车")</f>
        <v>五款不保值的好车</v>
      </c>
      <c r="C6645" s="2" t="s">
        <v>13</v>
      </c>
      <c r="D6645" s="2" t="s">
        <v>23</v>
      </c>
      <c r="E6645" s="2"/>
      <c r="F6645" s="2" t="str">
        <f>HYPERLINK("http://m.12365auto.com/bbs/postcontent.aspx?tID=194276","http://m.12365auto.com/bbs/postcontent.aspx?tID=194276")</f>
        <v>http://m.12365auto.com/bbs/postcontent.aspx?tID=194276</v>
      </c>
      <c r="G6645" s="2"/>
      <c r="H6645" s="2" t="s">
        <v>8658</v>
      </c>
      <c r="I6645" s="2" t="s">
        <v>15</v>
      </c>
      <c r="J6645" s="2" t="s">
        <v>9124</v>
      </c>
      <c r="K6645" s="2" t="s">
        <v>9152</v>
      </c>
      <c r="L6645" s="2">
        <f t="shared" si="103"/>
        <v>150</v>
      </c>
    </row>
    <row r="6646" spans="1:12" ht="25" customHeight="1">
      <c r="A6646" s="2" t="s">
        <v>12</v>
      </c>
      <c r="B6646" s="2" t="str">
        <f>HYPERLINK("http://m.12365auto.com/bbs/postcontent.aspx?tID=194275","1月SUV榜单：哈弗H6销冠差点丢了，多匹黑马登榜")</f>
        <v>1月SUV榜单：哈弗H6销冠差点丢了，多匹黑马登榜</v>
      </c>
      <c r="C6646" s="2" t="s">
        <v>13</v>
      </c>
      <c r="D6646" s="2" t="s">
        <v>23</v>
      </c>
      <c r="E6646" s="2"/>
      <c r="F6646" s="2" t="str">
        <f>HYPERLINK("http://m.12365auto.com/bbs/postcontent.aspx?tID=194275","http://m.12365auto.com/bbs/postcontent.aspx?tID=194275")</f>
        <v>http://m.12365auto.com/bbs/postcontent.aspx?tID=194275</v>
      </c>
      <c r="G6646" s="2"/>
      <c r="H6646" s="2" t="s">
        <v>7110</v>
      </c>
      <c r="I6646" s="2" t="s">
        <v>15</v>
      </c>
      <c r="J6646" s="2" t="s">
        <v>9124</v>
      </c>
      <c r="K6646" s="2" t="s">
        <v>9152</v>
      </c>
      <c r="L6646" s="2">
        <f t="shared" si="103"/>
        <v>150</v>
      </c>
    </row>
    <row r="6647" spans="1:12" ht="25" customHeight="1">
      <c r="A6647" s="2" t="s">
        <v>12</v>
      </c>
      <c r="B6647" s="2" t="str">
        <f>HYPERLINK("http://bbs.12365auto.com/postcontent.aspx?tID=194276","五款不保值的好车")</f>
        <v>五款不保值的好车</v>
      </c>
      <c r="C6647" s="2" t="s">
        <v>13</v>
      </c>
      <c r="D6647" s="2" t="s">
        <v>12</v>
      </c>
      <c r="E6647" s="2" t="s">
        <v>28</v>
      </c>
      <c r="F6647" s="2" t="str">
        <f>HYPERLINK("http://bbs.12365auto.com/postcontent.aspx?tID=194276","http://bbs.12365auto.com/postcontent.aspx?tID=194276")</f>
        <v>http://bbs.12365auto.com/postcontent.aspx?tID=194276</v>
      </c>
      <c r="G6647" s="2"/>
      <c r="H6647" s="2" t="s">
        <v>9153</v>
      </c>
      <c r="I6647" s="2" t="s">
        <v>15</v>
      </c>
      <c r="J6647" s="2" t="s">
        <v>9124</v>
      </c>
      <c r="K6647" s="2" t="s">
        <v>9152</v>
      </c>
      <c r="L6647" s="2">
        <f t="shared" si="103"/>
        <v>150</v>
      </c>
    </row>
    <row r="6648" spans="1:12" ht="25" customHeight="1">
      <c r="A6648" s="2" t="s">
        <v>12</v>
      </c>
      <c r="B6648" s="2" t="str">
        <f>HYPERLINK("http://bbs.12365auto.com/postcontent.aspx?tID=194275","1月SUV榜单：哈弗H6销冠差点丢了，多匹黑马登榜")</f>
        <v>1月SUV榜单：哈弗H6销冠差点丢了，多匹黑马登榜</v>
      </c>
      <c r="C6648" s="2" t="s">
        <v>13</v>
      </c>
      <c r="D6648" s="2" t="s">
        <v>12</v>
      </c>
      <c r="E6648" s="2" t="s">
        <v>28</v>
      </c>
      <c r="F6648" s="2" t="str">
        <f>HYPERLINK("http://bbs.12365auto.com/postcontent.aspx?tID=194275","http://bbs.12365auto.com/postcontent.aspx?tID=194275")</f>
        <v>http://bbs.12365auto.com/postcontent.aspx?tID=194275</v>
      </c>
      <c r="G6648" s="2"/>
      <c r="H6648" s="2" t="s">
        <v>9154</v>
      </c>
      <c r="I6648" s="2" t="s">
        <v>15</v>
      </c>
      <c r="J6648" s="2" t="s">
        <v>9124</v>
      </c>
      <c r="K6648" s="2" t="s">
        <v>9152</v>
      </c>
      <c r="L6648" s="2">
        <f t="shared" si="103"/>
        <v>150</v>
      </c>
    </row>
    <row r="6649" spans="1:12" ht="25" customHeight="1">
      <c r="A6649" s="2" t="s">
        <v>12</v>
      </c>
      <c r="B6649" s="2" t="str">
        <f>HYPERLINK("http://bbs.12365auto.com/postcontent.aspx?tId=194276","五款不保值的好车")</f>
        <v>五款不保值的好车</v>
      </c>
      <c r="C6649" s="2" t="s">
        <v>13</v>
      </c>
      <c r="D6649" s="2" t="s">
        <v>12</v>
      </c>
      <c r="E6649" s="2" t="s">
        <v>27</v>
      </c>
      <c r="F6649" s="2" t="str">
        <f>HYPERLINK("http://bbs.12365auto.com/postcontent.aspx?tId=194276","http://bbs.12365auto.com/postcontent.aspx?tId=194276")</f>
        <v>http://bbs.12365auto.com/postcontent.aspx?tId=194276</v>
      </c>
      <c r="G6649" s="2"/>
      <c r="H6649" s="2" t="s">
        <v>8658</v>
      </c>
      <c r="I6649" s="2" t="s">
        <v>15</v>
      </c>
      <c r="J6649" s="2" t="s">
        <v>9124</v>
      </c>
      <c r="K6649" s="2" t="s">
        <v>9152</v>
      </c>
      <c r="L6649" s="2">
        <f t="shared" si="103"/>
        <v>150</v>
      </c>
    </row>
    <row r="6650" spans="1:12" ht="25" customHeight="1">
      <c r="A6650" s="2" t="s">
        <v>12</v>
      </c>
      <c r="B6650" s="2" t="str">
        <f>HYPERLINK("http://bbs.12365auto.com/postcontent.aspx?tId=194275","1月SUV榜单：哈弗H6销冠差点丢了，多匹黑马登榜")</f>
        <v>1月SUV榜单：哈弗H6销冠差点丢了，多匹黑马登榜</v>
      </c>
      <c r="C6650" s="2" t="s">
        <v>13</v>
      </c>
      <c r="D6650" s="2" t="s">
        <v>12</v>
      </c>
      <c r="E6650" s="2" t="s">
        <v>27</v>
      </c>
      <c r="F6650" s="2" t="str">
        <f>HYPERLINK("http://bbs.12365auto.com/postcontent.aspx?tId=194275","http://bbs.12365auto.com/postcontent.aspx?tId=194275")</f>
        <v>http://bbs.12365auto.com/postcontent.aspx?tId=194275</v>
      </c>
      <c r="G6650" s="2"/>
      <c r="H6650" s="2" t="s">
        <v>7110</v>
      </c>
      <c r="I6650" s="2" t="s">
        <v>15</v>
      </c>
      <c r="J6650" s="2" t="s">
        <v>9124</v>
      </c>
      <c r="K6650" s="2" t="s">
        <v>9152</v>
      </c>
      <c r="L6650" s="2">
        <f t="shared" si="103"/>
        <v>150</v>
      </c>
    </row>
    <row r="6651" spans="1:12" ht="25" customHeight="1">
      <c r="A6651" s="2" t="s">
        <v>12</v>
      </c>
      <c r="B6651" s="2" t="str">
        <f>HYPERLINK("http://www.12365auto.com/zlts/20200217/447489.shtml","广汽传祺GS4电瓶漏液出现腐蚀现象")</f>
        <v>广汽传祺GS4电瓶漏液出现腐蚀现象</v>
      </c>
      <c r="C6651" s="2" t="s">
        <v>13</v>
      </c>
      <c r="D6651" s="2" t="s">
        <v>12</v>
      </c>
      <c r="E6651" s="2"/>
      <c r="F6651" s="2" t="str">
        <f>HYPERLINK("http://www.12365auto.com/zlts/20200217/447489.shtml","http://www.12365auto.com/zlts/20200217/447489.shtml")</f>
        <v>http://www.12365auto.com/zlts/20200217/447489.shtml</v>
      </c>
      <c r="G6651" s="2"/>
      <c r="H6651" s="2" t="s">
        <v>17693</v>
      </c>
      <c r="I6651" s="2" t="s">
        <v>15</v>
      </c>
      <c r="J6651" s="2" t="s">
        <v>12</v>
      </c>
      <c r="K6651" s="2" t="s">
        <v>9155</v>
      </c>
      <c r="L6651" s="2">
        <f t="shared" si="103"/>
        <v>18</v>
      </c>
    </row>
    <row r="6652" spans="1:12" ht="25" customHeight="1">
      <c r="A6652" s="2" t="s">
        <v>12</v>
      </c>
      <c r="B6652" s="2" t="str">
        <f>HYPERLINK("http://bbs.12365auto.com/postcontent.aspx?tID=194274","这三款SUV值得一看")</f>
        <v>这三款SUV值得一看</v>
      </c>
      <c r="C6652" s="2" t="s">
        <v>13</v>
      </c>
      <c r="D6652" s="2" t="s">
        <v>12</v>
      </c>
      <c r="E6652" s="2" t="s">
        <v>28</v>
      </c>
      <c r="F6652" s="2" t="str">
        <f>HYPERLINK("http://bbs.12365auto.com/postcontent.aspx?tID=194274","http://bbs.12365auto.com/postcontent.aspx?tID=194274")</f>
        <v>http://bbs.12365auto.com/postcontent.aspx?tID=194274</v>
      </c>
      <c r="G6652" s="2"/>
      <c r="H6652" s="2" t="s">
        <v>9156</v>
      </c>
      <c r="I6652" s="2" t="s">
        <v>15</v>
      </c>
      <c r="J6652" s="2" t="s">
        <v>9124</v>
      </c>
      <c r="K6652" s="2" t="s">
        <v>9157</v>
      </c>
      <c r="L6652" s="2">
        <f t="shared" si="103"/>
        <v>150</v>
      </c>
    </row>
    <row r="6653" spans="1:12" ht="25" customHeight="1">
      <c r="A6653" s="2" t="s">
        <v>12</v>
      </c>
      <c r="B6653" s="2" t="str">
        <f>HYPERLINK("http://bbs.12365auto.com/postcontent.aspx?tId=194274","这三款SUV值得一看")</f>
        <v>这三款SUV值得一看</v>
      </c>
      <c r="C6653" s="2" t="s">
        <v>13</v>
      </c>
      <c r="D6653" s="2" t="s">
        <v>12</v>
      </c>
      <c r="E6653" s="2" t="s">
        <v>27</v>
      </c>
      <c r="F6653" s="2" t="str">
        <f>HYPERLINK("http://bbs.12365auto.com/postcontent.aspx?tId=194274","http://bbs.12365auto.com/postcontent.aspx?tId=194274")</f>
        <v>http://bbs.12365auto.com/postcontent.aspx?tId=194274</v>
      </c>
      <c r="G6653" s="2"/>
      <c r="H6653" s="2" t="s">
        <v>7512</v>
      </c>
      <c r="I6653" s="2" t="s">
        <v>15</v>
      </c>
      <c r="J6653" s="2" t="s">
        <v>9124</v>
      </c>
      <c r="K6653" s="2" t="s">
        <v>9157</v>
      </c>
      <c r="L6653" s="2">
        <f t="shared" si="103"/>
        <v>150</v>
      </c>
    </row>
    <row r="6654" spans="1:12" ht="25" customHeight="1">
      <c r="A6654" s="2" t="s">
        <v>12</v>
      </c>
      <c r="B6654" s="2" t="str">
        <f>HYPERLINK("http://www.12365auto.com/news/20200217/418737.shtml","广本1月销量同比增长1.1% 皓影近万辆")</f>
        <v>广本1月销量同比增长1.1% 皓影近万辆</v>
      </c>
      <c r="C6654" s="2" t="s">
        <v>13</v>
      </c>
      <c r="D6654" s="2" t="s">
        <v>12</v>
      </c>
      <c r="E6654" s="2" t="s">
        <v>276</v>
      </c>
      <c r="F6654" s="2" t="str">
        <f>HYPERLINK("http://www.12365auto.com/news/20200217/418737.shtml","http://www.12365auto.com/news/20200217/418737.shtml")</f>
        <v>http://www.12365auto.com/news/20200217/418737.shtml</v>
      </c>
      <c r="G6654" s="2"/>
      <c r="H6654" s="2" t="s">
        <v>9158</v>
      </c>
      <c r="I6654" s="2" t="s">
        <v>15</v>
      </c>
      <c r="J6654" s="2" t="s">
        <v>12</v>
      </c>
      <c r="K6654" s="2" t="s">
        <v>9159</v>
      </c>
      <c r="L6654" s="2">
        <f t="shared" si="103"/>
        <v>150</v>
      </c>
    </row>
    <row r="6655" spans="1:12" ht="25" customHeight="1">
      <c r="A6655" s="2" t="s">
        <v>12</v>
      </c>
      <c r="B6655" s="2" t="str">
        <f>HYPERLINK("http://m.12365auto.com/news/20200217/418737.shtml","广本1月销量同比增长1.1% 皓影近万辆")</f>
        <v>广本1月销量同比增长1.1% 皓影近万辆</v>
      </c>
      <c r="C6655" s="2" t="s">
        <v>13</v>
      </c>
      <c r="D6655" s="2" t="s">
        <v>12</v>
      </c>
      <c r="E6655" s="2"/>
      <c r="F6655" s="2" t="str">
        <f>HYPERLINK("http://m.12365auto.com/news/20200217/418737.shtml","http://m.12365auto.com/news/20200217/418737.shtml")</f>
        <v>http://m.12365auto.com/news/20200217/418737.shtml</v>
      </c>
      <c r="G6655" s="2"/>
      <c r="H6655" s="2" t="s">
        <v>9160</v>
      </c>
      <c r="I6655" s="2" t="s">
        <v>19</v>
      </c>
      <c r="J6655" s="2" t="s">
        <v>3369</v>
      </c>
      <c r="K6655" s="2" t="s">
        <v>9159</v>
      </c>
      <c r="L6655" s="2">
        <f t="shared" si="103"/>
        <v>150</v>
      </c>
    </row>
    <row r="6656" spans="1:12" ht="25" customHeight="1">
      <c r="A6656" s="2" t="s">
        <v>12</v>
      </c>
      <c r="B6656" s="2" t="str">
        <f>HYPERLINK("http://www.12365auto.com/news/20200217/418738.shtml","车内空气污染到底是什么原因引起的")</f>
        <v>车内空气污染到底是什么原因引起的</v>
      </c>
      <c r="C6656" s="2" t="s">
        <v>13</v>
      </c>
      <c r="D6656" s="2" t="s">
        <v>12</v>
      </c>
      <c r="E6656" s="2" t="s">
        <v>282</v>
      </c>
      <c r="F6656" s="2" t="str">
        <f>HYPERLINK("http://www.12365auto.com/news/20200217/418738.shtml","http://www.12365auto.com/news/20200217/418738.shtml")</f>
        <v>http://www.12365auto.com/news/20200217/418738.shtml</v>
      </c>
      <c r="G6656" s="2"/>
      <c r="H6656" s="2" t="s">
        <v>9161</v>
      </c>
      <c r="I6656" s="2" t="s">
        <v>19</v>
      </c>
      <c r="J6656" s="2" t="s">
        <v>12</v>
      </c>
      <c r="K6656" s="2" t="s">
        <v>9162</v>
      </c>
      <c r="L6656" s="2">
        <f t="shared" si="103"/>
        <v>150</v>
      </c>
    </row>
    <row r="6657" spans="1:12" ht="25" customHeight="1">
      <c r="A6657" s="2" t="s">
        <v>12</v>
      </c>
      <c r="B6657" s="2" t="str">
        <f>HYPERLINK("http://m.12365auto.com/news/20200217/418738.shtml","车内空气污染到底是什么原因引起的")</f>
        <v>车内空气污染到底是什么原因引起的</v>
      </c>
      <c r="C6657" s="2" t="s">
        <v>13</v>
      </c>
      <c r="D6657" s="2" t="s">
        <v>12</v>
      </c>
      <c r="E6657" s="2"/>
      <c r="F6657" s="2" t="str">
        <f>HYPERLINK("http://m.12365auto.com/news/20200217/418738.shtml","http://m.12365auto.com/news/20200217/418738.shtml")</f>
        <v>http://m.12365auto.com/news/20200217/418738.shtml</v>
      </c>
      <c r="G6657" s="2"/>
      <c r="H6657" s="2" t="s">
        <v>9163</v>
      </c>
      <c r="I6657" s="2" t="s">
        <v>19</v>
      </c>
      <c r="J6657" s="2" t="s">
        <v>12</v>
      </c>
      <c r="K6657" s="2" t="s">
        <v>9162</v>
      </c>
      <c r="L6657" s="2">
        <f t="shared" si="103"/>
        <v>150</v>
      </c>
    </row>
    <row r="6658" spans="1:12" ht="25" customHeight="1">
      <c r="A6658" s="2" t="s">
        <v>12</v>
      </c>
      <c r="B6658" s="2" t="str">
        <f>HYPERLINK("http://m.12365auto.com/xcdg/20200217/418736.shtml","民族英雄VS德系精英 一汽红旗H9对比奥迪A6L")</f>
        <v>民族英雄VS德系精英 一汽红旗H9对比奥迪A6L</v>
      </c>
      <c r="C6658" s="2" t="s">
        <v>13</v>
      </c>
      <c r="D6658" s="2" t="s">
        <v>12</v>
      </c>
      <c r="E6658" s="2"/>
      <c r="F6658" s="2" t="str">
        <f>HYPERLINK("http://m.12365auto.com/xcdg/20200217/418736.shtml","http://m.12365auto.com/xcdg/20200217/418736.shtml")</f>
        <v>http://m.12365auto.com/xcdg/20200217/418736.shtml</v>
      </c>
      <c r="G6658" s="2"/>
      <c r="H6658" s="2" t="s">
        <v>9164</v>
      </c>
      <c r="I6658" s="2" t="s">
        <v>19</v>
      </c>
      <c r="J6658" s="2" t="s">
        <v>9165</v>
      </c>
      <c r="K6658" s="2" t="s">
        <v>9166</v>
      </c>
      <c r="L6658" s="2">
        <f t="shared" si="103"/>
        <v>150</v>
      </c>
    </row>
    <row r="6659" spans="1:12" ht="25" customHeight="1">
      <c r="A6659" s="2" t="s">
        <v>12</v>
      </c>
      <c r="B6659" s="2" t="str">
        <f>HYPERLINK("http://www.12365auto.com/zlts/20200217/447491.shtml","奇瑞瑞虎8低速时变速箱顿挫希望厂家处理")</f>
        <v>奇瑞瑞虎8低速时变速箱顿挫希望厂家处理</v>
      </c>
      <c r="C6659" s="2" t="s">
        <v>13</v>
      </c>
      <c r="D6659" s="2" t="s">
        <v>12</v>
      </c>
      <c r="E6659" s="2" t="s">
        <v>17</v>
      </c>
      <c r="F6659" s="2" t="str">
        <f>HYPERLINK("http://www.12365auto.com/zlts/20200217/447491.shtml","http://www.12365auto.com/zlts/20200217/447491.shtml")</f>
        <v>http://www.12365auto.com/zlts/20200217/447491.shtml</v>
      </c>
      <c r="G6659" s="2"/>
      <c r="H6659" s="2" t="s">
        <v>9167</v>
      </c>
      <c r="I6659" s="2" t="s">
        <v>19</v>
      </c>
      <c r="J6659" s="2" t="s">
        <v>12</v>
      </c>
      <c r="K6659" s="2" t="s">
        <v>9168</v>
      </c>
      <c r="L6659" s="2">
        <f t="shared" ref="L6659:L6722" si="104">LEN(H6659)</f>
        <v>150</v>
      </c>
    </row>
    <row r="6660" spans="1:12" ht="25" customHeight="1">
      <c r="A6660" s="2" t="s">
        <v>12</v>
      </c>
      <c r="B6660" s="2" t="str">
        <f>HYPERLINK("http://www.12365auto.com/xcdg/20200217/418735.shtml","GTI范本？ 大众全新高尔夫GTD抢先看")</f>
        <v>GTI范本？ 大众全新高尔夫GTD抢先看</v>
      </c>
      <c r="C6660" s="2" t="s">
        <v>13</v>
      </c>
      <c r="D6660" s="2" t="s">
        <v>12</v>
      </c>
      <c r="E6660" s="2" t="s">
        <v>216</v>
      </c>
      <c r="F6660" s="2" t="str">
        <f>HYPERLINK("http://www.12365auto.com/xcdg/20200217/418735.shtml","http://www.12365auto.com/xcdg/20200217/418735.shtml")</f>
        <v>http://www.12365auto.com/xcdg/20200217/418735.shtml</v>
      </c>
      <c r="G6660" s="2"/>
      <c r="H6660" s="2" t="s">
        <v>9169</v>
      </c>
      <c r="I6660" s="2" t="s">
        <v>15</v>
      </c>
      <c r="J6660" s="2" t="s">
        <v>12</v>
      </c>
      <c r="K6660" s="2" t="s">
        <v>9168</v>
      </c>
      <c r="L6660" s="2">
        <f t="shared" si="104"/>
        <v>150</v>
      </c>
    </row>
    <row r="6661" spans="1:12" ht="25" customHeight="1">
      <c r="A6661" s="2" t="s">
        <v>12</v>
      </c>
      <c r="B6661" s="2" t="str">
        <f>HYPERLINK("http://m.12365auto.com/xcdg/20200217/418735.shtml","GTI范本？ 大众全新高尔夫GTD抢先看")</f>
        <v>GTI范本？ 大众全新高尔夫GTD抢先看</v>
      </c>
      <c r="C6661" s="2" t="s">
        <v>13</v>
      </c>
      <c r="D6661" s="2" t="s">
        <v>12</v>
      </c>
      <c r="E6661" s="2"/>
      <c r="F6661" s="2" t="str">
        <f>HYPERLINK("http://m.12365auto.com/xcdg/20200217/418735.shtml","http://m.12365auto.com/xcdg/20200217/418735.shtml")</f>
        <v>http://m.12365auto.com/xcdg/20200217/418735.shtml</v>
      </c>
      <c r="G6661" s="2"/>
      <c r="H6661" s="2" t="s">
        <v>9170</v>
      </c>
      <c r="I6661" s="2" t="s">
        <v>19</v>
      </c>
      <c r="J6661" s="2" t="s">
        <v>1076</v>
      </c>
      <c r="K6661" s="2" t="s">
        <v>9168</v>
      </c>
      <c r="L6661" s="2">
        <f t="shared" si="104"/>
        <v>150</v>
      </c>
    </row>
    <row r="6662" spans="1:12" ht="25" customHeight="1">
      <c r="A6662" s="2" t="s">
        <v>12</v>
      </c>
      <c r="B6662" s="2" t="str">
        <f>HYPERLINK("http://www.12365auto.com/xcdg/20200217/418734.shtml","特斯拉Model S/X在美推新车型 续航里程提升")</f>
        <v>特斯拉Model S/X在美推新车型 续航里程提升</v>
      </c>
      <c r="C6662" s="2" t="s">
        <v>13</v>
      </c>
      <c r="D6662" s="2" t="s">
        <v>12</v>
      </c>
      <c r="E6662" s="2" t="s">
        <v>216</v>
      </c>
      <c r="F6662" s="2" t="str">
        <f>HYPERLINK("http://www.12365auto.com/xcdg/20200217/418734.shtml","http://www.12365auto.com/xcdg/20200217/418734.shtml")</f>
        <v>http://www.12365auto.com/xcdg/20200217/418734.shtml</v>
      </c>
      <c r="G6662" s="2"/>
      <c r="H6662" s="2" t="s">
        <v>9171</v>
      </c>
      <c r="I6662" s="2" t="s">
        <v>15</v>
      </c>
      <c r="J6662" s="2" t="s">
        <v>12</v>
      </c>
      <c r="K6662" s="2" t="s">
        <v>9172</v>
      </c>
      <c r="L6662" s="2">
        <f t="shared" si="104"/>
        <v>150</v>
      </c>
    </row>
    <row r="6663" spans="1:12" ht="25" customHeight="1">
      <c r="A6663" s="2" t="s">
        <v>12</v>
      </c>
      <c r="B6663" s="2" t="str">
        <f>HYPERLINK("http://m.12365auto.com/xcdg/20200217/418734.shtml","特斯拉Model S/X在美推新车型 续航里程提升")</f>
        <v>特斯拉Model S/X在美推新车型 续航里程提升</v>
      </c>
      <c r="C6663" s="2" t="s">
        <v>13</v>
      </c>
      <c r="D6663" s="2" t="s">
        <v>12</v>
      </c>
      <c r="E6663" s="2"/>
      <c r="F6663" s="2" t="str">
        <f>HYPERLINK("http://m.12365auto.com/xcdg/20200217/418734.shtml","http://m.12365auto.com/xcdg/20200217/418734.shtml")</f>
        <v>http://m.12365auto.com/xcdg/20200217/418734.shtml</v>
      </c>
      <c r="G6663" s="2"/>
      <c r="H6663" s="2" t="s">
        <v>9173</v>
      </c>
      <c r="I6663" s="2" t="s">
        <v>19</v>
      </c>
      <c r="J6663" s="2" t="s">
        <v>1076</v>
      </c>
      <c r="K6663" s="2" t="s">
        <v>9172</v>
      </c>
      <c r="L6663" s="2">
        <f t="shared" si="104"/>
        <v>150</v>
      </c>
    </row>
    <row r="6664" spans="1:12" ht="25" customHeight="1">
      <c r="A6664" s="2" t="s">
        <v>12</v>
      </c>
      <c r="B6664" s="2" t="str">
        <f>HYPERLINK("http://m.12365auto.com/xcdg/20200217/418733.shtml","二十五年风雨无阻 新款本田CR-V到底新在哪")</f>
        <v>二十五年风雨无阻 新款本田CR-V到底新在哪</v>
      </c>
      <c r="C6664" s="2" t="s">
        <v>13</v>
      </c>
      <c r="D6664" s="2" t="s">
        <v>12</v>
      </c>
      <c r="E6664" s="2"/>
      <c r="F6664" s="2" t="str">
        <f>HYPERLINK("http://m.12365auto.com/xcdg/20200217/418733.shtml","http://m.12365auto.com/xcdg/20200217/418733.shtml")</f>
        <v>http://m.12365auto.com/xcdg/20200217/418733.shtml</v>
      </c>
      <c r="G6664" s="2"/>
      <c r="H6664" s="2" t="s">
        <v>9174</v>
      </c>
      <c r="I6664" s="2" t="s">
        <v>19</v>
      </c>
      <c r="J6664" s="2" t="s">
        <v>2589</v>
      </c>
      <c r="K6664" s="2" t="s">
        <v>9175</v>
      </c>
      <c r="L6664" s="2">
        <f t="shared" si="104"/>
        <v>150</v>
      </c>
    </row>
    <row r="6665" spans="1:12" ht="25" customHeight="1">
      <c r="A6665" s="2" t="s">
        <v>12</v>
      </c>
      <c r="B6665" s="2" t="str">
        <f>HYPERLINK("http://bbs.12365auto.com/postcontent.aspx?tId=194273","四缸缤越即将回归 吉利开始放弃三缸？太多人感到“惋惜”")</f>
        <v>四缸缤越即将回归 吉利开始放弃三缸？太多人感到“惋惜”</v>
      </c>
      <c r="C6665" s="2" t="s">
        <v>13</v>
      </c>
      <c r="D6665" s="2" t="s">
        <v>12</v>
      </c>
      <c r="E6665" s="2" t="s">
        <v>210</v>
      </c>
      <c r="F6665" s="2" t="str">
        <f>HYPERLINK("http://bbs.12365auto.com/postcontent.aspx?tId=194273","http://bbs.12365auto.com/postcontent.aspx?tId=194273")</f>
        <v>http://bbs.12365auto.com/postcontent.aspx?tId=194273</v>
      </c>
      <c r="G6665" s="2"/>
      <c r="H6665" s="2" t="s">
        <v>9176</v>
      </c>
      <c r="I6665" s="2" t="s">
        <v>15</v>
      </c>
      <c r="J6665" s="2" t="s">
        <v>949</v>
      </c>
      <c r="K6665" s="2" t="s">
        <v>9177</v>
      </c>
      <c r="L6665" s="2">
        <f t="shared" si="104"/>
        <v>150</v>
      </c>
    </row>
    <row r="6666" spans="1:12" ht="25" customHeight="1">
      <c r="A6666" s="2" t="s">
        <v>12</v>
      </c>
      <c r="B6666" s="2" t="str">
        <f>HYPERLINK("http://m.12365auto.com/bbs/postcontent.aspx?tID=194273","四缸缤越即将回归 吉利开始放弃三缸？太多人感到“惋惜”")</f>
        <v>四缸缤越即将回归 吉利开始放弃三缸？太多人感到“惋惜”</v>
      </c>
      <c r="C6666" s="2" t="s">
        <v>13</v>
      </c>
      <c r="D6666" s="2" t="s">
        <v>23</v>
      </c>
      <c r="E6666" s="2"/>
      <c r="F6666" s="2" t="str">
        <f>HYPERLINK("http://m.12365auto.com/bbs/postcontent.aspx?tID=194273","http://m.12365auto.com/bbs/postcontent.aspx?tID=194273")</f>
        <v>http://m.12365auto.com/bbs/postcontent.aspx?tID=194273</v>
      </c>
      <c r="G6666" s="2"/>
      <c r="H6666" s="2" t="s">
        <v>9176</v>
      </c>
      <c r="I6666" s="2" t="s">
        <v>15</v>
      </c>
      <c r="J6666" s="2" t="s">
        <v>949</v>
      </c>
      <c r="K6666" s="2" t="s">
        <v>9177</v>
      </c>
      <c r="L6666" s="2">
        <f t="shared" si="104"/>
        <v>150</v>
      </c>
    </row>
    <row r="6667" spans="1:12" ht="25" customHeight="1">
      <c r="A6667" s="2" t="s">
        <v>12</v>
      </c>
      <c r="B6667" s="2" t="str">
        <f>HYPERLINK("http://bbs.12365auto.com/postcontent.aspx?tID=194273","四缸缤越即将回归 吉利开始放弃三缸？太多人感到“惋惜”")</f>
        <v>四缸缤越即将回归 吉利开始放弃三缸？太多人感到“惋惜”</v>
      </c>
      <c r="C6667" s="2" t="s">
        <v>13</v>
      </c>
      <c r="D6667" s="2" t="s">
        <v>12</v>
      </c>
      <c r="E6667" s="2" t="s">
        <v>214</v>
      </c>
      <c r="F6667" s="2" t="str">
        <f>HYPERLINK("http://bbs.12365auto.com/postcontent.aspx?tID=194273","http://bbs.12365auto.com/postcontent.aspx?tID=194273")</f>
        <v>http://bbs.12365auto.com/postcontent.aspx?tID=194273</v>
      </c>
      <c r="G6667" s="2"/>
      <c r="H6667" s="2" t="s">
        <v>9178</v>
      </c>
      <c r="I6667" s="2" t="s">
        <v>15</v>
      </c>
      <c r="J6667" s="2" t="s">
        <v>949</v>
      </c>
      <c r="K6667" s="2" t="s">
        <v>9177</v>
      </c>
      <c r="L6667" s="2">
        <f t="shared" si="104"/>
        <v>150</v>
      </c>
    </row>
    <row r="6668" spans="1:12" ht="25" customHeight="1">
      <c r="A6668" s="2" t="s">
        <v>12</v>
      </c>
      <c r="B6668" s="2" t="str">
        <f>HYPERLINK("http://m.12365auto.com/xcdg/20200217/418732.shtml","解读低配车 实拍最便宜的丰田亚洲龙")</f>
        <v>解读低配车 实拍最便宜的丰田亚洲龙</v>
      </c>
      <c r="C6668" s="2" t="s">
        <v>13</v>
      </c>
      <c r="D6668" s="2" t="s">
        <v>12</v>
      </c>
      <c r="E6668" s="2"/>
      <c r="F6668" s="2" t="str">
        <f>HYPERLINK("http://m.12365auto.com/xcdg/20200217/418732.shtml","http://m.12365auto.com/xcdg/20200217/418732.shtml")</f>
        <v>http://m.12365auto.com/xcdg/20200217/418732.shtml</v>
      </c>
      <c r="G6668" s="2"/>
      <c r="H6668" s="2" t="s">
        <v>9179</v>
      </c>
      <c r="I6668" s="2" t="s">
        <v>19</v>
      </c>
      <c r="J6668" s="2" t="s">
        <v>9180</v>
      </c>
      <c r="K6668" s="2" t="s">
        <v>9181</v>
      </c>
      <c r="L6668" s="2">
        <f t="shared" si="104"/>
        <v>150</v>
      </c>
    </row>
    <row r="6669" spans="1:12" ht="25" customHeight="1">
      <c r="A6669" s="2" t="s">
        <v>12</v>
      </c>
      <c r="B6669" s="2" t="str">
        <f>HYPERLINK("http://bbs.12365auto.com/postcontent.aspx?tId=194272","家庭月收入2万 能养得起一台宝马X3或者奥迪Q5L吗？")</f>
        <v>家庭月收入2万 能养得起一台宝马X3或者奥迪Q5L吗？</v>
      </c>
      <c r="C6669" s="2" t="s">
        <v>13</v>
      </c>
      <c r="D6669" s="2" t="s">
        <v>12</v>
      </c>
      <c r="E6669" s="2" t="s">
        <v>210</v>
      </c>
      <c r="F6669" s="2" t="str">
        <f>HYPERLINK("http://bbs.12365auto.com/postcontent.aspx?tId=194272","http://bbs.12365auto.com/postcontent.aspx?tId=194272")</f>
        <v>http://bbs.12365auto.com/postcontent.aspx?tId=194272</v>
      </c>
      <c r="G6669" s="2"/>
      <c r="H6669" s="2" t="s">
        <v>9182</v>
      </c>
      <c r="I6669" s="2" t="s">
        <v>15</v>
      </c>
      <c r="J6669" s="2" t="s">
        <v>949</v>
      </c>
      <c r="K6669" s="2" t="s">
        <v>9183</v>
      </c>
      <c r="L6669" s="2">
        <f t="shared" si="104"/>
        <v>150</v>
      </c>
    </row>
    <row r="6670" spans="1:12" ht="25" customHeight="1">
      <c r="A6670" s="2" t="s">
        <v>12</v>
      </c>
      <c r="B6670" s="2" t="str">
        <f>HYPERLINK("http://bbs.12365auto.com/postcontent.aspx?tID=194272","家庭月收入2万 能养得起一台宝马X3或者奥迪Q5L吗？")</f>
        <v>家庭月收入2万 能养得起一台宝马X3或者奥迪Q5L吗？</v>
      </c>
      <c r="C6670" s="2" t="s">
        <v>13</v>
      </c>
      <c r="D6670" s="2" t="s">
        <v>12</v>
      </c>
      <c r="E6670" s="2" t="s">
        <v>214</v>
      </c>
      <c r="F6670" s="2" t="str">
        <f>HYPERLINK("http://bbs.12365auto.com/postcontent.aspx?tID=194272","http://bbs.12365auto.com/postcontent.aspx?tID=194272")</f>
        <v>http://bbs.12365auto.com/postcontent.aspx?tID=194272</v>
      </c>
      <c r="G6670" s="2"/>
      <c r="H6670" s="2" t="s">
        <v>9184</v>
      </c>
      <c r="I6670" s="2" t="s">
        <v>15</v>
      </c>
      <c r="J6670" s="2" t="s">
        <v>949</v>
      </c>
      <c r="K6670" s="2" t="s">
        <v>9183</v>
      </c>
      <c r="L6670" s="2">
        <f t="shared" si="104"/>
        <v>150</v>
      </c>
    </row>
    <row r="6671" spans="1:12" ht="25" customHeight="1">
      <c r="A6671" s="2" t="s">
        <v>12</v>
      </c>
      <c r="B6671" s="2" t="str">
        <f>HYPERLINK("http://m.12365auto.com/bbs/postcontent.aspx?tID=194272","家庭月收入2万 能养得起一台宝马X3或者奥迪Q5L吗？")</f>
        <v>家庭月收入2万 能养得起一台宝马X3或者奥迪Q5L吗？</v>
      </c>
      <c r="C6671" s="2" t="s">
        <v>13</v>
      </c>
      <c r="D6671" s="2" t="s">
        <v>23</v>
      </c>
      <c r="E6671" s="2"/>
      <c r="F6671" s="2" t="str">
        <f>HYPERLINK("http://m.12365auto.com/bbs/postcontent.aspx?tID=194272","http://m.12365auto.com/bbs/postcontent.aspx?tID=194272")</f>
        <v>http://m.12365auto.com/bbs/postcontent.aspx?tID=194272</v>
      </c>
      <c r="G6671" s="2"/>
      <c r="H6671" s="2" t="s">
        <v>9182</v>
      </c>
      <c r="I6671" s="2" t="s">
        <v>15</v>
      </c>
      <c r="J6671" s="2" t="s">
        <v>949</v>
      </c>
      <c r="K6671" s="2" t="s">
        <v>9183</v>
      </c>
      <c r="L6671" s="2">
        <f t="shared" si="104"/>
        <v>150</v>
      </c>
    </row>
    <row r="6672" spans="1:12" ht="25" customHeight="1">
      <c r="A6672" s="2" t="s">
        <v>12</v>
      </c>
      <c r="B6672" s="2" t="str">
        <f>HYPERLINK("http://bbs.12365auto.com/postcontent.aspx?tID=194271","大到怀疑人生！盘点配备超大尺寸中控屏幕的车型 你都认识吗？")</f>
        <v>大到怀疑人生！盘点配备超大尺寸中控屏幕的车型 你都认识吗？</v>
      </c>
      <c r="C6672" s="2" t="s">
        <v>13</v>
      </c>
      <c r="D6672" s="2" t="s">
        <v>12</v>
      </c>
      <c r="E6672" s="2" t="s">
        <v>214</v>
      </c>
      <c r="F6672" s="2" t="str">
        <f>HYPERLINK("http://bbs.12365auto.com/postcontent.aspx?tID=194271","http://bbs.12365auto.com/postcontent.aspx?tID=194271")</f>
        <v>http://bbs.12365auto.com/postcontent.aspx?tID=194271</v>
      </c>
      <c r="G6672" s="2"/>
      <c r="H6672" s="2" t="s">
        <v>9185</v>
      </c>
      <c r="I6672" s="2" t="s">
        <v>15</v>
      </c>
      <c r="J6672" s="2" t="s">
        <v>949</v>
      </c>
      <c r="K6672" s="2" t="s">
        <v>9186</v>
      </c>
      <c r="L6672" s="2">
        <f t="shared" si="104"/>
        <v>150</v>
      </c>
    </row>
    <row r="6673" spans="1:12" ht="25" customHeight="1">
      <c r="A6673" s="2" t="s">
        <v>12</v>
      </c>
      <c r="B6673" s="2" t="str">
        <f>HYPERLINK("http://bbs.12365auto.com/postcontent.aspx?tId=194271","大到怀疑人生！盘点配备超大尺寸中控屏幕的车型 你都认识吗？")</f>
        <v>大到怀疑人生！盘点配备超大尺寸中控屏幕的车型 你都认识吗？</v>
      </c>
      <c r="C6673" s="2" t="s">
        <v>13</v>
      </c>
      <c r="D6673" s="2" t="s">
        <v>12</v>
      </c>
      <c r="E6673" s="2" t="s">
        <v>210</v>
      </c>
      <c r="F6673" s="2" t="str">
        <f>HYPERLINK("http://bbs.12365auto.com/postcontent.aspx?tId=194271","http://bbs.12365auto.com/postcontent.aspx?tId=194271")</f>
        <v>http://bbs.12365auto.com/postcontent.aspx?tId=194271</v>
      </c>
      <c r="G6673" s="2"/>
      <c r="H6673" s="2" t="s">
        <v>9187</v>
      </c>
      <c r="I6673" s="2" t="s">
        <v>15</v>
      </c>
      <c r="J6673" s="2" t="s">
        <v>949</v>
      </c>
      <c r="K6673" s="2" t="s">
        <v>9186</v>
      </c>
      <c r="L6673" s="2">
        <f t="shared" si="104"/>
        <v>150</v>
      </c>
    </row>
    <row r="6674" spans="1:12" ht="25" customHeight="1">
      <c r="A6674" s="2" t="s">
        <v>12</v>
      </c>
      <c r="B6674" s="2" t="str">
        <f>HYPERLINK("http://m.12365auto.com/bbs/postcontent.aspx?tID=194271","大到怀疑人生！盘点配备超大尺寸中控屏幕的车型 你都认识吗？")</f>
        <v>大到怀疑人生！盘点配备超大尺寸中控屏幕的车型 你都认识吗？</v>
      </c>
      <c r="C6674" s="2" t="s">
        <v>13</v>
      </c>
      <c r="D6674" s="2" t="s">
        <v>23</v>
      </c>
      <c r="E6674" s="2"/>
      <c r="F6674" s="2" t="str">
        <f>HYPERLINK("http://m.12365auto.com/bbs/postcontent.aspx?tID=194271","http://m.12365auto.com/bbs/postcontent.aspx?tID=194271")</f>
        <v>http://m.12365auto.com/bbs/postcontent.aspx?tID=194271</v>
      </c>
      <c r="G6674" s="2"/>
      <c r="H6674" s="2" t="s">
        <v>9187</v>
      </c>
      <c r="I6674" s="2" t="s">
        <v>15</v>
      </c>
      <c r="J6674" s="2" t="s">
        <v>949</v>
      </c>
      <c r="K6674" s="2" t="s">
        <v>9186</v>
      </c>
      <c r="L6674" s="2">
        <f t="shared" si="104"/>
        <v>150</v>
      </c>
    </row>
    <row r="6675" spans="1:12" ht="25" customHeight="1">
      <c r="A6675" s="2" t="s">
        <v>12</v>
      </c>
      <c r="B6675" s="2" t="str">
        <f>HYPERLINK("http://m.12365auto.com/xcdg/20200217/418731.shtml","标配10.25英寸大屏 拍新宝骏RS-3低配车")</f>
        <v>标配10.25英寸大屏 拍新宝骏RS-3低配车</v>
      </c>
      <c r="C6675" s="2" t="s">
        <v>13</v>
      </c>
      <c r="D6675" s="2" t="s">
        <v>12</v>
      </c>
      <c r="E6675" s="2"/>
      <c r="F6675" s="2" t="str">
        <f>HYPERLINK("http://m.12365auto.com/xcdg/20200217/418731.shtml","http://m.12365auto.com/xcdg/20200217/418731.shtml")</f>
        <v>http://m.12365auto.com/xcdg/20200217/418731.shtml</v>
      </c>
      <c r="G6675" s="2"/>
      <c r="H6675" s="2" t="s">
        <v>9188</v>
      </c>
      <c r="I6675" s="2" t="s">
        <v>19</v>
      </c>
      <c r="J6675" s="2" t="s">
        <v>2828</v>
      </c>
      <c r="K6675" s="2" t="s">
        <v>9186</v>
      </c>
      <c r="L6675" s="2">
        <f t="shared" si="104"/>
        <v>150</v>
      </c>
    </row>
    <row r="6676" spans="1:12" ht="25" customHeight="1">
      <c r="A6676" s="2" t="s">
        <v>12</v>
      </c>
      <c r="B6676" s="2" t="str">
        <f>HYPERLINK("http://m.12365auto.com/bbs/postcontent.aspx?tID=194270","普拉多倒下了 三菱开始走上坡路 全系搭载V6引擎 价格不超26万")</f>
        <v>普拉多倒下了 三菱开始走上坡路 全系搭载V6引擎 价格不超26万</v>
      </c>
      <c r="C6676" s="2" t="s">
        <v>13</v>
      </c>
      <c r="D6676" s="2" t="s">
        <v>23</v>
      </c>
      <c r="E6676" s="2"/>
      <c r="F6676" s="2" t="str">
        <f>HYPERLINK("http://m.12365auto.com/bbs/postcontent.aspx?tID=194270","http://m.12365auto.com/bbs/postcontent.aspx?tID=194270")</f>
        <v>http://m.12365auto.com/bbs/postcontent.aspx?tID=194270</v>
      </c>
      <c r="G6676" s="2"/>
      <c r="H6676" s="2" t="s">
        <v>4363</v>
      </c>
      <c r="I6676" s="2" t="s">
        <v>15</v>
      </c>
      <c r="J6676" s="2" t="s">
        <v>949</v>
      </c>
      <c r="K6676" s="2" t="s">
        <v>9189</v>
      </c>
      <c r="L6676" s="2">
        <f t="shared" si="104"/>
        <v>150</v>
      </c>
    </row>
    <row r="6677" spans="1:12" ht="25" customHeight="1">
      <c r="A6677" s="2" t="s">
        <v>12</v>
      </c>
      <c r="B6677" s="2" t="str">
        <f>HYPERLINK("http://bbs.12365auto.com/postcontent.aspx?tId=194270","普拉多倒下了 三菱开始走上坡路 全系搭载V6引擎 价格不超26万")</f>
        <v>普拉多倒下了 三菱开始走上坡路 全系搭载V6引擎 价格不超26万</v>
      </c>
      <c r="C6677" s="2" t="s">
        <v>13</v>
      </c>
      <c r="D6677" s="2" t="s">
        <v>12</v>
      </c>
      <c r="E6677" s="2" t="s">
        <v>210</v>
      </c>
      <c r="F6677" s="2" t="str">
        <f>HYPERLINK("http://bbs.12365auto.com/postcontent.aspx?tId=194270","http://bbs.12365auto.com/postcontent.aspx?tId=194270")</f>
        <v>http://bbs.12365auto.com/postcontent.aspx?tId=194270</v>
      </c>
      <c r="G6677" s="2"/>
      <c r="H6677" s="2" t="s">
        <v>4363</v>
      </c>
      <c r="I6677" s="2" t="s">
        <v>15</v>
      </c>
      <c r="J6677" s="2" t="s">
        <v>949</v>
      </c>
      <c r="K6677" s="2" t="s">
        <v>9189</v>
      </c>
      <c r="L6677" s="2">
        <f t="shared" si="104"/>
        <v>150</v>
      </c>
    </row>
    <row r="6678" spans="1:12" ht="25" customHeight="1">
      <c r="A6678" s="2" t="s">
        <v>12</v>
      </c>
      <c r="B6678" s="2" t="str">
        <f>HYPERLINK("http://bbs.12365auto.com/postcontent.aspx?tID=194270","普拉多倒下了 三菱开始走上坡路 全系搭载V6引擎 价格不超26万")</f>
        <v>普拉多倒下了 三菱开始走上坡路 全系搭载V6引擎 价格不超26万</v>
      </c>
      <c r="C6678" s="2" t="s">
        <v>13</v>
      </c>
      <c r="D6678" s="2" t="s">
        <v>12</v>
      </c>
      <c r="E6678" s="2" t="s">
        <v>214</v>
      </c>
      <c r="F6678" s="2" t="str">
        <f>HYPERLINK("http://bbs.12365auto.com/postcontent.aspx?tID=194270","http://bbs.12365auto.com/postcontent.aspx?tID=194270")</f>
        <v>http://bbs.12365auto.com/postcontent.aspx?tID=194270</v>
      </c>
      <c r="G6678" s="2"/>
      <c r="H6678" s="2" t="s">
        <v>9190</v>
      </c>
      <c r="I6678" s="2" t="s">
        <v>15</v>
      </c>
      <c r="J6678" s="2" t="s">
        <v>949</v>
      </c>
      <c r="K6678" s="2" t="s">
        <v>9189</v>
      </c>
      <c r="L6678" s="2">
        <f t="shared" si="104"/>
        <v>150</v>
      </c>
    </row>
    <row r="6679" spans="1:12" ht="25" customHeight="1">
      <c r="A6679" s="2" t="s">
        <v>12</v>
      </c>
      <c r="B6679" s="2" t="str">
        <f>HYPERLINK("http://bbs.12365auto.com/postcontent.aspx?tID=194269","李书福造跑车了！一天只能产3台 2.0T爆出1000N·m 破百仅需4秒")</f>
        <v>李书福造跑车了！一天只能产3台 2.0T爆出1000N·m 破百仅需4秒</v>
      </c>
      <c r="C6679" s="2" t="s">
        <v>13</v>
      </c>
      <c r="D6679" s="2" t="s">
        <v>12</v>
      </c>
      <c r="E6679" s="2" t="s">
        <v>214</v>
      </c>
      <c r="F6679" s="2" t="str">
        <f>HYPERLINK("http://bbs.12365auto.com/postcontent.aspx?tID=194269","http://bbs.12365auto.com/postcontent.aspx?tID=194269")</f>
        <v>http://bbs.12365auto.com/postcontent.aspx?tID=194269</v>
      </c>
      <c r="G6679" s="2"/>
      <c r="H6679" s="2" t="s">
        <v>9191</v>
      </c>
      <c r="I6679" s="2" t="s">
        <v>15</v>
      </c>
      <c r="J6679" s="2" t="s">
        <v>949</v>
      </c>
      <c r="K6679" s="2" t="s">
        <v>9192</v>
      </c>
      <c r="L6679" s="2">
        <f t="shared" si="104"/>
        <v>150</v>
      </c>
    </row>
    <row r="6680" spans="1:12" ht="25" customHeight="1">
      <c r="A6680" s="2" t="s">
        <v>12</v>
      </c>
      <c r="B6680" s="2" t="str">
        <f>HYPERLINK("http://m.12365auto.com/bbs/postcontent.aspx?tID=194269","李书福造跑车了！一天只能产3台 2.0T爆出1000N·m 破百仅需4秒")</f>
        <v>李书福造跑车了！一天只能产3台 2.0T爆出1000N·m 破百仅需4秒</v>
      </c>
      <c r="C6680" s="2" t="s">
        <v>13</v>
      </c>
      <c r="D6680" s="2" t="s">
        <v>23</v>
      </c>
      <c r="E6680" s="2"/>
      <c r="F6680" s="2" t="str">
        <f>HYPERLINK("http://m.12365auto.com/bbs/postcontent.aspx?tID=194269","http://m.12365auto.com/bbs/postcontent.aspx?tID=194269")</f>
        <v>http://m.12365auto.com/bbs/postcontent.aspx?tID=194269</v>
      </c>
      <c r="G6680" s="2"/>
      <c r="H6680" s="2" t="s">
        <v>9193</v>
      </c>
      <c r="I6680" s="2" t="s">
        <v>15</v>
      </c>
      <c r="J6680" s="2" t="s">
        <v>949</v>
      </c>
      <c r="K6680" s="2" t="s">
        <v>9192</v>
      </c>
      <c r="L6680" s="2">
        <f t="shared" si="104"/>
        <v>150</v>
      </c>
    </row>
    <row r="6681" spans="1:12" ht="25" customHeight="1">
      <c r="A6681" s="2" t="s">
        <v>12</v>
      </c>
      <c r="B6681" s="2" t="str">
        <f>HYPERLINK("http://bbs.12365auto.com/postcontent.aspx?tId=194269","李书福造跑车了！一天只能产3台 2.0T爆出1000N·m 破百仅需4秒")</f>
        <v>李书福造跑车了！一天只能产3台 2.0T爆出1000N·m 破百仅需4秒</v>
      </c>
      <c r="C6681" s="2" t="s">
        <v>13</v>
      </c>
      <c r="D6681" s="2" t="s">
        <v>12</v>
      </c>
      <c r="E6681" s="2" t="s">
        <v>210</v>
      </c>
      <c r="F6681" s="2" t="str">
        <f>HYPERLINK("http://bbs.12365auto.com/postcontent.aspx?tId=194269","http://bbs.12365auto.com/postcontent.aspx?tId=194269")</f>
        <v>http://bbs.12365auto.com/postcontent.aspx?tId=194269</v>
      </c>
      <c r="G6681" s="2"/>
      <c r="H6681" s="2" t="s">
        <v>9193</v>
      </c>
      <c r="I6681" s="2" t="s">
        <v>15</v>
      </c>
      <c r="J6681" s="2" t="s">
        <v>949</v>
      </c>
      <c r="K6681" s="2" t="s">
        <v>9192</v>
      </c>
      <c r="L6681" s="2">
        <f t="shared" si="104"/>
        <v>150</v>
      </c>
    </row>
    <row r="6682" spans="1:12" ht="25" customHeight="1">
      <c r="A6682" s="2" t="s">
        <v>12</v>
      </c>
      <c r="B6682" s="2" t="str">
        <f>HYPERLINK("http://bbs.12365auto.com/postcontent.aspx?tID=194267","国产后直降15万 这豪车丐版就配2.0T+8AT 比奥迪A4L更值")</f>
        <v>国产后直降15万 这豪车丐版就配2.0T+8AT 比奥迪A4L更值</v>
      </c>
      <c r="C6682" s="2" t="s">
        <v>13</v>
      </c>
      <c r="D6682" s="2" t="s">
        <v>12</v>
      </c>
      <c r="E6682" s="2" t="s">
        <v>214</v>
      </c>
      <c r="F6682" s="2" t="str">
        <f>HYPERLINK("http://bbs.12365auto.com/postcontent.aspx?tID=194267","http://bbs.12365auto.com/postcontent.aspx?tID=194267")</f>
        <v>http://bbs.12365auto.com/postcontent.aspx?tID=194267</v>
      </c>
      <c r="G6682" s="2"/>
      <c r="H6682" s="2" t="s">
        <v>9194</v>
      </c>
      <c r="I6682" s="2" t="s">
        <v>15</v>
      </c>
      <c r="J6682" s="2" t="s">
        <v>949</v>
      </c>
      <c r="K6682" s="2" t="s">
        <v>9195</v>
      </c>
      <c r="L6682" s="2">
        <f t="shared" si="104"/>
        <v>150</v>
      </c>
    </row>
    <row r="6683" spans="1:12" ht="25" customHeight="1">
      <c r="A6683" s="2" t="s">
        <v>12</v>
      </c>
      <c r="B6683" s="2" t="str">
        <f>HYPERLINK("http://m.12365auto.com/bbs/postcontent.aspx?tID=194268","“准新车”5折清仓 前途K50保值率让人堪忧")</f>
        <v>“准新车”5折清仓 前途K50保值率让人堪忧</v>
      </c>
      <c r="C6683" s="2" t="s">
        <v>13</v>
      </c>
      <c r="D6683" s="2" t="s">
        <v>23</v>
      </c>
      <c r="E6683" s="2"/>
      <c r="F6683" s="2" t="str">
        <f>HYPERLINK("http://m.12365auto.com/bbs/postcontent.aspx?tID=194268","http://m.12365auto.com/bbs/postcontent.aspx?tID=194268")</f>
        <v>http://m.12365auto.com/bbs/postcontent.aspx?tID=194268</v>
      </c>
      <c r="G6683" s="2"/>
      <c r="H6683" s="2" t="s">
        <v>9196</v>
      </c>
      <c r="I6683" s="2" t="s">
        <v>15</v>
      </c>
      <c r="J6683" s="2" t="s">
        <v>949</v>
      </c>
      <c r="K6683" s="2" t="s">
        <v>9195</v>
      </c>
      <c r="L6683" s="2">
        <f t="shared" si="104"/>
        <v>150</v>
      </c>
    </row>
    <row r="6684" spans="1:12" ht="25" customHeight="1">
      <c r="A6684" s="2" t="s">
        <v>12</v>
      </c>
      <c r="B6684" s="2" t="str">
        <f>HYPERLINK("http://m.12365auto.com/bbs/postcontent.aspx?tID=194267","国产后直降15万 这豪车丐版就配2.0T+8AT 比奥迪A4L更值")</f>
        <v>国产后直降15万 这豪车丐版就配2.0T+8AT 比奥迪A4L更值</v>
      </c>
      <c r="C6684" s="2" t="s">
        <v>13</v>
      </c>
      <c r="D6684" s="2" t="s">
        <v>23</v>
      </c>
      <c r="E6684" s="2"/>
      <c r="F6684" s="2" t="str">
        <f>HYPERLINK("http://m.12365auto.com/bbs/postcontent.aspx?tID=194267","http://m.12365auto.com/bbs/postcontent.aspx?tID=194267")</f>
        <v>http://m.12365auto.com/bbs/postcontent.aspx?tID=194267</v>
      </c>
      <c r="G6684" s="2"/>
      <c r="H6684" s="2" t="s">
        <v>8123</v>
      </c>
      <c r="I6684" s="2" t="s">
        <v>15</v>
      </c>
      <c r="J6684" s="2" t="s">
        <v>949</v>
      </c>
      <c r="K6684" s="2" t="s">
        <v>9195</v>
      </c>
      <c r="L6684" s="2">
        <f t="shared" si="104"/>
        <v>150</v>
      </c>
    </row>
    <row r="6685" spans="1:12" ht="25" customHeight="1">
      <c r="A6685" s="2" t="s">
        <v>12</v>
      </c>
      <c r="B6685" s="2" t="str">
        <f>HYPERLINK("http://bbs.12365auto.com/postcontent.aspx?tId=194267","国产后直降15万 这豪车丐版就配2.0T+8AT 比奥迪A4L更值")</f>
        <v>国产后直降15万 这豪车丐版就配2.0T+8AT 比奥迪A4L更值</v>
      </c>
      <c r="C6685" s="2" t="s">
        <v>13</v>
      </c>
      <c r="D6685" s="2" t="s">
        <v>12</v>
      </c>
      <c r="E6685" s="2" t="s">
        <v>210</v>
      </c>
      <c r="F6685" s="2" t="str">
        <f>HYPERLINK("http://bbs.12365auto.com/postcontent.aspx?tId=194267","http://bbs.12365auto.com/postcontent.aspx?tId=194267")</f>
        <v>http://bbs.12365auto.com/postcontent.aspx?tId=194267</v>
      </c>
      <c r="G6685" s="2"/>
      <c r="H6685" s="2" t="s">
        <v>8123</v>
      </c>
      <c r="I6685" s="2" t="s">
        <v>15</v>
      </c>
      <c r="J6685" s="2" t="s">
        <v>949</v>
      </c>
      <c r="K6685" s="2" t="s">
        <v>9195</v>
      </c>
      <c r="L6685" s="2">
        <f t="shared" si="104"/>
        <v>150</v>
      </c>
    </row>
    <row r="6686" spans="1:12" ht="25" customHeight="1">
      <c r="A6686" s="2" t="s">
        <v>12</v>
      </c>
      <c r="B6686" s="2" t="str">
        <f>HYPERLINK("http://bbs.12365auto.com/postcontent.aspx?tId=194268","“准新车”5折清仓 前途K50保值率让人堪忧")</f>
        <v>“准新车”5折清仓 前途K50保值率让人堪忧</v>
      </c>
      <c r="C6686" s="2" t="s">
        <v>13</v>
      </c>
      <c r="D6686" s="2" t="s">
        <v>12</v>
      </c>
      <c r="E6686" s="2" t="s">
        <v>210</v>
      </c>
      <c r="F6686" s="2" t="str">
        <f>HYPERLINK("http://bbs.12365auto.com/postcontent.aspx?tId=194268","http://bbs.12365auto.com/postcontent.aspx?tId=194268")</f>
        <v>http://bbs.12365auto.com/postcontent.aspx?tId=194268</v>
      </c>
      <c r="G6686" s="2"/>
      <c r="H6686" s="2" t="s">
        <v>9196</v>
      </c>
      <c r="I6686" s="2" t="s">
        <v>15</v>
      </c>
      <c r="J6686" s="2" t="s">
        <v>949</v>
      </c>
      <c r="K6686" s="2" t="s">
        <v>9195</v>
      </c>
      <c r="L6686" s="2">
        <f t="shared" si="104"/>
        <v>150</v>
      </c>
    </row>
    <row r="6687" spans="1:12" ht="25" customHeight="1">
      <c r="A6687" s="2" t="s">
        <v>12</v>
      </c>
      <c r="B6687" s="2" t="str">
        <f>HYPERLINK("http://bbs.12365auto.com/postcontent.aspx?tID=194268","“准新车”5折清仓 前途K50保值率让人堪忧")</f>
        <v>“准新车”5折清仓 前途K50保值率让人堪忧</v>
      </c>
      <c r="C6687" s="2" t="s">
        <v>13</v>
      </c>
      <c r="D6687" s="2" t="s">
        <v>12</v>
      </c>
      <c r="E6687" s="2" t="s">
        <v>214</v>
      </c>
      <c r="F6687" s="2" t="str">
        <f>HYPERLINK("http://bbs.12365auto.com/postcontent.aspx?tID=194268","http://bbs.12365auto.com/postcontent.aspx?tID=194268")</f>
        <v>http://bbs.12365auto.com/postcontent.aspx?tID=194268</v>
      </c>
      <c r="G6687" s="2"/>
      <c r="H6687" s="2" t="s">
        <v>9197</v>
      </c>
      <c r="I6687" s="2" t="s">
        <v>15</v>
      </c>
      <c r="J6687" s="2" t="s">
        <v>949</v>
      </c>
      <c r="K6687" s="2" t="s">
        <v>9195</v>
      </c>
      <c r="L6687" s="2">
        <f t="shared" si="104"/>
        <v>150</v>
      </c>
    </row>
    <row r="6688" spans="1:12" ht="25" customHeight="1">
      <c r="A6688" s="2" t="s">
        <v>12</v>
      </c>
      <c r="B6688" s="2" t="str">
        <f>HYPERLINK("http://bbs.12365auto.com/postcontent.aspx?tID=194266","10万级别的价格 几十万的内饰和配置 这三款SUV值得一看")</f>
        <v>10万级别的价格 几十万的内饰和配置 这三款SUV值得一看</v>
      </c>
      <c r="C6688" s="2" t="s">
        <v>13</v>
      </c>
      <c r="D6688" s="2" t="s">
        <v>12</v>
      </c>
      <c r="E6688" s="2" t="s">
        <v>214</v>
      </c>
      <c r="F6688" s="2" t="str">
        <f>HYPERLINK("http://bbs.12365auto.com/postcontent.aspx?tID=194266","http://bbs.12365auto.com/postcontent.aspx?tID=194266")</f>
        <v>http://bbs.12365auto.com/postcontent.aspx?tID=194266</v>
      </c>
      <c r="G6688" s="2"/>
      <c r="H6688" s="2" t="s">
        <v>9198</v>
      </c>
      <c r="I6688" s="2" t="s">
        <v>15</v>
      </c>
      <c r="J6688" s="2" t="s">
        <v>949</v>
      </c>
      <c r="K6688" s="2" t="s">
        <v>9199</v>
      </c>
      <c r="L6688" s="2">
        <f t="shared" si="104"/>
        <v>150</v>
      </c>
    </row>
    <row r="6689" spans="1:12" ht="25" customHeight="1">
      <c r="A6689" s="2" t="s">
        <v>12</v>
      </c>
      <c r="B6689" s="2" t="str">
        <f>HYPERLINK("http://m.12365auto.com/xcdg/20200217/418730.shtml","相爱相杀 小鹏汽车G3与威马EX5硬碰硬")</f>
        <v>相爱相杀 小鹏汽车G3与威马EX5硬碰硬</v>
      </c>
      <c r="C6689" s="2" t="s">
        <v>13</v>
      </c>
      <c r="D6689" s="2" t="s">
        <v>12</v>
      </c>
      <c r="E6689" s="2"/>
      <c r="F6689" s="2" t="str">
        <f>HYPERLINK("http://m.12365auto.com/xcdg/20200217/418730.shtml","http://m.12365auto.com/xcdg/20200217/418730.shtml")</f>
        <v>http://m.12365auto.com/xcdg/20200217/418730.shtml</v>
      </c>
      <c r="G6689" s="2"/>
      <c r="H6689" s="2" t="s">
        <v>9200</v>
      </c>
      <c r="I6689" s="2" t="s">
        <v>19</v>
      </c>
      <c r="J6689" s="2" t="s">
        <v>9201</v>
      </c>
      <c r="K6689" s="2" t="s">
        <v>9199</v>
      </c>
      <c r="L6689" s="2">
        <f t="shared" si="104"/>
        <v>150</v>
      </c>
    </row>
    <row r="6690" spans="1:12" ht="25" customHeight="1">
      <c r="A6690" s="2" t="s">
        <v>12</v>
      </c>
      <c r="B6690" s="2" t="str">
        <f>HYPERLINK("http://m.12365auto.com/bbs/postcontent.aspx?tID=194266","10万级别的价格 几十万的内饰和配置 这三款SUV值得一看")</f>
        <v>10万级别的价格 几十万的内饰和配置 这三款SUV值得一看</v>
      </c>
      <c r="C6690" s="2" t="s">
        <v>13</v>
      </c>
      <c r="D6690" s="2" t="s">
        <v>23</v>
      </c>
      <c r="E6690" s="2"/>
      <c r="F6690" s="2" t="str">
        <f>HYPERLINK("http://m.12365auto.com/bbs/postcontent.aspx?tID=194266","http://m.12365auto.com/bbs/postcontent.aspx?tID=194266")</f>
        <v>http://m.12365auto.com/bbs/postcontent.aspx?tID=194266</v>
      </c>
      <c r="G6690" s="2"/>
      <c r="H6690" s="2" t="s">
        <v>7512</v>
      </c>
      <c r="I6690" s="2" t="s">
        <v>15</v>
      </c>
      <c r="J6690" s="2" t="s">
        <v>949</v>
      </c>
      <c r="K6690" s="2" t="s">
        <v>9199</v>
      </c>
      <c r="L6690" s="2">
        <f t="shared" si="104"/>
        <v>150</v>
      </c>
    </row>
    <row r="6691" spans="1:12" ht="25" customHeight="1">
      <c r="A6691" s="2" t="s">
        <v>12</v>
      </c>
      <c r="B6691" s="2" t="str">
        <f>HYPERLINK("http://bbs.12365auto.com/postcontent.aspx?tId=194266","10万级别的价格 几十万的内饰和配置 这三款SUV值得一看")</f>
        <v>10万级别的价格 几十万的内饰和配置 这三款SUV值得一看</v>
      </c>
      <c r="C6691" s="2" t="s">
        <v>13</v>
      </c>
      <c r="D6691" s="2" t="s">
        <v>12</v>
      </c>
      <c r="E6691" s="2" t="s">
        <v>210</v>
      </c>
      <c r="F6691" s="2" t="str">
        <f>HYPERLINK("http://bbs.12365auto.com/postcontent.aspx?tId=194266","http://bbs.12365auto.com/postcontent.aspx?tId=194266")</f>
        <v>http://bbs.12365auto.com/postcontent.aspx?tId=194266</v>
      </c>
      <c r="G6691" s="2"/>
      <c r="H6691" s="2" t="s">
        <v>7512</v>
      </c>
      <c r="I6691" s="2" t="s">
        <v>15</v>
      </c>
      <c r="J6691" s="2" t="s">
        <v>949</v>
      </c>
      <c r="K6691" s="2" t="s">
        <v>9199</v>
      </c>
      <c r="L6691" s="2">
        <f t="shared" si="104"/>
        <v>150</v>
      </c>
    </row>
    <row r="6692" spans="1:12" ht="25" customHeight="1">
      <c r="A6692" s="2" t="s">
        <v>12</v>
      </c>
      <c r="B6692" s="2" t="str">
        <f>HYPERLINK("http://bbs.12365auto.com/postcontent.aspx?tID=194265","30万起步你会买吗？静态解析红旗H9")</f>
        <v>30万起步你会买吗？静态解析红旗H9</v>
      </c>
      <c r="C6692" s="2" t="s">
        <v>13</v>
      </c>
      <c r="D6692" s="2" t="s">
        <v>12</v>
      </c>
      <c r="E6692" s="2" t="s">
        <v>214</v>
      </c>
      <c r="F6692" s="2" t="str">
        <f>HYPERLINK("http://bbs.12365auto.com/postcontent.aspx?tID=194265","http://bbs.12365auto.com/postcontent.aspx?tID=194265")</f>
        <v>http://bbs.12365auto.com/postcontent.aspx?tID=194265</v>
      </c>
      <c r="G6692" s="2"/>
      <c r="H6692" s="2" t="s">
        <v>9202</v>
      </c>
      <c r="I6692" s="2" t="s">
        <v>15</v>
      </c>
      <c r="J6692" s="2" t="s">
        <v>949</v>
      </c>
      <c r="K6692" s="2" t="s">
        <v>9203</v>
      </c>
      <c r="L6692" s="2">
        <f t="shared" si="104"/>
        <v>150</v>
      </c>
    </row>
    <row r="6693" spans="1:12" ht="25" customHeight="1">
      <c r="A6693" s="2" t="s">
        <v>12</v>
      </c>
      <c r="B6693" s="2" t="str">
        <f>HYPERLINK("http://m.12365auto.com/bbs/postcontent.aspx?tID=194265","30万起步你会买吗？静态解析红旗H9")</f>
        <v>30万起步你会买吗？静态解析红旗H9</v>
      </c>
      <c r="C6693" s="2" t="s">
        <v>13</v>
      </c>
      <c r="D6693" s="2" t="s">
        <v>23</v>
      </c>
      <c r="E6693" s="2"/>
      <c r="F6693" s="2" t="str">
        <f>HYPERLINK("http://m.12365auto.com/bbs/postcontent.aspx?tID=194265","http://m.12365auto.com/bbs/postcontent.aspx?tID=194265")</f>
        <v>http://m.12365auto.com/bbs/postcontent.aspx?tID=194265</v>
      </c>
      <c r="G6693" s="2"/>
      <c r="H6693" s="2" t="s">
        <v>9204</v>
      </c>
      <c r="I6693" s="2" t="s">
        <v>15</v>
      </c>
      <c r="J6693" s="2" t="s">
        <v>949</v>
      </c>
      <c r="K6693" s="2" t="s">
        <v>9203</v>
      </c>
      <c r="L6693" s="2">
        <f t="shared" si="104"/>
        <v>150</v>
      </c>
    </row>
    <row r="6694" spans="1:12" ht="25" customHeight="1">
      <c r="A6694" s="2" t="s">
        <v>12</v>
      </c>
      <c r="B6694" s="2" t="str">
        <f>HYPERLINK("http://bbs.12365auto.com/postcontent.aspx?tId=194265","30万起步你会买吗？静态解析红旗H9")</f>
        <v>30万起步你会买吗？静态解析红旗H9</v>
      </c>
      <c r="C6694" s="2" t="s">
        <v>13</v>
      </c>
      <c r="D6694" s="2" t="s">
        <v>12</v>
      </c>
      <c r="E6694" s="2" t="s">
        <v>210</v>
      </c>
      <c r="F6694" s="2" t="str">
        <f>HYPERLINK("http://bbs.12365auto.com/postcontent.aspx?tId=194265","http://bbs.12365auto.com/postcontent.aspx?tId=194265")</f>
        <v>http://bbs.12365auto.com/postcontent.aspx?tId=194265</v>
      </c>
      <c r="G6694" s="2"/>
      <c r="H6694" s="2" t="s">
        <v>9204</v>
      </c>
      <c r="I6694" s="2" t="s">
        <v>15</v>
      </c>
      <c r="J6694" s="2" t="s">
        <v>949</v>
      </c>
      <c r="K6694" s="2" t="s">
        <v>9203</v>
      </c>
      <c r="L6694" s="2">
        <f t="shared" si="104"/>
        <v>150</v>
      </c>
    </row>
    <row r="6695" spans="1:12" ht="25" customHeight="1">
      <c r="A6695" s="2" t="s">
        <v>12</v>
      </c>
      <c r="B6695" s="2" t="str">
        <f>HYPERLINK("http://bbs.12365auto.com/postcontent.aspx?tID=194264","最便宜的豪华7座SUV 这三款最低30万就可购买")</f>
        <v>最便宜的豪华7座SUV 这三款最低30万就可购买</v>
      </c>
      <c r="C6695" s="2" t="s">
        <v>13</v>
      </c>
      <c r="D6695" s="2" t="s">
        <v>12</v>
      </c>
      <c r="E6695" s="2" t="s">
        <v>214</v>
      </c>
      <c r="F6695" s="2" t="str">
        <f>HYPERLINK("http://bbs.12365auto.com/postcontent.aspx?tID=194264","http://bbs.12365auto.com/postcontent.aspx?tID=194264")</f>
        <v>http://bbs.12365auto.com/postcontent.aspx?tID=194264</v>
      </c>
      <c r="G6695" s="2"/>
      <c r="H6695" s="2" t="s">
        <v>6480</v>
      </c>
      <c r="I6695" s="2" t="s">
        <v>15</v>
      </c>
      <c r="J6695" s="2" t="s">
        <v>949</v>
      </c>
      <c r="K6695" s="2" t="s">
        <v>9205</v>
      </c>
      <c r="L6695" s="2">
        <f t="shared" si="104"/>
        <v>150</v>
      </c>
    </row>
    <row r="6696" spans="1:12" ht="25" customHeight="1">
      <c r="A6696" s="2" t="s">
        <v>12</v>
      </c>
      <c r="B6696" s="2" t="str">
        <f>HYPERLINK("http://m.12365auto.com/bbs/postcontent.aspx?tID=194264","最便宜的豪华7座SUV 这三款最低30万就可购买")</f>
        <v>最便宜的豪华7座SUV 这三款最低30万就可购买</v>
      </c>
      <c r="C6696" s="2" t="s">
        <v>13</v>
      </c>
      <c r="D6696" s="2" t="s">
        <v>23</v>
      </c>
      <c r="E6696" s="2"/>
      <c r="F6696" s="2" t="str">
        <f>HYPERLINK("http://m.12365auto.com/bbs/postcontent.aspx?tID=194264","http://m.12365auto.com/bbs/postcontent.aspx?tID=194264")</f>
        <v>http://m.12365auto.com/bbs/postcontent.aspx?tID=194264</v>
      </c>
      <c r="G6696" s="2"/>
      <c r="H6696" s="2" t="s">
        <v>6478</v>
      </c>
      <c r="I6696" s="2" t="s">
        <v>15</v>
      </c>
      <c r="J6696" s="2" t="s">
        <v>949</v>
      </c>
      <c r="K6696" s="2" t="s">
        <v>9205</v>
      </c>
      <c r="L6696" s="2">
        <f t="shared" si="104"/>
        <v>150</v>
      </c>
    </row>
    <row r="6697" spans="1:12" ht="25" customHeight="1">
      <c r="A6697" s="2" t="s">
        <v>12</v>
      </c>
      <c r="B6697" s="2" t="str">
        <f>HYPERLINK("http://bbs.12365auto.com/postcontent.aspx?tId=194264","最便宜的豪华7座SUV 这三款最低30万就可购买")</f>
        <v>最便宜的豪华7座SUV 这三款最低30万就可购买</v>
      </c>
      <c r="C6697" s="2" t="s">
        <v>13</v>
      </c>
      <c r="D6697" s="2" t="s">
        <v>12</v>
      </c>
      <c r="E6697" s="2" t="s">
        <v>210</v>
      </c>
      <c r="F6697" s="2" t="str">
        <f>HYPERLINK("http://bbs.12365auto.com/postcontent.aspx?tId=194264","http://bbs.12365auto.com/postcontent.aspx?tId=194264")</f>
        <v>http://bbs.12365auto.com/postcontent.aspx?tId=194264</v>
      </c>
      <c r="G6697" s="2"/>
      <c r="H6697" s="2" t="s">
        <v>6478</v>
      </c>
      <c r="I6697" s="2" t="s">
        <v>15</v>
      </c>
      <c r="J6697" s="2" t="s">
        <v>949</v>
      </c>
      <c r="K6697" s="2" t="s">
        <v>9205</v>
      </c>
      <c r="L6697" s="2">
        <f t="shared" si="104"/>
        <v>150</v>
      </c>
    </row>
    <row r="6698" spans="1:12" ht="25" customHeight="1">
      <c r="A6698" s="2" t="s">
        <v>12</v>
      </c>
      <c r="B6698" s="2" t="str">
        <f>HYPERLINK("http://m.12365auto.com/parts/20200217/418729.shtml","摩卡咖啡一般浓郁 简评林肯飞行家音响")</f>
        <v>摩卡咖啡一般浓郁 简评林肯飞行家音响</v>
      </c>
      <c r="C6698" s="2" t="s">
        <v>13</v>
      </c>
      <c r="D6698" s="2" t="s">
        <v>12</v>
      </c>
      <c r="E6698" s="2"/>
      <c r="F6698" s="2" t="str">
        <f>HYPERLINK("http://m.12365auto.com/parts/20200217/418729.shtml","http://m.12365auto.com/parts/20200217/418729.shtml")</f>
        <v>http://m.12365auto.com/parts/20200217/418729.shtml</v>
      </c>
      <c r="G6698" s="2"/>
      <c r="H6698" s="2" t="s">
        <v>9206</v>
      </c>
      <c r="I6698" s="2" t="s">
        <v>19</v>
      </c>
      <c r="J6698" s="2" t="s">
        <v>9207</v>
      </c>
      <c r="K6698" s="2" t="s">
        <v>9208</v>
      </c>
      <c r="L6698" s="2">
        <f t="shared" si="104"/>
        <v>150</v>
      </c>
    </row>
    <row r="6699" spans="1:12" ht="25" customHeight="1">
      <c r="A6699" s="2" t="s">
        <v>12</v>
      </c>
      <c r="B6699" s="2" t="str">
        <f>HYPERLINK("http://bbs.12365auto.com/postcontent.aspx?tID=194263","连续12个月销量为0 众泰SR9为何沦为“市场弃子”？")</f>
        <v>连续12个月销量为0 众泰SR9为何沦为“市场弃子”？</v>
      </c>
      <c r="C6699" s="2" t="s">
        <v>13</v>
      </c>
      <c r="D6699" s="2" t="s">
        <v>12</v>
      </c>
      <c r="E6699" s="2" t="s">
        <v>214</v>
      </c>
      <c r="F6699" s="2" t="str">
        <f>HYPERLINK("http://bbs.12365auto.com/postcontent.aspx?tID=194263","http://bbs.12365auto.com/postcontent.aspx?tID=194263")</f>
        <v>http://bbs.12365auto.com/postcontent.aspx?tID=194263</v>
      </c>
      <c r="G6699" s="2"/>
      <c r="H6699" s="2" t="s">
        <v>9209</v>
      </c>
      <c r="I6699" s="2" t="s">
        <v>15</v>
      </c>
      <c r="J6699" s="2" t="s">
        <v>949</v>
      </c>
      <c r="K6699" s="2" t="s">
        <v>9208</v>
      </c>
      <c r="L6699" s="2">
        <f t="shared" si="104"/>
        <v>150</v>
      </c>
    </row>
    <row r="6700" spans="1:12" ht="25" customHeight="1">
      <c r="A6700" s="2" t="s">
        <v>12</v>
      </c>
      <c r="B6700" s="2" t="str">
        <f>HYPERLINK("http://bbs.12365auto.com/postcontent.aspx?tId=194263","连续12个月销量为0 众泰SR9为何沦为“市场弃子”？")</f>
        <v>连续12个月销量为0 众泰SR9为何沦为“市场弃子”？</v>
      </c>
      <c r="C6700" s="2" t="s">
        <v>13</v>
      </c>
      <c r="D6700" s="2" t="s">
        <v>12</v>
      </c>
      <c r="E6700" s="2" t="s">
        <v>210</v>
      </c>
      <c r="F6700" s="2" t="str">
        <f>HYPERLINK("http://bbs.12365auto.com/postcontent.aspx?tId=194263","http://bbs.12365auto.com/postcontent.aspx?tId=194263")</f>
        <v>http://bbs.12365auto.com/postcontent.aspx?tId=194263</v>
      </c>
      <c r="G6700" s="2"/>
      <c r="H6700" s="2" t="s">
        <v>9210</v>
      </c>
      <c r="I6700" s="2" t="s">
        <v>15</v>
      </c>
      <c r="J6700" s="2" t="s">
        <v>949</v>
      </c>
      <c r="K6700" s="2" t="s">
        <v>9208</v>
      </c>
      <c r="L6700" s="2">
        <f t="shared" si="104"/>
        <v>150</v>
      </c>
    </row>
    <row r="6701" spans="1:12" ht="25" customHeight="1">
      <c r="A6701" s="2" t="s">
        <v>12</v>
      </c>
      <c r="B6701" s="2" t="str">
        <f>HYPERLINK("http://www.12365auto.com/parts/20200217/418729.shtml","摩卡咖啡一般浓郁 简评林肯飞行家音响")</f>
        <v>摩卡咖啡一般浓郁 简评林肯飞行家音响</v>
      </c>
      <c r="C6701" s="2" t="s">
        <v>13</v>
      </c>
      <c r="D6701" s="2" t="s">
        <v>12</v>
      </c>
      <c r="E6701" s="2" t="s">
        <v>240</v>
      </c>
      <c r="F6701" s="2" t="str">
        <f>HYPERLINK("http://www.12365auto.com/parts/20200217/418729.shtml","http://www.12365auto.com/parts/20200217/418729.shtml")</f>
        <v>http://www.12365auto.com/parts/20200217/418729.shtml</v>
      </c>
      <c r="G6701" s="2"/>
      <c r="H6701" s="2" t="s">
        <v>9211</v>
      </c>
      <c r="I6701" s="2" t="s">
        <v>15</v>
      </c>
      <c r="J6701" s="2" t="s">
        <v>12</v>
      </c>
      <c r="K6701" s="2" t="s">
        <v>9208</v>
      </c>
      <c r="L6701" s="2">
        <f t="shared" si="104"/>
        <v>150</v>
      </c>
    </row>
    <row r="6702" spans="1:12" ht="25" customHeight="1">
      <c r="A6702" s="2" t="s">
        <v>12</v>
      </c>
      <c r="B6702" s="2" t="str">
        <f>HYPERLINK("http://bbs.12365auto.com/postcontent.aspx?tId=194262","它号称“小A7” 颜值比奔驰高 但售价只有奥迪A7的一半")</f>
        <v>它号称“小A7” 颜值比奔驰高 但售价只有奥迪A7的一半</v>
      </c>
      <c r="C6702" s="2" t="s">
        <v>13</v>
      </c>
      <c r="D6702" s="2" t="s">
        <v>12</v>
      </c>
      <c r="E6702" s="2" t="s">
        <v>210</v>
      </c>
      <c r="F6702" s="2" t="str">
        <f>HYPERLINK("http://bbs.12365auto.com/postcontent.aspx?tId=194262","http://bbs.12365auto.com/postcontent.aspx?tId=194262")</f>
        <v>http://bbs.12365auto.com/postcontent.aspx?tId=194262</v>
      </c>
      <c r="G6702" s="2"/>
      <c r="H6702" s="2" t="s">
        <v>9212</v>
      </c>
      <c r="I6702" s="2" t="s">
        <v>15</v>
      </c>
      <c r="J6702" s="2" t="s">
        <v>949</v>
      </c>
      <c r="K6702" s="2" t="s">
        <v>9213</v>
      </c>
      <c r="L6702" s="2">
        <f t="shared" si="104"/>
        <v>150</v>
      </c>
    </row>
    <row r="6703" spans="1:12" ht="25" customHeight="1">
      <c r="A6703" s="2" t="s">
        <v>12</v>
      </c>
      <c r="B6703" s="2" t="str">
        <f>HYPERLINK("http://bbs.12365auto.com/postcontent.aspx?tID=194262","它号称“小A7” 颜值比奔驰高 但售价只有奥迪A7的一半")</f>
        <v>它号称“小A7” 颜值比奔驰高 但售价只有奥迪A7的一半</v>
      </c>
      <c r="C6703" s="2" t="s">
        <v>13</v>
      </c>
      <c r="D6703" s="2" t="s">
        <v>12</v>
      </c>
      <c r="E6703" s="2" t="s">
        <v>214</v>
      </c>
      <c r="F6703" s="2" t="str">
        <f>HYPERLINK("http://bbs.12365auto.com/postcontent.aspx?tID=194262","http://bbs.12365auto.com/postcontent.aspx?tID=194262")</f>
        <v>http://bbs.12365auto.com/postcontent.aspx?tID=194262</v>
      </c>
      <c r="G6703" s="2"/>
      <c r="H6703" s="2" t="s">
        <v>9214</v>
      </c>
      <c r="I6703" s="2" t="s">
        <v>15</v>
      </c>
      <c r="J6703" s="2" t="s">
        <v>949</v>
      </c>
      <c r="K6703" s="2" t="s">
        <v>9213</v>
      </c>
      <c r="L6703" s="2">
        <f t="shared" si="104"/>
        <v>150</v>
      </c>
    </row>
    <row r="6704" spans="1:12" ht="25" customHeight="1">
      <c r="A6704" s="2" t="s">
        <v>12</v>
      </c>
      <c r="B6704" s="2" t="str">
        <f>HYPERLINK("http://www.12365auto.com/news/20200217/418728.shtml","苹果新专利：将图像投射到抬头显示系统")</f>
        <v>苹果新专利：将图像投射到抬头显示系统</v>
      </c>
      <c r="C6704" s="2" t="s">
        <v>13</v>
      </c>
      <c r="D6704" s="2" t="s">
        <v>12</v>
      </c>
      <c r="E6704" s="2" t="s">
        <v>276</v>
      </c>
      <c r="F6704" s="2" t="str">
        <f>HYPERLINK("http://www.12365auto.com/news/20200217/418728.shtml","http://www.12365auto.com/news/20200217/418728.shtml")</f>
        <v>http://www.12365auto.com/news/20200217/418728.shtml</v>
      </c>
      <c r="G6704" s="2"/>
      <c r="H6704" s="2" t="s">
        <v>9215</v>
      </c>
      <c r="I6704" s="2" t="s">
        <v>15</v>
      </c>
      <c r="J6704" s="2" t="s">
        <v>12</v>
      </c>
      <c r="K6704" s="2" t="s">
        <v>9216</v>
      </c>
      <c r="L6704" s="2">
        <f t="shared" si="104"/>
        <v>150</v>
      </c>
    </row>
    <row r="6705" spans="1:12" ht="25" customHeight="1">
      <c r="A6705" s="2" t="s">
        <v>12</v>
      </c>
      <c r="B6705" s="2" t="str">
        <f>HYPERLINK("http://m.12365auto.com/news/20200217/418728.shtml","苹果新专利：将图像投射到抬头显示系统")</f>
        <v>苹果新专利：将图像投射到抬头显示系统</v>
      </c>
      <c r="C6705" s="2" t="s">
        <v>13</v>
      </c>
      <c r="D6705" s="2" t="s">
        <v>12</v>
      </c>
      <c r="E6705" s="2"/>
      <c r="F6705" s="2" t="str">
        <f>HYPERLINK("http://m.12365auto.com/news/20200217/418728.shtml","http://m.12365auto.com/news/20200217/418728.shtml")</f>
        <v>http://m.12365auto.com/news/20200217/418728.shtml</v>
      </c>
      <c r="G6705" s="2"/>
      <c r="H6705" s="2" t="s">
        <v>9217</v>
      </c>
      <c r="I6705" s="2" t="s">
        <v>19</v>
      </c>
      <c r="J6705" s="2" t="s">
        <v>9218</v>
      </c>
      <c r="K6705" s="2" t="s">
        <v>9216</v>
      </c>
      <c r="L6705" s="2">
        <f t="shared" si="104"/>
        <v>150</v>
      </c>
    </row>
    <row r="6706" spans="1:12" ht="25" customHeight="1">
      <c r="A6706" s="2" t="s">
        <v>12</v>
      </c>
      <c r="B6706" s="2" t="str">
        <f>HYPERLINK("http://m.12365auto.com/news/20200217/418727.shtml","Eyeris推出首款车内传感器融合AI解决方案")</f>
        <v>Eyeris推出首款车内传感器融合AI解决方案</v>
      </c>
      <c r="C6706" s="2" t="s">
        <v>13</v>
      </c>
      <c r="D6706" s="2" t="s">
        <v>12</v>
      </c>
      <c r="E6706" s="2"/>
      <c r="F6706" s="2" t="str">
        <f>HYPERLINK("http://m.12365auto.com/news/20200217/418727.shtml","http://m.12365auto.com/news/20200217/418727.shtml")</f>
        <v>http://m.12365auto.com/news/20200217/418727.shtml</v>
      </c>
      <c r="G6706" s="2"/>
      <c r="H6706" s="2" t="s">
        <v>9219</v>
      </c>
      <c r="I6706" s="2" t="s">
        <v>19</v>
      </c>
      <c r="J6706" s="2" t="s">
        <v>1029</v>
      </c>
      <c r="K6706" s="2" t="s">
        <v>9220</v>
      </c>
      <c r="L6706" s="2">
        <f t="shared" si="104"/>
        <v>150</v>
      </c>
    </row>
    <row r="6707" spans="1:12" ht="25" customHeight="1">
      <c r="A6707" s="2" t="s">
        <v>12</v>
      </c>
      <c r="B6707" s="2" t="str">
        <f>HYPERLINK("http://www.12365auto.com/news/20200217/418727.shtml","Eyeris推出首款车内传感器融合AI解决方案")</f>
        <v>Eyeris推出首款车内传感器融合AI解决方案</v>
      </c>
      <c r="C6707" s="2" t="s">
        <v>13</v>
      </c>
      <c r="D6707" s="2" t="s">
        <v>12</v>
      </c>
      <c r="E6707" s="2" t="s">
        <v>276</v>
      </c>
      <c r="F6707" s="2" t="str">
        <f>HYPERLINK("http://www.12365auto.com/news/20200217/418727.shtml","http://www.12365auto.com/news/20200217/418727.shtml")</f>
        <v>http://www.12365auto.com/news/20200217/418727.shtml</v>
      </c>
      <c r="G6707" s="2"/>
      <c r="H6707" s="2" t="s">
        <v>9221</v>
      </c>
      <c r="I6707" s="2" t="s">
        <v>15</v>
      </c>
      <c r="J6707" s="2" t="s">
        <v>12</v>
      </c>
      <c r="K6707" s="2" t="s">
        <v>9220</v>
      </c>
      <c r="L6707" s="2">
        <f t="shared" si="104"/>
        <v>150</v>
      </c>
    </row>
    <row r="6708" spans="1:12" ht="25" customHeight="1">
      <c r="A6708" s="2" t="s">
        <v>12</v>
      </c>
      <c r="B6708" s="2" t="str">
        <f>HYPERLINK("http://m.12365auto.com/news/20200217/418726.shtml","上汽集团1月销量下滑 自主乘用车逆势上扬")</f>
        <v>上汽集团1月销量下滑 自主乘用车逆势上扬</v>
      </c>
      <c r="C6708" s="2" t="s">
        <v>13</v>
      </c>
      <c r="D6708" s="2" t="s">
        <v>12</v>
      </c>
      <c r="E6708" s="2"/>
      <c r="F6708" s="2" t="str">
        <f>HYPERLINK("http://m.12365auto.com/news/20200217/418726.shtml","http://m.12365auto.com/news/20200217/418726.shtml")</f>
        <v>http://m.12365auto.com/news/20200217/418726.shtml</v>
      </c>
      <c r="G6708" s="2"/>
      <c r="H6708" s="2" t="s">
        <v>9222</v>
      </c>
      <c r="I6708" s="2" t="s">
        <v>19</v>
      </c>
      <c r="J6708" s="2" t="s">
        <v>3629</v>
      </c>
      <c r="K6708" s="2" t="s">
        <v>9223</v>
      </c>
      <c r="L6708" s="2">
        <f t="shared" si="104"/>
        <v>150</v>
      </c>
    </row>
    <row r="6709" spans="1:12" ht="25" customHeight="1">
      <c r="A6709" s="2" t="s">
        <v>12</v>
      </c>
      <c r="B6709" s="2" t="str">
        <f>HYPERLINK("http://www.12365auto.com/news/20200217/418726.shtml","上汽集团1月销量下滑 自主乘用车逆势上扬")</f>
        <v>上汽集团1月销量下滑 自主乘用车逆势上扬</v>
      </c>
      <c r="C6709" s="2" t="s">
        <v>13</v>
      </c>
      <c r="D6709" s="2" t="s">
        <v>12</v>
      </c>
      <c r="E6709" s="2" t="s">
        <v>276</v>
      </c>
      <c r="F6709" s="2" t="str">
        <f>HYPERLINK("http://www.12365auto.com/news/20200217/418726.shtml","http://www.12365auto.com/news/20200217/418726.shtml")</f>
        <v>http://www.12365auto.com/news/20200217/418726.shtml</v>
      </c>
      <c r="G6709" s="2"/>
      <c r="H6709" s="2" t="s">
        <v>9224</v>
      </c>
      <c r="I6709" s="2" t="s">
        <v>15</v>
      </c>
      <c r="J6709" s="2" t="s">
        <v>12</v>
      </c>
      <c r="K6709" s="2" t="s">
        <v>9223</v>
      </c>
      <c r="L6709" s="2">
        <f t="shared" si="104"/>
        <v>150</v>
      </c>
    </row>
    <row r="6710" spans="1:12" ht="25" customHeight="1">
      <c r="A6710" s="2" t="s">
        <v>12</v>
      </c>
      <c r="B6710" s="2" t="str">
        <f>HYPERLINK("http://www.12365auto.com/news/20200217/418725.shtml","丰田控股斯巴鲁 大佬与技术宅擦出新能源火花")</f>
        <v>丰田控股斯巴鲁 大佬与技术宅擦出新能源火花</v>
      </c>
      <c r="C6710" s="2" t="s">
        <v>13</v>
      </c>
      <c r="D6710" s="2" t="s">
        <v>12</v>
      </c>
      <c r="E6710" s="2" t="s">
        <v>282</v>
      </c>
      <c r="F6710" s="2" t="str">
        <f>HYPERLINK("http://www.12365auto.com/news/20200217/418725.shtml","http://www.12365auto.com/news/20200217/418725.shtml")</f>
        <v>http://www.12365auto.com/news/20200217/418725.shtml</v>
      </c>
      <c r="G6710" s="2"/>
      <c r="H6710" s="2" t="s">
        <v>9225</v>
      </c>
      <c r="I6710" s="2" t="s">
        <v>19</v>
      </c>
      <c r="J6710" s="2" t="s">
        <v>12</v>
      </c>
      <c r="K6710" s="2" t="s">
        <v>9226</v>
      </c>
      <c r="L6710" s="2">
        <f t="shared" si="104"/>
        <v>150</v>
      </c>
    </row>
    <row r="6711" spans="1:12" ht="25" customHeight="1">
      <c r="A6711" s="2" t="s">
        <v>12</v>
      </c>
      <c r="B6711" s="2" t="str">
        <f>HYPERLINK("http://www.12365auto.com/zlts/20200217/447488.shtml","东风雪铁龙C4L方向盘上下晃动存在隐患")</f>
        <v>东风雪铁龙C4L方向盘上下晃动存在隐患</v>
      </c>
      <c r="C6711" s="2" t="s">
        <v>13</v>
      </c>
      <c r="D6711" s="2" t="s">
        <v>12</v>
      </c>
      <c r="E6711" s="2" t="s">
        <v>17</v>
      </c>
      <c r="F6711" s="2" t="str">
        <f>HYPERLINK("http://www.12365auto.com/zlts/20200217/447488.shtml","http://www.12365auto.com/zlts/20200217/447488.shtml")</f>
        <v>http://www.12365auto.com/zlts/20200217/447488.shtml</v>
      </c>
      <c r="G6711" s="2"/>
      <c r="H6711" s="2" t="s">
        <v>9227</v>
      </c>
      <c r="I6711" s="2" t="s">
        <v>19</v>
      </c>
      <c r="J6711" s="2" t="s">
        <v>12</v>
      </c>
      <c r="K6711" s="2" t="s">
        <v>9226</v>
      </c>
      <c r="L6711" s="2">
        <f t="shared" si="104"/>
        <v>150</v>
      </c>
    </row>
    <row r="6712" spans="1:12" ht="25" customHeight="1">
      <c r="A6712" s="2" t="s">
        <v>12</v>
      </c>
      <c r="B6712" s="2" t="str">
        <f>HYPERLINK("http://m.12365auto.com/news/20200217/418725.shtml","丰田控股斯巴鲁 大佬与技术宅擦出新能源火花")</f>
        <v>丰田控股斯巴鲁 大佬与技术宅擦出新能源火花</v>
      </c>
      <c r="C6712" s="2" t="s">
        <v>13</v>
      </c>
      <c r="D6712" s="2" t="s">
        <v>12</v>
      </c>
      <c r="E6712" s="2"/>
      <c r="F6712" s="2" t="str">
        <f>HYPERLINK("http://m.12365auto.com/news/20200217/418725.shtml","http://m.12365auto.com/news/20200217/418725.shtml")</f>
        <v>http://m.12365auto.com/news/20200217/418725.shtml</v>
      </c>
      <c r="G6712" s="2"/>
      <c r="H6712" s="2" t="s">
        <v>9228</v>
      </c>
      <c r="I6712" s="2" t="s">
        <v>19</v>
      </c>
      <c r="J6712" s="2" t="s">
        <v>1023</v>
      </c>
      <c r="K6712" s="2" t="s">
        <v>9226</v>
      </c>
      <c r="L6712" s="2">
        <f t="shared" si="104"/>
        <v>150</v>
      </c>
    </row>
    <row r="6713" spans="1:12" ht="25" customHeight="1">
      <c r="A6713" s="2" t="s">
        <v>12</v>
      </c>
      <c r="B6713" s="2" t="str">
        <f>HYPERLINK("http://m.12365auto.com/news/20200217/418724.shtml","27家车企1月销量一览：自主品牌渐回暖")</f>
        <v>27家车企1月销量一览：自主品牌渐回暖</v>
      </c>
      <c r="C6713" s="2" t="s">
        <v>13</v>
      </c>
      <c r="D6713" s="2" t="s">
        <v>12</v>
      </c>
      <c r="E6713" s="2"/>
      <c r="F6713" s="2" t="str">
        <f>HYPERLINK("http://m.12365auto.com/news/20200217/418724.shtml","http://m.12365auto.com/news/20200217/418724.shtml")</f>
        <v>http://m.12365auto.com/news/20200217/418724.shtml</v>
      </c>
      <c r="G6713" s="2"/>
      <c r="H6713" s="2" t="s">
        <v>9229</v>
      </c>
      <c r="I6713" s="2" t="s">
        <v>19</v>
      </c>
      <c r="J6713" s="2" t="s">
        <v>3634</v>
      </c>
      <c r="K6713" s="2" t="s">
        <v>9230</v>
      </c>
      <c r="L6713" s="2">
        <f t="shared" si="104"/>
        <v>150</v>
      </c>
    </row>
    <row r="6714" spans="1:12" ht="25" customHeight="1">
      <c r="A6714" s="2" t="s">
        <v>12</v>
      </c>
      <c r="B6714" s="2" t="str">
        <f>HYPERLINK("http://www.12365auto.com/news/20200217/418724.shtml","27家车企1月销量一览：自主品牌渐回暖")</f>
        <v>27家车企1月销量一览：自主品牌渐回暖</v>
      </c>
      <c r="C6714" s="2" t="s">
        <v>13</v>
      </c>
      <c r="D6714" s="2" t="s">
        <v>12</v>
      </c>
      <c r="E6714" s="2" t="s">
        <v>276</v>
      </c>
      <c r="F6714" s="2" t="str">
        <f>HYPERLINK("http://www.12365auto.com/news/20200217/418724.shtml","http://www.12365auto.com/news/20200217/418724.shtml")</f>
        <v>http://www.12365auto.com/news/20200217/418724.shtml</v>
      </c>
      <c r="G6714" s="2"/>
      <c r="H6714" s="2" t="s">
        <v>9231</v>
      </c>
      <c r="I6714" s="2" t="s">
        <v>15</v>
      </c>
      <c r="J6714" s="2" t="s">
        <v>12</v>
      </c>
      <c r="K6714" s="2" t="s">
        <v>9230</v>
      </c>
      <c r="L6714" s="2">
        <f t="shared" si="104"/>
        <v>150</v>
      </c>
    </row>
    <row r="6715" spans="1:12" ht="25" customHeight="1">
      <c r="A6715" s="2" t="s">
        <v>12</v>
      </c>
      <c r="B6715" s="2" t="str">
        <f>HYPERLINK("http://m.12365auto.com/news/20200217/418723.shtml","1月车企销量前十榜单：上汽通用回归前三甲")</f>
        <v>1月车企销量前十榜单：上汽通用回归前三甲</v>
      </c>
      <c r="C6715" s="2" t="s">
        <v>13</v>
      </c>
      <c r="D6715" s="2" t="s">
        <v>12</v>
      </c>
      <c r="E6715" s="2"/>
      <c r="F6715" s="2" t="str">
        <f>HYPERLINK("http://m.12365auto.com/news/20200217/418723.shtml","http://m.12365auto.com/news/20200217/418723.shtml")</f>
        <v>http://m.12365auto.com/news/20200217/418723.shtml</v>
      </c>
      <c r="G6715" s="2"/>
      <c r="H6715" s="2" t="s">
        <v>9232</v>
      </c>
      <c r="I6715" s="2" t="s">
        <v>19</v>
      </c>
      <c r="J6715" s="2" t="s">
        <v>3629</v>
      </c>
      <c r="K6715" s="2" t="s">
        <v>9233</v>
      </c>
      <c r="L6715" s="2">
        <f t="shared" si="104"/>
        <v>150</v>
      </c>
    </row>
    <row r="6716" spans="1:12" ht="25" customHeight="1">
      <c r="A6716" s="2" t="s">
        <v>12</v>
      </c>
      <c r="B6716" s="2" t="str">
        <f>HYPERLINK("http://www.12365auto.com/news/20200217/418723.shtml","1月车企销量前十榜单：上汽通用回归前三甲")</f>
        <v>1月车企销量前十榜单：上汽通用回归前三甲</v>
      </c>
      <c r="C6716" s="2" t="s">
        <v>13</v>
      </c>
      <c r="D6716" s="2" t="s">
        <v>12</v>
      </c>
      <c r="E6716" s="2" t="s">
        <v>276</v>
      </c>
      <c r="F6716" s="2" t="str">
        <f>HYPERLINK("http://www.12365auto.com/news/20200217/418723.shtml","http://www.12365auto.com/news/20200217/418723.shtml")</f>
        <v>http://www.12365auto.com/news/20200217/418723.shtml</v>
      </c>
      <c r="G6716" s="2"/>
      <c r="H6716" s="2" t="s">
        <v>9234</v>
      </c>
      <c r="I6716" s="2" t="s">
        <v>15</v>
      </c>
      <c r="J6716" s="2" t="s">
        <v>12</v>
      </c>
      <c r="K6716" s="2" t="s">
        <v>9233</v>
      </c>
      <c r="L6716" s="2">
        <f t="shared" si="104"/>
        <v>150</v>
      </c>
    </row>
    <row r="6717" spans="1:12" ht="25" customHeight="1">
      <c r="A6717" s="2" t="s">
        <v>12</v>
      </c>
      <c r="B6717" s="2" t="str">
        <f>HYPERLINK("http://m.12365auto.com/dcbg/20200217/418722.shtml","长安CS75 PLUS中保研碰撞测试成绩公布")</f>
        <v>长安CS75 PLUS中保研碰撞测试成绩公布</v>
      </c>
      <c r="C6717" s="2" t="s">
        <v>13</v>
      </c>
      <c r="D6717" s="2" t="s">
        <v>12</v>
      </c>
      <c r="E6717" s="2"/>
      <c r="F6717" s="2" t="str">
        <f>HYPERLINK("http://m.12365auto.com/dcbg/20200217/418722.shtml","http://m.12365auto.com/dcbg/20200217/418722.shtml")</f>
        <v>http://m.12365auto.com/dcbg/20200217/418722.shtml</v>
      </c>
      <c r="G6717" s="2"/>
      <c r="H6717" s="2" t="s">
        <v>9235</v>
      </c>
      <c r="I6717" s="2" t="s">
        <v>19</v>
      </c>
      <c r="J6717" s="2" t="s">
        <v>1054</v>
      </c>
      <c r="K6717" s="2" t="s">
        <v>9236</v>
      </c>
      <c r="L6717" s="2">
        <f t="shared" si="104"/>
        <v>150</v>
      </c>
    </row>
    <row r="6718" spans="1:12" ht="25" customHeight="1">
      <c r="A6718" s="2" t="s">
        <v>12</v>
      </c>
      <c r="B6718" s="2" t="str">
        <f>HYPERLINK("http://m.12365auto.com/news/20200217/418721.shtml","苹果新专利：利用机器学习模型校正GPS数据")</f>
        <v>苹果新专利：利用机器学习模型校正GPS数据</v>
      </c>
      <c r="C6718" s="2" t="s">
        <v>13</v>
      </c>
      <c r="D6718" s="2" t="s">
        <v>12</v>
      </c>
      <c r="E6718" s="2"/>
      <c r="F6718" s="2" t="str">
        <f>HYPERLINK("http://m.12365auto.com/news/20200217/418721.shtml","http://m.12365auto.com/news/20200217/418721.shtml")</f>
        <v>http://m.12365auto.com/news/20200217/418721.shtml</v>
      </c>
      <c r="G6718" s="2"/>
      <c r="H6718" s="2" t="s">
        <v>9237</v>
      </c>
      <c r="I6718" s="2" t="s">
        <v>19</v>
      </c>
      <c r="J6718" s="2" t="s">
        <v>1029</v>
      </c>
      <c r="K6718" s="2" t="s">
        <v>9238</v>
      </c>
      <c r="L6718" s="2">
        <f t="shared" si="104"/>
        <v>150</v>
      </c>
    </row>
    <row r="6719" spans="1:12" ht="25" customHeight="1">
      <c r="A6719" s="2" t="s">
        <v>12</v>
      </c>
      <c r="B6719" s="2" t="str">
        <f>HYPERLINK("http://www.12365auto.com/news/20200217/418721.shtml","苹果新专利：利用机器学习模型校正GPS数据")</f>
        <v>苹果新专利：利用机器学习模型校正GPS数据</v>
      </c>
      <c r="C6719" s="2" t="s">
        <v>13</v>
      </c>
      <c r="D6719" s="2" t="s">
        <v>12</v>
      </c>
      <c r="E6719" s="2" t="s">
        <v>276</v>
      </c>
      <c r="F6719" s="2" t="str">
        <f>HYPERLINK("http://www.12365auto.com/news/20200217/418721.shtml","http://www.12365auto.com/news/20200217/418721.shtml")</f>
        <v>http://www.12365auto.com/news/20200217/418721.shtml</v>
      </c>
      <c r="G6719" s="2"/>
      <c r="H6719" s="2" t="s">
        <v>9239</v>
      </c>
      <c r="I6719" s="2" t="s">
        <v>15</v>
      </c>
      <c r="J6719" s="2" t="s">
        <v>12</v>
      </c>
      <c r="K6719" s="2" t="s">
        <v>9238</v>
      </c>
      <c r="L6719" s="2">
        <f t="shared" si="104"/>
        <v>150</v>
      </c>
    </row>
    <row r="6720" spans="1:12" ht="25" customHeight="1">
      <c r="A6720" s="2" t="s">
        <v>12</v>
      </c>
      <c r="B6720" s="2" t="str">
        <f>HYPERLINK("http://m.12365auto.com/parts/20200217/418720.shtml","电产推出牵引电机 瞄准豪华和微型电动汽车")</f>
        <v>电产推出牵引电机 瞄准豪华和微型电动汽车</v>
      </c>
      <c r="C6720" s="2" t="s">
        <v>13</v>
      </c>
      <c r="D6720" s="2" t="s">
        <v>12</v>
      </c>
      <c r="E6720" s="2"/>
      <c r="F6720" s="2" t="str">
        <f>HYPERLINK("http://m.12365auto.com/parts/20200217/418720.shtml","http://m.12365auto.com/parts/20200217/418720.shtml")</f>
        <v>http://m.12365auto.com/parts/20200217/418720.shtml</v>
      </c>
      <c r="G6720" s="2"/>
      <c r="H6720" s="2" t="s">
        <v>9240</v>
      </c>
      <c r="I6720" s="2" t="s">
        <v>19</v>
      </c>
      <c r="J6720" s="2" t="s">
        <v>1029</v>
      </c>
      <c r="K6720" s="2" t="s">
        <v>9241</v>
      </c>
      <c r="L6720" s="2">
        <f t="shared" si="104"/>
        <v>150</v>
      </c>
    </row>
    <row r="6721" spans="1:12" ht="25" customHeight="1">
      <c r="A6721" s="2" t="s">
        <v>12</v>
      </c>
      <c r="B6721" s="2" t="str">
        <f>HYPERLINK("http://www.12365auto.com/parts/20200217/418720.shtml","电产推出牵引电机 瞄准豪华和微型电动汽车")</f>
        <v>电产推出牵引电机 瞄准豪华和微型电动汽车</v>
      </c>
      <c r="C6721" s="2" t="s">
        <v>13</v>
      </c>
      <c r="D6721" s="2" t="s">
        <v>12</v>
      </c>
      <c r="E6721" s="2" t="s">
        <v>240</v>
      </c>
      <c r="F6721" s="2" t="str">
        <f>HYPERLINK("http://www.12365auto.com/parts/20200217/418720.shtml","http://www.12365auto.com/parts/20200217/418720.shtml")</f>
        <v>http://www.12365auto.com/parts/20200217/418720.shtml</v>
      </c>
      <c r="G6721" s="2"/>
      <c r="H6721" s="2" t="s">
        <v>9242</v>
      </c>
      <c r="I6721" s="2" t="s">
        <v>15</v>
      </c>
      <c r="J6721" s="2" t="s">
        <v>12</v>
      </c>
      <c r="K6721" s="2" t="s">
        <v>9241</v>
      </c>
      <c r="L6721" s="2">
        <f t="shared" si="104"/>
        <v>150</v>
      </c>
    </row>
    <row r="6722" spans="1:12" ht="25" customHeight="1">
      <c r="A6722" s="2" t="s">
        <v>12</v>
      </c>
      <c r="B6722" s="2" t="str">
        <f>HYPERLINK("http://m.12365auto.com/xcdg/20200217/418719.shtml","新汉兰达等 雷克萨斯/丰田2020新车展望")</f>
        <v>新汉兰达等 雷克萨斯/丰田2020新车展望</v>
      </c>
      <c r="C6722" s="2" t="s">
        <v>13</v>
      </c>
      <c r="D6722" s="2" t="s">
        <v>12</v>
      </c>
      <c r="E6722" s="2"/>
      <c r="F6722" s="2" t="str">
        <f>HYPERLINK("http://m.12365auto.com/xcdg/20200217/418719.shtml","http://m.12365auto.com/xcdg/20200217/418719.shtml")</f>
        <v>http://m.12365auto.com/xcdg/20200217/418719.shtml</v>
      </c>
      <c r="G6722" s="2"/>
      <c r="H6722" s="2" t="s">
        <v>9243</v>
      </c>
      <c r="I6722" s="2" t="s">
        <v>19</v>
      </c>
      <c r="J6722" s="2" t="s">
        <v>4729</v>
      </c>
      <c r="K6722" s="2" t="s">
        <v>9244</v>
      </c>
      <c r="L6722" s="2">
        <f t="shared" si="104"/>
        <v>150</v>
      </c>
    </row>
    <row r="6723" spans="1:12" ht="25" customHeight="1">
      <c r="A6723" s="2" t="s">
        <v>12</v>
      </c>
      <c r="B6723" s="2" t="str">
        <f>HYPERLINK("http://www.12365auto.com/xcdg/20200217/418719.shtml","新汉兰达等 雷克萨斯/丰田2020新车展望")</f>
        <v>新汉兰达等 雷克萨斯/丰田2020新车展望</v>
      </c>
      <c r="C6723" s="2" t="s">
        <v>13</v>
      </c>
      <c r="D6723" s="2" t="s">
        <v>12</v>
      </c>
      <c r="E6723" s="2" t="s">
        <v>216</v>
      </c>
      <c r="F6723" s="2" t="str">
        <f>HYPERLINK("http://www.12365auto.com/xcdg/20200217/418719.shtml","http://www.12365auto.com/xcdg/20200217/418719.shtml")</f>
        <v>http://www.12365auto.com/xcdg/20200217/418719.shtml</v>
      </c>
      <c r="G6723" s="2"/>
      <c r="H6723" s="2" t="s">
        <v>9245</v>
      </c>
      <c r="I6723" s="2" t="s">
        <v>15</v>
      </c>
      <c r="J6723" s="2" t="s">
        <v>12</v>
      </c>
      <c r="K6723" s="2" t="s">
        <v>9244</v>
      </c>
      <c r="L6723" s="2">
        <f t="shared" ref="L6723:L6786" si="105">LEN(H6723)</f>
        <v>150</v>
      </c>
    </row>
    <row r="6724" spans="1:12" ht="25" customHeight="1">
      <c r="A6724" s="2" t="s">
        <v>12</v>
      </c>
      <c r="B6724" s="2" t="str">
        <f>HYPERLINK("http://m.12365auto.com/dcbg/20200217/418718.shtml","皆表现稳健 卡罗拉/雷凌中保研碰撞测试")</f>
        <v>皆表现稳健 卡罗拉/雷凌中保研碰撞测试</v>
      </c>
      <c r="C6724" s="2" t="s">
        <v>13</v>
      </c>
      <c r="D6724" s="2" t="s">
        <v>12</v>
      </c>
      <c r="E6724" s="2"/>
      <c r="F6724" s="2" t="str">
        <f>HYPERLINK("http://m.12365auto.com/dcbg/20200217/418718.shtml","http://m.12365auto.com/dcbg/20200217/418718.shtml")</f>
        <v>http://m.12365auto.com/dcbg/20200217/418718.shtml</v>
      </c>
      <c r="G6724" s="2"/>
      <c r="H6724" s="2" t="s">
        <v>9246</v>
      </c>
      <c r="I6724" s="2" t="s">
        <v>19</v>
      </c>
      <c r="J6724" s="2" t="s">
        <v>3602</v>
      </c>
      <c r="K6724" s="2" t="s">
        <v>9247</v>
      </c>
      <c r="L6724" s="2">
        <f t="shared" si="105"/>
        <v>150</v>
      </c>
    </row>
    <row r="6725" spans="1:12" ht="25" customHeight="1">
      <c r="A6725" s="2" t="s">
        <v>12</v>
      </c>
      <c r="B6725" s="2" t="str">
        <f>HYPERLINK("http://www.12365auto.com/zlts/20200217/447487.shtml","东风悦达起亚凯绅电瓶损坏导致无法充电")</f>
        <v>东风悦达起亚凯绅电瓶损坏导致无法充电</v>
      </c>
      <c r="C6725" s="2" t="s">
        <v>13</v>
      </c>
      <c r="D6725" s="2" t="s">
        <v>12</v>
      </c>
      <c r="E6725" s="2" t="s">
        <v>17</v>
      </c>
      <c r="F6725" s="2" t="str">
        <f>HYPERLINK("http://www.12365auto.com/zlts/20200217/447487.shtml","http://www.12365auto.com/zlts/20200217/447487.shtml")</f>
        <v>http://www.12365auto.com/zlts/20200217/447487.shtml</v>
      </c>
      <c r="G6725" s="2"/>
      <c r="H6725" s="2" t="s">
        <v>9248</v>
      </c>
      <c r="I6725" s="2" t="s">
        <v>19</v>
      </c>
      <c r="J6725" s="2" t="s">
        <v>12</v>
      </c>
      <c r="K6725" s="2" t="s">
        <v>9249</v>
      </c>
      <c r="L6725" s="2">
        <f t="shared" si="105"/>
        <v>150</v>
      </c>
    </row>
    <row r="6726" spans="1:12" ht="25" customHeight="1">
      <c r="A6726" s="2" t="s">
        <v>12</v>
      </c>
      <c r="B6726" s="2" t="str">
        <f>HYPERLINK("http://www.12365auto.com/news/20200217/418717.shtml","促商用部署 自动驾驶计算联盟迎新伙伴")</f>
        <v>促商用部署 自动驾驶计算联盟迎新伙伴</v>
      </c>
      <c r="C6726" s="2" t="s">
        <v>13</v>
      </c>
      <c r="D6726" s="2" t="s">
        <v>12</v>
      </c>
      <c r="E6726" s="2" t="s">
        <v>282</v>
      </c>
      <c r="F6726" s="2" t="str">
        <f>HYPERLINK("http://www.12365auto.com/news/20200217/418717.shtml","http://www.12365auto.com/news/20200217/418717.shtml")</f>
        <v>http://www.12365auto.com/news/20200217/418717.shtml</v>
      </c>
      <c r="G6726" s="2"/>
      <c r="H6726" s="2" t="s">
        <v>9250</v>
      </c>
      <c r="I6726" s="2" t="s">
        <v>19</v>
      </c>
      <c r="J6726" s="2" t="s">
        <v>12</v>
      </c>
      <c r="K6726" s="2" t="s">
        <v>9251</v>
      </c>
      <c r="L6726" s="2">
        <f t="shared" si="105"/>
        <v>150</v>
      </c>
    </row>
    <row r="6727" spans="1:12" ht="25" customHeight="1">
      <c r="A6727" s="2" t="s">
        <v>12</v>
      </c>
      <c r="B6727" s="2" t="str">
        <f>HYPERLINK("http://m.12365auto.com/news/20200217/418717.shtml","促商用部署 自动驾驶计算联盟迎新伙伴")</f>
        <v>促商用部署 自动驾驶计算联盟迎新伙伴</v>
      </c>
      <c r="C6727" s="2" t="s">
        <v>13</v>
      </c>
      <c r="D6727" s="2" t="s">
        <v>12</v>
      </c>
      <c r="E6727" s="2"/>
      <c r="F6727" s="2" t="str">
        <f>HYPERLINK("http://m.12365auto.com/news/20200217/418717.shtml","http://m.12365auto.com/news/20200217/418717.shtml")</f>
        <v>http://m.12365auto.com/news/20200217/418717.shtml</v>
      </c>
      <c r="G6727" s="2"/>
      <c r="H6727" s="2" t="s">
        <v>9252</v>
      </c>
      <c r="I6727" s="2" t="s">
        <v>19</v>
      </c>
      <c r="J6727" s="2" t="s">
        <v>1188</v>
      </c>
      <c r="K6727" s="2" t="s">
        <v>9251</v>
      </c>
      <c r="L6727" s="2">
        <f t="shared" si="105"/>
        <v>150</v>
      </c>
    </row>
    <row r="6728" spans="1:12" ht="25" customHeight="1">
      <c r="A6728" s="2" t="s">
        <v>12</v>
      </c>
      <c r="B6728" s="2" t="str">
        <f>HYPERLINK("http://www.12365auto.com/xcdg/20200217/418716.shtml","新索纳塔/K5等 现代/起亚2020新车展望")</f>
        <v>新索纳塔/K5等 现代/起亚2020新车展望</v>
      </c>
      <c r="C6728" s="2" t="s">
        <v>13</v>
      </c>
      <c r="D6728" s="2" t="s">
        <v>12</v>
      </c>
      <c r="E6728" s="2" t="s">
        <v>216</v>
      </c>
      <c r="F6728" s="2" t="str">
        <f>HYPERLINK("http://www.12365auto.com/xcdg/20200217/418716.shtml","http://www.12365auto.com/xcdg/20200217/418716.shtml")</f>
        <v>http://www.12365auto.com/xcdg/20200217/418716.shtml</v>
      </c>
      <c r="G6728" s="2"/>
      <c r="H6728" s="2" t="s">
        <v>9253</v>
      </c>
      <c r="I6728" s="2" t="s">
        <v>15</v>
      </c>
      <c r="J6728" s="2" t="s">
        <v>12</v>
      </c>
      <c r="K6728" s="2" t="s">
        <v>9254</v>
      </c>
      <c r="L6728" s="2">
        <f t="shared" si="105"/>
        <v>150</v>
      </c>
    </row>
    <row r="6729" spans="1:12" ht="25" customHeight="1">
      <c r="A6729" s="2" t="s">
        <v>12</v>
      </c>
      <c r="B6729" s="2" t="str">
        <f>HYPERLINK("http://m.12365auto.com/xcdg/20200217/418716.shtml","新索纳塔/K5等 现代/起亚2020新车展望")</f>
        <v>新索纳塔/K5等 现代/起亚2020新车展望</v>
      </c>
      <c r="C6729" s="2" t="s">
        <v>13</v>
      </c>
      <c r="D6729" s="2" t="s">
        <v>12</v>
      </c>
      <c r="E6729" s="2"/>
      <c r="F6729" s="2" t="str">
        <f>HYPERLINK("http://m.12365auto.com/xcdg/20200217/418716.shtml","http://m.12365auto.com/xcdg/20200217/418716.shtml")</f>
        <v>http://m.12365auto.com/xcdg/20200217/418716.shtml</v>
      </c>
      <c r="G6729" s="2"/>
      <c r="H6729" s="2" t="s">
        <v>9255</v>
      </c>
      <c r="I6729" s="2" t="s">
        <v>19</v>
      </c>
      <c r="J6729" s="2" t="s">
        <v>270</v>
      </c>
      <c r="K6729" s="2" t="s">
        <v>9254</v>
      </c>
      <c r="L6729" s="2">
        <f t="shared" si="105"/>
        <v>150</v>
      </c>
    </row>
    <row r="6730" spans="1:12" ht="25" customHeight="1">
      <c r="A6730" s="2" t="s">
        <v>12</v>
      </c>
      <c r="B6730" s="2" t="str">
        <f>HYPERLINK("http://bbs.12365auto.com/postcontent.aspx?tId=194261","雅阁最怕的对手应该是它，为什么销量却是雅阁的四分之一？")</f>
        <v>雅阁最怕的对手应该是它，为什么销量却是雅阁的四分之一？</v>
      </c>
      <c r="C6730" s="2" t="s">
        <v>13</v>
      </c>
      <c r="D6730" s="2" t="s">
        <v>12</v>
      </c>
      <c r="E6730" s="2" t="s">
        <v>27</v>
      </c>
      <c r="F6730" s="2" t="str">
        <f>HYPERLINK("http://bbs.12365auto.com/postcontent.aspx?tId=194261","http://bbs.12365auto.com/postcontent.aspx?tId=194261")</f>
        <v>http://bbs.12365auto.com/postcontent.aspx?tId=194261</v>
      </c>
      <c r="G6730" s="2"/>
      <c r="H6730" s="2" t="s">
        <v>9256</v>
      </c>
      <c r="I6730" s="2" t="s">
        <v>15</v>
      </c>
      <c r="J6730" s="2" t="s">
        <v>1960</v>
      </c>
      <c r="K6730" s="2" t="s">
        <v>9257</v>
      </c>
      <c r="L6730" s="2">
        <f t="shared" si="105"/>
        <v>150</v>
      </c>
    </row>
    <row r="6731" spans="1:12" ht="25" customHeight="1">
      <c r="A6731" s="2" t="s">
        <v>12</v>
      </c>
      <c r="B6731" s="2" t="str">
        <f>HYPERLINK("http://bbs.12365auto.com/postcontent.aspx?tId=194260","富人看不上，穷人买不起！这些车可真尴尬")</f>
        <v>富人看不上，穷人买不起！这些车可真尴尬</v>
      </c>
      <c r="C6731" s="2" t="s">
        <v>13</v>
      </c>
      <c r="D6731" s="2" t="s">
        <v>12</v>
      </c>
      <c r="E6731" s="2" t="s">
        <v>27</v>
      </c>
      <c r="F6731" s="2" t="str">
        <f>HYPERLINK("http://bbs.12365auto.com/postcontent.aspx?tId=194260","http://bbs.12365auto.com/postcontent.aspx?tId=194260")</f>
        <v>http://bbs.12365auto.com/postcontent.aspx?tId=194260</v>
      </c>
      <c r="G6731" s="2"/>
      <c r="H6731" s="2" t="s">
        <v>9258</v>
      </c>
      <c r="I6731" s="2" t="s">
        <v>15</v>
      </c>
      <c r="J6731" s="2" t="s">
        <v>1960</v>
      </c>
      <c r="K6731" s="2" t="s">
        <v>9257</v>
      </c>
      <c r="L6731" s="2">
        <f t="shared" si="105"/>
        <v>150</v>
      </c>
    </row>
    <row r="6732" spans="1:12" ht="25" customHeight="1">
      <c r="A6732" s="2" t="s">
        <v>12</v>
      </c>
      <c r="B6732" s="2" t="str">
        <f>HYPERLINK("http://bbs.12365auto.com/postcontent.aspx?tID=194261","雅阁最怕的对手应该是它，为什么销量却是雅阁的四分之一？")</f>
        <v>雅阁最怕的对手应该是它，为什么销量却是雅阁的四分之一？</v>
      </c>
      <c r="C6732" s="2" t="s">
        <v>13</v>
      </c>
      <c r="D6732" s="2" t="s">
        <v>12</v>
      </c>
      <c r="E6732" s="2" t="s">
        <v>28</v>
      </c>
      <c r="F6732" s="2" t="str">
        <f>HYPERLINK("http://bbs.12365auto.com/postcontent.aspx?tID=194261","http://bbs.12365auto.com/postcontent.aspx?tID=194261")</f>
        <v>http://bbs.12365auto.com/postcontent.aspx?tID=194261</v>
      </c>
      <c r="G6732" s="2"/>
      <c r="H6732" s="2" t="s">
        <v>9259</v>
      </c>
      <c r="I6732" s="2" t="s">
        <v>15</v>
      </c>
      <c r="J6732" s="2" t="s">
        <v>1960</v>
      </c>
      <c r="K6732" s="2" t="s">
        <v>9257</v>
      </c>
      <c r="L6732" s="2">
        <f t="shared" si="105"/>
        <v>150</v>
      </c>
    </row>
    <row r="6733" spans="1:12" ht="25" customHeight="1">
      <c r="A6733" s="2" t="s">
        <v>12</v>
      </c>
      <c r="B6733" s="2" t="str">
        <f>HYPERLINK("http://m.12365auto.com/bbs/postcontent.aspx?tID=194261","雅阁最怕的对手应该是它，为什么销量却是雅阁的四分之一？")</f>
        <v>雅阁最怕的对手应该是它，为什么销量却是雅阁的四分之一？</v>
      </c>
      <c r="C6733" s="2" t="s">
        <v>13</v>
      </c>
      <c r="D6733" s="2" t="s">
        <v>23</v>
      </c>
      <c r="E6733" s="2"/>
      <c r="F6733" s="2" t="str">
        <f>HYPERLINK("http://m.12365auto.com/bbs/postcontent.aspx?tID=194261","http://m.12365auto.com/bbs/postcontent.aspx?tID=194261")</f>
        <v>http://m.12365auto.com/bbs/postcontent.aspx?tID=194261</v>
      </c>
      <c r="G6733" s="2"/>
      <c r="H6733" s="2" t="s">
        <v>9256</v>
      </c>
      <c r="I6733" s="2" t="s">
        <v>15</v>
      </c>
      <c r="J6733" s="2" t="s">
        <v>1960</v>
      </c>
      <c r="K6733" s="2" t="s">
        <v>9257</v>
      </c>
      <c r="L6733" s="2">
        <f t="shared" si="105"/>
        <v>150</v>
      </c>
    </row>
    <row r="6734" spans="1:12" ht="25" customHeight="1">
      <c r="A6734" s="2" t="s">
        <v>12</v>
      </c>
      <c r="B6734" s="2" t="str">
        <f>HYPERLINK("http://m.12365auto.com/bbs/postcontent.aspx?tID=194260","富人看不上，穷人买不起！这些车可真尴尬")</f>
        <v>富人看不上，穷人买不起！这些车可真尴尬</v>
      </c>
      <c r="C6734" s="2" t="s">
        <v>13</v>
      </c>
      <c r="D6734" s="2" t="s">
        <v>23</v>
      </c>
      <c r="E6734" s="2"/>
      <c r="F6734" s="2" t="str">
        <f>HYPERLINK("http://m.12365auto.com/bbs/postcontent.aspx?tID=194260","http://m.12365auto.com/bbs/postcontent.aspx?tID=194260")</f>
        <v>http://m.12365auto.com/bbs/postcontent.aspx?tID=194260</v>
      </c>
      <c r="G6734" s="2"/>
      <c r="H6734" s="2" t="s">
        <v>9258</v>
      </c>
      <c r="I6734" s="2" t="s">
        <v>15</v>
      </c>
      <c r="J6734" s="2" t="s">
        <v>1960</v>
      </c>
      <c r="K6734" s="2" t="s">
        <v>9257</v>
      </c>
      <c r="L6734" s="2">
        <f t="shared" si="105"/>
        <v>150</v>
      </c>
    </row>
    <row r="6735" spans="1:12" ht="25" customHeight="1">
      <c r="A6735" s="2" t="s">
        <v>12</v>
      </c>
      <c r="B6735" s="2" t="str">
        <f>HYPERLINK("http://bbs.12365auto.com/postcontent.aspx?tID=194260","富人看不上，穷人买不起！这些车可真尴尬")</f>
        <v>富人看不上，穷人买不起！这些车可真尴尬</v>
      </c>
      <c r="C6735" s="2" t="s">
        <v>13</v>
      </c>
      <c r="D6735" s="2" t="s">
        <v>12</v>
      </c>
      <c r="E6735" s="2" t="s">
        <v>28</v>
      </c>
      <c r="F6735" s="2" t="str">
        <f>HYPERLINK("http://bbs.12365auto.com/postcontent.aspx?tID=194260","http://bbs.12365auto.com/postcontent.aspx?tID=194260")</f>
        <v>http://bbs.12365auto.com/postcontent.aspx?tID=194260</v>
      </c>
      <c r="G6735" s="2"/>
      <c r="H6735" s="2" t="s">
        <v>9260</v>
      </c>
      <c r="I6735" s="2" t="s">
        <v>15</v>
      </c>
      <c r="J6735" s="2" t="s">
        <v>1960</v>
      </c>
      <c r="K6735" s="2" t="s">
        <v>9257</v>
      </c>
      <c r="L6735" s="2">
        <f t="shared" si="105"/>
        <v>150</v>
      </c>
    </row>
    <row r="6736" spans="1:12" ht="25" customHeight="1">
      <c r="A6736" s="2" t="s">
        <v>12</v>
      </c>
      <c r="B6736" s="2" t="str">
        <f>HYPERLINK("http://bbs.12365auto.com/postcontent.aspx?tId=194259","奥迪四门A5不如买A4？这篇文章告诉你，奥迪A5到底是个什么存在")</f>
        <v>奥迪四门A5不如买A4？这篇文章告诉你，奥迪A5到底是个什么存在</v>
      </c>
      <c r="C6736" s="2" t="s">
        <v>13</v>
      </c>
      <c r="D6736" s="2" t="s">
        <v>12</v>
      </c>
      <c r="E6736" s="2" t="s">
        <v>27</v>
      </c>
      <c r="F6736" s="2" t="str">
        <f>HYPERLINK("http://bbs.12365auto.com/postcontent.aspx?tId=194259","http://bbs.12365auto.com/postcontent.aspx?tId=194259")</f>
        <v>http://bbs.12365auto.com/postcontent.aspx?tId=194259</v>
      </c>
      <c r="G6736" s="2"/>
      <c r="H6736" s="2" t="s">
        <v>7504</v>
      </c>
      <c r="I6736" s="2" t="s">
        <v>15</v>
      </c>
      <c r="J6736" s="2" t="s">
        <v>1960</v>
      </c>
      <c r="K6736" s="2" t="s">
        <v>9261</v>
      </c>
      <c r="L6736" s="2">
        <f t="shared" si="105"/>
        <v>150</v>
      </c>
    </row>
    <row r="6737" spans="1:12" ht="25" customHeight="1">
      <c r="A6737" s="2" t="s">
        <v>12</v>
      </c>
      <c r="B6737" s="2" t="str">
        <f>HYPERLINK("http://bbs.12365auto.com/postcontent.aspx?tID=194259","奥迪四门A5不如买A4？这篇文章告诉你，奥迪A5到底是个什么存在")</f>
        <v>奥迪四门A5不如买A4？这篇文章告诉你，奥迪A5到底是个什么存在</v>
      </c>
      <c r="C6737" s="2" t="s">
        <v>13</v>
      </c>
      <c r="D6737" s="2" t="s">
        <v>12</v>
      </c>
      <c r="E6737" s="2" t="s">
        <v>28</v>
      </c>
      <c r="F6737" s="2" t="str">
        <f>HYPERLINK("http://bbs.12365auto.com/postcontent.aspx?tID=194259","http://bbs.12365auto.com/postcontent.aspx?tID=194259")</f>
        <v>http://bbs.12365auto.com/postcontent.aspx?tID=194259</v>
      </c>
      <c r="G6737" s="2"/>
      <c r="H6737" s="2" t="s">
        <v>7506</v>
      </c>
      <c r="I6737" s="2" t="s">
        <v>15</v>
      </c>
      <c r="J6737" s="2" t="s">
        <v>1960</v>
      </c>
      <c r="K6737" s="2" t="s">
        <v>9261</v>
      </c>
      <c r="L6737" s="2">
        <f t="shared" si="105"/>
        <v>150</v>
      </c>
    </row>
    <row r="6738" spans="1:12" ht="25" customHeight="1">
      <c r="A6738" s="2" t="s">
        <v>12</v>
      </c>
      <c r="B6738" s="2" t="str">
        <f>HYPERLINK("http://m.12365auto.com/bbs/postcontent.aspx?tID=194259","奥迪四门A5不如买A4？这篇文章告诉你，奥迪A5到底是个什么存在")</f>
        <v>奥迪四门A5不如买A4？这篇文章告诉你，奥迪A5到底是个什么存在</v>
      </c>
      <c r="C6738" s="2" t="s">
        <v>13</v>
      </c>
      <c r="D6738" s="2" t="s">
        <v>23</v>
      </c>
      <c r="E6738" s="2"/>
      <c r="F6738" s="2" t="str">
        <f>HYPERLINK("http://m.12365auto.com/bbs/postcontent.aspx?tID=194259","http://m.12365auto.com/bbs/postcontent.aspx?tID=194259")</f>
        <v>http://m.12365auto.com/bbs/postcontent.aspx?tID=194259</v>
      </c>
      <c r="G6738" s="2"/>
      <c r="H6738" s="2" t="s">
        <v>7504</v>
      </c>
      <c r="I6738" s="2" t="s">
        <v>15</v>
      </c>
      <c r="J6738" s="2" t="s">
        <v>1960</v>
      </c>
      <c r="K6738" s="2" t="s">
        <v>9261</v>
      </c>
      <c r="L6738" s="2">
        <f t="shared" si="105"/>
        <v>150</v>
      </c>
    </row>
    <row r="6739" spans="1:12" ht="25" customHeight="1">
      <c r="A6739" s="2" t="s">
        <v>12</v>
      </c>
      <c r="B6739" s="2" t="str">
        <f>HYPERLINK("http://bbs.12365auto.com/postcontent.aspx?tId=194257","适合精英消费者的一款豪华轿车")</f>
        <v>适合精英消费者的一款豪华轿车</v>
      </c>
      <c r="C6739" s="2" t="s">
        <v>13</v>
      </c>
      <c r="D6739" s="2" t="s">
        <v>12</v>
      </c>
      <c r="E6739" s="2" t="s">
        <v>27</v>
      </c>
      <c r="F6739" s="2" t="str">
        <f>HYPERLINK("http://bbs.12365auto.com/postcontent.aspx?tId=194257","http://bbs.12365auto.com/postcontent.aspx?tId=194257")</f>
        <v>http://bbs.12365auto.com/postcontent.aspx?tId=194257</v>
      </c>
      <c r="G6739" s="2"/>
      <c r="H6739" s="2" t="s">
        <v>9262</v>
      </c>
      <c r="I6739" s="2" t="s">
        <v>15</v>
      </c>
      <c r="J6739" s="2" t="s">
        <v>9263</v>
      </c>
      <c r="K6739" s="2" t="s">
        <v>9264</v>
      </c>
      <c r="L6739" s="2">
        <f t="shared" si="105"/>
        <v>150</v>
      </c>
    </row>
    <row r="6740" spans="1:12" ht="25" customHeight="1">
      <c r="A6740" s="2" t="s">
        <v>12</v>
      </c>
      <c r="B6740" s="2" t="str">
        <f>HYPERLINK("http://m.12365auto.com/xcdg/20200217/418715.shtml","熟悉的味道 实拍捷达VS5 手动进取型")</f>
        <v>熟悉的味道 实拍捷达VS5 手动进取型</v>
      </c>
      <c r="C6740" s="2" t="s">
        <v>13</v>
      </c>
      <c r="D6740" s="2" t="s">
        <v>12</v>
      </c>
      <c r="E6740" s="2"/>
      <c r="F6740" s="2" t="str">
        <f>HYPERLINK("http://m.12365auto.com/xcdg/20200217/418715.shtml","http://m.12365auto.com/xcdg/20200217/418715.shtml")</f>
        <v>http://m.12365auto.com/xcdg/20200217/418715.shtml</v>
      </c>
      <c r="G6740" s="2"/>
      <c r="H6740" s="2" t="s">
        <v>9265</v>
      </c>
      <c r="I6740" s="2" t="s">
        <v>19</v>
      </c>
      <c r="J6740" s="2" t="s">
        <v>7563</v>
      </c>
      <c r="K6740" s="2" t="s">
        <v>9264</v>
      </c>
      <c r="L6740" s="2">
        <f t="shared" si="105"/>
        <v>150</v>
      </c>
    </row>
    <row r="6741" spans="1:12" ht="25" customHeight="1">
      <c r="A6741" s="2" t="s">
        <v>12</v>
      </c>
      <c r="B6741" s="2" t="str">
        <f>HYPERLINK("http://bbs.12365auto.com/postcontent.aspx?tId=194258","外媒评2019年十佳家庭SUV，这些车型你也认同吗？")</f>
        <v>外媒评2019年十佳家庭SUV，这些车型你也认同吗？</v>
      </c>
      <c r="C6741" s="2" t="s">
        <v>13</v>
      </c>
      <c r="D6741" s="2" t="s">
        <v>12</v>
      </c>
      <c r="E6741" s="2" t="s">
        <v>27</v>
      </c>
      <c r="F6741" s="2" t="str">
        <f>HYPERLINK("http://bbs.12365auto.com/postcontent.aspx?tId=194258","http://bbs.12365auto.com/postcontent.aspx?tId=194258")</f>
        <v>http://bbs.12365auto.com/postcontent.aspx?tId=194258</v>
      </c>
      <c r="G6741" s="2"/>
      <c r="H6741" s="2" t="s">
        <v>9266</v>
      </c>
      <c r="I6741" s="2" t="s">
        <v>15</v>
      </c>
      <c r="J6741" s="2" t="s">
        <v>1960</v>
      </c>
      <c r="K6741" s="2" t="s">
        <v>9264</v>
      </c>
      <c r="L6741" s="2">
        <f t="shared" si="105"/>
        <v>150</v>
      </c>
    </row>
    <row r="6742" spans="1:12" ht="25" customHeight="1">
      <c r="A6742" s="2" t="s">
        <v>12</v>
      </c>
      <c r="B6742" s="2" t="str">
        <f>HYPERLINK("http://bbs.12365auto.com/postcontent.aspx?tID=194257","适合精英消费者的一款豪华轿车")</f>
        <v>适合精英消费者的一款豪华轿车</v>
      </c>
      <c r="C6742" s="2" t="s">
        <v>13</v>
      </c>
      <c r="D6742" s="2" t="s">
        <v>12</v>
      </c>
      <c r="E6742" s="2" t="s">
        <v>28</v>
      </c>
      <c r="F6742" s="2" t="str">
        <f>HYPERLINK("http://bbs.12365auto.com/postcontent.aspx?tID=194257","http://bbs.12365auto.com/postcontent.aspx?tID=194257")</f>
        <v>http://bbs.12365auto.com/postcontent.aspx?tID=194257</v>
      </c>
      <c r="G6742" s="2"/>
      <c r="H6742" s="2" t="s">
        <v>9267</v>
      </c>
      <c r="I6742" s="2" t="s">
        <v>15</v>
      </c>
      <c r="J6742" s="2" t="s">
        <v>9263</v>
      </c>
      <c r="K6742" s="2" t="s">
        <v>9264</v>
      </c>
      <c r="L6742" s="2">
        <f t="shared" si="105"/>
        <v>150</v>
      </c>
    </row>
    <row r="6743" spans="1:12" ht="25" customHeight="1">
      <c r="A6743" s="2" t="s">
        <v>12</v>
      </c>
      <c r="B6743" s="2" t="str">
        <f>HYPERLINK("http://m.12365auto.com/bbs/postcontent.aspx?tID=194258","外媒评2019年十佳家庭SUV，这些车型你也认同吗？")</f>
        <v>外媒评2019年十佳家庭SUV，这些车型你也认同吗？</v>
      </c>
      <c r="C6743" s="2" t="s">
        <v>13</v>
      </c>
      <c r="D6743" s="2" t="s">
        <v>23</v>
      </c>
      <c r="E6743" s="2"/>
      <c r="F6743" s="2" t="str">
        <f>HYPERLINK("http://m.12365auto.com/bbs/postcontent.aspx?tID=194258","http://m.12365auto.com/bbs/postcontent.aspx?tID=194258")</f>
        <v>http://m.12365auto.com/bbs/postcontent.aspx?tID=194258</v>
      </c>
      <c r="G6743" s="2"/>
      <c r="H6743" s="2" t="s">
        <v>9266</v>
      </c>
      <c r="I6743" s="2" t="s">
        <v>15</v>
      </c>
      <c r="J6743" s="2" t="s">
        <v>1960</v>
      </c>
      <c r="K6743" s="2" t="s">
        <v>9264</v>
      </c>
      <c r="L6743" s="2">
        <f t="shared" si="105"/>
        <v>150</v>
      </c>
    </row>
    <row r="6744" spans="1:12" ht="25" customHeight="1">
      <c r="A6744" s="2" t="s">
        <v>12</v>
      </c>
      <c r="B6744" s="2" t="str">
        <f>HYPERLINK("http://bbs.12365auto.com/postcontent.aspx?tID=194258","外媒评2019年十佳家庭SUV，这些车型你也认同吗？")</f>
        <v>外媒评2019年十佳家庭SUV，这些车型你也认同吗？</v>
      </c>
      <c r="C6744" s="2" t="s">
        <v>13</v>
      </c>
      <c r="D6744" s="2" t="s">
        <v>12</v>
      </c>
      <c r="E6744" s="2" t="s">
        <v>28</v>
      </c>
      <c r="F6744" s="2" t="str">
        <f>HYPERLINK("http://bbs.12365auto.com/postcontent.aspx?tID=194258","http://bbs.12365auto.com/postcontent.aspx?tID=194258")</f>
        <v>http://bbs.12365auto.com/postcontent.aspx?tID=194258</v>
      </c>
      <c r="G6744" s="2"/>
      <c r="H6744" s="2" t="s">
        <v>9268</v>
      </c>
      <c r="I6744" s="2" t="s">
        <v>15</v>
      </c>
      <c r="J6744" s="2" t="s">
        <v>1960</v>
      </c>
      <c r="K6744" s="2" t="s">
        <v>9264</v>
      </c>
      <c r="L6744" s="2">
        <f t="shared" si="105"/>
        <v>150</v>
      </c>
    </row>
    <row r="6745" spans="1:12" ht="25" customHeight="1">
      <c r="A6745" s="2" t="s">
        <v>12</v>
      </c>
      <c r="B6745" s="2" t="str">
        <f>HYPERLINK("http://m.12365auto.com/bbs/postcontent.aspx?tID=194257","适合精英消费者的一款豪华轿车")</f>
        <v>适合精英消费者的一款豪华轿车</v>
      </c>
      <c r="C6745" s="2" t="s">
        <v>13</v>
      </c>
      <c r="D6745" s="2" t="s">
        <v>23</v>
      </c>
      <c r="E6745" s="2"/>
      <c r="F6745" s="2" t="str">
        <f>HYPERLINK("http://m.12365auto.com/bbs/postcontent.aspx?tID=194257","http://m.12365auto.com/bbs/postcontent.aspx?tID=194257")</f>
        <v>http://m.12365auto.com/bbs/postcontent.aspx?tID=194257</v>
      </c>
      <c r="G6745" s="2"/>
      <c r="H6745" s="2" t="s">
        <v>9262</v>
      </c>
      <c r="I6745" s="2" t="s">
        <v>15</v>
      </c>
      <c r="J6745" s="2" t="s">
        <v>9263</v>
      </c>
      <c r="K6745" s="2" t="s">
        <v>9264</v>
      </c>
      <c r="L6745" s="2">
        <f t="shared" si="105"/>
        <v>150</v>
      </c>
    </row>
    <row r="6746" spans="1:12" ht="25" customHeight="1">
      <c r="A6746" s="2" t="s">
        <v>12</v>
      </c>
      <c r="B6746" s="2" t="str">
        <f>HYPERLINK("http://bbs.12365auto.com/postcontent.aspx?tId=194255","与迈巴赫同级的Genesis G90 价格却便宜一半")</f>
        <v>与迈巴赫同级的Genesis G90 价格却便宜一半</v>
      </c>
      <c r="C6746" s="2" t="s">
        <v>13</v>
      </c>
      <c r="D6746" s="2" t="s">
        <v>12</v>
      </c>
      <c r="E6746" s="2" t="s">
        <v>27</v>
      </c>
      <c r="F6746" s="2" t="str">
        <f>HYPERLINK("http://bbs.12365auto.com/postcontent.aspx?tId=194255","http://bbs.12365auto.com/postcontent.aspx?tId=194255")</f>
        <v>http://bbs.12365auto.com/postcontent.aspx?tId=194255</v>
      </c>
      <c r="G6746" s="2"/>
      <c r="H6746" s="2" t="s">
        <v>9269</v>
      </c>
      <c r="I6746" s="2" t="s">
        <v>15</v>
      </c>
      <c r="J6746" s="2" t="s">
        <v>9263</v>
      </c>
      <c r="K6746" s="2" t="s">
        <v>9270</v>
      </c>
      <c r="L6746" s="2">
        <f t="shared" si="105"/>
        <v>150</v>
      </c>
    </row>
    <row r="6747" spans="1:12" ht="25" customHeight="1">
      <c r="A6747" s="2" t="s">
        <v>12</v>
      </c>
      <c r="B6747" s="2" t="str">
        <f>HYPERLINK("http://bbs.12365auto.com/postcontent.aspx?tId=194256","大众又来放大招了！7座王牌车型顶配已不到13万，比埃尔法实在")</f>
        <v>大众又来放大招了！7座王牌车型顶配已不到13万，比埃尔法实在</v>
      </c>
      <c r="C6747" s="2" t="s">
        <v>13</v>
      </c>
      <c r="D6747" s="2" t="s">
        <v>12</v>
      </c>
      <c r="E6747" s="2" t="s">
        <v>27</v>
      </c>
      <c r="F6747" s="2" t="str">
        <f>HYPERLINK("http://bbs.12365auto.com/postcontent.aspx?tId=194256","http://bbs.12365auto.com/postcontent.aspx?tId=194256")</f>
        <v>http://bbs.12365auto.com/postcontent.aspx?tId=194256</v>
      </c>
      <c r="G6747" s="2"/>
      <c r="H6747" s="2" t="s">
        <v>9271</v>
      </c>
      <c r="I6747" s="2" t="s">
        <v>15</v>
      </c>
      <c r="J6747" s="2" t="s">
        <v>1960</v>
      </c>
      <c r="K6747" s="2" t="s">
        <v>9270</v>
      </c>
      <c r="L6747" s="2">
        <f t="shared" si="105"/>
        <v>150</v>
      </c>
    </row>
    <row r="6748" spans="1:12" ht="25" customHeight="1">
      <c r="A6748" s="2" t="s">
        <v>12</v>
      </c>
      <c r="B6748" s="2" t="str">
        <f>HYPERLINK("http://bbs.12365auto.com/postcontent.aspx?tId=194254","全国仅此一台！迈巴赫普尔曼S800加长版，唯一缺点没有卫生间")</f>
        <v>全国仅此一台！迈巴赫普尔曼S800加长版，唯一缺点没有卫生间</v>
      </c>
      <c r="C6748" s="2" t="s">
        <v>13</v>
      </c>
      <c r="D6748" s="2" t="s">
        <v>12</v>
      </c>
      <c r="E6748" s="2" t="s">
        <v>27</v>
      </c>
      <c r="F6748" s="2" t="str">
        <f>HYPERLINK("http://bbs.12365auto.com/postcontent.aspx?tId=194254","http://bbs.12365auto.com/postcontent.aspx?tId=194254")</f>
        <v>http://bbs.12365auto.com/postcontent.aspx?tId=194254</v>
      </c>
      <c r="G6748" s="2"/>
      <c r="H6748" s="2" t="s">
        <v>9272</v>
      </c>
      <c r="I6748" s="2" t="s">
        <v>15</v>
      </c>
      <c r="J6748" s="2" t="s">
        <v>1960</v>
      </c>
      <c r="K6748" s="2" t="s">
        <v>9270</v>
      </c>
      <c r="L6748" s="2">
        <f t="shared" si="105"/>
        <v>150</v>
      </c>
    </row>
    <row r="6749" spans="1:12" ht="25" customHeight="1">
      <c r="A6749" s="2" t="s">
        <v>12</v>
      </c>
      <c r="B6749" s="2" t="str">
        <f>HYPERLINK("http://bbs.12365auto.com/postcontent.aspx?tID=194254","全国仅此一台！迈巴赫普尔曼S800加长版，唯一缺点没有卫生间")</f>
        <v>全国仅此一台！迈巴赫普尔曼S800加长版，唯一缺点没有卫生间</v>
      </c>
      <c r="C6749" s="2" t="s">
        <v>13</v>
      </c>
      <c r="D6749" s="2" t="s">
        <v>12</v>
      </c>
      <c r="E6749" s="2" t="s">
        <v>28</v>
      </c>
      <c r="F6749" s="2" t="str">
        <f>HYPERLINK("http://bbs.12365auto.com/postcontent.aspx?tID=194254","http://bbs.12365auto.com/postcontent.aspx?tID=194254")</f>
        <v>http://bbs.12365auto.com/postcontent.aspx?tID=194254</v>
      </c>
      <c r="G6749" s="2"/>
      <c r="H6749" s="2" t="s">
        <v>9273</v>
      </c>
      <c r="I6749" s="2" t="s">
        <v>15</v>
      </c>
      <c r="J6749" s="2" t="s">
        <v>1960</v>
      </c>
      <c r="K6749" s="2" t="s">
        <v>9270</v>
      </c>
      <c r="L6749" s="2">
        <f t="shared" si="105"/>
        <v>150</v>
      </c>
    </row>
    <row r="6750" spans="1:12" ht="25" customHeight="1">
      <c r="A6750" s="2" t="s">
        <v>12</v>
      </c>
      <c r="B6750" s="2" t="str">
        <f>HYPERLINK("http://bbs.12365auto.com/postcontent.aspx?tID=194256","大众又来放大招了！7座王牌车型顶配已不到13万，比埃尔法实在")</f>
        <v>大众又来放大招了！7座王牌车型顶配已不到13万，比埃尔法实在</v>
      </c>
      <c r="C6750" s="2" t="s">
        <v>13</v>
      </c>
      <c r="D6750" s="2" t="s">
        <v>12</v>
      </c>
      <c r="E6750" s="2" t="s">
        <v>28</v>
      </c>
      <c r="F6750" s="2" t="str">
        <f>HYPERLINK("http://bbs.12365auto.com/postcontent.aspx?tID=194256","http://bbs.12365auto.com/postcontent.aspx?tID=194256")</f>
        <v>http://bbs.12365auto.com/postcontent.aspx?tID=194256</v>
      </c>
      <c r="G6750" s="2"/>
      <c r="H6750" s="2" t="s">
        <v>9274</v>
      </c>
      <c r="I6750" s="2" t="s">
        <v>15</v>
      </c>
      <c r="J6750" s="2" t="s">
        <v>1960</v>
      </c>
      <c r="K6750" s="2" t="s">
        <v>9270</v>
      </c>
      <c r="L6750" s="2">
        <f t="shared" si="105"/>
        <v>150</v>
      </c>
    </row>
    <row r="6751" spans="1:12" ht="25" customHeight="1">
      <c r="A6751" s="2" t="s">
        <v>12</v>
      </c>
      <c r="B6751" s="2" t="str">
        <f>HYPERLINK("http://bbs.12365auto.com/postcontent.aspx?tID=194255","与迈巴赫同级的Genesis G90 价格却便宜一半")</f>
        <v>与迈巴赫同级的Genesis G90 价格却便宜一半</v>
      </c>
      <c r="C6751" s="2" t="s">
        <v>13</v>
      </c>
      <c r="D6751" s="2" t="s">
        <v>12</v>
      </c>
      <c r="E6751" s="2" t="s">
        <v>28</v>
      </c>
      <c r="F6751" s="2" t="str">
        <f>HYPERLINK("http://bbs.12365auto.com/postcontent.aspx?tID=194255","http://bbs.12365auto.com/postcontent.aspx?tID=194255")</f>
        <v>http://bbs.12365auto.com/postcontent.aspx?tID=194255</v>
      </c>
      <c r="G6751" s="2"/>
      <c r="H6751" s="2" t="s">
        <v>9275</v>
      </c>
      <c r="I6751" s="2" t="s">
        <v>15</v>
      </c>
      <c r="J6751" s="2" t="s">
        <v>9263</v>
      </c>
      <c r="K6751" s="2" t="s">
        <v>9270</v>
      </c>
      <c r="L6751" s="2">
        <f t="shared" si="105"/>
        <v>150</v>
      </c>
    </row>
    <row r="6752" spans="1:12" ht="25" customHeight="1">
      <c r="A6752" s="2" t="s">
        <v>12</v>
      </c>
      <c r="B6752" s="2" t="str">
        <f>HYPERLINK("http://m.12365auto.com/bbs/postcontent.aspx?tID=194256","大众又来放大招了！7座王牌车型顶配已不到13万，比埃尔法实在")</f>
        <v>大众又来放大招了！7座王牌车型顶配已不到13万，比埃尔法实在</v>
      </c>
      <c r="C6752" s="2" t="s">
        <v>13</v>
      </c>
      <c r="D6752" s="2" t="s">
        <v>23</v>
      </c>
      <c r="E6752" s="2"/>
      <c r="F6752" s="2" t="str">
        <f>HYPERLINK("http://m.12365auto.com/bbs/postcontent.aspx?tID=194256","http://m.12365auto.com/bbs/postcontent.aspx?tID=194256")</f>
        <v>http://m.12365auto.com/bbs/postcontent.aspx?tID=194256</v>
      </c>
      <c r="G6752" s="2"/>
      <c r="H6752" s="2" t="s">
        <v>9271</v>
      </c>
      <c r="I6752" s="2" t="s">
        <v>15</v>
      </c>
      <c r="J6752" s="2" t="s">
        <v>1960</v>
      </c>
      <c r="K6752" s="2" t="s">
        <v>9270</v>
      </c>
      <c r="L6752" s="2">
        <f t="shared" si="105"/>
        <v>150</v>
      </c>
    </row>
    <row r="6753" spans="1:12" ht="25" customHeight="1">
      <c r="A6753" s="2" t="s">
        <v>12</v>
      </c>
      <c r="B6753" s="2" t="str">
        <f>HYPERLINK("http://m.12365auto.com/bbs/postcontent.aspx?tID=194255","与迈巴赫同级的Genesis G90 价格却便宜一半")</f>
        <v>与迈巴赫同级的Genesis G90 价格却便宜一半</v>
      </c>
      <c r="C6753" s="2" t="s">
        <v>13</v>
      </c>
      <c r="D6753" s="2" t="s">
        <v>23</v>
      </c>
      <c r="E6753" s="2"/>
      <c r="F6753" s="2" t="str">
        <f>HYPERLINK("http://m.12365auto.com/bbs/postcontent.aspx?tID=194255","http://m.12365auto.com/bbs/postcontent.aspx?tID=194255")</f>
        <v>http://m.12365auto.com/bbs/postcontent.aspx?tID=194255</v>
      </c>
      <c r="G6753" s="2"/>
      <c r="H6753" s="2" t="s">
        <v>9269</v>
      </c>
      <c r="I6753" s="2" t="s">
        <v>15</v>
      </c>
      <c r="J6753" s="2" t="s">
        <v>9263</v>
      </c>
      <c r="K6753" s="2" t="s">
        <v>9270</v>
      </c>
      <c r="L6753" s="2">
        <f t="shared" si="105"/>
        <v>150</v>
      </c>
    </row>
    <row r="6754" spans="1:12" ht="25" customHeight="1">
      <c r="A6754" s="2" t="s">
        <v>12</v>
      </c>
      <c r="B6754" s="2" t="str">
        <f>HYPERLINK("http://m.12365auto.com/bbs/postcontent.aspx?tID=194254","全国仅此一台！迈巴赫普尔曼S800加长版，唯一缺点没有卫生间")</f>
        <v>全国仅此一台！迈巴赫普尔曼S800加长版，唯一缺点没有卫生间</v>
      </c>
      <c r="C6754" s="2" t="s">
        <v>13</v>
      </c>
      <c r="D6754" s="2" t="s">
        <v>23</v>
      </c>
      <c r="E6754" s="2"/>
      <c r="F6754" s="2" t="str">
        <f>HYPERLINK("http://m.12365auto.com/bbs/postcontent.aspx?tID=194254","http://m.12365auto.com/bbs/postcontent.aspx?tID=194254")</f>
        <v>http://m.12365auto.com/bbs/postcontent.aspx?tID=194254</v>
      </c>
      <c r="G6754" s="2"/>
      <c r="H6754" s="2" t="s">
        <v>9272</v>
      </c>
      <c r="I6754" s="2" t="s">
        <v>15</v>
      </c>
      <c r="J6754" s="2" t="s">
        <v>1960</v>
      </c>
      <c r="K6754" s="2" t="s">
        <v>9270</v>
      </c>
      <c r="L6754" s="2">
        <f t="shared" si="105"/>
        <v>150</v>
      </c>
    </row>
    <row r="6755" spans="1:12" ht="25" customHeight="1">
      <c r="A6755" s="2" t="s">
        <v>12</v>
      </c>
      <c r="B6755" s="2" t="str">
        <f>HYPERLINK("http://m.12365auto.com/bbs/postcontent.aspx?tID=194252","起售价不到5万元 2020款瑞纳值得购买吗")</f>
        <v>起售价不到5万元 2020款瑞纳值得购买吗</v>
      </c>
      <c r="C6755" s="2" t="s">
        <v>13</v>
      </c>
      <c r="D6755" s="2" t="s">
        <v>23</v>
      </c>
      <c r="E6755" s="2"/>
      <c r="F6755" s="2" t="str">
        <f>HYPERLINK("http://m.12365auto.com/bbs/postcontent.aspx?tID=194252","http://m.12365auto.com/bbs/postcontent.aspx?tID=194252")</f>
        <v>http://m.12365auto.com/bbs/postcontent.aspx?tID=194252</v>
      </c>
      <c r="G6755" s="2"/>
      <c r="H6755" s="2" t="s">
        <v>9276</v>
      </c>
      <c r="I6755" s="2" t="s">
        <v>15</v>
      </c>
      <c r="J6755" s="2" t="s">
        <v>9263</v>
      </c>
      <c r="K6755" s="2" t="s">
        <v>9277</v>
      </c>
      <c r="L6755" s="2">
        <f t="shared" si="105"/>
        <v>150</v>
      </c>
    </row>
    <row r="6756" spans="1:12" ht="25" customHeight="1">
      <c r="A6756" s="2" t="s">
        <v>12</v>
      </c>
      <c r="B6756" s="2" t="str">
        <f>HYPERLINK("http://bbs.12365auto.com/postcontent.aspx?tId=194253","10万级别的价格，几十万的内饰和配置，这三款SUV值得一看")</f>
        <v>10万级别的价格，几十万的内饰和配置，这三款SUV值得一看</v>
      </c>
      <c r="C6756" s="2" t="s">
        <v>13</v>
      </c>
      <c r="D6756" s="2" t="s">
        <v>12</v>
      </c>
      <c r="E6756" s="2" t="s">
        <v>27</v>
      </c>
      <c r="F6756" s="2" t="str">
        <f>HYPERLINK("http://bbs.12365auto.com/postcontent.aspx?tId=194253","http://bbs.12365auto.com/postcontent.aspx?tId=194253")</f>
        <v>http://bbs.12365auto.com/postcontent.aspx?tId=194253</v>
      </c>
      <c r="G6756" s="2"/>
      <c r="H6756" s="2" t="s">
        <v>7512</v>
      </c>
      <c r="I6756" s="2" t="s">
        <v>15</v>
      </c>
      <c r="J6756" s="2" t="s">
        <v>1960</v>
      </c>
      <c r="K6756" s="2" t="s">
        <v>9277</v>
      </c>
      <c r="L6756" s="2">
        <f t="shared" si="105"/>
        <v>150</v>
      </c>
    </row>
    <row r="6757" spans="1:12" ht="25" customHeight="1">
      <c r="A6757" s="2" t="s">
        <v>12</v>
      </c>
      <c r="B6757" s="2" t="str">
        <f>HYPERLINK("http://bbs.12365auto.com/postcontent.aspx?tId=194251","最便宜的豪华7座SUV 这三款最低30万就可购买")</f>
        <v>最便宜的豪华7座SUV 这三款最低30万就可购买</v>
      </c>
      <c r="C6757" s="2" t="s">
        <v>13</v>
      </c>
      <c r="D6757" s="2" t="s">
        <v>12</v>
      </c>
      <c r="E6757" s="2" t="s">
        <v>27</v>
      </c>
      <c r="F6757" s="2" t="str">
        <f>HYPERLINK("http://bbs.12365auto.com/postcontent.aspx?tId=194251","http://bbs.12365auto.com/postcontent.aspx?tId=194251")</f>
        <v>http://bbs.12365auto.com/postcontent.aspx?tId=194251</v>
      </c>
      <c r="G6757" s="2"/>
      <c r="H6757" s="2" t="s">
        <v>6478</v>
      </c>
      <c r="I6757" s="2" t="s">
        <v>15</v>
      </c>
      <c r="J6757" s="2" t="s">
        <v>1960</v>
      </c>
      <c r="K6757" s="2" t="s">
        <v>9277</v>
      </c>
      <c r="L6757" s="2">
        <f t="shared" si="105"/>
        <v>150</v>
      </c>
    </row>
    <row r="6758" spans="1:12" ht="25" customHeight="1">
      <c r="A6758" s="2" t="s">
        <v>12</v>
      </c>
      <c r="B6758" s="2" t="str">
        <f>HYPERLINK("http://bbs.12365auto.com/postcontent.aspx?tID=194252","起售价不到5万元 2020款瑞纳值得购买吗")</f>
        <v>起售价不到5万元 2020款瑞纳值得购买吗</v>
      </c>
      <c r="C6758" s="2" t="s">
        <v>13</v>
      </c>
      <c r="D6758" s="2" t="s">
        <v>12</v>
      </c>
      <c r="E6758" s="2" t="s">
        <v>28</v>
      </c>
      <c r="F6758" s="2" t="str">
        <f>HYPERLINK("http://bbs.12365auto.com/postcontent.aspx?tID=194252","http://bbs.12365auto.com/postcontent.aspx?tID=194252")</f>
        <v>http://bbs.12365auto.com/postcontent.aspx?tID=194252</v>
      </c>
      <c r="G6758" s="2"/>
      <c r="H6758" s="2" t="s">
        <v>9278</v>
      </c>
      <c r="I6758" s="2" t="s">
        <v>15</v>
      </c>
      <c r="J6758" s="2" t="s">
        <v>9263</v>
      </c>
      <c r="K6758" s="2" t="s">
        <v>9277</v>
      </c>
      <c r="L6758" s="2">
        <f t="shared" si="105"/>
        <v>150</v>
      </c>
    </row>
    <row r="6759" spans="1:12" ht="25" customHeight="1">
      <c r="A6759" s="2" t="s">
        <v>12</v>
      </c>
      <c r="B6759" s="2" t="str">
        <f>HYPERLINK("http://bbs.12365auto.com/postcontent.aspx?tID=194251","最便宜的豪华7座SUV 这三款最低30万就可购买")</f>
        <v>最便宜的豪华7座SUV 这三款最低30万就可购买</v>
      </c>
      <c r="C6759" s="2" t="s">
        <v>13</v>
      </c>
      <c r="D6759" s="2" t="s">
        <v>12</v>
      </c>
      <c r="E6759" s="2" t="s">
        <v>28</v>
      </c>
      <c r="F6759" s="2" t="str">
        <f>HYPERLINK("http://bbs.12365auto.com/postcontent.aspx?tID=194251","http://bbs.12365auto.com/postcontent.aspx?tID=194251")</f>
        <v>http://bbs.12365auto.com/postcontent.aspx?tID=194251</v>
      </c>
      <c r="G6759" s="2"/>
      <c r="H6759" s="2" t="s">
        <v>6480</v>
      </c>
      <c r="I6759" s="2" t="s">
        <v>15</v>
      </c>
      <c r="J6759" s="2" t="s">
        <v>1960</v>
      </c>
      <c r="K6759" s="2" t="s">
        <v>9277</v>
      </c>
      <c r="L6759" s="2">
        <f t="shared" si="105"/>
        <v>150</v>
      </c>
    </row>
    <row r="6760" spans="1:12" ht="25" customHeight="1">
      <c r="A6760" s="2" t="s">
        <v>12</v>
      </c>
      <c r="B6760" s="2" t="str">
        <f>HYPERLINK("http://bbs.12365auto.com/postcontent.aspx?tID=194253","10万级别的价格，几十万的内饰和配置，这三款SUV值得一看")</f>
        <v>10万级别的价格，几十万的内饰和配置，这三款SUV值得一看</v>
      </c>
      <c r="C6760" s="2" t="s">
        <v>13</v>
      </c>
      <c r="D6760" s="2" t="s">
        <v>12</v>
      </c>
      <c r="E6760" s="2" t="s">
        <v>28</v>
      </c>
      <c r="F6760" s="2" t="str">
        <f>HYPERLINK("http://bbs.12365auto.com/postcontent.aspx?tID=194253","http://bbs.12365auto.com/postcontent.aspx?tID=194253")</f>
        <v>http://bbs.12365auto.com/postcontent.aspx?tID=194253</v>
      </c>
      <c r="G6760" s="2"/>
      <c r="H6760" s="2" t="s">
        <v>7514</v>
      </c>
      <c r="I6760" s="2" t="s">
        <v>15</v>
      </c>
      <c r="J6760" s="2" t="s">
        <v>1960</v>
      </c>
      <c r="K6760" s="2" t="s">
        <v>9277</v>
      </c>
      <c r="L6760" s="2">
        <f t="shared" si="105"/>
        <v>150</v>
      </c>
    </row>
    <row r="6761" spans="1:12" ht="25" customHeight="1">
      <c r="A6761" s="2" t="s">
        <v>12</v>
      </c>
      <c r="B6761" s="2" t="str">
        <f>HYPERLINK("http://m.12365auto.com/bbs/postcontent.aspx?tID=194253","10万级别的价格，几十万的内饰和配置，这三款SUV值得一看")</f>
        <v>10万级别的价格，几十万的内饰和配置，这三款SUV值得一看</v>
      </c>
      <c r="C6761" s="2" t="s">
        <v>13</v>
      </c>
      <c r="D6761" s="2" t="s">
        <v>23</v>
      </c>
      <c r="E6761" s="2"/>
      <c r="F6761" s="2" t="str">
        <f>HYPERLINK("http://m.12365auto.com/bbs/postcontent.aspx?tID=194253","http://m.12365auto.com/bbs/postcontent.aspx?tID=194253")</f>
        <v>http://m.12365auto.com/bbs/postcontent.aspx?tID=194253</v>
      </c>
      <c r="G6761" s="2"/>
      <c r="H6761" s="2" t="s">
        <v>7512</v>
      </c>
      <c r="I6761" s="2" t="s">
        <v>15</v>
      </c>
      <c r="J6761" s="2" t="s">
        <v>1960</v>
      </c>
      <c r="K6761" s="2" t="s">
        <v>9277</v>
      </c>
      <c r="L6761" s="2">
        <f t="shared" si="105"/>
        <v>150</v>
      </c>
    </row>
    <row r="6762" spans="1:12" ht="25" customHeight="1">
      <c r="A6762" s="2" t="s">
        <v>12</v>
      </c>
      <c r="B6762" s="2" t="str">
        <f>HYPERLINK("http://bbs.12365auto.com/postcontent.aspx?tId=194252","起售价不到5万元 2020款瑞纳值得购买吗")</f>
        <v>起售价不到5万元 2020款瑞纳值得购买吗</v>
      </c>
      <c r="C6762" s="2" t="s">
        <v>13</v>
      </c>
      <c r="D6762" s="2" t="s">
        <v>12</v>
      </c>
      <c r="E6762" s="2" t="s">
        <v>27</v>
      </c>
      <c r="F6762" s="2" t="str">
        <f>HYPERLINK("http://bbs.12365auto.com/postcontent.aspx?tId=194252","http://bbs.12365auto.com/postcontent.aspx?tId=194252")</f>
        <v>http://bbs.12365auto.com/postcontent.aspx?tId=194252</v>
      </c>
      <c r="G6762" s="2"/>
      <c r="H6762" s="2" t="s">
        <v>9276</v>
      </c>
      <c r="I6762" s="2" t="s">
        <v>15</v>
      </c>
      <c r="J6762" s="2" t="s">
        <v>9263</v>
      </c>
      <c r="K6762" s="2" t="s">
        <v>9277</v>
      </c>
      <c r="L6762" s="2">
        <f t="shared" si="105"/>
        <v>150</v>
      </c>
    </row>
    <row r="6763" spans="1:12" ht="25" customHeight="1">
      <c r="A6763" s="2" t="s">
        <v>12</v>
      </c>
      <c r="B6763" s="2" t="str">
        <f>HYPERLINK("http://m.12365auto.com/bbs/postcontent.aspx?tID=194250","雷克萨斯再出“性能王” 4.0T爆670马力")</f>
        <v>雷克萨斯再出“性能王” 4.0T爆670马力</v>
      </c>
      <c r="C6763" s="2" t="s">
        <v>13</v>
      </c>
      <c r="D6763" s="2" t="s">
        <v>23</v>
      </c>
      <c r="E6763" s="2"/>
      <c r="F6763" s="2" t="str">
        <f>HYPERLINK("http://m.12365auto.com/bbs/postcontent.aspx?tID=194250","http://m.12365auto.com/bbs/postcontent.aspx?tID=194250")</f>
        <v>http://m.12365auto.com/bbs/postcontent.aspx?tID=194250</v>
      </c>
      <c r="G6763" s="2"/>
      <c r="H6763" s="2" t="s">
        <v>9279</v>
      </c>
      <c r="I6763" s="2" t="s">
        <v>15</v>
      </c>
      <c r="J6763" s="2" t="s">
        <v>9263</v>
      </c>
      <c r="K6763" s="2" t="s">
        <v>9280</v>
      </c>
      <c r="L6763" s="2">
        <f t="shared" si="105"/>
        <v>150</v>
      </c>
    </row>
    <row r="6764" spans="1:12" ht="25" customHeight="1">
      <c r="A6764" s="2" t="s">
        <v>12</v>
      </c>
      <c r="B6764" s="2" t="str">
        <f>HYPERLINK("http://www.12365auto.com/news/20200217/418714.shtml","吉利汽车1月销量破11万辆 市占率创新高")</f>
        <v>吉利汽车1月销量破11万辆 市占率创新高</v>
      </c>
      <c r="C6764" s="2" t="s">
        <v>13</v>
      </c>
      <c r="D6764" s="2" t="s">
        <v>12</v>
      </c>
      <c r="E6764" s="2" t="s">
        <v>276</v>
      </c>
      <c r="F6764" s="2" t="str">
        <f>HYPERLINK("http://www.12365auto.com/news/20200217/418714.shtml","http://www.12365auto.com/news/20200217/418714.shtml")</f>
        <v>http://www.12365auto.com/news/20200217/418714.shtml</v>
      </c>
      <c r="G6764" s="2"/>
      <c r="H6764" s="2" t="s">
        <v>9281</v>
      </c>
      <c r="I6764" s="2" t="s">
        <v>15</v>
      </c>
      <c r="J6764" s="2" t="s">
        <v>12</v>
      </c>
      <c r="K6764" s="2" t="s">
        <v>9280</v>
      </c>
      <c r="L6764" s="2">
        <f t="shared" si="105"/>
        <v>150</v>
      </c>
    </row>
    <row r="6765" spans="1:12" ht="25" customHeight="1">
      <c r="A6765" s="2" t="s">
        <v>12</v>
      </c>
      <c r="B6765" s="2" t="str">
        <f>HYPERLINK("http://bbs.12365auto.com/postcontent.aspx?tId=194250","雷克萨斯再出“性能王” 4.0T爆670马力")</f>
        <v>雷克萨斯再出“性能王” 4.0T爆670马力</v>
      </c>
      <c r="C6765" s="2" t="s">
        <v>13</v>
      </c>
      <c r="D6765" s="2" t="s">
        <v>12</v>
      </c>
      <c r="E6765" s="2" t="s">
        <v>27</v>
      </c>
      <c r="F6765" s="2" t="str">
        <f>HYPERLINK("http://bbs.12365auto.com/postcontent.aspx?tId=194250","http://bbs.12365auto.com/postcontent.aspx?tId=194250")</f>
        <v>http://bbs.12365auto.com/postcontent.aspx?tId=194250</v>
      </c>
      <c r="G6765" s="2"/>
      <c r="H6765" s="2" t="s">
        <v>9279</v>
      </c>
      <c r="I6765" s="2" t="s">
        <v>15</v>
      </c>
      <c r="J6765" s="2" t="s">
        <v>9263</v>
      </c>
      <c r="K6765" s="2" t="s">
        <v>9280</v>
      </c>
      <c r="L6765" s="2">
        <f t="shared" si="105"/>
        <v>150</v>
      </c>
    </row>
    <row r="6766" spans="1:12" ht="25" customHeight="1">
      <c r="A6766" s="2" t="s">
        <v>12</v>
      </c>
      <c r="B6766" s="2" t="str">
        <f>HYPERLINK("http://bbs.12365auto.com/postcontent.aspx?tId=194248","它号称“小A7”，颜值比奔驰高，但售价只有奥迪A7的一半")</f>
        <v>它号称“小A7”，颜值比奔驰高，但售价只有奥迪A7的一半</v>
      </c>
      <c r="C6766" s="2" t="s">
        <v>13</v>
      </c>
      <c r="D6766" s="2" t="s">
        <v>12</v>
      </c>
      <c r="E6766" s="2" t="s">
        <v>27</v>
      </c>
      <c r="F6766" s="2" t="str">
        <f>HYPERLINK("http://bbs.12365auto.com/postcontent.aspx?tId=194248","http://bbs.12365auto.com/postcontent.aspx?tId=194248")</f>
        <v>http://bbs.12365auto.com/postcontent.aspx?tId=194248</v>
      </c>
      <c r="G6766" s="2"/>
      <c r="H6766" s="2" t="s">
        <v>9282</v>
      </c>
      <c r="I6766" s="2" t="s">
        <v>15</v>
      </c>
      <c r="J6766" s="2" t="s">
        <v>1960</v>
      </c>
      <c r="K6766" s="2" t="s">
        <v>9280</v>
      </c>
      <c r="L6766" s="2">
        <f t="shared" si="105"/>
        <v>150</v>
      </c>
    </row>
    <row r="6767" spans="1:12" ht="25" customHeight="1">
      <c r="A6767" s="2" t="s">
        <v>12</v>
      </c>
      <c r="B6767" s="2" t="str">
        <f>HYPERLINK("http://bbs.12365auto.com/postcontent.aspx?tId=194249","连续12个月销量为0，众泰SR9为何沦为“市场弃子”？")</f>
        <v>连续12个月销量为0，众泰SR9为何沦为“市场弃子”？</v>
      </c>
      <c r="C6767" s="2" t="s">
        <v>13</v>
      </c>
      <c r="D6767" s="2" t="s">
        <v>12</v>
      </c>
      <c r="E6767" s="2" t="s">
        <v>27</v>
      </c>
      <c r="F6767" s="2" t="str">
        <f>HYPERLINK("http://bbs.12365auto.com/postcontent.aspx?tId=194249","http://bbs.12365auto.com/postcontent.aspx?tId=194249")</f>
        <v>http://bbs.12365auto.com/postcontent.aspx?tId=194249</v>
      </c>
      <c r="G6767" s="2"/>
      <c r="H6767" s="2" t="s">
        <v>9210</v>
      </c>
      <c r="I6767" s="2" t="s">
        <v>15</v>
      </c>
      <c r="J6767" s="2" t="s">
        <v>1960</v>
      </c>
      <c r="K6767" s="2" t="s">
        <v>9280</v>
      </c>
      <c r="L6767" s="2">
        <f t="shared" si="105"/>
        <v>150</v>
      </c>
    </row>
    <row r="6768" spans="1:12" ht="25" customHeight="1">
      <c r="A6768" s="2" t="s">
        <v>12</v>
      </c>
      <c r="B6768" s="2" t="str">
        <f>HYPERLINK("http://bbs.12365auto.com/postcontent.aspx?tID=194248","它号称“小A7”，颜值比奔驰高，但售价只有奥迪A7的一半")</f>
        <v>它号称“小A7”，颜值比奔驰高，但售价只有奥迪A7的一半</v>
      </c>
      <c r="C6768" s="2" t="s">
        <v>13</v>
      </c>
      <c r="D6768" s="2" t="s">
        <v>12</v>
      </c>
      <c r="E6768" s="2" t="s">
        <v>28</v>
      </c>
      <c r="F6768" s="2" t="str">
        <f>HYPERLINK("http://bbs.12365auto.com/postcontent.aspx?tID=194248","http://bbs.12365auto.com/postcontent.aspx?tID=194248")</f>
        <v>http://bbs.12365auto.com/postcontent.aspx?tID=194248</v>
      </c>
      <c r="G6768" s="2"/>
      <c r="H6768" s="2" t="s">
        <v>9283</v>
      </c>
      <c r="I6768" s="2" t="s">
        <v>15</v>
      </c>
      <c r="J6768" s="2" t="s">
        <v>1960</v>
      </c>
      <c r="K6768" s="2" t="s">
        <v>9280</v>
      </c>
      <c r="L6768" s="2">
        <f t="shared" si="105"/>
        <v>150</v>
      </c>
    </row>
    <row r="6769" spans="1:12" ht="25" customHeight="1">
      <c r="A6769" s="2" t="s">
        <v>12</v>
      </c>
      <c r="B6769" s="2" t="str">
        <f>HYPERLINK("http://bbs.12365auto.com/postcontent.aspx?tID=194250","雷克萨斯再出“性能王” 4.0T爆670马力")</f>
        <v>雷克萨斯再出“性能王” 4.0T爆670马力</v>
      </c>
      <c r="C6769" s="2" t="s">
        <v>13</v>
      </c>
      <c r="D6769" s="2" t="s">
        <v>12</v>
      </c>
      <c r="E6769" s="2" t="s">
        <v>28</v>
      </c>
      <c r="F6769" s="2" t="str">
        <f>HYPERLINK("http://bbs.12365auto.com/postcontent.aspx?tID=194250","http://bbs.12365auto.com/postcontent.aspx?tID=194250")</f>
        <v>http://bbs.12365auto.com/postcontent.aspx?tID=194250</v>
      </c>
      <c r="G6769" s="2"/>
      <c r="H6769" s="2" t="s">
        <v>9284</v>
      </c>
      <c r="I6769" s="2" t="s">
        <v>15</v>
      </c>
      <c r="J6769" s="2" t="s">
        <v>9263</v>
      </c>
      <c r="K6769" s="2" t="s">
        <v>9280</v>
      </c>
      <c r="L6769" s="2">
        <f t="shared" si="105"/>
        <v>150</v>
      </c>
    </row>
    <row r="6770" spans="1:12" ht="25" customHeight="1">
      <c r="A6770" s="2" t="s">
        <v>12</v>
      </c>
      <c r="B6770" s="2" t="str">
        <f>HYPERLINK("http://bbs.12365auto.com/postcontent.aspx?tID=194249","连续12个月销量为0，众泰SR9为何沦为“市场弃子”？")</f>
        <v>连续12个月销量为0，众泰SR9为何沦为“市场弃子”？</v>
      </c>
      <c r="C6770" s="2" t="s">
        <v>13</v>
      </c>
      <c r="D6770" s="2" t="s">
        <v>12</v>
      </c>
      <c r="E6770" s="2" t="s">
        <v>28</v>
      </c>
      <c r="F6770" s="2" t="str">
        <f>HYPERLINK("http://bbs.12365auto.com/postcontent.aspx?tID=194249","http://bbs.12365auto.com/postcontent.aspx?tID=194249")</f>
        <v>http://bbs.12365auto.com/postcontent.aspx?tID=194249</v>
      </c>
      <c r="G6770" s="2"/>
      <c r="H6770" s="2" t="s">
        <v>9285</v>
      </c>
      <c r="I6770" s="2" t="s">
        <v>15</v>
      </c>
      <c r="J6770" s="2" t="s">
        <v>1960</v>
      </c>
      <c r="K6770" s="2" t="s">
        <v>9280</v>
      </c>
      <c r="L6770" s="2">
        <f t="shared" si="105"/>
        <v>150</v>
      </c>
    </row>
    <row r="6771" spans="1:12" ht="25" customHeight="1">
      <c r="A6771" s="2" t="s">
        <v>12</v>
      </c>
      <c r="B6771" s="2" t="str">
        <f>HYPERLINK("http://m.12365auto.com/news/20200217/418714.shtml","吉利汽车1月销量破11万辆 市占率创新高")</f>
        <v>吉利汽车1月销量破11万辆 市占率创新高</v>
      </c>
      <c r="C6771" s="2" t="s">
        <v>13</v>
      </c>
      <c r="D6771" s="2" t="s">
        <v>12</v>
      </c>
      <c r="E6771" s="2"/>
      <c r="F6771" s="2" t="str">
        <f>HYPERLINK("http://m.12365auto.com/news/20200217/418714.shtml","http://m.12365auto.com/news/20200217/418714.shtml")</f>
        <v>http://m.12365auto.com/news/20200217/418714.shtml</v>
      </c>
      <c r="G6771" s="2"/>
      <c r="H6771" s="2" t="s">
        <v>9286</v>
      </c>
      <c r="I6771" s="2" t="s">
        <v>19</v>
      </c>
      <c r="J6771" s="2" t="s">
        <v>1205</v>
      </c>
      <c r="K6771" s="2" t="s">
        <v>9280</v>
      </c>
      <c r="L6771" s="2">
        <f t="shared" si="105"/>
        <v>150</v>
      </c>
    </row>
    <row r="6772" spans="1:12" ht="25" customHeight="1">
      <c r="A6772" s="2" t="s">
        <v>12</v>
      </c>
      <c r="B6772" s="2" t="str">
        <f>HYPERLINK("http://m.12365auto.com/bbs/postcontent.aspx?tID=194245","2020年谁能夺得合资SUV销量冠军？")</f>
        <v>2020年谁能夺得合资SUV销量冠军？</v>
      </c>
      <c r="C6772" s="2" t="s">
        <v>13</v>
      </c>
      <c r="D6772" s="2" t="s">
        <v>23</v>
      </c>
      <c r="E6772" s="2"/>
      <c r="F6772" s="2" t="str">
        <f>HYPERLINK("http://m.12365auto.com/bbs/postcontent.aspx?tID=194245","http://m.12365auto.com/bbs/postcontent.aspx?tID=194245")</f>
        <v>http://m.12365auto.com/bbs/postcontent.aspx?tID=194245</v>
      </c>
      <c r="G6772" s="2"/>
      <c r="H6772" s="2" t="s">
        <v>9287</v>
      </c>
      <c r="I6772" s="2" t="s">
        <v>15</v>
      </c>
      <c r="J6772" s="2" t="s">
        <v>3718</v>
      </c>
      <c r="K6772" s="2" t="s">
        <v>9288</v>
      </c>
      <c r="L6772" s="2">
        <f t="shared" si="105"/>
        <v>150</v>
      </c>
    </row>
    <row r="6773" spans="1:12" ht="25" customHeight="1">
      <c r="A6773" s="2" t="s">
        <v>12</v>
      </c>
      <c r="B6773" s="2" t="str">
        <f>HYPERLINK("http://m.12365auto.com/bbs/postcontent.aspx?tID=194246","百公里油耗低至4.6L的“省油王”")</f>
        <v>百公里油耗低至4.6L的“省油王”</v>
      </c>
      <c r="C6773" s="2" t="s">
        <v>13</v>
      </c>
      <c r="D6773" s="2" t="s">
        <v>23</v>
      </c>
      <c r="E6773" s="2"/>
      <c r="F6773" s="2" t="str">
        <f>HYPERLINK("http://m.12365auto.com/bbs/postcontent.aspx?tID=194246","http://m.12365auto.com/bbs/postcontent.aspx?tID=194246")</f>
        <v>http://m.12365auto.com/bbs/postcontent.aspx?tID=194246</v>
      </c>
      <c r="G6773" s="2"/>
      <c r="H6773" s="2" t="s">
        <v>9289</v>
      </c>
      <c r="I6773" s="2" t="s">
        <v>15</v>
      </c>
      <c r="J6773" s="2" t="s">
        <v>9263</v>
      </c>
      <c r="K6773" s="2" t="s">
        <v>9288</v>
      </c>
      <c r="L6773" s="2">
        <f t="shared" si="105"/>
        <v>150</v>
      </c>
    </row>
    <row r="6774" spans="1:12" ht="25" customHeight="1">
      <c r="A6774" s="2" t="s">
        <v>12</v>
      </c>
      <c r="B6774" s="2" t="str">
        <f>HYPERLINK("http://m.12365auto.com/bbs/postcontent.aspx?tID=194247","两张碰撞图，看明白奥迪和大众的差距有多大")</f>
        <v>两张碰撞图，看明白奥迪和大众的差距有多大</v>
      </c>
      <c r="C6774" s="2" t="s">
        <v>13</v>
      </c>
      <c r="D6774" s="2" t="s">
        <v>23</v>
      </c>
      <c r="E6774" s="2"/>
      <c r="F6774" s="2" t="str">
        <f>HYPERLINK("http://m.12365auto.com/bbs/postcontent.aspx?tID=194247","http://m.12365auto.com/bbs/postcontent.aspx?tID=194247")</f>
        <v>http://m.12365auto.com/bbs/postcontent.aspx?tID=194247</v>
      </c>
      <c r="G6774" s="2"/>
      <c r="H6774" s="2" t="s">
        <v>9290</v>
      </c>
      <c r="I6774" s="2" t="s">
        <v>15</v>
      </c>
      <c r="J6774" s="2" t="s">
        <v>3718</v>
      </c>
      <c r="K6774" s="2" t="s">
        <v>9288</v>
      </c>
      <c r="L6774" s="2">
        <f t="shared" si="105"/>
        <v>150</v>
      </c>
    </row>
    <row r="6775" spans="1:12" ht="25" customHeight="1">
      <c r="A6775" s="2" t="s">
        <v>12</v>
      </c>
      <c r="B6775" s="2" t="str">
        <f>HYPERLINK("http://bbs.12365auto.com/postcontent.aspx?tID=194246","百公里油耗低至4.6L的“省油王”")</f>
        <v>百公里油耗低至4.6L的“省油王”</v>
      </c>
      <c r="C6775" s="2" t="s">
        <v>13</v>
      </c>
      <c r="D6775" s="2" t="s">
        <v>12</v>
      </c>
      <c r="E6775" s="2" t="s">
        <v>28</v>
      </c>
      <c r="F6775" s="2" t="str">
        <f>HYPERLINK("http://bbs.12365auto.com/postcontent.aspx?tID=194246","http://bbs.12365auto.com/postcontent.aspx?tID=194246")</f>
        <v>http://bbs.12365auto.com/postcontent.aspx?tID=194246</v>
      </c>
      <c r="G6775" s="2"/>
      <c r="H6775" s="2" t="s">
        <v>9291</v>
      </c>
      <c r="I6775" s="2" t="s">
        <v>15</v>
      </c>
      <c r="J6775" s="2" t="s">
        <v>9263</v>
      </c>
      <c r="K6775" s="2" t="s">
        <v>9288</v>
      </c>
      <c r="L6775" s="2">
        <f t="shared" si="105"/>
        <v>150</v>
      </c>
    </row>
    <row r="6776" spans="1:12" ht="25" customHeight="1">
      <c r="A6776" s="2" t="s">
        <v>12</v>
      </c>
      <c r="B6776" s="2" t="str">
        <f>HYPERLINK("http://www.12365auto.com/news/20200217/418713.shtml","小鹏G3车型1月销量超1000台 逆市上扬")</f>
        <v>小鹏G3车型1月销量超1000台 逆市上扬</v>
      </c>
      <c r="C6776" s="2" t="s">
        <v>13</v>
      </c>
      <c r="D6776" s="2" t="s">
        <v>12</v>
      </c>
      <c r="E6776" s="2" t="s">
        <v>276</v>
      </c>
      <c r="F6776" s="2" t="str">
        <f>HYPERLINK("http://www.12365auto.com/news/20200217/418713.shtml","http://www.12365auto.com/news/20200217/418713.shtml")</f>
        <v>http://www.12365auto.com/news/20200217/418713.shtml</v>
      </c>
      <c r="G6776" s="2"/>
      <c r="H6776" s="2" t="s">
        <v>9292</v>
      </c>
      <c r="I6776" s="2" t="s">
        <v>15</v>
      </c>
      <c r="J6776" s="2" t="s">
        <v>12</v>
      </c>
      <c r="K6776" s="2" t="s">
        <v>9288</v>
      </c>
      <c r="L6776" s="2">
        <f t="shared" si="105"/>
        <v>150</v>
      </c>
    </row>
    <row r="6777" spans="1:12" ht="25" customHeight="1">
      <c r="A6777" s="2" t="s">
        <v>12</v>
      </c>
      <c r="B6777" s="2" t="str">
        <f>HYPERLINK("http://bbs.12365auto.com/postcontent.aspx?tID=194245","2020年谁能夺得合资SUV销量冠军？")</f>
        <v>2020年谁能夺得合资SUV销量冠军？</v>
      </c>
      <c r="C6777" s="2" t="s">
        <v>13</v>
      </c>
      <c r="D6777" s="2" t="s">
        <v>12</v>
      </c>
      <c r="E6777" s="2" t="s">
        <v>214</v>
      </c>
      <c r="F6777" s="2" t="str">
        <f>HYPERLINK("http://bbs.12365auto.com/postcontent.aspx?tID=194245","http://bbs.12365auto.com/postcontent.aspx?tID=194245")</f>
        <v>http://bbs.12365auto.com/postcontent.aspx?tID=194245</v>
      </c>
      <c r="G6777" s="2"/>
      <c r="H6777" s="2" t="s">
        <v>9293</v>
      </c>
      <c r="I6777" s="2" t="s">
        <v>15</v>
      </c>
      <c r="J6777" s="2" t="s">
        <v>3718</v>
      </c>
      <c r="K6777" s="2" t="s">
        <v>9288</v>
      </c>
      <c r="L6777" s="2">
        <f t="shared" si="105"/>
        <v>150</v>
      </c>
    </row>
    <row r="6778" spans="1:12" ht="25" customHeight="1">
      <c r="A6778" s="2" t="s">
        <v>12</v>
      </c>
      <c r="B6778" s="2" t="str">
        <f>HYPERLINK("http://bbs.12365auto.com/postcontent.aspx?tId=194246","百公里油耗低至4.6L的“省油王”")</f>
        <v>百公里油耗低至4.6L的“省油王”</v>
      </c>
      <c r="C6778" s="2" t="s">
        <v>13</v>
      </c>
      <c r="D6778" s="2" t="s">
        <v>12</v>
      </c>
      <c r="E6778" s="2" t="s">
        <v>27</v>
      </c>
      <c r="F6778" s="2" t="str">
        <f>HYPERLINK("http://bbs.12365auto.com/postcontent.aspx?tId=194246","http://bbs.12365auto.com/postcontent.aspx?tId=194246")</f>
        <v>http://bbs.12365auto.com/postcontent.aspx?tId=194246</v>
      </c>
      <c r="G6778" s="2"/>
      <c r="H6778" s="2" t="s">
        <v>9289</v>
      </c>
      <c r="I6778" s="2" t="s">
        <v>15</v>
      </c>
      <c r="J6778" s="2" t="s">
        <v>9263</v>
      </c>
      <c r="K6778" s="2" t="s">
        <v>9288</v>
      </c>
      <c r="L6778" s="2">
        <f t="shared" si="105"/>
        <v>150</v>
      </c>
    </row>
    <row r="6779" spans="1:12" ht="25" customHeight="1">
      <c r="A6779" s="2" t="s">
        <v>12</v>
      </c>
      <c r="B6779" s="2" t="str">
        <f>HYPERLINK("http://bbs.12365auto.com/postcontent.aspx?tID=194247","两张碰撞图，看明白奥迪和大众的差距有多大")</f>
        <v>两张碰撞图，看明白奥迪和大众的差距有多大</v>
      </c>
      <c r="C6779" s="2" t="s">
        <v>13</v>
      </c>
      <c r="D6779" s="2" t="s">
        <v>12</v>
      </c>
      <c r="E6779" s="2" t="s">
        <v>214</v>
      </c>
      <c r="F6779" s="2" t="str">
        <f>HYPERLINK("http://bbs.12365auto.com/postcontent.aspx?tID=194247","http://bbs.12365auto.com/postcontent.aspx?tID=194247")</f>
        <v>http://bbs.12365auto.com/postcontent.aspx?tID=194247</v>
      </c>
      <c r="G6779" s="2"/>
      <c r="H6779" s="2" t="s">
        <v>9294</v>
      </c>
      <c r="I6779" s="2" t="s">
        <v>15</v>
      </c>
      <c r="J6779" s="2" t="s">
        <v>3718</v>
      </c>
      <c r="K6779" s="2" t="s">
        <v>9288</v>
      </c>
      <c r="L6779" s="2">
        <f t="shared" si="105"/>
        <v>150</v>
      </c>
    </row>
    <row r="6780" spans="1:12" ht="25" customHeight="1">
      <c r="A6780" s="2" t="s">
        <v>12</v>
      </c>
      <c r="B6780" s="2" t="str">
        <f>HYPERLINK("http://m.12365auto.com/news/20200217/418713.shtml","小鹏G3车型1月销量超1000台 逆市上扬")</f>
        <v>小鹏G3车型1月销量超1000台 逆市上扬</v>
      </c>
      <c r="C6780" s="2" t="s">
        <v>13</v>
      </c>
      <c r="D6780" s="2" t="s">
        <v>12</v>
      </c>
      <c r="E6780" s="2"/>
      <c r="F6780" s="2" t="str">
        <f>HYPERLINK("http://m.12365auto.com/news/20200217/418713.shtml","http://m.12365auto.com/news/20200217/418713.shtml")</f>
        <v>http://m.12365auto.com/news/20200217/418713.shtml</v>
      </c>
      <c r="G6780" s="2"/>
      <c r="H6780" s="2" t="s">
        <v>9295</v>
      </c>
      <c r="I6780" s="2" t="s">
        <v>19</v>
      </c>
      <c r="J6780" s="2" t="s">
        <v>1657</v>
      </c>
      <c r="K6780" s="2" t="s">
        <v>9288</v>
      </c>
      <c r="L6780" s="2">
        <f t="shared" si="105"/>
        <v>150</v>
      </c>
    </row>
    <row r="6781" spans="1:12" ht="25" customHeight="1">
      <c r="A6781" s="2" t="s">
        <v>12</v>
      </c>
      <c r="B6781" s="2" t="str">
        <f>HYPERLINK("http://bbs.12365auto.com/postcontent.aspx?tId=194247","两张碰撞图，看明白奥迪和大众的差距有多大")</f>
        <v>两张碰撞图，看明白奥迪和大众的差距有多大</v>
      </c>
      <c r="C6781" s="2" t="s">
        <v>13</v>
      </c>
      <c r="D6781" s="2" t="s">
        <v>12</v>
      </c>
      <c r="E6781" s="2" t="s">
        <v>210</v>
      </c>
      <c r="F6781" s="2" t="str">
        <f>HYPERLINK("http://bbs.12365auto.com/postcontent.aspx?tId=194247","http://bbs.12365auto.com/postcontent.aspx?tId=194247")</f>
        <v>http://bbs.12365auto.com/postcontent.aspx?tId=194247</v>
      </c>
      <c r="G6781" s="2"/>
      <c r="H6781" s="2" t="s">
        <v>9290</v>
      </c>
      <c r="I6781" s="2" t="s">
        <v>15</v>
      </c>
      <c r="J6781" s="2" t="s">
        <v>3718</v>
      </c>
      <c r="K6781" s="2" t="s">
        <v>9288</v>
      </c>
      <c r="L6781" s="2">
        <f t="shared" si="105"/>
        <v>150</v>
      </c>
    </row>
    <row r="6782" spans="1:12" ht="25" customHeight="1">
      <c r="A6782" s="2" t="s">
        <v>12</v>
      </c>
      <c r="B6782" s="2" t="str">
        <f>HYPERLINK("http://bbs.12365auto.com/postcontent.aspx?tId=194245","2020年谁能夺得合资SUV销量冠军？")</f>
        <v>2020年谁能夺得合资SUV销量冠军？</v>
      </c>
      <c r="C6782" s="2" t="s">
        <v>13</v>
      </c>
      <c r="D6782" s="2" t="s">
        <v>12</v>
      </c>
      <c r="E6782" s="2" t="s">
        <v>210</v>
      </c>
      <c r="F6782" s="2" t="str">
        <f>HYPERLINK("http://bbs.12365auto.com/postcontent.aspx?tId=194245","http://bbs.12365auto.com/postcontent.aspx?tId=194245")</f>
        <v>http://bbs.12365auto.com/postcontent.aspx?tId=194245</v>
      </c>
      <c r="G6782" s="2"/>
      <c r="H6782" s="2" t="s">
        <v>9287</v>
      </c>
      <c r="I6782" s="2" t="s">
        <v>15</v>
      </c>
      <c r="J6782" s="2" t="s">
        <v>3718</v>
      </c>
      <c r="K6782" s="2" t="s">
        <v>9288</v>
      </c>
      <c r="L6782" s="2">
        <f t="shared" si="105"/>
        <v>150</v>
      </c>
    </row>
    <row r="6783" spans="1:12" ht="25" customHeight="1">
      <c r="A6783" s="2" t="s">
        <v>12</v>
      </c>
      <c r="B6783" s="2" t="str">
        <f>HYPERLINK("http://bbs.12365auto.com/postcontent.aspx?tId=194244","你要买，我推荐，但我不买")</f>
        <v>你要买，我推荐，但我不买</v>
      </c>
      <c r="C6783" s="2" t="s">
        <v>13</v>
      </c>
      <c r="D6783" s="2" t="s">
        <v>12</v>
      </c>
      <c r="E6783" s="2" t="s">
        <v>210</v>
      </c>
      <c r="F6783" s="2" t="str">
        <f>HYPERLINK("http://bbs.12365auto.com/postcontent.aspx?tId=194244","http://bbs.12365auto.com/postcontent.aspx?tId=194244")</f>
        <v>http://bbs.12365auto.com/postcontent.aspx?tId=194244</v>
      </c>
      <c r="G6783" s="2"/>
      <c r="H6783" s="2" t="s">
        <v>9296</v>
      </c>
      <c r="I6783" s="2" t="s">
        <v>15</v>
      </c>
      <c r="J6783" s="2" t="s">
        <v>3718</v>
      </c>
      <c r="K6783" s="2" t="s">
        <v>9297</v>
      </c>
      <c r="L6783" s="2">
        <f t="shared" si="105"/>
        <v>150</v>
      </c>
    </row>
    <row r="6784" spans="1:12" ht="25" customHeight="1">
      <c r="A6784" s="2" t="s">
        <v>12</v>
      </c>
      <c r="B6784" s="2" t="str">
        <f>HYPERLINK("http://bbs.12365auto.com/postcontent.aspx?tId=194242","2020新车盘点 哪一款是你所期待的？")</f>
        <v>2020新车盘点 哪一款是你所期待的？</v>
      </c>
      <c r="C6784" s="2" t="s">
        <v>13</v>
      </c>
      <c r="D6784" s="2" t="s">
        <v>12</v>
      </c>
      <c r="E6784" s="2" t="s">
        <v>210</v>
      </c>
      <c r="F6784" s="2" t="str">
        <f>HYPERLINK("http://bbs.12365auto.com/postcontent.aspx?tId=194242","http://bbs.12365auto.com/postcontent.aspx?tId=194242")</f>
        <v>http://bbs.12365auto.com/postcontent.aspx?tId=194242</v>
      </c>
      <c r="G6784" s="2"/>
      <c r="H6784" s="2" t="s">
        <v>3068</v>
      </c>
      <c r="I6784" s="2" t="s">
        <v>15</v>
      </c>
      <c r="J6784" s="2" t="s">
        <v>3718</v>
      </c>
      <c r="K6784" s="2" t="s">
        <v>9297</v>
      </c>
      <c r="L6784" s="2">
        <f t="shared" si="105"/>
        <v>150</v>
      </c>
    </row>
    <row r="6785" spans="1:12" ht="25" customHeight="1">
      <c r="A6785" s="2" t="s">
        <v>12</v>
      </c>
      <c r="B6785" s="2" t="str">
        <f>HYPERLINK("http://m.12365auto.com/bbs/postcontent.aspx?tID=194243","全新吉利豪越内饰曝光 车长近4.9米 184马力配1.8T")</f>
        <v>全新吉利豪越内饰曝光 车长近4.9米 184马力配1.8T</v>
      </c>
      <c r="C6785" s="2" t="s">
        <v>13</v>
      </c>
      <c r="D6785" s="2" t="s">
        <v>23</v>
      </c>
      <c r="E6785" s="2"/>
      <c r="F6785" s="2" t="str">
        <f>HYPERLINK("http://m.12365auto.com/bbs/postcontent.aspx?tID=194243","http://m.12365auto.com/bbs/postcontent.aspx?tID=194243")</f>
        <v>http://m.12365auto.com/bbs/postcontent.aspx?tID=194243</v>
      </c>
      <c r="G6785" s="2"/>
      <c r="H6785" s="2" t="s">
        <v>9298</v>
      </c>
      <c r="I6785" s="2" t="s">
        <v>15</v>
      </c>
      <c r="J6785" s="2" t="s">
        <v>9263</v>
      </c>
      <c r="K6785" s="2" t="s">
        <v>9297</v>
      </c>
      <c r="L6785" s="2">
        <f t="shared" si="105"/>
        <v>150</v>
      </c>
    </row>
    <row r="6786" spans="1:12" ht="25" customHeight="1">
      <c r="A6786" s="2" t="s">
        <v>12</v>
      </c>
      <c r="B6786" s="2" t="str">
        <f>HYPERLINK("http://m.12365auto.com/bbs/postcontent.aspx?tID=194244","你要买，我推荐，但我不买")</f>
        <v>你要买，我推荐，但我不买</v>
      </c>
      <c r="C6786" s="2" t="s">
        <v>13</v>
      </c>
      <c r="D6786" s="2" t="s">
        <v>23</v>
      </c>
      <c r="E6786" s="2"/>
      <c r="F6786" s="2" t="str">
        <f>HYPERLINK("http://m.12365auto.com/bbs/postcontent.aspx?tID=194244","http://m.12365auto.com/bbs/postcontent.aspx?tID=194244")</f>
        <v>http://m.12365auto.com/bbs/postcontent.aspx?tID=194244</v>
      </c>
      <c r="G6786" s="2"/>
      <c r="H6786" s="2" t="s">
        <v>9296</v>
      </c>
      <c r="I6786" s="2" t="s">
        <v>15</v>
      </c>
      <c r="J6786" s="2" t="s">
        <v>3718</v>
      </c>
      <c r="K6786" s="2" t="s">
        <v>9297</v>
      </c>
      <c r="L6786" s="2">
        <f t="shared" si="105"/>
        <v>150</v>
      </c>
    </row>
    <row r="6787" spans="1:12" ht="25" customHeight="1">
      <c r="A6787" s="2" t="s">
        <v>12</v>
      </c>
      <c r="B6787" s="2" t="str">
        <f>HYPERLINK("http://m.12365auto.com/bbs/postcontent.aspx?tID=194242","2020新车盘点 哪一款是你所期待的？")</f>
        <v>2020新车盘点 哪一款是你所期待的？</v>
      </c>
      <c r="C6787" s="2" t="s">
        <v>13</v>
      </c>
      <c r="D6787" s="2" t="s">
        <v>23</v>
      </c>
      <c r="E6787" s="2"/>
      <c r="F6787" s="2" t="str">
        <f>HYPERLINK("http://m.12365auto.com/bbs/postcontent.aspx?tID=194242","http://m.12365auto.com/bbs/postcontent.aspx?tID=194242")</f>
        <v>http://m.12365auto.com/bbs/postcontent.aspx?tID=194242</v>
      </c>
      <c r="G6787" s="2"/>
      <c r="H6787" s="2" t="s">
        <v>3068</v>
      </c>
      <c r="I6787" s="2" t="s">
        <v>15</v>
      </c>
      <c r="J6787" s="2" t="s">
        <v>3718</v>
      </c>
      <c r="K6787" s="2" t="s">
        <v>9297</v>
      </c>
      <c r="L6787" s="2">
        <f t="shared" ref="L6787:L6850" si="106">LEN(H6787)</f>
        <v>150</v>
      </c>
    </row>
    <row r="6788" spans="1:12" ht="25" customHeight="1">
      <c r="A6788" s="2" t="s">
        <v>12</v>
      </c>
      <c r="B6788" s="2" t="str">
        <f>HYPERLINK("http://bbs.12365auto.com/postcontent.aspx?tID=194243","全新吉利豪越内饰曝光 车长近4.9米 184马力配1.8T")</f>
        <v>全新吉利豪越内饰曝光 车长近4.9米 184马力配1.8T</v>
      </c>
      <c r="C6788" s="2" t="s">
        <v>13</v>
      </c>
      <c r="D6788" s="2" t="s">
        <v>12</v>
      </c>
      <c r="E6788" s="2" t="s">
        <v>28</v>
      </c>
      <c r="F6788" s="2" t="str">
        <f>HYPERLINK("http://bbs.12365auto.com/postcontent.aspx?tID=194243","http://bbs.12365auto.com/postcontent.aspx?tID=194243")</f>
        <v>http://bbs.12365auto.com/postcontent.aspx?tID=194243</v>
      </c>
      <c r="G6788" s="2"/>
      <c r="H6788" s="2" t="s">
        <v>9299</v>
      </c>
      <c r="I6788" s="2" t="s">
        <v>15</v>
      </c>
      <c r="J6788" s="2" t="s">
        <v>9263</v>
      </c>
      <c r="K6788" s="2" t="s">
        <v>9297</v>
      </c>
      <c r="L6788" s="2">
        <f t="shared" si="106"/>
        <v>150</v>
      </c>
    </row>
    <row r="6789" spans="1:12" ht="25" customHeight="1">
      <c r="A6789" s="2" t="s">
        <v>12</v>
      </c>
      <c r="B6789" s="2" t="str">
        <f>HYPERLINK("http://bbs.12365auto.com/postcontent.aspx?tID=194244","你要买，我推荐，但我不买")</f>
        <v>你要买，我推荐，但我不买</v>
      </c>
      <c r="C6789" s="2" t="s">
        <v>13</v>
      </c>
      <c r="D6789" s="2" t="s">
        <v>12</v>
      </c>
      <c r="E6789" s="2" t="s">
        <v>214</v>
      </c>
      <c r="F6789" s="2" t="str">
        <f>HYPERLINK("http://bbs.12365auto.com/postcontent.aspx?tID=194244","http://bbs.12365auto.com/postcontent.aspx?tID=194244")</f>
        <v>http://bbs.12365auto.com/postcontent.aspx?tID=194244</v>
      </c>
      <c r="G6789" s="2"/>
      <c r="H6789" s="2" t="s">
        <v>9300</v>
      </c>
      <c r="I6789" s="2" t="s">
        <v>15</v>
      </c>
      <c r="J6789" s="2" t="s">
        <v>3718</v>
      </c>
      <c r="K6789" s="2" t="s">
        <v>9297</v>
      </c>
      <c r="L6789" s="2">
        <f t="shared" si="106"/>
        <v>150</v>
      </c>
    </row>
    <row r="6790" spans="1:12" ht="25" customHeight="1">
      <c r="A6790" s="2" t="s">
        <v>12</v>
      </c>
      <c r="B6790" s="2" t="str">
        <f>HYPERLINK("http://bbs.12365auto.com/postcontent.aspx?tID=194242","2020新车盘点 哪一款是你所期待的？")</f>
        <v>2020新车盘点 哪一款是你所期待的？</v>
      </c>
      <c r="C6790" s="2" t="s">
        <v>13</v>
      </c>
      <c r="D6790" s="2" t="s">
        <v>12</v>
      </c>
      <c r="E6790" s="2" t="s">
        <v>214</v>
      </c>
      <c r="F6790" s="2" t="str">
        <f>HYPERLINK("http://bbs.12365auto.com/postcontent.aspx?tID=194242","http://bbs.12365auto.com/postcontent.aspx?tID=194242")</f>
        <v>http://bbs.12365auto.com/postcontent.aspx?tID=194242</v>
      </c>
      <c r="G6790" s="2"/>
      <c r="H6790" s="2" t="s">
        <v>3070</v>
      </c>
      <c r="I6790" s="2" t="s">
        <v>15</v>
      </c>
      <c r="J6790" s="2" t="s">
        <v>3718</v>
      </c>
      <c r="K6790" s="2" t="s">
        <v>9297</v>
      </c>
      <c r="L6790" s="2">
        <f t="shared" si="106"/>
        <v>150</v>
      </c>
    </row>
    <row r="6791" spans="1:12" ht="25" customHeight="1">
      <c r="A6791" s="2" t="s">
        <v>12</v>
      </c>
      <c r="B6791" s="2" t="str">
        <f>HYPERLINK("http://bbs.12365auto.com/postcontent.aspx?tId=194243","全新吉利豪越内饰曝光 车长近4.9米 184马力配1.8T")</f>
        <v>全新吉利豪越内饰曝光 车长近4.9米 184马力配1.8T</v>
      </c>
      <c r="C6791" s="2" t="s">
        <v>13</v>
      </c>
      <c r="D6791" s="2" t="s">
        <v>12</v>
      </c>
      <c r="E6791" s="2" t="s">
        <v>27</v>
      </c>
      <c r="F6791" s="2" t="str">
        <f>HYPERLINK("http://bbs.12365auto.com/postcontent.aspx?tId=194243","http://bbs.12365auto.com/postcontent.aspx?tId=194243")</f>
        <v>http://bbs.12365auto.com/postcontent.aspx?tId=194243</v>
      </c>
      <c r="G6791" s="2"/>
      <c r="H6791" s="2" t="s">
        <v>9298</v>
      </c>
      <c r="I6791" s="2" t="s">
        <v>15</v>
      </c>
      <c r="J6791" s="2" t="s">
        <v>9263</v>
      </c>
      <c r="K6791" s="2" t="s">
        <v>9297</v>
      </c>
      <c r="L6791" s="2">
        <f t="shared" si="106"/>
        <v>150</v>
      </c>
    </row>
    <row r="6792" spans="1:12" ht="25" customHeight="1">
      <c r="A6792" s="2" t="s">
        <v>12</v>
      </c>
      <c r="B6792" s="2" t="str">
        <f>HYPERLINK("http://bbs.12365auto.com/postcontent.aspx?tId=194241","最保值的4款轿车，每一款都很值得买")</f>
        <v>最保值的4款轿车，每一款都很值得买</v>
      </c>
      <c r="C6792" s="2" t="s">
        <v>13</v>
      </c>
      <c r="D6792" s="2" t="s">
        <v>12</v>
      </c>
      <c r="E6792" s="2" t="s">
        <v>210</v>
      </c>
      <c r="F6792" s="2" t="str">
        <f>HYPERLINK("http://bbs.12365auto.com/postcontent.aspx?tId=194241","http://bbs.12365auto.com/postcontent.aspx?tId=194241")</f>
        <v>http://bbs.12365auto.com/postcontent.aspx?tId=194241</v>
      </c>
      <c r="G6792" s="2"/>
      <c r="H6792" s="2" t="s">
        <v>9301</v>
      </c>
      <c r="I6792" s="2" t="s">
        <v>15</v>
      </c>
      <c r="J6792" s="2" t="s">
        <v>3718</v>
      </c>
      <c r="K6792" s="2" t="s">
        <v>9302</v>
      </c>
      <c r="L6792" s="2">
        <f t="shared" si="106"/>
        <v>150</v>
      </c>
    </row>
    <row r="6793" spans="1:12" ht="25" customHeight="1">
      <c r="A6793" s="2" t="s">
        <v>12</v>
      </c>
      <c r="B6793" s="2" t="str">
        <f>HYPERLINK("http://m.12365auto.com/bbs/postcontent.aspx?tID=194240","20万内无敌手 这台国产性能小钢炮究竟香不香")</f>
        <v>20万内无敌手 这台国产性能小钢炮究竟香不香</v>
      </c>
      <c r="C6793" s="2" t="s">
        <v>13</v>
      </c>
      <c r="D6793" s="2" t="s">
        <v>23</v>
      </c>
      <c r="E6793" s="2"/>
      <c r="F6793" s="2" t="str">
        <f>HYPERLINK("http://m.12365auto.com/bbs/postcontent.aspx?tID=194240","http://m.12365auto.com/bbs/postcontent.aspx?tID=194240")</f>
        <v>http://m.12365auto.com/bbs/postcontent.aspx?tID=194240</v>
      </c>
      <c r="G6793" s="2"/>
      <c r="H6793" s="2" t="s">
        <v>2705</v>
      </c>
      <c r="I6793" s="2" t="s">
        <v>15</v>
      </c>
      <c r="J6793" s="2" t="s">
        <v>9263</v>
      </c>
      <c r="K6793" s="2" t="s">
        <v>9302</v>
      </c>
      <c r="L6793" s="2">
        <f t="shared" si="106"/>
        <v>150</v>
      </c>
    </row>
    <row r="6794" spans="1:12" ht="25" customHeight="1">
      <c r="A6794" s="2" t="s">
        <v>12</v>
      </c>
      <c r="B6794" s="2" t="str">
        <f>HYPERLINK("http://m.12365auto.com/bbs/postcontent.aspx?tID=194241","最保值的4款轿车，每一款都很值得买")</f>
        <v>最保值的4款轿车，每一款都很值得买</v>
      </c>
      <c r="C6794" s="2" t="s">
        <v>13</v>
      </c>
      <c r="D6794" s="2" t="s">
        <v>23</v>
      </c>
      <c r="E6794" s="2"/>
      <c r="F6794" s="2" t="str">
        <f>HYPERLINK("http://m.12365auto.com/bbs/postcontent.aspx?tID=194241","http://m.12365auto.com/bbs/postcontent.aspx?tID=194241")</f>
        <v>http://m.12365auto.com/bbs/postcontent.aspx?tID=194241</v>
      </c>
      <c r="G6794" s="2"/>
      <c r="H6794" s="2" t="s">
        <v>9301</v>
      </c>
      <c r="I6794" s="2" t="s">
        <v>15</v>
      </c>
      <c r="J6794" s="2" t="s">
        <v>3718</v>
      </c>
      <c r="K6794" s="2" t="s">
        <v>9302</v>
      </c>
      <c r="L6794" s="2">
        <f t="shared" si="106"/>
        <v>150</v>
      </c>
    </row>
    <row r="6795" spans="1:12" ht="25" customHeight="1">
      <c r="A6795" s="2" t="s">
        <v>12</v>
      </c>
      <c r="B6795" s="2" t="str">
        <f>HYPERLINK("http://bbs.12365auto.com/postcontent.aspx?tID=194241","最保值的4款轿车，每一款都很值得买")</f>
        <v>最保值的4款轿车，每一款都很值得买</v>
      </c>
      <c r="C6795" s="2" t="s">
        <v>13</v>
      </c>
      <c r="D6795" s="2" t="s">
        <v>12</v>
      </c>
      <c r="E6795" s="2" t="s">
        <v>214</v>
      </c>
      <c r="F6795" s="2" t="str">
        <f>HYPERLINK("http://bbs.12365auto.com/postcontent.aspx?tID=194241","http://bbs.12365auto.com/postcontent.aspx?tID=194241")</f>
        <v>http://bbs.12365auto.com/postcontent.aspx?tID=194241</v>
      </c>
      <c r="G6795" s="2"/>
      <c r="H6795" s="2" t="s">
        <v>9303</v>
      </c>
      <c r="I6795" s="2" t="s">
        <v>15</v>
      </c>
      <c r="J6795" s="2" t="s">
        <v>3718</v>
      </c>
      <c r="K6795" s="2" t="s">
        <v>9302</v>
      </c>
      <c r="L6795" s="2">
        <f t="shared" si="106"/>
        <v>150</v>
      </c>
    </row>
    <row r="6796" spans="1:12" ht="25" customHeight="1">
      <c r="A6796" s="2" t="s">
        <v>12</v>
      </c>
      <c r="B6796" s="2" t="str">
        <f>HYPERLINK("http://bbs.12365auto.com/postcontent.aspx?tID=194240","20万内无敌手 这台国产性能小钢炮究竟香不香")</f>
        <v>20万内无敌手 这台国产性能小钢炮究竟香不香</v>
      </c>
      <c r="C6796" s="2" t="s">
        <v>13</v>
      </c>
      <c r="D6796" s="2" t="s">
        <v>12</v>
      </c>
      <c r="E6796" s="2" t="s">
        <v>28</v>
      </c>
      <c r="F6796" s="2" t="str">
        <f>HYPERLINK("http://bbs.12365auto.com/postcontent.aspx?tID=194240","http://bbs.12365auto.com/postcontent.aspx?tID=194240")</f>
        <v>http://bbs.12365auto.com/postcontent.aspx?tID=194240</v>
      </c>
      <c r="G6796" s="2"/>
      <c r="H6796" s="2" t="s">
        <v>9304</v>
      </c>
      <c r="I6796" s="2" t="s">
        <v>15</v>
      </c>
      <c r="J6796" s="2" t="s">
        <v>9263</v>
      </c>
      <c r="K6796" s="2" t="s">
        <v>9302</v>
      </c>
      <c r="L6796" s="2">
        <f t="shared" si="106"/>
        <v>150</v>
      </c>
    </row>
    <row r="6797" spans="1:12" ht="25" customHeight="1">
      <c r="A6797" s="2" t="s">
        <v>12</v>
      </c>
      <c r="B6797" s="2" t="str">
        <f>HYPERLINK("http://bbs.12365auto.com/postcontent.aspx?tId=194240","20万内无敌手 这台国产性能小钢炮究竟香不香")</f>
        <v>20万内无敌手 这台国产性能小钢炮究竟香不香</v>
      </c>
      <c r="C6797" s="2" t="s">
        <v>13</v>
      </c>
      <c r="D6797" s="2" t="s">
        <v>12</v>
      </c>
      <c r="E6797" s="2" t="s">
        <v>27</v>
      </c>
      <c r="F6797" s="2" t="str">
        <f>HYPERLINK("http://bbs.12365auto.com/postcontent.aspx?tId=194240","http://bbs.12365auto.com/postcontent.aspx?tId=194240")</f>
        <v>http://bbs.12365auto.com/postcontent.aspx?tId=194240</v>
      </c>
      <c r="G6797" s="2"/>
      <c r="H6797" s="2" t="s">
        <v>2705</v>
      </c>
      <c r="I6797" s="2" t="s">
        <v>15</v>
      </c>
      <c r="J6797" s="2" t="s">
        <v>9263</v>
      </c>
      <c r="K6797" s="2" t="s">
        <v>9302</v>
      </c>
      <c r="L6797" s="2">
        <f t="shared" si="106"/>
        <v>150</v>
      </c>
    </row>
    <row r="6798" spans="1:12" ht="25" customHeight="1">
      <c r="A6798" s="2" t="s">
        <v>12</v>
      </c>
      <c r="B6798" s="2" t="str">
        <f>HYPERLINK("http://www.12365auto.com/news/20200217/418712.shtml","北京交管局：开通网上申领临时号牌服务")</f>
        <v>北京交管局：开通网上申领临时号牌服务</v>
      </c>
      <c r="C6798" s="2" t="s">
        <v>13</v>
      </c>
      <c r="D6798" s="2" t="s">
        <v>12</v>
      </c>
      <c r="E6798" s="2" t="s">
        <v>276</v>
      </c>
      <c r="F6798" s="2" t="str">
        <f>HYPERLINK("http://www.12365auto.com/news/20200217/418712.shtml","http://www.12365auto.com/news/20200217/418712.shtml")</f>
        <v>http://www.12365auto.com/news/20200217/418712.shtml</v>
      </c>
      <c r="G6798" s="2"/>
      <c r="H6798" s="2" t="s">
        <v>9305</v>
      </c>
      <c r="I6798" s="2" t="s">
        <v>15</v>
      </c>
      <c r="J6798" s="2" t="s">
        <v>12</v>
      </c>
      <c r="K6798" s="2" t="s">
        <v>9302</v>
      </c>
      <c r="L6798" s="2">
        <f t="shared" si="106"/>
        <v>150</v>
      </c>
    </row>
    <row r="6799" spans="1:12" ht="25" customHeight="1">
      <c r="A6799" s="2" t="s">
        <v>12</v>
      </c>
      <c r="B6799" s="2" t="str">
        <f>HYPERLINK("http://m.12365auto.com/news/20200217/418712.shtml","北京交管局：开通网上申领临时号牌服务")</f>
        <v>北京交管局：开通网上申领临时号牌服务</v>
      </c>
      <c r="C6799" s="2" t="s">
        <v>13</v>
      </c>
      <c r="D6799" s="2" t="s">
        <v>12</v>
      </c>
      <c r="E6799" s="2"/>
      <c r="F6799" s="2" t="str">
        <f>HYPERLINK("http://m.12365auto.com/news/20200217/418712.shtml","http://m.12365auto.com/news/20200217/418712.shtml")</f>
        <v>http://m.12365auto.com/news/20200217/418712.shtml</v>
      </c>
      <c r="G6799" s="2"/>
      <c r="H6799" s="2" t="s">
        <v>9306</v>
      </c>
      <c r="I6799" s="2" t="s">
        <v>19</v>
      </c>
      <c r="J6799" s="2" t="s">
        <v>751</v>
      </c>
      <c r="K6799" s="2" t="s">
        <v>9302</v>
      </c>
      <c r="L6799" s="2">
        <f t="shared" si="106"/>
        <v>150</v>
      </c>
    </row>
    <row r="6800" spans="1:12" ht="25" customHeight="1">
      <c r="A6800" s="2" t="s">
        <v>12</v>
      </c>
      <c r="B6800" s="2" t="str">
        <f>HYPERLINK("http://bbs.12365auto.com/postcontent.aspx?tId=194237","公认的几款国产省油SUV，不接受任何反驳")</f>
        <v>公认的几款国产省油SUV，不接受任何反驳</v>
      </c>
      <c r="C6800" s="2" t="s">
        <v>13</v>
      </c>
      <c r="D6800" s="2" t="s">
        <v>12</v>
      </c>
      <c r="E6800" s="2" t="s">
        <v>210</v>
      </c>
      <c r="F6800" s="2" t="str">
        <f>HYPERLINK("http://bbs.12365auto.com/postcontent.aspx?tId=194237","http://bbs.12365auto.com/postcontent.aspx?tId=194237")</f>
        <v>http://bbs.12365auto.com/postcontent.aspx?tId=194237</v>
      </c>
      <c r="G6800" s="2"/>
      <c r="H6800" s="2" t="s">
        <v>938</v>
      </c>
      <c r="I6800" s="2" t="s">
        <v>15</v>
      </c>
      <c r="J6800" s="2" t="s">
        <v>3718</v>
      </c>
      <c r="K6800" s="2" t="s">
        <v>9307</v>
      </c>
      <c r="L6800" s="2">
        <f t="shared" si="106"/>
        <v>150</v>
      </c>
    </row>
    <row r="6801" spans="1:12" ht="25" customHeight="1">
      <c r="A6801" s="2" t="s">
        <v>12</v>
      </c>
      <c r="B6801" s="2" t="str">
        <f>HYPERLINK("http://bbs.12365auto.com/postcontent.aspx?tID=194238","连续12个月销量为0 众泰SR9为何沦为“市场弃子”")</f>
        <v>连续12个月销量为0 众泰SR9为何沦为“市场弃子”</v>
      </c>
      <c r="C6801" s="2" t="s">
        <v>13</v>
      </c>
      <c r="D6801" s="2" t="s">
        <v>12</v>
      </c>
      <c r="E6801" s="2" t="s">
        <v>28</v>
      </c>
      <c r="F6801" s="2" t="str">
        <f>HYPERLINK("http://bbs.12365auto.com/postcontent.aspx?tID=194238","http://bbs.12365auto.com/postcontent.aspx?tID=194238")</f>
        <v>http://bbs.12365auto.com/postcontent.aspx?tID=194238</v>
      </c>
      <c r="G6801" s="2"/>
      <c r="H6801" s="2" t="s">
        <v>9308</v>
      </c>
      <c r="I6801" s="2" t="s">
        <v>15</v>
      </c>
      <c r="J6801" s="2" t="s">
        <v>9263</v>
      </c>
      <c r="K6801" s="2" t="s">
        <v>9307</v>
      </c>
      <c r="L6801" s="2">
        <f t="shared" si="106"/>
        <v>150</v>
      </c>
    </row>
    <row r="6802" spans="1:12" ht="25" customHeight="1">
      <c r="A6802" s="2" t="s">
        <v>12</v>
      </c>
      <c r="B6802" s="2" t="str">
        <f>HYPERLINK("http://bbs.12365auto.com/postcontent.aspx?tID=194239","最便宜的豪华7座SUV 这三款最低30万就可购买")</f>
        <v>最便宜的豪华7座SUV 这三款最低30万就可购买</v>
      </c>
      <c r="C6802" s="2" t="s">
        <v>13</v>
      </c>
      <c r="D6802" s="2" t="s">
        <v>12</v>
      </c>
      <c r="E6802" s="2" t="s">
        <v>28</v>
      </c>
      <c r="F6802" s="2" t="str">
        <f>HYPERLINK("http://bbs.12365auto.com/postcontent.aspx?tID=194239","http://bbs.12365auto.com/postcontent.aspx?tID=194239")</f>
        <v>http://bbs.12365auto.com/postcontent.aspx?tID=194239</v>
      </c>
      <c r="G6802" s="2"/>
      <c r="H6802" s="2" t="s">
        <v>6480</v>
      </c>
      <c r="I6802" s="2" t="s">
        <v>15</v>
      </c>
      <c r="J6802" s="2" t="s">
        <v>9263</v>
      </c>
      <c r="K6802" s="2" t="s">
        <v>9307</v>
      </c>
      <c r="L6802" s="2">
        <f t="shared" si="106"/>
        <v>150</v>
      </c>
    </row>
    <row r="6803" spans="1:12" ht="25" customHeight="1">
      <c r="A6803" s="2" t="s">
        <v>12</v>
      </c>
      <c r="B6803" s="2" t="str">
        <f>HYPERLINK("http://bbs.12365auto.com/postcontent.aspx?tID=194237","公认的几款国产省油SUV，不接受任何反驳")</f>
        <v>公认的几款国产省油SUV，不接受任何反驳</v>
      </c>
      <c r="C6803" s="2" t="s">
        <v>13</v>
      </c>
      <c r="D6803" s="2" t="s">
        <v>12</v>
      </c>
      <c r="E6803" s="2" t="s">
        <v>214</v>
      </c>
      <c r="F6803" s="2" t="str">
        <f>HYPERLINK("http://bbs.12365auto.com/postcontent.aspx?tID=194237","http://bbs.12365auto.com/postcontent.aspx?tID=194237")</f>
        <v>http://bbs.12365auto.com/postcontent.aspx?tID=194237</v>
      </c>
      <c r="G6803" s="2"/>
      <c r="H6803" s="2" t="s">
        <v>9309</v>
      </c>
      <c r="I6803" s="2" t="s">
        <v>15</v>
      </c>
      <c r="J6803" s="2" t="s">
        <v>3718</v>
      </c>
      <c r="K6803" s="2" t="s">
        <v>9307</v>
      </c>
      <c r="L6803" s="2">
        <f t="shared" si="106"/>
        <v>150</v>
      </c>
    </row>
    <row r="6804" spans="1:12" ht="25" customHeight="1">
      <c r="A6804" s="2" t="s">
        <v>12</v>
      </c>
      <c r="B6804" s="2" t="str">
        <f>HYPERLINK("http://bbs.12365auto.com/postcontent.aspx?tId=194238","连续12个月销量为0 众泰SR9为何沦为“市场弃子”")</f>
        <v>连续12个月销量为0 众泰SR9为何沦为“市场弃子”</v>
      </c>
      <c r="C6804" s="2" t="s">
        <v>13</v>
      </c>
      <c r="D6804" s="2" t="s">
        <v>12</v>
      </c>
      <c r="E6804" s="2" t="s">
        <v>27</v>
      </c>
      <c r="F6804" s="2" t="str">
        <f>HYPERLINK("http://bbs.12365auto.com/postcontent.aspx?tId=194238","http://bbs.12365auto.com/postcontent.aspx?tId=194238")</f>
        <v>http://bbs.12365auto.com/postcontent.aspx?tId=194238</v>
      </c>
      <c r="G6804" s="2"/>
      <c r="H6804" s="2" t="s">
        <v>9210</v>
      </c>
      <c r="I6804" s="2" t="s">
        <v>15</v>
      </c>
      <c r="J6804" s="2" t="s">
        <v>9263</v>
      </c>
      <c r="K6804" s="2" t="s">
        <v>9307</v>
      </c>
      <c r="L6804" s="2">
        <f t="shared" si="106"/>
        <v>150</v>
      </c>
    </row>
    <row r="6805" spans="1:12" ht="25" customHeight="1">
      <c r="A6805" s="2" t="s">
        <v>12</v>
      </c>
      <c r="B6805" s="2" t="str">
        <f>HYPERLINK("http://bbs.12365auto.com/postcontent.aspx?tId=194239","最便宜的豪华7座SUV 这三款最低30万就可购买")</f>
        <v>最便宜的豪华7座SUV 这三款最低30万就可购买</v>
      </c>
      <c r="C6805" s="2" t="s">
        <v>13</v>
      </c>
      <c r="D6805" s="2" t="s">
        <v>12</v>
      </c>
      <c r="E6805" s="2" t="s">
        <v>27</v>
      </c>
      <c r="F6805" s="2" t="str">
        <f>HYPERLINK("http://bbs.12365auto.com/postcontent.aspx?tId=194239","http://bbs.12365auto.com/postcontent.aspx?tId=194239")</f>
        <v>http://bbs.12365auto.com/postcontent.aspx?tId=194239</v>
      </c>
      <c r="G6805" s="2"/>
      <c r="H6805" s="2" t="s">
        <v>6478</v>
      </c>
      <c r="I6805" s="2" t="s">
        <v>15</v>
      </c>
      <c r="J6805" s="2" t="s">
        <v>9263</v>
      </c>
      <c r="K6805" s="2" t="s">
        <v>9307</v>
      </c>
      <c r="L6805" s="2">
        <f t="shared" si="106"/>
        <v>150</v>
      </c>
    </row>
    <row r="6806" spans="1:12" ht="25" customHeight="1">
      <c r="A6806" s="2" t="s">
        <v>12</v>
      </c>
      <c r="B6806" s="2" t="str">
        <f>HYPERLINK("http://www.12365auto.com/news/20200217/418709.shtml","稳定消费 国家鼓励限购地区增汽车指标")</f>
        <v>稳定消费 国家鼓励限购地区增汽车指标</v>
      </c>
      <c r="C6806" s="2" t="s">
        <v>13</v>
      </c>
      <c r="D6806" s="2" t="s">
        <v>12</v>
      </c>
      <c r="E6806" s="2" t="s">
        <v>276</v>
      </c>
      <c r="F6806" s="2" t="str">
        <f>HYPERLINK("http://www.12365auto.com/news/20200217/418709.shtml","http://www.12365auto.com/news/20200217/418709.shtml")</f>
        <v>http://www.12365auto.com/news/20200217/418709.shtml</v>
      </c>
      <c r="G6806" s="2"/>
      <c r="H6806" s="2" t="s">
        <v>9310</v>
      </c>
      <c r="I6806" s="2" t="s">
        <v>15</v>
      </c>
      <c r="J6806" s="2" t="s">
        <v>12</v>
      </c>
      <c r="K6806" s="2" t="s">
        <v>9307</v>
      </c>
      <c r="L6806" s="2">
        <f t="shared" si="106"/>
        <v>150</v>
      </c>
    </row>
    <row r="6807" spans="1:12" ht="25" customHeight="1">
      <c r="A6807" s="2" t="s">
        <v>12</v>
      </c>
      <c r="B6807" s="2" t="str">
        <f>HYPERLINK("http://www.12365auto.com/news/20200217/418711.shtml","2月17日起 全国收费公路免收车辆通行费")</f>
        <v>2月17日起 全国收费公路免收车辆通行费</v>
      </c>
      <c r="C6807" s="2" t="s">
        <v>13</v>
      </c>
      <c r="D6807" s="2" t="s">
        <v>12</v>
      </c>
      <c r="E6807" s="2" t="s">
        <v>276</v>
      </c>
      <c r="F6807" s="2" t="str">
        <f>HYPERLINK("http://www.12365auto.com/news/20200217/418711.shtml","http://www.12365auto.com/news/20200217/418711.shtml")</f>
        <v>http://www.12365auto.com/news/20200217/418711.shtml</v>
      </c>
      <c r="G6807" s="2"/>
      <c r="H6807" s="2" t="s">
        <v>9311</v>
      </c>
      <c r="I6807" s="2" t="s">
        <v>15</v>
      </c>
      <c r="J6807" s="2" t="s">
        <v>12</v>
      </c>
      <c r="K6807" s="2" t="s">
        <v>9307</v>
      </c>
      <c r="L6807" s="2">
        <f t="shared" si="106"/>
        <v>150</v>
      </c>
    </row>
    <row r="6808" spans="1:12" ht="25" customHeight="1">
      <c r="A6808" s="2" t="s">
        <v>12</v>
      </c>
      <c r="B6808" s="2" t="str">
        <f>HYPERLINK("http://m.12365auto.com/news/20200217/418709.shtml","稳定消费 国家鼓励限购地区增汽车指标")</f>
        <v>稳定消费 国家鼓励限购地区增汽车指标</v>
      </c>
      <c r="C6808" s="2" t="s">
        <v>13</v>
      </c>
      <c r="D6808" s="2" t="s">
        <v>12</v>
      </c>
      <c r="E6808" s="2"/>
      <c r="F6808" s="2" t="str">
        <f>HYPERLINK("http://m.12365auto.com/news/20200217/418709.shtml","http://m.12365auto.com/news/20200217/418709.shtml")</f>
        <v>http://m.12365auto.com/news/20200217/418709.shtml</v>
      </c>
      <c r="G6808" s="2"/>
      <c r="H6808" s="2" t="s">
        <v>9312</v>
      </c>
      <c r="I6808" s="2" t="s">
        <v>19</v>
      </c>
      <c r="J6808" s="2" t="s">
        <v>1205</v>
      </c>
      <c r="K6808" s="2" t="s">
        <v>9307</v>
      </c>
      <c r="L6808" s="2">
        <f t="shared" si="106"/>
        <v>150</v>
      </c>
    </row>
    <row r="6809" spans="1:12" ht="25" customHeight="1">
      <c r="A6809" s="2" t="s">
        <v>12</v>
      </c>
      <c r="B6809" s="2" t="str">
        <f>HYPERLINK("http://m.12365auto.com/news/20200217/418711.shtml","2月17日起 全国收费公路免收车辆通行费")</f>
        <v>2月17日起 全国收费公路免收车辆通行费</v>
      </c>
      <c r="C6809" s="2" t="s">
        <v>13</v>
      </c>
      <c r="D6809" s="2" t="s">
        <v>12</v>
      </c>
      <c r="E6809" s="2"/>
      <c r="F6809" s="2" t="str">
        <f>HYPERLINK("http://m.12365auto.com/news/20200217/418711.shtml","http://m.12365auto.com/news/20200217/418711.shtml")</f>
        <v>http://m.12365auto.com/news/20200217/418711.shtml</v>
      </c>
      <c r="G6809" s="2"/>
      <c r="H6809" s="2" t="s">
        <v>9313</v>
      </c>
      <c r="I6809" s="2" t="s">
        <v>19</v>
      </c>
      <c r="J6809" s="2" t="s">
        <v>751</v>
      </c>
      <c r="K6809" s="2" t="s">
        <v>9307</v>
      </c>
      <c r="L6809" s="2">
        <f t="shared" si="106"/>
        <v>150</v>
      </c>
    </row>
    <row r="6810" spans="1:12" ht="25" customHeight="1">
      <c r="A6810" s="2" t="s">
        <v>12</v>
      </c>
      <c r="B6810" s="2" t="str">
        <f>HYPERLINK("http://bbs.12365auto.com/postcontent.aspx?tId=194236","它号称“小A7” 售价只有奥迪A7的一半")</f>
        <v>它号称“小A7” 售价只有奥迪A7的一半</v>
      </c>
      <c r="C6810" s="2" t="s">
        <v>13</v>
      </c>
      <c r="D6810" s="2" t="s">
        <v>12</v>
      </c>
      <c r="E6810" s="2" t="s">
        <v>27</v>
      </c>
      <c r="F6810" s="2" t="str">
        <f>HYPERLINK("http://bbs.12365auto.com/postcontent.aspx?tId=194236","http://bbs.12365auto.com/postcontent.aspx?tId=194236")</f>
        <v>http://bbs.12365auto.com/postcontent.aspx?tId=194236</v>
      </c>
      <c r="G6810" s="2"/>
      <c r="H6810" s="2" t="s">
        <v>9282</v>
      </c>
      <c r="I6810" s="2" t="s">
        <v>15</v>
      </c>
      <c r="J6810" s="2" t="s">
        <v>9263</v>
      </c>
      <c r="K6810" s="2" t="s">
        <v>9314</v>
      </c>
      <c r="L6810" s="2">
        <f t="shared" si="106"/>
        <v>150</v>
      </c>
    </row>
    <row r="6811" spans="1:12" ht="25" customHeight="1">
      <c r="A6811" s="2" t="s">
        <v>12</v>
      </c>
      <c r="B6811" s="2" t="str">
        <f>HYPERLINK("http://bbs.12365auto.com/postcontent.aspx?tID=194236","它号称“小A7” 售价只有奥迪A7的一半")</f>
        <v>它号称“小A7” 售价只有奥迪A7的一半</v>
      </c>
      <c r="C6811" s="2" t="s">
        <v>13</v>
      </c>
      <c r="D6811" s="2" t="s">
        <v>12</v>
      </c>
      <c r="E6811" s="2" t="s">
        <v>28</v>
      </c>
      <c r="F6811" s="2" t="str">
        <f>HYPERLINK("http://bbs.12365auto.com/postcontent.aspx?tID=194236","http://bbs.12365auto.com/postcontent.aspx?tID=194236")</f>
        <v>http://bbs.12365auto.com/postcontent.aspx?tID=194236</v>
      </c>
      <c r="G6811" s="2"/>
      <c r="H6811" s="2" t="s">
        <v>9315</v>
      </c>
      <c r="I6811" s="2" t="s">
        <v>15</v>
      </c>
      <c r="J6811" s="2" t="s">
        <v>9263</v>
      </c>
      <c r="K6811" s="2" t="s">
        <v>9314</v>
      </c>
      <c r="L6811" s="2">
        <f t="shared" si="106"/>
        <v>150</v>
      </c>
    </row>
    <row r="6812" spans="1:12" ht="25" customHeight="1">
      <c r="A6812" s="2" t="s">
        <v>12</v>
      </c>
      <c r="B6812" s="2" t="str">
        <f>HYPERLINK("http://www.12365auto.com/zlts/20200217/447485.shtml","东风雪铁龙世嘉油箱变形导致油表不准")</f>
        <v>东风雪铁龙世嘉油箱变形导致油表不准</v>
      </c>
      <c r="C6812" s="2" t="s">
        <v>13</v>
      </c>
      <c r="D6812" s="2" t="s">
        <v>12</v>
      </c>
      <c r="E6812" s="2" t="s">
        <v>17</v>
      </c>
      <c r="F6812" s="2" t="str">
        <f>HYPERLINK("http://www.12365auto.com/zlts/20200217/447485.shtml","http://www.12365auto.com/zlts/20200217/447485.shtml")</f>
        <v>http://www.12365auto.com/zlts/20200217/447485.shtml</v>
      </c>
      <c r="G6812" s="2"/>
      <c r="H6812" s="2" t="s">
        <v>9316</v>
      </c>
      <c r="I6812" s="2" t="s">
        <v>19</v>
      </c>
      <c r="J6812" s="2" t="s">
        <v>12</v>
      </c>
      <c r="K6812" s="2" t="s">
        <v>9314</v>
      </c>
      <c r="L6812" s="2">
        <f t="shared" si="106"/>
        <v>150</v>
      </c>
    </row>
    <row r="6813" spans="1:12" ht="25" customHeight="1">
      <c r="A6813" s="2" t="s">
        <v>12</v>
      </c>
      <c r="B6813" s="2" t="str">
        <f>HYPERLINK("http://www.12365auto.com/xcdg/20200217/418708.shtml","新款奥迪RS 5将于8月上市 零百加速3.9s")</f>
        <v>新款奥迪RS 5将于8月上市 零百加速3.9s</v>
      </c>
      <c r="C6813" s="2" t="s">
        <v>13</v>
      </c>
      <c r="D6813" s="2" t="s">
        <v>12</v>
      </c>
      <c r="E6813" s="2" t="s">
        <v>216</v>
      </c>
      <c r="F6813" s="2" t="str">
        <f>HYPERLINK("http://www.12365auto.com/xcdg/20200217/418708.shtml","http://www.12365auto.com/xcdg/20200217/418708.shtml")</f>
        <v>http://www.12365auto.com/xcdg/20200217/418708.shtml</v>
      </c>
      <c r="G6813" s="2"/>
      <c r="H6813" s="2" t="s">
        <v>9317</v>
      </c>
      <c r="I6813" s="2" t="s">
        <v>15</v>
      </c>
      <c r="J6813" s="2" t="s">
        <v>12</v>
      </c>
      <c r="K6813" s="2" t="s">
        <v>9318</v>
      </c>
      <c r="L6813" s="2">
        <f t="shared" si="106"/>
        <v>150</v>
      </c>
    </row>
    <row r="6814" spans="1:12" ht="25" customHeight="1">
      <c r="A6814" s="2" t="s">
        <v>12</v>
      </c>
      <c r="B6814" s="2" t="str">
        <f>HYPERLINK("http://m.12365auto.com/xcdg/20200217/418708.shtml","新款奥迪RS 5将于8月上市 零百加速3.9s")</f>
        <v>新款奥迪RS 5将于8月上市 零百加速3.9s</v>
      </c>
      <c r="C6814" s="2" t="s">
        <v>13</v>
      </c>
      <c r="D6814" s="2" t="s">
        <v>12</v>
      </c>
      <c r="E6814" s="2"/>
      <c r="F6814" s="2" t="str">
        <f>HYPERLINK("http://m.12365auto.com/xcdg/20200217/418708.shtml","http://m.12365auto.com/xcdg/20200217/418708.shtml")</f>
        <v>http://m.12365auto.com/xcdg/20200217/418708.shtml</v>
      </c>
      <c r="G6814" s="2"/>
      <c r="H6814" s="2" t="s">
        <v>9319</v>
      </c>
      <c r="I6814" s="2" t="s">
        <v>19</v>
      </c>
      <c r="J6814" s="2" t="s">
        <v>1657</v>
      </c>
      <c r="K6814" s="2" t="s">
        <v>9318</v>
      </c>
      <c r="L6814" s="2">
        <f t="shared" si="106"/>
        <v>150</v>
      </c>
    </row>
    <row r="6815" spans="1:12" ht="25" customHeight="1">
      <c r="A6815" s="2" t="s">
        <v>12</v>
      </c>
      <c r="B6815" s="2" t="str">
        <f>HYPERLINK("http://www.12365auto.com/xcdg/20200217/418707.shtml","菲斯塔纯电动版月底上市 续航里程490km")</f>
        <v>菲斯塔纯电动版月底上市 续航里程490km</v>
      </c>
      <c r="C6815" s="2" t="s">
        <v>13</v>
      </c>
      <c r="D6815" s="2" t="s">
        <v>12</v>
      </c>
      <c r="E6815" s="2" t="s">
        <v>216</v>
      </c>
      <c r="F6815" s="2" t="str">
        <f>HYPERLINK("http://www.12365auto.com/xcdg/20200217/418707.shtml","http://www.12365auto.com/xcdg/20200217/418707.shtml")</f>
        <v>http://www.12365auto.com/xcdg/20200217/418707.shtml</v>
      </c>
      <c r="G6815" s="2"/>
      <c r="H6815" s="2" t="s">
        <v>9320</v>
      </c>
      <c r="I6815" s="2" t="s">
        <v>15</v>
      </c>
      <c r="J6815" s="2" t="s">
        <v>12</v>
      </c>
      <c r="K6815" s="2" t="s">
        <v>9321</v>
      </c>
      <c r="L6815" s="2">
        <f t="shared" si="106"/>
        <v>150</v>
      </c>
    </row>
    <row r="6816" spans="1:12" ht="25" customHeight="1">
      <c r="A6816" s="2" t="s">
        <v>12</v>
      </c>
      <c r="B6816" s="2" t="str">
        <f>HYPERLINK("http://m.12365auto.com/xcdg/20200217/418707.shtml","菲斯塔纯电动版月底上市 续航里程490km")</f>
        <v>菲斯塔纯电动版月底上市 续航里程490km</v>
      </c>
      <c r="C6816" s="2" t="s">
        <v>13</v>
      </c>
      <c r="D6816" s="2" t="s">
        <v>12</v>
      </c>
      <c r="E6816" s="2"/>
      <c r="F6816" s="2" t="str">
        <f>HYPERLINK("http://m.12365auto.com/xcdg/20200217/418707.shtml","http://m.12365auto.com/xcdg/20200217/418707.shtml")</f>
        <v>http://m.12365auto.com/xcdg/20200217/418707.shtml</v>
      </c>
      <c r="G6816" s="2"/>
      <c r="H6816" s="2" t="s">
        <v>9322</v>
      </c>
      <c r="I6816" s="2" t="s">
        <v>19</v>
      </c>
      <c r="J6816" s="2" t="s">
        <v>751</v>
      </c>
      <c r="K6816" s="2" t="s">
        <v>9321</v>
      </c>
      <c r="L6816" s="2">
        <f t="shared" si="106"/>
        <v>150</v>
      </c>
    </row>
    <row r="6817" spans="1:12" ht="25" customHeight="1">
      <c r="A6817" s="2" t="s">
        <v>12</v>
      </c>
      <c r="B6817" s="2" t="str">
        <f>HYPERLINK("http://www.12365auto.com/zlts/20200217/447484.shtml","北京现代途胜升级发动机后噪音大油耗增加")</f>
        <v>北京现代途胜升级发动机后噪音大油耗增加</v>
      </c>
      <c r="C6817" s="2" t="s">
        <v>13</v>
      </c>
      <c r="D6817" s="2" t="s">
        <v>12</v>
      </c>
      <c r="E6817" s="2" t="s">
        <v>17</v>
      </c>
      <c r="F6817" s="2" t="str">
        <f>HYPERLINK("http://www.12365auto.com/zlts/20200217/447484.shtml","http://www.12365auto.com/zlts/20200217/447484.shtml")</f>
        <v>http://www.12365auto.com/zlts/20200217/447484.shtml</v>
      </c>
      <c r="G6817" s="2"/>
      <c r="H6817" s="2" t="s">
        <v>9323</v>
      </c>
      <c r="I6817" s="2" t="s">
        <v>15</v>
      </c>
      <c r="J6817" s="2" t="s">
        <v>12</v>
      </c>
      <c r="K6817" s="2" t="s">
        <v>9324</v>
      </c>
      <c r="L6817" s="2">
        <f t="shared" si="106"/>
        <v>150</v>
      </c>
    </row>
    <row r="6818" spans="1:12" ht="25" customHeight="1">
      <c r="A6818" s="2" t="s">
        <v>12</v>
      </c>
      <c r="B6818" s="2" t="str">
        <f>HYPERLINK("http://bbs.12365auto.com/postcontent.aspx?tID=194235","这些车看着不贵，但买回家可能连胎都换不起")</f>
        <v>这些车看着不贵，但买回家可能连胎都换不起</v>
      </c>
      <c r="C6818" s="2" t="s">
        <v>13</v>
      </c>
      <c r="D6818" s="2" t="s">
        <v>12</v>
      </c>
      <c r="E6818" s="2" t="s">
        <v>214</v>
      </c>
      <c r="F6818" s="2" t="str">
        <f>HYPERLINK("http://bbs.12365auto.com/postcontent.aspx?tID=194235","http://bbs.12365auto.com/postcontent.aspx?tID=194235")</f>
        <v>http://bbs.12365auto.com/postcontent.aspx?tID=194235</v>
      </c>
      <c r="G6818" s="2"/>
      <c r="H6818" s="2" t="s">
        <v>9325</v>
      </c>
      <c r="I6818" s="2" t="s">
        <v>15</v>
      </c>
      <c r="J6818" s="2" t="s">
        <v>3718</v>
      </c>
      <c r="K6818" s="2" t="s">
        <v>9324</v>
      </c>
      <c r="L6818" s="2">
        <f t="shared" si="106"/>
        <v>150</v>
      </c>
    </row>
    <row r="6819" spans="1:12" ht="25" customHeight="1">
      <c r="A6819" s="2" t="s">
        <v>12</v>
      </c>
      <c r="B6819" s="2" t="str">
        <f>HYPERLINK("http://bbs.12365auto.com/postcontent.aspx?tId=194235","这些车看着不贵，但买回家可能连胎都换不起")</f>
        <v>这些车看着不贵，但买回家可能连胎都换不起</v>
      </c>
      <c r="C6819" s="2" t="s">
        <v>13</v>
      </c>
      <c r="D6819" s="2" t="s">
        <v>12</v>
      </c>
      <c r="E6819" s="2" t="s">
        <v>210</v>
      </c>
      <c r="F6819" s="2" t="str">
        <f>HYPERLINK("http://bbs.12365auto.com/postcontent.aspx?tId=194235","http://bbs.12365auto.com/postcontent.aspx?tId=194235")</f>
        <v>http://bbs.12365auto.com/postcontent.aspx?tId=194235</v>
      </c>
      <c r="G6819" s="2"/>
      <c r="H6819" s="2" t="s">
        <v>9326</v>
      </c>
      <c r="I6819" s="2" t="s">
        <v>15</v>
      </c>
      <c r="J6819" s="2" t="s">
        <v>3718</v>
      </c>
      <c r="K6819" s="2" t="s">
        <v>9324</v>
      </c>
      <c r="L6819" s="2">
        <f t="shared" si="106"/>
        <v>150</v>
      </c>
    </row>
    <row r="6820" spans="1:12" ht="25" customHeight="1">
      <c r="A6820" s="2" t="s">
        <v>12</v>
      </c>
      <c r="B6820" s="2" t="str">
        <f>HYPERLINK("http://bbs.12365auto.com/postcontent.aspx?tId=194234","20万想买到2.0T+四驱？看看这几款是否合你意")</f>
        <v>20万想买到2.0T+四驱？看看这几款是否合你意</v>
      </c>
      <c r="C6820" s="2" t="s">
        <v>13</v>
      </c>
      <c r="D6820" s="2" t="s">
        <v>12</v>
      </c>
      <c r="E6820" s="2" t="s">
        <v>210</v>
      </c>
      <c r="F6820" s="2" t="str">
        <f>HYPERLINK("http://bbs.12365auto.com/postcontent.aspx?tId=194234","http://bbs.12365auto.com/postcontent.aspx?tId=194234")</f>
        <v>http://bbs.12365auto.com/postcontent.aspx?tId=194234</v>
      </c>
      <c r="G6820" s="2"/>
      <c r="H6820" s="2" t="s">
        <v>9327</v>
      </c>
      <c r="I6820" s="2" t="s">
        <v>15</v>
      </c>
      <c r="J6820" s="2" t="s">
        <v>3718</v>
      </c>
      <c r="K6820" s="2" t="s">
        <v>9328</v>
      </c>
      <c r="L6820" s="2">
        <f t="shared" si="106"/>
        <v>150</v>
      </c>
    </row>
    <row r="6821" spans="1:12" ht="25" customHeight="1">
      <c r="A6821" s="2" t="s">
        <v>12</v>
      </c>
      <c r="B6821" s="2" t="str">
        <f>HYPERLINK("http://bbs.12365auto.com/postcontent.aspx?tID=194234","20万想买到2.0T+四驱？看看这几款是否合你意")</f>
        <v>20万想买到2.0T+四驱？看看这几款是否合你意</v>
      </c>
      <c r="C6821" s="2" t="s">
        <v>13</v>
      </c>
      <c r="D6821" s="2" t="s">
        <v>12</v>
      </c>
      <c r="E6821" s="2" t="s">
        <v>214</v>
      </c>
      <c r="F6821" s="2" t="str">
        <f>HYPERLINK("http://bbs.12365auto.com/postcontent.aspx?tID=194234","http://bbs.12365auto.com/postcontent.aspx?tID=194234")</f>
        <v>http://bbs.12365auto.com/postcontent.aspx?tID=194234</v>
      </c>
      <c r="G6821" s="2"/>
      <c r="H6821" s="2" t="s">
        <v>9329</v>
      </c>
      <c r="I6821" s="2" t="s">
        <v>15</v>
      </c>
      <c r="J6821" s="2" t="s">
        <v>3718</v>
      </c>
      <c r="K6821" s="2" t="s">
        <v>9328</v>
      </c>
      <c r="L6821" s="2">
        <f t="shared" si="106"/>
        <v>150</v>
      </c>
    </row>
    <row r="6822" spans="1:12" ht="25" customHeight="1">
      <c r="A6822" s="2" t="s">
        <v>12</v>
      </c>
      <c r="B6822" s="2" t="str">
        <f>HYPERLINK("http://www.12365auto.com/xcdg/20200217/418706.shtml","MINI两款绝配限量版上市 24.78-29.18万")</f>
        <v>MINI两款绝配限量版上市 24.78-29.18万</v>
      </c>
      <c r="C6822" s="2" t="s">
        <v>13</v>
      </c>
      <c r="D6822" s="2" t="s">
        <v>12</v>
      </c>
      <c r="E6822" s="2" t="s">
        <v>216</v>
      </c>
      <c r="F6822" s="2" t="str">
        <f>HYPERLINK("http://www.12365auto.com/xcdg/20200217/418706.shtml","http://www.12365auto.com/xcdg/20200217/418706.shtml")</f>
        <v>http://www.12365auto.com/xcdg/20200217/418706.shtml</v>
      </c>
      <c r="G6822" s="2"/>
      <c r="H6822" s="2" t="s">
        <v>9330</v>
      </c>
      <c r="I6822" s="2" t="s">
        <v>15</v>
      </c>
      <c r="J6822" s="2" t="s">
        <v>12</v>
      </c>
      <c r="K6822" s="2" t="s">
        <v>9328</v>
      </c>
      <c r="L6822" s="2">
        <f t="shared" si="106"/>
        <v>150</v>
      </c>
    </row>
    <row r="6823" spans="1:12" ht="25" customHeight="1">
      <c r="A6823" s="2" t="s">
        <v>12</v>
      </c>
      <c r="B6823" s="2" t="str">
        <f>HYPERLINK("http://m.12365auto.com/xcdg/20200217/418706.shtml","MINI两款绝配限量版上市 24.78-29.18万")</f>
        <v>MINI两款绝配限量版上市 24.78-29.18万</v>
      </c>
      <c r="C6823" s="2" t="s">
        <v>13</v>
      </c>
      <c r="D6823" s="2" t="s">
        <v>12</v>
      </c>
      <c r="E6823" s="2"/>
      <c r="F6823" s="2" t="str">
        <f>HYPERLINK("http://m.12365auto.com/xcdg/20200217/418706.shtml","http://m.12365auto.com/xcdg/20200217/418706.shtml")</f>
        <v>http://m.12365auto.com/xcdg/20200217/418706.shtml</v>
      </c>
      <c r="G6823" s="2"/>
      <c r="H6823" s="2" t="s">
        <v>9331</v>
      </c>
      <c r="I6823" s="2" t="s">
        <v>19</v>
      </c>
      <c r="J6823" s="2" t="s">
        <v>1218</v>
      </c>
      <c r="K6823" s="2" t="s">
        <v>9328</v>
      </c>
      <c r="L6823" s="2">
        <f t="shared" si="106"/>
        <v>150</v>
      </c>
    </row>
    <row r="6824" spans="1:12" ht="25" customHeight="1">
      <c r="A6824" s="2" t="s">
        <v>12</v>
      </c>
      <c r="B6824" s="2" t="str">
        <f>HYPERLINK("http://bbs.12365auto.com/postcontent.aspx?tId=194233","满载7人后，依然感受澎湃动力的SUV")</f>
        <v>满载7人后，依然感受澎湃动力的SUV</v>
      </c>
      <c r="C6824" s="2" t="s">
        <v>13</v>
      </c>
      <c r="D6824" s="2" t="s">
        <v>12</v>
      </c>
      <c r="E6824" s="2" t="s">
        <v>210</v>
      </c>
      <c r="F6824" s="2" t="str">
        <f>HYPERLINK("http://bbs.12365auto.com/postcontent.aspx?tId=194233","http://bbs.12365auto.com/postcontent.aspx?tId=194233")</f>
        <v>http://bbs.12365auto.com/postcontent.aspx?tId=194233</v>
      </c>
      <c r="G6824" s="2"/>
      <c r="H6824" s="2" t="s">
        <v>9332</v>
      </c>
      <c r="I6824" s="2" t="s">
        <v>15</v>
      </c>
      <c r="J6824" s="2" t="s">
        <v>3718</v>
      </c>
      <c r="K6824" s="2" t="s">
        <v>9333</v>
      </c>
      <c r="L6824" s="2">
        <f t="shared" si="106"/>
        <v>150</v>
      </c>
    </row>
    <row r="6825" spans="1:12" ht="25" customHeight="1">
      <c r="A6825" s="2" t="s">
        <v>12</v>
      </c>
      <c r="B6825" s="2" t="str">
        <f>HYPERLINK("http://bbs.12365auto.com/postcontent.aspx?tID=194233","满载7人后，依然感受澎湃动力的SUV")</f>
        <v>满载7人后，依然感受澎湃动力的SUV</v>
      </c>
      <c r="C6825" s="2" t="s">
        <v>13</v>
      </c>
      <c r="D6825" s="2" t="s">
        <v>12</v>
      </c>
      <c r="E6825" s="2" t="s">
        <v>214</v>
      </c>
      <c r="F6825" s="2" t="str">
        <f>HYPERLINK("http://bbs.12365auto.com/postcontent.aspx?tID=194233","http://bbs.12365auto.com/postcontent.aspx?tID=194233")</f>
        <v>http://bbs.12365auto.com/postcontent.aspx?tID=194233</v>
      </c>
      <c r="G6825" s="2"/>
      <c r="H6825" s="2" t="s">
        <v>9334</v>
      </c>
      <c r="I6825" s="2" t="s">
        <v>15</v>
      </c>
      <c r="J6825" s="2" t="s">
        <v>3718</v>
      </c>
      <c r="K6825" s="2" t="s">
        <v>9333</v>
      </c>
      <c r="L6825" s="2">
        <f t="shared" si="106"/>
        <v>150</v>
      </c>
    </row>
    <row r="6826" spans="1:12" ht="25" customHeight="1">
      <c r="A6826" s="2" t="s">
        <v>12</v>
      </c>
      <c r="B6826" s="2" t="str">
        <f>HYPERLINK("http://www.12365auto.com/zlts/20200217/447483.shtml","进口奔驰B级排气管冻住导致无法启动")</f>
        <v>进口奔驰B级排气管冻住导致无法启动</v>
      </c>
      <c r="C6826" s="2" t="s">
        <v>13</v>
      </c>
      <c r="D6826" s="2" t="s">
        <v>12</v>
      </c>
      <c r="E6826" s="2" t="s">
        <v>17</v>
      </c>
      <c r="F6826" s="2" t="str">
        <f>HYPERLINK("http://www.12365auto.com/zlts/20200217/447483.shtml","http://www.12365auto.com/zlts/20200217/447483.shtml")</f>
        <v>http://www.12365auto.com/zlts/20200217/447483.shtml</v>
      </c>
      <c r="G6826" s="2"/>
      <c r="H6826" s="2" t="s">
        <v>9335</v>
      </c>
      <c r="I6826" s="2" t="s">
        <v>19</v>
      </c>
      <c r="J6826" s="2" t="s">
        <v>12</v>
      </c>
      <c r="K6826" s="2" t="s">
        <v>9333</v>
      </c>
      <c r="L6826" s="2">
        <f t="shared" si="106"/>
        <v>150</v>
      </c>
    </row>
    <row r="6827" spans="1:12" ht="25" customHeight="1">
      <c r="A6827" s="2" t="s">
        <v>12</v>
      </c>
      <c r="B6827" s="2" t="str">
        <f>HYPERLINK("http://bbs.12365auto.com/postcontent.aspx?tId=194232","国内最畅销的10款车型，你的爱车上榜了吗？")</f>
        <v>国内最畅销的10款车型，你的爱车上榜了吗？</v>
      </c>
      <c r="C6827" s="2" t="s">
        <v>13</v>
      </c>
      <c r="D6827" s="2" t="s">
        <v>12</v>
      </c>
      <c r="E6827" s="2" t="s">
        <v>210</v>
      </c>
      <c r="F6827" s="2" t="str">
        <f>HYPERLINK("http://bbs.12365auto.com/postcontent.aspx?tId=194232","http://bbs.12365auto.com/postcontent.aspx?tId=194232")</f>
        <v>http://bbs.12365auto.com/postcontent.aspx?tId=194232</v>
      </c>
      <c r="G6827" s="2"/>
      <c r="H6827" s="2" t="s">
        <v>9336</v>
      </c>
      <c r="I6827" s="2" t="s">
        <v>15</v>
      </c>
      <c r="J6827" s="2" t="s">
        <v>3718</v>
      </c>
      <c r="K6827" s="2" t="s">
        <v>9337</v>
      </c>
      <c r="L6827" s="2">
        <f t="shared" si="106"/>
        <v>150</v>
      </c>
    </row>
    <row r="6828" spans="1:12" ht="25" customHeight="1">
      <c r="A6828" s="2" t="s">
        <v>12</v>
      </c>
      <c r="B6828" s="2" t="str">
        <f>HYPERLINK("http://bbs.12365auto.com/postcontent.aspx?tID=194232","国内最畅销的10款车型，你的爱车上榜了吗？")</f>
        <v>国内最畅销的10款车型，你的爱车上榜了吗？</v>
      </c>
      <c r="C6828" s="2" t="s">
        <v>13</v>
      </c>
      <c r="D6828" s="2" t="s">
        <v>12</v>
      </c>
      <c r="E6828" s="2" t="s">
        <v>214</v>
      </c>
      <c r="F6828" s="2" t="str">
        <f>HYPERLINK("http://bbs.12365auto.com/postcontent.aspx?tID=194232","http://bbs.12365auto.com/postcontent.aspx?tID=194232")</f>
        <v>http://bbs.12365auto.com/postcontent.aspx?tID=194232</v>
      </c>
      <c r="G6828" s="2"/>
      <c r="H6828" s="2" t="s">
        <v>9338</v>
      </c>
      <c r="I6828" s="2" t="s">
        <v>15</v>
      </c>
      <c r="J6828" s="2" t="s">
        <v>3718</v>
      </c>
      <c r="K6828" s="2" t="s">
        <v>9337</v>
      </c>
      <c r="L6828" s="2">
        <f t="shared" si="106"/>
        <v>150</v>
      </c>
    </row>
    <row r="6829" spans="1:12" ht="25" customHeight="1">
      <c r="A6829" s="2" t="s">
        <v>12</v>
      </c>
      <c r="B6829" s="2" t="str">
        <f>HYPERLINK("http://www.12365auto.com/xcdg/20200217/418705.shtml","荣威Ei6续航605km 将北京车展正式亮相")</f>
        <v>荣威Ei6续航605km 将北京车展正式亮相</v>
      </c>
      <c r="C6829" s="2" t="s">
        <v>13</v>
      </c>
      <c r="D6829" s="2" t="s">
        <v>12</v>
      </c>
      <c r="E6829" s="2" t="s">
        <v>216</v>
      </c>
      <c r="F6829" s="2" t="str">
        <f>HYPERLINK("http://www.12365auto.com/xcdg/20200217/418705.shtml","http://www.12365auto.com/xcdg/20200217/418705.shtml")</f>
        <v>http://www.12365auto.com/xcdg/20200217/418705.shtml</v>
      </c>
      <c r="G6829" s="2"/>
      <c r="H6829" s="2" t="s">
        <v>9339</v>
      </c>
      <c r="I6829" s="2" t="s">
        <v>15</v>
      </c>
      <c r="J6829" s="2" t="s">
        <v>12</v>
      </c>
      <c r="K6829" s="2" t="s">
        <v>9337</v>
      </c>
      <c r="L6829" s="2">
        <f t="shared" si="106"/>
        <v>150</v>
      </c>
    </row>
    <row r="6830" spans="1:12" ht="25" customHeight="1">
      <c r="A6830" s="2" t="s">
        <v>12</v>
      </c>
      <c r="B6830" s="2" t="str">
        <f>HYPERLINK("http://m.12365auto.com/xcdg/20200217/418705.shtml","荣威Ei6续航605km 将北京车展正式亮相")</f>
        <v>荣威Ei6续航605km 将北京车展正式亮相</v>
      </c>
      <c r="C6830" s="2" t="s">
        <v>13</v>
      </c>
      <c r="D6830" s="2" t="s">
        <v>12</v>
      </c>
      <c r="E6830" s="2"/>
      <c r="F6830" s="2" t="str">
        <f>HYPERLINK("http://m.12365auto.com/xcdg/20200217/418705.shtml","http://m.12365auto.com/xcdg/20200217/418705.shtml")</f>
        <v>http://m.12365auto.com/xcdg/20200217/418705.shtml</v>
      </c>
      <c r="G6830" s="2"/>
      <c r="H6830" s="2" t="s">
        <v>9340</v>
      </c>
      <c r="I6830" s="2" t="s">
        <v>19</v>
      </c>
      <c r="J6830" s="2" t="s">
        <v>1205</v>
      </c>
      <c r="K6830" s="2" t="s">
        <v>9337</v>
      </c>
      <c r="L6830" s="2">
        <f t="shared" si="106"/>
        <v>150</v>
      </c>
    </row>
    <row r="6831" spans="1:12" ht="25" customHeight="1">
      <c r="A6831" s="2" t="s">
        <v>12</v>
      </c>
      <c r="B6831" s="2" t="str">
        <f>HYPERLINK("http://bbs.12365auto.com/postcontent.aspx?tId=194231","谁说MPV都像面包车？这几款明明好看到爆")</f>
        <v>谁说MPV都像面包车？这几款明明好看到爆</v>
      </c>
      <c r="C6831" s="2" t="s">
        <v>13</v>
      </c>
      <c r="D6831" s="2" t="s">
        <v>12</v>
      </c>
      <c r="E6831" s="2" t="s">
        <v>210</v>
      </c>
      <c r="F6831" s="2" t="str">
        <f>HYPERLINK("http://bbs.12365auto.com/postcontent.aspx?tId=194231","http://bbs.12365auto.com/postcontent.aspx?tId=194231")</f>
        <v>http://bbs.12365auto.com/postcontent.aspx?tId=194231</v>
      </c>
      <c r="G6831" s="2"/>
      <c r="H6831" s="2" t="s">
        <v>9341</v>
      </c>
      <c r="I6831" s="2" t="s">
        <v>15</v>
      </c>
      <c r="J6831" s="2" t="s">
        <v>3718</v>
      </c>
      <c r="K6831" s="2" t="s">
        <v>9342</v>
      </c>
      <c r="L6831" s="2">
        <f t="shared" si="106"/>
        <v>150</v>
      </c>
    </row>
    <row r="6832" spans="1:12" ht="25" customHeight="1">
      <c r="A6832" s="2" t="s">
        <v>12</v>
      </c>
      <c r="B6832" s="2" t="str">
        <f>HYPERLINK("http://bbs.12365auto.com/postcontent.aspx?tID=194231","谁说MPV都像面包车？这几款明明好看到爆")</f>
        <v>谁说MPV都像面包车？这几款明明好看到爆</v>
      </c>
      <c r="C6832" s="2" t="s">
        <v>13</v>
      </c>
      <c r="D6832" s="2" t="s">
        <v>12</v>
      </c>
      <c r="E6832" s="2" t="s">
        <v>214</v>
      </c>
      <c r="F6832" s="2" t="str">
        <f>HYPERLINK("http://bbs.12365auto.com/postcontent.aspx?tID=194231","http://bbs.12365auto.com/postcontent.aspx?tID=194231")</f>
        <v>http://bbs.12365auto.com/postcontent.aspx?tID=194231</v>
      </c>
      <c r="G6832" s="2"/>
      <c r="H6832" s="2" t="s">
        <v>9343</v>
      </c>
      <c r="I6832" s="2" t="s">
        <v>15</v>
      </c>
      <c r="J6832" s="2" t="s">
        <v>3718</v>
      </c>
      <c r="K6832" s="2" t="s">
        <v>9342</v>
      </c>
      <c r="L6832" s="2">
        <f t="shared" si="106"/>
        <v>150</v>
      </c>
    </row>
    <row r="6833" spans="1:12" ht="25" customHeight="1">
      <c r="A6833" s="2" t="s">
        <v>12</v>
      </c>
      <c r="B6833" s="2" t="str">
        <f>HYPERLINK("http://m.12365auto.com/bbs/postcontent.aspx?tID=194231&amp;i=1","谁说MPV都像面包车？这几款明明好看到爆")</f>
        <v>谁说MPV都像面包车？这几款明明好看到爆</v>
      </c>
      <c r="C6833" s="2" t="s">
        <v>13</v>
      </c>
      <c r="D6833" s="2" t="s">
        <v>23</v>
      </c>
      <c r="E6833" s="2"/>
      <c r="F6833" s="2" t="str">
        <f>HYPERLINK("http://m.12365auto.com/bbs/postcontent.aspx?tID=194231&amp;i=1","http://m.12365auto.com/bbs/postcontent.aspx?tID=194231&amp;i=1")</f>
        <v>http://m.12365auto.com/bbs/postcontent.aspx?tID=194231&amp;i=1</v>
      </c>
      <c r="G6833" s="2"/>
      <c r="H6833" s="2" t="s">
        <v>9341</v>
      </c>
      <c r="I6833" s="2" t="s">
        <v>15</v>
      </c>
      <c r="J6833" s="2" t="s">
        <v>3718</v>
      </c>
      <c r="K6833" s="2" t="s">
        <v>9342</v>
      </c>
      <c r="L6833" s="2">
        <f t="shared" si="106"/>
        <v>150</v>
      </c>
    </row>
    <row r="6834" spans="1:12" ht="25" customHeight="1">
      <c r="A6834" s="2" t="s">
        <v>12</v>
      </c>
      <c r="B6834" s="2" t="str">
        <f>HYPERLINK("http://bbs.12365auto.com/postcontent.aspx?tId=194230","这些车曾经很贵，现在真的很实惠")</f>
        <v>这些车曾经很贵，现在真的很实惠</v>
      </c>
      <c r="C6834" s="2" t="s">
        <v>13</v>
      </c>
      <c r="D6834" s="2" t="s">
        <v>12</v>
      </c>
      <c r="E6834" s="2" t="s">
        <v>210</v>
      </c>
      <c r="F6834" s="2" t="str">
        <f>HYPERLINK("http://bbs.12365auto.com/postcontent.aspx?tId=194230","http://bbs.12365auto.com/postcontent.aspx?tId=194230")</f>
        <v>http://bbs.12365auto.com/postcontent.aspx?tId=194230</v>
      </c>
      <c r="G6834" s="2"/>
      <c r="H6834" s="2" t="s">
        <v>9344</v>
      </c>
      <c r="I6834" s="2" t="s">
        <v>15</v>
      </c>
      <c r="J6834" s="2" t="s">
        <v>3718</v>
      </c>
      <c r="K6834" s="2" t="s">
        <v>9345</v>
      </c>
      <c r="L6834" s="2">
        <f t="shared" si="106"/>
        <v>150</v>
      </c>
    </row>
    <row r="6835" spans="1:12" ht="25" customHeight="1">
      <c r="A6835" s="2" t="s">
        <v>12</v>
      </c>
      <c r="B6835" s="2" t="str">
        <f>HYPERLINK("http://bbs.12365auto.com/postcontent.aspx?tID=194230","这些车曾经很贵，现在真的很实惠")</f>
        <v>这些车曾经很贵，现在真的很实惠</v>
      </c>
      <c r="C6835" s="2" t="s">
        <v>13</v>
      </c>
      <c r="D6835" s="2" t="s">
        <v>12</v>
      </c>
      <c r="E6835" s="2" t="s">
        <v>214</v>
      </c>
      <c r="F6835" s="2" t="str">
        <f>HYPERLINK("http://bbs.12365auto.com/postcontent.aspx?tID=194230","http://bbs.12365auto.com/postcontent.aspx?tID=194230")</f>
        <v>http://bbs.12365auto.com/postcontent.aspx?tID=194230</v>
      </c>
      <c r="G6835" s="2"/>
      <c r="H6835" s="2" t="s">
        <v>9346</v>
      </c>
      <c r="I6835" s="2" t="s">
        <v>15</v>
      </c>
      <c r="J6835" s="2" t="s">
        <v>3718</v>
      </c>
      <c r="K6835" s="2" t="s">
        <v>9345</v>
      </c>
      <c r="L6835" s="2">
        <f t="shared" si="106"/>
        <v>150</v>
      </c>
    </row>
    <row r="6836" spans="1:12" ht="25" customHeight="1">
      <c r="A6836" s="2" t="s">
        <v>12</v>
      </c>
      <c r="B6836" s="2" t="str">
        <f>HYPERLINK("http://www.12365auto.com/xcdg/20200217/418704.shtml","长安新能源E-Rock将4月上市 紧凑型SUV")</f>
        <v>长安新能源E-Rock将4月上市 紧凑型SUV</v>
      </c>
      <c r="C6836" s="2" t="s">
        <v>13</v>
      </c>
      <c r="D6836" s="2" t="s">
        <v>12</v>
      </c>
      <c r="E6836" s="2" t="s">
        <v>216</v>
      </c>
      <c r="F6836" s="2" t="str">
        <f>HYPERLINK("http://www.12365auto.com/xcdg/20200217/418704.shtml","http://www.12365auto.com/xcdg/20200217/418704.shtml")</f>
        <v>http://www.12365auto.com/xcdg/20200217/418704.shtml</v>
      </c>
      <c r="G6836" s="2"/>
      <c r="H6836" s="2" t="s">
        <v>9347</v>
      </c>
      <c r="I6836" s="2" t="s">
        <v>15</v>
      </c>
      <c r="J6836" s="2" t="s">
        <v>12</v>
      </c>
      <c r="K6836" s="2" t="s">
        <v>9345</v>
      </c>
      <c r="L6836" s="2">
        <f t="shared" si="106"/>
        <v>150</v>
      </c>
    </row>
    <row r="6837" spans="1:12" ht="25" customHeight="1">
      <c r="A6837" s="2" t="s">
        <v>12</v>
      </c>
      <c r="B6837" s="2" t="str">
        <f>HYPERLINK("http://m.12365auto.com/xcdg/20200217/418704.shtml","长安新能源E-Rock将4月上市 紧凑型SUV")</f>
        <v>长安新能源E-Rock将4月上市 紧凑型SUV</v>
      </c>
      <c r="C6837" s="2" t="s">
        <v>13</v>
      </c>
      <c r="D6837" s="2" t="s">
        <v>12</v>
      </c>
      <c r="E6837" s="2"/>
      <c r="F6837" s="2" t="str">
        <f>HYPERLINK("http://m.12365auto.com/xcdg/20200217/418704.shtml","http://m.12365auto.com/xcdg/20200217/418704.shtml")</f>
        <v>http://m.12365auto.com/xcdg/20200217/418704.shtml</v>
      </c>
      <c r="G6837" s="2"/>
      <c r="H6837" s="2" t="s">
        <v>9348</v>
      </c>
      <c r="I6837" s="2" t="s">
        <v>19</v>
      </c>
      <c r="J6837" s="2" t="s">
        <v>1657</v>
      </c>
      <c r="K6837" s="2" t="s">
        <v>9345</v>
      </c>
      <c r="L6837" s="2">
        <f t="shared" si="106"/>
        <v>150</v>
      </c>
    </row>
    <row r="6838" spans="1:12" ht="25" customHeight="1">
      <c r="A6838" s="2" t="s">
        <v>12</v>
      </c>
      <c r="B6838" s="2" t="str">
        <f>HYPERLINK("http://bbs.12365auto.com/postcontent.aspx?tId=194229","盘点2019销量最好的5款SUV")</f>
        <v>盘点2019销量最好的5款SUV</v>
      </c>
      <c r="C6838" s="2" t="s">
        <v>13</v>
      </c>
      <c r="D6838" s="2" t="s">
        <v>12</v>
      </c>
      <c r="E6838" s="2" t="s">
        <v>210</v>
      </c>
      <c r="F6838" s="2" t="str">
        <f>HYPERLINK("http://bbs.12365auto.com/postcontent.aspx?tId=194229","http://bbs.12365auto.com/postcontent.aspx?tId=194229")</f>
        <v>http://bbs.12365auto.com/postcontent.aspx?tId=194229</v>
      </c>
      <c r="G6838" s="2"/>
      <c r="H6838" s="2" t="s">
        <v>9349</v>
      </c>
      <c r="I6838" s="2" t="s">
        <v>15</v>
      </c>
      <c r="J6838" s="2" t="s">
        <v>3718</v>
      </c>
      <c r="K6838" s="2" t="s">
        <v>9350</v>
      </c>
      <c r="L6838" s="2">
        <f t="shared" si="106"/>
        <v>150</v>
      </c>
    </row>
    <row r="6839" spans="1:12" ht="25" customHeight="1">
      <c r="A6839" s="2" t="s">
        <v>12</v>
      </c>
      <c r="B6839" s="2" t="str">
        <f>HYPERLINK("http://bbs.12365auto.com/postcontent.aspx?tID=194229","盘点2019销量最好的5款SUV")</f>
        <v>盘点2019销量最好的5款SUV</v>
      </c>
      <c r="C6839" s="2" t="s">
        <v>13</v>
      </c>
      <c r="D6839" s="2" t="s">
        <v>12</v>
      </c>
      <c r="E6839" s="2" t="s">
        <v>214</v>
      </c>
      <c r="F6839" s="2" t="str">
        <f>HYPERLINK("http://bbs.12365auto.com/postcontent.aspx?tID=194229","http://bbs.12365auto.com/postcontent.aspx?tID=194229")</f>
        <v>http://bbs.12365auto.com/postcontent.aspx?tID=194229</v>
      </c>
      <c r="G6839" s="2"/>
      <c r="H6839" s="2" t="s">
        <v>9351</v>
      </c>
      <c r="I6839" s="2" t="s">
        <v>15</v>
      </c>
      <c r="J6839" s="2" t="s">
        <v>3718</v>
      </c>
      <c r="K6839" s="2" t="s">
        <v>9350</v>
      </c>
      <c r="L6839" s="2">
        <f t="shared" si="106"/>
        <v>150</v>
      </c>
    </row>
    <row r="6840" spans="1:12" ht="25" customHeight="1">
      <c r="A6840" s="2" t="s">
        <v>12</v>
      </c>
      <c r="B6840" s="2" t="str">
        <f>HYPERLINK("http://m.12365auto.com/xcdg/20200217/418703.shtml","各级别车型的选择 不花心思照着买也没毛病")</f>
        <v>各级别车型的选择 不花心思照着买也没毛病</v>
      </c>
      <c r="C6840" s="2" t="s">
        <v>13</v>
      </c>
      <c r="D6840" s="2" t="s">
        <v>12</v>
      </c>
      <c r="E6840" s="2"/>
      <c r="F6840" s="2" t="str">
        <f>HYPERLINK("http://m.12365auto.com/xcdg/20200217/418703.shtml","http://m.12365auto.com/xcdg/20200217/418703.shtml")</f>
        <v>http://m.12365auto.com/xcdg/20200217/418703.shtml</v>
      </c>
      <c r="G6840" s="2"/>
      <c r="H6840" s="2" t="s">
        <v>9352</v>
      </c>
      <c r="I6840" s="2" t="s">
        <v>19</v>
      </c>
      <c r="J6840" s="2" t="s">
        <v>1255</v>
      </c>
      <c r="K6840" s="2" t="s">
        <v>9350</v>
      </c>
      <c r="L6840" s="2">
        <f t="shared" si="106"/>
        <v>150</v>
      </c>
    </row>
    <row r="6841" spans="1:12" ht="25" customHeight="1">
      <c r="A6841" s="2" t="s">
        <v>12</v>
      </c>
      <c r="B6841" s="2" t="str">
        <f>HYPERLINK("http://www.12365auto.com/xcdg/20200217/418702.shtml","几何纯电SUV曝光 两种续航版本/最高520km")</f>
        <v>几何纯电SUV曝光 两种续航版本/最高520km</v>
      </c>
      <c r="C6841" s="2" t="s">
        <v>13</v>
      </c>
      <c r="D6841" s="2" t="s">
        <v>12</v>
      </c>
      <c r="E6841" s="2" t="s">
        <v>216</v>
      </c>
      <c r="F6841" s="2" t="str">
        <f>HYPERLINK("http://www.12365auto.com/xcdg/20200217/418702.shtml","http://www.12365auto.com/xcdg/20200217/418702.shtml")</f>
        <v>http://www.12365auto.com/xcdg/20200217/418702.shtml</v>
      </c>
      <c r="G6841" s="2"/>
      <c r="H6841" s="2" t="s">
        <v>9353</v>
      </c>
      <c r="I6841" s="2" t="s">
        <v>15</v>
      </c>
      <c r="J6841" s="2" t="s">
        <v>12</v>
      </c>
      <c r="K6841" s="2" t="s">
        <v>9354</v>
      </c>
      <c r="L6841" s="2">
        <f t="shared" si="106"/>
        <v>150</v>
      </c>
    </row>
    <row r="6842" spans="1:12" ht="25" customHeight="1">
      <c r="A6842" s="2" t="s">
        <v>12</v>
      </c>
      <c r="B6842" s="2" t="str">
        <f>HYPERLINK("http://m.12365auto.com/xcdg/20200217/418702.shtml","几何纯电SUV曝光 两种续航版本/最高520km")</f>
        <v>几何纯电SUV曝光 两种续航版本/最高520km</v>
      </c>
      <c r="C6842" s="2" t="s">
        <v>13</v>
      </c>
      <c r="D6842" s="2" t="s">
        <v>12</v>
      </c>
      <c r="E6842" s="2"/>
      <c r="F6842" s="2" t="str">
        <f>HYPERLINK("http://m.12365auto.com/xcdg/20200217/418702.shtml","http://m.12365auto.com/xcdg/20200217/418702.shtml")</f>
        <v>http://m.12365auto.com/xcdg/20200217/418702.shtml</v>
      </c>
      <c r="G6842" s="2"/>
      <c r="H6842" s="2" t="s">
        <v>9355</v>
      </c>
      <c r="I6842" s="2" t="s">
        <v>19</v>
      </c>
      <c r="J6842" s="2" t="s">
        <v>739</v>
      </c>
      <c r="K6842" s="2" t="s">
        <v>9354</v>
      </c>
      <c r="L6842" s="2">
        <f t="shared" si="106"/>
        <v>150</v>
      </c>
    </row>
    <row r="6843" spans="1:12" ht="25" customHeight="1">
      <c r="A6843" s="2" t="s">
        <v>12</v>
      </c>
      <c r="B6843" s="2" t="str">
        <f>HYPERLINK("http://www.12365auto.com/news/20200217/418701.shtml","RX5大涨21.9% 上汽乘用车逆势增长 跑赢大市")</f>
        <v>RX5大涨21.9% 上汽乘用车逆势增长 跑赢大市</v>
      </c>
      <c r="C6843" s="2" t="s">
        <v>13</v>
      </c>
      <c r="D6843" s="2" t="s">
        <v>12</v>
      </c>
      <c r="E6843" s="2" t="s">
        <v>276</v>
      </c>
      <c r="F6843" s="2" t="str">
        <f>HYPERLINK("http://www.12365auto.com/news/20200217/418701.shtml","http://www.12365auto.com/news/20200217/418701.shtml")</f>
        <v>http://www.12365auto.com/news/20200217/418701.shtml</v>
      </c>
      <c r="G6843" s="2"/>
      <c r="H6843" s="2" t="s">
        <v>9356</v>
      </c>
      <c r="I6843" s="2" t="s">
        <v>15</v>
      </c>
      <c r="J6843" s="2" t="s">
        <v>12</v>
      </c>
      <c r="K6843" s="2" t="s">
        <v>9357</v>
      </c>
      <c r="L6843" s="2">
        <f t="shared" si="106"/>
        <v>150</v>
      </c>
    </row>
    <row r="6844" spans="1:12" ht="25" customHeight="1">
      <c r="A6844" s="2" t="s">
        <v>12</v>
      </c>
      <c r="B6844" s="2" t="str">
        <f>HYPERLINK("http://m.12365auto.com/news/20200217/418701.shtml","RX5大涨21.9% 上汽乘用车逆势增长 跑赢大市")</f>
        <v>RX5大涨21.9% 上汽乘用车逆势增长 跑赢大市</v>
      </c>
      <c r="C6844" s="2" t="s">
        <v>13</v>
      </c>
      <c r="D6844" s="2" t="s">
        <v>12</v>
      </c>
      <c r="E6844" s="2"/>
      <c r="F6844" s="2" t="str">
        <f>HYPERLINK("http://m.12365auto.com/news/20200217/418701.shtml","http://m.12365auto.com/news/20200217/418701.shtml")</f>
        <v>http://m.12365auto.com/news/20200217/418701.shtml</v>
      </c>
      <c r="G6844" s="2"/>
      <c r="H6844" s="2" t="s">
        <v>9358</v>
      </c>
      <c r="I6844" s="2" t="s">
        <v>19</v>
      </c>
      <c r="J6844" s="2" t="s">
        <v>1266</v>
      </c>
      <c r="K6844" s="2" t="s">
        <v>9357</v>
      </c>
      <c r="L6844" s="2">
        <f t="shared" si="106"/>
        <v>150</v>
      </c>
    </row>
    <row r="6845" spans="1:12" ht="25" customHeight="1">
      <c r="A6845" s="2" t="s">
        <v>12</v>
      </c>
      <c r="B6845" s="2" t="str">
        <f>HYPERLINK("http://www.12365auto.com/xcdg/20200217/418700.shtml","福田拓陆者电商版发布 享7.68-9.68万元")</f>
        <v>福田拓陆者电商版发布 享7.68-9.68万元</v>
      </c>
      <c r="C6845" s="2" t="s">
        <v>13</v>
      </c>
      <c r="D6845" s="2" t="s">
        <v>12</v>
      </c>
      <c r="E6845" s="2" t="s">
        <v>216</v>
      </c>
      <c r="F6845" s="2" t="str">
        <f>HYPERLINK("http://www.12365auto.com/xcdg/20200217/418700.shtml","http://www.12365auto.com/xcdg/20200217/418700.shtml")</f>
        <v>http://www.12365auto.com/xcdg/20200217/418700.shtml</v>
      </c>
      <c r="G6845" s="2"/>
      <c r="H6845" s="2" t="s">
        <v>9359</v>
      </c>
      <c r="I6845" s="2" t="s">
        <v>15</v>
      </c>
      <c r="J6845" s="2" t="s">
        <v>12</v>
      </c>
      <c r="K6845" s="2" t="s">
        <v>9360</v>
      </c>
      <c r="L6845" s="2">
        <f t="shared" si="106"/>
        <v>150</v>
      </c>
    </row>
    <row r="6846" spans="1:12" ht="25" customHeight="1">
      <c r="A6846" s="2" t="s">
        <v>12</v>
      </c>
      <c r="B6846" s="2" t="str">
        <f>HYPERLINK("http://m.12365auto.com/xcdg/20200217/418700.shtml","福田拓陆者电商版发布 享7.68-9.68万元")</f>
        <v>福田拓陆者电商版发布 享7.68-9.68万元</v>
      </c>
      <c r="C6846" s="2" t="s">
        <v>13</v>
      </c>
      <c r="D6846" s="2" t="s">
        <v>12</v>
      </c>
      <c r="E6846" s="2"/>
      <c r="F6846" s="2" t="str">
        <f>HYPERLINK("http://m.12365auto.com/xcdg/20200217/418700.shtml","http://m.12365auto.com/xcdg/20200217/418700.shtml")</f>
        <v>http://m.12365auto.com/xcdg/20200217/418700.shtml</v>
      </c>
      <c r="G6846" s="2"/>
      <c r="H6846" s="2" t="s">
        <v>9361</v>
      </c>
      <c r="I6846" s="2" t="s">
        <v>19</v>
      </c>
      <c r="J6846" s="2" t="s">
        <v>12</v>
      </c>
      <c r="K6846" s="2" t="s">
        <v>9360</v>
      </c>
      <c r="L6846" s="2">
        <f t="shared" si="106"/>
        <v>150</v>
      </c>
    </row>
    <row r="6847" spans="1:12" ht="25" customHeight="1">
      <c r="A6847" s="2" t="s">
        <v>12</v>
      </c>
      <c r="B6847" s="2" t="str">
        <f>HYPERLINK("http://www.12365auto.com/xcdg/20200217/418699.shtml","致敬经典 阿斯顿·马丁推出新款勒芒限量车型")</f>
        <v>致敬经典 阿斯顿·马丁推出新款勒芒限量车型</v>
      </c>
      <c r="C6847" s="2" t="s">
        <v>13</v>
      </c>
      <c r="D6847" s="2" t="s">
        <v>12</v>
      </c>
      <c r="E6847" s="2" t="s">
        <v>216</v>
      </c>
      <c r="F6847" s="2" t="str">
        <f>HYPERLINK("http://www.12365auto.com/xcdg/20200217/418699.shtml","http://www.12365auto.com/xcdg/20200217/418699.shtml")</f>
        <v>http://www.12365auto.com/xcdg/20200217/418699.shtml</v>
      </c>
      <c r="G6847" s="2"/>
      <c r="H6847" s="2" t="s">
        <v>9362</v>
      </c>
      <c r="I6847" s="2" t="s">
        <v>15</v>
      </c>
      <c r="J6847" s="2" t="s">
        <v>12</v>
      </c>
      <c r="K6847" s="2" t="s">
        <v>9363</v>
      </c>
      <c r="L6847" s="2">
        <f t="shared" si="106"/>
        <v>150</v>
      </c>
    </row>
    <row r="6848" spans="1:12" ht="25" customHeight="1">
      <c r="A6848" s="2" t="s">
        <v>12</v>
      </c>
      <c r="B6848" s="2" t="str">
        <f>HYPERLINK("http://m.12365auto.com/xcdg/20200217/418699.shtml","致敬经典 阿斯顿·马丁推出新款勒芒限量车型")</f>
        <v>致敬经典 阿斯顿·马丁推出新款勒芒限量车型</v>
      </c>
      <c r="C6848" s="2" t="s">
        <v>13</v>
      </c>
      <c r="D6848" s="2" t="s">
        <v>12</v>
      </c>
      <c r="E6848" s="2"/>
      <c r="F6848" s="2" t="str">
        <f>HYPERLINK("http://m.12365auto.com/xcdg/20200217/418699.shtml","http://m.12365auto.com/xcdg/20200217/418699.shtml")</f>
        <v>http://m.12365auto.com/xcdg/20200217/418699.shtml</v>
      </c>
      <c r="G6848" s="2"/>
      <c r="H6848" s="2" t="s">
        <v>9364</v>
      </c>
      <c r="I6848" s="2" t="s">
        <v>19</v>
      </c>
      <c r="J6848" s="2" t="s">
        <v>3058</v>
      </c>
      <c r="K6848" s="2" t="s">
        <v>9363</v>
      </c>
      <c r="L6848" s="2">
        <f t="shared" si="106"/>
        <v>150</v>
      </c>
    </row>
    <row r="6849" spans="1:12" ht="25" customHeight="1">
      <c r="A6849" s="2" t="s">
        <v>12</v>
      </c>
      <c r="B6849" s="2" t="str">
        <f>HYPERLINK("http://www.12365auto.com/xcdg/20200217/418698.shtml","奔腾新纯电SUV 二季度上市 续航450km")</f>
        <v>奔腾新纯电SUV 二季度上市 续航450km</v>
      </c>
      <c r="C6849" s="2" t="s">
        <v>13</v>
      </c>
      <c r="D6849" s="2" t="s">
        <v>12</v>
      </c>
      <c r="E6849" s="2" t="s">
        <v>216</v>
      </c>
      <c r="F6849" s="2" t="str">
        <f>HYPERLINK("http://www.12365auto.com/xcdg/20200217/418698.shtml","http://www.12365auto.com/xcdg/20200217/418698.shtml")</f>
        <v>http://www.12365auto.com/xcdg/20200217/418698.shtml</v>
      </c>
      <c r="G6849" s="2"/>
      <c r="H6849" s="2" t="s">
        <v>9365</v>
      </c>
      <c r="I6849" s="2" t="s">
        <v>15</v>
      </c>
      <c r="J6849" s="2" t="s">
        <v>12</v>
      </c>
      <c r="K6849" s="2" t="s">
        <v>9366</v>
      </c>
      <c r="L6849" s="2">
        <f t="shared" si="106"/>
        <v>150</v>
      </c>
    </row>
    <row r="6850" spans="1:12" ht="25" customHeight="1">
      <c r="A6850" s="2" t="s">
        <v>12</v>
      </c>
      <c r="B6850" s="2" t="str">
        <f>HYPERLINK("http://m.12365auto.com/xcdg/20200217/418698.shtml","奔腾新纯电SUV 二季度上市 续航450km")</f>
        <v>奔腾新纯电SUV 二季度上市 续航450km</v>
      </c>
      <c r="C6850" s="2" t="s">
        <v>13</v>
      </c>
      <c r="D6850" s="2" t="s">
        <v>12</v>
      </c>
      <c r="E6850" s="2"/>
      <c r="F6850" s="2" t="str">
        <f>HYPERLINK("http://m.12365auto.com/xcdg/20200217/418698.shtml","http://m.12365auto.com/xcdg/20200217/418698.shtml")</f>
        <v>http://m.12365auto.com/xcdg/20200217/418698.shtml</v>
      </c>
      <c r="G6850" s="2"/>
      <c r="H6850" s="2" t="s">
        <v>9367</v>
      </c>
      <c r="I6850" s="2" t="s">
        <v>19</v>
      </c>
      <c r="J6850" s="2" t="s">
        <v>6086</v>
      </c>
      <c r="K6850" s="2" t="s">
        <v>9366</v>
      </c>
      <c r="L6850" s="2">
        <f t="shared" si="106"/>
        <v>150</v>
      </c>
    </row>
    <row r="6851" spans="1:12" ht="25" customHeight="1">
      <c r="A6851" s="2" t="s">
        <v>12</v>
      </c>
      <c r="B6851" s="2" t="str">
        <f>HYPERLINK("http://www.12365auto.com/news/20200217/418697.shtml","轿车销量堪忧 林肯未来该如何发展")</f>
        <v>轿车销量堪忧 林肯未来该如何发展</v>
      </c>
      <c r="C6851" s="2" t="s">
        <v>13</v>
      </c>
      <c r="D6851" s="2" t="s">
        <v>12</v>
      </c>
      <c r="E6851" s="2" t="s">
        <v>276</v>
      </c>
      <c r="F6851" s="2" t="str">
        <f>HYPERLINK("http://www.12365auto.com/news/20200217/418697.shtml","http://www.12365auto.com/news/20200217/418697.shtml")</f>
        <v>http://www.12365auto.com/news/20200217/418697.shtml</v>
      </c>
      <c r="G6851" s="2"/>
      <c r="H6851" s="2" t="s">
        <v>9368</v>
      </c>
      <c r="I6851" s="2" t="s">
        <v>15</v>
      </c>
      <c r="J6851" s="2" t="s">
        <v>12</v>
      </c>
      <c r="K6851" s="2" t="s">
        <v>9369</v>
      </c>
      <c r="L6851" s="2">
        <f t="shared" ref="L6851:L6914" si="107">LEN(H6851)</f>
        <v>150</v>
      </c>
    </row>
    <row r="6852" spans="1:12" ht="25" customHeight="1">
      <c r="A6852" s="2" t="s">
        <v>12</v>
      </c>
      <c r="B6852" s="2" t="str">
        <f>HYPERLINK("http://m.12365auto.com/news/20200217/418697.shtml","轿车销量堪忧 林肯未来该如何发展")</f>
        <v>轿车销量堪忧 林肯未来该如何发展</v>
      </c>
      <c r="C6852" s="2" t="s">
        <v>13</v>
      </c>
      <c r="D6852" s="2" t="s">
        <v>12</v>
      </c>
      <c r="E6852" s="2"/>
      <c r="F6852" s="2" t="str">
        <f>HYPERLINK("http://m.12365auto.com/news/20200217/418697.shtml","http://m.12365auto.com/news/20200217/418697.shtml")</f>
        <v>http://m.12365auto.com/news/20200217/418697.shtml</v>
      </c>
      <c r="G6852" s="2"/>
      <c r="H6852" s="2" t="s">
        <v>9370</v>
      </c>
      <c r="I6852" s="2" t="s">
        <v>19</v>
      </c>
      <c r="J6852" s="2" t="s">
        <v>3058</v>
      </c>
      <c r="K6852" s="2" t="s">
        <v>9369</v>
      </c>
      <c r="L6852" s="2">
        <f t="shared" si="107"/>
        <v>150</v>
      </c>
    </row>
    <row r="6853" spans="1:12" ht="25" customHeight="1">
      <c r="A6853" s="2" t="s">
        <v>12</v>
      </c>
      <c r="B6853" s="2" t="str">
        <f>HYPERLINK("http://m.12365auto.com/news/20200217/418696.shtml","长安自主1月销量再超10万辆 CS75逆势大涨")</f>
        <v>长安自主1月销量再超10万辆 CS75逆势大涨</v>
      </c>
      <c r="C6853" s="2" t="s">
        <v>13</v>
      </c>
      <c r="D6853" s="2" t="s">
        <v>12</v>
      </c>
      <c r="E6853" s="2"/>
      <c r="F6853" s="2" t="str">
        <f>HYPERLINK("http://m.12365auto.com/news/20200217/418696.shtml","http://m.12365auto.com/news/20200217/418696.shtml")</f>
        <v>http://m.12365auto.com/news/20200217/418696.shtml</v>
      </c>
      <c r="G6853" s="2"/>
      <c r="H6853" s="2" t="s">
        <v>9371</v>
      </c>
      <c r="I6853" s="2" t="s">
        <v>19</v>
      </c>
      <c r="J6853" s="2" t="s">
        <v>2928</v>
      </c>
      <c r="K6853" s="2" t="s">
        <v>9372</v>
      </c>
      <c r="L6853" s="2">
        <f t="shared" si="107"/>
        <v>150</v>
      </c>
    </row>
    <row r="6854" spans="1:12" ht="25" customHeight="1">
      <c r="A6854" s="2" t="s">
        <v>12</v>
      </c>
      <c r="B6854" s="2" t="str">
        <f>HYPERLINK("http://www.12365auto.com/news/20200217/418696.shtml","长安自主1月销量再超10万辆 CS75逆势大涨")</f>
        <v>长安自主1月销量再超10万辆 CS75逆势大涨</v>
      </c>
      <c r="C6854" s="2" t="s">
        <v>13</v>
      </c>
      <c r="D6854" s="2" t="s">
        <v>12</v>
      </c>
      <c r="E6854" s="2" t="s">
        <v>276</v>
      </c>
      <c r="F6854" s="2" t="str">
        <f>HYPERLINK("http://www.12365auto.com/news/20200217/418696.shtml","http://www.12365auto.com/news/20200217/418696.shtml")</f>
        <v>http://www.12365auto.com/news/20200217/418696.shtml</v>
      </c>
      <c r="G6854" s="2"/>
      <c r="H6854" s="2" t="s">
        <v>9373</v>
      </c>
      <c r="I6854" s="2" t="s">
        <v>15</v>
      </c>
      <c r="J6854" s="2" t="s">
        <v>12</v>
      </c>
      <c r="K6854" s="2" t="s">
        <v>9372</v>
      </c>
      <c r="L6854" s="2">
        <f t="shared" si="107"/>
        <v>150</v>
      </c>
    </row>
    <row r="6855" spans="1:12" ht="25" customHeight="1">
      <c r="A6855" s="2" t="s">
        <v>12</v>
      </c>
      <c r="B6855" s="2" t="str">
        <f>HYPERLINK("http://m.12365auto.com/xcdg/20200217/418695.shtml","4座别克GL8内饰堪比雷克萨斯LM 售价低一半")</f>
        <v>4座别克GL8内饰堪比雷克萨斯LM 售价低一半</v>
      </c>
      <c r="C6855" s="2" t="s">
        <v>13</v>
      </c>
      <c r="D6855" s="2" t="s">
        <v>12</v>
      </c>
      <c r="E6855" s="2"/>
      <c r="F6855" s="2" t="str">
        <f>HYPERLINK("http://m.12365auto.com/xcdg/20200217/418695.shtml","http://m.12365auto.com/xcdg/20200217/418695.shtml")</f>
        <v>http://m.12365auto.com/xcdg/20200217/418695.shtml</v>
      </c>
      <c r="G6855" s="2"/>
      <c r="H6855" s="2" t="s">
        <v>9374</v>
      </c>
      <c r="I6855" s="2" t="s">
        <v>19</v>
      </c>
      <c r="J6855" s="2" t="s">
        <v>2603</v>
      </c>
      <c r="K6855" s="2" t="s">
        <v>9375</v>
      </c>
      <c r="L6855" s="2">
        <f t="shared" si="107"/>
        <v>150</v>
      </c>
    </row>
    <row r="6856" spans="1:12" ht="25" customHeight="1">
      <c r="A6856" s="2" t="s">
        <v>12</v>
      </c>
      <c r="B6856" s="2" t="str">
        <f>HYPERLINK("http://www.12365auto.com/xcdg/20200217/418695.shtml","4座别克GL8内饰堪比雷克萨斯LM 售价低一半")</f>
        <v>4座别克GL8内饰堪比雷克萨斯LM 售价低一半</v>
      </c>
      <c r="C6856" s="2" t="s">
        <v>13</v>
      </c>
      <c r="D6856" s="2" t="s">
        <v>12</v>
      </c>
      <c r="E6856" s="2" t="s">
        <v>216</v>
      </c>
      <c r="F6856" s="2" t="str">
        <f>HYPERLINK("http://www.12365auto.com/xcdg/20200217/418695.shtml","http://www.12365auto.com/xcdg/20200217/418695.shtml")</f>
        <v>http://www.12365auto.com/xcdg/20200217/418695.shtml</v>
      </c>
      <c r="G6856" s="2"/>
      <c r="H6856" s="2" t="s">
        <v>9376</v>
      </c>
      <c r="I6856" s="2" t="s">
        <v>15</v>
      </c>
      <c r="J6856" s="2" t="s">
        <v>12</v>
      </c>
      <c r="K6856" s="2" t="s">
        <v>9375</v>
      </c>
      <c r="L6856" s="2">
        <f t="shared" si="107"/>
        <v>150</v>
      </c>
    </row>
    <row r="6857" spans="1:12" ht="25" customHeight="1">
      <c r="A6857" s="2" t="s">
        <v>12</v>
      </c>
      <c r="B6857" s="2" t="str">
        <f>HYPERLINK("http://m.12365auto.com/news/20200217/418694.shtml","广汽丰田1月销量超6.7万辆 雷凌涨11.5%")</f>
        <v>广汽丰田1月销量超6.7万辆 雷凌涨11.5%</v>
      </c>
      <c r="C6857" s="2" t="s">
        <v>13</v>
      </c>
      <c r="D6857" s="2" t="s">
        <v>12</v>
      </c>
      <c r="E6857" s="2"/>
      <c r="F6857" s="2" t="str">
        <f>HYPERLINK("http://m.12365auto.com/news/20200217/418694.shtml","http://m.12365auto.com/news/20200217/418694.shtml")</f>
        <v>http://m.12365auto.com/news/20200217/418694.shtml</v>
      </c>
      <c r="G6857" s="2"/>
      <c r="H6857" s="2" t="s">
        <v>9377</v>
      </c>
      <c r="I6857" s="2" t="s">
        <v>19</v>
      </c>
      <c r="J6857" s="2" t="s">
        <v>265</v>
      </c>
      <c r="K6857" s="2" t="s">
        <v>9378</v>
      </c>
      <c r="L6857" s="2">
        <f t="shared" si="107"/>
        <v>150</v>
      </c>
    </row>
    <row r="6858" spans="1:12" ht="25" customHeight="1">
      <c r="A6858" s="2" t="s">
        <v>12</v>
      </c>
      <c r="B6858" s="2" t="str">
        <f>HYPERLINK("http://www.12365auto.com/news/20200217/418694.shtml","广汽丰田1月销量超6.7万辆 雷凌涨11.5%")</f>
        <v>广汽丰田1月销量超6.7万辆 雷凌涨11.5%</v>
      </c>
      <c r="C6858" s="2" t="s">
        <v>13</v>
      </c>
      <c r="D6858" s="2" t="s">
        <v>12</v>
      </c>
      <c r="E6858" s="2" t="s">
        <v>276</v>
      </c>
      <c r="F6858" s="2" t="str">
        <f>HYPERLINK("http://www.12365auto.com/news/20200217/418694.shtml","http://www.12365auto.com/news/20200217/418694.shtml")</f>
        <v>http://www.12365auto.com/news/20200217/418694.shtml</v>
      </c>
      <c r="G6858" s="2"/>
      <c r="H6858" s="2" t="s">
        <v>9379</v>
      </c>
      <c r="I6858" s="2" t="s">
        <v>15</v>
      </c>
      <c r="J6858" s="2" t="s">
        <v>12</v>
      </c>
      <c r="K6858" s="2" t="s">
        <v>9378</v>
      </c>
      <c r="L6858" s="2">
        <f t="shared" si="107"/>
        <v>150</v>
      </c>
    </row>
    <row r="6859" spans="1:12" ht="25" customHeight="1">
      <c r="A6859" s="2" t="s">
        <v>12</v>
      </c>
      <c r="B6859" s="2" t="str">
        <f>HYPERLINK("http://m.12365auto.com/news/20200217/418693.shtml","四大榜单发布 2020年1月狭义皮卡市场销量")</f>
        <v>四大榜单发布 2020年1月狭义皮卡市场销量</v>
      </c>
      <c r="C6859" s="2" t="s">
        <v>13</v>
      </c>
      <c r="D6859" s="2" t="s">
        <v>12</v>
      </c>
      <c r="E6859" s="2"/>
      <c r="F6859" s="2" t="str">
        <f>HYPERLINK("http://m.12365auto.com/news/20200217/418693.shtml","http://m.12365auto.com/news/20200217/418693.shtml")</f>
        <v>http://m.12365auto.com/news/20200217/418693.shtml</v>
      </c>
      <c r="G6859" s="2"/>
      <c r="H6859" s="2" t="s">
        <v>9380</v>
      </c>
      <c r="I6859" s="2" t="s">
        <v>19</v>
      </c>
      <c r="J6859" s="2" t="s">
        <v>9381</v>
      </c>
      <c r="K6859" s="2" t="s">
        <v>9382</v>
      </c>
      <c r="L6859" s="2">
        <f t="shared" si="107"/>
        <v>150</v>
      </c>
    </row>
    <row r="6860" spans="1:12" ht="25" customHeight="1">
      <c r="A6860" s="2" t="s">
        <v>12</v>
      </c>
      <c r="B6860" s="2" t="str">
        <f>HYPERLINK("http://www.12365auto.com/news/20200217/418693.shtml","四大榜单发布 2020年1月狭义皮卡市场销量")</f>
        <v>四大榜单发布 2020年1月狭义皮卡市场销量</v>
      </c>
      <c r="C6860" s="2" t="s">
        <v>13</v>
      </c>
      <c r="D6860" s="2" t="s">
        <v>12</v>
      </c>
      <c r="E6860" s="2" t="s">
        <v>282</v>
      </c>
      <c r="F6860" s="2" t="str">
        <f>HYPERLINK("http://www.12365auto.com/news/20200217/418693.shtml","http://www.12365auto.com/news/20200217/418693.shtml")</f>
        <v>http://www.12365auto.com/news/20200217/418693.shtml</v>
      </c>
      <c r="G6860" s="2"/>
      <c r="H6860" s="2" t="s">
        <v>9383</v>
      </c>
      <c r="I6860" s="2" t="s">
        <v>19</v>
      </c>
      <c r="J6860" s="2" t="s">
        <v>12</v>
      </c>
      <c r="K6860" s="2" t="s">
        <v>9382</v>
      </c>
      <c r="L6860" s="2">
        <f t="shared" si="107"/>
        <v>150</v>
      </c>
    </row>
    <row r="6861" spans="1:12" ht="25" customHeight="1">
      <c r="A6861" s="2" t="s">
        <v>12</v>
      </c>
      <c r="B6861" s="2" t="str">
        <f>HYPERLINK("http://m.12365auto.com/news/20200217/418692.shtml","东风本田1月逆势增21.3% 思域/CR-V热卖")</f>
        <v>东风本田1月逆势增21.3% 思域/CR-V热卖</v>
      </c>
      <c r="C6861" s="2" t="s">
        <v>13</v>
      </c>
      <c r="D6861" s="2" t="s">
        <v>12</v>
      </c>
      <c r="E6861" s="2"/>
      <c r="F6861" s="2" t="str">
        <f>HYPERLINK("http://m.12365auto.com/news/20200217/418692.shtml","http://m.12365auto.com/news/20200217/418692.shtml")</f>
        <v>http://m.12365auto.com/news/20200217/418692.shtml</v>
      </c>
      <c r="G6861" s="2"/>
      <c r="H6861" s="2" t="s">
        <v>9384</v>
      </c>
      <c r="I6861" s="2" t="s">
        <v>19</v>
      </c>
      <c r="J6861" s="2" t="s">
        <v>739</v>
      </c>
      <c r="K6861" s="2" t="s">
        <v>9385</v>
      </c>
      <c r="L6861" s="2">
        <f t="shared" si="107"/>
        <v>150</v>
      </c>
    </row>
    <row r="6862" spans="1:12" ht="25" customHeight="1">
      <c r="A6862" s="2" t="s">
        <v>12</v>
      </c>
      <c r="B6862" s="2" t="str">
        <f>HYPERLINK("http://www.12365auto.com/news/20200217/418692.shtml","东风本田1月逆势增21.3% 思域/CR-V热卖")</f>
        <v>东风本田1月逆势增21.3% 思域/CR-V热卖</v>
      </c>
      <c r="C6862" s="2" t="s">
        <v>13</v>
      </c>
      <c r="D6862" s="2" t="s">
        <v>12</v>
      </c>
      <c r="E6862" s="2" t="s">
        <v>282</v>
      </c>
      <c r="F6862" s="2" t="str">
        <f>HYPERLINK("http://www.12365auto.com/news/20200217/418692.shtml","http://www.12365auto.com/news/20200217/418692.shtml")</f>
        <v>http://www.12365auto.com/news/20200217/418692.shtml</v>
      </c>
      <c r="G6862" s="2"/>
      <c r="H6862" s="2" t="s">
        <v>9386</v>
      </c>
      <c r="I6862" s="2" t="s">
        <v>19</v>
      </c>
      <c r="J6862" s="2" t="s">
        <v>12</v>
      </c>
      <c r="K6862" s="2" t="s">
        <v>9385</v>
      </c>
      <c r="L6862" s="2">
        <f t="shared" si="107"/>
        <v>150</v>
      </c>
    </row>
    <row r="6863" spans="1:12" ht="25" customHeight="1">
      <c r="A6863" s="2" t="s">
        <v>12</v>
      </c>
      <c r="B6863" s="2" t="str">
        <f>HYPERLINK("http://m.12365auto.com/news/20200217/418691.shtml","荣威 名爵再创营销新模式 高管送你所需")</f>
        <v>荣威 名爵再创营销新模式 高管送你所需</v>
      </c>
      <c r="C6863" s="2" t="s">
        <v>13</v>
      </c>
      <c r="D6863" s="2" t="s">
        <v>12</v>
      </c>
      <c r="E6863" s="2"/>
      <c r="F6863" s="2" t="str">
        <f>HYPERLINK("http://m.12365auto.com/news/20200217/418691.shtml","http://m.12365auto.com/news/20200217/418691.shtml")</f>
        <v>http://m.12365auto.com/news/20200217/418691.shtml</v>
      </c>
      <c r="G6863" s="2"/>
      <c r="H6863" s="2" t="s">
        <v>9387</v>
      </c>
      <c r="I6863" s="2" t="s">
        <v>19</v>
      </c>
      <c r="J6863" s="2" t="s">
        <v>3053</v>
      </c>
      <c r="K6863" s="2" t="s">
        <v>9388</v>
      </c>
      <c r="L6863" s="2">
        <f t="shared" si="107"/>
        <v>150</v>
      </c>
    </row>
    <row r="6864" spans="1:12" ht="25" customHeight="1">
      <c r="A6864" s="2" t="s">
        <v>12</v>
      </c>
      <c r="B6864" s="2" t="str">
        <f>HYPERLINK("http://www.12365auto.com/news/20200217/418691.shtml","荣威 名爵再创营销新模式 高管送你所需")</f>
        <v>荣威 名爵再创营销新模式 高管送你所需</v>
      </c>
      <c r="C6864" s="2" t="s">
        <v>13</v>
      </c>
      <c r="D6864" s="2" t="s">
        <v>12</v>
      </c>
      <c r="E6864" s="2" t="s">
        <v>282</v>
      </c>
      <c r="F6864" s="2" t="str">
        <f>HYPERLINK("http://www.12365auto.com/news/20200217/418691.shtml","http://www.12365auto.com/news/20200217/418691.shtml")</f>
        <v>http://www.12365auto.com/news/20200217/418691.shtml</v>
      </c>
      <c r="G6864" s="2"/>
      <c r="H6864" s="2" t="s">
        <v>9389</v>
      </c>
      <c r="I6864" s="2" t="s">
        <v>19</v>
      </c>
      <c r="J6864" s="2" t="s">
        <v>12</v>
      </c>
      <c r="K6864" s="2" t="s">
        <v>9388</v>
      </c>
      <c r="L6864" s="2">
        <f t="shared" si="107"/>
        <v>150</v>
      </c>
    </row>
    <row r="6865" spans="1:12" ht="25" customHeight="1">
      <c r="A6865" s="2" t="s">
        <v>12</v>
      </c>
      <c r="B6865" s="2" t="str">
        <f>HYPERLINK("http://m.12365auto.com/news/20200217/418690.shtml","基于L2级别 雷克萨斯新辅助驾驶系统将发布")</f>
        <v>基于L2级别 雷克萨斯新辅助驾驶系统将发布</v>
      </c>
      <c r="C6865" s="2" t="s">
        <v>13</v>
      </c>
      <c r="D6865" s="2" t="s">
        <v>12</v>
      </c>
      <c r="E6865" s="2"/>
      <c r="F6865" s="2" t="str">
        <f>HYPERLINK("http://m.12365auto.com/news/20200217/418690.shtml","http://m.12365auto.com/news/20200217/418690.shtml")</f>
        <v>http://m.12365auto.com/news/20200217/418690.shtml</v>
      </c>
      <c r="G6865" s="2"/>
      <c r="H6865" s="2" t="s">
        <v>9390</v>
      </c>
      <c r="I6865" s="2" t="s">
        <v>19</v>
      </c>
      <c r="J6865" s="2" t="s">
        <v>3058</v>
      </c>
      <c r="K6865" s="2" t="s">
        <v>9391</v>
      </c>
      <c r="L6865" s="2">
        <f t="shared" si="107"/>
        <v>150</v>
      </c>
    </row>
    <row r="6866" spans="1:12" ht="25" customHeight="1">
      <c r="A6866" s="2" t="s">
        <v>12</v>
      </c>
      <c r="B6866" s="2" t="str">
        <f>HYPERLINK("http://m.12365auto.com/xcdg/20200217/418689.shtml","颜值担当SUV又上新 雪佛兰探界者开箱解读")</f>
        <v>颜值担当SUV又上新 雪佛兰探界者开箱解读</v>
      </c>
      <c r="C6866" s="2" t="s">
        <v>13</v>
      </c>
      <c r="D6866" s="2" t="s">
        <v>12</v>
      </c>
      <c r="E6866" s="2"/>
      <c r="F6866" s="2" t="str">
        <f>HYPERLINK("http://m.12365auto.com/xcdg/20200217/418689.shtml","http://m.12365auto.com/xcdg/20200217/418689.shtml")</f>
        <v>http://m.12365auto.com/xcdg/20200217/418689.shtml</v>
      </c>
      <c r="G6866" s="2"/>
      <c r="H6866" s="2" t="s">
        <v>9392</v>
      </c>
      <c r="I6866" s="2" t="s">
        <v>19</v>
      </c>
      <c r="J6866" s="2" t="s">
        <v>1247</v>
      </c>
      <c r="K6866" s="2" t="s">
        <v>9391</v>
      </c>
      <c r="L6866" s="2">
        <f t="shared" si="107"/>
        <v>150</v>
      </c>
    </row>
    <row r="6867" spans="1:12" ht="25" customHeight="1">
      <c r="A6867" s="2" t="s">
        <v>12</v>
      </c>
      <c r="B6867" s="2" t="str">
        <f>HYPERLINK("http://www.12365auto.com/news/20200217/418690.shtml","基于L2级别 雷克萨斯新辅助驾驶系统将发布")</f>
        <v>基于L2级别 雷克萨斯新辅助驾驶系统将发布</v>
      </c>
      <c r="C6867" s="2" t="s">
        <v>13</v>
      </c>
      <c r="D6867" s="2" t="s">
        <v>12</v>
      </c>
      <c r="E6867" s="2" t="s">
        <v>282</v>
      </c>
      <c r="F6867" s="2" t="str">
        <f>HYPERLINK("http://www.12365auto.com/news/20200217/418690.shtml","http://www.12365auto.com/news/20200217/418690.shtml")</f>
        <v>http://www.12365auto.com/news/20200217/418690.shtml</v>
      </c>
      <c r="G6867" s="2"/>
      <c r="H6867" s="2" t="s">
        <v>9393</v>
      </c>
      <c r="I6867" s="2" t="s">
        <v>19</v>
      </c>
      <c r="J6867" s="2" t="s">
        <v>12</v>
      </c>
      <c r="K6867" s="2" t="s">
        <v>9391</v>
      </c>
      <c r="L6867" s="2">
        <f t="shared" si="107"/>
        <v>150</v>
      </c>
    </row>
    <row r="6868" spans="1:12" ht="25" customHeight="1">
      <c r="A6868" s="2" t="s">
        <v>12</v>
      </c>
      <c r="B6868" s="2" t="str">
        <f>HYPERLINK("http://m.12365auto.com/xcdg/20200217/418710.shtml","续航里程有提升 奔驰GLE插混版国内曝光")</f>
        <v>续航里程有提升 奔驰GLE插混版国内曝光</v>
      </c>
      <c r="C6868" s="2" t="s">
        <v>13</v>
      </c>
      <c r="D6868" s="2" t="s">
        <v>12</v>
      </c>
      <c r="E6868" s="2"/>
      <c r="F6868" s="2" t="str">
        <f>HYPERLINK("http://m.12365auto.com/xcdg/20200217/418710.shtml","http://m.12365auto.com/xcdg/20200217/418710.shtml")</f>
        <v>http://m.12365auto.com/xcdg/20200217/418710.shtml</v>
      </c>
      <c r="G6868" s="2"/>
      <c r="H6868" s="2" t="s">
        <v>9394</v>
      </c>
      <c r="I6868" s="2" t="s">
        <v>19</v>
      </c>
      <c r="J6868" s="2" t="s">
        <v>1326</v>
      </c>
      <c r="K6868" s="2" t="s">
        <v>9391</v>
      </c>
      <c r="L6868" s="2">
        <f t="shared" si="107"/>
        <v>150</v>
      </c>
    </row>
    <row r="6869" spans="1:12" ht="25" customHeight="1">
      <c r="A6869" s="2" t="s">
        <v>12</v>
      </c>
      <c r="B6869" s="2" t="str">
        <f>HYPERLINK("http://www.12365auto.com/xcdg/20200217/418710.shtml","续航里程有提升 奔驰GLE插混版国内曝光")</f>
        <v>续航里程有提升 奔驰GLE插混版国内曝光</v>
      </c>
      <c r="C6869" s="2" t="s">
        <v>13</v>
      </c>
      <c r="D6869" s="2" t="s">
        <v>12</v>
      </c>
      <c r="E6869" s="2" t="s">
        <v>224</v>
      </c>
      <c r="F6869" s="2" t="str">
        <f>HYPERLINK("http://www.12365auto.com/xcdg/20200217/418710.shtml","http://www.12365auto.com/xcdg/20200217/418710.shtml")</f>
        <v>http://www.12365auto.com/xcdg/20200217/418710.shtml</v>
      </c>
      <c r="G6869" s="2"/>
      <c r="H6869" s="2" t="s">
        <v>9395</v>
      </c>
      <c r="I6869" s="2" t="s">
        <v>15</v>
      </c>
      <c r="J6869" s="2" t="s">
        <v>12</v>
      </c>
      <c r="K6869" s="2" t="s">
        <v>9391</v>
      </c>
      <c r="L6869" s="2">
        <f t="shared" si="107"/>
        <v>150</v>
      </c>
    </row>
    <row r="6870" spans="1:12" ht="25" customHeight="1">
      <c r="A6870" s="2" t="s">
        <v>12</v>
      </c>
      <c r="B6870" s="2" t="str">
        <f>HYPERLINK("http://m.12365auto.com/news/20200217/418688.shtml","寒潮去了又来？爱车在寒潮下那些地方易损")</f>
        <v>寒潮去了又来？爱车在寒潮下那些地方易损</v>
      </c>
      <c r="C6870" s="2" t="s">
        <v>13</v>
      </c>
      <c r="D6870" s="2" t="s">
        <v>12</v>
      </c>
      <c r="E6870" s="2"/>
      <c r="F6870" s="2" t="str">
        <f>HYPERLINK("http://m.12365auto.com/news/20200217/418688.shtml","http://m.12365auto.com/news/20200217/418688.shtml")</f>
        <v>http://m.12365auto.com/news/20200217/418688.shtml</v>
      </c>
      <c r="G6870" s="2"/>
      <c r="H6870" s="2" t="s">
        <v>9396</v>
      </c>
      <c r="I6870" s="2" t="s">
        <v>19</v>
      </c>
      <c r="J6870" s="2" t="s">
        <v>222</v>
      </c>
      <c r="K6870" s="2" t="s">
        <v>9397</v>
      </c>
      <c r="L6870" s="2">
        <f t="shared" si="107"/>
        <v>150</v>
      </c>
    </row>
    <row r="6871" spans="1:12" ht="25" customHeight="1">
      <c r="A6871" s="2" t="s">
        <v>12</v>
      </c>
      <c r="B6871" s="2" t="str">
        <f>HYPERLINK("http://www.12365auto.com/news/20200217/418688.shtml","寒潮去了又来？爱车在寒潮下那些地方易损")</f>
        <v>寒潮去了又来？爱车在寒潮下那些地方易损</v>
      </c>
      <c r="C6871" s="2" t="s">
        <v>13</v>
      </c>
      <c r="D6871" s="2" t="s">
        <v>12</v>
      </c>
      <c r="E6871" s="2" t="s">
        <v>372</v>
      </c>
      <c r="F6871" s="2" t="str">
        <f>HYPERLINK("http://www.12365auto.com/news/20200217/418688.shtml","http://www.12365auto.com/news/20200217/418688.shtml")</f>
        <v>http://www.12365auto.com/news/20200217/418688.shtml</v>
      </c>
      <c r="G6871" s="2"/>
      <c r="H6871" s="2" t="s">
        <v>9398</v>
      </c>
      <c r="I6871" s="2" t="s">
        <v>15</v>
      </c>
      <c r="J6871" s="2" t="s">
        <v>12</v>
      </c>
      <c r="K6871" s="2" t="s">
        <v>9397</v>
      </c>
      <c r="L6871" s="2">
        <f t="shared" si="107"/>
        <v>150</v>
      </c>
    </row>
    <row r="6872" spans="1:12" ht="25" customHeight="1">
      <c r="A6872" s="2" t="s">
        <v>12</v>
      </c>
      <c r="B6872" s="2" t="str">
        <f>HYPERLINK("http://m.12365auto.com/news/20200217/418687.shtml","雪天前风挡起雾后风挡有积雪？怎么办？")</f>
        <v>雪天前风挡起雾后风挡有积雪？怎么办？</v>
      </c>
      <c r="C6872" s="2" t="s">
        <v>13</v>
      </c>
      <c r="D6872" s="2" t="s">
        <v>12</v>
      </c>
      <c r="E6872" s="2"/>
      <c r="F6872" s="2" t="str">
        <f>HYPERLINK("http://m.12365auto.com/news/20200217/418687.shtml","http://m.12365auto.com/news/20200217/418687.shtml")</f>
        <v>http://m.12365auto.com/news/20200217/418687.shtml</v>
      </c>
      <c r="G6872" s="2"/>
      <c r="H6872" s="2" t="s">
        <v>9399</v>
      </c>
      <c r="I6872" s="2" t="s">
        <v>19</v>
      </c>
      <c r="J6872" s="2" t="s">
        <v>222</v>
      </c>
      <c r="K6872" s="2" t="s">
        <v>9400</v>
      </c>
      <c r="L6872" s="2">
        <f t="shared" si="107"/>
        <v>150</v>
      </c>
    </row>
    <row r="6873" spans="1:12" ht="25" customHeight="1">
      <c r="A6873" s="2" t="s">
        <v>12</v>
      </c>
      <c r="B6873" s="2" t="str">
        <f>HYPERLINK("http://www.12365auto.com/news/20200217/418687.shtml","雪天前风挡起雾后风挡有积雪？怎么办？")</f>
        <v>雪天前风挡起雾后风挡有积雪？怎么办？</v>
      </c>
      <c r="C6873" s="2" t="s">
        <v>13</v>
      </c>
      <c r="D6873" s="2" t="s">
        <v>12</v>
      </c>
      <c r="E6873" s="2" t="s">
        <v>372</v>
      </c>
      <c r="F6873" s="2" t="str">
        <f>HYPERLINK("http://www.12365auto.com/news/20200217/418687.shtml","http://www.12365auto.com/news/20200217/418687.shtml")</f>
        <v>http://www.12365auto.com/news/20200217/418687.shtml</v>
      </c>
      <c r="G6873" s="2"/>
      <c r="H6873" s="2" t="s">
        <v>9401</v>
      </c>
      <c r="I6873" s="2" t="s">
        <v>15</v>
      </c>
      <c r="J6873" s="2" t="s">
        <v>12</v>
      </c>
      <c r="K6873" s="2" t="s">
        <v>9400</v>
      </c>
      <c r="L6873" s="2">
        <f t="shared" si="107"/>
        <v>150</v>
      </c>
    </row>
    <row r="6874" spans="1:12" ht="25" customHeight="1">
      <c r="A6874" s="2" t="s">
        <v>12</v>
      </c>
      <c r="B6874" s="2" t="str">
        <f>HYPERLINK("http://m.12365auto.com/news/20200217/418686.shtml","新红旗1月销量大涨142.7% H9旗舰将开售")</f>
        <v>新红旗1月销量大涨142.7% H9旗舰将开售</v>
      </c>
      <c r="C6874" s="2" t="s">
        <v>13</v>
      </c>
      <c r="D6874" s="2" t="s">
        <v>12</v>
      </c>
      <c r="E6874" s="2"/>
      <c r="F6874" s="2" t="str">
        <f>HYPERLINK("http://m.12365auto.com/news/20200217/418686.shtml","http://m.12365auto.com/news/20200217/418686.shtml")</f>
        <v>http://m.12365auto.com/news/20200217/418686.shtml</v>
      </c>
      <c r="G6874" s="2"/>
      <c r="H6874" s="2" t="s">
        <v>9402</v>
      </c>
      <c r="I6874" s="2" t="s">
        <v>19</v>
      </c>
      <c r="J6874" s="2" t="s">
        <v>3053</v>
      </c>
      <c r="K6874" s="2" t="s">
        <v>9403</v>
      </c>
      <c r="L6874" s="2">
        <f t="shared" si="107"/>
        <v>150</v>
      </c>
    </row>
    <row r="6875" spans="1:12" ht="25" customHeight="1">
      <c r="A6875" s="2" t="s">
        <v>12</v>
      </c>
      <c r="B6875" s="2" t="str">
        <f>HYPERLINK("http://www.12365auto.com/news/20200217/418686.shtml","新红旗1月销量大涨142.7% H9旗舰将开售")</f>
        <v>新红旗1月销量大涨142.7% H9旗舰将开售</v>
      </c>
      <c r="C6875" s="2" t="s">
        <v>13</v>
      </c>
      <c r="D6875" s="2" t="s">
        <v>12</v>
      </c>
      <c r="E6875" s="2" t="s">
        <v>282</v>
      </c>
      <c r="F6875" s="2" t="str">
        <f>HYPERLINK("http://www.12365auto.com/news/20200217/418686.shtml","http://www.12365auto.com/news/20200217/418686.shtml")</f>
        <v>http://www.12365auto.com/news/20200217/418686.shtml</v>
      </c>
      <c r="G6875" s="2"/>
      <c r="H6875" s="2" t="s">
        <v>9404</v>
      </c>
      <c r="I6875" s="2" t="s">
        <v>19</v>
      </c>
      <c r="J6875" s="2" t="s">
        <v>12</v>
      </c>
      <c r="K6875" s="2" t="s">
        <v>9403</v>
      </c>
      <c r="L6875" s="2">
        <f t="shared" si="107"/>
        <v>150</v>
      </c>
    </row>
    <row r="6876" spans="1:12" ht="25" customHeight="1">
      <c r="A6876" s="2" t="s">
        <v>12</v>
      </c>
      <c r="B6876" s="2" t="str">
        <f>HYPERLINK("http://m.12365auto.com/xcdg/20200217/418685.shtml","三菱L200 Trojan曝光 2.3T 三菱超选四驱")</f>
        <v>三菱L200 Trojan曝光 2.3T 三菱超选四驱</v>
      </c>
      <c r="C6876" s="2" t="s">
        <v>13</v>
      </c>
      <c r="D6876" s="2" t="s">
        <v>12</v>
      </c>
      <c r="E6876" s="2"/>
      <c r="F6876" s="2" t="str">
        <f>HYPERLINK("http://m.12365auto.com/xcdg/20200217/418685.shtml","http://m.12365auto.com/xcdg/20200217/418685.shtml")</f>
        <v>http://m.12365auto.com/xcdg/20200217/418685.shtml</v>
      </c>
      <c r="G6876" s="2"/>
      <c r="H6876" s="2" t="s">
        <v>9405</v>
      </c>
      <c r="I6876" s="2" t="s">
        <v>19</v>
      </c>
      <c r="J6876" s="2" t="s">
        <v>2612</v>
      </c>
      <c r="K6876" s="2" t="s">
        <v>9406</v>
      </c>
      <c r="L6876" s="2">
        <f t="shared" si="107"/>
        <v>150</v>
      </c>
    </row>
    <row r="6877" spans="1:12" ht="25" customHeight="1">
      <c r="A6877" s="2" t="s">
        <v>12</v>
      </c>
      <c r="B6877" s="2" t="str">
        <f>HYPERLINK("http://www.12365auto.com/xcdg/20200217/418685.shtml","三菱L200 Trojan曝光 2.3T 三菱超选四驱")</f>
        <v>三菱L200 Trojan曝光 2.3T 三菱超选四驱</v>
      </c>
      <c r="C6877" s="2" t="s">
        <v>13</v>
      </c>
      <c r="D6877" s="2" t="s">
        <v>12</v>
      </c>
      <c r="E6877" s="2" t="s">
        <v>245</v>
      </c>
      <c r="F6877" s="2" t="str">
        <f>HYPERLINK("http://www.12365auto.com/xcdg/20200217/418685.shtml","http://www.12365auto.com/xcdg/20200217/418685.shtml")</f>
        <v>http://www.12365auto.com/xcdg/20200217/418685.shtml</v>
      </c>
      <c r="G6877" s="2"/>
      <c r="H6877" s="2" t="s">
        <v>9407</v>
      </c>
      <c r="I6877" s="2" t="s">
        <v>19</v>
      </c>
      <c r="J6877" s="2" t="s">
        <v>12</v>
      </c>
      <c r="K6877" s="2" t="s">
        <v>9406</v>
      </c>
      <c r="L6877" s="2">
        <f t="shared" si="107"/>
        <v>150</v>
      </c>
    </row>
    <row r="6878" spans="1:12" ht="25" customHeight="1">
      <c r="A6878" s="2" t="s">
        <v>12</v>
      </c>
      <c r="B6878" s="2" t="str">
        <f>HYPERLINK("http://m.12365auto.com/xcdg/20200217/418684.shtml","“XL”号的荣威i6 这次尺寸比大众朗逸更大")</f>
        <v>“XL”号的荣威i6 这次尺寸比大众朗逸更大</v>
      </c>
      <c r="C6878" s="2" t="s">
        <v>13</v>
      </c>
      <c r="D6878" s="2" t="s">
        <v>12</v>
      </c>
      <c r="E6878" s="2"/>
      <c r="F6878" s="2" t="str">
        <f>HYPERLINK("http://m.12365auto.com/xcdg/20200217/418684.shtml","http://m.12365auto.com/xcdg/20200217/418684.shtml")</f>
        <v>http://m.12365auto.com/xcdg/20200217/418684.shtml</v>
      </c>
      <c r="G6878" s="2"/>
      <c r="H6878" s="2" t="s">
        <v>9408</v>
      </c>
      <c r="I6878" s="2" t="s">
        <v>19</v>
      </c>
      <c r="J6878" s="2" t="s">
        <v>732</v>
      </c>
      <c r="K6878" s="2" t="s">
        <v>9409</v>
      </c>
      <c r="L6878" s="2">
        <f t="shared" si="107"/>
        <v>150</v>
      </c>
    </row>
    <row r="6879" spans="1:12" ht="25" customHeight="1">
      <c r="A6879" s="2" t="s">
        <v>12</v>
      </c>
      <c r="B6879" s="2" t="str">
        <f>HYPERLINK("http://www.12365auto.com/xcdg/20200217/418684.shtml","“XL”号的荣威i6 这次尺寸比大众朗逸更大")</f>
        <v>“XL”号的荣威i6 这次尺寸比大众朗逸更大</v>
      </c>
      <c r="C6879" s="2" t="s">
        <v>13</v>
      </c>
      <c r="D6879" s="2" t="s">
        <v>12</v>
      </c>
      <c r="E6879" s="2" t="s">
        <v>245</v>
      </c>
      <c r="F6879" s="2" t="str">
        <f>HYPERLINK("http://www.12365auto.com/xcdg/20200217/418684.shtml","http://www.12365auto.com/xcdg/20200217/418684.shtml")</f>
        <v>http://www.12365auto.com/xcdg/20200217/418684.shtml</v>
      </c>
      <c r="G6879" s="2"/>
      <c r="H6879" s="2" t="s">
        <v>9410</v>
      </c>
      <c r="I6879" s="2" t="s">
        <v>19</v>
      </c>
      <c r="J6879" s="2" t="s">
        <v>12</v>
      </c>
      <c r="K6879" s="2" t="s">
        <v>9409</v>
      </c>
      <c r="L6879" s="2">
        <f t="shared" si="107"/>
        <v>150</v>
      </c>
    </row>
    <row r="6880" spans="1:12" ht="25" customHeight="1">
      <c r="A6880" s="2" t="s">
        <v>12</v>
      </c>
      <c r="B6880" s="2" t="str">
        <f>HYPERLINK("http://m.12365auto.com/xcdg/20200217/418682.shtml","奥迪新Q2L 21.88万起售 入门版增6项配置")</f>
        <v>奥迪新Q2L 21.88万起售 入门版增6项配置</v>
      </c>
      <c r="C6880" s="2" t="s">
        <v>13</v>
      </c>
      <c r="D6880" s="2" t="s">
        <v>12</v>
      </c>
      <c r="E6880" s="2"/>
      <c r="F6880" s="2" t="str">
        <f>HYPERLINK("http://m.12365auto.com/xcdg/20200217/418682.shtml","http://m.12365auto.com/xcdg/20200217/418682.shtml")</f>
        <v>http://m.12365auto.com/xcdg/20200217/418682.shtml</v>
      </c>
      <c r="G6880" s="2"/>
      <c r="H6880" s="2" t="s">
        <v>9411</v>
      </c>
      <c r="I6880" s="2" t="s">
        <v>19</v>
      </c>
      <c r="J6880" s="2" t="s">
        <v>732</v>
      </c>
      <c r="K6880" s="2" t="s">
        <v>9412</v>
      </c>
      <c r="L6880" s="2">
        <f t="shared" si="107"/>
        <v>150</v>
      </c>
    </row>
    <row r="6881" spans="1:12" ht="25" customHeight="1">
      <c r="A6881" s="2" t="s">
        <v>12</v>
      </c>
      <c r="B6881" s="2" t="str">
        <f>HYPERLINK("http://www.12365auto.com/xcdg/20200217/418682.shtml","奥迪新Q2L 21.88万起售 入门版增6项配置")</f>
        <v>奥迪新Q2L 21.88万起售 入门版增6项配置</v>
      </c>
      <c r="C6881" s="2" t="s">
        <v>13</v>
      </c>
      <c r="D6881" s="2" t="s">
        <v>12</v>
      </c>
      <c r="E6881" s="2" t="s">
        <v>245</v>
      </c>
      <c r="F6881" s="2" t="str">
        <f>HYPERLINK("http://www.12365auto.com/xcdg/20200217/418682.shtml","http://www.12365auto.com/xcdg/20200217/418682.shtml")</f>
        <v>http://www.12365auto.com/xcdg/20200217/418682.shtml</v>
      </c>
      <c r="G6881" s="2"/>
      <c r="H6881" s="2" t="s">
        <v>9413</v>
      </c>
      <c r="I6881" s="2" t="s">
        <v>19</v>
      </c>
      <c r="J6881" s="2" t="s">
        <v>12</v>
      </c>
      <c r="K6881" s="2" t="s">
        <v>9412</v>
      </c>
      <c r="L6881" s="2">
        <f t="shared" si="107"/>
        <v>150</v>
      </c>
    </row>
    <row r="6882" spans="1:12" ht="25" customHeight="1">
      <c r="A6882" s="2" t="s">
        <v>12</v>
      </c>
      <c r="B6882" s="2" t="str">
        <f>HYPERLINK("http://m.12365auto.com/news/20200217/418679.shtml","为新能源车型铺路？最美奔驰车型或将停产")</f>
        <v>为新能源车型铺路？最美奔驰车型或将停产</v>
      </c>
      <c r="C6882" s="2" t="s">
        <v>13</v>
      </c>
      <c r="D6882" s="2" t="s">
        <v>12</v>
      </c>
      <c r="E6882" s="2"/>
      <c r="F6882" s="2" t="str">
        <f>HYPERLINK("http://m.12365auto.com/news/20200217/418679.shtml","http://m.12365auto.com/news/20200217/418679.shtml")</f>
        <v>http://m.12365auto.com/news/20200217/418679.shtml</v>
      </c>
      <c r="G6882" s="2"/>
      <c r="H6882" s="2" t="s">
        <v>9414</v>
      </c>
      <c r="I6882" s="2" t="s">
        <v>19</v>
      </c>
      <c r="J6882" s="2" t="s">
        <v>3058</v>
      </c>
      <c r="K6882" s="2" t="s">
        <v>9415</v>
      </c>
      <c r="L6882" s="2">
        <f t="shared" si="107"/>
        <v>150</v>
      </c>
    </row>
    <row r="6883" spans="1:12" ht="25" customHeight="1">
      <c r="A6883" s="2" t="s">
        <v>12</v>
      </c>
      <c r="B6883" s="2" t="str">
        <f>HYPERLINK("http://www.12365auto.com/news/20200217/418679.shtml","为新能源车型铺路？最美奔驰车型或将停产")</f>
        <v>为新能源车型铺路？最美奔驰车型或将停产</v>
      </c>
      <c r="C6883" s="2" t="s">
        <v>13</v>
      </c>
      <c r="D6883" s="2" t="s">
        <v>12</v>
      </c>
      <c r="E6883" s="2" t="s">
        <v>276</v>
      </c>
      <c r="F6883" s="2" t="str">
        <f>HYPERLINK("http://www.12365auto.com/news/20200217/418679.shtml","http://www.12365auto.com/news/20200217/418679.shtml")</f>
        <v>http://www.12365auto.com/news/20200217/418679.shtml</v>
      </c>
      <c r="G6883" s="2"/>
      <c r="H6883" s="2" t="s">
        <v>9416</v>
      </c>
      <c r="I6883" s="2" t="s">
        <v>15</v>
      </c>
      <c r="J6883" s="2" t="s">
        <v>12</v>
      </c>
      <c r="K6883" s="2" t="s">
        <v>9415</v>
      </c>
      <c r="L6883" s="2">
        <f t="shared" si="107"/>
        <v>150</v>
      </c>
    </row>
    <row r="6884" spans="1:12" ht="25" customHeight="1">
      <c r="A6884" s="2" t="s">
        <v>12</v>
      </c>
      <c r="B6884" s="2" t="str">
        <f>HYPERLINK("http://m.12365auto.com/xcdg/20200217/418678.shtml","全球量产无人驾驶车 吉利几何首款SUV实拍")</f>
        <v>全球量产无人驾驶车 吉利几何首款SUV实拍</v>
      </c>
      <c r="C6884" s="2" t="s">
        <v>13</v>
      </c>
      <c r="D6884" s="2" t="s">
        <v>12</v>
      </c>
      <c r="E6884" s="2"/>
      <c r="F6884" s="2" t="str">
        <f>HYPERLINK("http://m.12365auto.com/xcdg/20200217/418678.shtml","http://m.12365auto.com/xcdg/20200217/418678.shtml")</f>
        <v>http://m.12365auto.com/xcdg/20200217/418678.shtml</v>
      </c>
      <c r="G6884" s="2"/>
      <c r="H6884" s="2" t="s">
        <v>9417</v>
      </c>
      <c r="I6884" s="2" t="s">
        <v>19</v>
      </c>
      <c r="J6884" s="2" t="s">
        <v>257</v>
      </c>
      <c r="K6884" s="2" t="s">
        <v>9418</v>
      </c>
      <c r="L6884" s="2">
        <f t="shared" si="107"/>
        <v>150</v>
      </c>
    </row>
    <row r="6885" spans="1:12" ht="25" customHeight="1">
      <c r="A6885" s="2" t="s">
        <v>12</v>
      </c>
      <c r="B6885" s="2" t="str">
        <f>HYPERLINK("http://www.12365auto.com/xcdg/20200217/418678.shtml","全球量产无人驾驶车 吉利几何首款SUV实拍")</f>
        <v>全球量产无人驾驶车 吉利几何首款SUV实拍</v>
      </c>
      <c r="C6885" s="2" t="s">
        <v>13</v>
      </c>
      <c r="D6885" s="2" t="s">
        <v>12</v>
      </c>
      <c r="E6885" s="2" t="s">
        <v>245</v>
      </c>
      <c r="F6885" s="2" t="str">
        <f>HYPERLINK("http://www.12365auto.com/xcdg/20200217/418678.shtml","http://www.12365auto.com/xcdg/20200217/418678.shtml")</f>
        <v>http://www.12365auto.com/xcdg/20200217/418678.shtml</v>
      </c>
      <c r="G6885" s="2"/>
      <c r="H6885" s="2" t="s">
        <v>9419</v>
      </c>
      <c r="I6885" s="2" t="s">
        <v>19</v>
      </c>
      <c r="J6885" s="2" t="s">
        <v>12</v>
      </c>
      <c r="K6885" s="2" t="s">
        <v>9418</v>
      </c>
      <c r="L6885" s="2">
        <f t="shared" si="107"/>
        <v>150</v>
      </c>
    </row>
    <row r="6886" spans="1:12" ht="25" customHeight="1">
      <c r="A6886" s="2" t="s">
        <v>12</v>
      </c>
      <c r="B6886" s="2" t="str">
        <f>HYPERLINK("http://m.12365auto.com/bbs/postcontent.aspx?tID=194228","保持安全车距 汇总高速紧急变线注意事项")</f>
        <v>保持安全车距 汇总高速紧急变线注意事项</v>
      </c>
      <c r="C6886" s="2" t="s">
        <v>13</v>
      </c>
      <c r="D6886" s="2" t="s">
        <v>23</v>
      </c>
      <c r="E6886" s="2"/>
      <c r="F6886" s="2" t="str">
        <f>HYPERLINK("http://m.12365auto.com/bbs/postcontent.aspx?tID=194228","http://m.12365auto.com/bbs/postcontent.aspx?tID=194228")</f>
        <v>http://m.12365auto.com/bbs/postcontent.aspx?tID=194228</v>
      </c>
      <c r="G6886" s="2"/>
      <c r="H6886" s="2" t="s">
        <v>9420</v>
      </c>
      <c r="I6886" s="2" t="s">
        <v>15</v>
      </c>
      <c r="J6886" s="2" t="s">
        <v>2996</v>
      </c>
      <c r="K6886" s="2" t="s">
        <v>9421</v>
      </c>
      <c r="L6886" s="2">
        <f t="shared" si="107"/>
        <v>150</v>
      </c>
    </row>
    <row r="6887" spans="1:12" ht="25" customHeight="1">
      <c r="A6887" s="2" t="s">
        <v>12</v>
      </c>
      <c r="B6887" s="2" t="str">
        <f>HYPERLINK("http://m.12365auto.com/xcdg/20200217/418676.shtml","奥迪新款e-tron售价曝光 续航超300km")</f>
        <v>奥迪新款e-tron售价曝光 续航超300km</v>
      </c>
      <c r="C6887" s="2" t="s">
        <v>13</v>
      </c>
      <c r="D6887" s="2" t="s">
        <v>12</v>
      </c>
      <c r="E6887" s="2"/>
      <c r="F6887" s="2" t="str">
        <f>HYPERLINK("http://m.12365auto.com/xcdg/20200217/418676.shtml","http://m.12365auto.com/xcdg/20200217/418676.shtml")</f>
        <v>http://m.12365auto.com/xcdg/20200217/418676.shtml</v>
      </c>
      <c r="G6887" s="2"/>
      <c r="H6887" s="2" t="s">
        <v>9422</v>
      </c>
      <c r="I6887" s="2" t="s">
        <v>19</v>
      </c>
      <c r="J6887" s="2" t="s">
        <v>220</v>
      </c>
      <c r="K6887" s="2" t="s">
        <v>9421</v>
      </c>
      <c r="L6887" s="2">
        <f t="shared" si="107"/>
        <v>150</v>
      </c>
    </row>
    <row r="6888" spans="1:12" ht="25" customHeight="1">
      <c r="A6888" s="2" t="s">
        <v>12</v>
      </c>
      <c r="B6888" s="2" t="str">
        <f>HYPERLINK("http://bbs.12365auto.com/postcontent.aspx?tID=194228","保持安全车距 汇总高速紧急变线注意事项")</f>
        <v>保持安全车距 汇总高速紧急变线注意事项</v>
      </c>
      <c r="C6888" s="2" t="s">
        <v>13</v>
      </c>
      <c r="D6888" s="2" t="s">
        <v>12</v>
      </c>
      <c r="E6888" s="2" t="s">
        <v>28</v>
      </c>
      <c r="F6888" s="2" t="str">
        <f>HYPERLINK("http://bbs.12365auto.com/postcontent.aspx?tID=194228","http://bbs.12365auto.com/postcontent.aspx?tID=194228")</f>
        <v>http://bbs.12365auto.com/postcontent.aspx?tID=194228</v>
      </c>
      <c r="G6888" s="2"/>
      <c r="H6888" s="2" t="s">
        <v>9423</v>
      </c>
      <c r="I6888" s="2" t="s">
        <v>15</v>
      </c>
      <c r="J6888" s="2" t="s">
        <v>2996</v>
      </c>
      <c r="K6888" s="2" t="s">
        <v>9421</v>
      </c>
      <c r="L6888" s="2">
        <f t="shared" si="107"/>
        <v>150</v>
      </c>
    </row>
    <row r="6889" spans="1:12" ht="25" customHeight="1">
      <c r="A6889" s="2" t="s">
        <v>12</v>
      </c>
      <c r="B6889" s="2" t="str">
        <f>HYPERLINK("http://www.12365auto.com/xcdg/20200217/418676.shtml","奥迪新款e-tron售价曝光 续航超300km")</f>
        <v>奥迪新款e-tron售价曝光 续航超300km</v>
      </c>
      <c r="C6889" s="2" t="s">
        <v>13</v>
      </c>
      <c r="D6889" s="2" t="s">
        <v>12</v>
      </c>
      <c r="E6889" s="2" t="s">
        <v>224</v>
      </c>
      <c r="F6889" s="2" t="str">
        <f>HYPERLINK("http://www.12365auto.com/xcdg/20200217/418676.shtml","http://www.12365auto.com/xcdg/20200217/418676.shtml")</f>
        <v>http://www.12365auto.com/xcdg/20200217/418676.shtml</v>
      </c>
      <c r="G6889" s="2"/>
      <c r="H6889" s="2" t="s">
        <v>9424</v>
      </c>
      <c r="I6889" s="2" t="s">
        <v>15</v>
      </c>
      <c r="J6889" s="2" t="s">
        <v>12</v>
      </c>
      <c r="K6889" s="2" t="s">
        <v>9421</v>
      </c>
      <c r="L6889" s="2">
        <f t="shared" si="107"/>
        <v>150</v>
      </c>
    </row>
    <row r="6890" spans="1:12" ht="25" customHeight="1">
      <c r="A6890" s="2" t="s">
        <v>12</v>
      </c>
      <c r="B6890" s="2" t="str">
        <f>HYPERLINK("http://bbs.12365auto.com/postcontent.aspx?tId=194228","保持安全车距 汇总高速紧急变线注意事项")</f>
        <v>保持安全车距 汇总高速紧急变线注意事项</v>
      </c>
      <c r="C6890" s="2" t="s">
        <v>13</v>
      </c>
      <c r="D6890" s="2" t="s">
        <v>12</v>
      </c>
      <c r="E6890" s="2" t="s">
        <v>27</v>
      </c>
      <c r="F6890" s="2" t="str">
        <f>HYPERLINK("http://bbs.12365auto.com/postcontent.aspx?tId=194228","http://bbs.12365auto.com/postcontent.aspx?tId=194228")</f>
        <v>http://bbs.12365auto.com/postcontent.aspx?tId=194228</v>
      </c>
      <c r="G6890" s="2"/>
      <c r="H6890" s="2" t="s">
        <v>9420</v>
      </c>
      <c r="I6890" s="2" t="s">
        <v>15</v>
      </c>
      <c r="J6890" s="2" t="s">
        <v>2996</v>
      </c>
      <c r="K6890" s="2" t="s">
        <v>9421</v>
      </c>
      <c r="L6890" s="2">
        <f t="shared" si="107"/>
        <v>150</v>
      </c>
    </row>
    <row r="6891" spans="1:12" ht="25" customHeight="1">
      <c r="A6891" s="2" t="s">
        <v>12</v>
      </c>
      <c r="B6891" s="2" t="str">
        <f>HYPERLINK("http://m.12365auto.com/bbs/postcontent.aspx?tID=194227","后视镜有死角 详解后视镜盲区及解决方法")</f>
        <v>后视镜有死角 详解后视镜盲区及解决方法</v>
      </c>
      <c r="C6891" s="2" t="s">
        <v>13</v>
      </c>
      <c r="D6891" s="2" t="s">
        <v>23</v>
      </c>
      <c r="E6891" s="2"/>
      <c r="F6891" s="2" t="str">
        <f>HYPERLINK("http://m.12365auto.com/bbs/postcontent.aspx?tID=194227","http://m.12365auto.com/bbs/postcontent.aspx?tID=194227")</f>
        <v>http://m.12365auto.com/bbs/postcontent.aspx?tID=194227</v>
      </c>
      <c r="G6891" s="2"/>
      <c r="H6891" s="2" t="s">
        <v>9425</v>
      </c>
      <c r="I6891" s="2" t="s">
        <v>15</v>
      </c>
      <c r="J6891" s="2" t="s">
        <v>2996</v>
      </c>
      <c r="K6891" s="2" t="s">
        <v>9426</v>
      </c>
      <c r="L6891" s="2">
        <f t="shared" si="107"/>
        <v>150</v>
      </c>
    </row>
    <row r="6892" spans="1:12" ht="25" customHeight="1">
      <c r="A6892" s="2" t="s">
        <v>12</v>
      </c>
      <c r="B6892" s="2" t="str">
        <f>HYPERLINK("http://m.12365auto.com/bbs/postcontent.aspx?tID=194225","停车也是一种“考验” 详解侧方位停车技巧")</f>
        <v>停车也是一种“考验” 详解侧方位停车技巧</v>
      </c>
      <c r="C6892" s="2" t="s">
        <v>13</v>
      </c>
      <c r="D6892" s="2" t="s">
        <v>23</v>
      </c>
      <c r="E6892" s="2"/>
      <c r="F6892" s="2" t="str">
        <f>HYPERLINK("http://m.12365auto.com/bbs/postcontent.aspx?tID=194225","http://m.12365auto.com/bbs/postcontent.aspx?tID=194225")</f>
        <v>http://m.12365auto.com/bbs/postcontent.aspx?tID=194225</v>
      </c>
      <c r="G6892" s="2"/>
      <c r="H6892" s="2" t="s">
        <v>9427</v>
      </c>
      <c r="I6892" s="2" t="s">
        <v>15</v>
      </c>
      <c r="J6892" s="2" t="s">
        <v>2996</v>
      </c>
      <c r="K6892" s="2" t="s">
        <v>9426</v>
      </c>
      <c r="L6892" s="2">
        <f t="shared" si="107"/>
        <v>150</v>
      </c>
    </row>
    <row r="6893" spans="1:12" ht="25" customHeight="1">
      <c r="A6893" s="2" t="s">
        <v>12</v>
      </c>
      <c r="B6893" s="2" t="str">
        <f>HYPERLINK("http://m.12365auto.com/bbs/postcontent.aspx?tID=194226","重新认识自动挡 教你自动挡使用技巧")</f>
        <v>重新认识自动挡 教你自动挡使用技巧</v>
      </c>
      <c r="C6893" s="2" t="s">
        <v>13</v>
      </c>
      <c r="D6893" s="2" t="s">
        <v>23</v>
      </c>
      <c r="E6893" s="2"/>
      <c r="F6893" s="2" t="str">
        <f>HYPERLINK("http://m.12365auto.com/bbs/postcontent.aspx?tID=194226","http://m.12365auto.com/bbs/postcontent.aspx?tID=194226")</f>
        <v>http://m.12365auto.com/bbs/postcontent.aspx?tID=194226</v>
      </c>
      <c r="G6893" s="2"/>
      <c r="H6893" s="2" t="s">
        <v>9428</v>
      </c>
      <c r="I6893" s="2" t="s">
        <v>15</v>
      </c>
      <c r="J6893" s="2" t="s">
        <v>2996</v>
      </c>
      <c r="K6893" s="2" t="s">
        <v>9426</v>
      </c>
      <c r="L6893" s="2">
        <f t="shared" si="107"/>
        <v>150</v>
      </c>
    </row>
    <row r="6894" spans="1:12" ht="25" customHeight="1">
      <c r="A6894" s="2" t="s">
        <v>12</v>
      </c>
      <c r="B6894" s="2" t="str">
        <f>HYPERLINK("http://bbs.12365auto.com/postcontent.aspx?tID=194227","后视镜有死角 详解后视镜盲区及解决方法")</f>
        <v>后视镜有死角 详解后视镜盲区及解决方法</v>
      </c>
      <c r="C6894" s="2" t="s">
        <v>13</v>
      </c>
      <c r="D6894" s="2" t="s">
        <v>12</v>
      </c>
      <c r="E6894" s="2" t="s">
        <v>28</v>
      </c>
      <c r="F6894" s="2" t="str">
        <f>HYPERLINK("http://bbs.12365auto.com/postcontent.aspx?tID=194227","http://bbs.12365auto.com/postcontent.aspx?tID=194227")</f>
        <v>http://bbs.12365auto.com/postcontent.aspx?tID=194227</v>
      </c>
      <c r="G6894" s="2"/>
      <c r="H6894" s="2" t="s">
        <v>9429</v>
      </c>
      <c r="I6894" s="2" t="s">
        <v>15</v>
      </c>
      <c r="J6894" s="2" t="s">
        <v>2996</v>
      </c>
      <c r="K6894" s="2" t="s">
        <v>9426</v>
      </c>
      <c r="L6894" s="2">
        <f t="shared" si="107"/>
        <v>150</v>
      </c>
    </row>
    <row r="6895" spans="1:12" ht="25" customHeight="1">
      <c r="A6895" s="2" t="s">
        <v>12</v>
      </c>
      <c r="B6895" s="2" t="str">
        <f>HYPERLINK("http://bbs.12365auto.com/postcontent.aspx?tID=194226","重新认识自动挡 教你自动挡使用技巧")</f>
        <v>重新认识自动挡 教你自动挡使用技巧</v>
      </c>
      <c r="C6895" s="2" t="s">
        <v>13</v>
      </c>
      <c r="D6895" s="2" t="s">
        <v>12</v>
      </c>
      <c r="E6895" s="2" t="s">
        <v>28</v>
      </c>
      <c r="F6895" s="2" t="str">
        <f>HYPERLINK("http://bbs.12365auto.com/postcontent.aspx?tID=194226","http://bbs.12365auto.com/postcontent.aspx?tID=194226")</f>
        <v>http://bbs.12365auto.com/postcontent.aspx?tID=194226</v>
      </c>
      <c r="G6895" s="2"/>
      <c r="H6895" s="2" t="s">
        <v>9430</v>
      </c>
      <c r="I6895" s="2" t="s">
        <v>15</v>
      </c>
      <c r="J6895" s="2" t="s">
        <v>2996</v>
      </c>
      <c r="K6895" s="2" t="s">
        <v>9426</v>
      </c>
      <c r="L6895" s="2">
        <f t="shared" si="107"/>
        <v>150</v>
      </c>
    </row>
    <row r="6896" spans="1:12" ht="25" customHeight="1">
      <c r="A6896" s="2" t="s">
        <v>12</v>
      </c>
      <c r="B6896" s="2" t="str">
        <f>HYPERLINK("http://m.12365auto.com/xcdg/20200217/418674.shtml","大众新款途锐信息曝光 11月开售/增插混动力")</f>
        <v>大众新款途锐信息曝光 11月开售/增插混动力</v>
      </c>
      <c r="C6896" s="2" t="s">
        <v>13</v>
      </c>
      <c r="D6896" s="2" t="s">
        <v>12</v>
      </c>
      <c r="E6896" s="2"/>
      <c r="F6896" s="2" t="str">
        <f>HYPERLINK("http://m.12365auto.com/xcdg/20200217/418674.shtml","http://m.12365auto.com/xcdg/20200217/418674.shtml")</f>
        <v>http://m.12365auto.com/xcdg/20200217/418674.shtml</v>
      </c>
      <c r="G6896" s="2"/>
      <c r="H6896" s="2" t="s">
        <v>9431</v>
      </c>
      <c r="I6896" s="2" t="s">
        <v>19</v>
      </c>
      <c r="J6896" s="2" t="s">
        <v>220</v>
      </c>
      <c r="K6896" s="2" t="s">
        <v>9426</v>
      </c>
      <c r="L6896" s="2">
        <f t="shared" si="107"/>
        <v>150</v>
      </c>
    </row>
    <row r="6897" spans="1:12" ht="25" customHeight="1">
      <c r="A6897" s="2" t="s">
        <v>12</v>
      </c>
      <c r="B6897" s="2" t="str">
        <f>HYPERLINK("http://www.12365auto.com/xcdg/20200217/418674.shtml","大众新款途锐信息曝光 11月开售/增插混动力")</f>
        <v>大众新款途锐信息曝光 11月开售/增插混动力</v>
      </c>
      <c r="C6897" s="2" t="s">
        <v>13</v>
      </c>
      <c r="D6897" s="2" t="s">
        <v>12</v>
      </c>
      <c r="E6897" s="2" t="s">
        <v>245</v>
      </c>
      <c r="F6897" s="2" t="str">
        <f>HYPERLINK("http://www.12365auto.com/xcdg/20200217/418674.shtml","http://www.12365auto.com/xcdg/20200217/418674.shtml")</f>
        <v>http://www.12365auto.com/xcdg/20200217/418674.shtml</v>
      </c>
      <c r="G6897" s="2"/>
      <c r="H6897" s="2" t="s">
        <v>9432</v>
      </c>
      <c r="I6897" s="2" t="s">
        <v>19</v>
      </c>
      <c r="J6897" s="2" t="s">
        <v>12</v>
      </c>
      <c r="K6897" s="2" t="s">
        <v>9426</v>
      </c>
      <c r="L6897" s="2">
        <f t="shared" si="107"/>
        <v>150</v>
      </c>
    </row>
    <row r="6898" spans="1:12" ht="25" customHeight="1">
      <c r="A6898" s="2" t="s">
        <v>12</v>
      </c>
      <c r="B6898" s="2" t="str">
        <f>HYPERLINK("http://www.12365auto.com/xcdg/20200217/418680.shtml","整体更运动 北京现代全新索纳塔将4月上市")</f>
        <v>整体更运动 北京现代全新索纳塔将4月上市</v>
      </c>
      <c r="C6898" s="2" t="s">
        <v>13</v>
      </c>
      <c r="D6898" s="2" t="s">
        <v>12</v>
      </c>
      <c r="E6898" s="2" t="s">
        <v>245</v>
      </c>
      <c r="F6898" s="2" t="str">
        <f>HYPERLINK("http://www.12365auto.com/xcdg/20200217/418680.shtml","http://www.12365auto.com/xcdg/20200217/418680.shtml")</f>
        <v>http://www.12365auto.com/xcdg/20200217/418680.shtml</v>
      </c>
      <c r="G6898" s="2"/>
      <c r="H6898" s="2" t="s">
        <v>9433</v>
      </c>
      <c r="I6898" s="2" t="s">
        <v>19</v>
      </c>
      <c r="J6898" s="2" t="s">
        <v>12</v>
      </c>
      <c r="K6898" s="2" t="s">
        <v>9426</v>
      </c>
      <c r="L6898" s="2">
        <f t="shared" si="107"/>
        <v>150</v>
      </c>
    </row>
    <row r="6899" spans="1:12" ht="25" customHeight="1">
      <c r="A6899" s="2" t="s">
        <v>12</v>
      </c>
      <c r="B6899" s="2" t="str">
        <f>HYPERLINK("http://bbs.12365auto.com/postcontent.aspx?tId=194227","后视镜有死角 详解后视镜盲区及解决方法")</f>
        <v>后视镜有死角 详解后视镜盲区及解决方法</v>
      </c>
      <c r="C6899" s="2" t="s">
        <v>13</v>
      </c>
      <c r="D6899" s="2" t="s">
        <v>12</v>
      </c>
      <c r="E6899" s="2" t="s">
        <v>27</v>
      </c>
      <c r="F6899" s="2" t="str">
        <f>HYPERLINK("http://bbs.12365auto.com/postcontent.aspx?tId=194227","http://bbs.12365auto.com/postcontent.aspx?tId=194227")</f>
        <v>http://bbs.12365auto.com/postcontent.aspx?tId=194227</v>
      </c>
      <c r="G6899" s="2"/>
      <c r="H6899" s="2" t="s">
        <v>9425</v>
      </c>
      <c r="I6899" s="2" t="s">
        <v>15</v>
      </c>
      <c r="J6899" s="2" t="s">
        <v>2996</v>
      </c>
      <c r="K6899" s="2" t="s">
        <v>9426</v>
      </c>
      <c r="L6899" s="2">
        <f t="shared" si="107"/>
        <v>150</v>
      </c>
    </row>
    <row r="6900" spans="1:12" ht="25" customHeight="1">
      <c r="A6900" s="2" t="s">
        <v>12</v>
      </c>
      <c r="B6900" s="2" t="str">
        <f>HYPERLINK("http://bbs.12365auto.com/postcontent.aspx?tId=194225","停车也是一种“考验” 详解侧方位停车技巧")</f>
        <v>停车也是一种“考验” 详解侧方位停车技巧</v>
      </c>
      <c r="C6900" s="2" t="s">
        <v>13</v>
      </c>
      <c r="D6900" s="2" t="s">
        <v>12</v>
      </c>
      <c r="E6900" s="2" t="s">
        <v>27</v>
      </c>
      <c r="F6900" s="2" t="str">
        <f>HYPERLINK("http://bbs.12365auto.com/postcontent.aspx?tId=194225","http://bbs.12365auto.com/postcontent.aspx?tId=194225")</f>
        <v>http://bbs.12365auto.com/postcontent.aspx?tId=194225</v>
      </c>
      <c r="G6900" s="2"/>
      <c r="H6900" s="2" t="s">
        <v>9427</v>
      </c>
      <c r="I6900" s="2" t="s">
        <v>15</v>
      </c>
      <c r="J6900" s="2" t="s">
        <v>2996</v>
      </c>
      <c r="K6900" s="2" t="s">
        <v>9426</v>
      </c>
      <c r="L6900" s="2">
        <f t="shared" si="107"/>
        <v>150</v>
      </c>
    </row>
    <row r="6901" spans="1:12" ht="25" customHeight="1">
      <c r="A6901" s="2" t="s">
        <v>12</v>
      </c>
      <c r="B6901" s="2" t="str">
        <f>HYPERLINK("http://bbs.12365auto.com/postcontent.aspx?tId=194226","重新认识自动挡 教你自动挡使用技巧")</f>
        <v>重新认识自动挡 教你自动挡使用技巧</v>
      </c>
      <c r="C6901" s="2" t="s">
        <v>13</v>
      </c>
      <c r="D6901" s="2" t="s">
        <v>12</v>
      </c>
      <c r="E6901" s="2" t="s">
        <v>27</v>
      </c>
      <c r="F6901" s="2" t="str">
        <f>HYPERLINK("http://bbs.12365auto.com/postcontent.aspx?tId=194226","http://bbs.12365auto.com/postcontent.aspx?tId=194226")</f>
        <v>http://bbs.12365auto.com/postcontent.aspx?tId=194226</v>
      </c>
      <c r="G6901" s="2"/>
      <c r="H6901" s="2" t="s">
        <v>9428</v>
      </c>
      <c r="I6901" s="2" t="s">
        <v>15</v>
      </c>
      <c r="J6901" s="2" t="s">
        <v>2996</v>
      </c>
      <c r="K6901" s="2" t="s">
        <v>9426</v>
      </c>
      <c r="L6901" s="2">
        <f t="shared" si="107"/>
        <v>150</v>
      </c>
    </row>
    <row r="6902" spans="1:12" ht="25" customHeight="1">
      <c r="A6902" s="2" t="s">
        <v>12</v>
      </c>
      <c r="B6902" s="2" t="str">
        <f>HYPERLINK("http://bbs.12365auto.com/postcontent.aspx?tID=194225","停车也是一种“考验” 详解侧方位停车技巧")</f>
        <v>停车也是一种“考验” 详解侧方位停车技巧</v>
      </c>
      <c r="C6902" s="2" t="s">
        <v>13</v>
      </c>
      <c r="D6902" s="2" t="s">
        <v>12</v>
      </c>
      <c r="E6902" s="2" t="s">
        <v>28</v>
      </c>
      <c r="F6902" s="2" t="str">
        <f>HYPERLINK("http://bbs.12365auto.com/postcontent.aspx?tID=194225","http://bbs.12365auto.com/postcontent.aspx?tID=194225")</f>
        <v>http://bbs.12365auto.com/postcontent.aspx?tID=194225</v>
      </c>
      <c r="G6902" s="2"/>
      <c r="H6902" s="2" t="s">
        <v>9434</v>
      </c>
      <c r="I6902" s="2" t="s">
        <v>15</v>
      </c>
      <c r="J6902" s="2" t="s">
        <v>2996</v>
      </c>
      <c r="K6902" s="2" t="s">
        <v>9426</v>
      </c>
      <c r="L6902" s="2">
        <f t="shared" si="107"/>
        <v>150</v>
      </c>
    </row>
    <row r="6903" spans="1:12" ht="25" customHeight="1">
      <c r="A6903" s="2" t="s">
        <v>12</v>
      </c>
      <c r="B6903" s="2" t="str">
        <f>HYPERLINK("http://m.12365auto.com/bbs/postcontent.aspx?tID=194223","安全意识缺乏 汇总上路必须警惕的注意事项")</f>
        <v>安全意识缺乏 汇总上路必须警惕的注意事项</v>
      </c>
      <c r="C6903" s="2" t="s">
        <v>13</v>
      </c>
      <c r="D6903" s="2" t="s">
        <v>23</v>
      </c>
      <c r="E6903" s="2"/>
      <c r="F6903" s="2" t="str">
        <f>HYPERLINK("http://m.12365auto.com/bbs/postcontent.aspx?tID=194223","http://m.12365auto.com/bbs/postcontent.aspx?tID=194223")</f>
        <v>http://m.12365auto.com/bbs/postcontent.aspx?tID=194223</v>
      </c>
      <c r="G6903" s="2"/>
      <c r="H6903" s="2" t="s">
        <v>9435</v>
      </c>
      <c r="I6903" s="2" t="s">
        <v>15</v>
      </c>
      <c r="J6903" s="2" t="s">
        <v>2996</v>
      </c>
      <c r="K6903" s="2" t="s">
        <v>9436</v>
      </c>
      <c r="L6903" s="2">
        <f t="shared" si="107"/>
        <v>150</v>
      </c>
    </row>
    <row r="6904" spans="1:12" ht="25" customHeight="1">
      <c r="A6904" s="2" t="s">
        <v>12</v>
      </c>
      <c r="B6904" s="2" t="str">
        <f>HYPERLINK("http://m.12365auto.com/bbs/postcontent.aspx?tID=194224","新手上路指南 教你调整正确驾驶坐姿")</f>
        <v>新手上路指南 教你调整正确驾驶坐姿</v>
      </c>
      <c r="C6904" s="2" t="s">
        <v>13</v>
      </c>
      <c r="D6904" s="2" t="s">
        <v>23</v>
      </c>
      <c r="E6904" s="2"/>
      <c r="F6904" s="2" t="str">
        <f>HYPERLINK("http://m.12365auto.com/bbs/postcontent.aspx?tID=194224","http://m.12365auto.com/bbs/postcontent.aspx?tID=194224")</f>
        <v>http://m.12365auto.com/bbs/postcontent.aspx?tID=194224</v>
      </c>
      <c r="G6904" s="2"/>
      <c r="H6904" s="2" t="s">
        <v>9437</v>
      </c>
      <c r="I6904" s="2" t="s">
        <v>15</v>
      </c>
      <c r="J6904" s="2" t="s">
        <v>2996</v>
      </c>
      <c r="K6904" s="2" t="s">
        <v>9436</v>
      </c>
      <c r="L6904" s="2">
        <f t="shared" si="107"/>
        <v>150</v>
      </c>
    </row>
    <row r="6905" spans="1:12" ht="25" customHeight="1">
      <c r="A6905" s="2" t="s">
        <v>12</v>
      </c>
      <c r="B6905" s="2" t="str">
        <f>HYPERLINK("http://m.12365auto.com/bbs/postcontent.aspx?tID=194221","闯红灯扣6分！一起来看看如何通过红绿灯")</f>
        <v>闯红灯扣6分！一起来看看如何通过红绿灯</v>
      </c>
      <c r="C6905" s="2" t="s">
        <v>13</v>
      </c>
      <c r="D6905" s="2" t="s">
        <v>23</v>
      </c>
      <c r="E6905" s="2"/>
      <c r="F6905" s="2" t="str">
        <f>HYPERLINK("http://m.12365auto.com/bbs/postcontent.aspx?tID=194221","http://m.12365auto.com/bbs/postcontent.aspx?tID=194221")</f>
        <v>http://m.12365auto.com/bbs/postcontent.aspx?tID=194221</v>
      </c>
      <c r="G6905" s="2"/>
      <c r="H6905" s="2" t="s">
        <v>9438</v>
      </c>
      <c r="I6905" s="2" t="s">
        <v>15</v>
      </c>
      <c r="J6905" s="2" t="s">
        <v>2996</v>
      </c>
      <c r="K6905" s="2" t="s">
        <v>9436</v>
      </c>
      <c r="L6905" s="2">
        <f t="shared" si="107"/>
        <v>150</v>
      </c>
    </row>
    <row r="6906" spans="1:12" ht="25" customHeight="1">
      <c r="A6906" s="2" t="s">
        <v>12</v>
      </c>
      <c r="B6906" s="2" t="str">
        <f>HYPERLINK("http://m.12365auto.com/bbs/postcontent.aspx?tID=194222","严防“秋乏”! 谈不可不知的秋季驾驶知识")</f>
        <v>严防“秋乏”! 谈不可不知的秋季驾驶知识</v>
      </c>
      <c r="C6906" s="2" t="s">
        <v>13</v>
      </c>
      <c r="D6906" s="2" t="s">
        <v>23</v>
      </c>
      <c r="E6906" s="2"/>
      <c r="F6906" s="2" t="str">
        <f>HYPERLINK("http://m.12365auto.com/bbs/postcontent.aspx?tID=194222","http://m.12365auto.com/bbs/postcontent.aspx?tID=194222")</f>
        <v>http://m.12365auto.com/bbs/postcontent.aspx?tID=194222</v>
      </c>
      <c r="G6906" s="2"/>
      <c r="H6906" s="2" t="s">
        <v>9439</v>
      </c>
      <c r="I6906" s="2" t="s">
        <v>15</v>
      </c>
      <c r="J6906" s="2" t="s">
        <v>2996</v>
      </c>
      <c r="K6906" s="2" t="s">
        <v>9436</v>
      </c>
      <c r="L6906" s="2">
        <f t="shared" si="107"/>
        <v>150</v>
      </c>
    </row>
    <row r="6907" spans="1:12" ht="25" customHeight="1">
      <c r="A6907" s="2" t="s">
        <v>12</v>
      </c>
      <c r="B6907" s="2" t="str">
        <f>HYPERLINK("http://m.12365auto.com/xcdg/20200217/418673.shtml","比亚迪旗舰轿车 尺寸近Model S/续航605km")</f>
        <v>比亚迪旗舰轿车 尺寸近Model S/续航605km</v>
      </c>
      <c r="C6907" s="2" t="s">
        <v>13</v>
      </c>
      <c r="D6907" s="2" t="s">
        <v>12</v>
      </c>
      <c r="E6907" s="2"/>
      <c r="F6907" s="2" t="str">
        <f>HYPERLINK("http://m.12365auto.com/xcdg/20200217/418673.shtml","http://m.12365auto.com/xcdg/20200217/418673.shtml")</f>
        <v>http://m.12365auto.com/xcdg/20200217/418673.shtml</v>
      </c>
      <c r="G6907" s="2"/>
      <c r="H6907" s="2" t="s">
        <v>9440</v>
      </c>
      <c r="I6907" s="2" t="s">
        <v>19</v>
      </c>
      <c r="J6907" s="2" t="s">
        <v>12</v>
      </c>
      <c r="K6907" s="2" t="s">
        <v>9436</v>
      </c>
      <c r="L6907" s="2">
        <f t="shared" si="107"/>
        <v>150</v>
      </c>
    </row>
    <row r="6908" spans="1:12" ht="25" customHeight="1">
      <c r="A6908" s="2" t="s">
        <v>12</v>
      </c>
      <c r="B6908" s="2" t="str">
        <f>HYPERLINK("http://www.12365auto.com/xcdg/20200217/418673.shtml","比亚迪旗舰轿车 尺寸近Model S/续航605km")</f>
        <v>比亚迪旗舰轿车 尺寸近Model S/续航605km</v>
      </c>
      <c r="C6908" s="2" t="s">
        <v>13</v>
      </c>
      <c r="D6908" s="2" t="s">
        <v>12</v>
      </c>
      <c r="E6908" s="2" t="s">
        <v>216</v>
      </c>
      <c r="F6908" s="2" t="str">
        <f>HYPERLINK("http://www.12365auto.com/xcdg/20200217/418673.shtml","http://www.12365auto.com/xcdg/20200217/418673.shtml")</f>
        <v>http://www.12365auto.com/xcdg/20200217/418673.shtml</v>
      </c>
      <c r="G6908" s="2"/>
      <c r="H6908" s="2" t="s">
        <v>9441</v>
      </c>
      <c r="I6908" s="2" t="s">
        <v>15</v>
      </c>
      <c r="J6908" s="2" t="s">
        <v>12</v>
      </c>
      <c r="K6908" s="2" t="s">
        <v>9436</v>
      </c>
      <c r="L6908" s="2">
        <f t="shared" si="107"/>
        <v>150</v>
      </c>
    </row>
    <row r="6909" spans="1:12" ht="25" customHeight="1">
      <c r="A6909" s="2" t="s">
        <v>12</v>
      </c>
      <c r="B6909" s="2" t="str">
        <f>HYPERLINK("http://bbs.12365auto.com/postcontent.aspx?tId=194224","新手上路指南 教你调整正确驾驶坐姿")</f>
        <v>新手上路指南 教你调整正确驾驶坐姿</v>
      </c>
      <c r="C6909" s="2" t="s">
        <v>13</v>
      </c>
      <c r="D6909" s="2" t="s">
        <v>12</v>
      </c>
      <c r="E6909" s="2" t="s">
        <v>27</v>
      </c>
      <c r="F6909" s="2" t="str">
        <f>HYPERLINK("http://bbs.12365auto.com/postcontent.aspx?tId=194224","http://bbs.12365auto.com/postcontent.aspx?tId=194224")</f>
        <v>http://bbs.12365auto.com/postcontent.aspx?tId=194224</v>
      </c>
      <c r="G6909" s="2"/>
      <c r="H6909" s="2" t="s">
        <v>9437</v>
      </c>
      <c r="I6909" s="2" t="s">
        <v>15</v>
      </c>
      <c r="J6909" s="2" t="s">
        <v>2996</v>
      </c>
      <c r="K6909" s="2" t="s">
        <v>9436</v>
      </c>
      <c r="L6909" s="2">
        <f t="shared" si="107"/>
        <v>150</v>
      </c>
    </row>
    <row r="6910" spans="1:12" ht="25" customHeight="1">
      <c r="A6910" s="2" t="s">
        <v>12</v>
      </c>
      <c r="B6910" s="2" t="str">
        <f>HYPERLINK("http://bbs.12365auto.com/postcontent.aspx?tId=194222","严防“秋乏”! 谈不可不知的秋季驾驶知识")</f>
        <v>严防“秋乏”! 谈不可不知的秋季驾驶知识</v>
      </c>
      <c r="C6910" s="2" t="s">
        <v>13</v>
      </c>
      <c r="D6910" s="2" t="s">
        <v>12</v>
      </c>
      <c r="E6910" s="2" t="s">
        <v>27</v>
      </c>
      <c r="F6910" s="2" t="str">
        <f>HYPERLINK("http://bbs.12365auto.com/postcontent.aspx?tId=194222","http://bbs.12365auto.com/postcontent.aspx?tId=194222")</f>
        <v>http://bbs.12365auto.com/postcontent.aspx?tId=194222</v>
      </c>
      <c r="G6910" s="2"/>
      <c r="H6910" s="2" t="s">
        <v>9439</v>
      </c>
      <c r="I6910" s="2" t="s">
        <v>15</v>
      </c>
      <c r="J6910" s="2" t="s">
        <v>2996</v>
      </c>
      <c r="K6910" s="2" t="s">
        <v>9436</v>
      </c>
      <c r="L6910" s="2">
        <f t="shared" si="107"/>
        <v>150</v>
      </c>
    </row>
    <row r="6911" spans="1:12" ht="25" customHeight="1">
      <c r="A6911" s="2" t="s">
        <v>12</v>
      </c>
      <c r="B6911" s="2" t="str">
        <f>HYPERLINK("http://bbs.12365auto.com/postcontent.aspx?tId=194223","安全意识缺乏 汇总上路必须警惕的注意事项")</f>
        <v>安全意识缺乏 汇总上路必须警惕的注意事项</v>
      </c>
      <c r="C6911" s="2" t="s">
        <v>13</v>
      </c>
      <c r="D6911" s="2" t="s">
        <v>12</v>
      </c>
      <c r="E6911" s="2" t="s">
        <v>27</v>
      </c>
      <c r="F6911" s="2" t="str">
        <f>HYPERLINK("http://bbs.12365auto.com/postcontent.aspx?tId=194223","http://bbs.12365auto.com/postcontent.aspx?tId=194223")</f>
        <v>http://bbs.12365auto.com/postcontent.aspx?tId=194223</v>
      </c>
      <c r="G6911" s="2"/>
      <c r="H6911" s="2" t="s">
        <v>9435</v>
      </c>
      <c r="I6911" s="2" t="s">
        <v>15</v>
      </c>
      <c r="J6911" s="2" t="s">
        <v>2996</v>
      </c>
      <c r="K6911" s="2" t="s">
        <v>9436</v>
      </c>
      <c r="L6911" s="2">
        <f t="shared" si="107"/>
        <v>150</v>
      </c>
    </row>
    <row r="6912" spans="1:12" ht="25" customHeight="1">
      <c r="A6912" s="2" t="s">
        <v>12</v>
      </c>
      <c r="B6912" s="2" t="str">
        <f>HYPERLINK("http://bbs.12365auto.com/postcontent.aspx?tId=194221","闯红灯扣6分！一起来看看如何通过红绿灯")</f>
        <v>闯红灯扣6分！一起来看看如何通过红绿灯</v>
      </c>
      <c r="C6912" s="2" t="s">
        <v>13</v>
      </c>
      <c r="D6912" s="2" t="s">
        <v>12</v>
      </c>
      <c r="E6912" s="2" t="s">
        <v>27</v>
      </c>
      <c r="F6912" s="2" t="str">
        <f>HYPERLINK("http://bbs.12365auto.com/postcontent.aspx?tId=194221","http://bbs.12365auto.com/postcontent.aspx?tId=194221")</f>
        <v>http://bbs.12365auto.com/postcontent.aspx?tId=194221</v>
      </c>
      <c r="G6912" s="2"/>
      <c r="H6912" s="2" t="s">
        <v>9438</v>
      </c>
      <c r="I6912" s="2" t="s">
        <v>15</v>
      </c>
      <c r="J6912" s="2" t="s">
        <v>2996</v>
      </c>
      <c r="K6912" s="2" t="s">
        <v>9436</v>
      </c>
      <c r="L6912" s="2">
        <f t="shared" si="107"/>
        <v>150</v>
      </c>
    </row>
    <row r="6913" spans="1:12" ht="25" customHeight="1">
      <c r="A6913" s="2" t="s">
        <v>12</v>
      </c>
      <c r="B6913" s="2" t="str">
        <f>HYPERLINK("http://bbs.12365auto.com/postcontent.aspx?tID=194223","安全意识缺乏 汇总上路必须警惕的注意事项")</f>
        <v>安全意识缺乏 汇总上路必须警惕的注意事项</v>
      </c>
      <c r="C6913" s="2" t="s">
        <v>13</v>
      </c>
      <c r="D6913" s="2" t="s">
        <v>12</v>
      </c>
      <c r="E6913" s="2" t="s">
        <v>28</v>
      </c>
      <c r="F6913" s="2" t="str">
        <f>HYPERLINK("http://bbs.12365auto.com/postcontent.aspx?tID=194223","http://bbs.12365auto.com/postcontent.aspx?tID=194223")</f>
        <v>http://bbs.12365auto.com/postcontent.aspx?tID=194223</v>
      </c>
      <c r="G6913" s="2"/>
      <c r="H6913" s="2" t="s">
        <v>9442</v>
      </c>
      <c r="I6913" s="2" t="s">
        <v>15</v>
      </c>
      <c r="J6913" s="2" t="s">
        <v>2996</v>
      </c>
      <c r="K6913" s="2" t="s">
        <v>9436</v>
      </c>
      <c r="L6913" s="2">
        <f t="shared" si="107"/>
        <v>150</v>
      </c>
    </row>
    <row r="6914" spans="1:12" ht="25" customHeight="1">
      <c r="A6914" s="2" t="s">
        <v>12</v>
      </c>
      <c r="B6914" s="2" t="str">
        <f>HYPERLINK("http://bbs.12365auto.com/postcontent.aspx?tID=194222","严防“秋乏”! 谈不可不知的秋季驾驶知识")</f>
        <v>严防“秋乏”! 谈不可不知的秋季驾驶知识</v>
      </c>
      <c r="C6914" s="2" t="s">
        <v>13</v>
      </c>
      <c r="D6914" s="2" t="s">
        <v>12</v>
      </c>
      <c r="E6914" s="2" t="s">
        <v>28</v>
      </c>
      <c r="F6914" s="2" t="str">
        <f>HYPERLINK("http://bbs.12365auto.com/postcontent.aspx?tID=194222","http://bbs.12365auto.com/postcontent.aspx?tID=194222")</f>
        <v>http://bbs.12365auto.com/postcontent.aspx?tID=194222</v>
      </c>
      <c r="G6914" s="2"/>
      <c r="H6914" s="2" t="s">
        <v>9443</v>
      </c>
      <c r="I6914" s="2" t="s">
        <v>15</v>
      </c>
      <c r="J6914" s="2" t="s">
        <v>2996</v>
      </c>
      <c r="K6914" s="2" t="s">
        <v>9436</v>
      </c>
      <c r="L6914" s="2">
        <f t="shared" si="107"/>
        <v>150</v>
      </c>
    </row>
    <row r="6915" spans="1:12" ht="25" customHeight="1">
      <c r="A6915" s="2" t="s">
        <v>12</v>
      </c>
      <c r="B6915" s="2" t="str">
        <f>HYPERLINK("http://bbs.12365auto.com/postcontent.aspx?tID=194221","闯红灯扣6分！一起来看看如何通过红绿灯")</f>
        <v>闯红灯扣6分！一起来看看如何通过红绿灯</v>
      </c>
      <c r="C6915" s="2" t="s">
        <v>13</v>
      </c>
      <c r="D6915" s="2" t="s">
        <v>12</v>
      </c>
      <c r="E6915" s="2" t="s">
        <v>28</v>
      </c>
      <c r="F6915" s="2" t="str">
        <f>HYPERLINK("http://bbs.12365auto.com/postcontent.aspx?tID=194221","http://bbs.12365auto.com/postcontent.aspx?tID=194221")</f>
        <v>http://bbs.12365auto.com/postcontent.aspx?tID=194221</v>
      </c>
      <c r="G6915" s="2"/>
      <c r="H6915" s="2" t="s">
        <v>9444</v>
      </c>
      <c r="I6915" s="2" t="s">
        <v>15</v>
      </c>
      <c r="J6915" s="2" t="s">
        <v>2996</v>
      </c>
      <c r="K6915" s="2" t="s">
        <v>9436</v>
      </c>
      <c r="L6915" s="2">
        <f t="shared" ref="L6915:L6978" si="108">LEN(H6915)</f>
        <v>150</v>
      </c>
    </row>
    <row r="6916" spans="1:12" ht="25" customHeight="1">
      <c r="A6916" s="2" t="s">
        <v>12</v>
      </c>
      <c r="B6916" s="2" t="str">
        <f>HYPERLINK("http://bbs.12365auto.com/postcontent.aspx?tID=194224","新手上路指南 教你调整正确驾驶坐姿")</f>
        <v>新手上路指南 教你调整正确驾驶坐姿</v>
      </c>
      <c r="C6916" s="2" t="s">
        <v>13</v>
      </c>
      <c r="D6916" s="2" t="s">
        <v>12</v>
      </c>
      <c r="E6916" s="2" t="s">
        <v>28</v>
      </c>
      <c r="F6916" s="2" t="str">
        <f>HYPERLINK("http://bbs.12365auto.com/postcontent.aspx?tID=194224","http://bbs.12365auto.com/postcontent.aspx?tID=194224")</f>
        <v>http://bbs.12365auto.com/postcontent.aspx?tID=194224</v>
      </c>
      <c r="G6916" s="2"/>
      <c r="H6916" s="2" t="s">
        <v>9445</v>
      </c>
      <c r="I6916" s="2" t="s">
        <v>15</v>
      </c>
      <c r="J6916" s="2" t="s">
        <v>2996</v>
      </c>
      <c r="K6916" s="2" t="s">
        <v>9436</v>
      </c>
      <c r="L6916" s="2">
        <f t="shared" si="108"/>
        <v>150</v>
      </c>
    </row>
    <row r="6917" spans="1:12" ht="25" customHeight="1">
      <c r="A6917" s="2" t="s">
        <v>12</v>
      </c>
      <c r="B6917" s="2" t="str">
        <f>HYPERLINK("http://m.12365auto.com/bbs/postcontent.aspx?tID=194220","千万不能急！教你立体车库停车注意事项")</f>
        <v>千万不能急！教你立体车库停车注意事项</v>
      </c>
      <c r="C6917" s="2" t="s">
        <v>13</v>
      </c>
      <c r="D6917" s="2" t="s">
        <v>23</v>
      </c>
      <c r="E6917" s="2"/>
      <c r="F6917" s="2" t="str">
        <f>HYPERLINK("http://m.12365auto.com/bbs/postcontent.aspx?tID=194220","http://m.12365auto.com/bbs/postcontent.aspx?tID=194220")</f>
        <v>http://m.12365auto.com/bbs/postcontent.aspx?tID=194220</v>
      </c>
      <c r="G6917" s="2"/>
      <c r="H6917" s="2" t="s">
        <v>9446</v>
      </c>
      <c r="I6917" s="2" t="s">
        <v>15</v>
      </c>
      <c r="J6917" s="2" t="s">
        <v>2996</v>
      </c>
      <c r="K6917" s="2" t="s">
        <v>9447</v>
      </c>
      <c r="L6917" s="2">
        <f t="shared" si="108"/>
        <v>150</v>
      </c>
    </row>
    <row r="6918" spans="1:12" ht="25" customHeight="1">
      <c r="A6918" s="2" t="s">
        <v>12</v>
      </c>
      <c r="B6918" s="2" t="str">
        <f>HYPERLINK("http://m.12365auto.com/bbs/postcontent.aspx?tID=194219","遮阳板放CD 驾驶坏习惯TOP10排行榜")</f>
        <v>遮阳板放CD 驾驶坏习惯TOP10排行榜</v>
      </c>
      <c r="C6918" s="2" t="s">
        <v>13</v>
      </c>
      <c r="D6918" s="2" t="s">
        <v>23</v>
      </c>
      <c r="E6918" s="2"/>
      <c r="F6918" s="2" t="str">
        <f>HYPERLINK("http://m.12365auto.com/bbs/postcontent.aspx?tID=194219","http://m.12365auto.com/bbs/postcontent.aspx?tID=194219")</f>
        <v>http://m.12365auto.com/bbs/postcontent.aspx?tID=194219</v>
      </c>
      <c r="G6918" s="2"/>
      <c r="H6918" s="2" t="s">
        <v>9448</v>
      </c>
      <c r="I6918" s="2" t="s">
        <v>15</v>
      </c>
      <c r="J6918" s="2" t="s">
        <v>2996</v>
      </c>
      <c r="K6918" s="2" t="s">
        <v>9447</v>
      </c>
      <c r="L6918" s="2">
        <f t="shared" si="108"/>
        <v>150</v>
      </c>
    </row>
    <row r="6919" spans="1:12" ht="25" customHeight="1">
      <c r="A6919" s="2" t="s">
        <v>12</v>
      </c>
      <c r="B6919" s="2" t="str">
        <f>HYPERLINK("http://bbs.12365auto.com/postcontent.aspx?tID=194219","遮阳板放CD 驾驶坏习惯TOP10排行榜")</f>
        <v>遮阳板放CD 驾驶坏习惯TOP10排行榜</v>
      </c>
      <c r="C6919" s="2" t="s">
        <v>13</v>
      </c>
      <c r="D6919" s="2" t="s">
        <v>12</v>
      </c>
      <c r="E6919" s="2" t="s">
        <v>28</v>
      </c>
      <c r="F6919" s="2" t="str">
        <f>HYPERLINK("http://bbs.12365auto.com/postcontent.aspx?tID=194219","http://bbs.12365auto.com/postcontent.aspx?tID=194219")</f>
        <v>http://bbs.12365auto.com/postcontent.aspx?tID=194219</v>
      </c>
      <c r="G6919" s="2"/>
      <c r="H6919" s="2" t="s">
        <v>9449</v>
      </c>
      <c r="I6919" s="2" t="s">
        <v>15</v>
      </c>
      <c r="J6919" s="2" t="s">
        <v>2996</v>
      </c>
      <c r="K6919" s="2" t="s">
        <v>9447</v>
      </c>
      <c r="L6919" s="2">
        <f t="shared" si="108"/>
        <v>150</v>
      </c>
    </row>
    <row r="6920" spans="1:12" ht="25" customHeight="1">
      <c r="A6920" s="2" t="s">
        <v>12</v>
      </c>
      <c r="B6920" s="2" t="str">
        <f>HYPERLINK("http://bbs.12365auto.com/postcontent.aspx?tId=194220","千万不能急！教你立体车库停车注意事项")</f>
        <v>千万不能急！教你立体车库停车注意事项</v>
      </c>
      <c r="C6920" s="2" t="s">
        <v>13</v>
      </c>
      <c r="D6920" s="2" t="s">
        <v>12</v>
      </c>
      <c r="E6920" s="2" t="s">
        <v>27</v>
      </c>
      <c r="F6920" s="2" t="str">
        <f>HYPERLINK("http://bbs.12365auto.com/postcontent.aspx?tId=194220","http://bbs.12365auto.com/postcontent.aspx?tId=194220")</f>
        <v>http://bbs.12365auto.com/postcontent.aspx?tId=194220</v>
      </c>
      <c r="G6920" s="2"/>
      <c r="H6920" s="2" t="s">
        <v>9446</v>
      </c>
      <c r="I6920" s="2" t="s">
        <v>15</v>
      </c>
      <c r="J6920" s="2" t="s">
        <v>2996</v>
      </c>
      <c r="K6920" s="2" t="s">
        <v>9447</v>
      </c>
      <c r="L6920" s="2">
        <f t="shared" si="108"/>
        <v>150</v>
      </c>
    </row>
    <row r="6921" spans="1:12" ht="25" customHeight="1">
      <c r="A6921" s="2" t="s">
        <v>12</v>
      </c>
      <c r="B6921" s="2" t="str">
        <f>HYPERLINK("http://bbs.12365auto.com/postcontent.aspx?tId=194219","遮阳板放CD 驾驶坏习惯TOP10排行榜")</f>
        <v>遮阳板放CD 驾驶坏习惯TOP10排行榜</v>
      </c>
      <c r="C6921" s="2" t="s">
        <v>13</v>
      </c>
      <c r="D6921" s="2" t="s">
        <v>12</v>
      </c>
      <c r="E6921" s="2" t="s">
        <v>27</v>
      </c>
      <c r="F6921" s="2" t="str">
        <f>HYPERLINK("http://bbs.12365auto.com/postcontent.aspx?tId=194219","http://bbs.12365auto.com/postcontent.aspx?tId=194219")</f>
        <v>http://bbs.12365auto.com/postcontent.aspx?tId=194219</v>
      </c>
      <c r="G6921" s="2"/>
      <c r="H6921" s="2" t="s">
        <v>9448</v>
      </c>
      <c r="I6921" s="2" t="s">
        <v>15</v>
      </c>
      <c r="J6921" s="2" t="s">
        <v>2996</v>
      </c>
      <c r="K6921" s="2" t="s">
        <v>9447</v>
      </c>
      <c r="L6921" s="2">
        <f t="shared" si="108"/>
        <v>150</v>
      </c>
    </row>
    <row r="6922" spans="1:12" ht="25" customHeight="1">
      <c r="A6922" s="2" t="s">
        <v>12</v>
      </c>
      <c r="B6922" s="2" t="str">
        <f>HYPERLINK("http://bbs.12365auto.com/postcontent.aspx?tID=194220","千万不能急！教你立体车库停车注意事项")</f>
        <v>千万不能急！教你立体车库停车注意事项</v>
      </c>
      <c r="C6922" s="2" t="s">
        <v>13</v>
      </c>
      <c r="D6922" s="2" t="s">
        <v>12</v>
      </c>
      <c r="E6922" s="2" t="s">
        <v>28</v>
      </c>
      <c r="F6922" s="2" t="str">
        <f>HYPERLINK("http://bbs.12365auto.com/postcontent.aspx?tID=194220","http://bbs.12365auto.com/postcontent.aspx?tID=194220")</f>
        <v>http://bbs.12365auto.com/postcontent.aspx?tID=194220</v>
      </c>
      <c r="G6922" s="2"/>
      <c r="H6922" s="2" t="s">
        <v>9450</v>
      </c>
      <c r="I6922" s="2" t="s">
        <v>15</v>
      </c>
      <c r="J6922" s="2" t="s">
        <v>2996</v>
      </c>
      <c r="K6922" s="2" t="s">
        <v>9447</v>
      </c>
      <c r="L6922" s="2">
        <f t="shared" si="108"/>
        <v>150</v>
      </c>
    </row>
    <row r="6923" spans="1:12" ht="25" customHeight="1">
      <c r="A6923" s="2" t="s">
        <v>12</v>
      </c>
      <c r="B6923" s="2" t="str">
        <f>HYPERLINK("http://m.12365auto.com/xcdg/20200217/418672.shtml","热门紧凑型轿车行情调查 哪款最让你心动？")</f>
        <v>热门紧凑型轿车行情调查 哪款最让你心动？</v>
      </c>
      <c r="C6923" s="2" t="s">
        <v>13</v>
      </c>
      <c r="D6923" s="2" t="s">
        <v>12</v>
      </c>
      <c r="E6923" s="2"/>
      <c r="F6923" s="2" t="str">
        <f>HYPERLINK("http://m.12365auto.com/xcdg/20200217/418672.shtml","http://m.12365auto.com/xcdg/20200217/418672.shtml")</f>
        <v>http://m.12365auto.com/xcdg/20200217/418672.shtml</v>
      </c>
      <c r="G6923" s="2"/>
      <c r="H6923" s="2" t="s">
        <v>9451</v>
      </c>
      <c r="I6923" s="2" t="s">
        <v>19</v>
      </c>
      <c r="J6923" s="2" t="s">
        <v>6112</v>
      </c>
      <c r="K6923" s="2" t="s">
        <v>9452</v>
      </c>
      <c r="L6923" s="2">
        <f t="shared" si="108"/>
        <v>150</v>
      </c>
    </row>
    <row r="6924" spans="1:12" ht="25" customHeight="1">
      <c r="A6924" s="2" t="s">
        <v>12</v>
      </c>
      <c r="B6924" s="2" t="str">
        <f>HYPERLINK("http://www.12365auto.com/xcdg/20200217/418671.shtml","续航超300km 新宝骏E300推加长四座版")</f>
        <v>续航超300km 新宝骏E300推加长四座版</v>
      </c>
      <c r="C6924" s="2" t="s">
        <v>13</v>
      </c>
      <c r="D6924" s="2" t="s">
        <v>12</v>
      </c>
      <c r="E6924" s="2" t="s">
        <v>245</v>
      </c>
      <c r="F6924" s="2" t="str">
        <f>HYPERLINK("http://www.12365auto.com/xcdg/20200217/418671.shtml","http://www.12365auto.com/xcdg/20200217/418671.shtml")</f>
        <v>http://www.12365auto.com/xcdg/20200217/418671.shtml</v>
      </c>
      <c r="G6924" s="2"/>
      <c r="H6924" s="2" t="s">
        <v>9453</v>
      </c>
      <c r="I6924" s="2" t="s">
        <v>19</v>
      </c>
      <c r="J6924" s="2" t="s">
        <v>12</v>
      </c>
      <c r="K6924" s="2" t="s">
        <v>9454</v>
      </c>
      <c r="L6924" s="2">
        <f t="shared" si="108"/>
        <v>150</v>
      </c>
    </row>
    <row r="6925" spans="1:12" ht="25" customHeight="1">
      <c r="A6925" s="2" t="s">
        <v>12</v>
      </c>
      <c r="B6925" s="2" t="str">
        <f>HYPERLINK("http://m.12365auto.com/bbs/postcontent.aspx?tID=194218","想做最靓的仔？这4款十万级轿跑SUV可别错过了")</f>
        <v>想做最靓的仔？这4款十万级轿跑SUV可别错过了</v>
      </c>
      <c r="C6925" s="2" t="s">
        <v>13</v>
      </c>
      <c r="D6925" s="2" t="s">
        <v>23</v>
      </c>
      <c r="E6925" s="2"/>
      <c r="F6925" s="2" t="str">
        <f>HYPERLINK("http://m.12365auto.com/bbs/postcontent.aspx?tID=194218","http://m.12365auto.com/bbs/postcontent.aspx?tID=194218")</f>
        <v>http://m.12365auto.com/bbs/postcontent.aspx?tID=194218</v>
      </c>
      <c r="G6925" s="2"/>
      <c r="H6925" s="2" t="s">
        <v>9455</v>
      </c>
      <c r="I6925" s="2" t="s">
        <v>15</v>
      </c>
      <c r="J6925" s="2" t="s">
        <v>8952</v>
      </c>
      <c r="K6925" s="2" t="s">
        <v>9456</v>
      </c>
      <c r="L6925" s="2">
        <f t="shared" si="108"/>
        <v>150</v>
      </c>
    </row>
    <row r="6926" spans="1:12" ht="25" customHeight="1">
      <c r="A6926" s="2" t="s">
        <v>12</v>
      </c>
      <c r="B6926" s="2" t="str">
        <f>HYPERLINK("http://bbs.12365auto.com/postcontent.aspx?tId=194218","想做最靓的仔？这4款十万级轿跑SUV可别错过了")</f>
        <v>想做最靓的仔？这4款十万级轿跑SUV可别错过了</v>
      </c>
      <c r="C6926" s="2" t="s">
        <v>13</v>
      </c>
      <c r="D6926" s="2" t="s">
        <v>12</v>
      </c>
      <c r="E6926" s="2" t="s">
        <v>210</v>
      </c>
      <c r="F6926" s="2" t="str">
        <f>HYPERLINK("http://bbs.12365auto.com/postcontent.aspx?tId=194218","http://bbs.12365auto.com/postcontent.aspx?tId=194218")</f>
        <v>http://bbs.12365auto.com/postcontent.aspx?tId=194218</v>
      </c>
      <c r="G6926" s="2"/>
      <c r="H6926" s="2" t="s">
        <v>9455</v>
      </c>
      <c r="I6926" s="2" t="s">
        <v>15</v>
      </c>
      <c r="J6926" s="2" t="s">
        <v>8952</v>
      </c>
      <c r="K6926" s="2" t="s">
        <v>9456</v>
      </c>
      <c r="L6926" s="2">
        <f t="shared" si="108"/>
        <v>150</v>
      </c>
    </row>
    <row r="6927" spans="1:12" ht="25" customHeight="1">
      <c r="A6927" s="2" t="s">
        <v>12</v>
      </c>
      <c r="B6927" s="2" t="str">
        <f>HYPERLINK("http://bbs.12365auto.com/postcontent.aspx?tID=194218","想做最靓的仔？这4款十万级轿跑SUV可别错过了")</f>
        <v>想做最靓的仔？这4款十万级轿跑SUV可别错过了</v>
      </c>
      <c r="C6927" s="2" t="s">
        <v>13</v>
      </c>
      <c r="D6927" s="2" t="s">
        <v>12</v>
      </c>
      <c r="E6927" s="2" t="s">
        <v>214</v>
      </c>
      <c r="F6927" s="2" t="str">
        <f>HYPERLINK("http://bbs.12365auto.com/postcontent.aspx?tID=194218","http://bbs.12365auto.com/postcontent.aspx?tID=194218")</f>
        <v>http://bbs.12365auto.com/postcontent.aspx?tID=194218</v>
      </c>
      <c r="G6927" s="2"/>
      <c r="H6927" s="2" t="s">
        <v>9457</v>
      </c>
      <c r="I6927" s="2" t="s">
        <v>15</v>
      </c>
      <c r="J6927" s="2" t="s">
        <v>8952</v>
      </c>
      <c r="K6927" s="2" t="s">
        <v>9456</v>
      </c>
      <c r="L6927" s="2">
        <f t="shared" si="108"/>
        <v>150</v>
      </c>
    </row>
    <row r="6928" spans="1:12" ht="25" customHeight="1">
      <c r="A6928" s="2" t="s">
        <v>12</v>
      </c>
      <c r="B6928" s="2" t="str">
        <f>HYPERLINK("http://m.12365auto.com/bbs/postcontent.aspx?tID=194217","家用商务两不误 这3款畅销车型推荐")</f>
        <v>家用商务两不误 这3款畅销车型推荐</v>
      </c>
      <c r="C6928" s="2" t="s">
        <v>13</v>
      </c>
      <c r="D6928" s="2" t="s">
        <v>23</v>
      </c>
      <c r="E6928" s="2"/>
      <c r="F6928" s="2" t="str">
        <f>HYPERLINK("http://m.12365auto.com/bbs/postcontent.aspx?tID=194217","http://m.12365auto.com/bbs/postcontent.aspx?tID=194217")</f>
        <v>http://m.12365auto.com/bbs/postcontent.aspx?tID=194217</v>
      </c>
      <c r="G6928" s="2"/>
      <c r="H6928" s="2" t="s">
        <v>9458</v>
      </c>
      <c r="I6928" s="2" t="s">
        <v>15</v>
      </c>
      <c r="J6928" s="2" t="s">
        <v>8952</v>
      </c>
      <c r="K6928" s="2" t="s">
        <v>9459</v>
      </c>
      <c r="L6928" s="2">
        <f t="shared" si="108"/>
        <v>150</v>
      </c>
    </row>
    <row r="6929" spans="1:12" ht="25" customHeight="1">
      <c r="A6929" s="2" t="s">
        <v>12</v>
      </c>
      <c r="B6929" s="2" t="str">
        <f>HYPERLINK("http://bbs.12365auto.com/postcontent.aspx?tID=194217","家用商务两不误 这3款畅销车型推荐")</f>
        <v>家用商务两不误 这3款畅销车型推荐</v>
      </c>
      <c r="C6929" s="2" t="s">
        <v>13</v>
      </c>
      <c r="D6929" s="2" t="s">
        <v>12</v>
      </c>
      <c r="E6929" s="2" t="s">
        <v>214</v>
      </c>
      <c r="F6929" s="2" t="str">
        <f>HYPERLINK("http://bbs.12365auto.com/postcontent.aspx?tID=194217","http://bbs.12365auto.com/postcontent.aspx?tID=194217")</f>
        <v>http://bbs.12365auto.com/postcontent.aspx?tID=194217</v>
      </c>
      <c r="G6929" s="2"/>
      <c r="H6929" s="2" t="s">
        <v>9460</v>
      </c>
      <c r="I6929" s="2" t="s">
        <v>15</v>
      </c>
      <c r="J6929" s="2" t="s">
        <v>8952</v>
      </c>
      <c r="K6929" s="2" t="s">
        <v>9459</v>
      </c>
      <c r="L6929" s="2">
        <f t="shared" si="108"/>
        <v>150</v>
      </c>
    </row>
    <row r="6930" spans="1:12" ht="25" customHeight="1">
      <c r="A6930" s="2" t="s">
        <v>12</v>
      </c>
      <c r="B6930" s="2" t="str">
        <f>HYPERLINK("http://bbs.12365auto.com/postcontent.aspx?tId=194217","家用商务两不误 这3款畅销车型推荐")</f>
        <v>家用商务两不误 这3款畅销车型推荐</v>
      </c>
      <c r="C6930" s="2" t="s">
        <v>13</v>
      </c>
      <c r="D6930" s="2" t="s">
        <v>12</v>
      </c>
      <c r="E6930" s="2" t="s">
        <v>210</v>
      </c>
      <c r="F6930" s="2" t="str">
        <f>HYPERLINK("http://bbs.12365auto.com/postcontent.aspx?tId=194217","http://bbs.12365auto.com/postcontent.aspx?tId=194217")</f>
        <v>http://bbs.12365auto.com/postcontent.aspx?tId=194217</v>
      </c>
      <c r="G6930" s="2"/>
      <c r="H6930" s="2" t="s">
        <v>9458</v>
      </c>
      <c r="I6930" s="2" t="s">
        <v>15</v>
      </c>
      <c r="J6930" s="2" t="s">
        <v>8952</v>
      </c>
      <c r="K6930" s="2" t="s">
        <v>9459</v>
      </c>
      <c r="L6930" s="2">
        <f t="shared" si="108"/>
        <v>150</v>
      </c>
    </row>
    <row r="6931" spans="1:12" ht="25" customHeight="1">
      <c r="A6931" s="2" t="s">
        <v>12</v>
      </c>
      <c r="B6931" s="2" t="str">
        <f>HYPERLINK("http://www.12365auto.com/zlts/20200217/447479.shtml","北京奔驰GLA召回后转向助力失效")</f>
        <v>北京奔驰GLA召回后转向助力失效</v>
      </c>
      <c r="C6931" s="2" t="s">
        <v>13</v>
      </c>
      <c r="D6931" s="2" t="s">
        <v>12</v>
      </c>
      <c r="E6931" s="2" t="s">
        <v>17</v>
      </c>
      <c r="F6931" s="2" t="str">
        <f>HYPERLINK("http://www.12365auto.com/zlts/20200217/447479.shtml","http://www.12365auto.com/zlts/20200217/447479.shtml")</f>
        <v>http://www.12365auto.com/zlts/20200217/447479.shtml</v>
      </c>
      <c r="G6931" s="2"/>
      <c r="H6931" s="2" t="s">
        <v>9461</v>
      </c>
      <c r="I6931" s="2" t="s">
        <v>19</v>
      </c>
      <c r="J6931" s="2" t="s">
        <v>12</v>
      </c>
      <c r="K6931" s="2" t="s">
        <v>9459</v>
      </c>
      <c r="L6931" s="2">
        <f t="shared" si="108"/>
        <v>150</v>
      </c>
    </row>
    <row r="6932" spans="1:12" ht="25" customHeight="1">
      <c r="A6932" s="2" t="s">
        <v>12</v>
      </c>
      <c r="B6932" s="2" t="str">
        <f>HYPERLINK("http://m.12365auto.com/bbs/postcontent.aspx?tID=194216","更出色的用车体验 三款优惠幅度不错的豪华车推荐")</f>
        <v>更出色的用车体验 三款优惠幅度不错的豪华车推荐</v>
      </c>
      <c r="C6932" s="2" t="s">
        <v>13</v>
      </c>
      <c r="D6932" s="2" t="s">
        <v>23</v>
      </c>
      <c r="E6932" s="2"/>
      <c r="F6932" s="2" t="str">
        <f>HYPERLINK("http://m.12365auto.com/bbs/postcontent.aspx?tID=194216","http://m.12365auto.com/bbs/postcontent.aspx?tID=194216")</f>
        <v>http://m.12365auto.com/bbs/postcontent.aspx?tID=194216</v>
      </c>
      <c r="G6932" s="2"/>
      <c r="H6932" s="2" t="s">
        <v>9462</v>
      </c>
      <c r="I6932" s="2" t="s">
        <v>15</v>
      </c>
      <c r="J6932" s="2" t="s">
        <v>1276</v>
      </c>
      <c r="K6932" s="2" t="s">
        <v>9463</v>
      </c>
      <c r="L6932" s="2">
        <f t="shared" si="108"/>
        <v>150</v>
      </c>
    </row>
    <row r="6933" spans="1:12" ht="25" customHeight="1">
      <c r="A6933" s="2" t="s">
        <v>12</v>
      </c>
      <c r="B6933" s="2" t="str">
        <f>HYPERLINK("http://bbs.12365auto.com/postcontent.aspx?tID=194216","更出色的用车体验 三款优惠幅度不错的豪华车推荐")</f>
        <v>更出色的用车体验 三款优惠幅度不错的豪华车推荐</v>
      </c>
      <c r="C6933" s="2" t="s">
        <v>13</v>
      </c>
      <c r="D6933" s="2" t="s">
        <v>12</v>
      </c>
      <c r="E6933" s="2" t="s">
        <v>28</v>
      </c>
      <c r="F6933" s="2" t="str">
        <f>HYPERLINK("http://bbs.12365auto.com/postcontent.aspx?tID=194216","http://bbs.12365auto.com/postcontent.aspx?tID=194216")</f>
        <v>http://bbs.12365auto.com/postcontent.aspx?tID=194216</v>
      </c>
      <c r="G6933" s="2"/>
      <c r="H6933" s="2" t="s">
        <v>9464</v>
      </c>
      <c r="I6933" s="2" t="s">
        <v>15</v>
      </c>
      <c r="J6933" s="2" t="s">
        <v>1276</v>
      </c>
      <c r="K6933" s="2" t="s">
        <v>9463</v>
      </c>
      <c r="L6933" s="2">
        <f t="shared" si="108"/>
        <v>150</v>
      </c>
    </row>
    <row r="6934" spans="1:12" ht="25" customHeight="1">
      <c r="A6934" s="2" t="s">
        <v>12</v>
      </c>
      <c r="B6934" s="2" t="str">
        <f>HYPERLINK("http://bbs.12365auto.com/postcontent.aspx?tId=194216","更出色的用车体验 三款优惠幅度不错的豪华车推荐")</f>
        <v>更出色的用车体验 三款优惠幅度不错的豪华车推荐</v>
      </c>
      <c r="C6934" s="2" t="s">
        <v>13</v>
      </c>
      <c r="D6934" s="2" t="s">
        <v>12</v>
      </c>
      <c r="E6934" s="2" t="s">
        <v>27</v>
      </c>
      <c r="F6934" s="2" t="str">
        <f>HYPERLINK("http://bbs.12365auto.com/postcontent.aspx?tId=194216","http://bbs.12365auto.com/postcontent.aspx?tId=194216")</f>
        <v>http://bbs.12365auto.com/postcontent.aspx?tId=194216</v>
      </c>
      <c r="G6934" s="2"/>
      <c r="H6934" s="2" t="s">
        <v>9462</v>
      </c>
      <c r="I6934" s="2" t="s">
        <v>15</v>
      </c>
      <c r="J6934" s="2" t="s">
        <v>1276</v>
      </c>
      <c r="K6934" s="2" t="s">
        <v>9463</v>
      </c>
      <c r="L6934" s="2">
        <f t="shared" si="108"/>
        <v>150</v>
      </c>
    </row>
    <row r="6935" spans="1:12" ht="25" customHeight="1">
      <c r="A6935" s="2" t="s">
        <v>12</v>
      </c>
      <c r="B6935" s="2" t="str">
        <f>HYPERLINK("http://m.12365auto.com/bbs/postcontent.aspx?tID=194215","最低不到6万就买SUV 这4款国货你真要错过?")</f>
        <v>最低不到6万就买SUV 这4款国货你真要错过?</v>
      </c>
      <c r="C6935" s="2" t="s">
        <v>13</v>
      </c>
      <c r="D6935" s="2" t="s">
        <v>23</v>
      </c>
      <c r="E6935" s="2"/>
      <c r="F6935" s="2" t="str">
        <f>HYPERLINK("http://m.12365auto.com/bbs/postcontent.aspx?tID=194215","http://m.12365auto.com/bbs/postcontent.aspx?tID=194215")</f>
        <v>http://m.12365auto.com/bbs/postcontent.aspx?tID=194215</v>
      </c>
      <c r="G6935" s="2"/>
      <c r="H6935" s="2" t="s">
        <v>9465</v>
      </c>
      <c r="I6935" s="2" t="s">
        <v>15</v>
      </c>
      <c r="J6935" s="2" t="s">
        <v>1276</v>
      </c>
      <c r="K6935" s="2" t="s">
        <v>9466</v>
      </c>
      <c r="L6935" s="2">
        <f t="shared" si="108"/>
        <v>150</v>
      </c>
    </row>
    <row r="6936" spans="1:12" ht="25" customHeight="1">
      <c r="A6936" s="2" t="s">
        <v>12</v>
      </c>
      <c r="B6936" s="2" t="str">
        <f>HYPERLINK("http://bbs.12365auto.com/postcontent.aspx?tID=194215","最低不到6万就买SUV 这4款国货你真要错过?")</f>
        <v>最低不到6万就买SUV 这4款国货你真要错过?</v>
      </c>
      <c r="C6936" s="2" t="s">
        <v>13</v>
      </c>
      <c r="D6936" s="2" t="s">
        <v>12</v>
      </c>
      <c r="E6936" s="2" t="s">
        <v>28</v>
      </c>
      <c r="F6936" s="2" t="str">
        <f>HYPERLINK("http://bbs.12365auto.com/postcontent.aspx?tID=194215","http://bbs.12365auto.com/postcontent.aspx?tID=194215")</f>
        <v>http://bbs.12365auto.com/postcontent.aspx?tID=194215</v>
      </c>
      <c r="G6936" s="2"/>
      <c r="H6936" s="2" t="s">
        <v>9467</v>
      </c>
      <c r="I6936" s="2" t="s">
        <v>15</v>
      </c>
      <c r="J6936" s="2" t="s">
        <v>1276</v>
      </c>
      <c r="K6936" s="2" t="s">
        <v>9466</v>
      </c>
      <c r="L6936" s="2">
        <f t="shared" si="108"/>
        <v>150</v>
      </c>
    </row>
    <row r="6937" spans="1:12" ht="25" customHeight="1">
      <c r="A6937" s="2" t="s">
        <v>12</v>
      </c>
      <c r="B6937" s="2" t="str">
        <f>HYPERLINK("http://bbs.12365auto.com/postcontent.aspx?tId=194215","最低不到6万就买SUV 这4款国货你真要错过?")</f>
        <v>最低不到6万就买SUV 这4款国货你真要错过?</v>
      </c>
      <c r="C6937" s="2" t="s">
        <v>13</v>
      </c>
      <c r="D6937" s="2" t="s">
        <v>12</v>
      </c>
      <c r="E6937" s="2" t="s">
        <v>27</v>
      </c>
      <c r="F6937" s="2" t="str">
        <f>HYPERLINK("http://bbs.12365auto.com/postcontent.aspx?tId=194215","http://bbs.12365auto.com/postcontent.aspx?tId=194215")</f>
        <v>http://bbs.12365auto.com/postcontent.aspx?tId=194215</v>
      </c>
      <c r="G6937" s="2"/>
      <c r="H6937" s="2" t="s">
        <v>9465</v>
      </c>
      <c r="I6937" s="2" t="s">
        <v>15</v>
      </c>
      <c r="J6937" s="2" t="s">
        <v>1276</v>
      </c>
      <c r="K6937" s="2" t="s">
        <v>9466</v>
      </c>
      <c r="L6937" s="2">
        <f t="shared" si="108"/>
        <v>150</v>
      </c>
    </row>
    <row r="6938" spans="1:12" ht="25" customHeight="1">
      <c r="A6938" s="2" t="s">
        <v>12</v>
      </c>
      <c r="B6938" s="2" t="str">
        <f>HYPERLINK("http://www.12365auto.com/zlts/20200217/447478.shtml","一汽大众高尔夫左前轮及前悬挂异响严重")</f>
        <v>一汽大众高尔夫左前轮及前悬挂异响严重</v>
      </c>
      <c r="C6938" s="2" t="s">
        <v>13</v>
      </c>
      <c r="D6938" s="2" t="s">
        <v>12</v>
      </c>
      <c r="E6938" s="2" t="s">
        <v>17</v>
      </c>
      <c r="F6938" s="2" t="str">
        <f>HYPERLINK("http://www.12365auto.com/zlts/20200217/447478.shtml","http://www.12365auto.com/zlts/20200217/447478.shtml")</f>
        <v>http://www.12365auto.com/zlts/20200217/447478.shtml</v>
      </c>
      <c r="G6938" s="2"/>
      <c r="H6938" s="2" t="s">
        <v>9468</v>
      </c>
      <c r="I6938" s="2" t="s">
        <v>19</v>
      </c>
      <c r="J6938" s="2" t="s">
        <v>12</v>
      </c>
      <c r="K6938" s="2" t="s">
        <v>9469</v>
      </c>
      <c r="L6938" s="2">
        <f t="shared" si="108"/>
        <v>150</v>
      </c>
    </row>
    <row r="6939" spans="1:12" ht="25" customHeight="1">
      <c r="A6939" s="2" t="s">
        <v>12</v>
      </c>
      <c r="B6939" s="2" t="str">
        <f>HYPERLINK("http://www.12365auto.com/xcdg/20200217/418675.shtml","现代新款胜达渲染图曝光 家族设计再度进化")</f>
        <v>现代新款胜达渲染图曝光 家族设计再度进化</v>
      </c>
      <c r="C6939" s="2" t="s">
        <v>13</v>
      </c>
      <c r="D6939" s="2" t="s">
        <v>12</v>
      </c>
      <c r="E6939" s="2" t="s">
        <v>216</v>
      </c>
      <c r="F6939" s="2" t="str">
        <f>HYPERLINK("http://www.12365auto.com/xcdg/20200217/418675.shtml","http://www.12365auto.com/xcdg/20200217/418675.shtml")</f>
        <v>http://www.12365auto.com/xcdg/20200217/418675.shtml</v>
      </c>
      <c r="G6939" s="2"/>
      <c r="H6939" s="2" t="s">
        <v>9470</v>
      </c>
      <c r="I6939" s="2" t="s">
        <v>15</v>
      </c>
      <c r="J6939" s="2" t="s">
        <v>12</v>
      </c>
      <c r="K6939" s="2" t="s">
        <v>9471</v>
      </c>
      <c r="L6939" s="2">
        <f t="shared" si="108"/>
        <v>150</v>
      </c>
    </row>
    <row r="6940" spans="1:12" ht="25" customHeight="1">
      <c r="A6940" s="2" t="s">
        <v>12</v>
      </c>
      <c r="B6940" s="2" t="str">
        <f>HYPERLINK("http://m.12365auto.com/xcdg/20200217/418675.shtml","现代新款胜达渲染图曝光 家族设计再度进化")</f>
        <v>现代新款胜达渲染图曝光 家族设计再度进化</v>
      </c>
      <c r="C6940" s="2" t="s">
        <v>13</v>
      </c>
      <c r="D6940" s="2" t="s">
        <v>12</v>
      </c>
      <c r="E6940" s="2"/>
      <c r="F6940" s="2" t="str">
        <f>HYPERLINK("http://m.12365auto.com/xcdg/20200217/418675.shtml","http://m.12365auto.com/xcdg/20200217/418675.shtml")</f>
        <v>http://m.12365auto.com/xcdg/20200217/418675.shtml</v>
      </c>
      <c r="G6940" s="2"/>
      <c r="H6940" s="2" t="s">
        <v>9472</v>
      </c>
      <c r="I6940" s="2" t="s">
        <v>19</v>
      </c>
      <c r="J6940" s="2" t="s">
        <v>1241</v>
      </c>
      <c r="K6940" s="2" t="s">
        <v>9471</v>
      </c>
      <c r="L6940" s="2">
        <f t="shared" si="108"/>
        <v>150</v>
      </c>
    </row>
    <row r="6941" spans="1:12" ht="25" customHeight="1">
      <c r="A6941" s="2" t="s">
        <v>12</v>
      </c>
      <c r="B6941" s="2" t="str">
        <f>HYPERLINK("http://www.12365auto.com/zlts/20200217/447477.shtml","北京现代领动耐克森轮胎无故出现鼓包")</f>
        <v>北京现代领动耐克森轮胎无故出现鼓包</v>
      </c>
      <c r="C6941" s="2" t="s">
        <v>13</v>
      </c>
      <c r="D6941" s="2" t="s">
        <v>12</v>
      </c>
      <c r="E6941" s="2" t="s">
        <v>17</v>
      </c>
      <c r="F6941" s="2" t="str">
        <f>HYPERLINK("http://www.12365auto.com/zlts/20200217/447477.shtml","http://www.12365auto.com/zlts/20200217/447477.shtml")</f>
        <v>http://www.12365auto.com/zlts/20200217/447477.shtml</v>
      </c>
      <c r="G6941" s="2"/>
      <c r="H6941" s="2" t="s">
        <v>9473</v>
      </c>
      <c r="I6941" s="2" t="s">
        <v>19</v>
      </c>
      <c r="J6941" s="2" t="s">
        <v>12</v>
      </c>
      <c r="K6941" s="2" t="s">
        <v>9474</v>
      </c>
      <c r="L6941" s="2">
        <f t="shared" si="108"/>
        <v>150</v>
      </c>
    </row>
    <row r="6942" spans="1:12" ht="25" customHeight="1">
      <c r="A6942" s="2" t="s">
        <v>12</v>
      </c>
      <c r="B6942" s="2" t="str">
        <f>HYPERLINK("http://www.12365auto.com/xcdg/20200217/418683.shtml","将于3月正式亮相 起亚全新索兰托官图发布")</f>
        <v>将于3月正式亮相 起亚全新索兰托官图发布</v>
      </c>
      <c r="C6942" s="2" t="s">
        <v>13</v>
      </c>
      <c r="D6942" s="2" t="s">
        <v>12</v>
      </c>
      <c r="E6942" s="2" t="s">
        <v>216</v>
      </c>
      <c r="F6942" s="2" t="str">
        <f>HYPERLINK("http://www.12365auto.com/xcdg/20200217/418683.shtml","http://www.12365auto.com/xcdg/20200217/418683.shtml")</f>
        <v>http://www.12365auto.com/xcdg/20200217/418683.shtml</v>
      </c>
      <c r="G6942" s="2"/>
      <c r="H6942" s="2" t="s">
        <v>9475</v>
      </c>
      <c r="I6942" s="2" t="s">
        <v>15</v>
      </c>
      <c r="J6942" s="2" t="s">
        <v>12</v>
      </c>
      <c r="K6942" s="2" t="s">
        <v>9476</v>
      </c>
      <c r="L6942" s="2">
        <f t="shared" si="108"/>
        <v>150</v>
      </c>
    </row>
    <row r="6943" spans="1:12" ht="25" customHeight="1">
      <c r="A6943" s="2" t="s">
        <v>12</v>
      </c>
      <c r="B6943" s="2" t="str">
        <f>HYPERLINK("http://www.12365auto.com/xcdg/20200217/418681.shtml","土豪新玩具！奔驰AMG G63推出游艇联名版")</f>
        <v>土豪新玩具！奔驰AMG G63推出游艇联名版</v>
      </c>
      <c r="C6943" s="2" t="s">
        <v>13</v>
      </c>
      <c r="D6943" s="2" t="s">
        <v>12</v>
      </c>
      <c r="E6943" s="2" t="s">
        <v>216</v>
      </c>
      <c r="F6943" s="2" t="str">
        <f>HYPERLINK("http://www.12365auto.com/xcdg/20200217/418681.shtml","http://www.12365auto.com/xcdg/20200217/418681.shtml")</f>
        <v>http://www.12365auto.com/xcdg/20200217/418681.shtml</v>
      </c>
      <c r="G6943" s="2"/>
      <c r="H6943" s="2" t="s">
        <v>9477</v>
      </c>
      <c r="I6943" s="2" t="s">
        <v>15</v>
      </c>
      <c r="J6943" s="2" t="s">
        <v>12</v>
      </c>
      <c r="K6943" s="2" t="s">
        <v>9478</v>
      </c>
      <c r="L6943" s="2">
        <f t="shared" si="108"/>
        <v>150</v>
      </c>
    </row>
    <row r="6944" spans="1:12" ht="25" customHeight="1">
      <c r="A6944" s="2" t="s">
        <v>12</v>
      </c>
      <c r="B6944" s="2" t="str">
        <f>HYPERLINK("http://www.12365auto.com/zlts/20200217/447476.shtml","上汽名爵6中控台异响 大灯起雾影响驾驶")</f>
        <v>上汽名爵6中控台异响 大灯起雾影响驾驶</v>
      </c>
      <c r="C6944" s="2" t="s">
        <v>13</v>
      </c>
      <c r="D6944" s="2" t="s">
        <v>12</v>
      </c>
      <c r="E6944" s="2" t="s">
        <v>17</v>
      </c>
      <c r="F6944" s="2" t="str">
        <f>HYPERLINK("http://www.12365auto.com/zlts/20200217/447476.shtml","http://www.12365auto.com/zlts/20200217/447476.shtml")</f>
        <v>http://www.12365auto.com/zlts/20200217/447476.shtml</v>
      </c>
      <c r="G6944" s="2"/>
      <c r="H6944" s="2" t="s">
        <v>9479</v>
      </c>
      <c r="I6944" s="2" t="s">
        <v>15</v>
      </c>
      <c r="J6944" s="2" t="s">
        <v>12</v>
      </c>
      <c r="K6944" s="2" t="s">
        <v>9480</v>
      </c>
      <c r="L6944" s="2">
        <f t="shared" si="108"/>
        <v>150</v>
      </c>
    </row>
    <row r="6945" spans="1:12" ht="25" customHeight="1">
      <c r="A6945" s="2" t="s">
        <v>12</v>
      </c>
      <c r="B6945" s="2" t="str">
        <f>HYPERLINK("http://m.12365auto.com/zjdy/20200217/121333.shtml","车辆冬天启动后无法行驶是什么原因？")</f>
        <v>车辆冬天启动后无法行驶是什么原因？</v>
      </c>
      <c r="C6945" s="2" t="s">
        <v>13</v>
      </c>
      <c r="D6945" s="2" t="s">
        <v>12</v>
      </c>
      <c r="E6945" s="2"/>
      <c r="F6945" s="2" t="str">
        <f>HYPERLINK("http://m.12365auto.com/zjdy/20200217/121333.shtml","http://m.12365auto.com/zjdy/20200217/121333.shtml")</f>
        <v>http://m.12365auto.com/zjdy/20200217/121333.shtml</v>
      </c>
      <c r="G6945" s="2"/>
      <c r="H6945" s="2" t="s">
        <v>9481</v>
      </c>
      <c r="I6945" s="2" t="s">
        <v>19</v>
      </c>
      <c r="J6945" s="2" t="s">
        <v>12</v>
      </c>
      <c r="K6945" s="2" t="s">
        <v>9482</v>
      </c>
      <c r="L6945" s="2">
        <f t="shared" si="108"/>
        <v>44</v>
      </c>
    </row>
    <row r="6946" spans="1:12" ht="25" customHeight="1">
      <c r="A6946" s="2" t="s">
        <v>12</v>
      </c>
      <c r="B6946" s="2" t="str">
        <f>HYPERLINK("http://bbs.12365auto.com/postcontent.aspx?tId=194213","日产途达电瓶亏电无法正常启动")</f>
        <v>日产途达电瓶亏电无法正常启动</v>
      </c>
      <c r="C6946" s="2" t="s">
        <v>13</v>
      </c>
      <c r="D6946" s="2" t="s">
        <v>12</v>
      </c>
      <c r="E6946" s="2" t="s">
        <v>66</v>
      </c>
      <c r="F6946" s="2" t="str">
        <f>HYPERLINK("http://bbs.12365auto.com/postcontent.aspx?tId=194213","http://bbs.12365auto.com/postcontent.aspx?tId=194213")</f>
        <v>http://bbs.12365auto.com/postcontent.aspx?tId=194213</v>
      </c>
      <c r="G6946" s="2"/>
      <c r="H6946" s="2" t="s">
        <v>9483</v>
      </c>
      <c r="I6946" s="2" t="s">
        <v>15</v>
      </c>
      <c r="J6946" s="2" t="s">
        <v>3922</v>
      </c>
      <c r="K6946" s="2" t="s">
        <v>9484</v>
      </c>
      <c r="L6946" s="2">
        <f t="shared" si="108"/>
        <v>140</v>
      </c>
    </row>
    <row r="6947" spans="1:12" ht="25" customHeight="1">
      <c r="A6947" s="2" t="s">
        <v>12</v>
      </c>
      <c r="B6947" s="2" t="str">
        <f>HYPERLINK("http://bbs.12365auto.com/postcontent.aspx?tID=194214&amp;sId=1485&amp;ppage=1&amp;from=s","宝骏730胎压监测疑似减配发动机故障灯亮")</f>
        <v>宝骏730胎压监测疑似减配发动机故障灯亮</v>
      </c>
      <c r="C6947" s="2" t="s">
        <v>13</v>
      </c>
      <c r="D6947" s="2" t="s">
        <v>12</v>
      </c>
      <c r="E6947" s="2" t="s">
        <v>7966</v>
      </c>
      <c r="F6947" s="2" t="str">
        <f>HYPERLINK("http://bbs.12365auto.com/postcontent.aspx?tID=194214&amp;sId=1485&amp;ppage=1&amp;from=s","http://bbs.12365auto.com/postcontent.aspx?tID=194214&amp;sId=1485&amp;ppage=1&amp;from=s")</f>
        <v>http://bbs.12365auto.com/postcontent.aspx?tID=194214&amp;sId=1485&amp;ppage=1&amp;from=s</v>
      </c>
      <c r="G6947" s="2"/>
      <c r="H6947" s="2" t="s">
        <v>9485</v>
      </c>
      <c r="I6947" s="2" t="s">
        <v>15</v>
      </c>
      <c r="J6947" s="2" t="s">
        <v>9486</v>
      </c>
      <c r="K6947" s="2" t="s">
        <v>9484</v>
      </c>
      <c r="L6947" s="2">
        <f t="shared" si="108"/>
        <v>143</v>
      </c>
    </row>
    <row r="6948" spans="1:12" ht="25" customHeight="1">
      <c r="A6948" s="2" t="s">
        <v>12</v>
      </c>
      <c r="B6948" s="2" t="str">
        <f>HYPERLINK("http://m.12365auto.com/bbs/postcontent.aspx?tID=194214","宝骏730胎压监测疑似减配发动机故障灯亮")</f>
        <v>宝骏730胎压监测疑似减配发动机故障灯亮</v>
      </c>
      <c r="C6948" s="2" t="s">
        <v>13</v>
      </c>
      <c r="D6948" s="2" t="s">
        <v>23</v>
      </c>
      <c r="E6948" s="2"/>
      <c r="F6948" s="2" t="str">
        <f>HYPERLINK("http://m.12365auto.com/bbs/postcontent.aspx?tID=194214","http://m.12365auto.com/bbs/postcontent.aspx?tID=194214")</f>
        <v>http://m.12365auto.com/bbs/postcontent.aspx?tID=194214</v>
      </c>
      <c r="G6948" s="2"/>
      <c r="H6948" s="2" t="s">
        <v>9487</v>
      </c>
      <c r="I6948" s="2" t="s">
        <v>15</v>
      </c>
      <c r="J6948" s="2" t="s">
        <v>3912</v>
      </c>
      <c r="K6948" s="2" t="s">
        <v>9484</v>
      </c>
      <c r="L6948" s="2">
        <f t="shared" si="108"/>
        <v>123</v>
      </c>
    </row>
    <row r="6949" spans="1:12" ht="25" customHeight="1">
      <c r="A6949" s="2" t="s">
        <v>12</v>
      </c>
      <c r="B6949" s="2" t="str">
        <f>HYPERLINK("http://m.12365auto.com/bbs/postcontent.aspx?tID=194213","日产途达电瓶亏电无法正常启动")</f>
        <v>日产途达电瓶亏电无法正常启动</v>
      </c>
      <c r="C6949" s="2" t="s">
        <v>13</v>
      </c>
      <c r="D6949" s="2" t="s">
        <v>23</v>
      </c>
      <c r="E6949" s="2"/>
      <c r="F6949" s="2" t="str">
        <f>HYPERLINK("http://m.12365auto.com/bbs/postcontent.aspx?tID=194213","http://m.12365auto.com/bbs/postcontent.aspx?tID=194213")</f>
        <v>http://m.12365auto.com/bbs/postcontent.aspx?tID=194213</v>
      </c>
      <c r="G6949" s="2"/>
      <c r="H6949" s="2" t="s">
        <v>9483</v>
      </c>
      <c r="I6949" s="2" t="s">
        <v>15</v>
      </c>
      <c r="J6949" s="2" t="s">
        <v>3922</v>
      </c>
      <c r="K6949" s="2" t="s">
        <v>9484</v>
      </c>
      <c r="L6949" s="2">
        <f t="shared" si="108"/>
        <v>140</v>
      </c>
    </row>
    <row r="6950" spans="1:12" ht="25" customHeight="1">
      <c r="A6950" s="2" t="s">
        <v>12</v>
      </c>
      <c r="B6950" s="2" t="str">
        <f>HYPERLINK("http://bbs.12365auto.com/postcontent.aspx?tID=194213","日产途达电瓶亏电无法正常启动")</f>
        <v>日产途达电瓶亏电无法正常启动</v>
      </c>
      <c r="C6950" s="2" t="s">
        <v>13</v>
      </c>
      <c r="D6950" s="2" t="s">
        <v>12</v>
      </c>
      <c r="E6950" s="2" t="s">
        <v>67</v>
      </c>
      <c r="F6950" s="2" t="str">
        <f>HYPERLINK("http://bbs.12365auto.com/postcontent.aspx?tID=194213","http://bbs.12365auto.com/postcontent.aspx?tID=194213")</f>
        <v>http://bbs.12365auto.com/postcontent.aspx?tID=194213</v>
      </c>
      <c r="G6950" s="2"/>
      <c r="H6950" s="2" t="s">
        <v>9488</v>
      </c>
      <c r="I6950" s="2" t="s">
        <v>15</v>
      </c>
      <c r="J6950" s="2" t="s">
        <v>3922</v>
      </c>
      <c r="K6950" s="2" t="s">
        <v>9484</v>
      </c>
      <c r="L6950" s="2">
        <f t="shared" si="108"/>
        <v>150</v>
      </c>
    </row>
    <row r="6951" spans="1:12" ht="25" customHeight="1">
      <c r="A6951" s="2" t="s">
        <v>12</v>
      </c>
      <c r="B6951" s="2" t="str">
        <f>HYPERLINK("http://bbs.12365auto.com/postcontent.aspx?tID=194214","宝骏730胎压监测疑似减配发动机故障灯亮")</f>
        <v>宝骏730胎压监测疑似减配发动机故障灯亮</v>
      </c>
      <c r="C6951" s="2" t="s">
        <v>13</v>
      </c>
      <c r="D6951" s="2" t="s">
        <v>12</v>
      </c>
      <c r="E6951" s="2" t="s">
        <v>67</v>
      </c>
      <c r="F6951" s="2" t="str">
        <f>HYPERLINK("http://bbs.12365auto.com/postcontent.aspx?tID=194214","http://bbs.12365auto.com/postcontent.aspx?tID=194214")</f>
        <v>http://bbs.12365auto.com/postcontent.aspx?tID=194214</v>
      </c>
      <c r="G6951" s="2"/>
      <c r="H6951" s="2" t="s">
        <v>9485</v>
      </c>
      <c r="I6951" s="2" t="s">
        <v>15</v>
      </c>
      <c r="J6951" s="2" t="s">
        <v>3912</v>
      </c>
      <c r="K6951" s="2" t="s">
        <v>9484</v>
      </c>
      <c r="L6951" s="2">
        <f t="shared" si="108"/>
        <v>143</v>
      </c>
    </row>
    <row r="6952" spans="1:12" ht="25" customHeight="1">
      <c r="A6952" s="2" t="s">
        <v>12</v>
      </c>
      <c r="B6952" s="2" t="str">
        <f>HYPERLINK("http://bbs.12365auto.com/postcontent.aspx?tId=194214","宝骏730胎压监测疑似减配发动机故障灯亮")</f>
        <v>宝骏730胎压监测疑似减配发动机故障灯亮</v>
      </c>
      <c r="C6952" s="2" t="s">
        <v>13</v>
      </c>
      <c r="D6952" s="2" t="s">
        <v>12</v>
      </c>
      <c r="E6952" s="2" t="s">
        <v>66</v>
      </c>
      <c r="F6952" s="2" t="str">
        <f>HYPERLINK("http://bbs.12365auto.com/postcontent.aspx?tId=194214","http://bbs.12365auto.com/postcontent.aspx?tId=194214")</f>
        <v>http://bbs.12365auto.com/postcontent.aspx?tId=194214</v>
      </c>
      <c r="G6952" s="2"/>
      <c r="H6952" s="2" t="s">
        <v>9487</v>
      </c>
      <c r="I6952" s="2" t="s">
        <v>15</v>
      </c>
      <c r="J6952" s="2" t="s">
        <v>3912</v>
      </c>
      <c r="K6952" s="2" t="s">
        <v>9484</v>
      </c>
      <c r="L6952" s="2">
        <f t="shared" si="108"/>
        <v>123</v>
      </c>
    </row>
    <row r="6953" spans="1:12" ht="25" customHeight="1">
      <c r="A6953" s="2" t="s">
        <v>12</v>
      </c>
      <c r="B6953" s="2" t="str">
        <f>HYPERLINK("http://bbs.12365auto.com/postcontent.aspx?tId=194212","大家看图 速腾韩泰轮胎开裂")</f>
        <v>大家看图 速腾韩泰轮胎开裂</v>
      </c>
      <c r="C6953" s="2" t="s">
        <v>13</v>
      </c>
      <c r="D6953" s="2" t="s">
        <v>12</v>
      </c>
      <c r="E6953" s="2" t="s">
        <v>66</v>
      </c>
      <c r="F6953" s="2" t="str">
        <f>HYPERLINK("http://bbs.12365auto.com/postcontent.aspx?tId=194212","http://bbs.12365auto.com/postcontent.aspx?tId=194212")</f>
        <v>http://bbs.12365auto.com/postcontent.aspx?tId=194212</v>
      </c>
      <c r="G6953" s="2"/>
      <c r="H6953" s="2" t="s">
        <v>9489</v>
      </c>
      <c r="I6953" s="2" t="s">
        <v>15</v>
      </c>
      <c r="J6953" s="2" t="s">
        <v>2162</v>
      </c>
      <c r="K6953" s="2" t="s">
        <v>9490</v>
      </c>
      <c r="L6953" s="2">
        <f t="shared" si="108"/>
        <v>41</v>
      </c>
    </row>
    <row r="6954" spans="1:12" ht="25" customHeight="1">
      <c r="A6954" s="2" t="s">
        <v>12</v>
      </c>
      <c r="B6954" s="2" t="str">
        <f>HYPERLINK("http://bbs.12365auto.com/postcontent.aspx?tId=194211","上汽荣威RX3发动机与变速箱连接处漏油")</f>
        <v>上汽荣威RX3发动机与变速箱连接处漏油</v>
      </c>
      <c r="C6954" s="2" t="s">
        <v>13</v>
      </c>
      <c r="D6954" s="2" t="s">
        <v>12</v>
      </c>
      <c r="E6954" s="2" t="s">
        <v>66</v>
      </c>
      <c r="F6954" s="2" t="str">
        <f>HYPERLINK("http://bbs.12365auto.com/postcontent.aspx?tId=194211","http://bbs.12365auto.com/postcontent.aspx?tId=194211")</f>
        <v>http://bbs.12365auto.com/postcontent.aspx?tId=194211</v>
      </c>
      <c r="G6954" s="2"/>
      <c r="H6954" s="2" t="s">
        <v>9491</v>
      </c>
      <c r="I6954" s="2" t="s">
        <v>15</v>
      </c>
      <c r="J6954" s="2" t="s">
        <v>3919</v>
      </c>
      <c r="K6954" s="2" t="s">
        <v>9490</v>
      </c>
      <c r="L6954" s="2">
        <f t="shared" si="108"/>
        <v>59</v>
      </c>
    </row>
    <row r="6955" spans="1:12" ht="25" customHeight="1">
      <c r="A6955" s="2" t="s">
        <v>12</v>
      </c>
      <c r="B6955" s="2" t="str">
        <f>HYPERLINK("http://bbs.12365auto.com/postcontent.aspx?tID=194211","上汽荣威RX3发动机与变速箱连接处漏油")</f>
        <v>上汽荣威RX3发动机与变速箱连接处漏油</v>
      </c>
      <c r="C6955" s="2" t="s">
        <v>13</v>
      </c>
      <c r="D6955" s="2" t="s">
        <v>12</v>
      </c>
      <c r="E6955" s="2" t="s">
        <v>67</v>
      </c>
      <c r="F6955" s="2" t="str">
        <f>HYPERLINK("http://bbs.12365auto.com/postcontent.aspx?tID=194211","http://bbs.12365auto.com/postcontent.aspx?tID=194211")</f>
        <v>http://bbs.12365auto.com/postcontent.aspx?tID=194211</v>
      </c>
      <c r="G6955" s="2"/>
      <c r="H6955" s="2" t="s">
        <v>9492</v>
      </c>
      <c r="I6955" s="2" t="s">
        <v>15</v>
      </c>
      <c r="J6955" s="2" t="s">
        <v>3919</v>
      </c>
      <c r="K6955" s="2" t="s">
        <v>9490</v>
      </c>
      <c r="L6955" s="2">
        <f t="shared" si="108"/>
        <v>78</v>
      </c>
    </row>
    <row r="6956" spans="1:12" ht="25" customHeight="1">
      <c r="A6956" s="2" t="s">
        <v>12</v>
      </c>
      <c r="B6956" s="2" t="str">
        <f>HYPERLINK("http://m.12365auto.com/bbs/postcontent.aspx?tID=194212","大家看图 速腾韩泰轮胎开裂")</f>
        <v>大家看图 速腾韩泰轮胎开裂</v>
      </c>
      <c r="C6956" s="2" t="s">
        <v>13</v>
      </c>
      <c r="D6956" s="2" t="s">
        <v>23</v>
      </c>
      <c r="E6956" s="2"/>
      <c r="F6956" s="2" t="str">
        <f>HYPERLINK("http://m.12365auto.com/bbs/postcontent.aspx?tID=194212","http://m.12365auto.com/bbs/postcontent.aspx?tID=194212")</f>
        <v>http://m.12365auto.com/bbs/postcontent.aspx?tID=194212</v>
      </c>
      <c r="G6956" s="2"/>
      <c r="H6956" s="2" t="s">
        <v>9489</v>
      </c>
      <c r="I6956" s="2" t="s">
        <v>15</v>
      </c>
      <c r="J6956" s="2" t="s">
        <v>2162</v>
      </c>
      <c r="K6956" s="2" t="s">
        <v>9490</v>
      </c>
      <c r="L6956" s="2">
        <f t="shared" si="108"/>
        <v>41</v>
      </c>
    </row>
    <row r="6957" spans="1:12" ht="25" customHeight="1">
      <c r="A6957" s="2" t="s">
        <v>12</v>
      </c>
      <c r="B6957" s="2" t="str">
        <f>HYPERLINK("http://m.12365auto.com/bbs/postcontent.aspx?tID=194211","上汽荣威RX3发动机与变速箱连接处漏油")</f>
        <v>上汽荣威RX3发动机与变速箱连接处漏油</v>
      </c>
      <c r="C6957" s="2" t="s">
        <v>13</v>
      </c>
      <c r="D6957" s="2" t="s">
        <v>23</v>
      </c>
      <c r="E6957" s="2"/>
      <c r="F6957" s="2" t="str">
        <f>HYPERLINK("http://m.12365auto.com/bbs/postcontent.aspx?tID=194211","http://m.12365auto.com/bbs/postcontent.aspx?tID=194211")</f>
        <v>http://m.12365auto.com/bbs/postcontent.aspx?tID=194211</v>
      </c>
      <c r="G6957" s="2"/>
      <c r="H6957" s="2" t="s">
        <v>9491</v>
      </c>
      <c r="I6957" s="2" t="s">
        <v>15</v>
      </c>
      <c r="J6957" s="2" t="s">
        <v>3919</v>
      </c>
      <c r="K6957" s="2" t="s">
        <v>9490</v>
      </c>
      <c r="L6957" s="2">
        <f t="shared" si="108"/>
        <v>59</v>
      </c>
    </row>
    <row r="6958" spans="1:12" ht="25" customHeight="1">
      <c r="A6958" s="2" t="s">
        <v>12</v>
      </c>
      <c r="B6958" s="2" t="str">
        <f>HYPERLINK("http://bbs.12365auto.com/postcontent.aspx?tID=194212","大家看图 速腾韩泰轮胎开裂")</f>
        <v>大家看图 速腾韩泰轮胎开裂</v>
      </c>
      <c r="C6958" s="2" t="s">
        <v>13</v>
      </c>
      <c r="D6958" s="2" t="s">
        <v>12</v>
      </c>
      <c r="E6958" s="2" t="s">
        <v>67</v>
      </c>
      <c r="F6958" s="2" t="str">
        <f>HYPERLINK("http://bbs.12365auto.com/postcontent.aspx?tID=194212","http://bbs.12365auto.com/postcontent.aspx?tID=194212")</f>
        <v>http://bbs.12365auto.com/postcontent.aspx?tID=194212</v>
      </c>
      <c r="G6958" s="2"/>
      <c r="H6958" s="2" t="s">
        <v>9493</v>
      </c>
      <c r="I6958" s="2" t="s">
        <v>15</v>
      </c>
      <c r="J6958" s="2" t="s">
        <v>2162</v>
      </c>
      <c r="K6958" s="2" t="s">
        <v>9490</v>
      </c>
      <c r="L6958" s="2">
        <f t="shared" si="108"/>
        <v>54</v>
      </c>
    </row>
    <row r="6959" spans="1:12" ht="25" customHeight="1">
      <c r="A6959" s="2" t="s">
        <v>12</v>
      </c>
      <c r="B6959" s="2" t="str">
        <f>HYPERLINK("http://bbs.12365auto.com/postcontent.aspx?tId=194210","大众朗逸变速箱挡位灯闪烁")</f>
        <v>大众朗逸变速箱挡位灯闪烁</v>
      </c>
      <c r="C6959" s="2" t="s">
        <v>13</v>
      </c>
      <c r="D6959" s="2" t="s">
        <v>12</v>
      </c>
      <c r="E6959" s="2" t="s">
        <v>66</v>
      </c>
      <c r="F6959" s="2" t="str">
        <f>HYPERLINK("http://bbs.12365auto.com/postcontent.aspx?tId=194210","http://bbs.12365auto.com/postcontent.aspx?tId=194210")</f>
        <v>http://bbs.12365auto.com/postcontent.aspx?tId=194210</v>
      </c>
      <c r="G6959" s="2"/>
      <c r="H6959" s="2" t="s">
        <v>9494</v>
      </c>
      <c r="I6959" s="2" t="s">
        <v>15</v>
      </c>
      <c r="J6959" s="2" t="s">
        <v>3934</v>
      </c>
      <c r="K6959" s="2" t="s">
        <v>9495</v>
      </c>
      <c r="L6959" s="2">
        <f t="shared" si="108"/>
        <v>126</v>
      </c>
    </row>
    <row r="6960" spans="1:12" ht="25" customHeight="1">
      <c r="A6960" s="2" t="s">
        <v>12</v>
      </c>
      <c r="B6960" s="2" t="str">
        <f>HYPERLINK("http://bbs.12365auto.com/postcontent.aspx?tId=194209","CS10转向机故障导致异响")</f>
        <v>CS10转向机故障导致异响</v>
      </c>
      <c r="C6960" s="2" t="s">
        <v>13</v>
      </c>
      <c r="D6960" s="2" t="s">
        <v>12</v>
      </c>
      <c r="E6960" s="2" t="s">
        <v>66</v>
      </c>
      <c r="F6960" s="2" t="str">
        <f>HYPERLINK("http://bbs.12365auto.com/postcontent.aspx?tId=194209","http://bbs.12365auto.com/postcontent.aspx?tId=194209")</f>
        <v>http://bbs.12365auto.com/postcontent.aspx?tId=194209</v>
      </c>
      <c r="G6960" s="2"/>
      <c r="H6960" s="2" t="s">
        <v>9496</v>
      </c>
      <c r="I6960" s="2" t="s">
        <v>15</v>
      </c>
      <c r="J6960" s="2" t="s">
        <v>3959</v>
      </c>
      <c r="K6960" s="2" t="s">
        <v>9495</v>
      </c>
      <c r="L6960" s="2">
        <f t="shared" si="108"/>
        <v>53</v>
      </c>
    </row>
    <row r="6961" spans="1:12" ht="25" customHeight="1">
      <c r="A6961" s="2" t="s">
        <v>12</v>
      </c>
      <c r="B6961" s="2" t="str">
        <f>HYPERLINK("http://bbs.12365auto.com/postcontent.aspx?tID=194209","CS10转向机故障导致异响")</f>
        <v>CS10转向机故障导致异响</v>
      </c>
      <c r="C6961" s="2" t="s">
        <v>13</v>
      </c>
      <c r="D6961" s="2" t="s">
        <v>12</v>
      </c>
      <c r="E6961" s="2" t="s">
        <v>67</v>
      </c>
      <c r="F6961" s="2" t="str">
        <f>HYPERLINK("http://bbs.12365auto.com/postcontent.aspx?tID=194209","http://bbs.12365auto.com/postcontent.aspx?tID=194209")</f>
        <v>http://bbs.12365auto.com/postcontent.aspx?tID=194209</v>
      </c>
      <c r="G6961" s="2"/>
      <c r="H6961" s="2" t="s">
        <v>9497</v>
      </c>
      <c r="I6961" s="2" t="s">
        <v>15</v>
      </c>
      <c r="J6961" s="2" t="s">
        <v>3959</v>
      </c>
      <c r="K6961" s="2" t="s">
        <v>9495</v>
      </c>
      <c r="L6961" s="2">
        <f t="shared" si="108"/>
        <v>66</v>
      </c>
    </row>
    <row r="6962" spans="1:12" ht="25" customHeight="1">
      <c r="A6962" s="2" t="s">
        <v>12</v>
      </c>
      <c r="B6962" s="2" t="str">
        <f>HYPERLINK("http://bbs.12365auto.com/postcontent.aspx?tID=194210","大众朗逸变速箱挡位灯闪烁")</f>
        <v>大众朗逸变速箱挡位灯闪烁</v>
      </c>
      <c r="C6962" s="2" t="s">
        <v>13</v>
      </c>
      <c r="D6962" s="2" t="s">
        <v>12</v>
      </c>
      <c r="E6962" s="2" t="s">
        <v>67</v>
      </c>
      <c r="F6962" s="2" t="str">
        <f>HYPERLINK("http://bbs.12365auto.com/postcontent.aspx?tID=194210","http://bbs.12365auto.com/postcontent.aspx?tID=194210")</f>
        <v>http://bbs.12365auto.com/postcontent.aspx?tID=194210</v>
      </c>
      <c r="G6962" s="2"/>
      <c r="H6962" s="2" t="s">
        <v>9498</v>
      </c>
      <c r="I6962" s="2" t="s">
        <v>15</v>
      </c>
      <c r="J6962" s="2" t="s">
        <v>3934</v>
      </c>
      <c r="K6962" s="2" t="s">
        <v>9495</v>
      </c>
      <c r="L6962" s="2">
        <f t="shared" si="108"/>
        <v>138</v>
      </c>
    </row>
    <row r="6963" spans="1:12" ht="25" customHeight="1">
      <c r="A6963" s="2" t="s">
        <v>12</v>
      </c>
      <c r="B6963" s="2" t="str">
        <f>HYPERLINK("http://m.12365auto.com/bbs/postcontent.aspx?tID=194210","大众朗逸变速箱挡位灯闪烁")</f>
        <v>大众朗逸变速箱挡位灯闪烁</v>
      </c>
      <c r="C6963" s="2" t="s">
        <v>13</v>
      </c>
      <c r="D6963" s="2" t="s">
        <v>23</v>
      </c>
      <c r="E6963" s="2"/>
      <c r="F6963" s="2" t="str">
        <f>HYPERLINK("http://m.12365auto.com/bbs/postcontent.aspx?tID=194210","http://m.12365auto.com/bbs/postcontent.aspx?tID=194210")</f>
        <v>http://m.12365auto.com/bbs/postcontent.aspx?tID=194210</v>
      </c>
      <c r="G6963" s="2"/>
      <c r="H6963" s="2" t="s">
        <v>9494</v>
      </c>
      <c r="I6963" s="2" t="s">
        <v>15</v>
      </c>
      <c r="J6963" s="2" t="s">
        <v>3934</v>
      </c>
      <c r="K6963" s="2" t="s">
        <v>9495</v>
      </c>
      <c r="L6963" s="2">
        <f t="shared" si="108"/>
        <v>126</v>
      </c>
    </row>
    <row r="6964" spans="1:12" ht="25" customHeight="1">
      <c r="A6964" s="2" t="s">
        <v>12</v>
      </c>
      <c r="B6964" s="2" t="str">
        <f>HYPERLINK("http://m.12365auto.com/bbs/postcontent.aspx?tID=194209","CS10转向机故障导致异响")</f>
        <v>CS10转向机故障导致异响</v>
      </c>
      <c r="C6964" s="2" t="s">
        <v>13</v>
      </c>
      <c r="D6964" s="2" t="s">
        <v>23</v>
      </c>
      <c r="E6964" s="2"/>
      <c r="F6964" s="2" t="str">
        <f>HYPERLINK("http://m.12365auto.com/bbs/postcontent.aspx?tID=194209","http://m.12365auto.com/bbs/postcontent.aspx?tID=194209")</f>
        <v>http://m.12365auto.com/bbs/postcontent.aspx?tID=194209</v>
      </c>
      <c r="G6964" s="2"/>
      <c r="H6964" s="2" t="s">
        <v>9496</v>
      </c>
      <c r="I6964" s="2" t="s">
        <v>15</v>
      </c>
      <c r="J6964" s="2" t="s">
        <v>3959</v>
      </c>
      <c r="K6964" s="2" t="s">
        <v>9495</v>
      </c>
      <c r="L6964" s="2">
        <f t="shared" si="108"/>
        <v>53</v>
      </c>
    </row>
    <row r="6965" spans="1:12" ht="25" customHeight="1">
      <c r="A6965" s="2" t="s">
        <v>12</v>
      </c>
      <c r="B6965" s="2" t="str">
        <f>HYPERLINK("http://bbs.12365auto.com/postcontent.aspx?tID=194208","帝豪GS车身多处生锈")</f>
        <v>帝豪GS车身多处生锈</v>
      </c>
      <c r="C6965" s="2" t="s">
        <v>13</v>
      </c>
      <c r="D6965" s="2" t="s">
        <v>12</v>
      </c>
      <c r="E6965" s="2" t="s">
        <v>67</v>
      </c>
      <c r="F6965" s="2" t="str">
        <f>HYPERLINK("http://bbs.12365auto.com/postcontent.aspx?tID=194208","http://bbs.12365auto.com/postcontent.aspx?tID=194208")</f>
        <v>http://bbs.12365auto.com/postcontent.aspx?tID=194208</v>
      </c>
      <c r="G6965" s="2"/>
      <c r="H6965" s="2" t="s">
        <v>9499</v>
      </c>
      <c r="I6965" s="2" t="s">
        <v>15</v>
      </c>
      <c r="J6965" s="2" t="s">
        <v>3963</v>
      </c>
      <c r="K6965" s="2" t="s">
        <v>9500</v>
      </c>
      <c r="L6965" s="2">
        <f t="shared" si="108"/>
        <v>73</v>
      </c>
    </row>
    <row r="6966" spans="1:12" ht="25" customHeight="1">
      <c r="A6966" s="2" t="s">
        <v>12</v>
      </c>
      <c r="B6966" s="2" t="str">
        <f>HYPERLINK("http://bbs.12365auto.com/postcontent.aspx?tID=194205","哈弗F5变速箱无法正常提速")</f>
        <v>哈弗F5变速箱无法正常提速</v>
      </c>
      <c r="C6966" s="2" t="s">
        <v>13</v>
      </c>
      <c r="D6966" s="2" t="s">
        <v>12</v>
      </c>
      <c r="E6966" s="2" t="s">
        <v>67</v>
      </c>
      <c r="F6966" s="2" t="str">
        <f>HYPERLINK("http://bbs.12365auto.com/postcontent.aspx?tID=194205","http://bbs.12365auto.com/postcontent.aspx?tID=194205")</f>
        <v>http://bbs.12365auto.com/postcontent.aspx?tID=194205</v>
      </c>
      <c r="G6966" s="2"/>
      <c r="H6966" s="2" t="s">
        <v>9501</v>
      </c>
      <c r="I6966" s="2" t="s">
        <v>15</v>
      </c>
      <c r="J6966" s="2" t="s">
        <v>6153</v>
      </c>
      <c r="K6966" s="2" t="s">
        <v>9500</v>
      </c>
      <c r="L6966" s="2">
        <f t="shared" si="108"/>
        <v>39</v>
      </c>
    </row>
    <row r="6967" spans="1:12" ht="25" customHeight="1">
      <c r="A6967" s="2" t="s">
        <v>12</v>
      </c>
      <c r="B6967" s="2" t="str">
        <f>HYPERLINK("http://bbs.12365auto.com/postcontent.aspx?tID=194206","奇瑞艾瑞泽5发动机爆震有异响")</f>
        <v>奇瑞艾瑞泽5发动机爆震有异响</v>
      </c>
      <c r="C6967" s="2" t="s">
        <v>13</v>
      </c>
      <c r="D6967" s="2" t="s">
        <v>12</v>
      </c>
      <c r="E6967" s="2" t="s">
        <v>67</v>
      </c>
      <c r="F6967" s="2" t="str">
        <f>HYPERLINK("http://bbs.12365auto.com/postcontent.aspx?tID=194206","http://bbs.12365auto.com/postcontent.aspx?tID=194206")</f>
        <v>http://bbs.12365auto.com/postcontent.aspx?tID=194206</v>
      </c>
      <c r="G6967" s="2"/>
      <c r="H6967" s="2" t="s">
        <v>9502</v>
      </c>
      <c r="I6967" s="2" t="s">
        <v>15</v>
      </c>
      <c r="J6967" s="2" t="s">
        <v>3966</v>
      </c>
      <c r="K6967" s="2" t="s">
        <v>9500</v>
      </c>
      <c r="L6967" s="2">
        <f t="shared" si="108"/>
        <v>117</v>
      </c>
    </row>
    <row r="6968" spans="1:12" ht="25" customHeight="1">
      <c r="A6968" s="2" t="s">
        <v>12</v>
      </c>
      <c r="B6968" s="2" t="str">
        <f>HYPERLINK("http://bbs.12365auto.com/postcontent.aspx?tID=194207","一汽吉林森雅R9电瓶多次亏电")</f>
        <v>一汽吉林森雅R9电瓶多次亏电</v>
      </c>
      <c r="C6968" s="2" t="s">
        <v>13</v>
      </c>
      <c r="D6968" s="2" t="s">
        <v>12</v>
      </c>
      <c r="E6968" s="2" t="s">
        <v>67</v>
      </c>
      <c r="F6968" s="2" t="str">
        <f>HYPERLINK("http://bbs.12365auto.com/postcontent.aspx?tID=194207","http://bbs.12365auto.com/postcontent.aspx?tID=194207")</f>
        <v>http://bbs.12365auto.com/postcontent.aspx?tID=194207</v>
      </c>
      <c r="G6968" s="2"/>
      <c r="H6968" s="2" t="s">
        <v>9503</v>
      </c>
      <c r="I6968" s="2" t="s">
        <v>15</v>
      </c>
      <c r="J6968" s="2" t="s">
        <v>3942</v>
      </c>
      <c r="K6968" s="2" t="s">
        <v>9500</v>
      </c>
      <c r="L6968" s="2">
        <f t="shared" si="108"/>
        <v>80</v>
      </c>
    </row>
    <row r="6969" spans="1:12" ht="25" customHeight="1">
      <c r="A6969" s="2" t="s">
        <v>12</v>
      </c>
      <c r="B6969" s="2" t="str">
        <f>HYPERLINK("http://bbs.12365auto.com/postcontent.aspx?tId=194208","帝豪GS车身多处生锈")</f>
        <v>帝豪GS车身多处生锈</v>
      </c>
      <c r="C6969" s="2" t="s">
        <v>13</v>
      </c>
      <c r="D6969" s="2" t="s">
        <v>12</v>
      </c>
      <c r="E6969" s="2" t="s">
        <v>66</v>
      </c>
      <c r="F6969" s="2" t="str">
        <f>HYPERLINK("http://bbs.12365auto.com/postcontent.aspx?tId=194208","http://bbs.12365auto.com/postcontent.aspx?tId=194208")</f>
        <v>http://bbs.12365auto.com/postcontent.aspx?tId=194208</v>
      </c>
      <c r="G6969" s="2"/>
      <c r="H6969" s="2" t="s">
        <v>9504</v>
      </c>
      <c r="I6969" s="2" t="s">
        <v>15</v>
      </c>
      <c r="J6969" s="2" t="s">
        <v>3963</v>
      </c>
      <c r="K6969" s="2" t="s">
        <v>9500</v>
      </c>
      <c r="L6969" s="2">
        <f t="shared" si="108"/>
        <v>63</v>
      </c>
    </row>
    <row r="6970" spans="1:12" ht="25" customHeight="1">
      <c r="A6970" s="2" t="s">
        <v>12</v>
      </c>
      <c r="B6970" s="2" t="str">
        <f>HYPERLINK("http://bbs.12365auto.com/postcontent.aspx?tId=194206","奇瑞艾瑞泽5发动机爆震有异响")</f>
        <v>奇瑞艾瑞泽5发动机爆震有异响</v>
      </c>
      <c r="C6970" s="2" t="s">
        <v>13</v>
      </c>
      <c r="D6970" s="2" t="s">
        <v>12</v>
      </c>
      <c r="E6970" s="2" t="s">
        <v>66</v>
      </c>
      <c r="F6970" s="2" t="str">
        <f>HYPERLINK("http://bbs.12365auto.com/postcontent.aspx?tId=194206","http://bbs.12365auto.com/postcontent.aspx?tId=194206")</f>
        <v>http://bbs.12365auto.com/postcontent.aspx?tId=194206</v>
      </c>
      <c r="G6970" s="2"/>
      <c r="H6970" s="2" t="s">
        <v>9505</v>
      </c>
      <c r="I6970" s="2" t="s">
        <v>15</v>
      </c>
      <c r="J6970" s="2" t="s">
        <v>3966</v>
      </c>
      <c r="K6970" s="2" t="s">
        <v>9500</v>
      </c>
      <c r="L6970" s="2">
        <f t="shared" si="108"/>
        <v>103</v>
      </c>
    </row>
    <row r="6971" spans="1:12" ht="25" customHeight="1">
      <c r="A6971" s="2" t="s">
        <v>12</v>
      </c>
      <c r="B6971" s="2" t="str">
        <f>HYPERLINK("http://bbs.12365auto.com/postcontent.aspx?tId=194207","一汽吉林森雅R9电瓶多次亏电")</f>
        <v>一汽吉林森雅R9电瓶多次亏电</v>
      </c>
      <c r="C6971" s="2" t="s">
        <v>13</v>
      </c>
      <c r="D6971" s="2" t="s">
        <v>12</v>
      </c>
      <c r="E6971" s="2" t="s">
        <v>66</v>
      </c>
      <c r="F6971" s="2" t="str">
        <f>HYPERLINK("http://bbs.12365auto.com/postcontent.aspx?tId=194207","http://bbs.12365auto.com/postcontent.aspx?tId=194207")</f>
        <v>http://bbs.12365auto.com/postcontent.aspx?tId=194207</v>
      </c>
      <c r="G6971" s="2"/>
      <c r="H6971" s="2" t="s">
        <v>9506</v>
      </c>
      <c r="I6971" s="2" t="s">
        <v>15</v>
      </c>
      <c r="J6971" s="2" t="s">
        <v>3942</v>
      </c>
      <c r="K6971" s="2" t="s">
        <v>9500</v>
      </c>
      <c r="L6971" s="2">
        <f t="shared" si="108"/>
        <v>66</v>
      </c>
    </row>
    <row r="6972" spans="1:12" ht="25" customHeight="1">
      <c r="A6972" s="2" t="s">
        <v>12</v>
      </c>
      <c r="B6972" s="2" t="str">
        <f>HYPERLINK("http://bbs.12365auto.com/postcontent.aspx?tId=194205","哈弗F5变速箱无法正常提速")</f>
        <v>哈弗F5变速箱无法正常提速</v>
      </c>
      <c r="C6972" s="2" t="s">
        <v>13</v>
      </c>
      <c r="D6972" s="2" t="s">
        <v>12</v>
      </c>
      <c r="E6972" s="2" t="s">
        <v>66</v>
      </c>
      <c r="F6972" s="2" t="str">
        <f>HYPERLINK("http://bbs.12365auto.com/postcontent.aspx?tId=194205","http://bbs.12365auto.com/postcontent.aspx?tId=194205")</f>
        <v>http://bbs.12365auto.com/postcontent.aspx?tId=194205</v>
      </c>
      <c r="G6972" s="2"/>
      <c r="H6972" s="2" t="s">
        <v>9507</v>
      </c>
      <c r="I6972" s="2" t="s">
        <v>15</v>
      </c>
      <c r="J6972" s="2" t="s">
        <v>6153</v>
      </c>
      <c r="K6972" s="2" t="s">
        <v>9500</v>
      </c>
      <c r="L6972" s="2">
        <f t="shared" si="108"/>
        <v>26</v>
      </c>
    </row>
    <row r="6973" spans="1:12" ht="25" customHeight="1">
      <c r="A6973" s="2" t="s">
        <v>12</v>
      </c>
      <c r="B6973" s="2" t="str">
        <f>HYPERLINK("http://m.12365auto.com/bbs/postcontent.aspx?tID=194208","帝豪GS车身多处生锈")</f>
        <v>帝豪GS车身多处生锈</v>
      </c>
      <c r="C6973" s="2" t="s">
        <v>13</v>
      </c>
      <c r="D6973" s="2" t="s">
        <v>23</v>
      </c>
      <c r="E6973" s="2"/>
      <c r="F6973" s="2" t="str">
        <f>HYPERLINK("http://m.12365auto.com/bbs/postcontent.aspx?tID=194208","http://m.12365auto.com/bbs/postcontent.aspx?tID=194208")</f>
        <v>http://m.12365auto.com/bbs/postcontent.aspx?tID=194208</v>
      </c>
      <c r="G6973" s="2"/>
      <c r="H6973" s="2" t="s">
        <v>9504</v>
      </c>
      <c r="I6973" s="2" t="s">
        <v>15</v>
      </c>
      <c r="J6973" s="2" t="s">
        <v>3963</v>
      </c>
      <c r="K6973" s="2" t="s">
        <v>9500</v>
      </c>
      <c r="L6973" s="2">
        <f t="shared" si="108"/>
        <v>63</v>
      </c>
    </row>
    <row r="6974" spans="1:12" ht="25" customHeight="1">
      <c r="A6974" s="2" t="s">
        <v>12</v>
      </c>
      <c r="B6974" s="2" t="str">
        <f>HYPERLINK("http://m.12365auto.com/bbs/postcontent.aspx?tID=194207","一汽吉林森雅R9电瓶多次亏电")</f>
        <v>一汽吉林森雅R9电瓶多次亏电</v>
      </c>
      <c r="C6974" s="2" t="s">
        <v>13</v>
      </c>
      <c r="D6974" s="2" t="s">
        <v>23</v>
      </c>
      <c r="E6974" s="2"/>
      <c r="F6974" s="2" t="str">
        <f>HYPERLINK("http://m.12365auto.com/bbs/postcontent.aspx?tID=194207","http://m.12365auto.com/bbs/postcontent.aspx?tID=194207")</f>
        <v>http://m.12365auto.com/bbs/postcontent.aspx?tID=194207</v>
      </c>
      <c r="G6974" s="2"/>
      <c r="H6974" s="2" t="s">
        <v>9506</v>
      </c>
      <c r="I6974" s="2" t="s">
        <v>15</v>
      </c>
      <c r="J6974" s="2" t="s">
        <v>3942</v>
      </c>
      <c r="K6974" s="2" t="s">
        <v>9500</v>
      </c>
      <c r="L6974" s="2">
        <f t="shared" si="108"/>
        <v>66</v>
      </c>
    </row>
    <row r="6975" spans="1:12" ht="25" customHeight="1">
      <c r="A6975" s="2" t="s">
        <v>12</v>
      </c>
      <c r="B6975" s="2" t="str">
        <f>HYPERLINK("http://m.12365auto.com/bbs/postcontent.aspx?tID=194206","奇瑞艾瑞泽5发动机爆震有异响")</f>
        <v>奇瑞艾瑞泽5发动机爆震有异响</v>
      </c>
      <c r="C6975" s="2" t="s">
        <v>13</v>
      </c>
      <c r="D6975" s="2" t="s">
        <v>23</v>
      </c>
      <c r="E6975" s="2"/>
      <c r="F6975" s="2" t="str">
        <f>HYPERLINK("http://m.12365auto.com/bbs/postcontent.aspx?tID=194206","http://m.12365auto.com/bbs/postcontent.aspx?tID=194206")</f>
        <v>http://m.12365auto.com/bbs/postcontent.aspx?tID=194206</v>
      </c>
      <c r="G6975" s="2"/>
      <c r="H6975" s="2" t="s">
        <v>9505</v>
      </c>
      <c r="I6975" s="2" t="s">
        <v>15</v>
      </c>
      <c r="J6975" s="2" t="s">
        <v>3966</v>
      </c>
      <c r="K6975" s="2" t="s">
        <v>9500</v>
      </c>
      <c r="L6975" s="2">
        <f t="shared" si="108"/>
        <v>103</v>
      </c>
    </row>
    <row r="6976" spans="1:12" ht="25" customHeight="1">
      <c r="A6976" s="2" t="s">
        <v>12</v>
      </c>
      <c r="B6976" s="2" t="str">
        <f>HYPERLINK("http://m.12365auto.com/bbs/postcontent.aspx?tID=194205","哈弗F5变速箱无法正常提速")</f>
        <v>哈弗F5变速箱无法正常提速</v>
      </c>
      <c r="C6976" s="2" t="s">
        <v>13</v>
      </c>
      <c r="D6976" s="2" t="s">
        <v>23</v>
      </c>
      <c r="E6976" s="2"/>
      <c r="F6976" s="2" t="str">
        <f>HYPERLINK("http://m.12365auto.com/bbs/postcontent.aspx?tID=194205","http://m.12365auto.com/bbs/postcontent.aspx?tID=194205")</f>
        <v>http://m.12365auto.com/bbs/postcontent.aspx?tID=194205</v>
      </c>
      <c r="G6976" s="2"/>
      <c r="H6976" s="2" t="s">
        <v>9507</v>
      </c>
      <c r="I6976" s="2" t="s">
        <v>15</v>
      </c>
      <c r="J6976" s="2" t="s">
        <v>6153</v>
      </c>
      <c r="K6976" s="2" t="s">
        <v>9500</v>
      </c>
      <c r="L6976" s="2">
        <f t="shared" si="108"/>
        <v>26</v>
      </c>
    </row>
    <row r="6977" spans="1:12" ht="25" customHeight="1">
      <c r="A6977" s="2" t="s">
        <v>12</v>
      </c>
      <c r="B6977" s="2" t="str">
        <f>HYPERLINK("http://bbs.12365auto.com/postcontent.aspx?tID=194202","途达停放三天电瓶亏电可以去投诉吗？")</f>
        <v>途达停放三天电瓶亏电可以去投诉吗？</v>
      </c>
      <c r="C6977" s="2" t="s">
        <v>13</v>
      </c>
      <c r="D6977" s="2" t="s">
        <v>12</v>
      </c>
      <c r="E6977" s="2" t="s">
        <v>67</v>
      </c>
      <c r="F6977" s="2" t="str">
        <f>HYPERLINK("http://bbs.12365auto.com/postcontent.aspx?tID=194202","http://bbs.12365auto.com/postcontent.aspx?tID=194202")</f>
        <v>http://bbs.12365auto.com/postcontent.aspx?tID=194202</v>
      </c>
      <c r="G6977" s="2"/>
      <c r="H6977" s="2" t="s">
        <v>9508</v>
      </c>
      <c r="I6977" s="2" t="s">
        <v>15</v>
      </c>
      <c r="J6977" s="2" t="s">
        <v>9509</v>
      </c>
      <c r="K6977" s="2" t="s">
        <v>9510</v>
      </c>
      <c r="L6977" s="2">
        <f t="shared" si="108"/>
        <v>150</v>
      </c>
    </row>
    <row r="6978" spans="1:12" ht="25" customHeight="1">
      <c r="A6978" s="2" t="s">
        <v>12</v>
      </c>
      <c r="B6978" s="2" t="str">
        <f>HYPERLINK("http://bbs.12365auto.com/postcontent.aspx?tID=194203","奇瑞艾瑞泽GX车身A柱及顶棚下雨漏水")</f>
        <v>奇瑞艾瑞泽GX车身A柱及顶棚下雨漏水</v>
      </c>
      <c r="C6978" s="2" t="s">
        <v>13</v>
      </c>
      <c r="D6978" s="2" t="s">
        <v>12</v>
      </c>
      <c r="E6978" s="2" t="s">
        <v>67</v>
      </c>
      <c r="F6978" s="2" t="str">
        <f>HYPERLINK("http://bbs.12365auto.com/postcontent.aspx?tID=194203","http://bbs.12365auto.com/postcontent.aspx?tID=194203")</f>
        <v>http://bbs.12365auto.com/postcontent.aspx?tID=194203</v>
      </c>
      <c r="G6978" s="2"/>
      <c r="H6978" s="2" t="s">
        <v>9511</v>
      </c>
      <c r="I6978" s="2" t="s">
        <v>15</v>
      </c>
      <c r="J6978" s="2" t="s">
        <v>6161</v>
      </c>
      <c r="K6978" s="2" t="s">
        <v>9510</v>
      </c>
      <c r="L6978" s="2">
        <f t="shared" si="108"/>
        <v>44</v>
      </c>
    </row>
    <row r="6979" spans="1:12" ht="25" customHeight="1">
      <c r="A6979" s="2" t="s">
        <v>12</v>
      </c>
      <c r="B6979" s="2" t="str">
        <f>HYPERLINK("http://bbs.12365auto.com/postcontent.aspx?tId=194203","奇瑞艾瑞泽GX车身A柱及顶棚下雨漏水")</f>
        <v>奇瑞艾瑞泽GX车身A柱及顶棚下雨漏水</v>
      </c>
      <c r="C6979" s="2" t="s">
        <v>13</v>
      </c>
      <c r="D6979" s="2" t="s">
        <v>12</v>
      </c>
      <c r="E6979" s="2" t="s">
        <v>66</v>
      </c>
      <c r="F6979" s="2" t="str">
        <f>HYPERLINK("http://bbs.12365auto.com/postcontent.aspx?tId=194203","http://bbs.12365auto.com/postcontent.aspx?tId=194203")</f>
        <v>http://bbs.12365auto.com/postcontent.aspx?tId=194203</v>
      </c>
      <c r="G6979" s="2"/>
      <c r="H6979" s="2" t="s">
        <v>9512</v>
      </c>
      <c r="I6979" s="2" t="s">
        <v>15</v>
      </c>
      <c r="J6979" s="2" t="s">
        <v>6161</v>
      </c>
      <c r="K6979" s="2" t="s">
        <v>9510</v>
      </c>
      <c r="L6979" s="2">
        <f t="shared" ref="L6979:L7042" si="109">LEN(H6979)</f>
        <v>26</v>
      </c>
    </row>
    <row r="6980" spans="1:12" ht="25" customHeight="1">
      <c r="A6980" s="2" t="s">
        <v>12</v>
      </c>
      <c r="B6980" s="2" t="str">
        <f>HYPERLINK("http://bbs.12365auto.com/postcontent.aspx?tId=194202","途达停放三天电瓶亏电可以去投诉吗？")</f>
        <v>途达停放三天电瓶亏电可以去投诉吗？</v>
      </c>
      <c r="C6980" s="2" t="s">
        <v>13</v>
      </c>
      <c r="D6980" s="2" t="s">
        <v>12</v>
      </c>
      <c r="E6980" s="2" t="s">
        <v>66</v>
      </c>
      <c r="F6980" s="2" t="str">
        <f>HYPERLINK("http://bbs.12365auto.com/postcontent.aspx?tId=194202","http://bbs.12365auto.com/postcontent.aspx?tId=194202")</f>
        <v>http://bbs.12365auto.com/postcontent.aspx?tId=194202</v>
      </c>
      <c r="G6980" s="2"/>
      <c r="H6980" s="2" t="s">
        <v>9513</v>
      </c>
      <c r="I6980" s="2" t="s">
        <v>15</v>
      </c>
      <c r="J6980" s="2" t="s">
        <v>9509</v>
      </c>
      <c r="K6980" s="2" t="s">
        <v>9510</v>
      </c>
      <c r="L6980" s="2">
        <f t="shared" si="109"/>
        <v>143</v>
      </c>
    </row>
    <row r="6981" spans="1:12" ht="25" customHeight="1">
      <c r="A6981" s="2" t="s">
        <v>12</v>
      </c>
      <c r="B6981" s="2" t="str">
        <f>HYPERLINK("http://m.12365auto.com/bbs/postcontent.aspx?tID=194203","奇瑞艾瑞泽GX车身A柱及顶棚下雨漏水")</f>
        <v>奇瑞艾瑞泽GX车身A柱及顶棚下雨漏水</v>
      </c>
      <c r="C6981" s="2" t="s">
        <v>13</v>
      </c>
      <c r="D6981" s="2" t="s">
        <v>23</v>
      </c>
      <c r="E6981" s="2"/>
      <c r="F6981" s="2" t="str">
        <f>HYPERLINK("http://m.12365auto.com/bbs/postcontent.aspx?tID=194203","http://m.12365auto.com/bbs/postcontent.aspx?tID=194203")</f>
        <v>http://m.12365auto.com/bbs/postcontent.aspx?tID=194203</v>
      </c>
      <c r="G6981" s="2"/>
      <c r="H6981" s="2" t="s">
        <v>9512</v>
      </c>
      <c r="I6981" s="2" t="s">
        <v>15</v>
      </c>
      <c r="J6981" s="2" t="s">
        <v>6161</v>
      </c>
      <c r="K6981" s="2" t="s">
        <v>9510</v>
      </c>
      <c r="L6981" s="2">
        <f t="shared" si="109"/>
        <v>26</v>
      </c>
    </row>
    <row r="6982" spans="1:12" ht="25" customHeight="1">
      <c r="A6982" s="2" t="s">
        <v>12</v>
      </c>
      <c r="B6982" s="2" t="str">
        <f>HYPERLINK("http://m.12365auto.com/bbs/postcontent.aspx?tID=194202","途达停放三天电瓶亏电可以去投诉吗？")</f>
        <v>途达停放三天电瓶亏电可以去投诉吗？</v>
      </c>
      <c r="C6982" s="2" t="s">
        <v>13</v>
      </c>
      <c r="D6982" s="2" t="s">
        <v>23</v>
      </c>
      <c r="E6982" s="2"/>
      <c r="F6982" s="2" t="str">
        <f>HYPERLINK("http://m.12365auto.com/bbs/postcontent.aspx?tID=194202","http://m.12365auto.com/bbs/postcontent.aspx?tID=194202")</f>
        <v>http://m.12365auto.com/bbs/postcontent.aspx?tID=194202</v>
      </c>
      <c r="G6982" s="2"/>
      <c r="H6982" s="2" t="s">
        <v>9513</v>
      </c>
      <c r="I6982" s="2" t="s">
        <v>15</v>
      </c>
      <c r="J6982" s="2" t="s">
        <v>9509</v>
      </c>
      <c r="K6982" s="2" t="s">
        <v>9510</v>
      </c>
      <c r="L6982" s="2">
        <f t="shared" si="109"/>
        <v>143</v>
      </c>
    </row>
    <row r="6983" spans="1:12" ht="25" customHeight="1">
      <c r="A6983" s="2" t="s">
        <v>12</v>
      </c>
      <c r="B6983" s="2" t="str">
        <f>HYPERLINK("http://bbs.12365auto.com/postcontent.aspx?tID=194201","吉林森雅R7发动机启动困难")</f>
        <v>吉林森雅R7发动机启动困难</v>
      </c>
      <c r="C6983" s="2" t="s">
        <v>13</v>
      </c>
      <c r="D6983" s="2" t="s">
        <v>12</v>
      </c>
      <c r="E6983" s="2" t="s">
        <v>67</v>
      </c>
      <c r="F6983" s="2" t="str">
        <f>HYPERLINK("http://bbs.12365auto.com/postcontent.aspx?tID=194201","http://bbs.12365auto.com/postcontent.aspx?tID=194201")</f>
        <v>http://bbs.12365auto.com/postcontent.aspx?tID=194201</v>
      </c>
      <c r="G6983" s="2"/>
      <c r="H6983" s="2" t="s">
        <v>9514</v>
      </c>
      <c r="I6983" s="2" t="s">
        <v>15</v>
      </c>
      <c r="J6983" s="2" t="s">
        <v>3974</v>
      </c>
      <c r="K6983" s="2" t="s">
        <v>9515</v>
      </c>
      <c r="L6983" s="2">
        <f t="shared" si="109"/>
        <v>78</v>
      </c>
    </row>
    <row r="6984" spans="1:12" ht="25" customHeight="1">
      <c r="A6984" s="2" t="s">
        <v>12</v>
      </c>
      <c r="B6984" s="2" t="str">
        <f>HYPERLINK("http://bbs.12365auto.com/postcontent.aspx?tID=194199","大众速腾副驾驶处漏水天窗关闭异常")</f>
        <v>大众速腾副驾驶处漏水天窗关闭异常</v>
      </c>
      <c r="C6984" s="2" t="s">
        <v>13</v>
      </c>
      <c r="D6984" s="2" t="s">
        <v>12</v>
      </c>
      <c r="E6984" s="2" t="s">
        <v>67</v>
      </c>
      <c r="F6984" s="2" t="str">
        <f>HYPERLINK("http://bbs.12365auto.com/postcontent.aspx?tID=194199","http://bbs.12365auto.com/postcontent.aspx?tID=194199")</f>
        <v>http://bbs.12365auto.com/postcontent.aspx?tID=194199</v>
      </c>
      <c r="G6984" s="2"/>
      <c r="H6984" s="2" t="s">
        <v>9516</v>
      </c>
      <c r="I6984" s="2" t="s">
        <v>15</v>
      </c>
      <c r="J6984" s="2" t="s">
        <v>3977</v>
      </c>
      <c r="K6984" s="2" t="s">
        <v>9515</v>
      </c>
      <c r="L6984" s="2">
        <f t="shared" si="109"/>
        <v>92</v>
      </c>
    </row>
    <row r="6985" spans="1:12" ht="25" customHeight="1">
      <c r="A6985" s="2" t="s">
        <v>12</v>
      </c>
      <c r="B6985" s="2" t="str">
        <f>HYPERLINK("http://bbs.12365auto.com/postcontent.aspx?tID=194200","上汽名爵6两侧大灯下沉缝隙不均匀")</f>
        <v>上汽名爵6两侧大灯下沉缝隙不均匀</v>
      </c>
      <c r="C6985" s="2" t="s">
        <v>13</v>
      </c>
      <c r="D6985" s="2" t="s">
        <v>12</v>
      </c>
      <c r="E6985" s="2" t="s">
        <v>67</v>
      </c>
      <c r="F6985" s="2" t="str">
        <f>HYPERLINK("http://bbs.12365auto.com/postcontent.aspx?tID=194200","http://bbs.12365auto.com/postcontent.aspx?tID=194200")</f>
        <v>http://bbs.12365auto.com/postcontent.aspx?tID=194200</v>
      </c>
      <c r="G6985" s="2"/>
      <c r="H6985" s="2" t="s">
        <v>9517</v>
      </c>
      <c r="I6985" s="2" t="s">
        <v>15</v>
      </c>
      <c r="J6985" s="2" t="s">
        <v>6159</v>
      </c>
      <c r="K6985" s="2" t="s">
        <v>9515</v>
      </c>
      <c r="L6985" s="2">
        <f t="shared" si="109"/>
        <v>41</v>
      </c>
    </row>
    <row r="6986" spans="1:12" ht="25" customHeight="1">
      <c r="A6986" s="2" t="s">
        <v>12</v>
      </c>
      <c r="B6986" s="2" t="str">
        <f>HYPERLINK("http://bbs.12365auto.com/postcontent.aspx?tId=194201","吉林森雅R7发动机启动困难")</f>
        <v>吉林森雅R7发动机启动困难</v>
      </c>
      <c r="C6986" s="2" t="s">
        <v>13</v>
      </c>
      <c r="D6986" s="2" t="s">
        <v>12</v>
      </c>
      <c r="E6986" s="2" t="s">
        <v>66</v>
      </c>
      <c r="F6986" s="2" t="str">
        <f>HYPERLINK("http://bbs.12365auto.com/postcontent.aspx?tId=194201","http://bbs.12365auto.com/postcontent.aspx?tId=194201")</f>
        <v>http://bbs.12365auto.com/postcontent.aspx?tId=194201</v>
      </c>
      <c r="G6986" s="2"/>
      <c r="H6986" s="2" t="s">
        <v>9518</v>
      </c>
      <c r="I6986" s="2" t="s">
        <v>15</v>
      </c>
      <c r="J6986" s="2" t="s">
        <v>3974</v>
      </c>
      <c r="K6986" s="2" t="s">
        <v>9515</v>
      </c>
      <c r="L6986" s="2">
        <f t="shared" si="109"/>
        <v>65</v>
      </c>
    </row>
    <row r="6987" spans="1:12" ht="25" customHeight="1">
      <c r="A6987" s="2" t="s">
        <v>12</v>
      </c>
      <c r="B6987" s="2" t="str">
        <f>HYPERLINK("http://bbs.12365auto.com/postcontent.aspx?tId=194200","上汽名爵6两侧大灯下沉缝隙不均匀")</f>
        <v>上汽名爵6两侧大灯下沉缝隙不均匀</v>
      </c>
      <c r="C6987" s="2" t="s">
        <v>13</v>
      </c>
      <c r="D6987" s="2" t="s">
        <v>12</v>
      </c>
      <c r="E6987" s="2" t="s">
        <v>66</v>
      </c>
      <c r="F6987" s="2" t="str">
        <f>HYPERLINK("http://bbs.12365auto.com/postcontent.aspx?tId=194200","http://bbs.12365auto.com/postcontent.aspx?tId=194200")</f>
        <v>http://bbs.12365auto.com/postcontent.aspx?tId=194200</v>
      </c>
      <c r="G6987" s="2"/>
      <c r="H6987" s="2" t="s">
        <v>9519</v>
      </c>
      <c r="I6987" s="2" t="s">
        <v>15</v>
      </c>
      <c r="J6987" s="2" t="s">
        <v>6159</v>
      </c>
      <c r="K6987" s="2" t="s">
        <v>9515</v>
      </c>
      <c r="L6987" s="2">
        <f t="shared" si="109"/>
        <v>25</v>
      </c>
    </row>
    <row r="6988" spans="1:12" ht="25" customHeight="1">
      <c r="A6988" s="2" t="s">
        <v>12</v>
      </c>
      <c r="B6988" s="2" t="str">
        <f>HYPERLINK("http://bbs.12365auto.com/postcontent.aspx?tId=194199","大众速腾副驾驶处漏水天窗关闭异常")</f>
        <v>大众速腾副驾驶处漏水天窗关闭异常</v>
      </c>
      <c r="C6988" s="2" t="s">
        <v>13</v>
      </c>
      <c r="D6988" s="2" t="s">
        <v>12</v>
      </c>
      <c r="E6988" s="2" t="s">
        <v>66</v>
      </c>
      <c r="F6988" s="2" t="str">
        <f>HYPERLINK("http://bbs.12365auto.com/postcontent.aspx?tId=194199","http://bbs.12365auto.com/postcontent.aspx?tId=194199")</f>
        <v>http://bbs.12365auto.com/postcontent.aspx?tId=194199</v>
      </c>
      <c r="G6988" s="2"/>
      <c r="H6988" s="2" t="s">
        <v>9520</v>
      </c>
      <c r="I6988" s="2" t="s">
        <v>15</v>
      </c>
      <c r="J6988" s="2" t="s">
        <v>3977</v>
      </c>
      <c r="K6988" s="2" t="s">
        <v>9515</v>
      </c>
      <c r="L6988" s="2">
        <f t="shared" si="109"/>
        <v>76</v>
      </c>
    </row>
    <row r="6989" spans="1:12" ht="25" customHeight="1">
      <c r="A6989" s="2" t="s">
        <v>12</v>
      </c>
      <c r="B6989" s="2" t="str">
        <f>HYPERLINK("http://m.12365auto.com/bbs/postcontent.aspx?tID=194199","大众速腾副驾驶处漏水天窗关闭异常")</f>
        <v>大众速腾副驾驶处漏水天窗关闭异常</v>
      </c>
      <c r="C6989" s="2" t="s">
        <v>13</v>
      </c>
      <c r="D6989" s="2" t="s">
        <v>23</v>
      </c>
      <c r="E6989" s="2"/>
      <c r="F6989" s="2" t="str">
        <f>HYPERLINK("http://m.12365auto.com/bbs/postcontent.aspx?tID=194199","http://m.12365auto.com/bbs/postcontent.aspx?tID=194199")</f>
        <v>http://m.12365auto.com/bbs/postcontent.aspx?tID=194199</v>
      </c>
      <c r="G6989" s="2"/>
      <c r="H6989" s="2" t="s">
        <v>9520</v>
      </c>
      <c r="I6989" s="2" t="s">
        <v>15</v>
      </c>
      <c r="J6989" s="2" t="s">
        <v>3977</v>
      </c>
      <c r="K6989" s="2" t="s">
        <v>9515</v>
      </c>
      <c r="L6989" s="2">
        <f t="shared" si="109"/>
        <v>76</v>
      </c>
    </row>
    <row r="6990" spans="1:12" ht="25" customHeight="1">
      <c r="A6990" s="2" t="s">
        <v>12</v>
      </c>
      <c r="B6990" s="2" t="str">
        <f>HYPERLINK("http://m.12365auto.com/bbs/postcontent.aspx?tID=194200","上汽名爵6两侧大灯下沉缝隙不均匀")</f>
        <v>上汽名爵6两侧大灯下沉缝隙不均匀</v>
      </c>
      <c r="C6990" s="2" t="s">
        <v>13</v>
      </c>
      <c r="D6990" s="2" t="s">
        <v>23</v>
      </c>
      <c r="E6990" s="2"/>
      <c r="F6990" s="2" t="str">
        <f>HYPERLINK("http://m.12365auto.com/bbs/postcontent.aspx?tID=194200","http://m.12365auto.com/bbs/postcontent.aspx?tID=194200")</f>
        <v>http://m.12365auto.com/bbs/postcontent.aspx?tID=194200</v>
      </c>
      <c r="G6990" s="2"/>
      <c r="H6990" s="2" t="s">
        <v>9519</v>
      </c>
      <c r="I6990" s="2" t="s">
        <v>15</v>
      </c>
      <c r="J6990" s="2" t="s">
        <v>6159</v>
      </c>
      <c r="K6990" s="2" t="s">
        <v>9515</v>
      </c>
      <c r="L6990" s="2">
        <f t="shared" si="109"/>
        <v>25</v>
      </c>
    </row>
    <row r="6991" spans="1:12" ht="25" customHeight="1">
      <c r="A6991" s="2" t="s">
        <v>12</v>
      </c>
      <c r="B6991" s="2" t="str">
        <f>HYPERLINK("http://m.12365auto.com/bbs/postcontent.aspx?tID=194201","吉林森雅R7发动机启动困难")</f>
        <v>吉林森雅R7发动机启动困难</v>
      </c>
      <c r="C6991" s="2" t="s">
        <v>13</v>
      </c>
      <c r="D6991" s="2" t="s">
        <v>23</v>
      </c>
      <c r="E6991" s="2"/>
      <c r="F6991" s="2" t="str">
        <f>HYPERLINK("http://m.12365auto.com/bbs/postcontent.aspx?tID=194201","http://m.12365auto.com/bbs/postcontent.aspx?tID=194201")</f>
        <v>http://m.12365auto.com/bbs/postcontent.aspx?tID=194201</v>
      </c>
      <c r="G6991" s="2"/>
      <c r="H6991" s="2" t="s">
        <v>9518</v>
      </c>
      <c r="I6991" s="2" t="s">
        <v>15</v>
      </c>
      <c r="J6991" s="2" t="s">
        <v>3974</v>
      </c>
      <c r="K6991" s="2" t="s">
        <v>9515</v>
      </c>
      <c r="L6991" s="2">
        <f t="shared" si="109"/>
        <v>65</v>
      </c>
    </row>
    <row r="6992" spans="1:12" ht="25" customHeight="1">
      <c r="A6992" s="2" t="s">
        <v>12</v>
      </c>
      <c r="B6992" s="2" t="str">
        <f>HYPERLINK("http://bbs.12365auto.com/postcontent.aspx?tID=194194","江铃驭胜S330车身生锈大灯开关故障")</f>
        <v>江铃驭胜S330车身生锈大灯开关故障</v>
      </c>
      <c r="C6992" s="2" t="s">
        <v>13</v>
      </c>
      <c r="D6992" s="2" t="s">
        <v>12</v>
      </c>
      <c r="E6992" s="2" t="s">
        <v>67</v>
      </c>
      <c r="F6992" s="2" t="str">
        <f>HYPERLINK("http://bbs.12365auto.com/postcontent.aspx?tID=194194","http://bbs.12365auto.com/postcontent.aspx?tID=194194")</f>
        <v>http://bbs.12365auto.com/postcontent.aspx?tID=194194</v>
      </c>
      <c r="G6992" s="2"/>
      <c r="H6992" s="2" t="s">
        <v>9521</v>
      </c>
      <c r="I6992" s="2" t="s">
        <v>15</v>
      </c>
      <c r="J6992" s="2" t="s">
        <v>6174</v>
      </c>
      <c r="K6992" s="2" t="s">
        <v>9522</v>
      </c>
      <c r="L6992" s="2">
        <f t="shared" si="109"/>
        <v>85</v>
      </c>
    </row>
    <row r="6993" spans="1:12" ht="25" customHeight="1">
      <c r="A6993" s="2" t="s">
        <v>12</v>
      </c>
      <c r="B6993" s="2" t="str">
        <f>HYPERLINK("http://bbs.12365auto.com/postcontent.aspx?tID=194195","速腾的问题真的是太普遍了")</f>
        <v>速腾的问题真的是太普遍了</v>
      </c>
      <c r="C6993" s="2" t="s">
        <v>13</v>
      </c>
      <c r="D6993" s="2" t="s">
        <v>12</v>
      </c>
      <c r="E6993" s="2" t="s">
        <v>67</v>
      </c>
      <c r="F6993" s="2" t="str">
        <f>HYPERLINK("http://bbs.12365auto.com/postcontent.aspx?tID=194195","http://bbs.12365auto.com/postcontent.aspx?tID=194195")</f>
        <v>http://bbs.12365auto.com/postcontent.aspx?tID=194195</v>
      </c>
      <c r="G6993" s="2"/>
      <c r="H6993" s="2" t="s">
        <v>9523</v>
      </c>
      <c r="I6993" s="2" t="s">
        <v>15</v>
      </c>
      <c r="J6993" s="2" t="s">
        <v>9524</v>
      </c>
      <c r="K6993" s="2" t="s">
        <v>9522</v>
      </c>
      <c r="L6993" s="2">
        <f t="shared" si="109"/>
        <v>75</v>
      </c>
    </row>
    <row r="6994" spans="1:12" ht="25" customHeight="1">
      <c r="A6994" s="2" t="s">
        <v>12</v>
      </c>
      <c r="B6994" s="2" t="str">
        <f>HYPERLINK("http://bbs.12365auto.com/postcontent.aspx?tID=194197","奇瑞瑞虎8水箱泄漏防冻液")</f>
        <v>奇瑞瑞虎8水箱泄漏防冻液</v>
      </c>
      <c r="C6994" s="2" t="s">
        <v>13</v>
      </c>
      <c r="D6994" s="2" t="s">
        <v>12</v>
      </c>
      <c r="E6994" s="2" t="s">
        <v>67</v>
      </c>
      <c r="F6994" s="2" t="str">
        <f>HYPERLINK("http://bbs.12365auto.com/postcontent.aspx?tID=194197","http://bbs.12365auto.com/postcontent.aspx?tID=194197")</f>
        <v>http://bbs.12365auto.com/postcontent.aspx?tID=194197</v>
      </c>
      <c r="G6994" s="2"/>
      <c r="H6994" s="2" t="s">
        <v>9525</v>
      </c>
      <c r="I6994" s="2" t="s">
        <v>15</v>
      </c>
      <c r="J6994" s="2" t="s">
        <v>6168</v>
      </c>
      <c r="K6994" s="2" t="s">
        <v>9522</v>
      </c>
      <c r="L6994" s="2">
        <f t="shared" si="109"/>
        <v>38</v>
      </c>
    </row>
    <row r="6995" spans="1:12" ht="25" customHeight="1">
      <c r="A6995" s="2" t="s">
        <v>12</v>
      </c>
      <c r="B6995" s="2" t="str">
        <f>HYPERLINK("http://bbs.12365auto.com/postcontent.aspx?tID=194196","宝骏730空调异味售后维修未解决问题")</f>
        <v>宝骏730空调异味售后维修未解决问题</v>
      </c>
      <c r="C6995" s="2" t="s">
        <v>13</v>
      </c>
      <c r="D6995" s="2" t="s">
        <v>12</v>
      </c>
      <c r="E6995" s="2" t="s">
        <v>67</v>
      </c>
      <c r="F6995" s="2" t="str">
        <f>HYPERLINK("http://bbs.12365auto.com/postcontent.aspx?tID=194196","http://bbs.12365auto.com/postcontent.aspx?tID=194196")</f>
        <v>http://bbs.12365auto.com/postcontent.aspx?tID=194196</v>
      </c>
      <c r="G6995" s="2"/>
      <c r="H6995" s="2" t="s">
        <v>9526</v>
      </c>
      <c r="I6995" s="2" t="s">
        <v>15</v>
      </c>
      <c r="J6995" s="2" t="s">
        <v>3981</v>
      </c>
      <c r="K6995" s="2" t="s">
        <v>9522</v>
      </c>
      <c r="L6995" s="2">
        <f t="shared" si="109"/>
        <v>77</v>
      </c>
    </row>
    <row r="6996" spans="1:12" ht="25" customHeight="1">
      <c r="A6996" s="2" t="s">
        <v>12</v>
      </c>
      <c r="B6996" s="2" t="str">
        <f>HYPERLINK("http://bbs.12365auto.com/postcontent.aspx?tID=194198","速腾起步倒车转速升高 离合器磨损")</f>
        <v>速腾起步倒车转速升高 离合器磨损</v>
      </c>
      <c r="C6996" s="2" t="s">
        <v>13</v>
      </c>
      <c r="D6996" s="2" t="s">
        <v>12</v>
      </c>
      <c r="E6996" s="2" t="s">
        <v>67</v>
      </c>
      <c r="F6996" s="2" t="str">
        <f>HYPERLINK("http://bbs.12365auto.com/postcontent.aspx?tID=194198","http://bbs.12365auto.com/postcontent.aspx?tID=194198")</f>
        <v>http://bbs.12365auto.com/postcontent.aspx?tID=194198</v>
      </c>
      <c r="G6996" s="2"/>
      <c r="H6996" s="2" t="s">
        <v>9527</v>
      </c>
      <c r="I6996" s="2" t="s">
        <v>15</v>
      </c>
      <c r="J6996" s="2" t="s">
        <v>9528</v>
      </c>
      <c r="K6996" s="2" t="s">
        <v>9522</v>
      </c>
      <c r="L6996" s="2">
        <f t="shared" si="109"/>
        <v>82</v>
      </c>
    </row>
    <row r="6997" spans="1:12" ht="25" customHeight="1">
      <c r="A6997" s="2" t="s">
        <v>12</v>
      </c>
      <c r="B6997" s="2" t="str">
        <f>HYPERLINK("http://bbs.12365auto.com/postcontent.aspx?tID=194196&amp;sId=1485&amp;ppage=1&amp;from=s","宝骏730空调异味售后维修未解决问题")</f>
        <v>宝骏730空调异味售后维修未解决问题</v>
      </c>
      <c r="C6997" s="2" t="s">
        <v>13</v>
      </c>
      <c r="D6997" s="2" t="s">
        <v>12</v>
      </c>
      <c r="E6997" s="2" t="s">
        <v>7966</v>
      </c>
      <c r="F6997" s="2" t="str">
        <f>HYPERLINK("http://bbs.12365auto.com/postcontent.aspx?tID=194196&amp;sId=1485&amp;ppage=1&amp;from=s","http://bbs.12365auto.com/postcontent.aspx?tID=194196&amp;sId=1485&amp;ppage=1&amp;from=s")</f>
        <v>http://bbs.12365auto.com/postcontent.aspx?tID=194196&amp;sId=1485&amp;ppage=1&amp;from=s</v>
      </c>
      <c r="G6997" s="2"/>
      <c r="H6997" s="2" t="s">
        <v>9526</v>
      </c>
      <c r="I6997" s="2" t="s">
        <v>15</v>
      </c>
      <c r="J6997" s="2" t="s">
        <v>9529</v>
      </c>
      <c r="K6997" s="2" t="s">
        <v>9522</v>
      </c>
      <c r="L6997" s="2">
        <f t="shared" si="109"/>
        <v>77</v>
      </c>
    </row>
    <row r="6998" spans="1:12" ht="25" customHeight="1">
      <c r="A6998" s="2" t="s">
        <v>12</v>
      </c>
      <c r="B6998" s="2" t="str">
        <f>HYPERLINK("http://bbs.12365auto.com/postcontent.aspx?tId=194198","速腾起步倒车转速升高 离合器磨损")</f>
        <v>速腾起步倒车转速升高 离合器磨损</v>
      </c>
      <c r="C6998" s="2" t="s">
        <v>13</v>
      </c>
      <c r="D6998" s="2" t="s">
        <v>12</v>
      </c>
      <c r="E6998" s="2" t="s">
        <v>66</v>
      </c>
      <c r="F6998" s="2" t="str">
        <f>HYPERLINK("http://bbs.12365auto.com/postcontent.aspx?tId=194198","http://bbs.12365auto.com/postcontent.aspx?tId=194198")</f>
        <v>http://bbs.12365auto.com/postcontent.aspx?tId=194198</v>
      </c>
      <c r="G6998" s="2"/>
      <c r="H6998" s="2" t="s">
        <v>9530</v>
      </c>
      <c r="I6998" s="2" t="s">
        <v>15</v>
      </c>
      <c r="J6998" s="2" t="s">
        <v>9528</v>
      </c>
      <c r="K6998" s="2" t="s">
        <v>9522</v>
      </c>
      <c r="L6998" s="2">
        <f t="shared" si="109"/>
        <v>66</v>
      </c>
    </row>
    <row r="6999" spans="1:12" ht="25" customHeight="1">
      <c r="A6999" s="2" t="s">
        <v>12</v>
      </c>
      <c r="B6999" s="2" t="str">
        <f>HYPERLINK("http://bbs.12365auto.com/postcontent.aspx?tId=194197","奇瑞瑞虎8水箱泄漏防冻液")</f>
        <v>奇瑞瑞虎8水箱泄漏防冻液</v>
      </c>
      <c r="C6999" s="2" t="s">
        <v>13</v>
      </c>
      <c r="D6999" s="2" t="s">
        <v>12</v>
      </c>
      <c r="E6999" s="2" t="s">
        <v>66</v>
      </c>
      <c r="F6999" s="2" t="str">
        <f>HYPERLINK("http://bbs.12365auto.com/postcontent.aspx?tId=194197","http://bbs.12365auto.com/postcontent.aspx?tId=194197")</f>
        <v>http://bbs.12365auto.com/postcontent.aspx?tId=194197</v>
      </c>
      <c r="G6999" s="2"/>
      <c r="H6999" s="2" t="s">
        <v>9531</v>
      </c>
      <c r="I6999" s="2" t="s">
        <v>15</v>
      </c>
      <c r="J6999" s="2" t="s">
        <v>6168</v>
      </c>
      <c r="K6999" s="2" t="s">
        <v>9522</v>
      </c>
      <c r="L6999" s="2">
        <f t="shared" si="109"/>
        <v>26</v>
      </c>
    </row>
    <row r="7000" spans="1:12" ht="25" customHeight="1">
      <c r="A7000" s="2" t="s">
        <v>12</v>
      </c>
      <c r="B7000" s="2" t="str">
        <f>HYPERLINK("http://bbs.12365auto.com/postcontent.aspx?tId=194195","速腾的问题真的是太普遍了")</f>
        <v>速腾的问题真的是太普遍了</v>
      </c>
      <c r="C7000" s="2" t="s">
        <v>13</v>
      </c>
      <c r="D7000" s="2" t="s">
        <v>12</v>
      </c>
      <c r="E7000" s="2" t="s">
        <v>66</v>
      </c>
      <c r="F7000" s="2" t="str">
        <f>HYPERLINK("http://bbs.12365auto.com/postcontent.aspx?tId=194195","http://bbs.12365auto.com/postcontent.aspx?tId=194195")</f>
        <v>http://bbs.12365auto.com/postcontent.aspx?tId=194195</v>
      </c>
      <c r="G7000" s="2"/>
      <c r="H7000" s="2" t="s">
        <v>9532</v>
      </c>
      <c r="I7000" s="2" t="s">
        <v>15</v>
      </c>
      <c r="J7000" s="2" t="s">
        <v>9524</v>
      </c>
      <c r="K7000" s="2" t="s">
        <v>9522</v>
      </c>
      <c r="L7000" s="2">
        <f t="shared" si="109"/>
        <v>63</v>
      </c>
    </row>
    <row r="7001" spans="1:12" ht="25" customHeight="1">
      <c r="A7001" s="2" t="s">
        <v>12</v>
      </c>
      <c r="B7001" s="2" t="str">
        <f>HYPERLINK("http://bbs.12365auto.com/postcontent.aspx?tId=194196","宝骏730空调异味售后维修未解决问题")</f>
        <v>宝骏730空调异味售后维修未解决问题</v>
      </c>
      <c r="C7001" s="2" t="s">
        <v>13</v>
      </c>
      <c r="D7001" s="2" t="s">
        <v>12</v>
      </c>
      <c r="E7001" s="2" t="s">
        <v>66</v>
      </c>
      <c r="F7001" s="2" t="str">
        <f>HYPERLINK("http://bbs.12365auto.com/postcontent.aspx?tId=194196","http://bbs.12365auto.com/postcontent.aspx?tId=194196")</f>
        <v>http://bbs.12365auto.com/postcontent.aspx?tId=194196</v>
      </c>
      <c r="G7001" s="2"/>
      <c r="H7001" s="2" t="s">
        <v>9533</v>
      </c>
      <c r="I7001" s="2" t="s">
        <v>15</v>
      </c>
      <c r="J7001" s="2" t="s">
        <v>3981</v>
      </c>
      <c r="K7001" s="2" t="s">
        <v>9522</v>
      </c>
      <c r="L7001" s="2">
        <f t="shared" si="109"/>
        <v>59</v>
      </c>
    </row>
    <row r="7002" spans="1:12" ht="25" customHeight="1">
      <c r="A7002" s="2" t="s">
        <v>12</v>
      </c>
      <c r="B7002" s="2" t="str">
        <f>HYPERLINK("http://bbs.12365auto.com/postcontent.aspx?tId=194194","江铃驭胜S330车身生锈大灯开关故障")</f>
        <v>江铃驭胜S330车身生锈大灯开关故障</v>
      </c>
      <c r="C7002" s="2" t="s">
        <v>13</v>
      </c>
      <c r="D7002" s="2" t="s">
        <v>12</v>
      </c>
      <c r="E7002" s="2" t="s">
        <v>66</v>
      </c>
      <c r="F7002" s="2" t="str">
        <f>HYPERLINK("http://bbs.12365auto.com/postcontent.aspx?tId=194194","http://bbs.12365auto.com/postcontent.aspx?tId=194194")</f>
        <v>http://bbs.12365auto.com/postcontent.aspx?tId=194194</v>
      </c>
      <c r="G7002" s="2"/>
      <c r="H7002" s="2" t="s">
        <v>9534</v>
      </c>
      <c r="I7002" s="2" t="s">
        <v>15</v>
      </c>
      <c r="J7002" s="2" t="s">
        <v>6174</v>
      </c>
      <c r="K7002" s="2" t="s">
        <v>9522</v>
      </c>
      <c r="L7002" s="2">
        <f t="shared" si="109"/>
        <v>67</v>
      </c>
    </row>
    <row r="7003" spans="1:12" ht="25" customHeight="1">
      <c r="A7003" s="2" t="s">
        <v>12</v>
      </c>
      <c r="B7003" s="2" t="str">
        <f>HYPERLINK("http://bbs.12365auto.com/postcontent.aspx?tID=194192","中控显示屏黑屏一直无法解决")</f>
        <v>中控显示屏黑屏一直无法解决</v>
      </c>
      <c r="C7003" s="2" t="s">
        <v>13</v>
      </c>
      <c r="D7003" s="2" t="s">
        <v>12</v>
      </c>
      <c r="E7003" s="2" t="s">
        <v>67</v>
      </c>
      <c r="F7003" s="2" t="str">
        <f>HYPERLINK("http://bbs.12365auto.com/postcontent.aspx?tID=194192","http://bbs.12365auto.com/postcontent.aspx?tID=194192")</f>
        <v>http://bbs.12365auto.com/postcontent.aspx?tID=194192</v>
      </c>
      <c r="G7003" s="2"/>
      <c r="H7003" s="2" t="s">
        <v>9535</v>
      </c>
      <c r="I7003" s="2" t="s">
        <v>15</v>
      </c>
      <c r="J7003" s="2" t="s">
        <v>9536</v>
      </c>
      <c r="K7003" s="2" t="s">
        <v>9537</v>
      </c>
      <c r="L7003" s="2">
        <f t="shared" si="109"/>
        <v>67</v>
      </c>
    </row>
    <row r="7004" spans="1:12" ht="25" customHeight="1">
      <c r="A7004" s="2" t="s">
        <v>12</v>
      </c>
      <c r="B7004" s="2" t="str">
        <f>HYPERLINK("http://bbs.12365auto.com/postcontent.aspx?tID=194191","北汽幻速S5天窗排水口堵塞车内都是水")</f>
        <v>北汽幻速S5天窗排水口堵塞车内都是水</v>
      </c>
      <c r="C7004" s="2" t="s">
        <v>13</v>
      </c>
      <c r="D7004" s="2" t="s">
        <v>12</v>
      </c>
      <c r="E7004" s="2" t="s">
        <v>67</v>
      </c>
      <c r="F7004" s="2" t="str">
        <f>HYPERLINK("http://bbs.12365auto.com/postcontent.aspx?tID=194191","http://bbs.12365auto.com/postcontent.aspx?tID=194191")</f>
        <v>http://bbs.12365auto.com/postcontent.aspx?tID=194191</v>
      </c>
      <c r="G7004" s="2"/>
      <c r="H7004" s="2" t="s">
        <v>9538</v>
      </c>
      <c r="I7004" s="2" t="s">
        <v>15</v>
      </c>
      <c r="J7004" s="2" t="s">
        <v>6176</v>
      </c>
      <c r="K7004" s="2" t="s">
        <v>9537</v>
      </c>
      <c r="L7004" s="2">
        <f t="shared" si="109"/>
        <v>39</v>
      </c>
    </row>
    <row r="7005" spans="1:12" ht="25" customHeight="1">
      <c r="A7005" s="2" t="s">
        <v>12</v>
      </c>
      <c r="B7005" s="2" t="str">
        <f>HYPERLINK("http://bbs.12365auto.com/postcontent.aspx?tID=194193","上汽大众朗逸车内异味")</f>
        <v>上汽大众朗逸车内异味</v>
      </c>
      <c r="C7005" s="2" t="s">
        <v>13</v>
      </c>
      <c r="D7005" s="2" t="s">
        <v>12</v>
      </c>
      <c r="E7005" s="2" t="s">
        <v>67</v>
      </c>
      <c r="F7005" s="2" t="str">
        <f>HYPERLINK("http://bbs.12365auto.com/postcontent.aspx?tID=194193","http://bbs.12365auto.com/postcontent.aspx?tID=194193")</f>
        <v>http://bbs.12365auto.com/postcontent.aspx?tID=194193</v>
      </c>
      <c r="G7005" s="2"/>
      <c r="H7005" s="2" t="s">
        <v>9539</v>
      </c>
      <c r="I7005" s="2" t="s">
        <v>15</v>
      </c>
      <c r="J7005" s="2" t="s">
        <v>3985</v>
      </c>
      <c r="K7005" s="2" t="s">
        <v>9537</v>
      </c>
      <c r="L7005" s="2">
        <f t="shared" si="109"/>
        <v>52</v>
      </c>
    </row>
    <row r="7006" spans="1:12" ht="25" customHeight="1">
      <c r="A7006" s="2" t="s">
        <v>12</v>
      </c>
      <c r="B7006" s="2" t="str">
        <f>HYPERLINK("http://bbs.12365auto.com/postcontent.aspx?tId=194192","中控显示屏黑屏一直无法解决")</f>
        <v>中控显示屏黑屏一直无法解决</v>
      </c>
      <c r="C7006" s="2" t="s">
        <v>13</v>
      </c>
      <c r="D7006" s="2" t="s">
        <v>12</v>
      </c>
      <c r="E7006" s="2" t="s">
        <v>66</v>
      </c>
      <c r="F7006" s="2" t="str">
        <f>HYPERLINK("http://bbs.12365auto.com/postcontent.aspx?tId=194192","http://bbs.12365auto.com/postcontent.aspx?tId=194192")</f>
        <v>http://bbs.12365auto.com/postcontent.aspx?tId=194192</v>
      </c>
      <c r="G7006" s="2"/>
      <c r="H7006" s="2" t="s">
        <v>9540</v>
      </c>
      <c r="I7006" s="2" t="s">
        <v>15</v>
      </c>
      <c r="J7006" s="2" t="s">
        <v>9536</v>
      </c>
      <c r="K7006" s="2" t="s">
        <v>9537</v>
      </c>
      <c r="L7006" s="2">
        <f t="shared" si="109"/>
        <v>54</v>
      </c>
    </row>
    <row r="7007" spans="1:12" ht="25" customHeight="1">
      <c r="A7007" s="2" t="s">
        <v>12</v>
      </c>
      <c r="B7007" s="2" t="str">
        <f>HYPERLINK("http://bbs.12365auto.com/postcontent.aspx?tId=194191","北汽幻速S5天窗排水口堵塞车内都是水")</f>
        <v>北汽幻速S5天窗排水口堵塞车内都是水</v>
      </c>
      <c r="C7007" s="2" t="s">
        <v>13</v>
      </c>
      <c r="D7007" s="2" t="s">
        <v>12</v>
      </c>
      <c r="E7007" s="2" t="s">
        <v>66</v>
      </c>
      <c r="F7007" s="2" t="str">
        <f>HYPERLINK("http://bbs.12365auto.com/postcontent.aspx?tId=194191","http://bbs.12365auto.com/postcontent.aspx?tId=194191")</f>
        <v>http://bbs.12365auto.com/postcontent.aspx?tId=194191</v>
      </c>
      <c r="G7007" s="2"/>
      <c r="H7007" s="2" t="s">
        <v>9541</v>
      </c>
      <c r="I7007" s="2" t="s">
        <v>15</v>
      </c>
      <c r="J7007" s="2" t="s">
        <v>6176</v>
      </c>
      <c r="K7007" s="2" t="s">
        <v>9537</v>
      </c>
      <c r="L7007" s="2">
        <f t="shared" si="109"/>
        <v>21</v>
      </c>
    </row>
    <row r="7008" spans="1:12" ht="25" customHeight="1">
      <c r="A7008" s="2" t="s">
        <v>12</v>
      </c>
      <c r="B7008" s="2" t="str">
        <f>HYPERLINK("http://bbs.12365auto.com/postcontent.aspx?tId=194193","上汽大众朗逸车内异味")</f>
        <v>上汽大众朗逸车内异味</v>
      </c>
      <c r="C7008" s="2" t="s">
        <v>13</v>
      </c>
      <c r="D7008" s="2" t="s">
        <v>12</v>
      </c>
      <c r="E7008" s="2" t="s">
        <v>66</v>
      </c>
      <c r="F7008" s="2" t="str">
        <f>HYPERLINK("http://bbs.12365auto.com/postcontent.aspx?tId=194193","http://bbs.12365auto.com/postcontent.aspx?tId=194193")</f>
        <v>http://bbs.12365auto.com/postcontent.aspx?tId=194193</v>
      </c>
      <c r="G7008" s="2"/>
      <c r="H7008" s="2" t="s">
        <v>9542</v>
      </c>
      <c r="I7008" s="2" t="s">
        <v>15</v>
      </c>
      <c r="J7008" s="2" t="s">
        <v>3985</v>
      </c>
      <c r="K7008" s="2" t="s">
        <v>9537</v>
      </c>
      <c r="L7008" s="2">
        <f t="shared" si="109"/>
        <v>42</v>
      </c>
    </row>
    <row r="7009" spans="1:12" ht="25" customHeight="1">
      <c r="A7009" s="2" t="s">
        <v>12</v>
      </c>
      <c r="B7009" s="2" t="str">
        <f>HYPERLINK("http://bbs.12365auto.com/postcontent.aspx?tID=194189","雷克萨斯NX变速箱顿挫 异响")</f>
        <v>雷克萨斯NX变速箱顿挫 异响</v>
      </c>
      <c r="C7009" s="2" t="s">
        <v>13</v>
      </c>
      <c r="D7009" s="2" t="s">
        <v>12</v>
      </c>
      <c r="E7009" s="2" t="s">
        <v>67</v>
      </c>
      <c r="F7009" s="2" t="str">
        <f>HYPERLINK("http://bbs.12365auto.com/postcontent.aspx?tID=194189","http://bbs.12365auto.com/postcontent.aspx?tID=194189")</f>
        <v>http://bbs.12365auto.com/postcontent.aspx?tID=194189</v>
      </c>
      <c r="G7009" s="2"/>
      <c r="H7009" s="2" t="s">
        <v>9543</v>
      </c>
      <c r="I7009" s="2" t="s">
        <v>15</v>
      </c>
      <c r="J7009" s="2" t="s">
        <v>6184</v>
      </c>
      <c r="K7009" s="2" t="s">
        <v>9544</v>
      </c>
      <c r="L7009" s="2">
        <f t="shared" si="109"/>
        <v>150</v>
      </c>
    </row>
    <row r="7010" spans="1:12" ht="25" customHeight="1">
      <c r="A7010" s="2" t="s">
        <v>12</v>
      </c>
      <c r="B7010" s="2" t="str">
        <f>HYPERLINK("http://bbs.12365auto.com/postcontent.aspx?tID=194188","发动机故障灯亮怎么解决？")</f>
        <v>发动机故障灯亮怎么解决？</v>
      </c>
      <c r="C7010" s="2" t="s">
        <v>13</v>
      </c>
      <c r="D7010" s="2" t="s">
        <v>12</v>
      </c>
      <c r="E7010" s="2" t="s">
        <v>67</v>
      </c>
      <c r="F7010" s="2" t="str">
        <f>HYPERLINK("http://bbs.12365auto.com/postcontent.aspx?tID=194188","http://bbs.12365auto.com/postcontent.aspx?tID=194188")</f>
        <v>http://bbs.12365auto.com/postcontent.aspx?tID=194188</v>
      </c>
      <c r="G7010" s="2"/>
      <c r="H7010" s="2" t="s">
        <v>9545</v>
      </c>
      <c r="I7010" s="2" t="s">
        <v>15</v>
      </c>
      <c r="J7010" s="2" t="s">
        <v>9546</v>
      </c>
      <c r="K7010" s="2" t="s">
        <v>9544</v>
      </c>
      <c r="L7010" s="2">
        <f t="shared" si="109"/>
        <v>88</v>
      </c>
    </row>
    <row r="7011" spans="1:12" ht="25" customHeight="1">
      <c r="A7011" s="2" t="s">
        <v>12</v>
      </c>
      <c r="B7011" s="2" t="str">
        <f>HYPERLINK("http://bbs.12365auto.com/postcontent.aspx?tID=194190","节温器渗漏怎么去解决？")</f>
        <v>节温器渗漏怎么去解决？</v>
      </c>
      <c r="C7011" s="2" t="s">
        <v>13</v>
      </c>
      <c r="D7011" s="2" t="s">
        <v>12</v>
      </c>
      <c r="E7011" s="2" t="s">
        <v>67</v>
      </c>
      <c r="F7011" s="2" t="str">
        <f>HYPERLINK("http://bbs.12365auto.com/postcontent.aspx?tID=194190","http://bbs.12365auto.com/postcontent.aspx?tID=194190")</f>
        <v>http://bbs.12365auto.com/postcontent.aspx?tID=194190</v>
      </c>
      <c r="G7011" s="2"/>
      <c r="H7011" s="2" t="s">
        <v>9547</v>
      </c>
      <c r="I7011" s="2" t="s">
        <v>15</v>
      </c>
      <c r="J7011" s="2" t="s">
        <v>9548</v>
      </c>
      <c r="K7011" s="2" t="s">
        <v>9544</v>
      </c>
      <c r="L7011" s="2">
        <f t="shared" si="109"/>
        <v>150</v>
      </c>
    </row>
    <row r="7012" spans="1:12" ht="25" customHeight="1">
      <c r="A7012" s="2" t="s">
        <v>12</v>
      </c>
      <c r="B7012" s="2" t="str">
        <f>HYPERLINK("http://www.12365auto.com/zlts/20200217/447474.shtml","东风雪铁龙C4世嘉油表显示不准自动跳枪")</f>
        <v>东风雪铁龙C4世嘉油表显示不准自动跳枪</v>
      </c>
      <c r="C7012" s="2" t="s">
        <v>13</v>
      </c>
      <c r="D7012" s="2" t="s">
        <v>12</v>
      </c>
      <c r="E7012" s="2" t="s">
        <v>17</v>
      </c>
      <c r="F7012" s="2" t="str">
        <f>HYPERLINK("http://www.12365auto.com/zlts/20200217/447474.shtml","http://www.12365auto.com/zlts/20200217/447474.shtml")</f>
        <v>http://www.12365auto.com/zlts/20200217/447474.shtml</v>
      </c>
      <c r="G7012" s="2"/>
      <c r="H7012" s="2" t="s">
        <v>9549</v>
      </c>
      <c r="I7012" s="2" t="s">
        <v>19</v>
      </c>
      <c r="J7012" s="2" t="s">
        <v>12</v>
      </c>
      <c r="K7012" s="2" t="s">
        <v>9544</v>
      </c>
      <c r="L7012" s="2">
        <f t="shared" si="109"/>
        <v>150</v>
      </c>
    </row>
    <row r="7013" spans="1:12" ht="25" customHeight="1">
      <c r="A7013" s="2" t="s">
        <v>12</v>
      </c>
      <c r="B7013" s="2" t="str">
        <f>HYPERLINK("http://bbs.12365auto.com/postcontent.aspx?tId=194189","雷克萨斯NX变速箱顿挫 异响")</f>
        <v>雷克萨斯NX变速箱顿挫 异响</v>
      </c>
      <c r="C7013" s="2" t="s">
        <v>13</v>
      </c>
      <c r="D7013" s="2" t="s">
        <v>12</v>
      </c>
      <c r="E7013" s="2" t="s">
        <v>66</v>
      </c>
      <c r="F7013" s="2" t="str">
        <f>HYPERLINK("http://bbs.12365auto.com/postcontent.aspx?tId=194189","http://bbs.12365auto.com/postcontent.aspx?tId=194189")</f>
        <v>http://bbs.12365auto.com/postcontent.aspx?tId=194189</v>
      </c>
      <c r="G7013" s="2"/>
      <c r="H7013" s="2" t="s">
        <v>9550</v>
      </c>
      <c r="I7013" s="2" t="s">
        <v>15</v>
      </c>
      <c r="J7013" s="2" t="s">
        <v>6184</v>
      </c>
      <c r="K7013" s="2" t="s">
        <v>9544</v>
      </c>
      <c r="L7013" s="2">
        <f t="shared" si="109"/>
        <v>150</v>
      </c>
    </row>
    <row r="7014" spans="1:12" ht="25" customHeight="1">
      <c r="A7014" s="2" t="s">
        <v>12</v>
      </c>
      <c r="B7014" s="2" t="str">
        <f>HYPERLINK("http://bbs.12365auto.com/postcontent.aspx?tId=194190","节温器渗漏怎么去解决？")</f>
        <v>节温器渗漏怎么去解决？</v>
      </c>
      <c r="C7014" s="2" t="s">
        <v>13</v>
      </c>
      <c r="D7014" s="2" t="s">
        <v>12</v>
      </c>
      <c r="E7014" s="2" t="s">
        <v>66</v>
      </c>
      <c r="F7014" s="2" t="str">
        <f>HYPERLINK("http://bbs.12365auto.com/postcontent.aspx?tId=194190","http://bbs.12365auto.com/postcontent.aspx?tId=194190")</f>
        <v>http://bbs.12365auto.com/postcontent.aspx?tId=194190</v>
      </c>
      <c r="G7014" s="2"/>
      <c r="H7014" s="2" t="s">
        <v>9551</v>
      </c>
      <c r="I7014" s="2" t="s">
        <v>15</v>
      </c>
      <c r="J7014" s="2" t="s">
        <v>9548</v>
      </c>
      <c r="K7014" s="2" t="s">
        <v>9544</v>
      </c>
      <c r="L7014" s="2">
        <f t="shared" si="109"/>
        <v>150</v>
      </c>
    </row>
    <row r="7015" spans="1:12" ht="25" customHeight="1">
      <c r="A7015" s="2" t="s">
        <v>12</v>
      </c>
      <c r="B7015" s="2" t="str">
        <f>HYPERLINK("http://bbs.12365auto.com/postcontent.aspx?tID=194187","大众宝来车身漏水严重影响使用")</f>
        <v>大众宝来车身漏水严重影响使用</v>
      </c>
      <c r="C7015" s="2" t="s">
        <v>13</v>
      </c>
      <c r="D7015" s="2" t="s">
        <v>12</v>
      </c>
      <c r="E7015" s="2" t="s">
        <v>67</v>
      </c>
      <c r="F7015" s="2" t="str">
        <f>HYPERLINK("http://bbs.12365auto.com/postcontent.aspx?tID=194187","http://bbs.12365auto.com/postcontent.aspx?tID=194187")</f>
        <v>http://bbs.12365auto.com/postcontent.aspx?tID=194187</v>
      </c>
      <c r="G7015" s="2"/>
      <c r="H7015" s="2" t="s">
        <v>9552</v>
      </c>
      <c r="I7015" s="2" t="s">
        <v>15</v>
      </c>
      <c r="J7015" s="2" t="s">
        <v>6194</v>
      </c>
      <c r="K7015" s="2" t="s">
        <v>9553</v>
      </c>
      <c r="L7015" s="2">
        <f t="shared" si="109"/>
        <v>150</v>
      </c>
    </row>
    <row r="7016" spans="1:12" ht="25" customHeight="1">
      <c r="A7016" s="2" t="s">
        <v>12</v>
      </c>
      <c r="B7016" s="2" t="str">
        <f>HYPERLINK("http://bbs.12365auto.com/postcontent.aspx?tID=194186","减震器异响怎么去处理")</f>
        <v>减震器异响怎么去处理</v>
      </c>
      <c r="C7016" s="2" t="s">
        <v>13</v>
      </c>
      <c r="D7016" s="2" t="s">
        <v>12</v>
      </c>
      <c r="E7016" s="2" t="s">
        <v>67</v>
      </c>
      <c r="F7016" s="2" t="str">
        <f>HYPERLINK("http://bbs.12365auto.com/postcontent.aspx?tID=194186","http://bbs.12365auto.com/postcontent.aspx?tID=194186")</f>
        <v>http://bbs.12365auto.com/postcontent.aspx?tID=194186</v>
      </c>
      <c r="G7016" s="2"/>
      <c r="H7016" s="2" t="s">
        <v>9554</v>
      </c>
      <c r="I7016" s="2" t="s">
        <v>15</v>
      </c>
      <c r="J7016" s="2" t="s">
        <v>9555</v>
      </c>
      <c r="K7016" s="2" t="s">
        <v>9553</v>
      </c>
      <c r="L7016" s="2">
        <f t="shared" si="109"/>
        <v>150</v>
      </c>
    </row>
    <row r="7017" spans="1:12" ht="25" customHeight="1">
      <c r="A7017" s="2" t="s">
        <v>12</v>
      </c>
      <c r="B7017" s="2" t="str">
        <f>HYPERLINK("http://bbs.12365auto.com/postcontent.aspx?tID=194184","发动机异响应该怎么去处理？")</f>
        <v>发动机异响应该怎么去处理？</v>
      </c>
      <c r="C7017" s="2" t="s">
        <v>13</v>
      </c>
      <c r="D7017" s="2" t="s">
        <v>12</v>
      </c>
      <c r="E7017" s="2" t="s">
        <v>67</v>
      </c>
      <c r="F7017" s="2" t="str">
        <f>HYPERLINK("http://bbs.12365auto.com/postcontent.aspx?tID=194184","http://bbs.12365auto.com/postcontent.aspx?tID=194184")</f>
        <v>http://bbs.12365auto.com/postcontent.aspx?tID=194184</v>
      </c>
      <c r="G7017" s="2"/>
      <c r="H7017" s="2" t="s">
        <v>9556</v>
      </c>
      <c r="I7017" s="2" t="s">
        <v>15</v>
      </c>
      <c r="J7017" s="2" t="s">
        <v>9557</v>
      </c>
      <c r="K7017" s="2" t="s">
        <v>9558</v>
      </c>
      <c r="L7017" s="2">
        <f t="shared" si="109"/>
        <v>108</v>
      </c>
    </row>
    <row r="7018" spans="1:12" ht="25" customHeight="1">
      <c r="A7018" s="2" t="s">
        <v>12</v>
      </c>
      <c r="B7018" s="2" t="str">
        <f>HYPERLINK("http://bbs.12365auto.com/postcontent.aspx?tID=194185","吉利博越液晶仪表中控重启")</f>
        <v>吉利博越液晶仪表中控重启</v>
      </c>
      <c r="C7018" s="2" t="s">
        <v>13</v>
      </c>
      <c r="D7018" s="2" t="s">
        <v>12</v>
      </c>
      <c r="E7018" s="2" t="s">
        <v>67</v>
      </c>
      <c r="F7018" s="2" t="str">
        <f>HYPERLINK("http://bbs.12365auto.com/postcontent.aspx?tID=194185","http://bbs.12365auto.com/postcontent.aspx?tID=194185")</f>
        <v>http://bbs.12365auto.com/postcontent.aspx?tID=194185</v>
      </c>
      <c r="G7018" s="2"/>
      <c r="H7018" s="2" t="s">
        <v>9559</v>
      </c>
      <c r="I7018" s="2" t="s">
        <v>15</v>
      </c>
      <c r="J7018" s="2" t="s">
        <v>6205</v>
      </c>
      <c r="K7018" s="2" t="s">
        <v>9558</v>
      </c>
      <c r="L7018" s="2">
        <f t="shared" si="109"/>
        <v>150</v>
      </c>
    </row>
    <row r="7019" spans="1:12" ht="25" customHeight="1">
      <c r="A7019" s="2" t="s">
        <v>12</v>
      </c>
      <c r="B7019" s="2" t="str">
        <f>HYPERLINK("http://bbs.12365auto.com/postcontent.aspx?tID=194182","奇瑞艾瑞泽5车门及车身生锈")</f>
        <v>奇瑞艾瑞泽5车门及车身生锈</v>
      </c>
      <c r="C7019" s="2" t="s">
        <v>13</v>
      </c>
      <c r="D7019" s="2" t="s">
        <v>12</v>
      </c>
      <c r="E7019" s="2" t="s">
        <v>67</v>
      </c>
      <c r="F7019" s="2" t="str">
        <f>HYPERLINK("http://bbs.12365auto.com/postcontent.aspx?tID=194182","http://bbs.12365auto.com/postcontent.aspx?tID=194182")</f>
        <v>http://bbs.12365auto.com/postcontent.aspx?tID=194182</v>
      </c>
      <c r="G7019" s="2"/>
      <c r="H7019" s="2" t="s">
        <v>9560</v>
      </c>
      <c r="I7019" s="2" t="s">
        <v>15</v>
      </c>
      <c r="J7019" s="2" t="s">
        <v>6207</v>
      </c>
      <c r="K7019" s="2" t="s">
        <v>9561</v>
      </c>
      <c r="L7019" s="2">
        <f t="shared" si="109"/>
        <v>40</v>
      </c>
    </row>
    <row r="7020" spans="1:12" ht="25" customHeight="1">
      <c r="A7020" s="2" t="s">
        <v>12</v>
      </c>
      <c r="B7020" s="2" t="str">
        <f>HYPERLINK("http://bbs.12365auto.com/postcontent.aspx?tID=194183","油耗增加应该怎么去处理？")</f>
        <v>油耗增加应该怎么去处理？</v>
      </c>
      <c r="C7020" s="2" t="s">
        <v>13</v>
      </c>
      <c r="D7020" s="2" t="s">
        <v>12</v>
      </c>
      <c r="E7020" s="2" t="s">
        <v>67</v>
      </c>
      <c r="F7020" s="2" t="str">
        <f>HYPERLINK("http://bbs.12365auto.com/postcontent.aspx?tID=194183","http://bbs.12365auto.com/postcontent.aspx?tID=194183")</f>
        <v>http://bbs.12365auto.com/postcontent.aspx?tID=194183</v>
      </c>
      <c r="G7020" s="2"/>
      <c r="H7020" s="2" t="s">
        <v>9562</v>
      </c>
      <c r="I7020" s="2" t="s">
        <v>15</v>
      </c>
      <c r="J7020" s="2" t="s">
        <v>9563</v>
      </c>
      <c r="K7020" s="2" t="s">
        <v>9561</v>
      </c>
      <c r="L7020" s="2">
        <f t="shared" si="109"/>
        <v>150</v>
      </c>
    </row>
    <row r="7021" spans="1:12" ht="25" customHeight="1">
      <c r="A7021" s="2" t="s">
        <v>12</v>
      </c>
      <c r="B7021" s="2" t="str">
        <f>HYPERLINK("http://m.12365auto.com/bbs/postcontent.aspx?tID=194183&amp;i=1","油耗增加应该怎么去处理？")</f>
        <v>油耗增加应该怎么去处理？</v>
      </c>
      <c r="C7021" s="2" t="s">
        <v>13</v>
      </c>
      <c r="D7021" s="2" t="s">
        <v>23</v>
      </c>
      <c r="E7021" s="2"/>
      <c r="F7021" s="2" t="str">
        <f>HYPERLINK("http://m.12365auto.com/bbs/postcontent.aspx?tID=194183&amp;i=1","http://m.12365auto.com/bbs/postcontent.aspx?tID=194183&amp;i=1")</f>
        <v>http://m.12365auto.com/bbs/postcontent.aspx?tID=194183&amp;i=1</v>
      </c>
      <c r="G7021" s="2"/>
      <c r="H7021" s="2" t="s">
        <v>9564</v>
      </c>
      <c r="I7021" s="2" t="s">
        <v>15</v>
      </c>
      <c r="J7021" s="2" t="s">
        <v>9563</v>
      </c>
      <c r="K7021" s="2" t="s">
        <v>9561</v>
      </c>
      <c r="L7021" s="2">
        <f t="shared" si="109"/>
        <v>143</v>
      </c>
    </row>
    <row r="7022" spans="1:12" ht="25" customHeight="1">
      <c r="A7022" s="2" t="s">
        <v>12</v>
      </c>
      <c r="B7022" s="2" t="str">
        <f>HYPERLINK("http://bbs.12365auto.com/postcontent.aspx?tID=194181","高速行驶中突然熄火真的是太危险了如何处理")</f>
        <v>高速行驶中突然熄火真的是太危险了如何处理</v>
      </c>
      <c r="C7022" s="2" t="s">
        <v>13</v>
      </c>
      <c r="D7022" s="2" t="s">
        <v>12</v>
      </c>
      <c r="E7022" s="2" t="s">
        <v>67</v>
      </c>
      <c r="F7022" s="2" t="str">
        <f>HYPERLINK("http://bbs.12365auto.com/postcontent.aspx?tID=194181","http://bbs.12365auto.com/postcontent.aspx?tID=194181")</f>
        <v>http://bbs.12365auto.com/postcontent.aspx?tID=194181</v>
      </c>
      <c r="G7022" s="2"/>
      <c r="H7022" s="2" t="s">
        <v>9565</v>
      </c>
      <c r="I7022" s="2" t="s">
        <v>15</v>
      </c>
      <c r="J7022" s="2" t="s">
        <v>9566</v>
      </c>
      <c r="K7022" s="2" t="s">
        <v>9567</v>
      </c>
      <c r="L7022" s="2">
        <f t="shared" si="109"/>
        <v>150</v>
      </c>
    </row>
    <row r="7023" spans="1:12" ht="25" customHeight="1">
      <c r="A7023" s="2" t="s">
        <v>12</v>
      </c>
      <c r="B7023" s="2" t="str">
        <f>HYPERLINK("http://bbs.12365auto.com/postcontent.aspx?tID=194180","没有合格证可以去起诉吗？")</f>
        <v>没有合格证可以去起诉吗？</v>
      </c>
      <c r="C7023" s="2" t="s">
        <v>13</v>
      </c>
      <c r="D7023" s="2" t="s">
        <v>12</v>
      </c>
      <c r="E7023" s="2" t="s">
        <v>67</v>
      </c>
      <c r="F7023" s="2" t="str">
        <f>HYPERLINK("http://bbs.12365auto.com/postcontent.aspx?tID=194180","http://bbs.12365auto.com/postcontent.aspx?tID=194180")</f>
        <v>http://bbs.12365auto.com/postcontent.aspx?tID=194180</v>
      </c>
      <c r="G7023" s="2"/>
      <c r="H7023" s="2" t="s">
        <v>9568</v>
      </c>
      <c r="I7023" s="2" t="s">
        <v>15</v>
      </c>
      <c r="J7023" s="2" t="s">
        <v>2092</v>
      </c>
      <c r="K7023" s="2" t="s">
        <v>9569</v>
      </c>
      <c r="L7023" s="2">
        <f t="shared" si="109"/>
        <v>66</v>
      </c>
    </row>
    <row r="7024" spans="1:12" ht="25" customHeight="1">
      <c r="A7024" s="2" t="s">
        <v>12</v>
      </c>
      <c r="B7024" s="2" t="str">
        <f>HYPERLINK("http://m.12365auto.com/xcdg/20200217/418670.shtml","采用新样式LOGO 全新大众高尔夫R渲染图曝光")</f>
        <v>采用新样式LOGO 全新大众高尔夫R渲染图曝光</v>
      </c>
      <c r="C7024" s="2" t="s">
        <v>13</v>
      </c>
      <c r="D7024" s="2" t="s">
        <v>12</v>
      </c>
      <c r="E7024" s="2"/>
      <c r="F7024" s="2" t="str">
        <f>HYPERLINK("http://m.12365auto.com/xcdg/20200217/418670.shtml","http://m.12365auto.com/xcdg/20200217/418670.shtml")</f>
        <v>http://m.12365auto.com/xcdg/20200217/418670.shtml</v>
      </c>
      <c r="G7024" s="2"/>
      <c r="H7024" s="2" t="s">
        <v>9570</v>
      </c>
      <c r="I7024" s="2" t="s">
        <v>19</v>
      </c>
      <c r="J7024" s="2" t="s">
        <v>1305</v>
      </c>
      <c r="K7024" s="2" t="s">
        <v>9571</v>
      </c>
      <c r="L7024" s="2">
        <f t="shared" si="109"/>
        <v>150</v>
      </c>
    </row>
    <row r="7025" spans="1:12" ht="25" customHeight="1">
      <c r="A7025" s="2" t="s">
        <v>12</v>
      </c>
      <c r="B7025" s="2" t="str">
        <f>HYPERLINK("http://www.12365auto.com/xcdg/20200217/418670.shtml","采用新样式LOGO 全新大众高尔夫R渲染图曝光")</f>
        <v>采用新样式LOGO 全新大众高尔夫R渲染图曝光</v>
      </c>
      <c r="C7025" s="2" t="s">
        <v>13</v>
      </c>
      <c r="D7025" s="2" t="s">
        <v>12</v>
      </c>
      <c r="E7025" s="2" t="s">
        <v>216</v>
      </c>
      <c r="F7025" s="2" t="str">
        <f>HYPERLINK("http://www.12365auto.com/xcdg/20200217/418670.shtml","http://www.12365auto.com/xcdg/20200217/418670.shtml")</f>
        <v>http://www.12365auto.com/xcdg/20200217/418670.shtml</v>
      </c>
      <c r="G7025" s="2"/>
      <c r="H7025" s="2" t="s">
        <v>9572</v>
      </c>
      <c r="I7025" s="2" t="s">
        <v>15</v>
      </c>
      <c r="J7025" s="2" t="s">
        <v>12</v>
      </c>
      <c r="K7025" s="2" t="s">
        <v>9571</v>
      </c>
      <c r="L7025" s="2">
        <f t="shared" si="109"/>
        <v>150</v>
      </c>
    </row>
    <row r="7026" spans="1:12" ht="25" customHeight="1">
      <c r="A7026" s="2" t="s">
        <v>12</v>
      </c>
      <c r="B7026" s="2" t="str">
        <f>HYPERLINK("http://m.12365auto.com/zjdy/20200216/121328.shtml","长安逸动手动挡和宝来传奇手动档")</f>
        <v>长安逸动手动挡和宝来传奇手动档</v>
      </c>
      <c r="C7026" s="2" t="s">
        <v>13</v>
      </c>
      <c r="D7026" s="2" t="s">
        <v>12</v>
      </c>
      <c r="E7026" s="2"/>
      <c r="F7026" s="2" t="str">
        <f>HYPERLINK("http://m.12365auto.com/zjdy/20200216/121328.shtml","http://m.12365auto.com/zjdy/20200216/121328.shtml")</f>
        <v>http://m.12365auto.com/zjdy/20200216/121328.shtml</v>
      </c>
      <c r="G7026" s="2"/>
      <c r="H7026" s="2" t="s">
        <v>9573</v>
      </c>
      <c r="I7026" s="2" t="s">
        <v>19</v>
      </c>
      <c r="J7026" s="2" t="s">
        <v>12</v>
      </c>
      <c r="K7026" s="2" t="s">
        <v>9574</v>
      </c>
      <c r="L7026" s="2">
        <f t="shared" si="109"/>
        <v>34</v>
      </c>
    </row>
    <row r="7027" spans="1:12" ht="25" customHeight="1">
      <c r="A7027" s="2" t="s">
        <v>12</v>
      </c>
      <c r="B7027" s="2" t="str">
        <f>HYPERLINK("http://m.12365auto.com/zjdy/20200216/121327.shtml","宋pro风燥声音大有什么解决办法吗？")</f>
        <v>宋pro风燥声音大有什么解决办法吗？</v>
      </c>
      <c r="C7027" s="2" t="s">
        <v>13</v>
      </c>
      <c r="D7027" s="2" t="s">
        <v>12</v>
      </c>
      <c r="E7027" s="2"/>
      <c r="F7027" s="2" t="str">
        <f>HYPERLINK("http://m.12365auto.com/zjdy/20200216/121327.shtml","http://m.12365auto.com/zjdy/20200216/121327.shtml")</f>
        <v>http://m.12365auto.com/zjdy/20200216/121327.shtml</v>
      </c>
      <c r="G7027" s="2"/>
      <c r="H7027" s="2" t="s">
        <v>9575</v>
      </c>
      <c r="I7027" s="2" t="s">
        <v>19</v>
      </c>
      <c r="J7027" s="2" t="s">
        <v>12</v>
      </c>
      <c r="K7027" s="2" t="s">
        <v>9574</v>
      </c>
      <c r="L7027" s="2">
        <f t="shared" si="109"/>
        <v>60</v>
      </c>
    </row>
    <row r="7028" spans="1:12" ht="25" customHeight="1">
      <c r="A7028" s="2" t="s">
        <v>12</v>
      </c>
      <c r="B7028" s="2" t="str">
        <f>HYPERLINK("http://m.12365auto.com/zjdy/20200216/121326.shtml","大众速腾变速箱故障应该如何进行处理？")</f>
        <v>大众速腾变速箱故障应该如何进行处理？</v>
      </c>
      <c r="C7028" s="2" t="s">
        <v>13</v>
      </c>
      <c r="D7028" s="2" t="s">
        <v>12</v>
      </c>
      <c r="E7028" s="2"/>
      <c r="F7028" s="2" t="str">
        <f>HYPERLINK("http://m.12365auto.com/zjdy/20200216/121326.shtml","http://m.12365auto.com/zjdy/20200216/121326.shtml")</f>
        <v>http://m.12365auto.com/zjdy/20200216/121326.shtml</v>
      </c>
      <c r="G7028" s="2"/>
      <c r="H7028" s="2" t="s">
        <v>9576</v>
      </c>
      <c r="I7028" s="2" t="s">
        <v>19</v>
      </c>
      <c r="J7028" s="2" t="s">
        <v>12</v>
      </c>
      <c r="K7028" s="2" t="s">
        <v>9577</v>
      </c>
      <c r="L7028" s="2">
        <f t="shared" si="109"/>
        <v>27</v>
      </c>
    </row>
    <row r="7029" spans="1:12" ht="25" customHeight="1">
      <c r="A7029" s="2" t="s">
        <v>12</v>
      </c>
      <c r="B7029" s="2" t="str">
        <f>HYPERLINK("http://m.12365auto.com/zjdy/20200216/121329.shtml","吉利帝豪GS订购配件一般什么时间到货？")</f>
        <v>吉利帝豪GS订购配件一般什么时间到货？</v>
      </c>
      <c r="C7029" s="2" t="s">
        <v>13</v>
      </c>
      <c r="D7029" s="2" t="s">
        <v>12</v>
      </c>
      <c r="E7029" s="2"/>
      <c r="F7029" s="2" t="str">
        <f>HYPERLINK("http://m.12365auto.com/zjdy/20200216/121329.shtml","http://m.12365auto.com/zjdy/20200216/121329.shtml")</f>
        <v>http://m.12365auto.com/zjdy/20200216/121329.shtml</v>
      </c>
      <c r="G7029" s="2"/>
      <c r="H7029" s="2" t="s">
        <v>9578</v>
      </c>
      <c r="I7029" s="2" t="s">
        <v>19</v>
      </c>
      <c r="J7029" s="2" t="s">
        <v>12</v>
      </c>
      <c r="K7029" s="2" t="s">
        <v>9577</v>
      </c>
      <c r="L7029" s="2">
        <f t="shared" si="109"/>
        <v>28</v>
      </c>
    </row>
    <row r="7030" spans="1:12" ht="25" customHeight="1">
      <c r="A7030" s="2" t="s">
        <v>12</v>
      </c>
      <c r="B7030" s="2" t="str">
        <f>HYPERLINK("http://m.12365auto.com/zjdy/20200216/121330.shtml","北京奔驰A200L运动版该款车值得购买吗？")</f>
        <v>北京奔驰A200L运动版该款车值得购买吗？</v>
      </c>
      <c r="C7030" s="2" t="s">
        <v>13</v>
      </c>
      <c r="D7030" s="2" t="s">
        <v>12</v>
      </c>
      <c r="E7030" s="2"/>
      <c r="F7030" s="2" t="str">
        <f>HYPERLINK("http://m.12365auto.com/zjdy/20200216/121330.shtml","http://m.12365auto.com/zjdy/20200216/121330.shtml")</f>
        <v>http://m.12365auto.com/zjdy/20200216/121330.shtml</v>
      </c>
      <c r="G7030" s="2"/>
      <c r="H7030" s="2" t="s">
        <v>9579</v>
      </c>
      <c r="I7030" s="2" t="s">
        <v>19</v>
      </c>
      <c r="J7030" s="2" t="s">
        <v>12</v>
      </c>
      <c r="K7030" s="2" t="s">
        <v>9580</v>
      </c>
      <c r="L7030" s="2">
        <f t="shared" si="109"/>
        <v>16</v>
      </c>
    </row>
    <row r="7031" spans="1:12" ht="25" customHeight="1">
      <c r="A7031" s="2" t="s">
        <v>12</v>
      </c>
      <c r="B7031" s="2" t="str">
        <f>HYPERLINK("http://m.12365auto.com/zjdy/20200216/121331.shtml","雪佛兰迈锐宝节温器的位置在哪里？")</f>
        <v>雪佛兰迈锐宝节温器的位置在哪里？</v>
      </c>
      <c r="C7031" s="2" t="s">
        <v>13</v>
      </c>
      <c r="D7031" s="2" t="s">
        <v>12</v>
      </c>
      <c r="E7031" s="2"/>
      <c r="F7031" s="2" t="str">
        <f>HYPERLINK("http://m.12365auto.com/zjdy/20200216/121331.shtml","http://m.12365auto.com/zjdy/20200216/121331.shtml")</f>
        <v>http://m.12365auto.com/zjdy/20200216/121331.shtml</v>
      </c>
      <c r="G7031" s="2"/>
      <c r="H7031" s="2" t="s">
        <v>9581</v>
      </c>
      <c r="I7031" s="2" t="s">
        <v>19</v>
      </c>
      <c r="J7031" s="2" t="s">
        <v>12</v>
      </c>
      <c r="K7031" s="2" t="s">
        <v>9582</v>
      </c>
      <c r="L7031" s="2">
        <f t="shared" si="109"/>
        <v>16</v>
      </c>
    </row>
    <row r="7032" spans="1:12" ht="25" customHeight="1">
      <c r="A7032" s="2" t="s">
        <v>12</v>
      </c>
      <c r="B7032" s="2" t="str">
        <f>HYPERLINK("http://m.12365auto.com/zjdy/20200216/121325.shtml","天逸C5 AIRCROSS质量如何有烧机油问题吗？")</f>
        <v>天逸C5 AIRCROSS质量如何有烧机油问题吗？</v>
      </c>
      <c r="C7032" s="2" t="s">
        <v>13</v>
      </c>
      <c r="D7032" s="2" t="s">
        <v>12</v>
      </c>
      <c r="E7032" s="2"/>
      <c r="F7032" s="2" t="str">
        <f>HYPERLINK("http://m.12365auto.com/zjdy/20200216/121325.shtml","http://m.12365auto.com/zjdy/20200216/121325.shtml")</f>
        <v>http://m.12365auto.com/zjdy/20200216/121325.shtml</v>
      </c>
      <c r="G7032" s="2"/>
      <c r="H7032" s="2" t="s">
        <v>9583</v>
      </c>
      <c r="I7032" s="2" t="s">
        <v>19</v>
      </c>
      <c r="J7032" s="2" t="s">
        <v>12</v>
      </c>
      <c r="K7032" s="2" t="s">
        <v>9582</v>
      </c>
      <c r="L7032" s="2">
        <f t="shared" si="109"/>
        <v>32</v>
      </c>
    </row>
    <row r="7033" spans="1:12" ht="25" customHeight="1">
      <c r="A7033" s="2" t="s">
        <v>12</v>
      </c>
      <c r="B7033" s="2" t="str">
        <f>HYPERLINK("http://m.12365auto.com/zjdy/20200217/121332.shtml","华泰圣达菲大灯偶发性不亮是什么原因？")</f>
        <v>华泰圣达菲大灯偶发性不亮是什么原因？</v>
      </c>
      <c r="C7033" s="2" t="s">
        <v>13</v>
      </c>
      <c r="D7033" s="2" t="s">
        <v>12</v>
      </c>
      <c r="E7033" s="2"/>
      <c r="F7033" s="2" t="str">
        <f>HYPERLINK("http://m.12365auto.com/zjdy/20200217/121332.shtml","http://m.12365auto.com/zjdy/20200217/121332.shtml")</f>
        <v>http://m.12365auto.com/zjdy/20200217/121332.shtml</v>
      </c>
      <c r="G7033" s="2"/>
      <c r="H7033" s="2" t="s">
        <v>9584</v>
      </c>
      <c r="I7033" s="2" t="s">
        <v>19</v>
      </c>
      <c r="J7033" s="2" t="s">
        <v>12</v>
      </c>
      <c r="K7033" s="2" t="s">
        <v>9585</v>
      </c>
      <c r="L7033" s="2">
        <f t="shared" si="109"/>
        <v>35</v>
      </c>
    </row>
    <row r="7034" spans="1:12" ht="25" customHeight="1">
      <c r="A7034" s="2" t="s">
        <v>12</v>
      </c>
      <c r="B7034" s="2" t="str">
        <f>HYPERLINK("http://m.12365auto.com/zjdy/20200216/121323.shtml","亚洲龙发动机舱进泥沙应该如何处理？")</f>
        <v>亚洲龙发动机舱进泥沙应该如何处理？</v>
      </c>
      <c r="C7034" s="2" t="s">
        <v>13</v>
      </c>
      <c r="D7034" s="2" t="s">
        <v>12</v>
      </c>
      <c r="E7034" s="2"/>
      <c r="F7034" s="2" t="str">
        <f>HYPERLINK("http://m.12365auto.com/zjdy/20200216/121323.shtml","http://m.12365auto.com/zjdy/20200216/121323.shtml")</f>
        <v>http://m.12365auto.com/zjdy/20200216/121323.shtml</v>
      </c>
      <c r="G7034" s="2"/>
      <c r="H7034" s="2" t="s">
        <v>9586</v>
      </c>
      <c r="I7034" s="2" t="s">
        <v>19</v>
      </c>
      <c r="J7034" s="2" t="s">
        <v>12</v>
      </c>
      <c r="K7034" s="2" t="s">
        <v>9587</v>
      </c>
      <c r="L7034" s="2">
        <f t="shared" si="109"/>
        <v>30</v>
      </c>
    </row>
    <row r="7035" spans="1:12" ht="25" customHeight="1">
      <c r="A7035" s="2" t="s">
        <v>12</v>
      </c>
      <c r="B7035" s="2" t="str">
        <f>HYPERLINK("http://m.12365auto.com/zjdy/20200216/121324.shtml","比亚迪宋pro整体质量如何值得入手吗？")</f>
        <v>比亚迪宋pro整体质量如何值得入手吗？</v>
      </c>
      <c r="C7035" s="2" t="s">
        <v>13</v>
      </c>
      <c r="D7035" s="2" t="s">
        <v>12</v>
      </c>
      <c r="E7035" s="2"/>
      <c r="F7035" s="2" t="str">
        <f>HYPERLINK("http://m.12365auto.com/zjdy/20200216/121324.shtml","http://m.12365auto.com/zjdy/20200216/121324.shtml")</f>
        <v>http://m.12365auto.com/zjdy/20200216/121324.shtml</v>
      </c>
      <c r="G7035" s="2"/>
      <c r="H7035" s="2" t="s">
        <v>9588</v>
      </c>
      <c r="I7035" s="2" t="s">
        <v>19</v>
      </c>
      <c r="J7035" s="2" t="s">
        <v>12</v>
      </c>
      <c r="K7035" s="2" t="s">
        <v>9587</v>
      </c>
      <c r="L7035" s="2">
        <f t="shared" si="109"/>
        <v>31</v>
      </c>
    </row>
    <row r="7036" spans="1:12" ht="25" customHeight="1">
      <c r="A7036" s="2" t="s">
        <v>12</v>
      </c>
      <c r="B7036" s="2" t="str">
        <f>HYPERLINK("http://m.12365auto.com/zjdy/20200216/121322.shtml","丰田雷凌质量如何还有减震器漏油问题吗？")</f>
        <v>丰田雷凌质量如何还有减震器漏油问题吗？</v>
      </c>
      <c r="C7036" s="2" t="s">
        <v>13</v>
      </c>
      <c r="D7036" s="2" t="s">
        <v>12</v>
      </c>
      <c r="E7036" s="2"/>
      <c r="F7036" s="2" t="str">
        <f>HYPERLINK("http://m.12365auto.com/zjdy/20200216/121322.shtml","http://m.12365auto.com/zjdy/20200216/121322.shtml")</f>
        <v>http://m.12365auto.com/zjdy/20200216/121322.shtml</v>
      </c>
      <c r="G7036" s="2"/>
      <c r="H7036" s="2" t="s">
        <v>9589</v>
      </c>
      <c r="I7036" s="2" t="s">
        <v>19</v>
      </c>
      <c r="J7036" s="2" t="s">
        <v>12</v>
      </c>
      <c r="K7036" s="2" t="s">
        <v>9590</v>
      </c>
      <c r="L7036" s="2">
        <f t="shared" si="109"/>
        <v>50</v>
      </c>
    </row>
    <row r="7037" spans="1:12" ht="25" customHeight="1">
      <c r="A7037" s="2" t="s">
        <v>12</v>
      </c>
      <c r="B7037" s="2" t="str">
        <f>HYPERLINK("http://m.12365auto.com/news/20200217/418669.shtml","车辆长期停放 如何有效避免蓄电池亏电？")</f>
        <v>车辆长期停放 如何有效避免蓄电池亏电？</v>
      </c>
      <c r="C7037" s="2" t="s">
        <v>13</v>
      </c>
      <c r="D7037" s="2" t="s">
        <v>12</v>
      </c>
      <c r="E7037" s="2"/>
      <c r="F7037" s="2" t="str">
        <f>HYPERLINK("http://m.12365auto.com/news/20200217/418669.shtml","http://m.12365auto.com/news/20200217/418669.shtml")</f>
        <v>http://m.12365auto.com/news/20200217/418669.shtml</v>
      </c>
      <c r="G7037" s="2"/>
      <c r="H7037" s="2" t="s">
        <v>9591</v>
      </c>
      <c r="I7037" s="2" t="s">
        <v>19</v>
      </c>
      <c r="J7037" s="2" t="s">
        <v>369</v>
      </c>
      <c r="K7037" s="2" t="s">
        <v>9592</v>
      </c>
      <c r="L7037" s="2">
        <f t="shared" si="109"/>
        <v>150</v>
      </c>
    </row>
    <row r="7038" spans="1:12" ht="25" customHeight="1">
      <c r="A7038" s="2" t="s">
        <v>12</v>
      </c>
      <c r="B7038" s="2" t="str">
        <f>HYPERLINK("http://m.12365auto.com/xcdg/20200217/418668.shtml","2019款广汽新能源Aion LX日常实用性测试报告")</f>
        <v>2019款广汽新能源Aion LX日常实用性测试报告</v>
      </c>
      <c r="C7038" s="2" t="s">
        <v>13</v>
      </c>
      <c r="D7038" s="2" t="s">
        <v>12</v>
      </c>
      <c r="E7038" s="2"/>
      <c r="F7038" s="2" t="str">
        <f>HYPERLINK("http://m.12365auto.com/xcdg/20200217/418668.shtml","http://m.12365auto.com/xcdg/20200217/418668.shtml")</f>
        <v>http://m.12365auto.com/xcdg/20200217/418668.shtml</v>
      </c>
      <c r="G7038" s="2"/>
      <c r="H7038" s="2" t="s">
        <v>9593</v>
      </c>
      <c r="I7038" s="2" t="s">
        <v>19</v>
      </c>
      <c r="J7038" s="2" t="s">
        <v>371</v>
      </c>
      <c r="K7038" s="2" t="s">
        <v>9592</v>
      </c>
      <c r="L7038" s="2">
        <f t="shared" si="109"/>
        <v>150</v>
      </c>
    </row>
    <row r="7039" spans="1:12" ht="25" customHeight="1">
      <c r="A7039" s="2" t="s">
        <v>12</v>
      </c>
      <c r="B7039" s="2" t="str">
        <f>HYPERLINK("http://www.12365auto.com/news/20200217/418669.shtml","车辆长期停放 如何有效避免蓄电池亏电？")</f>
        <v>车辆长期停放 如何有效避免蓄电池亏电？</v>
      </c>
      <c r="C7039" s="2" t="s">
        <v>13</v>
      </c>
      <c r="D7039" s="2" t="s">
        <v>12</v>
      </c>
      <c r="E7039" s="2" t="s">
        <v>372</v>
      </c>
      <c r="F7039" s="2" t="str">
        <f>HYPERLINK("http://www.12365auto.com/news/20200217/418669.shtml","http://www.12365auto.com/news/20200217/418669.shtml")</f>
        <v>http://www.12365auto.com/news/20200217/418669.shtml</v>
      </c>
      <c r="G7039" s="2"/>
      <c r="H7039" s="2" t="s">
        <v>9594</v>
      </c>
      <c r="I7039" s="2" t="s">
        <v>15</v>
      </c>
      <c r="J7039" s="2" t="s">
        <v>12</v>
      </c>
      <c r="K7039" s="2" t="s">
        <v>9592</v>
      </c>
      <c r="L7039" s="2">
        <f t="shared" si="109"/>
        <v>150</v>
      </c>
    </row>
    <row r="7040" spans="1:12" ht="25" customHeight="1">
      <c r="A7040" s="2" t="s">
        <v>12</v>
      </c>
      <c r="B7040" s="2" t="str">
        <f>HYPERLINK("http://bbs.12365auto.com/postcontent.aspx?tId=194179","除保养外应该还有哪些用车检查？")</f>
        <v>除保养外应该还有哪些用车检查？</v>
      </c>
      <c r="C7040" s="2" t="s">
        <v>13</v>
      </c>
      <c r="D7040" s="2" t="s">
        <v>12</v>
      </c>
      <c r="E7040" s="2" t="s">
        <v>1397</v>
      </c>
      <c r="F7040" s="2" t="str">
        <f>HYPERLINK("http://bbs.12365auto.com/postcontent.aspx?tId=194179","http://bbs.12365auto.com/postcontent.aspx?tId=194179")</f>
        <v>http://bbs.12365auto.com/postcontent.aspx?tId=194179</v>
      </c>
      <c r="G7040" s="2"/>
      <c r="H7040" s="2" t="s">
        <v>9595</v>
      </c>
      <c r="I7040" s="2" t="s">
        <v>15</v>
      </c>
      <c r="J7040" s="2" t="s">
        <v>2201</v>
      </c>
      <c r="K7040" s="2" t="s">
        <v>9596</v>
      </c>
      <c r="L7040" s="2">
        <f t="shared" si="109"/>
        <v>150</v>
      </c>
    </row>
    <row r="7041" spans="1:12" ht="25" customHeight="1">
      <c r="A7041" s="2" t="s">
        <v>12</v>
      </c>
      <c r="B7041" s="2" t="str">
        <f>HYPERLINK("http://m.12365auto.com/bbs/postcontent.aspx?tID=194179","除保养外应该还有哪些用车检查？")</f>
        <v>除保养外应该还有哪些用车检查？</v>
      </c>
      <c r="C7041" s="2" t="s">
        <v>13</v>
      </c>
      <c r="D7041" s="2" t="s">
        <v>23</v>
      </c>
      <c r="E7041" s="2"/>
      <c r="F7041" s="2" t="str">
        <f>HYPERLINK("http://m.12365auto.com/bbs/postcontent.aspx?tID=194179","http://m.12365auto.com/bbs/postcontent.aspx?tID=194179")</f>
        <v>http://m.12365auto.com/bbs/postcontent.aspx?tID=194179</v>
      </c>
      <c r="G7041" s="2"/>
      <c r="H7041" s="2" t="s">
        <v>9595</v>
      </c>
      <c r="I7041" s="2" t="s">
        <v>15</v>
      </c>
      <c r="J7041" s="2" t="s">
        <v>2201</v>
      </c>
      <c r="K7041" s="2" t="s">
        <v>9596</v>
      </c>
      <c r="L7041" s="2">
        <f t="shared" si="109"/>
        <v>150</v>
      </c>
    </row>
    <row r="7042" spans="1:12" ht="25" customHeight="1">
      <c r="A7042" s="2" t="s">
        <v>12</v>
      </c>
      <c r="B7042" s="2" t="str">
        <f>HYPERLINK("http://bbs.12365auto.com/postcontent.aspx?tID=194179","除保养外应该还有哪些用车检查？")</f>
        <v>除保养外应该还有哪些用车检查？</v>
      </c>
      <c r="C7042" s="2" t="s">
        <v>13</v>
      </c>
      <c r="D7042" s="2" t="s">
        <v>12</v>
      </c>
      <c r="E7042" s="2" t="s">
        <v>1393</v>
      </c>
      <c r="F7042" s="2" t="str">
        <f>HYPERLINK("http://bbs.12365auto.com/postcontent.aspx?tID=194179","http://bbs.12365auto.com/postcontent.aspx?tID=194179")</f>
        <v>http://bbs.12365auto.com/postcontent.aspx?tID=194179</v>
      </c>
      <c r="G7042" s="2"/>
      <c r="H7042" s="2" t="s">
        <v>9597</v>
      </c>
      <c r="I7042" s="2" t="s">
        <v>15</v>
      </c>
      <c r="J7042" s="2" t="s">
        <v>2201</v>
      </c>
      <c r="K7042" s="2" t="s">
        <v>9596</v>
      </c>
      <c r="L7042" s="2">
        <f t="shared" si="109"/>
        <v>150</v>
      </c>
    </row>
    <row r="7043" spans="1:12" ht="25" customHeight="1">
      <c r="A7043" s="2" t="s">
        <v>12</v>
      </c>
      <c r="B7043" s="2" t="str">
        <f>HYPERLINK("http://www.12365auto.com/zlts/20200217/447473.shtml","车机系统不好用刹车异响车顶行李架上翘起")</f>
        <v>车机系统不好用刹车异响车顶行李架上翘起</v>
      </c>
      <c r="C7043" s="2" t="s">
        <v>13</v>
      </c>
      <c r="D7043" s="2" t="s">
        <v>12</v>
      </c>
      <c r="E7043" s="2"/>
      <c r="F7043" s="2" t="str">
        <f>HYPERLINK("http://www.12365auto.com/zlts/20200217/447473.shtml","http://www.12365auto.com/zlts/20200217/447473.shtml")</f>
        <v>http://www.12365auto.com/zlts/20200217/447473.shtml</v>
      </c>
      <c r="G7043" s="2"/>
      <c r="H7043" s="2" t="s">
        <v>9599</v>
      </c>
      <c r="I7043" s="2" t="s">
        <v>15</v>
      </c>
      <c r="J7043" s="2" t="s">
        <v>12</v>
      </c>
      <c r="K7043" s="2" t="s">
        <v>9598</v>
      </c>
      <c r="L7043" s="2">
        <f t="shared" ref="L7043:L7106" si="110">LEN(H7043)</f>
        <v>81</v>
      </c>
    </row>
    <row r="7044" spans="1:12" ht="25" customHeight="1">
      <c r="A7044" s="2" t="s">
        <v>12</v>
      </c>
      <c r="B7044" s="2" t="str">
        <f>HYPERLINK("http://www.12365auto.com/zlts/20200217/447470.shtml","变速箱机电单元2年就报废了吗？")</f>
        <v>变速箱机电单元2年就报废了吗？</v>
      </c>
      <c r="C7044" s="2" t="s">
        <v>13</v>
      </c>
      <c r="D7044" s="2" t="s">
        <v>12</v>
      </c>
      <c r="E7044" s="2"/>
      <c r="F7044" s="2" t="str">
        <f>HYPERLINK("http://www.12365auto.com/zlts/20200217/447470.shtml","http://www.12365auto.com/zlts/20200217/447470.shtml")</f>
        <v>http://www.12365auto.com/zlts/20200217/447470.shtml</v>
      </c>
      <c r="G7044" s="2"/>
      <c r="H7044" s="2" t="s">
        <v>9601</v>
      </c>
      <c r="I7044" s="2" t="s">
        <v>15</v>
      </c>
      <c r="J7044" s="2" t="s">
        <v>12</v>
      </c>
      <c r="K7044" s="2" t="s">
        <v>9600</v>
      </c>
      <c r="L7044" s="2">
        <f t="shared" si="110"/>
        <v>80</v>
      </c>
    </row>
    <row r="7045" spans="1:12" ht="25" customHeight="1">
      <c r="A7045" s="2" t="s">
        <v>12</v>
      </c>
      <c r="B7045" s="2" t="str">
        <f>HYPERLINK("http://www.12365auto.com/zlts/20200217/447469.shtml","雨刷器间歇性工作")</f>
        <v>雨刷器间歇性工作</v>
      </c>
      <c r="C7045" s="2" t="s">
        <v>13</v>
      </c>
      <c r="D7045" s="2" t="s">
        <v>12</v>
      </c>
      <c r="E7045" s="2"/>
      <c r="F7045" s="2" t="str">
        <f>HYPERLINK("http://www.12365auto.com/zlts/20200217/447469.shtml","http://www.12365auto.com/zlts/20200217/447469.shtml")</f>
        <v>http://www.12365auto.com/zlts/20200217/447469.shtml</v>
      </c>
      <c r="G7045" s="2"/>
      <c r="H7045" s="2" t="s">
        <v>9603</v>
      </c>
      <c r="I7045" s="2" t="s">
        <v>15</v>
      </c>
      <c r="J7045" s="2" t="s">
        <v>12</v>
      </c>
      <c r="K7045" s="2" t="s">
        <v>9602</v>
      </c>
      <c r="L7045" s="2">
        <f t="shared" si="110"/>
        <v>82</v>
      </c>
    </row>
    <row r="7046" spans="1:12" ht="25" customHeight="1">
      <c r="A7046" s="2" t="s">
        <v>12</v>
      </c>
      <c r="B7046" s="2" t="str">
        <f>HYPERLINK("http://www.12365auto.com/zlts/20200216/447468.shtml","机油散热器故障")</f>
        <v>机油散热器故障</v>
      </c>
      <c r="C7046" s="2" t="s">
        <v>13</v>
      </c>
      <c r="D7046" s="2" t="s">
        <v>12</v>
      </c>
      <c r="E7046" s="2"/>
      <c r="F7046" s="2" t="str">
        <f>HYPERLINK("http://www.12365auto.com/zlts/20200216/447468.shtml","http://www.12365auto.com/zlts/20200216/447468.shtml")</f>
        <v>http://www.12365auto.com/zlts/20200216/447468.shtml</v>
      </c>
      <c r="G7046" s="2"/>
      <c r="H7046" s="2" t="s">
        <v>9605</v>
      </c>
      <c r="I7046" s="2" t="s">
        <v>15</v>
      </c>
      <c r="J7046" s="2" t="s">
        <v>12</v>
      </c>
      <c r="K7046" s="2" t="s">
        <v>9604</v>
      </c>
      <c r="L7046" s="2">
        <f t="shared" si="110"/>
        <v>83</v>
      </c>
    </row>
    <row r="7047" spans="1:12" ht="25" customHeight="1">
      <c r="A7047" s="2" t="s">
        <v>12</v>
      </c>
      <c r="B7047" s="2" t="str">
        <f>HYPERLINK("http://www.12365auto.com/zlts/20200216/447465.shtml","高速行驶突然熄火")</f>
        <v>高速行驶突然熄火</v>
      </c>
      <c r="C7047" s="2" t="s">
        <v>13</v>
      </c>
      <c r="D7047" s="2" t="s">
        <v>12</v>
      </c>
      <c r="E7047" s="2"/>
      <c r="F7047" s="2" t="str">
        <f>HYPERLINK("http://www.12365auto.com/zlts/20200216/447465.shtml","http://www.12365auto.com/zlts/20200216/447465.shtml")</f>
        <v>http://www.12365auto.com/zlts/20200216/447465.shtml</v>
      </c>
      <c r="G7047" s="2"/>
      <c r="H7047" s="2" t="s">
        <v>9607</v>
      </c>
      <c r="I7047" s="2" t="s">
        <v>15</v>
      </c>
      <c r="J7047" s="2" t="s">
        <v>12</v>
      </c>
      <c r="K7047" s="2" t="s">
        <v>9606</v>
      </c>
      <c r="L7047" s="2">
        <f t="shared" si="110"/>
        <v>79</v>
      </c>
    </row>
    <row r="7048" spans="1:12" ht="25" customHeight="1">
      <c r="A7048" s="2" t="s">
        <v>12</v>
      </c>
      <c r="B7048" s="2" t="str">
        <f>HYPERLINK("http://www.12365auto.com/zlts/20200216/447466.shtml","东风本田INSPIRE发动机高压油泵异响")</f>
        <v>东风本田INSPIRE发动机高压油泵异响</v>
      </c>
      <c r="C7048" s="2" t="s">
        <v>13</v>
      </c>
      <c r="D7048" s="2" t="s">
        <v>12</v>
      </c>
      <c r="E7048" s="2" t="s">
        <v>17</v>
      </c>
      <c r="F7048" s="2" t="str">
        <f>HYPERLINK("http://www.12365auto.com/zlts/20200216/447466.shtml","http://www.12365auto.com/zlts/20200216/447466.shtml")</f>
        <v>http://www.12365auto.com/zlts/20200216/447466.shtml</v>
      </c>
      <c r="G7048" s="2"/>
      <c r="H7048" s="2" t="s">
        <v>9608</v>
      </c>
      <c r="I7048" s="2" t="s">
        <v>19</v>
      </c>
      <c r="J7048" s="2" t="s">
        <v>12</v>
      </c>
      <c r="K7048" s="2" t="s">
        <v>9609</v>
      </c>
      <c r="L7048" s="2">
        <f t="shared" si="110"/>
        <v>150</v>
      </c>
    </row>
    <row r="7049" spans="1:12" ht="25" customHeight="1">
      <c r="A7049" s="2" t="s">
        <v>12</v>
      </c>
      <c r="B7049" s="2" t="str">
        <f>HYPERLINK("http://www.12365auto.com/zlts/20200216/447462.shtml","一汽大众速腾刹车异响希望厂家处理问题")</f>
        <v>一汽大众速腾刹车异响希望厂家处理问题</v>
      </c>
      <c r="C7049" s="2" t="s">
        <v>13</v>
      </c>
      <c r="D7049" s="2" t="s">
        <v>12</v>
      </c>
      <c r="E7049" s="2" t="s">
        <v>17</v>
      </c>
      <c r="F7049" s="2" t="str">
        <f>HYPERLINK("http://www.12365auto.com/zlts/20200216/447462.shtml","http://www.12365auto.com/zlts/20200216/447462.shtml")</f>
        <v>http://www.12365auto.com/zlts/20200216/447462.shtml</v>
      </c>
      <c r="G7049" s="2"/>
      <c r="H7049" s="2" t="s">
        <v>9610</v>
      </c>
      <c r="I7049" s="2" t="s">
        <v>19</v>
      </c>
      <c r="J7049" s="2" t="s">
        <v>12</v>
      </c>
      <c r="K7049" s="2" t="s">
        <v>9611</v>
      </c>
      <c r="L7049" s="2">
        <f t="shared" si="110"/>
        <v>150</v>
      </c>
    </row>
    <row r="7050" spans="1:12" ht="25" customHeight="1">
      <c r="A7050" s="2" t="s">
        <v>12</v>
      </c>
      <c r="B7050" s="2" t="str">
        <f>HYPERLINK("http://www.12365auto.com/zlts/20200216/447461.shtml","广汽丰田汉兰达后曲轴油封漏油严重")</f>
        <v>广汽丰田汉兰达后曲轴油封漏油严重</v>
      </c>
      <c r="C7050" s="2" t="s">
        <v>13</v>
      </c>
      <c r="D7050" s="2" t="s">
        <v>12</v>
      </c>
      <c r="E7050" s="2" t="s">
        <v>17</v>
      </c>
      <c r="F7050" s="2" t="str">
        <f>HYPERLINK("http://www.12365auto.com/zlts/20200216/447461.shtml","http://www.12365auto.com/zlts/20200216/447461.shtml")</f>
        <v>http://www.12365auto.com/zlts/20200216/447461.shtml</v>
      </c>
      <c r="G7050" s="2"/>
      <c r="H7050" s="2" t="s">
        <v>9612</v>
      </c>
      <c r="I7050" s="2" t="s">
        <v>19</v>
      </c>
      <c r="J7050" s="2" t="s">
        <v>12</v>
      </c>
      <c r="K7050" s="2" t="s">
        <v>9613</v>
      </c>
      <c r="L7050" s="2">
        <f t="shared" si="110"/>
        <v>150</v>
      </c>
    </row>
    <row r="7051" spans="1:12" ht="25" customHeight="1">
      <c r="A7051" s="2" t="s">
        <v>12</v>
      </c>
      <c r="B7051" s="2" t="str">
        <f>HYPERLINK("http://www.12365auto.com/zlts/20200216/447456.shtml","斯柯达大成鸿远4S店欺诈消费者，上汽大众漠视不理")</f>
        <v>斯柯达大成鸿远4S店欺诈消费者，上汽大众漠视不理</v>
      </c>
      <c r="C7051" s="2" t="s">
        <v>13</v>
      </c>
      <c r="D7051" s="2" t="s">
        <v>12</v>
      </c>
      <c r="E7051" s="2"/>
      <c r="F7051" s="2" t="str">
        <f>HYPERLINK("http://www.12365auto.com/zlts/20200216/447456.shtml","http://www.12365auto.com/zlts/20200216/447456.shtml")</f>
        <v>http://www.12365auto.com/zlts/20200216/447456.shtml</v>
      </c>
      <c r="G7051" s="2"/>
      <c r="H7051" s="2" t="s">
        <v>9615</v>
      </c>
      <c r="I7051" s="2" t="s">
        <v>15</v>
      </c>
      <c r="J7051" s="2" t="s">
        <v>12</v>
      </c>
      <c r="K7051" s="2" t="s">
        <v>9614</v>
      </c>
      <c r="L7051" s="2">
        <f t="shared" si="110"/>
        <v>86</v>
      </c>
    </row>
    <row r="7052" spans="1:12" ht="25" customHeight="1">
      <c r="A7052" s="2" t="s">
        <v>12</v>
      </c>
      <c r="B7052" s="2" t="str">
        <f>HYPERLINK("http://www.12365auto.com/zlts/20200216/447459.shtml","一汽大众奥迪A4L防冻液渗漏希望厂家处理")</f>
        <v>一汽大众奥迪A4L防冻液渗漏希望厂家处理</v>
      </c>
      <c r="C7052" s="2" t="s">
        <v>13</v>
      </c>
      <c r="D7052" s="2" t="s">
        <v>12</v>
      </c>
      <c r="E7052" s="2" t="s">
        <v>17</v>
      </c>
      <c r="F7052" s="2" t="str">
        <f>HYPERLINK("http://www.12365auto.com/zlts/20200216/447459.shtml","http://www.12365auto.com/zlts/20200216/447459.shtml")</f>
        <v>http://www.12365auto.com/zlts/20200216/447459.shtml</v>
      </c>
      <c r="G7052" s="2"/>
      <c r="H7052" s="2" t="s">
        <v>9616</v>
      </c>
      <c r="I7052" s="2" t="s">
        <v>19</v>
      </c>
      <c r="J7052" s="2" t="s">
        <v>12</v>
      </c>
      <c r="K7052" s="2" t="s">
        <v>9617</v>
      </c>
      <c r="L7052" s="2">
        <f t="shared" si="110"/>
        <v>150</v>
      </c>
    </row>
    <row r="7053" spans="1:12" ht="25" customHeight="1">
      <c r="A7053" s="2" t="s">
        <v>12</v>
      </c>
      <c r="B7053" s="2" t="str">
        <f>HYPERLINK("http://www.12365auto.com/zlts/20200216/447455.shtml","车库停车3天后全车没电。")</f>
        <v>车库停车3天后全车没电。</v>
      </c>
      <c r="C7053" s="2" t="s">
        <v>13</v>
      </c>
      <c r="D7053" s="2" t="s">
        <v>12</v>
      </c>
      <c r="E7053" s="2"/>
      <c r="F7053" s="2" t="str">
        <f>HYPERLINK("http://www.12365auto.com/zlts/20200216/447455.shtml","http://www.12365auto.com/zlts/20200216/447455.shtml")</f>
        <v>http://www.12365auto.com/zlts/20200216/447455.shtml</v>
      </c>
      <c r="G7053" s="2"/>
      <c r="H7053" s="2" t="s">
        <v>9619</v>
      </c>
      <c r="I7053" s="2" t="s">
        <v>15</v>
      </c>
      <c r="J7053" s="2" t="s">
        <v>12</v>
      </c>
      <c r="K7053" s="2" t="s">
        <v>9618</v>
      </c>
      <c r="L7053" s="2">
        <f t="shared" si="110"/>
        <v>83</v>
      </c>
    </row>
    <row r="7054" spans="1:12" ht="25" customHeight="1">
      <c r="A7054" s="2" t="s">
        <v>12</v>
      </c>
      <c r="B7054" s="2" t="str">
        <f>HYPERLINK("http://www.12365auto.com/zlts/20200216/447454.shtml","刹车异响车灯进水顶棚共振")</f>
        <v>刹车异响车灯进水顶棚共振</v>
      </c>
      <c r="C7054" s="2" t="s">
        <v>13</v>
      </c>
      <c r="D7054" s="2" t="s">
        <v>12</v>
      </c>
      <c r="E7054" s="2"/>
      <c r="F7054" s="2" t="str">
        <f>HYPERLINK("http://www.12365auto.com/zlts/20200216/447454.shtml","http://www.12365auto.com/zlts/20200216/447454.shtml")</f>
        <v>http://www.12365auto.com/zlts/20200216/447454.shtml</v>
      </c>
      <c r="G7054" s="2"/>
      <c r="H7054" s="2" t="s">
        <v>9621</v>
      </c>
      <c r="I7054" s="2" t="s">
        <v>15</v>
      </c>
      <c r="J7054" s="2" t="s">
        <v>12</v>
      </c>
      <c r="K7054" s="2" t="s">
        <v>9620</v>
      </c>
      <c r="L7054" s="2">
        <f t="shared" si="110"/>
        <v>81</v>
      </c>
    </row>
    <row r="7055" spans="1:12" ht="25" customHeight="1">
      <c r="A7055" s="2" t="s">
        <v>12</v>
      </c>
      <c r="B7055" s="2" t="str">
        <f>HYPERLINK("http://bbs.12365auto.com/postcontent.aspx?tID=194177","朗逸400多公里出现故障 厂家不给解决")</f>
        <v>朗逸400多公里出现故障 厂家不给解决</v>
      </c>
      <c r="C7055" s="2" t="s">
        <v>13</v>
      </c>
      <c r="D7055" s="2" t="s">
        <v>12</v>
      </c>
      <c r="E7055" s="2" t="s">
        <v>67</v>
      </c>
      <c r="F7055" s="2" t="str">
        <f>HYPERLINK("http://bbs.12365auto.com/postcontent.aspx?tID=194177","http://bbs.12365auto.com/postcontent.aspx?tID=194177")</f>
        <v>http://bbs.12365auto.com/postcontent.aspx?tID=194177</v>
      </c>
      <c r="G7055" s="2"/>
      <c r="H7055" s="2" t="s">
        <v>9622</v>
      </c>
      <c r="I7055" s="2" t="s">
        <v>15</v>
      </c>
      <c r="J7055" s="2" t="s">
        <v>9623</v>
      </c>
      <c r="K7055" s="2" t="s">
        <v>9624</v>
      </c>
      <c r="L7055" s="2">
        <f t="shared" si="110"/>
        <v>115</v>
      </c>
    </row>
    <row r="7056" spans="1:12" ht="25" customHeight="1">
      <c r="A7056" s="2" t="s">
        <v>12</v>
      </c>
      <c r="B7056" s="2" t="str">
        <f>HYPERLINK("http://www.12365auto.com/zlts/20200216/447453.shtml","电瓶质量太差，跟换电瓶后依然亏电")</f>
        <v>电瓶质量太差，跟换电瓶后依然亏电</v>
      </c>
      <c r="C7056" s="2" t="s">
        <v>13</v>
      </c>
      <c r="D7056" s="2" t="s">
        <v>12</v>
      </c>
      <c r="E7056" s="2"/>
      <c r="F7056" s="2" t="str">
        <f>HYPERLINK("http://www.12365auto.com/zlts/20200216/447453.shtml","http://www.12365auto.com/zlts/20200216/447453.shtml")</f>
        <v>http://www.12365auto.com/zlts/20200216/447453.shtml</v>
      </c>
      <c r="G7056" s="2"/>
      <c r="H7056" s="2" t="s">
        <v>9626</v>
      </c>
      <c r="I7056" s="2" t="s">
        <v>15</v>
      </c>
      <c r="J7056" s="2" t="s">
        <v>12</v>
      </c>
      <c r="K7056" s="2" t="s">
        <v>9625</v>
      </c>
      <c r="L7056" s="2">
        <f t="shared" si="110"/>
        <v>81</v>
      </c>
    </row>
    <row r="7057" spans="1:12" ht="25" customHeight="1">
      <c r="A7057" s="2" t="s">
        <v>12</v>
      </c>
      <c r="B7057" s="2" t="str">
        <f>HYPERLINK("http://www.12365auto.com/zlts/20200216/447452.shtml","东风雪铁龙C4世嘉行驶时方向盘晃动明显")</f>
        <v>东风雪铁龙C4世嘉行驶时方向盘晃动明显</v>
      </c>
      <c r="C7057" s="2" t="s">
        <v>13</v>
      </c>
      <c r="D7057" s="2" t="s">
        <v>12</v>
      </c>
      <c r="E7057" s="2" t="s">
        <v>17</v>
      </c>
      <c r="F7057" s="2" t="str">
        <f>HYPERLINK("http://www.12365auto.com/zlts/20200216/447452.shtml","http://www.12365auto.com/zlts/20200216/447452.shtml")</f>
        <v>http://www.12365auto.com/zlts/20200216/447452.shtml</v>
      </c>
      <c r="G7057" s="2"/>
      <c r="H7057" s="2" t="s">
        <v>9627</v>
      </c>
      <c r="I7057" s="2" t="s">
        <v>19</v>
      </c>
      <c r="J7057" s="2" t="s">
        <v>12</v>
      </c>
      <c r="K7057" s="2" t="s">
        <v>9628</v>
      </c>
      <c r="L7057" s="2">
        <f t="shared" si="110"/>
        <v>150</v>
      </c>
    </row>
    <row r="7058" spans="1:12" ht="25" customHeight="1">
      <c r="A7058" s="2" t="s">
        <v>12</v>
      </c>
      <c r="B7058" s="2" t="str">
        <f>HYPERLINK("http://www.12365auto.com/zlts/20200216/447451.shtml","北京BJ20车顶漏水严重售后服务推脱")</f>
        <v>北京BJ20车顶漏水严重售后服务推脱</v>
      </c>
      <c r="C7058" s="2" t="s">
        <v>13</v>
      </c>
      <c r="D7058" s="2" t="s">
        <v>12</v>
      </c>
      <c r="E7058" s="2" t="s">
        <v>17</v>
      </c>
      <c r="F7058" s="2" t="str">
        <f>HYPERLINK("http://www.12365auto.com/zlts/20200216/447451.shtml","http://www.12365auto.com/zlts/20200216/447451.shtml")</f>
        <v>http://www.12365auto.com/zlts/20200216/447451.shtml</v>
      </c>
      <c r="G7058" s="2"/>
      <c r="H7058" s="2" t="s">
        <v>9629</v>
      </c>
      <c r="I7058" s="2" t="s">
        <v>19</v>
      </c>
      <c r="J7058" s="2" t="s">
        <v>12</v>
      </c>
      <c r="K7058" s="2" t="s">
        <v>9630</v>
      </c>
      <c r="L7058" s="2">
        <f t="shared" si="110"/>
        <v>150</v>
      </c>
    </row>
    <row r="7059" spans="1:12" ht="25" customHeight="1">
      <c r="A7059" s="2" t="s">
        <v>12</v>
      </c>
      <c r="B7059" s="2" t="str">
        <f>HYPERLINK("http://www.12365auto.com/zlts/20200216/447444.shtml","后车门出现起锈情况")</f>
        <v>后车门出现起锈情况</v>
      </c>
      <c r="C7059" s="2" t="s">
        <v>13</v>
      </c>
      <c r="D7059" s="2" t="s">
        <v>12</v>
      </c>
      <c r="E7059" s="2"/>
      <c r="F7059" s="2" t="str">
        <f>HYPERLINK("http://www.12365auto.com/zlts/20200216/447444.shtml","http://www.12365auto.com/zlts/20200216/447444.shtml")</f>
        <v>http://www.12365auto.com/zlts/20200216/447444.shtml</v>
      </c>
      <c r="G7059" s="2"/>
      <c r="H7059" s="2" t="s">
        <v>9632</v>
      </c>
      <c r="I7059" s="2" t="s">
        <v>15</v>
      </c>
      <c r="J7059" s="2" t="s">
        <v>12</v>
      </c>
      <c r="K7059" s="2" t="s">
        <v>9631</v>
      </c>
      <c r="L7059" s="2">
        <f t="shared" si="110"/>
        <v>83</v>
      </c>
    </row>
    <row r="7060" spans="1:12" ht="25" customHeight="1">
      <c r="A7060" s="2" t="s">
        <v>12</v>
      </c>
      <c r="B7060" s="2" t="str">
        <f>HYPERLINK("http://www.12365auto.com/zlts/20200216/447445.shtml","里程掉电")</f>
        <v>里程掉电</v>
      </c>
      <c r="C7060" s="2" t="s">
        <v>13</v>
      </c>
      <c r="D7060" s="2" t="s">
        <v>12</v>
      </c>
      <c r="E7060" s="2"/>
      <c r="F7060" s="2" t="str">
        <f>HYPERLINK("http://www.12365auto.com/zlts/20200216/447445.shtml","http://www.12365auto.com/zlts/20200216/447445.shtml")</f>
        <v>http://www.12365auto.com/zlts/20200216/447445.shtml</v>
      </c>
      <c r="G7060" s="2"/>
      <c r="H7060" s="2" t="s">
        <v>9634</v>
      </c>
      <c r="I7060" s="2" t="s">
        <v>15</v>
      </c>
      <c r="J7060" s="2" t="s">
        <v>12</v>
      </c>
      <c r="K7060" s="2" t="s">
        <v>9633</v>
      </c>
      <c r="L7060" s="2">
        <f t="shared" si="110"/>
        <v>78</v>
      </c>
    </row>
    <row r="7061" spans="1:12" ht="25" customHeight="1">
      <c r="A7061" s="2" t="s">
        <v>12</v>
      </c>
      <c r="B7061" s="2" t="str">
        <f>HYPERLINK("http://www.12365auto.com/zlts/20200216/447449.shtml","上汽荣威350发动机正时链条拉长要求解决")</f>
        <v>上汽荣威350发动机正时链条拉长要求解决</v>
      </c>
      <c r="C7061" s="2" t="s">
        <v>13</v>
      </c>
      <c r="D7061" s="2" t="s">
        <v>12</v>
      </c>
      <c r="E7061" s="2" t="s">
        <v>17</v>
      </c>
      <c r="F7061" s="2" t="str">
        <f>HYPERLINK("http://www.12365auto.com/zlts/20200216/447449.shtml","http://www.12365auto.com/zlts/20200216/447449.shtml")</f>
        <v>http://www.12365auto.com/zlts/20200216/447449.shtml</v>
      </c>
      <c r="G7061" s="2"/>
      <c r="H7061" s="2" t="s">
        <v>9635</v>
      </c>
      <c r="I7061" s="2" t="s">
        <v>19</v>
      </c>
      <c r="J7061" s="2" t="s">
        <v>12</v>
      </c>
      <c r="K7061" s="2" t="s">
        <v>9636</v>
      </c>
      <c r="L7061" s="2">
        <f t="shared" si="110"/>
        <v>150</v>
      </c>
    </row>
    <row r="7062" spans="1:12" ht="25" customHeight="1">
      <c r="A7062" s="2" t="s">
        <v>12</v>
      </c>
      <c r="B7062" s="2" t="str">
        <f>HYPERLINK("http://www.12365auto.com/zlts/20200216/447446.shtml","东风本田思域锁车后转向灯一直闪烁")</f>
        <v>东风本田思域锁车后转向灯一直闪烁</v>
      </c>
      <c r="C7062" s="2" t="s">
        <v>13</v>
      </c>
      <c r="D7062" s="2" t="s">
        <v>12</v>
      </c>
      <c r="E7062" s="2" t="s">
        <v>17</v>
      </c>
      <c r="F7062" s="2" t="str">
        <f>HYPERLINK("http://www.12365auto.com/zlts/20200216/447446.shtml","http://www.12365auto.com/zlts/20200216/447446.shtml")</f>
        <v>http://www.12365auto.com/zlts/20200216/447446.shtml</v>
      </c>
      <c r="G7062" s="2"/>
      <c r="H7062" s="2" t="s">
        <v>9637</v>
      </c>
      <c r="I7062" s="2" t="s">
        <v>19</v>
      </c>
      <c r="J7062" s="2" t="s">
        <v>12</v>
      </c>
      <c r="K7062" s="2" t="s">
        <v>9638</v>
      </c>
      <c r="L7062" s="2">
        <f t="shared" si="110"/>
        <v>150</v>
      </c>
    </row>
    <row r="7063" spans="1:12" ht="25" customHeight="1">
      <c r="A7063" s="2" t="s">
        <v>12</v>
      </c>
      <c r="B7063" s="2" t="str">
        <f>HYPERLINK("http://www.12365auto.com/zlts/20200216/447442.shtml","奇瑞艾瑞泽5减震器异响 刹车生锈要求解决")</f>
        <v>奇瑞艾瑞泽5减震器异响 刹车生锈要求解决</v>
      </c>
      <c r="C7063" s="2" t="s">
        <v>13</v>
      </c>
      <c r="D7063" s="2" t="s">
        <v>12</v>
      </c>
      <c r="E7063" s="2" t="s">
        <v>17</v>
      </c>
      <c r="F7063" s="2" t="str">
        <f>HYPERLINK("http://www.12365auto.com/zlts/20200216/447442.shtml","http://www.12365auto.com/zlts/20200216/447442.shtml")</f>
        <v>http://www.12365auto.com/zlts/20200216/447442.shtml</v>
      </c>
      <c r="G7063" s="2"/>
      <c r="H7063" s="2" t="s">
        <v>9639</v>
      </c>
      <c r="I7063" s="2" t="s">
        <v>19</v>
      </c>
      <c r="J7063" s="2" t="s">
        <v>12</v>
      </c>
      <c r="K7063" s="2" t="s">
        <v>9640</v>
      </c>
      <c r="L7063" s="2">
        <f t="shared" si="110"/>
        <v>150</v>
      </c>
    </row>
    <row r="7064" spans="1:12" ht="25" customHeight="1">
      <c r="A7064" s="2" t="s">
        <v>12</v>
      </c>
      <c r="B7064" s="2" t="str">
        <f>HYPERLINK("http://www.12365auto.com/zlts/20200216/447441.shtml","奇瑞艾瑞泽GX起步加速发动机舱内异响")</f>
        <v>奇瑞艾瑞泽GX起步加速发动机舱内异响</v>
      </c>
      <c r="C7064" s="2" t="s">
        <v>13</v>
      </c>
      <c r="D7064" s="2" t="s">
        <v>12</v>
      </c>
      <c r="E7064" s="2" t="s">
        <v>17</v>
      </c>
      <c r="F7064" s="2" t="str">
        <f>HYPERLINK("http://www.12365auto.com/zlts/20200216/447441.shtml","http://www.12365auto.com/zlts/20200216/447441.shtml")</f>
        <v>http://www.12365auto.com/zlts/20200216/447441.shtml</v>
      </c>
      <c r="G7064" s="2"/>
      <c r="H7064" s="2" t="s">
        <v>9641</v>
      </c>
      <c r="I7064" s="2" t="s">
        <v>19</v>
      </c>
      <c r="J7064" s="2" t="s">
        <v>12</v>
      </c>
      <c r="K7064" s="2" t="s">
        <v>9642</v>
      </c>
      <c r="L7064" s="2">
        <f t="shared" si="110"/>
        <v>150</v>
      </c>
    </row>
    <row r="7065" spans="1:12" ht="25" customHeight="1">
      <c r="A7065" s="2" t="s">
        <v>12</v>
      </c>
      <c r="B7065" s="2" t="str">
        <f>HYPERLINK("http://www.12365auto.com/zlts/20200216/447439.shtml","广汽本田缤智副驾驶储物箱位置异响")</f>
        <v>广汽本田缤智副驾驶储物箱位置异响</v>
      </c>
      <c r="C7065" s="2" t="s">
        <v>13</v>
      </c>
      <c r="D7065" s="2" t="s">
        <v>12</v>
      </c>
      <c r="E7065" s="2" t="s">
        <v>17</v>
      </c>
      <c r="F7065" s="2" t="str">
        <f>HYPERLINK("http://www.12365auto.com/zlts/20200216/447439.shtml","http://www.12365auto.com/zlts/20200216/447439.shtml")</f>
        <v>http://www.12365auto.com/zlts/20200216/447439.shtml</v>
      </c>
      <c r="G7065" s="2"/>
      <c r="H7065" s="2" t="s">
        <v>9643</v>
      </c>
      <c r="I7065" s="2" t="s">
        <v>19</v>
      </c>
      <c r="J7065" s="2" t="s">
        <v>12</v>
      </c>
      <c r="K7065" s="2" t="s">
        <v>9644</v>
      </c>
      <c r="L7065" s="2">
        <f t="shared" si="110"/>
        <v>150</v>
      </c>
    </row>
    <row r="7066" spans="1:12" ht="25" customHeight="1">
      <c r="A7066" s="2" t="s">
        <v>12</v>
      </c>
      <c r="B7066" s="2" t="str">
        <f>HYPERLINK("http://www.12365auto.com/zlts/20200216/447432.shtml","猎豹CS10天窗异响 P挡溜车 刹车偏软")</f>
        <v>猎豹CS10天窗异响 P挡溜车 刹车偏软</v>
      </c>
      <c r="C7066" s="2" t="s">
        <v>13</v>
      </c>
      <c r="D7066" s="2" t="s">
        <v>12</v>
      </c>
      <c r="E7066" s="2"/>
      <c r="F7066" s="2" t="str">
        <f>HYPERLINK("http://www.12365auto.com/zlts/20200216/447432.shtml","http://www.12365auto.com/zlts/20200216/447432.shtml")</f>
        <v>http://www.12365auto.com/zlts/20200216/447432.shtml</v>
      </c>
      <c r="G7066" s="2"/>
      <c r="H7066" s="2" t="s">
        <v>9646</v>
      </c>
      <c r="I7066" s="2" t="s">
        <v>15</v>
      </c>
      <c r="J7066" s="2" t="s">
        <v>12</v>
      </c>
      <c r="K7066" s="2" t="s">
        <v>9645</v>
      </c>
      <c r="L7066" s="2">
        <f t="shared" si="110"/>
        <v>84</v>
      </c>
    </row>
    <row r="7067" spans="1:12" ht="25" customHeight="1">
      <c r="A7067" s="2" t="s">
        <v>12</v>
      </c>
      <c r="B7067" s="2" t="str">
        <f>HYPERLINK("http://www.12365auto.com/zlts/20200216/447436.shtml","广汽丰田雷凌挂P或N挡转速指针不稳定")</f>
        <v>广汽丰田雷凌挂P或N挡转速指针不稳定</v>
      </c>
      <c r="C7067" s="2" t="s">
        <v>13</v>
      </c>
      <c r="D7067" s="2" t="s">
        <v>12</v>
      </c>
      <c r="E7067" s="2" t="s">
        <v>17</v>
      </c>
      <c r="F7067" s="2" t="str">
        <f>HYPERLINK("http://www.12365auto.com/zlts/20200216/447436.shtml","http://www.12365auto.com/zlts/20200216/447436.shtml")</f>
        <v>http://www.12365auto.com/zlts/20200216/447436.shtml</v>
      </c>
      <c r="G7067" s="2"/>
      <c r="H7067" s="2" t="s">
        <v>9647</v>
      </c>
      <c r="I7067" s="2" t="s">
        <v>15</v>
      </c>
      <c r="J7067" s="2" t="s">
        <v>12</v>
      </c>
      <c r="K7067" s="2" t="s">
        <v>9648</v>
      </c>
      <c r="L7067" s="2">
        <f t="shared" si="110"/>
        <v>150</v>
      </c>
    </row>
    <row r="7068" spans="1:12" ht="25" customHeight="1">
      <c r="A7068" s="2" t="s">
        <v>12</v>
      </c>
      <c r="B7068" s="2" t="str">
        <f>HYPERLINK("http://www.12365auto.com/zlts/20200216/447435.shtml","上汽大众帕萨特变速箱异响 抖动 顿挫")</f>
        <v>上汽大众帕萨特变速箱异响 抖动 顿挫</v>
      </c>
      <c r="C7068" s="2" t="s">
        <v>13</v>
      </c>
      <c r="D7068" s="2" t="s">
        <v>12</v>
      </c>
      <c r="E7068" s="2" t="s">
        <v>17</v>
      </c>
      <c r="F7068" s="2" t="str">
        <f>HYPERLINK("http://www.12365auto.com/zlts/20200216/447435.shtml","http://www.12365auto.com/zlts/20200216/447435.shtml")</f>
        <v>http://www.12365auto.com/zlts/20200216/447435.shtml</v>
      </c>
      <c r="G7068" s="2"/>
      <c r="H7068" s="2" t="s">
        <v>9649</v>
      </c>
      <c r="I7068" s="2" t="s">
        <v>15</v>
      </c>
      <c r="J7068" s="2" t="s">
        <v>12</v>
      </c>
      <c r="K7068" s="2" t="s">
        <v>9650</v>
      </c>
      <c r="L7068" s="2">
        <f t="shared" si="110"/>
        <v>150</v>
      </c>
    </row>
    <row r="7069" spans="1:12" ht="25" customHeight="1">
      <c r="A7069" s="2" t="s">
        <v>12</v>
      </c>
      <c r="B7069" s="2" t="str">
        <f>HYPERLINK("http://www.12365auto.com/zlts/20200216/447433.shtml","郑州日产途达电瓶亏电无法正常启动")</f>
        <v>郑州日产途达电瓶亏电无法正常启动</v>
      </c>
      <c r="C7069" s="2" t="s">
        <v>13</v>
      </c>
      <c r="D7069" s="2" t="s">
        <v>12</v>
      </c>
      <c r="E7069" s="2" t="s">
        <v>17</v>
      </c>
      <c r="F7069" s="2" t="str">
        <f>HYPERLINK("http://www.12365auto.com/zlts/20200216/447433.shtml","http://www.12365auto.com/zlts/20200216/447433.shtml")</f>
        <v>http://www.12365auto.com/zlts/20200216/447433.shtml</v>
      </c>
      <c r="G7069" s="2"/>
      <c r="H7069" s="2" t="s">
        <v>9651</v>
      </c>
      <c r="I7069" s="2" t="s">
        <v>19</v>
      </c>
      <c r="J7069" s="2" t="s">
        <v>12</v>
      </c>
      <c r="K7069" s="2" t="s">
        <v>9652</v>
      </c>
      <c r="L7069" s="2">
        <f t="shared" si="110"/>
        <v>150</v>
      </c>
    </row>
    <row r="7070" spans="1:12" ht="25" customHeight="1">
      <c r="A7070" s="2" t="s">
        <v>12</v>
      </c>
      <c r="B7070" s="2" t="str">
        <f>HYPERLINK("http://m.12365auto.com/zjdy/20200216/121321.shtml","订车后一直无法提车应该如何处理？")</f>
        <v>订车后一直无法提车应该如何处理？</v>
      </c>
      <c r="C7070" s="2" t="s">
        <v>13</v>
      </c>
      <c r="D7070" s="2" t="s">
        <v>12</v>
      </c>
      <c r="E7070" s="2"/>
      <c r="F7070" s="2" t="str">
        <f>HYPERLINK("http://m.12365auto.com/zjdy/20200216/121321.shtml","http://m.12365auto.com/zjdy/20200216/121321.shtml")</f>
        <v>http://m.12365auto.com/zjdy/20200216/121321.shtml</v>
      </c>
      <c r="G7070" s="2"/>
      <c r="H7070" s="2" t="s">
        <v>9653</v>
      </c>
      <c r="I7070" s="2" t="s">
        <v>19</v>
      </c>
      <c r="J7070" s="2" t="s">
        <v>12</v>
      </c>
      <c r="K7070" s="2" t="s">
        <v>9654</v>
      </c>
      <c r="L7070" s="2">
        <f t="shared" si="110"/>
        <v>91</v>
      </c>
    </row>
    <row r="7071" spans="1:12" ht="25" customHeight="1">
      <c r="A7071" s="2" t="s">
        <v>12</v>
      </c>
      <c r="B7071" s="2" t="str">
        <f>HYPERLINK("http://m.12365auto.com/zjdy/20200216/121320.shtml","2020款荣放发动机及变速箱是进口的吗？")</f>
        <v>2020款荣放发动机及变速箱是进口的吗？</v>
      </c>
      <c r="C7071" s="2" t="s">
        <v>13</v>
      </c>
      <c r="D7071" s="2" t="s">
        <v>12</v>
      </c>
      <c r="E7071" s="2"/>
      <c r="F7071" s="2" t="str">
        <f>HYPERLINK("http://m.12365auto.com/zjdy/20200216/121320.shtml","http://m.12365auto.com/zjdy/20200216/121320.shtml")</f>
        <v>http://m.12365auto.com/zjdy/20200216/121320.shtml</v>
      </c>
      <c r="G7071" s="2"/>
      <c r="H7071" s="2" t="s">
        <v>9655</v>
      </c>
      <c r="I7071" s="2" t="s">
        <v>19</v>
      </c>
      <c r="J7071" s="2" t="s">
        <v>12</v>
      </c>
      <c r="K7071" s="2" t="s">
        <v>9654</v>
      </c>
      <c r="L7071" s="2">
        <f t="shared" si="110"/>
        <v>23</v>
      </c>
    </row>
    <row r="7072" spans="1:12" ht="25" customHeight="1">
      <c r="A7072" s="2" t="s">
        <v>12</v>
      </c>
      <c r="B7072" s="2" t="str">
        <f>HYPERLINK("http://m.12365auto.com/zjdy/20200216/121318.shtml","帕萨特车门玻璃划痕严重是什么原因？")</f>
        <v>帕萨特车门玻璃划痕严重是什么原因？</v>
      </c>
      <c r="C7072" s="2" t="s">
        <v>13</v>
      </c>
      <c r="D7072" s="2" t="s">
        <v>12</v>
      </c>
      <c r="E7072" s="2"/>
      <c r="F7072" s="2" t="str">
        <f>HYPERLINK("http://m.12365auto.com/zjdy/20200216/121318.shtml","http://m.12365auto.com/zjdy/20200216/121318.shtml")</f>
        <v>http://m.12365auto.com/zjdy/20200216/121318.shtml</v>
      </c>
      <c r="G7072" s="2"/>
      <c r="H7072" s="2" t="s">
        <v>9656</v>
      </c>
      <c r="I7072" s="2" t="s">
        <v>19</v>
      </c>
      <c r="J7072" s="2" t="s">
        <v>12</v>
      </c>
      <c r="K7072" s="2" t="s">
        <v>9657</v>
      </c>
      <c r="L7072" s="2">
        <f t="shared" si="110"/>
        <v>43</v>
      </c>
    </row>
    <row r="7073" spans="1:12" ht="25" customHeight="1">
      <c r="A7073" s="2" t="s">
        <v>12</v>
      </c>
      <c r="B7073" s="2" t="str">
        <f>HYPERLINK("http://m.12365auto.com/zjdy/20200216/121317.shtml","汉腾X7故障码P1204是代表什么问题？")</f>
        <v>汉腾X7故障码P1204是代表什么问题？</v>
      </c>
      <c r="C7073" s="2" t="s">
        <v>13</v>
      </c>
      <c r="D7073" s="2" t="s">
        <v>12</v>
      </c>
      <c r="E7073" s="2"/>
      <c r="F7073" s="2" t="str">
        <f>HYPERLINK("http://m.12365auto.com/zjdy/20200216/121317.shtml","http://m.12365auto.com/zjdy/20200216/121317.shtml")</f>
        <v>http://m.12365auto.com/zjdy/20200216/121317.shtml</v>
      </c>
      <c r="G7073" s="2"/>
      <c r="H7073" s="2" t="s">
        <v>9658</v>
      </c>
      <c r="I7073" s="2" t="s">
        <v>19</v>
      </c>
      <c r="J7073" s="2" t="s">
        <v>12</v>
      </c>
      <c r="K7073" s="2" t="s">
        <v>9659</v>
      </c>
      <c r="L7073" s="2">
        <f t="shared" si="110"/>
        <v>19</v>
      </c>
    </row>
    <row r="7074" spans="1:12" ht="25" customHeight="1">
      <c r="A7074" s="2" t="s">
        <v>12</v>
      </c>
      <c r="B7074" s="2" t="str">
        <f>HYPERLINK("http://www.12365auto.com/zlts/20200216/447430.shtml","北京现代菲斯塔发动机故障灯亮 轮毂设计缺陷")</f>
        <v>北京现代菲斯塔发动机故障灯亮 轮毂设计缺陷</v>
      </c>
      <c r="C7074" s="2" t="s">
        <v>13</v>
      </c>
      <c r="D7074" s="2" t="s">
        <v>12</v>
      </c>
      <c r="E7074" s="2" t="s">
        <v>17</v>
      </c>
      <c r="F7074" s="2" t="str">
        <f>HYPERLINK("http://www.12365auto.com/zlts/20200216/447430.shtml","http://www.12365auto.com/zlts/20200216/447430.shtml")</f>
        <v>http://www.12365auto.com/zlts/20200216/447430.shtml</v>
      </c>
      <c r="G7074" s="2"/>
      <c r="H7074" s="2" t="s">
        <v>9660</v>
      </c>
      <c r="I7074" s="2" t="s">
        <v>19</v>
      </c>
      <c r="J7074" s="2" t="s">
        <v>12</v>
      </c>
      <c r="K7074" s="2" t="s">
        <v>9661</v>
      </c>
      <c r="L7074" s="2">
        <f t="shared" si="110"/>
        <v>150</v>
      </c>
    </row>
    <row r="7075" spans="1:12" ht="25" customHeight="1">
      <c r="A7075" s="2" t="s">
        <v>12</v>
      </c>
      <c r="B7075" s="2" t="str">
        <f>HYPERLINK("http://m.12365auto.com/zjdy/20200216/121316.shtml","丰田卡罗拉和马自达昂克赛拉哪款质量好？")</f>
        <v>丰田卡罗拉和马自达昂克赛拉哪款质量好？</v>
      </c>
      <c r="C7075" s="2" t="s">
        <v>13</v>
      </c>
      <c r="D7075" s="2" t="s">
        <v>12</v>
      </c>
      <c r="E7075" s="2"/>
      <c r="F7075" s="2" t="str">
        <f>HYPERLINK("http://m.12365auto.com/zjdy/20200216/121316.shtml","http://m.12365auto.com/zjdy/20200216/121316.shtml")</f>
        <v>http://m.12365auto.com/zjdy/20200216/121316.shtml</v>
      </c>
      <c r="G7075" s="2"/>
      <c r="H7075" s="2" t="s">
        <v>9662</v>
      </c>
      <c r="I7075" s="2" t="s">
        <v>19</v>
      </c>
      <c r="J7075" s="2" t="s">
        <v>12</v>
      </c>
      <c r="K7075" s="2" t="s">
        <v>9663</v>
      </c>
      <c r="L7075" s="2">
        <f t="shared" si="110"/>
        <v>50</v>
      </c>
    </row>
    <row r="7076" spans="1:12" ht="25" customHeight="1">
      <c r="A7076" s="2" t="s">
        <v>12</v>
      </c>
      <c r="B7076" s="2" t="str">
        <f>HYPERLINK("http://www.12365auto.com/zlts/20200216/447428.shtml","上汽大众帕萨特车身A柱偷工减料有安全隐患")</f>
        <v>上汽大众帕萨特车身A柱偷工减料有安全隐患</v>
      </c>
      <c r="C7076" s="2" t="s">
        <v>13</v>
      </c>
      <c r="D7076" s="2" t="s">
        <v>12</v>
      </c>
      <c r="E7076" s="2" t="s">
        <v>17</v>
      </c>
      <c r="F7076" s="2" t="str">
        <f>HYPERLINK("http://www.12365auto.com/zlts/20200216/447428.shtml","http://www.12365auto.com/zlts/20200216/447428.shtml")</f>
        <v>http://www.12365auto.com/zlts/20200216/447428.shtml</v>
      </c>
      <c r="G7076" s="2"/>
      <c r="H7076" s="2" t="s">
        <v>9664</v>
      </c>
      <c r="I7076" s="2" t="s">
        <v>19</v>
      </c>
      <c r="J7076" s="2" t="s">
        <v>12</v>
      </c>
      <c r="K7076" s="2" t="s">
        <v>9665</v>
      </c>
      <c r="L7076" s="2">
        <f t="shared" si="110"/>
        <v>150</v>
      </c>
    </row>
    <row r="7077" spans="1:12" ht="25" customHeight="1">
      <c r="A7077" s="2" t="s">
        <v>12</v>
      </c>
      <c r="B7077" s="2" t="str">
        <f>HYPERLINK("http://www.12365auto.com/zlts/20200216/447427.shtml","上汽荣威RX3发动机与变速箱连接处漏油")</f>
        <v>上汽荣威RX3发动机与变速箱连接处漏油</v>
      </c>
      <c r="C7077" s="2" t="s">
        <v>13</v>
      </c>
      <c r="D7077" s="2" t="s">
        <v>12</v>
      </c>
      <c r="E7077" s="2" t="s">
        <v>17</v>
      </c>
      <c r="F7077" s="2" t="str">
        <f>HYPERLINK("http://www.12365auto.com/zlts/20200216/447427.shtml","http://www.12365auto.com/zlts/20200216/447427.shtml")</f>
        <v>http://www.12365auto.com/zlts/20200216/447427.shtml</v>
      </c>
      <c r="G7077" s="2"/>
      <c r="H7077" s="2" t="s">
        <v>9666</v>
      </c>
      <c r="I7077" s="2" t="s">
        <v>19</v>
      </c>
      <c r="J7077" s="2" t="s">
        <v>12</v>
      </c>
      <c r="K7077" s="2" t="s">
        <v>9667</v>
      </c>
      <c r="L7077" s="2">
        <f t="shared" si="110"/>
        <v>150</v>
      </c>
    </row>
    <row r="7078" spans="1:12" ht="25" customHeight="1">
      <c r="A7078" s="2" t="s">
        <v>12</v>
      </c>
      <c r="B7078" s="2" t="str">
        <f>HYPERLINK("http://www.12365auto.com/zlts/20200216/447421.shtml","吉利远景X6发动机噪音大 佳通轮胎胎噪明显")</f>
        <v>吉利远景X6发动机噪音大 佳通轮胎胎噪明显</v>
      </c>
      <c r="C7078" s="2" t="s">
        <v>13</v>
      </c>
      <c r="D7078" s="2" t="s">
        <v>12</v>
      </c>
      <c r="E7078" s="2" t="s">
        <v>17</v>
      </c>
      <c r="F7078" s="2" t="str">
        <f>HYPERLINK("http://www.12365auto.com/zlts/20200216/447421.shtml","http://www.12365auto.com/zlts/20200216/447421.shtml")</f>
        <v>http://www.12365auto.com/zlts/20200216/447421.shtml</v>
      </c>
      <c r="G7078" s="2"/>
      <c r="H7078" s="2" t="s">
        <v>9668</v>
      </c>
      <c r="I7078" s="2" t="s">
        <v>15</v>
      </c>
      <c r="J7078" s="2" t="s">
        <v>12</v>
      </c>
      <c r="K7078" s="2" t="s">
        <v>9669</v>
      </c>
      <c r="L7078" s="2">
        <f t="shared" si="110"/>
        <v>150</v>
      </c>
    </row>
    <row r="7079" spans="1:12" ht="25" customHeight="1">
      <c r="A7079" s="2" t="s">
        <v>12</v>
      </c>
      <c r="B7079" s="2" t="str">
        <f>HYPERLINK("http://www.12365auto.com/zlts/20200216/447419.shtml","斯柯达Yeti车内严重漏水 车内异味严重")</f>
        <v>斯柯达Yeti车内严重漏水 车内异味严重</v>
      </c>
      <c r="C7079" s="2" t="s">
        <v>13</v>
      </c>
      <c r="D7079" s="2" t="s">
        <v>12</v>
      </c>
      <c r="E7079" s="2" t="s">
        <v>17</v>
      </c>
      <c r="F7079" s="2" t="str">
        <f>HYPERLINK("http://www.12365auto.com/zlts/20200216/447419.shtml","http://www.12365auto.com/zlts/20200216/447419.shtml")</f>
        <v>http://www.12365auto.com/zlts/20200216/447419.shtml</v>
      </c>
      <c r="G7079" s="2"/>
      <c r="H7079" s="2" t="s">
        <v>9670</v>
      </c>
      <c r="I7079" s="2" t="s">
        <v>15</v>
      </c>
      <c r="J7079" s="2" t="s">
        <v>12</v>
      </c>
      <c r="K7079" s="2" t="s">
        <v>9671</v>
      </c>
      <c r="L7079" s="2">
        <f t="shared" si="110"/>
        <v>150</v>
      </c>
    </row>
    <row r="7080" spans="1:12" ht="25" customHeight="1">
      <c r="A7080" s="2" t="s">
        <v>12</v>
      </c>
      <c r="B7080" s="2" t="str">
        <f>HYPERLINK("http://bbs.12365auto.com/postcontent.aspx?tID=194173","荣威i6这个故障怎么回事")</f>
        <v>荣威i6这个故障怎么回事</v>
      </c>
      <c r="C7080" s="2" t="s">
        <v>13</v>
      </c>
      <c r="D7080" s="2" t="s">
        <v>12</v>
      </c>
      <c r="E7080" s="2" t="s">
        <v>67</v>
      </c>
      <c r="F7080" s="2" t="str">
        <f>HYPERLINK("http://bbs.12365auto.com/postcontent.aspx?tID=194173","http://bbs.12365auto.com/postcontent.aspx?tID=194173")</f>
        <v>http://bbs.12365auto.com/postcontent.aspx?tID=194173</v>
      </c>
      <c r="G7080" s="2"/>
      <c r="H7080" s="2" t="s">
        <v>9672</v>
      </c>
      <c r="I7080" s="2" t="s">
        <v>15</v>
      </c>
      <c r="J7080" s="2" t="s">
        <v>9673</v>
      </c>
      <c r="K7080" s="2" t="s">
        <v>9674</v>
      </c>
      <c r="L7080" s="2">
        <f t="shared" si="110"/>
        <v>64</v>
      </c>
    </row>
    <row r="7081" spans="1:12" ht="25" customHeight="1">
      <c r="A7081" s="2" t="s">
        <v>12</v>
      </c>
      <c r="B7081" s="2" t="str">
        <f>HYPERLINK("http://m.12365auto.com/zjdy/20200216/121315.shtml","比亚迪秦是否可以增加220V电源接口？")</f>
        <v>比亚迪秦是否可以增加220V电源接口？</v>
      </c>
      <c r="C7081" s="2" t="s">
        <v>13</v>
      </c>
      <c r="D7081" s="2" t="s">
        <v>12</v>
      </c>
      <c r="E7081" s="2"/>
      <c r="F7081" s="2" t="str">
        <f>HYPERLINK("http://m.12365auto.com/zjdy/20200216/121315.shtml","http://m.12365auto.com/zjdy/20200216/121315.shtml")</f>
        <v>http://m.12365auto.com/zjdy/20200216/121315.shtml</v>
      </c>
      <c r="G7081" s="2"/>
      <c r="H7081" s="2" t="s">
        <v>9675</v>
      </c>
      <c r="I7081" s="2" t="s">
        <v>19</v>
      </c>
      <c r="J7081" s="2" t="s">
        <v>12</v>
      </c>
      <c r="K7081" s="2" t="s">
        <v>9676</v>
      </c>
      <c r="L7081" s="2">
        <f t="shared" si="110"/>
        <v>41</v>
      </c>
    </row>
    <row r="7082" spans="1:12" ht="25" customHeight="1">
      <c r="A7082" s="2" t="s">
        <v>12</v>
      </c>
      <c r="B7082" s="2" t="str">
        <f>HYPERLINK("http://www.12365auto.com/zlts/20200216/447417.shtml","广汽丰田凯美瑞半轴防尘套漏油要求更换")</f>
        <v>广汽丰田凯美瑞半轴防尘套漏油要求更换</v>
      </c>
      <c r="C7082" s="2" t="s">
        <v>13</v>
      </c>
      <c r="D7082" s="2" t="s">
        <v>12</v>
      </c>
      <c r="E7082" s="2" t="s">
        <v>17</v>
      </c>
      <c r="F7082" s="2" t="str">
        <f>HYPERLINK("http://www.12365auto.com/zlts/20200216/447417.shtml","http://www.12365auto.com/zlts/20200216/447417.shtml")</f>
        <v>http://www.12365auto.com/zlts/20200216/447417.shtml</v>
      </c>
      <c r="G7082" s="2"/>
      <c r="H7082" s="2" t="s">
        <v>9677</v>
      </c>
      <c r="I7082" s="2" t="s">
        <v>19</v>
      </c>
      <c r="J7082" s="2" t="s">
        <v>12</v>
      </c>
      <c r="K7082" s="2" t="s">
        <v>9678</v>
      </c>
      <c r="L7082" s="2">
        <f t="shared" si="110"/>
        <v>150</v>
      </c>
    </row>
    <row r="7083" spans="1:12" ht="25" customHeight="1">
      <c r="A7083" s="2" t="s">
        <v>12</v>
      </c>
      <c r="B7083" s="2" t="str">
        <f>HYPERLINK("http://m.12365auto.com/zjdy/20200216/121314.shtml","本田XR-V发动机是否存在机油增多现象？")</f>
        <v>本田XR-V发动机是否存在机油增多现象？</v>
      </c>
      <c r="C7083" s="2" t="s">
        <v>13</v>
      </c>
      <c r="D7083" s="2" t="s">
        <v>12</v>
      </c>
      <c r="E7083" s="2"/>
      <c r="F7083" s="2" t="str">
        <f>HYPERLINK("http://m.12365auto.com/zjdy/20200216/121314.shtml","http://m.12365auto.com/zjdy/20200216/121314.shtml")</f>
        <v>http://m.12365auto.com/zjdy/20200216/121314.shtml</v>
      </c>
      <c r="G7083" s="2"/>
      <c r="H7083" s="2" t="s">
        <v>9679</v>
      </c>
      <c r="I7083" s="2" t="s">
        <v>19</v>
      </c>
      <c r="J7083" s="2" t="s">
        <v>12</v>
      </c>
      <c r="K7083" s="2" t="s">
        <v>9680</v>
      </c>
      <c r="L7083" s="2">
        <f t="shared" si="110"/>
        <v>97</v>
      </c>
    </row>
    <row r="7084" spans="1:12" ht="25" customHeight="1">
      <c r="A7084" s="2" t="s">
        <v>12</v>
      </c>
      <c r="B7084" s="2" t="str">
        <f>HYPERLINK("http://www.12365auto.com/zlts/20200216/447416.shtml","雪佛兰迈锐宝自动变速器操纵杆底座故障")</f>
        <v>雪佛兰迈锐宝自动变速器操纵杆底座故障</v>
      </c>
      <c r="C7084" s="2" t="s">
        <v>13</v>
      </c>
      <c r="D7084" s="2" t="s">
        <v>12</v>
      </c>
      <c r="E7084" s="2"/>
      <c r="F7084" s="2" t="str">
        <f>HYPERLINK("http://www.12365auto.com/zlts/20200216/447416.shtml","http://www.12365auto.com/zlts/20200216/447416.shtml")</f>
        <v>http://www.12365auto.com/zlts/20200216/447416.shtml</v>
      </c>
      <c r="G7084" s="2"/>
      <c r="H7084" s="2" t="s">
        <v>9682</v>
      </c>
      <c r="I7084" s="2" t="s">
        <v>15</v>
      </c>
      <c r="J7084" s="2" t="s">
        <v>12</v>
      </c>
      <c r="K7084" s="2" t="s">
        <v>9681</v>
      </c>
      <c r="L7084" s="2">
        <f t="shared" si="110"/>
        <v>81</v>
      </c>
    </row>
    <row r="7085" spans="1:12" ht="25" customHeight="1">
      <c r="A7085" s="2" t="s">
        <v>12</v>
      </c>
      <c r="B7085" s="2" t="str">
        <f>HYPERLINK("http://www.12365auto.com/zlts/20200216/447415.shtml","吉利星越排气管设计缺陷 行驶时甩进泥沙")</f>
        <v>吉利星越排气管设计缺陷 行驶时甩进泥沙</v>
      </c>
      <c r="C7085" s="2" t="s">
        <v>13</v>
      </c>
      <c r="D7085" s="2" t="s">
        <v>12</v>
      </c>
      <c r="E7085" s="2" t="s">
        <v>17</v>
      </c>
      <c r="F7085" s="2" t="str">
        <f>HYPERLINK("http://www.12365auto.com/zlts/20200216/447415.shtml","http://www.12365auto.com/zlts/20200216/447415.shtml")</f>
        <v>http://www.12365auto.com/zlts/20200216/447415.shtml</v>
      </c>
      <c r="G7085" s="2"/>
      <c r="H7085" s="2" t="s">
        <v>9683</v>
      </c>
      <c r="I7085" s="2" t="s">
        <v>19</v>
      </c>
      <c r="J7085" s="2" t="s">
        <v>12</v>
      </c>
      <c r="K7085" s="2" t="s">
        <v>9684</v>
      </c>
      <c r="L7085" s="2">
        <f t="shared" si="110"/>
        <v>150</v>
      </c>
    </row>
    <row r="7086" spans="1:12" ht="25" customHeight="1">
      <c r="A7086" s="2" t="s">
        <v>12</v>
      </c>
      <c r="B7086" s="2" t="str">
        <f>HYPERLINK("http://m.12365auto.com/zjdy/20200216/121312.shtml","名爵ZS倒车有异响抖动熄火是什么原因？")</f>
        <v>名爵ZS倒车有异响抖动熄火是什么原因？</v>
      </c>
      <c r="C7086" s="2" t="s">
        <v>13</v>
      </c>
      <c r="D7086" s="2" t="s">
        <v>12</v>
      </c>
      <c r="E7086" s="2"/>
      <c r="F7086" s="2" t="str">
        <f>HYPERLINK("http://m.12365auto.com/zjdy/20200216/121312.shtml","http://m.12365auto.com/zjdy/20200216/121312.shtml")</f>
        <v>http://m.12365auto.com/zjdy/20200216/121312.shtml</v>
      </c>
      <c r="G7086" s="2"/>
      <c r="H7086" s="2" t="s">
        <v>9685</v>
      </c>
      <c r="I7086" s="2" t="s">
        <v>19</v>
      </c>
      <c r="J7086" s="2" t="s">
        <v>12</v>
      </c>
      <c r="K7086" s="2" t="s">
        <v>9686</v>
      </c>
      <c r="L7086" s="2">
        <f t="shared" si="110"/>
        <v>67</v>
      </c>
    </row>
    <row r="7087" spans="1:12" ht="25" customHeight="1">
      <c r="A7087" s="2" t="s">
        <v>12</v>
      </c>
      <c r="B7087" s="2" t="str">
        <f>HYPERLINK("http://www.12365auto.com/zlts/20200216/447410.shtml","一汽丰田亚洲龙二手车置换补贴不兑现")</f>
        <v>一汽丰田亚洲龙二手车置换补贴不兑现</v>
      </c>
      <c r="C7087" s="2" t="s">
        <v>13</v>
      </c>
      <c r="D7087" s="2" t="s">
        <v>12</v>
      </c>
      <c r="E7087" s="2"/>
      <c r="F7087" s="2" t="str">
        <f>HYPERLINK("http://www.12365auto.com/zlts/20200216/447410.shtml","http://www.12365auto.com/zlts/20200216/447410.shtml")</f>
        <v>http://www.12365auto.com/zlts/20200216/447410.shtml</v>
      </c>
      <c r="G7087" s="2"/>
      <c r="H7087" s="2" t="s">
        <v>9688</v>
      </c>
      <c r="I7087" s="2" t="s">
        <v>15</v>
      </c>
      <c r="J7087" s="2" t="s">
        <v>12</v>
      </c>
      <c r="K7087" s="2" t="s">
        <v>9687</v>
      </c>
      <c r="L7087" s="2">
        <f t="shared" si="110"/>
        <v>81</v>
      </c>
    </row>
    <row r="7088" spans="1:12" ht="25" customHeight="1">
      <c r="A7088" s="2" t="s">
        <v>12</v>
      </c>
      <c r="B7088" s="2" t="str">
        <f>HYPERLINK("http://www.12365auto.com/zlts/20200216/447412.shtml","一汽吉林森雅R9电瓶多次亏电要求解决")</f>
        <v>一汽吉林森雅R9电瓶多次亏电要求解决</v>
      </c>
      <c r="C7088" s="2" t="s">
        <v>13</v>
      </c>
      <c r="D7088" s="2" t="s">
        <v>12</v>
      </c>
      <c r="E7088" s="2" t="s">
        <v>17</v>
      </c>
      <c r="F7088" s="2" t="str">
        <f>HYPERLINK("http://www.12365auto.com/zlts/20200216/447412.shtml","http://www.12365auto.com/zlts/20200216/447412.shtml")</f>
        <v>http://www.12365auto.com/zlts/20200216/447412.shtml</v>
      </c>
      <c r="G7088" s="2"/>
      <c r="H7088" s="2" t="s">
        <v>9689</v>
      </c>
      <c r="I7088" s="2" t="s">
        <v>15</v>
      </c>
      <c r="J7088" s="2" t="s">
        <v>12</v>
      </c>
      <c r="K7088" s="2" t="s">
        <v>9690</v>
      </c>
      <c r="L7088" s="2">
        <f t="shared" si="110"/>
        <v>150</v>
      </c>
    </row>
    <row r="7089" spans="1:12" ht="25" customHeight="1">
      <c r="A7089" s="2" t="s">
        <v>12</v>
      </c>
      <c r="B7089" s="2" t="str">
        <f>HYPERLINK("http://m.12365auto.com/zjdy/20200216/121311.shtml","落地14万有哪些车型比较值得推荐购买？")</f>
        <v>落地14万有哪些车型比较值得推荐购买？</v>
      </c>
      <c r="C7089" s="2" t="s">
        <v>13</v>
      </c>
      <c r="D7089" s="2" t="s">
        <v>12</v>
      </c>
      <c r="E7089" s="2"/>
      <c r="F7089" s="2" t="str">
        <f>HYPERLINK("http://m.12365auto.com/zjdy/20200216/121311.shtml","http://m.12365auto.com/zjdy/20200216/121311.shtml")</f>
        <v>http://m.12365auto.com/zjdy/20200216/121311.shtml</v>
      </c>
      <c r="G7089" s="2"/>
      <c r="H7089" s="2" t="s">
        <v>9691</v>
      </c>
      <c r="I7089" s="2" t="s">
        <v>19</v>
      </c>
      <c r="J7089" s="2" t="s">
        <v>12</v>
      </c>
      <c r="K7089" s="2" t="s">
        <v>9692</v>
      </c>
      <c r="L7089" s="2">
        <f t="shared" si="110"/>
        <v>29</v>
      </c>
    </row>
    <row r="7090" spans="1:12" ht="25" customHeight="1">
      <c r="A7090" s="2" t="s">
        <v>12</v>
      </c>
      <c r="B7090" s="2" t="str">
        <f>HYPERLINK("http://m.12365auto.com/zjdy/20200216/121310.shtml","宝来轩逸雷凌哪个质量更稳定省油？")</f>
        <v>宝来轩逸雷凌哪个质量更稳定省油？</v>
      </c>
      <c r="C7090" s="2" t="s">
        <v>13</v>
      </c>
      <c r="D7090" s="2" t="s">
        <v>12</v>
      </c>
      <c r="E7090" s="2"/>
      <c r="F7090" s="2" t="str">
        <f>HYPERLINK("http://m.12365auto.com/zjdy/20200216/121310.shtml","http://m.12365auto.com/zjdy/20200216/121310.shtml")</f>
        <v>http://m.12365auto.com/zjdy/20200216/121310.shtml</v>
      </c>
      <c r="G7090" s="2"/>
      <c r="H7090" s="2" t="s">
        <v>9693</v>
      </c>
      <c r="I7090" s="2" t="s">
        <v>19</v>
      </c>
      <c r="J7090" s="2" t="s">
        <v>12</v>
      </c>
      <c r="K7090" s="2" t="s">
        <v>9694</v>
      </c>
      <c r="L7090" s="2">
        <f t="shared" si="110"/>
        <v>52</v>
      </c>
    </row>
    <row r="7091" spans="1:12" ht="25" customHeight="1">
      <c r="A7091" s="2" t="s">
        <v>12</v>
      </c>
      <c r="B7091" s="2" t="str">
        <f>HYPERLINK("http://www.12365auto.com/zlts/20200216/447409.shtml","哈弗F5变速箱无法正常提速存在安全隐患")</f>
        <v>哈弗F5变速箱无法正常提速存在安全隐患</v>
      </c>
      <c r="C7091" s="2" t="s">
        <v>13</v>
      </c>
      <c r="D7091" s="2" t="s">
        <v>12</v>
      </c>
      <c r="E7091" s="2" t="s">
        <v>17</v>
      </c>
      <c r="F7091" s="2" t="str">
        <f>HYPERLINK("http://www.12365auto.com/zlts/20200216/447409.shtml","http://www.12365auto.com/zlts/20200216/447409.shtml")</f>
        <v>http://www.12365auto.com/zlts/20200216/447409.shtml</v>
      </c>
      <c r="G7091" s="2"/>
      <c r="H7091" s="2" t="s">
        <v>9695</v>
      </c>
      <c r="I7091" s="2" t="s">
        <v>19</v>
      </c>
      <c r="J7091" s="2" t="s">
        <v>12</v>
      </c>
      <c r="K7091" s="2" t="s">
        <v>9696</v>
      </c>
      <c r="L7091" s="2">
        <f t="shared" si="110"/>
        <v>150</v>
      </c>
    </row>
    <row r="7092" spans="1:12" ht="25" customHeight="1">
      <c r="A7092" s="2" t="s">
        <v>12</v>
      </c>
      <c r="B7092" s="2" t="str">
        <f>HYPERLINK("http://www.12365auto.com/zlts/20200216/447408.shtml","奇瑞艾瑞泽GX车身A柱及顶棚下雨漏水")</f>
        <v>奇瑞艾瑞泽GX车身A柱及顶棚下雨漏水</v>
      </c>
      <c r="C7092" s="2" t="s">
        <v>13</v>
      </c>
      <c r="D7092" s="2" t="s">
        <v>12</v>
      </c>
      <c r="E7092" s="2" t="s">
        <v>17</v>
      </c>
      <c r="F7092" s="2" t="str">
        <f>HYPERLINK("http://www.12365auto.com/zlts/20200216/447408.shtml","http://www.12365auto.com/zlts/20200216/447408.shtml")</f>
        <v>http://www.12365auto.com/zlts/20200216/447408.shtml</v>
      </c>
      <c r="G7092" s="2"/>
      <c r="H7092" s="2" t="s">
        <v>9697</v>
      </c>
      <c r="I7092" s="2" t="s">
        <v>19</v>
      </c>
      <c r="J7092" s="2" t="s">
        <v>12</v>
      </c>
      <c r="K7092" s="2" t="s">
        <v>9698</v>
      </c>
      <c r="L7092" s="2">
        <f t="shared" si="110"/>
        <v>150</v>
      </c>
    </row>
    <row r="7093" spans="1:12" ht="25" customHeight="1">
      <c r="A7093" s="2" t="s">
        <v>12</v>
      </c>
      <c r="B7093" s="2" t="str">
        <f>HYPERLINK("http://www.12365auto.com/zlts/20200216/447407.shtml","上汽大众帕萨特A柱碰撞测试严重变形")</f>
        <v>上汽大众帕萨特A柱碰撞测试严重变形</v>
      </c>
      <c r="C7093" s="2" t="s">
        <v>13</v>
      </c>
      <c r="D7093" s="2" t="s">
        <v>12</v>
      </c>
      <c r="E7093" s="2" t="s">
        <v>17</v>
      </c>
      <c r="F7093" s="2" t="str">
        <f>HYPERLINK("http://www.12365auto.com/zlts/20200216/447407.shtml","http://www.12365auto.com/zlts/20200216/447407.shtml")</f>
        <v>http://www.12365auto.com/zlts/20200216/447407.shtml</v>
      </c>
      <c r="G7093" s="2"/>
      <c r="H7093" s="2" t="s">
        <v>9699</v>
      </c>
      <c r="I7093" s="2" t="s">
        <v>19</v>
      </c>
      <c r="J7093" s="2" t="s">
        <v>12</v>
      </c>
      <c r="K7093" s="2" t="s">
        <v>9700</v>
      </c>
      <c r="L7093" s="2">
        <f t="shared" si="110"/>
        <v>150</v>
      </c>
    </row>
    <row r="7094" spans="1:12" ht="25" customHeight="1">
      <c r="A7094" s="2" t="s">
        <v>12</v>
      </c>
      <c r="B7094" s="2" t="str">
        <f>HYPERLINK("http://www.12365auto.com/zlts/20200216/447405.shtml","上汽大众途观L下雨后车身漏水严重影响使用")</f>
        <v>上汽大众途观L下雨后车身漏水严重影响使用</v>
      </c>
      <c r="C7094" s="2" t="s">
        <v>13</v>
      </c>
      <c r="D7094" s="2" t="s">
        <v>12</v>
      </c>
      <c r="E7094" s="2" t="s">
        <v>17</v>
      </c>
      <c r="F7094" s="2" t="str">
        <f>HYPERLINK("http://www.12365auto.com/zlts/20200216/447405.shtml","http://www.12365auto.com/zlts/20200216/447405.shtml")</f>
        <v>http://www.12365auto.com/zlts/20200216/447405.shtml</v>
      </c>
      <c r="G7094" s="2"/>
      <c r="H7094" s="2" t="s">
        <v>9701</v>
      </c>
      <c r="I7094" s="2" t="s">
        <v>19</v>
      </c>
      <c r="J7094" s="2" t="s">
        <v>12</v>
      </c>
      <c r="K7094" s="2" t="s">
        <v>9702</v>
      </c>
      <c r="L7094" s="2">
        <f t="shared" si="110"/>
        <v>150</v>
      </c>
    </row>
    <row r="7095" spans="1:12" ht="25" customHeight="1">
      <c r="A7095" s="2" t="s">
        <v>12</v>
      </c>
      <c r="B7095" s="2" t="str">
        <f>HYPERLINK("http://m.12365auto.com/zjdy/20200216/121309.shtml","大众凌渡变速箱报故障应该如何维权？")</f>
        <v>大众凌渡变速箱报故障应该如何维权？</v>
      </c>
      <c r="C7095" s="2" t="s">
        <v>13</v>
      </c>
      <c r="D7095" s="2" t="s">
        <v>12</v>
      </c>
      <c r="E7095" s="2"/>
      <c r="F7095" s="2" t="str">
        <f>HYPERLINK("http://m.12365auto.com/zjdy/20200216/121309.shtml","http://m.12365auto.com/zjdy/20200216/121309.shtml")</f>
        <v>http://m.12365auto.com/zjdy/20200216/121309.shtml</v>
      </c>
      <c r="G7095" s="2"/>
      <c r="H7095" s="2" t="s">
        <v>9703</v>
      </c>
      <c r="I7095" s="2" t="s">
        <v>19</v>
      </c>
      <c r="J7095" s="2" t="s">
        <v>12</v>
      </c>
      <c r="K7095" s="2" t="s">
        <v>9704</v>
      </c>
      <c r="L7095" s="2">
        <f t="shared" si="110"/>
        <v>90</v>
      </c>
    </row>
    <row r="7096" spans="1:12" ht="25" customHeight="1">
      <c r="A7096" s="2" t="s">
        <v>12</v>
      </c>
      <c r="B7096" s="2" t="str">
        <f>HYPERLINK("http://www.12365auto.com/zlts/20200216/447403.shtml","上汽名爵ZS D挡踩刹车发动机抖动 异响")</f>
        <v>上汽名爵ZS D挡踩刹车发动机抖动 异响</v>
      </c>
      <c r="C7096" s="2" t="s">
        <v>13</v>
      </c>
      <c r="D7096" s="2" t="s">
        <v>12</v>
      </c>
      <c r="E7096" s="2" t="s">
        <v>17</v>
      </c>
      <c r="F7096" s="2" t="str">
        <f>HYPERLINK("http://www.12365auto.com/zlts/20200216/447403.shtml","http://www.12365auto.com/zlts/20200216/447403.shtml")</f>
        <v>http://www.12365auto.com/zlts/20200216/447403.shtml</v>
      </c>
      <c r="G7096" s="2"/>
      <c r="H7096" s="2" t="s">
        <v>9705</v>
      </c>
      <c r="I7096" s="2" t="s">
        <v>19</v>
      </c>
      <c r="J7096" s="2" t="s">
        <v>12</v>
      </c>
      <c r="K7096" s="2" t="s">
        <v>9706</v>
      </c>
      <c r="L7096" s="2">
        <f t="shared" si="110"/>
        <v>150</v>
      </c>
    </row>
    <row r="7097" spans="1:12" ht="25" customHeight="1">
      <c r="A7097" s="2" t="s">
        <v>12</v>
      </c>
      <c r="B7097" s="2" t="str">
        <f>HYPERLINK("http://m.12365auto.com/zjdy/20200216/121308.shtml","科迪亚克GT的发动机和变速箱是进口的吗？")</f>
        <v>科迪亚克GT的发动机和变速箱是进口的吗？</v>
      </c>
      <c r="C7097" s="2" t="s">
        <v>13</v>
      </c>
      <c r="D7097" s="2" t="s">
        <v>12</v>
      </c>
      <c r="E7097" s="2"/>
      <c r="F7097" s="2" t="str">
        <f>HYPERLINK("http://m.12365auto.com/zjdy/20200216/121308.shtml","http://m.12365auto.com/zjdy/20200216/121308.shtml")</f>
        <v>http://m.12365auto.com/zjdy/20200216/121308.shtml</v>
      </c>
      <c r="G7097" s="2"/>
      <c r="H7097" s="2" t="s">
        <v>9707</v>
      </c>
      <c r="I7097" s="2" t="s">
        <v>19</v>
      </c>
      <c r="J7097" s="2" t="s">
        <v>12</v>
      </c>
      <c r="K7097" s="2" t="s">
        <v>9708</v>
      </c>
      <c r="L7097" s="2">
        <f t="shared" si="110"/>
        <v>23</v>
      </c>
    </row>
    <row r="7098" spans="1:12" ht="25" customHeight="1">
      <c r="A7098" s="2" t="s">
        <v>12</v>
      </c>
      <c r="B7098" s="2" t="str">
        <f>HYPERLINK("http://m.12365auto.com/zjdy/20200216/121307.shtml","雪佛兰赛欧两把钥匙丢失怎么处理？")</f>
        <v>雪佛兰赛欧两把钥匙丢失怎么处理？</v>
      </c>
      <c r="C7098" s="2" t="s">
        <v>13</v>
      </c>
      <c r="D7098" s="2" t="s">
        <v>12</v>
      </c>
      <c r="E7098" s="2"/>
      <c r="F7098" s="2" t="str">
        <f>HYPERLINK("http://m.12365auto.com/zjdy/20200216/121307.shtml","http://m.12365auto.com/zjdy/20200216/121307.shtml")</f>
        <v>http://m.12365auto.com/zjdy/20200216/121307.shtml</v>
      </c>
      <c r="G7098" s="2"/>
      <c r="H7098" s="2" t="s">
        <v>9709</v>
      </c>
      <c r="I7098" s="2" t="s">
        <v>19</v>
      </c>
      <c r="J7098" s="2" t="s">
        <v>12</v>
      </c>
      <c r="K7098" s="2" t="s">
        <v>9710</v>
      </c>
      <c r="L7098" s="2">
        <f t="shared" si="110"/>
        <v>30</v>
      </c>
    </row>
    <row r="7099" spans="1:12" ht="25" customHeight="1">
      <c r="A7099" s="2" t="s">
        <v>12</v>
      </c>
      <c r="B7099" s="2" t="str">
        <f>HYPERLINK("http://www.12365auto.com/zlts/20200216/447395.shtml","上汽荣威RX5凉车启动困难 行驶途中熄火")</f>
        <v>上汽荣威RX5凉车启动困难 行驶途中熄火</v>
      </c>
      <c r="C7099" s="2" t="s">
        <v>13</v>
      </c>
      <c r="D7099" s="2" t="s">
        <v>12</v>
      </c>
      <c r="E7099" s="2"/>
      <c r="F7099" s="2" t="str">
        <f>HYPERLINK("http://www.12365auto.com/zlts/20200216/447395.shtml","http://www.12365auto.com/zlts/20200216/447395.shtml")</f>
        <v>http://www.12365auto.com/zlts/20200216/447395.shtml</v>
      </c>
      <c r="G7099" s="2"/>
      <c r="H7099" s="2" t="s">
        <v>9712</v>
      </c>
      <c r="I7099" s="2" t="s">
        <v>15</v>
      </c>
      <c r="J7099" s="2" t="s">
        <v>12</v>
      </c>
      <c r="K7099" s="2" t="s">
        <v>9711</v>
      </c>
      <c r="L7099" s="2">
        <f t="shared" si="110"/>
        <v>88</v>
      </c>
    </row>
    <row r="7100" spans="1:12" ht="25" customHeight="1">
      <c r="A7100" s="2" t="s">
        <v>12</v>
      </c>
      <c r="B7100" s="2" t="str">
        <f>HYPERLINK("http://m.12365auto.com/xcdg/20200216/418667.shtml","奥迪新款A4L实车曝光 造型更运动")</f>
        <v>奥迪新款A4L实车曝光 造型更运动</v>
      </c>
      <c r="C7100" s="2" t="s">
        <v>13</v>
      </c>
      <c r="D7100" s="2" t="s">
        <v>12</v>
      </c>
      <c r="E7100" s="2"/>
      <c r="F7100" s="2" t="str">
        <f>HYPERLINK("http://m.12365auto.com/xcdg/20200216/418667.shtml","http://m.12365auto.com/xcdg/20200216/418667.shtml")</f>
        <v>http://m.12365auto.com/xcdg/20200216/418667.shtml</v>
      </c>
      <c r="G7100" s="2"/>
      <c r="H7100" s="2" t="s">
        <v>9713</v>
      </c>
      <c r="I7100" s="2" t="s">
        <v>19</v>
      </c>
      <c r="J7100" s="2" t="s">
        <v>1266</v>
      </c>
      <c r="K7100" s="2" t="s">
        <v>9714</v>
      </c>
      <c r="L7100" s="2">
        <f t="shared" si="110"/>
        <v>150</v>
      </c>
    </row>
    <row r="7101" spans="1:12" ht="25" customHeight="1">
      <c r="A7101" s="2" t="s">
        <v>12</v>
      </c>
      <c r="B7101" s="2" t="str">
        <f>HYPERLINK("http://www.12365auto.com/xcdg/20200216/418667.shtml","奥迪新款A4L实车曝光 造型更运动")</f>
        <v>奥迪新款A4L实车曝光 造型更运动</v>
      </c>
      <c r="C7101" s="2" t="s">
        <v>13</v>
      </c>
      <c r="D7101" s="2" t="s">
        <v>12</v>
      </c>
      <c r="E7101" s="2" t="s">
        <v>216</v>
      </c>
      <c r="F7101" s="2" t="str">
        <f>HYPERLINK("http://www.12365auto.com/xcdg/20200216/418667.shtml","http://www.12365auto.com/xcdg/20200216/418667.shtml")</f>
        <v>http://www.12365auto.com/xcdg/20200216/418667.shtml</v>
      </c>
      <c r="G7101" s="2"/>
      <c r="H7101" s="2" t="s">
        <v>9715</v>
      </c>
      <c r="I7101" s="2" t="s">
        <v>15</v>
      </c>
      <c r="J7101" s="2" t="s">
        <v>12</v>
      </c>
      <c r="K7101" s="2" t="s">
        <v>9714</v>
      </c>
      <c r="L7101" s="2">
        <f t="shared" si="110"/>
        <v>150</v>
      </c>
    </row>
    <row r="7102" spans="1:12" ht="25" customHeight="1">
      <c r="A7102" s="2" t="s">
        <v>12</v>
      </c>
      <c r="B7102" s="2" t="str">
        <f>HYPERLINK("http://www.12365auto.com/zlts/20200216/447400.shtml","上汽名爵6两侧大灯下沉缝隙不均匀")</f>
        <v>上汽名爵6两侧大灯下沉缝隙不均匀</v>
      </c>
      <c r="C7102" s="2" t="s">
        <v>13</v>
      </c>
      <c r="D7102" s="2" t="s">
        <v>12</v>
      </c>
      <c r="E7102" s="2" t="s">
        <v>17</v>
      </c>
      <c r="F7102" s="2" t="str">
        <f>HYPERLINK("http://www.12365auto.com/zlts/20200216/447400.shtml","http://www.12365auto.com/zlts/20200216/447400.shtml")</f>
        <v>http://www.12365auto.com/zlts/20200216/447400.shtml</v>
      </c>
      <c r="G7102" s="2"/>
      <c r="H7102" s="2" t="s">
        <v>9716</v>
      </c>
      <c r="I7102" s="2" t="s">
        <v>19</v>
      </c>
      <c r="J7102" s="2" t="s">
        <v>12</v>
      </c>
      <c r="K7102" s="2" t="s">
        <v>9717</v>
      </c>
      <c r="L7102" s="2">
        <f t="shared" si="110"/>
        <v>150</v>
      </c>
    </row>
    <row r="7103" spans="1:12" ht="25" customHeight="1">
      <c r="A7103" s="2" t="s">
        <v>12</v>
      </c>
      <c r="B7103" s="2" t="str">
        <f>HYPERLINK("http://m.12365auto.com/xcdg/20200216/418666.shtml","雪铁龙新C4 Cactus或10月亮相 一体头灯")</f>
        <v>雪铁龙新C4 Cactus或10月亮相 一体头灯</v>
      </c>
      <c r="C7103" s="2" t="s">
        <v>13</v>
      </c>
      <c r="D7103" s="2" t="s">
        <v>12</v>
      </c>
      <c r="E7103" s="2"/>
      <c r="F7103" s="2" t="str">
        <f>HYPERLINK("http://m.12365auto.com/xcdg/20200216/418666.shtml","http://m.12365auto.com/xcdg/20200216/418666.shtml")</f>
        <v>http://m.12365auto.com/xcdg/20200216/418666.shtml</v>
      </c>
      <c r="G7103" s="2"/>
      <c r="H7103" s="2" t="s">
        <v>9718</v>
      </c>
      <c r="I7103" s="2" t="s">
        <v>19</v>
      </c>
      <c r="J7103" s="2" t="s">
        <v>1730</v>
      </c>
      <c r="K7103" s="2" t="s">
        <v>9719</v>
      </c>
      <c r="L7103" s="2">
        <f t="shared" si="110"/>
        <v>150</v>
      </c>
    </row>
    <row r="7104" spans="1:12" ht="25" customHeight="1">
      <c r="A7104" s="2" t="s">
        <v>12</v>
      </c>
      <c r="B7104" s="2" t="str">
        <f>HYPERLINK("http://www.12365auto.com/xcdg/20200216/418666.shtml","雪铁龙新C4 Cactus或10月亮相 一体头灯")</f>
        <v>雪铁龙新C4 Cactus或10月亮相 一体头灯</v>
      </c>
      <c r="C7104" s="2" t="s">
        <v>13</v>
      </c>
      <c r="D7104" s="2" t="s">
        <v>12</v>
      </c>
      <c r="E7104" s="2" t="s">
        <v>216</v>
      </c>
      <c r="F7104" s="2" t="str">
        <f>HYPERLINK("http://www.12365auto.com/xcdg/20200216/418666.shtml","http://www.12365auto.com/xcdg/20200216/418666.shtml")</f>
        <v>http://www.12365auto.com/xcdg/20200216/418666.shtml</v>
      </c>
      <c r="G7104" s="2"/>
      <c r="H7104" s="2" t="s">
        <v>9720</v>
      </c>
      <c r="I7104" s="2" t="s">
        <v>15</v>
      </c>
      <c r="J7104" s="2" t="s">
        <v>12</v>
      </c>
      <c r="K7104" s="2" t="s">
        <v>9719</v>
      </c>
      <c r="L7104" s="2">
        <f t="shared" si="110"/>
        <v>150</v>
      </c>
    </row>
    <row r="7105" spans="1:12" ht="25" customHeight="1">
      <c r="A7105" s="2" t="s">
        <v>12</v>
      </c>
      <c r="B7105" s="2" t="str">
        <f>HYPERLINK("http://m.12365auto.com/xcdg/20200216/418665.shtml","保时捷全新911 Turbo系列日内瓦车展首发")</f>
        <v>保时捷全新911 Turbo系列日内瓦车展首发</v>
      </c>
      <c r="C7105" s="2" t="s">
        <v>13</v>
      </c>
      <c r="D7105" s="2" t="s">
        <v>12</v>
      </c>
      <c r="E7105" s="2"/>
      <c r="F7105" s="2" t="str">
        <f>HYPERLINK("http://m.12365auto.com/xcdg/20200216/418665.shtml","http://m.12365auto.com/xcdg/20200216/418665.shtml")</f>
        <v>http://m.12365auto.com/xcdg/20200216/418665.shtml</v>
      </c>
      <c r="G7105" s="2"/>
      <c r="H7105" s="2" t="s">
        <v>9721</v>
      </c>
      <c r="I7105" s="2" t="s">
        <v>19</v>
      </c>
      <c r="J7105" s="2" t="s">
        <v>1730</v>
      </c>
      <c r="K7105" s="2" t="s">
        <v>9722</v>
      </c>
      <c r="L7105" s="2">
        <f t="shared" si="110"/>
        <v>150</v>
      </c>
    </row>
    <row r="7106" spans="1:12" ht="25" customHeight="1">
      <c r="A7106" s="2" t="s">
        <v>12</v>
      </c>
      <c r="B7106" s="2" t="str">
        <f>HYPERLINK("http://www.12365auto.com/xcdg/20200216/418665.shtml","保时捷全新911 Turbo系列日内瓦车展首发")</f>
        <v>保时捷全新911 Turbo系列日内瓦车展首发</v>
      </c>
      <c r="C7106" s="2" t="s">
        <v>13</v>
      </c>
      <c r="D7106" s="2" t="s">
        <v>12</v>
      </c>
      <c r="E7106" s="2" t="s">
        <v>216</v>
      </c>
      <c r="F7106" s="2" t="str">
        <f>HYPERLINK("http://www.12365auto.com/xcdg/20200216/418665.shtml","http://www.12365auto.com/xcdg/20200216/418665.shtml")</f>
        <v>http://www.12365auto.com/xcdg/20200216/418665.shtml</v>
      </c>
      <c r="G7106" s="2"/>
      <c r="H7106" s="2" t="s">
        <v>9723</v>
      </c>
      <c r="I7106" s="2" t="s">
        <v>15</v>
      </c>
      <c r="J7106" s="2" t="s">
        <v>12</v>
      </c>
      <c r="K7106" s="2" t="s">
        <v>9722</v>
      </c>
      <c r="L7106" s="2">
        <f t="shared" si="110"/>
        <v>150</v>
      </c>
    </row>
    <row r="7107" spans="1:12" ht="25" customHeight="1">
      <c r="A7107" s="2" t="s">
        <v>12</v>
      </c>
      <c r="B7107" s="2" t="str">
        <f>HYPERLINK("http://www.12365auto.com/zlts/20200216/447399.shtml","东风日产轩逸无障碍物系统主动刹车")</f>
        <v>东风日产轩逸无障碍物系统主动刹车</v>
      </c>
      <c r="C7107" s="2" t="s">
        <v>13</v>
      </c>
      <c r="D7107" s="2" t="s">
        <v>12</v>
      </c>
      <c r="E7107" s="2" t="s">
        <v>17</v>
      </c>
      <c r="F7107" s="2" t="str">
        <f>HYPERLINK("http://www.12365auto.com/zlts/20200216/447399.shtml","http://www.12365auto.com/zlts/20200216/447399.shtml")</f>
        <v>http://www.12365auto.com/zlts/20200216/447399.shtml</v>
      </c>
      <c r="G7107" s="2"/>
      <c r="H7107" s="2" t="s">
        <v>9724</v>
      </c>
      <c r="I7107" s="2" t="s">
        <v>15</v>
      </c>
      <c r="J7107" s="2" t="s">
        <v>12</v>
      </c>
      <c r="K7107" s="2" t="s">
        <v>9725</v>
      </c>
      <c r="L7107" s="2">
        <f t="shared" ref="L7107:L7170" si="111">LEN(H7107)</f>
        <v>150</v>
      </c>
    </row>
    <row r="7108" spans="1:12" ht="25" customHeight="1">
      <c r="A7108" s="2" t="s">
        <v>12</v>
      </c>
      <c r="B7108" s="2" t="str">
        <f>HYPERLINK("http://m.12365auto.com/xcdg/20200216/418664.shtml","福特Puma ST谍照曝光 预计年内正式亮相")</f>
        <v>福特Puma ST谍照曝光 预计年内正式亮相</v>
      </c>
      <c r="C7108" s="2" t="s">
        <v>13</v>
      </c>
      <c r="D7108" s="2" t="s">
        <v>12</v>
      </c>
      <c r="E7108" s="2"/>
      <c r="F7108" s="2" t="str">
        <f>HYPERLINK("http://m.12365auto.com/xcdg/20200216/418664.shtml","http://m.12365auto.com/xcdg/20200216/418664.shtml")</f>
        <v>http://m.12365auto.com/xcdg/20200216/418664.shtml</v>
      </c>
      <c r="G7108" s="2"/>
      <c r="H7108" s="2" t="s">
        <v>9726</v>
      </c>
      <c r="I7108" s="2" t="s">
        <v>19</v>
      </c>
      <c r="J7108" s="2" t="s">
        <v>1727</v>
      </c>
      <c r="K7108" s="2" t="s">
        <v>9727</v>
      </c>
      <c r="L7108" s="2">
        <f t="shared" si="111"/>
        <v>150</v>
      </c>
    </row>
    <row r="7109" spans="1:12" ht="25" customHeight="1">
      <c r="A7109" s="2" t="s">
        <v>12</v>
      </c>
      <c r="B7109" s="2" t="str">
        <f>HYPERLINK("http://www.12365auto.com/xcdg/20200216/418664.shtml","福特Puma ST谍照曝光 预计年内正式亮相")</f>
        <v>福特Puma ST谍照曝光 预计年内正式亮相</v>
      </c>
      <c r="C7109" s="2" t="s">
        <v>13</v>
      </c>
      <c r="D7109" s="2" t="s">
        <v>12</v>
      </c>
      <c r="E7109" s="2" t="s">
        <v>224</v>
      </c>
      <c r="F7109" s="2" t="str">
        <f>HYPERLINK("http://www.12365auto.com/xcdg/20200216/418664.shtml","http://www.12365auto.com/xcdg/20200216/418664.shtml")</f>
        <v>http://www.12365auto.com/xcdg/20200216/418664.shtml</v>
      </c>
      <c r="G7109" s="2"/>
      <c r="H7109" s="2" t="s">
        <v>9728</v>
      </c>
      <c r="I7109" s="2" t="s">
        <v>15</v>
      </c>
      <c r="J7109" s="2" t="s">
        <v>12</v>
      </c>
      <c r="K7109" s="2" t="s">
        <v>9727</v>
      </c>
      <c r="L7109" s="2">
        <f t="shared" si="111"/>
        <v>150</v>
      </c>
    </row>
    <row r="7110" spans="1:12" ht="25" customHeight="1">
      <c r="A7110" s="2" t="s">
        <v>12</v>
      </c>
      <c r="B7110" s="2" t="str">
        <f>HYPERLINK("http://m.12365auto.com/xcdg/20200216/418663.shtml","动力或升至329马力 全新高尔夫R谍照曝光")</f>
        <v>动力或升至329马力 全新高尔夫R谍照曝光</v>
      </c>
      <c r="C7110" s="2" t="s">
        <v>13</v>
      </c>
      <c r="D7110" s="2" t="s">
        <v>12</v>
      </c>
      <c r="E7110" s="2"/>
      <c r="F7110" s="2" t="str">
        <f>HYPERLINK("http://m.12365auto.com/xcdg/20200216/418663.shtml","http://m.12365auto.com/xcdg/20200216/418663.shtml")</f>
        <v>http://m.12365auto.com/xcdg/20200216/418663.shtml</v>
      </c>
      <c r="G7110" s="2"/>
      <c r="H7110" s="2" t="s">
        <v>9729</v>
      </c>
      <c r="I7110" s="2" t="s">
        <v>19</v>
      </c>
      <c r="J7110" s="2" t="s">
        <v>1727</v>
      </c>
      <c r="K7110" s="2" t="s">
        <v>9730</v>
      </c>
      <c r="L7110" s="2">
        <f t="shared" si="111"/>
        <v>150</v>
      </c>
    </row>
    <row r="7111" spans="1:12" ht="25" customHeight="1">
      <c r="A7111" s="2" t="s">
        <v>12</v>
      </c>
      <c r="B7111" s="2" t="str">
        <f>HYPERLINK("http://www.12365auto.com/xcdg/20200216/418663.shtml","动力或升至329马力 全新高尔夫R谍照曝光")</f>
        <v>动力或升至329马力 全新高尔夫R谍照曝光</v>
      </c>
      <c r="C7111" s="2" t="s">
        <v>13</v>
      </c>
      <c r="D7111" s="2" t="s">
        <v>12</v>
      </c>
      <c r="E7111" s="2" t="s">
        <v>224</v>
      </c>
      <c r="F7111" s="2" t="str">
        <f>HYPERLINK("http://www.12365auto.com/xcdg/20200216/418663.shtml","http://www.12365auto.com/xcdg/20200216/418663.shtml")</f>
        <v>http://www.12365auto.com/xcdg/20200216/418663.shtml</v>
      </c>
      <c r="G7111" s="2"/>
      <c r="H7111" s="2" t="s">
        <v>9731</v>
      </c>
      <c r="I7111" s="2" t="s">
        <v>15</v>
      </c>
      <c r="J7111" s="2" t="s">
        <v>12</v>
      </c>
      <c r="K7111" s="2" t="s">
        <v>9730</v>
      </c>
      <c r="L7111" s="2">
        <f t="shared" si="111"/>
        <v>150</v>
      </c>
    </row>
    <row r="7112" spans="1:12" ht="25" customHeight="1">
      <c r="A7112" s="2" t="s">
        <v>12</v>
      </c>
      <c r="B7112" s="2" t="str">
        <f>HYPERLINK("http://www.12365auto.com/zlts/20200216/447398.shtml","东风日产天籁加油后起步停车时油箱异响")</f>
        <v>东风日产天籁加油后起步停车时油箱异响</v>
      </c>
      <c r="C7112" s="2" t="s">
        <v>13</v>
      </c>
      <c r="D7112" s="2" t="s">
        <v>12</v>
      </c>
      <c r="E7112" s="2" t="s">
        <v>17</v>
      </c>
      <c r="F7112" s="2" t="str">
        <f>HYPERLINK("http://www.12365auto.com/zlts/20200216/447398.shtml","http://www.12365auto.com/zlts/20200216/447398.shtml")</f>
        <v>http://www.12365auto.com/zlts/20200216/447398.shtml</v>
      </c>
      <c r="G7112" s="2"/>
      <c r="H7112" s="2" t="s">
        <v>9732</v>
      </c>
      <c r="I7112" s="2" t="s">
        <v>15</v>
      </c>
      <c r="J7112" s="2" t="s">
        <v>12</v>
      </c>
      <c r="K7112" s="2" t="s">
        <v>9733</v>
      </c>
      <c r="L7112" s="2">
        <f t="shared" si="111"/>
        <v>150</v>
      </c>
    </row>
    <row r="7113" spans="1:12" ht="25" customHeight="1">
      <c r="A7113" s="2" t="s">
        <v>12</v>
      </c>
      <c r="B7113" s="2" t="str">
        <f>HYPERLINK("http://www.12365auto.com/xcdg/20200216/418662.shtml","新一代奇骏明年上市 全新设计")</f>
        <v>新一代奇骏明年上市 全新设计</v>
      </c>
      <c r="C7113" s="2" t="s">
        <v>13</v>
      </c>
      <c r="D7113" s="2" t="s">
        <v>12</v>
      </c>
      <c r="E7113" s="2" t="s">
        <v>216</v>
      </c>
      <c r="F7113" s="2" t="str">
        <f>HYPERLINK("http://www.12365auto.com/xcdg/20200216/418662.shtml","http://www.12365auto.com/xcdg/20200216/418662.shtml")</f>
        <v>http://www.12365auto.com/xcdg/20200216/418662.shtml</v>
      </c>
      <c r="G7113" s="2"/>
      <c r="H7113" s="2" t="s">
        <v>9734</v>
      </c>
      <c r="I7113" s="2" t="s">
        <v>15</v>
      </c>
      <c r="J7113" s="2" t="s">
        <v>12</v>
      </c>
      <c r="K7113" s="2" t="s">
        <v>9735</v>
      </c>
      <c r="L7113" s="2">
        <f t="shared" si="111"/>
        <v>150</v>
      </c>
    </row>
    <row r="7114" spans="1:12" ht="25" customHeight="1">
      <c r="A7114" s="2" t="s">
        <v>12</v>
      </c>
      <c r="B7114" s="2" t="str">
        <f>HYPERLINK("http://m.12365auto.com/xcdg/20200216/418662.shtml","新一代奇骏明年上市 全新设计")</f>
        <v>新一代奇骏明年上市 全新设计</v>
      </c>
      <c r="C7114" s="2" t="s">
        <v>13</v>
      </c>
      <c r="D7114" s="2" t="s">
        <v>12</v>
      </c>
      <c r="E7114" s="2"/>
      <c r="F7114" s="2" t="str">
        <f>HYPERLINK("http://m.12365auto.com/xcdg/20200216/418662.shtml","http://m.12365auto.com/xcdg/20200216/418662.shtml")</f>
        <v>http://m.12365auto.com/xcdg/20200216/418662.shtml</v>
      </c>
      <c r="G7114" s="2"/>
      <c r="H7114" s="2" t="s">
        <v>9736</v>
      </c>
      <c r="I7114" s="2" t="s">
        <v>19</v>
      </c>
      <c r="J7114" s="2" t="s">
        <v>751</v>
      </c>
      <c r="K7114" s="2" t="s">
        <v>9735</v>
      </c>
      <c r="L7114" s="2">
        <f t="shared" si="111"/>
        <v>150</v>
      </c>
    </row>
    <row r="7115" spans="1:12" ht="25" customHeight="1">
      <c r="A7115" s="2" t="s">
        <v>12</v>
      </c>
      <c r="B7115" s="2" t="str">
        <f>HYPERLINK("http://m.12365auto.com/xcdg/20200216/418661.shtml","全新奥迪S7预售102万起 或3月下旬上市")</f>
        <v>全新奥迪S7预售102万起 或3月下旬上市</v>
      </c>
      <c r="C7115" s="2" t="s">
        <v>13</v>
      </c>
      <c r="D7115" s="2" t="s">
        <v>12</v>
      </c>
      <c r="E7115" s="2"/>
      <c r="F7115" s="2" t="str">
        <f>HYPERLINK("http://m.12365auto.com/xcdg/20200216/418661.shtml","http://m.12365auto.com/xcdg/20200216/418661.shtml")</f>
        <v>http://m.12365auto.com/xcdg/20200216/418661.shtml</v>
      </c>
      <c r="G7115" s="2"/>
      <c r="H7115" s="2" t="s">
        <v>9737</v>
      </c>
      <c r="I7115" s="2" t="s">
        <v>19</v>
      </c>
      <c r="J7115" s="2" t="s">
        <v>751</v>
      </c>
      <c r="K7115" s="2" t="s">
        <v>9738</v>
      </c>
      <c r="L7115" s="2">
        <f t="shared" si="111"/>
        <v>150</v>
      </c>
    </row>
    <row r="7116" spans="1:12" ht="25" customHeight="1">
      <c r="A7116" s="2" t="s">
        <v>12</v>
      </c>
      <c r="B7116" s="2" t="str">
        <f>HYPERLINK("http://www.12365auto.com/xcdg/20200216/418661.shtml","全新奥迪S7预售102万起 或3月下旬上市")</f>
        <v>全新奥迪S7预售102万起 或3月下旬上市</v>
      </c>
      <c r="C7116" s="2" t="s">
        <v>13</v>
      </c>
      <c r="D7116" s="2" t="s">
        <v>12</v>
      </c>
      <c r="E7116" s="2" t="s">
        <v>216</v>
      </c>
      <c r="F7116" s="2" t="str">
        <f>HYPERLINK("http://www.12365auto.com/xcdg/20200216/418661.shtml","http://www.12365auto.com/xcdg/20200216/418661.shtml")</f>
        <v>http://www.12365auto.com/xcdg/20200216/418661.shtml</v>
      </c>
      <c r="G7116" s="2"/>
      <c r="H7116" s="2" t="s">
        <v>9739</v>
      </c>
      <c r="I7116" s="2" t="s">
        <v>15</v>
      </c>
      <c r="J7116" s="2" t="s">
        <v>12</v>
      </c>
      <c r="K7116" s="2" t="s">
        <v>9738</v>
      </c>
      <c r="L7116" s="2">
        <f t="shared" si="111"/>
        <v>150</v>
      </c>
    </row>
    <row r="7117" spans="1:12" ht="25" customHeight="1">
      <c r="A7117" s="2" t="s">
        <v>12</v>
      </c>
      <c r="B7117" s="2" t="str">
        <f>HYPERLINK("http://www.12365auto.com/zlts/20200216/447394.shtml","北汽幻速S5天窗排水口堵塞导致漏水")</f>
        <v>北汽幻速S5天窗排水口堵塞导致漏水</v>
      </c>
      <c r="C7117" s="2" t="s">
        <v>13</v>
      </c>
      <c r="D7117" s="2" t="s">
        <v>12</v>
      </c>
      <c r="E7117" s="2"/>
      <c r="F7117" s="2" t="str">
        <f>HYPERLINK("http://www.12365auto.com/zlts/20200216/447394.shtml","http://www.12365auto.com/zlts/20200216/447394.shtml")</f>
        <v>http://www.12365auto.com/zlts/20200216/447394.shtml</v>
      </c>
      <c r="G7117" s="2"/>
      <c r="H7117" s="2" t="s">
        <v>9741</v>
      </c>
      <c r="I7117" s="2" t="s">
        <v>15</v>
      </c>
      <c r="J7117" s="2" t="s">
        <v>12</v>
      </c>
      <c r="K7117" s="2" t="s">
        <v>9740</v>
      </c>
      <c r="L7117" s="2">
        <f t="shared" si="111"/>
        <v>82</v>
      </c>
    </row>
    <row r="7118" spans="1:12" ht="25" customHeight="1">
      <c r="A7118" s="2" t="s">
        <v>12</v>
      </c>
      <c r="B7118" s="2" t="str">
        <f>HYPERLINK("http://m.12365auto.com/xcdg/20200216/418660.shtml","海马6P申报图曝光 百公里综合油耗1.38L")</f>
        <v>海马6P申报图曝光 百公里综合油耗1.38L</v>
      </c>
      <c r="C7118" s="2" t="s">
        <v>13</v>
      </c>
      <c r="D7118" s="2" t="s">
        <v>12</v>
      </c>
      <c r="E7118" s="2"/>
      <c r="F7118" s="2" t="str">
        <f>HYPERLINK("http://m.12365auto.com/xcdg/20200216/418660.shtml","http://m.12365auto.com/xcdg/20200216/418660.shtml")</f>
        <v>http://m.12365auto.com/xcdg/20200216/418660.shtml</v>
      </c>
      <c r="G7118" s="2"/>
      <c r="H7118" s="2" t="s">
        <v>9742</v>
      </c>
      <c r="I7118" s="2" t="s">
        <v>19</v>
      </c>
      <c r="J7118" s="2" t="s">
        <v>1222</v>
      </c>
      <c r="K7118" s="2" t="s">
        <v>9743</v>
      </c>
      <c r="L7118" s="2">
        <f t="shared" si="111"/>
        <v>150</v>
      </c>
    </row>
    <row r="7119" spans="1:12" ht="25" customHeight="1">
      <c r="A7119" s="2" t="s">
        <v>12</v>
      </c>
      <c r="B7119" s="2" t="str">
        <f>HYPERLINK("http://www.12365auto.com/xcdg/20200216/418660.shtml","海马6P申报图曝光 百公里综合油耗1.38L")</f>
        <v>海马6P申报图曝光 百公里综合油耗1.38L</v>
      </c>
      <c r="C7119" s="2" t="s">
        <v>13</v>
      </c>
      <c r="D7119" s="2" t="s">
        <v>12</v>
      </c>
      <c r="E7119" s="2" t="s">
        <v>216</v>
      </c>
      <c r="F7119" s="2" t="str">
        <f>HYPERLINK("http://www.12365auto.com/xcdg/20200216/418660.shtml","http://www.12365auto.com/xcdg/20200216/418660.shtml")</f>
        <v>http://www.12365auto.com/xcdg/20200216/418660.shtml</v>
      </c>
      <c r="G7119" s="2"/>
      <c r="H7119" s="2" t="s">
        <v>9744</v>
      </c>
      <c r="I7119" s="2" t="s">
        <v>15</v>
      </c>
      <c r="J7119" s="2" t="s">
        <v>12</v>
      </c>
      <c r="K7119" s="2" t="s">
        <v>9743</v>
      </c>
      <c r="L7119" s="2">
        <f t="shared" si="111"/>
        <v>150</v>
      </c>
    </row>
    <row r="7120" spans="1:12" ht="25" customHeight="1">
      <c r="A7120" s="2" t="s">
        <v>12</v>
      </c>
      <c r="B7120" s="2" t="str">
        <f>HYPERLINK("http://m.12365auto.com/xcdg/20200216/418659.shtml","奔腾E01纯电动SUV申报图 综合续航450km")</f>
        <v>奔腾E01纯电动SUV申报图 综合续航450km</v>
      </c>
      <c r="C7120" s="2" t="s">
        <v>13</v>
      </c>
      <c r="D7120" s="2" t="s">
        <v>12</v>
      </c>
      <c r="E7120" s="2"/>
      <c r="F7120" s="2" t="str">
        <f>HYPERLINK("http://m.12365auto.com/xcdg/20200216/418659.shtml","http://m.12365auto.com/xcdg/20200216/418659.shtml")</f>
        <v>http://m.12365auto.com/xcdg/20200216/418659.shtml</v>
      </c>
      <c r="G7120" s="2"/>
      <c r="H7120" s="2" t="s">
        <v>9745</v>
      </c>
      <c r="I7120" s="2" t="s">
        <v>19</v>
      </c>
      <c r="J7120" s="2" t="s">
        <v>1222</v>
      </c>
      <c r="K7120" s="2" t="s">
        <v>9746</v>
      </c>
      <c r="L7120" s="2">
        <f t="shared" si="111"/>
        <v>150</v>
      </c>
    </row>
    <row r="7121" spans="1:12" ht="25" customHeight="1">
      <c r="A7121" s="2" t="s">
        <v>12</v>
      </c>
      <c r="B7121" s="2" t="str">
        <f>HYPERLINK("http://www.12365auto.com/xcdg/20200216/418659.shtml","奔腾E01纯电动SUV申报图 综合续航450km")</f>
        <v>奔腾E01纯电动SUV申报图 综合续航450km</v>
      </c>
      <c r="C7121" s="2" t="s">
        <v>13</v>
      </c>
      <c r="D7121" s="2" t="s">
        <v>12</v>
      </c>
      <c r="E7121" s="2" t="s">
        <v>216</v>
      </c>
      <c r="F7121" s="2" t="str">
        <f>HYPERLINK("http://www.12365auto.com/xcdg/20200216/418659.shtml","http://www.12365auto.com/xcdg/20200216/418659.shtml")</f>
        <v>http://www.12365auto.com/xcdg/20200216/418659.shtml</v>
      </c>
      <c r="G7121" s="2"/>
      <c r="H7121" s="2" t="s">
        <v>9747</v>
      </c>
      <c r="I7121" s="2" t="s">
        <v>15</v>
      </c>
      <c r="J7121" s="2" t="s">
        <v>12</v>
      </c>
      <c r="K7121" s="2" t="s">
        <v>9746</v>
      </c>
      <c r="L7121" s="2">
        <f t="shared" si="111"/>
        <v>150</v>
      </c>
    </row>
    <row r="7122" spans="1:12" ht="25" customHeight="1">
      <c r="A7122" s="2" t="s">
        <v>12</v>
      </c>
      <c r="B7122" s="2" t="str">
        <f>HYPERLINK("http://www.12365auto.com/zlts/20200216/447397.shtml","奇瑞瑞虎8水箱泄漏防冻液希望厂家解决")</f>
        <v>奇瑞瑞虎8水箱泄漏防冻液希望厂家解决</v>
      </c>
      <c r="C7122" s="2" t="s">
        <v>13</v>
      </c>
      <c r="D7122" s="2" t="s">
        <v>12</v>
      </c>
      <c r="E7122" s="2" t="s">
        <v>17</v>
      </c>
      <c r="F7122" s="2" t="str">
        <f>HYPERLINK("http://www.12365auto.com/zlts/20200216/447397.shtml","http://www.12365auto.com/zlts/20200216/447397.shtml")</f>
        <v>http://www.12365auto.com/zlts/20200216/447397.shtml</v>
      </c>
      <c r="G7122" s="2"/>
      <c r="H7122" s="2" t="s">
        <v>9748</v>
      </c>
      <c r="I7122" s="2" t="s">
        <v>19</v>
      </c>
      <c r="J7122" s="2" t="s">
        <v>12</v>
      </c>
      <c r="K7122" s="2" t="s">
        <v>9749</v>
      </c>
      <c r="L7122" s="2">
        <f t="shared" si="111"/>
        <v>150</v>
      </c>
    </row>
    <row r="7123" spans="1:12" ht="25" customHeight="1">
      <c r="A7123" s="2" t="s">
        <v>12</v>
      </c>
      <c r="B7123" s="2" t="str">
        <f>HYPERLINK("http://www.12365auto.com/xcdg/20200216/418658.shtml","丰田RAV4插混版将国产 搭2.5L引擎")</f>
        <v>丰田RAV4插混版将国产 搭2.5L引擎</v>
      </c>
      <c r="C7123" s="2" t="s">
        <v>13</v>
      </c>
      <c r="D7123" s="2" t="s">
        <v>12</v>
      </c>
      <c r="E7123" s="2" t="s">
        <v>216</v>
      </c>
      <c r="F7123" s="2" t="str">
        <f>HYPERLINK("http://www.12365auto.com/xcdg/20200216/418658.shtml","http://www.12365auto.com/xcdg/20200216/418658.shtml")</f>
        <v>http://www.12365auto.com/xcdg/20200216/418658.shtml</v>
      </c>
      <c r="G7123" s="2"/>
      <c r="H7123" s="2" t="s">
        <v>9750</v>
      </c>
      <c r="I7123" s="2" t="s">
        <v>15</v>
      </c>
      <c r="J7123" s="2" t="s">
        <v>12</v>
      </c>
      <c r="K7123" s="2" t="s">
        <v>9751</v>
      </c>
      <c r="L7123" s="2">
        <f t="shared" si="111"/>
        <v>150</v>
      </c>
    </row>
    <row r="7124" spans="1:12" ht="25" customHeight="1">
      <c r="A7124" s="2" t="s">
        <v>12</v>
      </c>
      <c r="B7124" s="2" t="str">
        <f>HYPERLINK("http://m.12365auto.com/xcdg/20200216/418658.shtml","丰田RAV4插混版将国产 搭2.5L引擎")</f>
        <v>丰田RAV4插混版将国产 搭2.5L引擎</v>
      </c>
      <c r="C7124" s="2" t="s">
        <v>13</v>
      </c>
      <c r="D7124" s="2" t="s">
        <v>12</v>
      </c>
      <c r="E7124" s="2"/>
      <c r="F7124" s="2" t="str">
        <f>HYPERLINK("http://m.12365auto.com/xcdg/20200216/418658.shtml","http://m.12365auto.com/xcdg/20200216/418658.shtml")</f>
        <v>http://m.12365auto.com/xcdg/20200216/418658.shtml</v>
      </c>
      <c r="G7124" s="2"/>
      <c r="H7124" s="2" t="s">
        <v>9752</v>
      </c>
      <c r="I7124" s="2" t="s">
        <v>19</v>
      </c>
      <c r="J7124" s="2" t="s">
        <v>265</v>
      </c>
      <c r="K7124" s="2" t="s">
        <v>9751</v>
      </c>
      <c r="L7124" s="2">
        <f t="shared" si="111"/>
        <v>150</v>
      </c>
    </row>
    <row r="7125" spans="1:12" ht="25" customHeight="1">
      <c r="A7125" s="2" t="s">
        <v>12</v>
      </c>
      <c r="B7125" s="2" t="str">
        <f>HYPERLINK("http://www.12365auto.com/zlts/20200216/447393.shtml","长安福特蒙迪欧致胜变速器顿挫 油封漏油")</f>
        <v>长安福特蒙迪欧致胜变速器顿挫 油封漏油</v>
      </c>
      <c r="C7125" s="2" t="s">
        <v>13</v>
      </c>
      <c r="D7125" s="2" t="s">
        <v>12</v>
      </c>
      <c r="E7125" s="2"/>
      <c r="F7125" s="2" t="str">
        <f>HYPERLINK("http://www.12365auto.com/zlts/20200216/447393.shtml","http://www.12365auto.com/zlts/20200216/447393.shtml")</f>
        <v>http://www.12365auto.com/zlts/20200216/447393.shtml</v>
      </c>
      <c r="G7125" s="2"/>
      <c r="H7125" s="2" t="s">
        <v>9754</v>
      </c>
      <c r="I7125" s="2" t="s">
        <v>15</v>
      </c>
      <c r="J7125" s="2" t="s">
        <v>12</v>
      </c>
      <c r="K7125" s="2" t="s">
        <v>9753</v>
      </c>
      <c r="L7125" s="2">
        <f t="shared" si="111"/>
        <v>84</v>
      </c>
    </row>
    <row r="7126" spans="1:12" ht="25" customHeight="1">
      <c r="A7126" s="2" t="s">
        <v>12</v>
      </c>
      <c r="B7126" s="2" t="str">
        <f>HYPERLINK("http://www.12365auto.com/xcdg/20200216/418657.shtml","福特全新福克斯RS信息 换搭全新动力")</f>
        <v>福特全新福克斯RS信息 换搭全新动力</v>
      </c>
      <c r="C7126" s="2" t="s">
        <v>13</v>
      </c>
      <c r="D7126" s="2" t="s">
        <v>12</v>
      </c>
      <c r="E7126" s="2" t="s">
        <v>216</v>
      </c>
      <c r="F7126" s="2" t="str">
        <f>HYPERLINK("http://www.12365auto.com/xcdg/20200216/418657.shtml","http://www.12365auto.com/xcdg/20200216/418657.shtml")</f>
        <v>http://www.12365auto.com/xcdg/20200216/418657.shtml</v>
      </c>
      <c r="G7126" s="2"/>
      <c r="H7126" s="2" t="s">
        <v>9755</v>
      </c>
      <c r="I7126" s="2" t="s">
        <v>15</v>
      </c>
      <c r="J7126" s="2" t="s">
        <v>12</v>
      </c>
      <c r="K7126" s="2" t="s">
        <v>9756</v>
      </c>
      <c r="L7126" s="2">
        <f t="shared" si="111"/>
        <v>150</v>
      </c>
    </row>
    <row r="7127" spans="1:12" ht="25" customHeight="1">
      <c r="A7127" s="2" t="s">
        <v>12</v>
      </c>
      <c r="B7127" s="2" t="str">
        <f>HYPERLINK("http://m.12365auto.com/xcdg/20200216/418657.shtml","福特全新福克斯RS信息 换搭全新动力")</f>
        <v>福特全新福克斯RS信息 换搭全新动力</v>
      </c>
      <c r="C7127" s="2" t="s">
        <v>13</v>
      </c>
      <c r="D7127" s="2" t="s">
        <v>12</v>
      </c>
      <c r="E7127" s="2"/>
      <c r="F7127" s="2" t="str">
        <f>HYPERLINK("http://m.12365auto.com/xcdg/20200216/418657.shtml","http://m.12365auto.com/xcdg/20200216/418657.shtml")</f>
        <v>http://m.12365auto.com/xcdg/20200216/418657.shtml</v>
      </c>
      <c r="G7127" s="2"/>
      <c r="H7127" s="2" t="s">
        <v>9757</v>
      </c>
      <c r="I7127" s="2" t="s">
        <v>19</v>
      </c>
      <c r="J7127" s="2" t="s">
        <v>220</v>
      </c>
      <c r="K7127" s="2" t="s">
        <v>9756</v>
      </c>
      <c r="L7127" s="2">
        <f t="shared" si="111"/>
        <v>150</v>
      </c>
    </row>
    <row r="7128" spans="1:12" ht="25" customHeight="1">
      <c r="A7128" s="2" t="s">
        <v>12</v>
      </c>
      <c r="B7128" s="2" t="str">
        <f>HYPERLINK("http://www.12365auto.com/zlts/20200216/447396.shtml","江铃驭胜S330车身生锈 大灯开关故障")</f>
        <v>江铃驭胜S330车身生锈 大灯开关故障</v>
      </c>
      <c r="C7128" s="2" t="s">
        <v>13</v>
      </c>
      <c r="D7128" s="2" t="s">
        <v>12</v>
      </c>
      <c r="E7128" s="2" t="s">
        <v>17</v>
      </c>
      <c r="F7128" s="2" t="str">
        <f>HYPERLINK("http://www.12365auto.com/zlts/20200216/447396.shtml","http://www.12365auto.com/zlts/20200216/447396.shtml")</f>
        <v>http://www.12365auto.com/zlts/20200216/447396.shtml</v>
      </c>
      <c r="G7128" s="2"/>
      <c r="H7128" s="2" t="s">
        <v>9758</v>
      </c>
      <c r="I7128" s="2" t="s">
        <v>19</v>
      </c>
      <c r="J7128" s="2" t="s">
        <v>12</v>
      </c>
      <c r="K7128" s="2" t="s">
        <v>9759</v>
      </c>
      <c r="L7128" s="2">
        <f t="shared" si="111"/>
        <v>150</v>
      </c>
    </row>
    <row r="7129" spans="1:12" ht="25" customHeight="1">
      <c r="A7129" s="2" t="s">
        <v>12</v>
      </c>
      <c r="B7129" s="2" t="str">
        <f>HYPERLINK("http://www.12365auto.com/xcdg/20200216/418656.shtml","现代全新i30预告图曝光 搭1.4T引擎")</f>
        <v>现代全新i30预告图曝光 搭1.4T引擎</v>
      </c>
      <c r="C7129" s="2" t="s">
        <v>13</v>
      </c>
      <c r="D7129" s="2" t="s">
        <v>12</v>
      </c>
      <c r="E7129" s="2" t="s">
        <v>216</v>
      </c>
      <c r="F7129" s="2" t="str">
        <f>HYPERLINK("http://www.12365auto.com/xcdg/20200216/418656.shtml","http://www.12365auto.com/xcdg/20200216/418656.shtml")</f>
        <v>http://www.12365auto.com/xcdg/20200216/418656.shtml</v>
      </c>
      <c r="G7129" s="2"/>
      <c r="H7129" s="2" t="s">
        <v>9760</v>
      </c>
      <c r="I7129" s="2" t="s">
        <v>15</v>
      </c>
      <c r="J7129" s="2" t="s">
        <v>12</v>
      </c>
      <c r="K7129" s="2" t="s">
        <v>9761</v>
      </c>
      <c r="L7129" s="2">
        <f t="shared" si="111"/>
        <v>150</v>
      </c>
    </row>
    <row r="7130" spans="1:12" ht="25" customHeight="1">
      <c r="A7130" s="2" t="s">
        <v>12</v>
      </c>
      <c r="B7130" s="2" t="str">
        <f>HYPERLINK("http://m.12365auto.com/xcdg/20200216/418656.shtml","现代全新i30预告图曝光 搭1.4T引擎")</f>
        <v>现代全新i30预告图曝光 搭1.4T引擎</v>
      </c>
      <c r="C7130" s="2" t="s">
        <v>13</v>
      </c>
      <c r="D7130" s="2" t="s">
        <v>12</v>
      </c>
      <c r="E7130" s="2"/>
      <c r="F7130" s="2" t="str">
        <f>HYPERLINK("http://m.12365auto.com/xcdg/20200216/418656.shtml","http://m.12365auto.com/xcdg/20200216/418656.shtml")</f>
        <v>http://m.12365auto.com/xcdg/20200216/418656.shtml</v>
      </c>
      <c r="G7130" s="2"/>
      <c r="H7130" s="2" t="s">
        <v>9762</v>
      </c>
      <c r="I7130" s="2" t="s">
        <v>19</v>
      </c>
      <c r="J7130" s="2" t="s">
        <v>220</v>
      </c>
      <c r="K7130" s="2" t="s">
        <v>9761</v>
      </c>
      <c r="L7130" s="2">
        <f t="shared" si="111"/>
        <v>150</v>
      </c>
    </row>
    <row r="7131" spans="1:12" ht="25" customHeight="1">
      <c r="A7131" s="2" t="s">
        <v>12</v>
      </c>
      <c r="B7131" s="2" t="str">
        <f>HYPERLINK("http://www.12365auto.com/xcdg/20200216/418655.shtml","广汽新能源Aion V实车曝光")</f>
        <v>广汽新能源Aion V实车曝光</v>
      </c>
      <c r="C7131" s="2" t="s">
        <v>13</v>
      </c>
      <c r="D7131" s="2" t="s">
        <v>12</v>
      </c>
      <c r="E7131" s="2" t="s">
        <v>216</v>
      </c>
      <c r="F7131" s="2" t="str">
        <f>HYPERLINK("http://www.12365auto.com/xcdg/20200216/418655.shtml","http://www.12365auto.com/xcdg/20200216/418655.shtml")</f>
        <v>http://www.12365auto.com/xcdg/20200216/418655.shtml</v>
      </c>
      <c r="G7131" s="2"/>
      <c r="H7131" s="2" t="s">
        <v>9763</v>
      </c>
      <c r="I7131" s="2" t="s">
        <v>15</v>
      </c>
      <c r="J7131" s="2" t="s">
        <v>12</v>
      </c>
      <c r="K7131" s="2" t="s">
        <v>9764</v>
      </c>
      <c r="L7131" s="2">
        <f t="shared" si="111"/>
        <v>150</v>
      </c>
    </row>
    <row r="7132" spans="1:12" ht="25" customHeight="1">
      <c r="A7132" s="2" t="s">
        <v>12</v>
      </c>
      <c r="B7132" s="2" t="str">
        <f>HYPERLINK("http://m.12365auto.com/xcdg/20200216/418655.shtml","广汽新能源Aion V实车曝光")</f>
        <v>广汽新能源Aion V实车曝光</v>
      </c>
      <c r="C7132" s="2" t="s">
        <v>13</v>
      </c>
      <c r="D7132" s="2" t="s">
        <v>12</v>
      </c>
      <c r="E7132" s="2"/>
      <c r="F7132" s="2" t="str">
        <f>HYPERLINK("http://m.12365auto.com/xcdg/20200216/418655.shtml","http://m.12365auto.com/xcdg/20200216/418655.shtml")</f>
        <v>http://m.12365auto.com/xcdg/20200216/418655.shtml</v>
      </c>
      <c r="G7132" s="2"/>
      <c r="H7132" s="2" t="s">
        <v>9765</v>
      </c>
      <c r="I7132" s="2" t="s">
        <v>19</v>
      </c>
      <c r="J7132" s="2" t="s">
        <v>257</v>
      </c>
      <c r="K7132" s="2" t="s">
        <v>9764</v>
      </c>
      <c r="L7132" s="2">
        <f t="shared" si="111"/>
        <v>150</v>
      </c>
    </row>
    <row r="7133" spans="1:12" ht="25" customHeight="1">
      <c r="A7133" s="2" t="s">
        <v>12</v>
      </c>
      <c r="B7133" s="2" t="str">
        <f>HYPERLINK("http://m.12365auto.com/news/20200216/418654.shtml","五菱打算进军高端 五菱欲发布全新五菱品牌")</f>
        <v>五菱打算进军高端 五菱欲发布全新五菱品牌</v>
      </c>
      <c r="C7133" s="2" t="s">
        <v>13</v>
      </c>
      <c r="D7133" s="2" t="s">
        <v>12</v>
      </c>
      <c r="E7133" s="2"/>
      <c r="F7133" s="2" t="str">
        <f>HYPERLINK("http://m.12365auto.com/news/20200216/418654.shtml","http://m.12365auto.com/news/20200216/418654.shtml")</f>
        <v>http://m.12365auto.com/news/20200216/418654.shtml</v>
      </c>
      <c r="G7133" s="2"/>
      <c r="H7133" s="2" t="s">
        <v>9766</v>
      </c>
      <c r="I7133" s="2" t="s">
        <v>19</v>
      </c>
      <c r="J7133" s="2" t="s">
        <v>1117</v>
      </c>
      <c r="K7133" s="2" t="s">
        <v>9767</v>
      </c>
      <c r="L7133" s="2">
        <f t="shared" si="111"/>
        <v>150</v>
      </c>
    </row>
    <row r="7134" spans="1:12" ht="25" customHeight="1">
      <c r="A7134" s="2" t="s">
        <v>12</v>
      </c>
      <c r="B7134" s="2" t="str">
        <f>HYPERLINK("http://www.12365auto.com/news/20200216/418654.shtml","五菱打算进军高端 五菱欲发布全新五菱品牌")</f>
        <v>五菱打算进军高端 五菱欲发布全新五菱品牌</v>
      </c>
      <c r="C7134" s="2" t="s">
        <v>13</v>
      </c>
      <c r="D7134" s="2" t="s">
        <v>12</v>
      </c>
      <c r="E7134" s="2" t="s">
        <v>276</v>
      </c>
      <c r="F7134" s="2" t="str">
        <f>HYPERLINK("http://www.12365auto.com/news/20200216/418654.shtml","http://www.12365auto.com/news/20200216/418654.shtml")</f>
        <v>http://www.12365auto.com/news/20200216/418654.shtml</v>
      </c>
      <c r="G7134" s="2"/>
      <c r="H7134" s="2" t="s">
        <v>9768</v>
      </c>
      <c r="I7134" s="2" t="s">
        <v>15</v>
      </c>
      <c r="J7134" s="2" t="s">
        <v>12</v>
      </c>
      <c r="K7134" s="2" t="s">
        <v>9767</v>
      </c>
      <c r="L7134" s="2">
        <f t="shared" si="111"/>
        <v>150</v>
      </c>
    </row>
    <row r="7135" spans="1:12" ht="25" customHeight="1">
      <c r="A7135" s="2" t="s">
        <v>12</v>
      </c>
      <c r="B7135" s="2" t="str">
        <f>HYPERLINK("http://www.12365auto.com/xcdg/20200216/418653.shtml","与迈腾同级的纯电动车 大众ID.5马上就来！")</f>
        <v>与迈腾同级的纯电动车 大众ID.5马上就来！</v>
      </c>
      <c r="C7135" s="2" t="s">
        <v>13</v>
      </c>
      <c r="D7135" s="2" t="s">
        <v>12</v>
      </c>
      <c r="E7135" s="2" t="s">
        <v>245</v>
      </c>
      <c r="F7135" s="2" t="str">
        <f>HYPERLINK("http://www.12365auto.com/xcdg/20200216/418653.shtml","http://www.12365auto.com/xcdg/20200216/418653.shtml")</f>
        <v>http://www.12365auto.com/xcdg/20200216/418653.shtml</v>
      </c>
      <c r="G7135" s="2"/>
      <c r="H7135" s="2" t="s">
        <v>9769</v>
      </c>
      <c r="I7135" s="2" t="s">
        <v>19</v>
      </c>
      <c r="J7135" s="2" t="s">
        <v>12</v>
      </c>
      <c r="K7135" s="2" t="s">
        <v>9770</v>
      </c>
      <c r="L7135" s="2">
        <f t="shared" si="111"/>
        <v>150</v>
      </c>
    </row>
    <row r="7136" spans="1:12" ht="25" customHeight="1">
      <c r="A7136" s="2" t="s">
        <v>12</v>
      </c>
      <c r="B7136" s="2" t="str">
        <f>HYPERLINK("http://m.12365auto.com/xcdg/20200216/418653.shtml","与迈腾同级的纯电动车 大众ID.5马上就来！")</f>
        <v>与迈腾同级的纯电动车 大众ID.5马上就来！</v>
      </c>
      <c r="C7136" s="2" t="s">
        <v>13</v>
      </c>
      <c r="D7136" s="2" t="s">
        <v>12</v>
      </c>
      <c r="E7136" s="2"/>
      <c r="F7136" s="2" t="str">
        <f>HYPERLINK("http://m.12365auto.com/xcdg/20200216/418653.shtml","http://m.12365auto.com/xcdg/20200216/418653.shtml")</f>
        <v>http://m.12365auto.com/xcdg/20200216/418653.shtml</v>
      </c>
      <c r="G7136" s="2"/>
      <c r="H7136" s="2" t="s">
        <v>9771</v>
      </c>
      <c r="I7136" s="2" t="s">
        <v>19</v>
      </c>
      <c r="J7136" s="2" t="s">
        <v>1117</v>
      </c>
      <c r="K7136" s="2" t="s">
        <v>9770</v>
      </c>
      <c r="L7136" s="2">
        <f t="shared" si="111"/>
        <v>150</v>
      </c>
    </row>
    <row r="7137" spans="1:12" ht="25" customHeight="1">
      <c r="A7137" s="2" t="s">
        <v>12</v>
      </c>
      <c r="B7137" s="2" t="str">
        <f>HYPERLINK("http://m.12365auto.com/xcdg/20200216/418652.shtml","“双肾”格栅 全新4系的谍照曝光")</f>
        <v>“双肾”格栅 全新4系的谍照曝光</v>
      </c>
      <c r="C7137" s="2" t="s">
        <v>13</v>
      </c>
      <c r="D7137" s="2" t="s">
        <v>12</v>
      </c>
      <c r="E7137" s="2"/>
      <c r="F7137" s="2" t="str">
        <f>HYPERLINK("http://m.12365auto.com/xcdg/20200216/418652.shtml","http://m.12365auto.com/xcdg/20200216/418652.shtml")</f>
        <v>http://m.12365auto.com/xcdg/20200216/418652.shtml</v>
      </c>
      <c r="G7137" s="2"/>
      <c r="H7137" s="2" t="s">
        <v>9772</v>
      </c>
      <c r="I7137" s="2" t="s">
        <v>19</v>
      </c>
      <c r="J7137" s="2" t="s">
        <v>1923</v>
      </c>
      <c r="K7137" s="2" t="s">
        <v>9773</v>
      </c>
      <c r="L7137" s="2">
        <f t="shared" si="111"/>
        <v>150</v>
      </c>
    </row>
    <row r="7138" spans="1:12" ht="25" customHeight="1">
      <c r="A7138" s="2" t="s">
        <v>12</v>
      </c>
      <c r="B7138" s="2" t="str">
        <f>HYPERLINK("http://www.12365auto.com/xcdg/20200216/418652.shtml","“双肾”格栅 全新4系的谍照曝光")</f>
        <v>“双肾”格栅 全新4系的谍照曝光</v>
      </c>
      <c r="C7138" s="2" t="s">
        <v>13</v>
      </c>
      <c r="D7138" s="2" t="s">
        <v>12</v>
      </c>
      <c r="E7138" s="2" t="s">
        <v>224</v>
      </c>
      <c r="F7138" s="2" t="str">
        <f>HYPERLINK("http://www.12365auto.com/xcdg/20200216/418652.shtml","http://www.12365auto.com/xcdg/20200216/418652.shtml")</f>
        <v>http://www.12365auto.com/xcdg/20200216/418652.shtml</v>
      </c>
      <c r="G7138" s="2"/>
      <c r="H7138" s="2" t="s">
        <v>9774</v>
      </c>
      <c r="I7138" s="2" t="s">
        <v>15</v>
      </c>
      <c r="J7138" s="2" t="s">
        <v>12</v>
      </c>
      <c r="K7138" s="2" t="s">
        <v>9773</v>
      </c>
      <c r="L7138" s="2">
        <f t="shared" si="111"/>
        <v>150</v>
      </c>
    </row>
    <row r="7139" spans="1:12" ht="25" customHeight="1">
      <c r="A7139" s="2" t="s">
        <v>12</v>
      </c>
      <c r="B7139" s="2" t="str">
        <f>HYPERLINK("http://m.12365auto.com/xcdg/20200216/418651.shtml","帕加尼限量超跑全球仅5台 售500万欧")</f>
        <v>帕加尼限量超跑全球仅5台 售500万欧</v>
      </c>
      <c r="C7139" s="2" t="s">
        <v>13</v>
      </c>
      <c r="D7139" s="2" t="s">
        <v>12</v>
      </c>
      <c r="E7139" s="2"/>
      <c r="F7139" s="2" t="str">
        <f>HYPERLINK("http://m.12365auto.com/xcdg/20200216/418651.shtml","http://m.12365auto.com/xcdg/20200216/418651.shtml")</f>
        <v>http://m.12365auto.com/xcdg/20200216/418651.shtml</v>
      </c>
      <c r="G7139" s="2"/>
      <c r="H7139" s="2" t="s">
        <v>9775</v>
      </c>
      <c r="I7139" s="2" t="s">
        <v>19</v>
      </c>
      <c r="J7139" s="2" t="s">
        <v>1105</v>
      </c>
      <c r="K7139" s="2" t="s">
        <v>9776</v>
      </c>
      <c r="L7139" s="2">
        <f t="shared" si="111"/>
        <v>150</v>
      </c>
    </row>
    <row r="7140" spans="1:12" ht="25" customHeight="1">
      <c r="A7140" s="2" t="s">
        <v>12</v>
      </c>
      <c r="B7140" s="2" t="str">
        <f>HYPERLINK("http://www.12365auto.com/xcdg/20200216/418651.shtml","帕加尼限量超跑全球仅5台 售500万欧")</f>
        <v>帕加尼限量超跑全球仅5台 售500万欧</v>
      </c>
      <c r="C7140" s="2" t="s">
        <v>13</v>
      </c>
      <c r="D7140" s="2" t="s">
        <v>12</v>
      </c>
      <c r="E7140" s="2" t="s">
        <v>216</v>
      </c>
      <c r="F7140" s="2" t="str">
        <f>HYPERLINK("http://www.12365auto.com/xcdg/20200216/418651.shtml","http://www.12365auto.com/xcdg/20200216/418651.shtml")</f>
        <v>http://www.12365auto.com/xcdg/20200216/418651.shtml</v>
      </c>
      <c r="G7140" s="2"/>
      <c r="H7140" s="2" t="s">
        <v>9777</v>
      </c>
      <c r="I7140" s="2" t="s">
        <v>15</v>
      </c>
      <c r="J7140" s="2" t="s">
        <v>12</v>
      </c>
      <c r="K7140" s="2" t="s">
        <v>9776</v>
      </c>
      <c r="L7140" s="2">
        <f t="shared" si="111"/>
        <v>150</v>
      </c>
    </row>
    <row r="7141" spans="1:12" ht="25" customHeight="1">
      <c r="A7141" s="2" t="s">
        <v>12</v>
      </c>
      <c r="B7141" s="2" t="str">
        <f>HYPERLINK("http://www.12365auto.com/xcdg/20200216/418650.shtml","起亚全新索兰托设计图曝光 3月3日亮相")</f>
        <v>起亚全新索兰托设计图曝光 3月3日亮相</v>
      </c>
      <c r="C7141" s="2" t="s">
        <v>13</v>
      </c>
      <c r="D7141" s="2" t="s">
        <v>12</v>
      </c>
      <c r="E7141" s="2" t="s">
        <v>216</v>
      </c>
      <c r="F7141" s="2" t="str">
        <f>HYPERLINK("http://www.12365auto.com/xcdg/20200216/418650.shtml","http://www.12365auto.com/xcdg/20200216/418650.shtml")</f>
        <v>http://www.12365auto.com/xcdg/20200216/418650.shtml</v>
      </c>
      <c r="G7141" s="2"/>
      <c r="H7141" s="2" t="s">
        <v>9778</v>
      </c>
      <c r="I7141" s="2" t="s">
        <v>15</v>
      </c>
      <c r="J7141" s="2" t="s">
        <v>12</v>
      </c>
      <c r="K7141" s="2" t="s">
        <v>9779</v>
      </c>
      <c r="L7141" s="2">
        <f t="shared" si="111"/>
        <v>150</v>
      </c>
    </row>
    <row r="7142" spans="1:12" ht="25" customHeight="1">
      <c r="A7142" s="2" t="s">
        <v>12</v>
      </c>
      <c r="B7142" s="2" t="str">
        <f>HYPERLINK("http://m.12365auto.com/xcdg/20200216/418650.shtml","起亚全新索兰托设计图曝光 3月3日亮相")</f>
        <v>起亚全新索兰托设计图曝光 3月3日亮相</v>
      </c>
      <c r="C7142" s="2" t="s">
        <v>13</v>
      </c>
      <c r="D7142" s="2" t="s">
        <v>12</v>
      </c>
      <c r="E7142" s="2"/>
      <c r="F7142" s="2" t="str">
        <f>HYPERLINK("http://m.12365auto.com/xcdg/20200216/418650.shtml","http://m.12365auto.com/xcdg/20200216/418650.shtml")</f>
        <v>http://m.12365auto.com/xcdg/20200216/418650.shtml</v>
      </c>
      <c r="G7142" s="2"/>
      <c r="H7142" s="2" t="s">
        <v>9780</v>
      </c>
      <c r="I7142" s="2" t="s">
        <v>19</v>
      </c>
      <c r="J7142" s="2" t="s">
        <v>1105</v>
      </c>
      <c r="K7142" s="2" t="s">
        <v>9779</v>
      </c>
      <c r="L7142" s="2">
        <f t="shared" si="111"/>
        <v>150</v>
      </c>
    </row>
    <row r="7143" spans="1:12" ht="25" customHeight="1">
      <c r="A7143" s="2" t="s">
        <v>12</v>
      </c>
      <c r="B7143" s="2" t="str">
        <f>HYPERLINK("http://www.12365auto.com/xcdg/20200216/418649.shtml","把性能推到极致 ABT升级奥迪RS Q8")</f>
        <v>把性能推到极致 ABT升级奥迪RS Q8</v>
      </c>
      <c r="C7143" s="2" t="s">
        <v>13</v>
      </c>
      <c r="D7143" s="2" t="s">
        <v>12</v>
      </c>
      <c r="E7143" s="2" t="s">
        <v>216</v>
      </c>
      <c r="F7143" s="2" t="str">
        <f>HYPERLINK("http://www.12365auto.com/xcdg/20200216/418649.shtml","http://www.12365auto.com/xcdg/20200216/418649.shtml")</f>
        <v>http://www.12365auto.com/xcdg/20200216/418649.shtml</v>
      </c>
      <c r="G7143" s="2"/>
      <c r="H7143" s="2" t="s">
        <v>9781</v>
      </c>
      <c r="I7143" s="2" t="s">
        <v>15</v>
      </c>
      <c r="J7143" s="2" t="s">
        <v>12</v>
      </c>
      <c r="K7143" s="2" t="s">
        <v>9782</v>
      </c>
      <c r="L7143" s="2">
        <f t="shared" si="111"/>
        <v>150</v>
      </c>
    </row>
    <row r="7144" spans="1:12" ht="25" customHeight="1">
      <c r="A7144" s="2" t="s">
        <v>12</v>
      </c>
      <c r="B7144" s="2" t="str">
        <f>HYPERLINK("http://m.12365auto.com/xcdg/20200216/418649.shtml","把性能推到极致 ABT升级奥迪RS Q8")</f>
        <v>把性能推到极致 ABT升级奥迪RS Q8</v>
      </c>
      <c r="C7144" s="2" t="s">
        <v>13</v>
      </c>
      <c r="D7144" s="2" t="s">
        <v>12</v>
      </c>
      <c r="E7144" s="2"/>
      <c r="F7144" s="2" t="str">
        <f>HYPERLINK("http://m.12365auto.com/xcdg/20200216/418649.shtml","http://m.12365auto.com/xcdg/20200216/418649.shtml")</f>
        <v>http://m.12365auto.com/xcdg/20200216/418649.shtml</v>
      </c>
      <c r="G7144" s="2"/>
      <c r="H7144" s="2" t="s">
        <v>9783</v>
      </c>
      <c r="I7144" s="2" t="s">
        <v>19</v>
      </c>
      <c r="J7144" s="2" t="s">
        <v>238</v>
      </c>
      <c r="K7144" s="2" t="s">
        <v>9782</v>
      </c>
      <c r="L7144" s="2">
        <f t="shared" si="111"/>
        <v>150</v>
      </c>
    </row>
    <row r="7145" spans="1:12" ht="25" customHeight="1">
      <c r="A7145" s="2" t="s">
        <v>12</v>
      </c>
      <c r="B7145" s="2" t="str">
        <f>HYPERLINK("http://www.12365auto.com/xcdg/20200216/418648.shtml","全新一代奥迪R8将实现电气化 采用特殊声浪")</f>
        <v>全新一代奥迪R8将实现电气化 采用特殊声浪</v>
      </c>
      <c r="C7145" s="2" t="s">
        <v>13</v>
      </c>
      <c r="D7145" s="2" t="s">
        <v>12</v>
      </c>
      <c r="E7145" s="2" t="s">
        <v>216</v>
      </c>
      <c r="F7145" s="2" t="str">
        <f>HYPERLINK("http://www.12365auto.com/xcdg/20200216/418648.shtml","http://www.12365auto.com/xcdg/20200216/418648.shtml")</f>
        <v>http://www.12365auto.com/xcdg/20200216/418648.shtml</v>
      </c>
      <c r="G7145" s="2"/>
      <c r="H7145" s="2" t="s">
        <v>9784</v>
      </c>
      <c r="I7145" s="2" t="s">
        <v>15</v>
      </c>
      <c r="J7145" s="2" t="s">
        <v>12</v>
      </c>
      <c r="K7145" s="2" t="s">
        <v>9785</v>
      </c>
      <c r="L7145" s="2">
        <f t="shared" si="111"/>
        <v>150</v>
      </c>
    </row>
    <row r="7146" spans="1:12" ht="25" customHeight="1">
      <c r="A7146" s="2" t="s">
        <v>12</v>
      </c>
      <c r="B7146" s="2" t="str">
        <f>HYPERLINK("http://m.12365auto.com/xcdg/20200216/418648.shtml","全新一代奥迪R8将实现电气化 采用特殊声浪")</f>
        <v>全新一代奥迪R8将实现电气化 采用特殊声浪</v>
      </c>
      <c r="C7146" s="2" t="s">
        <v>13</v>
      </c>
      <c r="D7146" s="2" t="s">
        <v>12</v>
      </c>
      <c r="E7146" s="2"/>
      <c r="F7146" s="2" t="str">
        <f>HYPERLINK("http://m.12365auto.com/xcdg/20200216/418648.shtml","http://m.12365auto.com/xcdg/20200216/418648.shtml")</f>
        <v>http://m.12365auto.com/xcdg/20200216/418648.shtml</v>
      </c>
      <c r="G7146" s="2"/>
      <c r="H7146" s="2" t="s">
        <v>9786</v>
      </c>
      <c r="I7146" s="2" t="s">
        <v>19</v>
      </c>
      <c r="J7146" s="2" t="s">
        <v>1076</v>
      </c>
      <c r="K7146" s="2" t="s">
        <v>9785</v>
      </c>
      <c r="L7146" s="2">
        <f t="shared" si="111"/>
        <v>150</v>
      </c>
    </row>
    <row r="7147" spans="1:12" ht="25" customHeight="1">
      <c r="A7147" s="2" t="s">
        <v>12</v>
      </c>
      <c r="B7147" s="2" t="str">
        <f>HYPERLINK("http://m.12365auto.com/xcdg/20200216/418647.shtml","雷诺子品牌Dacia欲推城市代步电动车")</f>
        <v>雷诺子品牌Dacia欲推城市代步电动车</v>
      </c>
      <c r="C7147" s="2" t="s">
        <v>13</v>
      </c>
      <c r="D7147" s="2" t="s">
        <v>12</v>
      </c>
      <c r="E7147" s="2"/>
      <c r="F7147" s="2" t="str">
        <f>HYPERLINK("http://m.12365auto.com/xcdg/20200216/418647.shtml","http://m.12365auto.com/xcdg/20200216/418647.shtml")</f>
        <v>http://m.12365auto.com/xcdg/20200216/418647.shtml</v>
      </c>
      <c r="G7147" s="2"/>
      <c r="H7147" s="2" t="s">
        <v>9787</v>
      </c>
      <c r="I7147" s="2" t="s">
        <v>19</v>
      </c>
      <c r="J7147" s="2" t="s">
        <v>781</v>
      </c>
      <c r="K7147" s="2" t="s">
        <v>9788</v>
      </c>
      <c r="L7147" s="2">
        <f t="shared" si="111"/>
        <v>150</v>
      </c>
    </row>
    <row r="7148" spans="1:12" ht="25" customHeight="1">
      <c r="A7148" s="2" t="s">
        <v>12</v>
      </c>
      <c r="B7148" s="2" t="str">
        <f>HYPERLINK("http://www.12365auto.com/xcdg/20200216/418647.shtml","雷诺子品牌Dacia欲推城市代步电动车")</f>
        <v>雷诺子品牌Dacia欲推城市代步电动车</v>
      </c>
      <c r="C7148" s="2" t="s">
        <v>13</v>
      </c>
      <c r="D7148" s="2" t="s">
        <v>12</v>
      </c>
      <c r="E7148" s="2" t="s">
        <v>216</v>
      </c>
      <c r="F7148" s="2" t="str">
        <f>HYPERLINK("http://www.12365auto.com/xcdg/20200216/418647.shtml","http://www.12365auto.com/xcdg/20200216/418647.shtml")</f>
        <v>http://www.12365auto.com/xcdg/20200216/418647.shtml</v>
      </c>
      <c r="G7148" s="2"/>
      <c r="H7148" s="2" t="s">
        <v>9789</v>
      </c>
      <c r="I7148" s="2" t="s">
        <v>15</v>
      </c>
      <c r="J7148" s="2" t="s">
        <v>12</v>
      </c>
      <c r="K7148" s="2" t="s">
        <v>9788</v>
      </c>
      <c r="L7148" s="2">
        <f t="shared" si="111"/>
        <v>150</v>
      </c>
    </row>
    <row r="7149" spans="1:12" ht="25" customHeight="1">
      <c r="A7149" s="2" t="s">
        <v>12</v>
      </c>
      <c r="B7149" s="2" t="str">
        <f>HYPERLINK("http://m.12365auto.com/xcdg/20200216/418646.shtml","最高可达605km 比亚迪汉EV纯电续航曝光")</f>
        <v>最高可达605km 比亚迪汉EV纯电续航曝光</v>
      </c>
      <c r="C7149" s="2" t="s">
        <v>13</v>
      </c>
      <c r="D7149" s="2" t="s">
        <v>12</v>
      </c>
      <c r="E7149" s="2"/>
      <c r="F7149" s="2" t="str">
        <f>HYPERLINK("http://m.12365auto.com/xcdg/20200216/418646.shtml","http://m.12365auto.com/xcdg/20200216/418646.shtml")</f>
        <v>http://m.12365auto.com/xcdg/20200216/418646.shtml</v>
      </c>
      <c r="G7149" s="2"/>
      <c r="H7149" s="2" t="s">
        <v>9790</v>
      </c>
      <c r="I7149" s="2" t="s">
        <v>19</v>
      </c>
      <c r="J7149" s="2" t="s">
        <v>855</v>
      </c>
      <c r="K7149" s="2" t="s">
        <v>9791</v>
      </c>
      <c r="L7149" s="2">
        <f t="shared" si="111"/>
        <v>150</v>
      </c>
    </row>
    <row r="7150" spans="1:12" ht="25" customHeight="1">
      <c r="A7150" s="2" t="s">
        <v>12</v>
      </c>
      <c r="B7150" s="2" t="str">
        <f>HYPERLINK("http://www.12365auto.com/xcdg/20200216/418646.shtml","最高可达605km 比亚迪汉EV纯电续航曝光")</f>
        <v>最高可达605km 比亚迪汉EV纯电续航曝光</v>
      </c>
      <c r="C7150" s="2" t="s">
        <v>13</v>
      </c>
      <c r="D7150" s="2" t="s">
        <v>12</v>
      </c>
      <c r="E7150" s="2" t="s">
        <v>216</v>
      </c>
      <c r="F7150" s="2" t="str">
        <f>HYPERLINK("http://www.12365auto.com/xcdg/20200216/418646.shtml","http://www.12365auto.com/xcdg/20200216/418646.shtml")</f>
        <v>http://www.12365auto.com/xcdg/20200216/418646.shtml</v>
      </c>
      <c r="G7150" s="2"/>
      <c r="H7150" s="2" t="s">
        <v>9792</v>
      </c>
      <c r="I7150" s="2" t="s">
        <v>15</v>
      </c>
      <c r="J7150" s="2" t="s">
        <v>12</v>
      </c>
      <c r="K7150" s="2" t="s">
        <v>9791</v>
      </c>
      <c r="L7150" s="2">
        <f t="shared" si="111"/>
        <v>150</v>
      </c>
    </row>
    <row r="7151" spans="1:12" ht="25" customHeight="1">
      <c r="A7151" s="2" t="s">
        <v>12</v>
      </c>
      <c r="B7151" s="2" t="str">
        <f>HYPERLINK("http://m.12365auto.com/xcdg/20200216/418645.shtml","NEDC续航605km 荣威Ei6最新信息曝光")</f>
        <v>NEDC续航605km 荣威Ei6最新信息曝光</v>
      </c>
      <c r="C7151" s="2" t="s">
        <v>13</v>
      </c>
      <c r="D7151" s="2" t="s">
        <v>12</v>
      </c>
      <c r="E7151" s="2"/>
      <c r="F7151" s="2" t="str">
        <f>HYPERLINK("http://m.12365auto.com/xcdg/20200216/418645.shtml","http://m.12365auto.com/xcdg/20200216/418645.shtml")</f>
        <v>http://m.12365auto.com/xcdg/20200216/418645.shtml</v>
      </c>
      <c r="G7151" s="2"/>
      <c r="H7151" s="2" t="s">
        <v>9793</v>
      </c>
      <c r="I7151" s="2" t="s">
        <v>19</v>
      </c>
      <c r="J7151" s="2" t="s">
        <v>855</v>
      </c>
      <c r="K7151" s="2" t="s">
        <v>9794</v>
      </c>
      <c r="L7151" s="2">
        <f t="shared" si="111"/>
        <v>150</v>
      </c>
    </row>
    <row r="7152" spans="1:12" ht="25" customHeight="1">
      <c r="A7152" s="2" t="s">
        <v>12</v>
      </c>
      <c r="B7152" s="2" t="str">
        <f>HYPERLINK("http://www.12365auto.com/xcdg/20200216/418645.shtml","NEDC续航605km 荣威Ei6最新信息曝光")</f>
        <v>NEDC续航605km 荣威Ei6最新信息曝光</v>
      </c>
      <c r="C7152" s="2" t="s">
        <v>13</v>
      </c>
      <c r="D7152" s="2" t="s">
        <v>12</v>
      </c>
      <c r="E7152" s="2" t="s">
        <v>216</v>
      </c>
      <c r="F7152" s="2" t="str">
        <f>HYPERLINK("http://www.12365auto.com/xcdg/20200216/418645.shtml","http://www.12365auto.com/xcdg/20200216/418645.shtml")</f>
        <v>http://www.12365auto.com/xcdg/20200216/418645.shtml</v>
      </c>
      <c r="G7152" s="2"/>
      <c r="H7152" s="2" t="s">
        <v>9795</v>
      </c>
      <c r="I7152" s="2" t="s">
        <v>15</v>
      </c>
      <c r="J7152" s="2" t="s">
        <v>12</v>
      </c>
      <c r="K7152" s="2" t="s">
        <v>9794</v>
      </c>
      <c r="L7152" s="2">
        <f t="shared" si="111"/>
        <v>150</v>
      </c>
    </row>
    <row r="7153" spans="1:12" ht="25" customHeight="1">
      <c r="A7153" s="2" t="s">
        <v>12</v>
      </c>
      <c r="B7153" s="2" t="str">
        <f>HYPERLINK("http://www.12365auto.com/news/20200216/418644.shtml","交通部：疫情防控期间车辆免收通行费")</f>
        <v>交通部：疫情防控期间车辆免收通行费</v>
      </c>
      <c r="C7153" s="2" t="s">
        <v>13</v>
      </c>
      <c r="D7153" s="2" t="s">
        <v>12</v>
      </c>
      <c r="E7153" s="2" t="s">
        <v>276</v>
      </c>
      <c r="F7153" s="2" t="str">
        <f>HYPERLINK("http://www.12365auto.com/news/20200216/418644.shtml","http://www.12365auto.com/news/20200216/418644.shtml")</f>
        <v>http://www.12365auto.com/news/20200216/418644.shtml</v>
      </c>
      <c r="G7153" s="2"/>
      <c r="H7153" s="2" t="s">
        <v>9796</v>
      </c>
      <c r="I7153" s="2" t="s">
        <v>15</v>
      </c>
      <c r="J7153" s="2" t="s">
        <v>12</v>
      </c>
      <c r="K7153" s="2" t="s">
        <v>9797</v>
      </c>
      <c r="L7153" s="2">
        <f t="shared" si="111"/>
        <v>150</v>
      </c>
    </row>
    <row r="7154" spans="1:12" ht="25" customHeight="1">
      <c r="A7154" s="2" t="s">
        <v>12</v>
      </c>
      <c r="B7154" s="2" t="str">
        <f>HYPERLINK("http://m.12365auto.com/news/20200216/418644.shtml","交通部：疫情防控期间车辆免收通行费")</f>
        <v>交通部：疫情防控期间车辆免收通行费</v>
      </c>
      <c r="C7154" s="2" t="s">
        <v>13</v>
      </c>
      <c r="D7154" s="2" t="s">
        <v>12</v>
      </c>
      <c r="E7154" s="2"/>
      <c r="F7154" s="2" t="str">
        <f>HYPERLINK("http://m.12365auto.com/news/20200216/418644.shtml","http://m.12365auto.com/news/20200216/418644.shtml")</f>
        <v>http://m.12365auto.com/news/20200216/418644.shtml</v>
      </c>
      <c r="G7154" s="2"/>
      <c r="H7154" s="2" t="s">
        <v>9798</v>
      </c>
      <c r="I7154" s="2" t="s">
        <v>19</v>
      </c>
      <c r="J7154" s="2" t="s">
        <v>281</v>
      </c>
      <c r="K7154" s="2" t="s">
        <v>9797</v>
      </c>
      <c r="L7154" s="2">
        <f t="shared" si="111"/>
        <v>150</v>
      </c>
    </row>
    <row r="7155" spans="1:12" ht="25" customHeight="1">
      <c r="A7155" s="2" t="s">
        <v>12</v>
      </c>
      <c r="B7155" s="2" t="str">
        <f>HYPERLINK("http://www.12365auto.com/news/20200216/418643.shtml","续航升级 特斯拉美国官网Model S/X变更")</f>
        <v>续航升级 特斯拉美国官网Model S/X变更</v>
      </c>
      <c r="C7155" s="2" t="s">
        <v>13</v>
      </c>
      <c r="D7155" s="2" t="s">
        <v>12</v>
      </c>
      <c r="E7155" s="2" t="s">
        <v>276</v>
      </c>
      <c r="F7155" s="2" t="str">
        <f>HYPERLINK("http://www.12365auto.com/news/20200216/418643.shtml","http://www.12365auto.com/news/20200216/418643.shtml")</f>
        <v>http://www.12365auto.com/news/20200216/418643.shtml</v>
      </c>
      <c r="G7155" s="2"/>
      <c r="H7155" s="2" t="s">
        <v>9799</v>
      </c>
      <c r="I7155" s="2" t="s">
        <v>15</v>
      </c>
      <c r="J7155" s="2" t="s">
        <v>12</v>
      </c>
      <c r="K7155" s="2" t="s">
        <v>9800</v>
      </c>
      <c r="L7155" s="2">
        <f t="shared" si="111"/>
        <v>150</v>
      </c>
    </row>
    <row r="7156" spans="1:12" ht="25" customHeight="1">
      <c r="A7156" s="2" t="s">
        <v>12</v>
      </c>
      <c r="B7156" s="2" t="str">
        <f>HYPERLINK("http://m.12365auto.com/news/20200216/418643.shtml","续航升级 特斯拉美国官网Model S/X变更")</f>
        <v>续航升级 特斯拉美国官网Model S/X变更</v>
      </c>
      <c r="C7156" s="2" t="s">
        <v>13</v>
      </c>
      <c r="D7156" s="2" t="s">
        <v>12</v>
      </c>
      <c r="E7156" s="2"/>
      <c r="F7156" s="2" t="str">
        <f>HYPERLINK("http://m.12365auto.com/news/20200216/418643.shtml","http://m.12365auto.com/news/20200216/418643.shtml")</f>
        <v>http://m.12365auto.com/news/20200216/418643.shtml</v>
      </c>
      <c r="G7156" s="2"/>
      <c r="H7156" s="2" t="s">
        <v>9801</v>
      </c>
      <c r="I7156" s="2" t="s">
        <v>19</v>
      </c>
      <c r="J7156" s="2" t="s">
        <v>330</v>
      </c>
      <c r="K7156" s="2" t="s">
        <v>9800</v>
      </c>
      <c r="L7156" s="2">
        <f t="shared" si="111"/>
        <v>150</v>
      </c>
    </row>
    <row r="7157" spans="1:12" ht="25" customHeight="1">
      <c r="A7157" s="2" t="s">
        <v>12</v>
      </c>
      <c r="B7157" s="2" t="str">
        <f>HYPERLINK("http://m.12365auto.com/news/20200216/418642.shtml","升级空调滤芯 广汽传祺推N95级滤芯技术")</f>
        <v>升级空调滤芯 广汽传祺推N95级滤芯技术</v>
      </c>
      <c r="C7157" s="2" t="s">
        <v>13</v>
      </c>
      <c r="D7157" s="2" t="s">
        <v>12</v>
      </c>
      <c r="E7157" s="2"/>
      <c r="F7157" s="2" t="str">
        <f>HYPERLINK("http://m.12365auto.com/news/20200216/418642.shtml","http://m.12365auto.com/news/20200216/418642.shtml")</f>
        <v>http://m.12365auto.com/news/20200216/418642.shtml</v>
      </c>
      <c r="G7157" s="2"/>
      <c r="H7157" s="2" t="s">
        <v>9802</v>
      </c>
      <c r="I7157" s="2" t="s">
        <v>19</v>
      </c>
      <c r="J7157" s="2" t="s">
        <v>303</v>
      </c>
      <c r="K7157" s="2" t="s">
        <v>9803</v>
      </c>
      <c r="L7157" s="2">
        <f t="shared" si="111"/>
        <v>150</v>
      </c>
    </row>
    <row r="7158" spans="1:12" ht="25" customHeight="1">
      <c r="A7158" s="2" t="s">
        <v>12</v>
      </c>
      <c r="B7158" s="2" t="str">
        <f>HYPERLINK("http://www.12365auto.com/news/20200216/418642.shtml","升级空调滤芯 广汽传祺推N95级滤芯技术")</f>
        <v>升级空调滤芯 广汽传祺推N95级滤芯技术</v>
      </c>
      <c r="C7158" s="2" t="s">
        <v>13</v>
      </c>
      <c r="D7158" s="2" t="s">
        <v>12</v>
      </c>
      <c r="E7158" s="2" t="s">
        <v>282</v>
      </c>
      <c r="F7158" s="2" t="str">
        <f>HYPERLINK("http://www.12365auto.com/news/20200216/418642.shtml","http://www.12365auto.com/news/20200216/418642.shtml")</f>
        <v>http://www.12365auto.com/news/20200216/418642.shtml</v>
      </c>
      <c r="G7158" s="2"/>
      <c r="H7158" s="2" t="s">
        <v>9804</v>
      </c>
      <c r="I7158" s="2" t="s">
        <v>19</v>
      </c>
      <c r="J7158" s="2" t="s">
        <v>12</v>
      </c>
      <c r="K7158" s="2" t="s">
        <v>9803</v>
      </c>
      <c r="L7158" s="2">
        <f t="shared" si="111"/>
        <v>150</v>
      </c>
    </row>
    <row r="7159" spans="1:12" ht="25" customHeight="1">
      <c r="A7159" s="2" t="s">
        <v>12</v>
      </c>
      <c r="B7159" s="2" t="str">
        <f>HYPERLINK("http://www.12365auto.com/xcdg/20200216/418641.shtml","NEDC续航最高达520km 曝几何C最新信息")</f>
        <v>NEDC续航最高达520km 曝几何C最新信息</v>
      </c>
      <c r="C7159" s="2" t="s">
        <v>13</v>
      </c>
      <c r="D7159" s="2" t="s">
        <v>12</v>
      </c>
      <c r="E7159" s="2" t="s">
        <v>216</v>
      </c>
      <c r="F7159" s="2" t="str">
        <f>HYPERLINK("http://www.12365auto.com/xcdg/20200216/418641.shtml","http://www.12365auto.com/xcdg/20200216/418641.shtml")</f>
        <v>http://www.12365auto.com/xcdg/20200216/418641.shtml</v>
      </c>
      <c r="G7159" s="2"/>
      <c r="H7159" s="2" t="s">
        <v>9805</v>
      </c>
      <c r="I7159" s="2" t="s">
        <v>15</v>
      </c>
      <c r="J7159" s="2" t="s">
        <v>12</v>
      </c>
      <c r="K7159" s="2" t="s">
        <v>9806</v>
      </c>
      <c r="L7159" s="2">
        <f t="shared" si="111"/>
        <v>150</v>
      </c>
    </row>
    <row r="7160" spans="1:12" ht="25" customHeight="1">
      <c r="A7160" s="2" t="s">
        <v>12</v>
      </c>
      <c r="B7160" s="2" t="str">
        <f>HYPERLINK("http://m.12365auto.com/xcdg/20200216/418641.shtml","NEDC续航最高达520km 曝几何C最新信息")</f>
        <v>NEDC续航最高达520km 曝几何C最新信息</v>
      </c>
      <c r="C7160" s="2" t="s">
        <v>13</v>
      </c>
      <c r="D7160" s="2" t="s">
        <v>12</v>
      </c>
      <c r="E7160" s="2"/>
      <c r="F7160" s="2" t="str">
        <f>HYPERLINK("http://m.12365auto.com/xcdg/20200216/418641.shtml","http://m.12365auto.com/xcdg/20200216/418641.shtml")</f>
        <v>http://m.12365auto.com/xcdg/20200216/418641.shtml</v>
      </c>
      <c r="G7160" s="2"/>
      <c r="H7160" s="2" t="s">
        <v>9807</v>
      </c>
      <c r="I7160" s="2" t="s">
        <v>19</v>
      </c>
      <c r="J7160" s="2" t="s">
        <v>855</v>
      </c>
      <c r="K7160" s="2" t="s">
        <v>9806</v>
      </c>
      <c r="L7160" s="2">
        <f t="shared" si="111"/>
        <v>150</v>
      </c>
    </row>
    <row r="7161" spans="1:12" ht="25" customHeight="1">
      <c r="A7161" s="2" t="s">
        <v>12</v>
      </c>
      <c r="B7161" s="2" t="str">
        <f>HYPERLINK("http://www.12365auto.com/xcdg/20200216/418640.shtml","旗下全新入门级跑车 保时捷914或将复活")</f>
        <v>旗下全新入门级跑车 保时捷914或将复活</v>
      </c>
      <c r="C7161" s="2" t="s">
        <v>13</v>
      </c>
      <c r="D7161" s="2" t="s">
        <v>12</v>
      </c>
      <c r="E7161" s="2" t="s">
        <v>216</v>
      </c>
      <c r="F7161" s="2" t="str">
        <f>HYPERLINK("http://www.12365auto.com/xcdg/20200216/418640.shtml","http://www.12365auto.com/xcdg/20200216/418640.shtml")</f>
        <v>http://www.12365auto.com/xcdg/20200216/418640.shtml</v>
      </c>
      <c r="G7161" s="2"/>
      <c r="H7161" s="2" t="s">
        <v>9808</v>
      </c>
      <c r="I7161" s="2" t="s">
        <v>15</v>
      </c>
      <c r="J7161" s="2" t="s">
        <v>12</v>
      </c>
      <c r="K7161" s="2" t="s">
        <v>9809</v>
      </c>
      <c r="L7161" s="2">
        <f t="shared" si="111"/>
        <v>150</v>
      </c>
    </row>
    <row r="7162" spans="1:12" ht="25" customHeight="1">
      <c r="A7162" s="2" t="s">
        <v>12</v>
      </c>
      <c r="B7162" s="2" t="str">
        <f>HYPERLINK("http://m.12365auto.com/xcdg/20200216/418640.shtml","旗下全新入门级跑车 保时捷914或将复活")</f>
        <v>旗下全新入门级跑车 保时捷914或将复活</v>
      </c>
      <c r="C7162" s="2" t="s">
        <v>13</v>
      </c>
      <c r="D7162" s="2" t="s">
        <v>12</v>
      </c>
      <c r="E7162" s="2"/>
      <c r="F7162" s="2" t="str">
        <f>HYPERLINK("http://m.12365auto.com/xcdg/20200216/418640.shtml","http://m.12365auto.com/xcdg/20200216/418640.shtml")</f>
        <v>http://m.12365auto.com/xcdg/20200216/418640.shtml</v>
      </c>
      <c r="G7162" s="2"/>
      <c r="H7162" s="2" t="s">
        <v>9810</v>
      </c>
      <c r="I7162" s="2" t="s">
        <v>19</v>
      </c>
      <c r="J7162" s="2" t="s">
        <v>9811</v>
      </c>
      <c r="K7162" s="2" t="s">
        <v>9809</v>
      </c>
      <c r="L7162" s="2">
        <f t="shared" si="111"/>
        <v>150</v>
      </c>
    </row>
    <row r="7163" spans="1:12" ht="25" customHeight="1">
      <c r="A7163" s="2" t="s">
        <v>12</v>
      </c>
      <c r="B7163" s="2" t="str">
        <f>HYPERLINK("http://www.12365auto.com/news/20200216/418639.shtml","99元一份 中石化加油站推安心买菜业务")</f>
        <v>99元一份 中石化加油站推安心买菜业务</v>
      </c>
      <c r="C7163" s="2" t="s">
        <v>13</v>
      </c>
      <c r="D7163" s="2" t="s">
        <v>12</v>
      </c>
      <c r="E7163" s="2" t="s">
        <v>276</v>
      </c>
      <c r="F7163" s="2" t="str">
        <f>HYPERLINK("http://www.12365auto.com/news/20200216/418639.shtml","http://www.12365auto.com/news/20200216/418639.shtml")</f>
        <v>http://www.12365auto.com/news/20200216/418639.shtml</v>
      </c>
      <c r="G7163" s="2"/>
      <c r="H7163" s="2" t="s">
        <v>9812</v>
      </c>
      <c r="I7163" s="2" t="s">
        <v>15</v>
      </c>
      <c r="J7163" s="2" t="s">
        <v>12</v>
      </c>
      <c r="K7163" s="2" t="s">
        <v>9813</v>
      </c>
      <c r="L7163" s="2">
        <f t="shared" si="111"/>
        <v>150</v>
      </c>
    </row>
    <row r="7164" spans="1:12" ht="25" customHeight="1">
      <c r="A7164" s="2" t="s">
        <v>12</v>
      </c>
      <c r="B7164" s="2" t="str">
        <f>HYPERLINK("http://m.12365auto.com/news/20200216/418639.shtml","99元一份 中石化加油站推安心买菜业务")</f>
        <v>99元一份 中石化加油站推安心买菜业务</v>
      </c>
      <c r="C7164" s="2" t="s">
        <v>13</v>
      </c>
      <c r="D7164" s="2" t="s">
        <v>12</v>
      </c>
      <c r="E7164" s="2"/>
      <c r="F7164" s="2" t="str">
        <f>HYPERLINK("http://m.12365auto.com/news/20200216/418639.shtml","http://m.12365auto.com/news/20200216/418639.shtml")</f>
        <v>http://m.12365auto.com/news/20200216/418639.shtml</v>
      </c>
      <c r="G7164" s="2"/>
      <c r="H7164" s="2" t="s">
        <v>9814</v>
      </c>
      <c r="I7164" s="2" t="s">
        <v>19</v>
      </c>
      <c r="J7164" s="2" t="s">
        <v>1170</v>
      </c>
      <c r="K7164" s="2" t="s">
        <v>9813</v>
      </c>
      <c r="L7164" s="2">
        <f t="shared" si="111"/>
        <v>150</v>
      </c>
    </row>
    <row r="7165" spans="1:12" ht="25" customHeight="1">
      <c r="A7165" s="2" t="s">
        <v>12</v>
      </c>
      <c r="B7165" s="2" t="str">
        <f>HYPERLINK("http://www.12365auto.com/xcdg/20200216/418638.shtml","提供两种动力 全新飞度动力信息曝光")</f>
        <v>提供两种动力 全新飞度动力信息曝光</v>
      </c>
      <c r="C7165" s="2" t="s">
        <v>13</v>
      </c>
      <c r="D7165" s="2" t="s">
        <v>12</v>
      </c>
      <c r="E7165" s="2" t="s">
        <v>216</v>
      </c>
      <c r="F7165" s="2" t="str">
        <f>HYPERLINK("http://www.12365auto.com/xcdg/20200216/418638.shtml","http://www.12365auto.com/xcdg/20200216/418638.shtml")</f>
        <v>http://www.12365auto.com/xcdg/20200216/418638.shtml</v>
      </c>
      <c r="G7165" s="2"/>
      <c r="H7165" s="2" t="s">
        <v>9815</v>
      </c>
      <c r="I7165" s="2" t="s">
        <v>15</v>
      </c>
      <c r="J7165" s="2" t="s">
        <v>12</v>
      </c>
      <c r="K7165" s="2" t="s">
        <v>9816</v>
      </c>
      <c r="L7165" s="2">
        <f t="shared" si="111"/>
        <v>150</v>
      </c>
    </row>
    <row r="7166" spans="1:12" ht="25" customHeight="1">
      <c r="A7166" s="2" t="s">
        <v>12</v>
      </c>
      <c r="B7166" s="2" t="str">
        <f>HYPERLINK("http://m.12365auto.com/xcdg/20200216/418638.shtml","提供两种动力 全新飞度动力信息曝光")</f>
        <v>提供两种动力 全新飞度动力信息曝光</v>
      </c>
      <c r="C7166" s="2" t="s">
        <v>13</v>
      </c>
      <c r="D7166" s="2" t="s">
        <v>12</v>
      </c>
      <c r="E7166" s="2"/>
      <c r="F7166" s="2" t="str">
        <f>HYPERLINK("http://m.12365auto.com/xcdg/20200216/418638.shtml","http://m.12365auto.com/xcdg/20200216/418638.shtml")</f>
        <v>http://m.12365auto.com/xcdg/20200216/418638.shtml</v>
      </c>
      <c r="G7166" s="2"/>
      <c r="H7166" s="2" t="s">
        <v>9817</v>
      </c>
      <c r="I7166" s="2" t="s">
        <v>19</v>
      </c>
      <c r="J7166" s="2" t="s">
        <v>303</v>
      </c>
      <c r="K7166" s="2" t="s">
        <v>9816</v>
      </c>
      <c r="L7166" s="2">
        <f t="shared" si="111"/>
        <v>150</v>
      </c>
    </row>
    <row r="7167" spans="1:12" ht="25" customHeight="1">
      <c r="A7167" s="2" t="s">
        <v>12</v>
      </c>
      <c r="B7167" s="2" t="str">
        <f>HYPERLINK("http://bbs.12365auto.com/postcontent.aspx?tID=194172","19款凯美瑞2.0豪华车 发动机噪音大/漆太薄")</f>
        <v>19款凯美瑞2.0豪华车 发动机噪音大/漆太薄</v>
      </c>
      <c r="C7167" s="2" t="s">
        <v>13</v>
      </c>
      <c r="D7167" s="2" t="s">
        <v>12</v>
      </c>
      <c r="E7167" s="2" t="s">
        <v>67</v>
      </c>
      <c r="F7167" s="2" t="str">
        <f>HYPERLINK("http://bbs.12365auto.com/postcontent.aspx?tID=194172","http://bbs.12365auto.com/postcontent.aspx?tID=194172")</f>
        <v>http://bbs.12365auto.com/postcontent.aspx?tID=194172</v>
      </c>
      <c r="G7167" s="2"/>
      <c r="H7167" s="2" t="s">
        <v>9818</v>
      </c>
      <c r="I7167" s="2" t="s">
        <v>15</v>
      </c>
      <c r="J7167" s="2" t="s">
        <v>9819</v>
      </c>
      <c r="K7167" s="2" t="s">
        <v>9820</v>
      </c>
      <c r="L7167" s="2">
        <f t="shared" si="111"/>
        <v>145</v>
      </c>
    </row>
    <row r="7168" spans="1:12" ht="25" customHeight="1">
      <c r="A7168" s="2" t="s">
        <v>12</v>
      </c>
      <c r="B7168" s="2" t="str">
        <f>HYPERLINK("http://www.12365auto.com/zlts/20200216/447390.shtml","广汽丰田致享两前轮胎吃胎外侧磨损严重")</f>
        <v>广汽丰田致享两前轮胎吃胎外侧磨损严重</v>
      </c>
      <c r="C7168" s="2" t="s">
        <v>13</v>
      </c>
      <c r="D7168" s="2" t="s">
        <v>12</v>
      </c>
      <c r="E7168" s="2" t="s">
        <v>17</v>
      </c>
      <c r="F7168" s="2" t="str">
        <f>HYPERLINK("http://www.12365auto.com/zlts/20200216/447390.shtml","http://www.12365auto.com/zlts/20200216/447390.shtml")</f>
        <v>http://www.12365auto.com/zlts/20200216/447390.shtml</v>
      </c>
      <c r="G7168" s="2"/>
      <c r="H7168" s="2" t="s">
        <v>9821</v>
      </c>
      <c r="I7168" s="2" t="s">
        <v>19</v>
      </c>
      <c r="J7168" s="2" t="s">
        <v>12</v>
      </c>
      <c r="K7168" s="2" t="s">
        <v>9822</v>
      </c>
      <c r="L7168" s="2">
        <f t="shared" si="111"/>
        <v>150</v>
      </c>
    </row>
    <row r="7169" spans="1:12" ht="25" customHeight="1">
      <c r="A7169" s="2" t="s">
        <v>12</v>
      </c>
      <c r="B7169" s="2" t="str">
        <f>HYPERLINK("http://m.12365auto.com/zjdy/20200216/121306.shtml","雪铁龙世嘉正常行驶突然降挡怎么回事？")</f>
        <v>雪铁龙世嘉正常行驶突然降挡怎么回事？</v>
      </c>
      <c r="C7169" s="2" t="s">
        <v>13</v>
      </c>
      <c r="D7169" s="2" t="s">
        <v>12</v>
      </c>
      <c r="E7169" s="2"/>
      <c r="F7169" s="2" t="str">
        <f>HYPERLINK("http://m.12365auto.com/zjdy/20200216/121306.shtml","http://m.12365auto.com/zjdy/20200216/121306.shtml")</f>
        <v>http://m.12365auto.com/zjdy/20200216/121306.shtml</v>
      </c>
      <c r="G7169" s="2"/>
      <c r="H7169" s="2" t="s">
        <v>9823</v>
      </c>
      <c r="I7169" s="2" t="s">
        <v>19</v>
      </c>
      <c r="J7169" s="2" t="s">
        <v>12</v>
      </c>
      <c r="K7169" s="2" t="s">
        <v>9824</v>
      </c>
      <c r="L7169" s="2">
        <f t="shared" si="111"/>
        <v>150</v>
      </c>
    </row>
    <row r="7170" spans="1:12" ht="25" customHeight="1">
      <c r="A7170" s="2" t="s">
        <v>12</v>
      </c>
      <c r="B7170" s="2" t="str">
        <f>HYPERLINK("http://www.12365auto.com/zlts/20200216/447388.shtml","宝骏730配件质量差多次出现质量问题")</f>
        <v>宝骏730配件质量差多次出现质量问题</v>
      </c>
      <c r="C7170" s="2" t="s">
        <v>13</v>
      </c>
      <c r="D7170" s="2" t="s">
        <v>12</v>
      </c>
      <c r="E7170" s="2" t="s">
        <v>17</v>
      </c>
      <c r="F7170" s="2" t="str">
        <f>HYPERLINK("http://www.12365auto.com/zlts/20200216/447388.shtml","http://www.12365auto.com/zlts/20200216/447388.shtml")</f>
        <v>http://www.12365auto.com/zlts/20200216/447388.shtml</v>
      </c>
      <c r="G7170" s="2"/>
      <c r="H7170" s="2" t="s">
        <v>9825</v>
      </c>
      <c r="I7170" s="2" t="s">
        <v>19</v>
      </c>
      <c r="J7170" s="2" t="s">
        <v>12</v>
      </c>
      <c r="K7170" s="2" t="s">
        <v>9826</v>
      </c>
      <c r="L7170" s="2">
        <f t="shared" si="111"/>
        <v>150</v>
      </c>
    </row>
    <row r="7171" spans="1:12" ht="25" customHeight="1">
      <c r="A7171" s="2" t="s">
        <v>12</v>
      </c>
      <c r="B7171" s="2" t="str">
        <f>HYPERLINK("http://m.12365auto.com/zjdy/20200216/121304.shtml","别克君威发动机防冻液缺失是什么原因？")</f>
        <v>别克君威发动机防冻液缺失是什么原因？</v>
      </c>
      <c r="C7171" s="2" t="s">
        <v>13</v>
      </c>
      <c r="D7171" s="2" t="s">
        <v>12</v>
      </c>
      <c r="E7171" s="2"/>
      <c r="F7171" s="2" t="str">
        <f>HYPERLINK("http://m.12365auto.com/zjdy/20200216/121304.shtml","http://m.12365auto.com/zjdy/20200216/121304.shtml")</f>
        <v>http://m.12365auto.com/zjdy/20200216/121304.shtml</v>
      </c>
      <c r="G7171" s="2"/>
      <c r="H7171" s="2" t="s">
        <v>9827</v>
      </c>
      <c r="I7171" s="2" t="s">
        <v>19</v>
      </c>
      <c r="J7171" s="2" t="s">
        <v>12</v>
      </c>
      <c r="K7171" s="2" t="s">
        <v>9828</v>
      </c>
      <c r="L7171" s="2">
        <f t="shared" ref="L7171:L7234" si="112">LEN(H7171)</f>
        <v>123</v>
      </c>
    </row>
    <row r="7172" spans="1:12" ht="25" customHeight="1">
      <c r="A7172" s="2" t="s">
        <v>12</v>
      </c>
      <c r="B7172" s="2" t="str">
        <f>HYPERLINK("http://m.12365auto.com/zjdy/20200216/121303.shtml","迈锐宝XL后期使用质量如何值得入手么？")</f>
        <v>迈锐宝XL后期使用质量如何值得入手么？</v>
      </c>
      <c r="C7172" s="2" t="s">
        <v>13</v>
      </c>
      <c r="D7172" s="2" t="s">
        <v>12</v>
      </c>
      <c r="E7172" s="2"/>
      <c r="F7172" s="2" t="str">
        <f>HYPERLINK("http://m.12365auto.com/zjdy/20200216/121303.shtml","http://m.12365auto.com/zjdy/20200216/121303.shtml")</f>
        <v>http://m.12365auto.com/zjdy/20200216/121303.shtml</v>
      </c>
      <c r="G7172" s="2"/>
      <c r="H7172" s="2" t="s">
        <v>9829</v>
      </c>
      <c r="I7172" s="2" t="s">
        <v>19</v>
      </c>
      <c r="J7172" s="2" t="s">
        <v>12</v>
      </c>
      <c r="K7172" s="2" t="s">
        <v>9830</v>
      </c>
      <c r="L7172" s="2">
        <f t="shared" si="112"/>
        <v>30</v>
      </c>
    </row>
    <row r="7173" spans="1:12" ht="25" customHeight="1">
      <c r="A7173" s="2" t="s">
        <v>12</v>
      </c>
      <c r="B7173" s="2" t="str">
        <f>HYPERLINK("http://m.12365auto.com/zjdy/20200215/121299.shtml","朗逸故障码P092900售后不给解决怎么办？")</f>
        <v>朗逸故障码P092900售后不给解决怎么办？</v>
      </c>
      <c r="C7173" s="2" t="s">
        <v>13</v>
      </c>
      <c r="D7173" s="2" t="s">
        <v>12</v>
      </c>
      <c r="E7173" s="2"/>
      <c r="F7173" s="2" t="str">
        <f>HYPERLINK("http://m.12365auto.com/zjdy/20200215/121299.shtml","http://m.12365auto.com/zjdy/20200215/121299.shtml")</f>
        <v>http://m.12365auto.com/zjdy/20200215/121299.shtml</v>
      </c>
      <c r="G7173" s="2"/>
      <c r="H7173" s="2" t="s">
        <v>9831</v>
      </c>
      <c r="I7173" s="2" t="s">
        <v>19</v>
      </c>
      <c r="J7173" s="2" t="s">
        <v>12</v>
      </c>
      <c r="K7173" s="2" t="s">
        <v>9832</v>
      </c>
      <c r="L7173" s="2">
        <f t="shared" si="112"/>
        <v>150</v>
      </c>
    </row>
    <row r="7174" spans="1:12" ht="25" customHeight="1">
      <c r="A7174" s="2" t="s">
        <v>12</v>
      </c>
      <c r="B7174" s="2" t="str">
        <f>HYPERLINK("http://m.12365auto.com/zjdy/20200215/121298.shtml","2020款荣放上市至今有没有共性问题？")</f>
        <v>2020款荣放上市至今有没有共性问题？</v>
      </c>
      <c r="C7174" s="2" t="s">
        <v>13</v>
      </c>
      <c r="D7174" s="2" t="s">
        <v>12</v>
      </c>
      <c r="E7174" s="2"/>
      <c r="F7174" s="2" t="str">
        <f>HYPERLINK("http://m.12365auto.com/zjdy/20200215/121298.shtml","http://m.12365auto.com/zjdy/20200215/121298.shtml")</f>
        <v>http://m.12365auto.com/zjdy/20200215/121298.shtml</v>
      </c>
      <c r="G7174" s="2"/>
      <c r="H7174" s="2" t="s">
        <v>9833</v>
      </c>
      <c r="I7174" s="2" t="s">
        <v>19</v>
      </c>
      <c r="J7174" s="2" t="s">
        <v>12</v>
      </c>
      <c r="K7174" s="2" t="s">
        <v>9832</v>
      </c>
      <c r="L7174" s="2">
        <f t="shared" si="112"/>
        <v>19</v>
      </c>
    </row>
    <row r="7175" spans="1:12" ht="25" customHeight="1">
      <c r="A7175" s="2" t="s">
        <v>12</v>
      </c>
      <c r="B7175" s="2" t="str">
        <f>HYPERLINK("http://m.12365auto.com/zjdy/20200215/121297.shtml","捷途X70手动变速箱换挡困难怎么回事？")</f>
        <v>捷途X70手动变速箱换挡困难怎么回事？</v>
      </c>
      <c r="C7175" s="2" t="s">
        <v>13</v>
      </c>
      <c r="D7175" s="2" t="s">
        <v>12</v>
      </c>
      <c r="E7175" s="2"/>
      <c r="F7175" s="2" t="str">
        <f>HYPERLINK("http://m.12365auto.com/zjdy/20200215/121297.shtml","http://m.12365auto.com/zjdy/20200215/121297.shtml")</f>
        <v>http://m.12365auto.com/zjdy/20200215/121297.shtml</v>
      </c>
      <c r="G7175" s="2"/>
      <c r="H7175" s="2" t="s">
        <v>9834</v>
      </c>
      <c r="I7175" s="2" t="s">
        <v>19</v>
      </c>
      <c r="J7175" s="2" t="s">
        <v>12</v>
      </c>
      <c r="K7175" s="2" t="s">
        <v>9835</v>
      </c>
      <c r="L7175" s="2">
        <f t="shared" si="112"/>
        <v>98</v>
      </c>
    </row>
    <row r="7176" spans="1:12" ht="25" customHeight="1">
      <c r="A7176" s="2" t="s">
        <v>12</v>
      </c>
      <c r="B7176" s="2" t="str">
        <f>HYPERLINK("http://m.12365auto.com/zjdy/20200215/121296.shtml","别克君威凉车启动延迟是什么原因？")</f>
        <v>别克君威凉车启动延迟是什么原因？</v>
      </c>
      <c r="C7176" s="2" t="s">
        <v>13</v>
      </c>
      <c r="D7176" s="2" t="s">
        <v>12</v>
      </c>
      <c r="E7176" s="2"/>
      <c r="F7176" s="2" t="str">
        <f>HYPERLINK("http://m.12365auto.com/zjdy/20200215/121296.shtml","http://m.12365auto.com/zjdy/20200215/121296.shtml")</f>
        <v>http://m.12365auto.com/zjdy/20200215/121296.shtml</v>
      </c>
      <c r="G7176" s="2"/>
      <c r="H7176" s="2" t="s">
        <v>9836</v>
      </c>
      <c r="I7176" s="2" t="s">
        <v>19</v>
      </c>
      <c r="J7176" s="2" t="s">
        <v>12</v>
      </c>
      <c r="K7176" s="2" t="s">
        <v>9835</v>
      </c>
      <c r="L7176" s="2">
        <f t="shared" si="112"/>
        <v>40</v>
      </c>
    </row>
    <row r="7177" spans="1:12" ht="25" customHeight="1">
      <c r="A7177" s="2" t="s">
        <v>12</v>
      </c>
      <c r="B7177" s="2" t="str">
        <f>HYPERLINK("http://m.12365auto.com/zjdy/20200215/121295.shtml","预算20万左右的合资SUV哪款值得推荐？")</f>
        <v>预算20万左右的合资SUV哪款值得推荐？</v>
      </c>
      <c r="C7177" s="2" t="s">
        <v>13</v>
      </c>
      <c r="D7177" s="2" t="s">
        <v>12</v>
      </c>
      <c r="E7177" s="2"/>
      <c r="F7177" s="2" t="str">
        <f>HYPERLINK("http://m.12365auto.com/zjdy/20200215/121295.shtml","http://m.12365auto.com/zjdy/20200215/121295.shtml")</f>
        <v>http://m.12365auto.com/zjdy/20200215/121295.shtml</v>
      </c>
      <c r="G7177" s="2"/>
      <c r="H7177" s="2" t="s">
        <v>9837</v>
      </c>
      <c r="I7177" s="2" t="s">
        <v>19</v>
      </c>
      <c r="J7177" s="2" t="s">
        <v>12</v>
      </c>
      <c r="K7177" s="2" t="s">
        <v>9835</v>
      </c>
      <c r="L7177" s="2">
        <f t="shared" si="112"/>
        <v>69</v>
      </c>
    </row>
    <row r="7178" spans="1:12" ht="25" customHeight="1">
      <c r="A7178" s="2" t="s">
        <v>12</v>
      </c>
      <c r="B7178" s="2" t="str">
        <f>HYPERLINK("http://m.12365auto.com/zjdy/20200216/121302.shtml","哈弗H4的保养间隔里程的多少公里？")</f>
        <v>哈弗H4的保养间隔里程的多少公里？</v>
      </c>
      <c r="C7178" s="2" t="s">
        <v>13</v>
      </c>
      <c r="D7178" s="2" t="s">
        <v>12</v>
      </c>
      <c r="E7178" s="2"/>
      <c r="F7178" s="2" t="str">
        <f>HYPERLINK("http://m.12365auto.com/zjdy/20200216/121302.shtml","http://m.12365auto.com/zjdy/20200216/121302.shtml")</f>
        <v>http://m.12365auto.com/zjdy/20200216/121302.shtml</v>
      </c>
      <c r="G7178" s="2"/>
      <c r="H7178" s="2" t="s">
        <v>9838</v>
      </c>
      <c r="I7178" s="2" t="s">
        <v>19</v>
      </c>
      <c r="J7178" s="2" t="s">
        <v>12</v>
      </c>
      <c r="K7178" s="2" t="s">
        <v>9839</v>
      </c>
      <c r="L7178" s="2">
        <f t="shared" si="112"/>
        <v>71</v>
      </c>
    </row>
    <row r="7179" spans="1:12" ht="25" customHeight="1">
      <c r="A7179" s="2" t="s">
        <v>12</v>
      </c>
      <c r="B7179" s="2" t="str">
        <f>HYPERLINK("http://m.12365auto.com/zjdy/20200215/121301.shtml","柯迪亚克和柯迪亚克GT发动机是否烧机油？")</f>
        <v>柯迪亚克和柯迪亚克GT发动机是否烧机油？</v>
      </c>
      <c r="C7179" s="2" t="s">
        <v>13</v>
      </c>
      <c r="D7179" s="2" t="s">
        <v>12</v>
      </c>
      <c r="E7179" s="2"/>
      <c r="F7179" s="2" t="str">
        <f>HYPERLINK("http://m.12365auto.com/zjdy/20200215/121301.shtml","http://m.12365auto.com/zjdy/20200215/121301.shtml")</f>
        <v>http://m.12365auto.com/zjdy/20200215/121301.shtml</v>
      </c>
      <c r="G7179" s="2"/>
      <c r="H7179" s="2" t="s">
        <v>9840</v>
      </c>
      <c r="I7179" s="2" t="s">
        <v>19</v>
      </c>
      <c r="J7179" s="2" t="s">
        <v>12</v>
      </c>
      <c r="K7179" s="2" t="s">
        <v>9839</v>
      </c>
      <c r="L7179" s="2">
        <f t="shared" si="112"/>
        <v>26</v>
      </c>
    </row>
    <row r="7180" spans="1:12" ht="25" customHeight="1">
      <c r="A7180" s="2" t="s">
        <v>12</v>
      </c>
      <c r="B7180" s="2" t="str">
        <f>HYPERLINK("http://m.12365auto.com/zjdy/20200215/121294.shtml","20万预算买哪款中级轿车比较推荐？")</f>
        <v>20万预算买哪款中级轿车比较推荐？</v>
      </c>
      <c r="C7180" s="2" t="s">
        <v>13</v>
      </c>
      <c r="D7180" s="2" t="s">
        <v>12</v>
      </c>
      <c r="E7180" s="2"/>
      <c r="F7180" s="2" t="str">
        <f>HYPERLINK("http://m.12365auto.com/zjdy/20200215/121294.shtml","http://m.12365auto.com/zjdy/20200215/121294.shtml")</f>
        <v>http://m.12365auto.com/zjdy/20200215/121294.shtml</v>
      </c>
      <c r="G7180" s="2"/>
      <c r="H7180" s="2" t="s">
        <v>9841</v>
      </c>
      <c r="I7180" s="2" t="s">
        <v>19</v>
      </c>
      <c r="J7180" s="2" t="s">
        <v>12</v>
      </c>
      <c r="K7180" s="2" t="s">
        <v>9839</v>
      </c>
      <c r="L7180" s="2">
        <f t="shared" si="112"/>
        <v>19</v>
      </c>
    </row>
    <row r="7181" spans="1:12" ht="25" customHeight="1">
      <c r="A7181" s="2" t="s">
        <v>12</v>
      </c>
      <c r="B7181" s="2" t="str">
        <f>HYPERLINK("http://www.12365auto.com/dcbg/20200216/418637.shtml","2019款上汽大众途岳车主原音回放再现调查现场")</f>
        <v>2019款上汽大众途岳车主原音回放再现调查现场</v>
      </c>
      <c r="C7181" s="2" t="s">
        <v>13</v>
      </c>
      <c r="D7181" s="2" t="s">
        <v>12</v>
      </c>
      <c r="E7181" s="2" t="s">
        <v>1319</v>
      </c>
      <c r="F7181" s="2" t="str">
        <f>HYPERLINK("http://www.12365auto.com/dcbg/20200216/418637.shtml","http://www.12365auto.com/dcbg/20200216/418637.shtml")</f>
        <v>http://www.12365auto.com/dcbg/20200216/418637.shtml</v>
      </c>
      <c r="G7181" s="2"/>
      <c r="H7181" s="2" t="s">
        <v>9842</v>
      </c>
      <c r="I7181" s="2" t="s">
        <v>15</v>
      </c>
      <c r="J7181" s="2" t="s">
        <v>12</v>
      </c>
      <c r="K7181" s="2" t="s">
        <v>9843</v>
      </c>
      <c r="L7181" s="2">
        <f t="shared" si="112"/>
        <v>150</v>
      </c>
    </row>
    <row r="7182" spans="1:12" ht="25" customHeight="1">
      <c r="A7182" s="2" t="s">
        <v>12</v>
      </c>
      <c r="B7182" s="2" t="str">
        <f>HYPERLINK("http://m.12365auto.com/dcbg/20200216/418637.shtml","2019款上汽大众途岳车主原音回放再现调查现场")</f>
        <v>2019款上汽大众途岳车主原音回放再现调查现场</v>
      </c>
      <c r="C7182" s="2" t="s">
        <v>13</v>
      </c>
      <c r="D7182" s="2" t="s">
        <v>12</v>
      </c>
      <c r="E7182" s="2"/>
      <c r="F7182" s="2" t="str">
        <f>HYPERLINK("http://m.12365auto.com/dcbg/20200216/418637.shtml","http://m.12365auto.com/dcbg/20200216/418637.shtml")</f>
        <v>http://m.12365auto.com/dcbg/20200216/418637.shtml</v>
      </c>
      <c r="G7182" s="2"/>
      <c r="H7182" s="2" t="s">
        <v>9844</v>
      </c>
      <c r="I7182" s="2" t="s">
        <v>19</v>
      </c>
      <c r="J7182" s="2" t="s">
        <v>1241</v>
      </c>
      <c r="K7182" s="2" t="s">
        <v>9843</v>
      </c>
      <c r="L7182" s="2">
        <f t="shared" si="112"/>
        <v>150</v>
      </c>
    </row>
    <row r="7183" spans="1:12" ht="25" customHeight="1">
      <c r="A7183" s="2" t="s">
        <v>12</v>
      </c>
      <c r="B7183" s="2" t="str">
        <f>HYPERLINK("http://m.12365auto.com/carowners/20200216/275.shtml","百名车主评新车：2019款上汽大众途岳")</f>
        <v>百名车主评新车：2019款上汽大众途岳</v>
      </c>
      <c r="C7183" s="2" t="s">
        <v>13</v>
      </c>
      <c r="D7183" s="2" t="s">
        <v>12</v>
      </c>
      <c r="E7183" s="2"/>
      <c r="F7183" s="2" t="str">
        <f>HYPERLINK("http://m.12365auto.com/carowners/20200216/275.shtml","http://m.12365auto.com/carowners/20200216/275.shtml")</f>
        <v>http://m.12365auto.com/carowners/20200216/275.shtml</v>
      </c>
      <c r="G7183" s="2"/>
      <c r="H7183" s="2" t="s">
        <v>9845</v>
      </c>
      <c r="I7183" s="2" t="s">
        <v>19</v>
      </c>
      <c r="J7183" s="2" t="s">
        <v>1241</v>
      </c>
      <c r="K7183" s="2" t="s">
        <v>9846</v>
      </c>
      <c r="L7183" s="2">
        <f t="shared" si="112"/>
        <v>150</v>
      </c>
    </row>
    <row r="7184" spans="1:12" ht="25" customHeight="1">
      <c r="A7184" s="2" t="s">
        <v>12</v>
      </c>
      <c r="B7184" s="2" t="str">
        <f>HYPERLINK("http://www.12365auto.com/xcdg/20200216/418636.shtml","真正的西装暴徒 奥迪S8新车图解")</f>
        <v>真正的西装暴徒 奥迪S8新车图解</v>
      </c>
      <c r="C7184" s="2" t="s">
        <v>13</v>
      </c>
      <c r="D7184" s="2" t="s">
        <v>12</v>
      </c>
      <c r="E7184" s="2" t="s">
        <v>216</v>
      </c>
      <c r="F7184" s="2" t="str">
        <f>HYPERLINK("http://www.12365auto.com/xcdg/20200216/418636.shtml","http://www.12365auto.com/xcdg/20200216/418636.shtml")</f>
        <v>http://www.12365auto.com/xcdg/20200216/418636.shtml</v>
      </c>
      <c r="G7184" s="2"/>
      <c r="H7184" s="2" t="s">
        <v>9847</v>
      </c>
      <c r="I7184" s="2" t="s">
        <v>15</v>
      </c>
      <c r="J7184" s="2" t="s">
        <v>12</v>
      </c>
      <c r="K7184" s="2" t="s">
        <v>9848</v>
      </c>
      <c r="L7184" s="2">
        <f t="shared" si="112"/>
        <v>150</v>
      </c>
    </row>
    <row r="7185" spans="1:12" ht="25" customHeight="1">
      <c r="A7185" s="2" t="s">
        <v>12</v>
      </c>
      <c r="B7185" s="2" t="str">
        <f>HYPERLINK("http://m.12365auto.com/xcdg/20200216/418636.shtml","真正的西装暴徒 奥迪S8新车图解")</f>
        <v>真正的西装暴徒 奥迪S8新车图解</v>
      </c>
      <c r="C7185" s="2" t="s">
        <v>13</v>
      </c>
      <c r="D7185" s="2" t="s">
        <v>12</v>
      </c>
      <c r="E7185" s="2"/>
      <c r="F7185" s="2" t="str">
        <f>HYPERLINK("http://m.12365auto.com/xcdg/20200216/418636.shtml","http://m.12365auto.com/xcdg/20200216/418636.shtml")</f>
        <v>http://m.12365auto.com/xcdg/20200216/418636.shtml</v>
      </c>
      <c r="G7185" s="2"/>
      <c r="H7185" s="2" t="s">
        <v>9849</v>
      </c>
      <c r="I7185" s="2" t="s">
        <v>19</v>
      </c>
      <c r="J7185" s="2" t="s">
        <v>371</v>
      </c>
      <c r="K7185" s="2" t="s">
        <v>9848</v>
      </c>
      <c r="L7185" s="2">
        <f t="shared" si="112"/>
        <v>150</v>
      </c>
    </row>
    <row r="7186" spans="1:12" ht="25" customHeight="1">
      <c r="A7186" s="2" t="s">
        <v>12</v>
      </c>
      <c r="B7186" s="2" t="str">
        <f>HYPERLINK("http://www.12365auto.com/zlts/20200216/447383.shtml","进口宝马X5差速器漏油更换后再次出现")</f>
        <v>进口宝马X5差速器漏油更换后再次出现</v>
      </c>
      <c r="C7186" s="2" t="s">
        <v>13</v>
      </c>
      <c r="D7186" s="2" t="s">
        <v>12</v>
      </c>
      <c r="E7186" s="2" t="s">
        <v>17</v>
      </c>
      <c r="F7186" s="2" t="str">
        <f>HYPERLINK("http://www.12365auto.com/zlts/20200216/447383.shtml","http://www.12365auto.com/zlts/20200216/447383.shtml")</f>
        <v>http://www.12365auto.com/zlts/20200216/447383.shtml</v>
      </c>
      <c r="G7186" s="2"/>
      <c r="H7186" s="2" t="s">
        <v>9850</v>
      </c>
      <c r="I7186" s="2" t="s">
        <v>19</v>
      </c>
      <c r="J7186" s="2" t="s">
        <v>12</v>
      </c>
      <c r="K7186" s="2" t="s">
        <v>9851</v>
      </c>
      <c r="L7186" s="2">
        <f t="shared" si="112"/>
        <v>150</v>
      </c>
    </row>
    <row r="7187" spans="1:12" ht="25" customHeight="1">
      <c r="A7187" s="2" t="s">
        <v>12</v>
      </c>
      <c r="B7187" s="2" t="str">
        <f>HYPERLINK("http://www.12365auto.com/zlts/20200215/447380.shtml","交付未告知重要使用事项导致电瓶报警维修，不予理睬")</f>
        <v>交付未告知重要使用事项导致电瓶报警维修，不予理睬</v>
      </c>
      <c r="C7187" s="2" t="s">
        <v>13</v>
      </c>
      <c r="D7187" s="2" t="s">
        <v>12</v>
      </c>
      <c r="E7187" s="2"/>
      <c r="F7187" s="2" t="str">
        <f>HYPERLINK("http://www.12365auto.com/zlts/20200215/447380.shtml","http://www.12365auto.com/zlts/20200215/447380.shtml")</f>
        <v>http://www.12365auto.com/zlts/20200215/447380.shtml</v>
      </c>
      <c r="G7187" s="2"/>
      <c r="H7187" s="2" t="s">
        <v>9853</v>
      </c>
      <c r="I7187" s="2" t="s">
        <v>15</v>
      </c>
      <c r="J7187" s="2" t="s">
        <v>12</v>
      </c>
      <c r="K7187" s="2" t="s">
        <v>9852</v>
      </c>
      <c r="L7187" s="2">
        <f t="shared" si="112"/>
        <v>92</v>
      </c>
    </row>
    <row r="7188" spans="1:12" ht="25" customHeight="1">
      <c r="A7188" s="2" t="s">
        <v>12</v>
      </c>
      <c r="B7188" s="2" t="str">
        <f>HYPERLINK("http://www.12365auto.com/zlts/20200215/447381.shtml","汽车制动刹车踩不动")</f>
        <v>汽车制动刹车踩不动</v>
      </c>
      <c r="C7188" s="2" t="s">
        <v>13</v>
      </c>
      <c r="D7188" s="2" t="s">
        <v>12</v>
      </c>
      <c r="E7188" s="2"/>
      <c r="F7188" s="2" t="str">
        <f>HYPERLINK("http://www.12365auto.com/zlts/20200215/447381.shtml","http://www.12365auto.com/zlts/20200215/447381.shtml")</f>
        <v>http://www.12365auto.com/zlts/20200215/447381.shtml</v>
      </c>
      <c r="G7188" s="2"/>
      <c r="H7188" s="2" t="s">
        <v>9854</v>
      </c>
      <c r="I7188" s="2" t="s">
        <v>15</v>
      </c>
      <c r="J7188" s="2" t="s">
        <v>12</v>
      </c>
      <c r="K7188" s="2" t="s">
        <v>9852</v>
      </c>
      <c r="L7188" s="2">
        <f t="shared" si="112"/>
        <v>89</v>
      </c>
    </row>
    <row r="7189" spans="1:12" ht="25" customHeight="1">
      <c r="A7189" s="2" t="s">
        <v>12</v>
      </c>
      <c r="B7189" s="2" t="str">
        <f>HYPERLINK("http://www.12365auto.com/zlts/20200215/447382.shtml","雷克萨斯NX变速箱顿挫 异响 发动机故障灯亮")</f>
        <v>雷克萨斯NX变速箱顿挫 异响 发动机故障灯亮</v>
      </c>
      <c r="C7189" s="2" t="s">
        <v>13</v>
      </c>
      <c r="D7189" s="2" t="s">
        <v>12</v>
      </c>
      <c r="E7189" s="2" t="s">
        <v>17</v>
      </c>
      <c r="F7189" s="2" t="str">
        <f>HYPERLINK("http://www.12365auto.com/zlts/20200215/447382.shtml","http://www.12365auto.com/zlts/20200215/447382.shtml")</f>
        <v>http://www.12365auto.com/zlts/20200215/447382.shtml</v>
      </c>
      <c r="G7189" s="2"/>
      <c r="H7189" s="2" t="s">
        <v>9855</v>
      </c>
      <c r="I7189" s="2" t="s">
        <v>19</v>
      </c>
      <c r="J7189" s="2" t="s">
        <v>12</v>
      </c>
      <c r="K7189" s="2" t="s">
        <v>9856</v>
      </c>
      <c r="L7189" s="2">
        <f t="shared" si="112"/>
        <v>150</v>
      </c>
    </row>
    <row r="7190" spans="1:12" ht="25" customHeight="1">
      <c r="A7190" s="2" t="s">
        <v>12</v>
      </c>
      <c r="B7190" s="2" t="str">
        <f>HYPERLINK("http://www.12365auto.com/zlts/20200215/447377.shtml","上汽大众朗逸变速箱顿挫异响厂家不联系")</f>
        <v>上汽大众朗逸变速箱顿挫异响厂家不联系</v>
      </c>
      <c r="C7190" s="2" t="s">
        <v>13</v>
      </c>
      <c r="D7190" s="2" t="s">
        <v>12</v>
      </c>
      <c r="E7190" s="2"/>
      <c r="F7190" s="2" t="str">
        <f>HYPERLINK("http://www.12365auto.com/zlts/20200215/447377.shtml","http://www.12365auto.com/zlts/20200215/447377.shtml")</f>
        <v>http://www.12365auto.com/zlts/20200215/447377.shtml</v>
      </c>
      <c r="G7190" s="2"/>
      <c r="H7190" s="2" t="s">
        <v>9858</v>
      </c>
      <c r="I7190" s="2" t="s">
        <v>15</v>
      </c>
      <c r="J7190" s="2" t="s">
        <v>12</v>
      </c>
      <c r="K7190" s="2" t="s">
        <v>9857</v>
      </c>
      <c r="L7190" s="2">
        <f t="shared" si="112"/>
        <v>80</v>
      </c>
    </row>
    <row r="7191" spans="1:12" ht="25" customHeight="1">
      <c r="A7191" s="2" t="s">
        <v>12</v>
      </c>
      <c r="B7191" s="2" t="str">
        <f>HYPERLINK("http://www.12365auto.com/zlts/20200215/447378.shtml","上汽大众帕萨特碰撞测试A柱断裂 气囊偏离")</f>
        <v>上汽大众帕萨特碰撞测试A柱断裂 气囊偏离</v>
      </c>
      <c r="C7191" s="2" t="s">
        <v>13</v>
      </c>
      <c r="D7191" s="2" t="s">
        <v>12</v>
      </c>
      <c r="E7191" s="2" t="s">
        <v>17</v>
      </c>
      <c r="F7191" s="2" t="str">
        <f>HYPERLINK("http://www.12365auto.com/zlts/20200215/447378.shtml","http://www.12365auto.com/zlts/20200215/447378.shtml")</f>
        <v>http://www.12365auto.com/zlts/20200215/447378.shtml</v>
      </c>
      <c r="G7191" s="2"/>
      <c r="H7191" s="2" t="s">
        <v>9859</v>
      </c>
      <c r="I7191" s="2" t="s">
        <v>19</v>
      </c>
      <c r="J7191" s="2" t="s">
        <v>12</v>
      </c>
      <c r="K7191" s="2" t="s">
        <v>9860</v>
      </c>
      <c r="L7191" s="2">
        <f t="shared" si="112"/>
        <v>150</v>
      </c>
    </row>
    <row r="7192" spans="1:12" ht="25" customHeight="1">
      <c r="A7192" s="2" t="s">
        <v>12</v>
      </c>
      <c r="B7192" s="2" t="str">
        <f>HYPERLINK("http://www.12365auto.com/zlts/20200215/447376.shtml","斯柯达明锐变速箱故障灯亮希望解决")</f>
        <v>斯柯达明锐变速箱故障灯亮希望解决</v>
      </c>
      <c r="C7192" s="2" t="s">
        <v>13</v>
      </c>
      <c r="D7192" s="2" t="s">
        <v>12</v>
      </c>
      <c r="E7192" s="2"/>
      <c r="F7192" s="2" t="str">
        <f>HYPERLINK("http://www.12365auto.com/zlts/20200215/447376.shtml","http://www.12365auto.com/zlts/20200215/447376.shtml")</f>
        <v>http://www.12365auto.com/zlts/20200215/447376.shtml</v>
      </c>
      <c r="G7192" s="2"/>
      <c r="H7192" s="2" t="s">
        <v>9862</v>
      </c>
      <c r="I7192" s="2" t="s">
        <v>15</v>
      </c>
      <c r="J7192" s="2" t="s">
        <v>12</v>
      </c>
      <c r="K7192" s="2" t="s">
        <v>9861</v>
      </c>
      <c r="L7192" s="2">
        <f t="shared" si="112"/>
        <v>84</v>
      </c>
    </row>
    <row r="7193" spans="1:12" ht="25" customHeight="1">
      <c r="A7193" s="2" t="s">
        <v>12</v>
      </c>
      <c r="B7193" s="2" t="str">
        <f>HYPERLINK("http://www.12365auto.com/zlts/20200215/447375.shtml","上汽大众朗逸曲轴后油封异响 漏油")</f>
        <v>上汽大众朗逸曲轴后油封异响 漏油</v>
      </c>
      <c r="C7193" s="2" t="s">
        <v>13</v>
      </c>
      <c r="D7193" s="2" t="s">
        <v>12</v>
      </c>
      <c r="E7193" s="2" t="s">
        <v>17</v>
      </c>
      <c r="F7193" s="2" t="str">
        <f>HYPERLINK("http://www.12365auto.com/zlts/20200215/447375.shtml","http://www.12365auto.com/zlts/20200215/447375.shtml")</f>
        <v>http://www.12365auto.com/zlts/20200215/447375.shtml</v>
      </c>
      <c r="G7193" s="2"/>
      <c r="H7193" s="2" t="s">
        <v>9863</v>
      </c>
      <c r="I7193" s="2" t="s">
        <v>19</v>
      </c>
      <c r="J7193" s="2" t="s">
        <v>12</v>
      </c>
      <c r="K7193" s="2" t="s">
        <v>9864</v>
      </c>
      <c r="L7193" s="2">
        <f t="shared" si="112"/>
        <v>150</v>
      </c>
    </row>
    <row r="7194" spans="1:12" ht="25" customHeight="1">
      <c r="A7194" s="2" t="s">
        <v>12</v>
      </c>
      <c r="B7194" s="2" t="str">
        <f>HYPERLINK("http://bbs.12365auto.com/postcontent.aspx?tID=194170","传祺GS5你让我欲哭无泪 问题太多")</f>
        <v>传祺GS5你让我欲哭无泪 问题太多</v>
      </c>
      <c r="C7194" s="2" t="s">
        <v>13</v>
      </c>
      <c r="D7194" s="2" t="s">
        <v>12</v>
      </c>
      <c r="E7194" s="2" t="s">
        <v>67</v>
      </c>
      <c r="F7194" s="2" t="str">
        <f>HYPERLINK("http://bbs.12365auto.com/postcontent.aspx?tID=194170","http://bbs.12365auto.com/postcontent.aspx?tID=194170")</f>
        <v>http://bbs.12365auto.com/postcontent.aspx?tID=194170</v>
      </c>
      <c r="G7194" s="2"/>
      <c r="H7194" s="2" t="s">
        <v>9865</v>
      </c>
      <c r="I7194" s="2" t="s">
        <v>15</v>
      </c>
      <c r="J7194" s="2" t="s">
        <v>9866</v>
      </c>
      <c r="K7194" s="2" t="s">
        <v>9867</v>
      </c>
      <c r="L7194" s="2">
        <f t="shared" si="112"/>
        <v>129</v>
      </c>
    </row>
    <row r="7195" spans="1:12" ht="25" customHeight="1">
      <c r="A7195" s="2" t="s">
        <v>12</v>
      </c>
      <c r="B7195" s="2" t="str">
        <f>HYPERLINK("http://www.12365auto.com/zlts/20200215/447365.shtml","长安CS75高位刹车灯漏水导致车内进水")</f>
        <v>长安CS75高位刹车灯漏水导致车内进水</v>
      </c>
      <c r="C7195" s="2" t="s">
        <v>13</v>
      </c>
      <c r="D7195" s="2" t="s">
        <v>12</v>
      </c>
      <c r="E7195" s="2"/>
      <c r="F7195" s="2" t="str">
        <f>HYPERLINK("http://www.12365auto.com/zlts/20200215/447365.shtml","http://www.12365auto.com/zlts/20200215/447365.shtml")</f>
        <v>http://www.12365auto.com/zlts/20200215/447365.shtml</v>
      </c>
      <c r="G7195" s="2"/>
      <c r="H7195" s="2" t="s">
        <v>9869</v>
      </c>
      <c r="I7195" s="2" t="s">
        <v>15</v>
      </c>
      <c r="J7195" s="2" t="s">
        <v>12</v>
      </c>
      <c r="K7195" s="2" t="s">
        <v>9868</v>
      </c>
      <c r="L7195" s="2">
        <f t="shared" si="112"/>
        <v>81</v>
      </c>
    </row>
    <row r="7196" spans="1:12" ht="25" customHeight="1">
      <c r="A7196" s="2" t="s">
        <v>12</v>
      </c>
      <c r="B7196" s="2" t="str">
        <f>HYPERLINK("http://www.12365auto.com/zlts/20200215/447366.shtml","东风本田INSPIRE多媒体连接蓝牙时杂音")</f>
        <v>东风本田INSPIRE多媒体连接蓝牙时杂音</v>
      </c>
      <c r="C7196" s="2" t="s">
        <v>13</v>
      </c>
      <c r="D7196" s="2" t="s">
        <v>12</v>
      </c>
      <c r="E7196" s="2"/>
      <c r="F7196" s="2" t="str">
        <f>HYPERLINK("http://www.12365auto.com/zlts/20200215/447366.shtml","http://www.12365auto.com/zlts/20200215/447366.shtml")</f>
        <v>http://www.12365auto.com/zlts/20200215/447366.shtml</v>
      </c>
      <c r="G7196" s="2"/>
      <c r="H7196" s="2" t="s">
        <v>9871</v>
      </c>
      <c r="I7196" s="2" t="s">
        <v>15</v>
      </c>
      <c r="J7196" s="2" t="s">
        <v>12</v>
      </c>
      <c r="K7196" s="2" t="s">
        <v>9870</v>
      </c>
      <c r="L7196" s="2">
        <f t="shared" si="112"/>
        <v>91</v>
      </c>
    </row>
    <row r="7197" spans="1:12" ht="25" customHeight="1">
      <c r="A7197" s="2" t="s">
        <v>12</v>
      </c>
      <c r="B7197" s="2" t="str">
        <f>HYPERLINK("http://www.12365auto.com/zlts/20200215/447372.shtml","众泰T500底盘异响 变速箱异响 故障灯亮")</f>
        <v>众泰T500底盘异响 变速箱异响 故障灯亮</v>
      </c>
      <c r="C7197" s="2" t="s">
        <v>13</v>
      </c>
      <c r="D7197" s="2" t="s">
        <v>12</v>
      </c>
      <c r="E7197" s="2" t="s">
        <v>17</v>
      </c>
      <c r="F7197" s="2" t="str">
        <f>HYPERLINK("http://www.12365auto.com/zlts/20200215/447372.shtml","http://www.12365auto.com/zlts/20200215/447372.shtml")</f>
        <v>http://www.12365auto.com/zlts/20200215/447372.shtml</v>
      </c>
      <c r="G7197" s="2"/>
      <c r="H7197" s="2" t="s">
        <v>9872</v>
      </c>
      <c r="I7197" s="2" t="s">
        <v>19</v>
      </c>
      <c r="J7197" s="2" t="s">
        <v>12</v>
      </c>
      <c r="K7197" s="2" t="s">
        <v>9873</v>
      </c>
      <c r="L7197" s="2">
        <f t="shared" si="112"/>
        <v>150</v>
      </c>
    </row>
    <row r="7198" spans="1:12" ht="25" customHeight="1">
      <c r="A7198" s="2" t="s">
        <v>12</v>
      </c>
      <c r="B7198" s="2" t="str">
        <f>HYPERLINK("http://www.12365auto.com/zlts/20200215/447362.shtml","一汽奔腾X40发动机故障灯亮 怠速抖动")</f>
        <v>一汽奔腾X40发动机故障灯亮 怠速抖动</v>
      </c>
      <c r="C7198" s="2" t="s">
        <v>13</v>
      </c>
      <c r="D7198" s="2" t="s">
        <v>12</v>
      </c>
      <c r="E7198" s="2"/>
      <c r="F7198" s="2" t="str">
        <f>HYPERLINK("http://www.12365auto.com/zlts/20200215/447362.shtml","http://www.12365auto.com/zlts/20200215/447362.shtml")</f>
        <v>http://www.12365auto.com/zlts/20200215/447362.shtml</v>
      </c>
      <c r="G7198" s="2"/>
      <c r="H7198" s="2" t="s">
        <v>9875</v>
      </c>
      <c r="I7198" s="2" t="s">
        <v>15</v>
      </c>
      <c r="J7198" s="2" t="s">
        <v>12</v>
      </c>
      <c r="K7198" s="2" t="s">
        <v>9874</v>
      </c>
      <c r="L7198" s="2">
        <f t="shared" si="112"/>
        <v>83</v>
      </c>
    </row>
    <row r="7199" spans="1:12" ht="25" customHeight="1">
      <c r="A7199" s="2" t="s">
        <v>12</v>
      </c>
      <c r="B7199" s="2" t="str">
        <f>HYPERLINK("http://bbs.12365auto.com/postcontent.aspx?tID=194169","长城C30打火问题有解决的吗")</f>
        <v>长城C30打火问题有解决的吗</v>
      </c>
      <c r="C7199" s="2" t="s">
        <v>13</v>
      </c>
      <c r="D7199" s="2" t="s">
        <v>12</v>
      </c>
      <c r="E7199" s="2" t="s">
        <v>67</v>
      </c>
      <c r="F7199" s="2" t="str">
        <f>HYPERLINK("http://bbs.12365auto.com/postcontent.aspx?tID=194169","http://bbs.12365auto.com/postcontent.aspx?tID=194169")</f>
        <v>http://bbs.12365auto.com/postcontent.aspx?tID=194169</v>
      </c>
      <c r="G7199" s="2"/>
      <c r="H7199" s="2" t="s">
        <v>9876</v>
      </c>
      <c r="I7199" s="2" t="s">
        <v>15</v>
      </c>
      <c r="J7199" s="2" t="s">
        <v>9877</v>
      </c>
      <c r="K7199" s="2" t="s">
        <v>9878</v>
      </c>
      <c r="L7199" s="2">
        <f t="shared" si="112"/>
        <v>32</v>
      </c>
    </row>
    <row r="7200" spans="1:12" ht="25" customHeight="1">
      <c r="A7200" s="2" t="s">
        <v>12</v>
      </c>
      <c r="B7200" s="2" t="str">
        <f>HYPERLINK("http://www.12365auto.com/zlts/20200215/447371.shtml","一汽大众宝来刹车 底盘 车内异响严重")</f>
        <v>一汽大众宝来刹车 底盘 车内异响严重</v>
      </c>
      <c r="C7200" s="2" t="s">
        <v>13</v>
      </c>
      <c r="D7200" s="2" t="s">
        <v>12</v>
      </c>
      <c r="E7200" s="2" t="s">
        <v>17</v>
      </c>
      <c r="F7200" s="2" t="str">
        <f>HYPERLINK("http://www.12365auto.com/zlts/20200215/447371.shtml","http://www.12365auto.com/zlts/20200215/447371.shtml")</f>
        <v>http://www.12365auto.com/zlts/20200215/447371.shtml</v>
      </c>
      <c r="G7200" s="2"/>
      <c r="H7200" s="2" t="s">
        <v>9879</v>
      </c>
      <c r="I7200" s="2" t="s">
        <v>19</v>
      </c>
      <c r="J7200" s="2" t="s">
        <v>12</v>
      </c>
      <c r="K7200" s="2" t="s">
        <v>9878</v>
      </c>
      <c r="L7200" s="2">
        <f t="shared" si="112"/>
        <v>150</v>
      </c>
    </row>
    <row r="7201" spans="1:12" ht="25" customHeight="1">
      <c r="A7201" s="2" t="s">
        <v>12</v>
      </c>
      <c r="B7201" s="2" t="str">
        <f>HYPERLINK("http://www.12365auto.com/zlts/20200215/447370.shtml","领克01系统升级后动力变弱 油耗增高")</f>
        <v>领克01系统升级后动力变弱 油耗增高</v>
      </c>
      <c r="C7201" s="2" t="s">
        <v>13</v>
      </c>
      <c r="D7201" s="2" t="s">
        <v>12</v>
      </c>
      <c r="E7201" s="2" t="s">
        <v>17</v>
      </c>
      <c r="F7201" s="2" t="str">
        <f>HYPERLINK("http://www.12365auto.com/zlts/20200215/447370.shtml","http://www.12365auto.com/zlts/20200215/447370.shtml")</f>
        <v>http://www.12365auto.com/zlts/20200215/447370.shtml</v>
      </c>
      <c r="G7201" s="2"/>
      <c r="H7201" s="2" t="s">
        <v>9880</v>
      </c>
      <c r="I7201" s="2" t="s">
        <v>19</v>
      </c>
      <c r="J7201" s="2" t="s">
        <v>12</v>
      </c>
      <c r="K7201" s="2" t="s">
        <v>9881</v>
      </c>
      <c r="L7201" s="2">
        <f t="shared" si="112"/>
        <v>150</v>
      </c>
    </row>
    <row r="7202" spans="1:12" ht="25" customHeight="1">
      <c r="A7202" s="2" t="s">
        <v>12</v>
      </c>
      <c r="B7202" s="2" t="str">
        <f>HYPERLINK("http://www.12365auto.com/zlts/20200215/447369.shtml","上汽大众帕萨特设计存在安全隐患要求召回")</f>
        <v>上汽大众帕萨特设计存在安全隐患要求召回</v>
      </c>
      <c r="C7202" s="2" t="s">
        <v>13</v>
      </c>
      <c r="D7202" s="2" t="s">
        <v>12</v>
      </c>
      <c r="E7202" s="2" t="s">
        <v>17</v>
      </c>
      <c r="F7202" s="2" t="str">
        <f>HYPERLINK("http://www.12365auto.com/zlts/20200215/447369.shtml","http://www.12365auto.com/zlts/20200215/447369.shtml")</f>
        <v>http://www.12365auto.com/zlts/20200215/447369.shtml</v>
      </c>
      <c r="G7202" s="2"/>
      <c r="H7202" s="2" t="s">
        <v>9882</v>
      </c>
      <c r="I7202" s="2" t="s">
        <v>19</v>
      </c>
      <c r="J7202" s="2" t="s">
        <v>12</v>
      </c>
      <c r="K7202" s="2" t="s">
        <v>9883</v>
      </c>
      <c r="L7202" s="2">
        <f t="shared" si="112"/>
        <v>150</v>
      </c>
    </row>
    <row r="7203" spans="1:12" ht="25" customHeight="1">
      <c r="A7203" s="2" t="s">
        <v>12</v>
      </c>
      <c r="B7203" s="2" t="str">
        <f>HYPERLINK("http://www.12365auto.com/zlts/20200215/447368.shtml","吉利帝豪车身生锈钣金存在严重问题")</f>
        <v>吉利帝豪车身生锈钣金存在严重问题</v>
      </c>
      <c r="C7203" s="2" t="s">
        <v>13</v>
      </c>
      <c r="D7203" s="2" t="s">
        <v>12</v>
      </c>
      <c r="E7203" s="2" t="s">
        <v>17</v>
      </c>
      <c r="F7203" s="2" t="str">
        <f>HYPERLINK("http://www.12365auto.com/zlts/20200215/447368.shtml","http://www.12365auto.com/zlts/20200215/447368.shtml")</f>
        <v>http://www.12365auto.com/zlts/20200215/447368.shtml</v>
      </c>
      <c r="G7203" s="2"/>
      <c r="H7203" s="2" t="s">
        <v>9884</v>
      </c>
      <c r="I7203" s="2" t="s">
        <v>19</v>
      </c>
      <c r="J7203" s="2" t="s">
        <v>12</v>
      </c>
      <c r="K7203" s="2" t="s">
        <v>9885</v>
      </c>
      <c r="L7203" s="2">
        <f t="shared" si="112"/>
        <v>150</v>
      </c>
    </row>
    <row r="7204" spans="1:12" ht="25" customHeight="1">
      <c r="A7204" s="2" t="s">
        <v>12</v>
      </c>
      <c r="B7204" s="2" t="str">
        <f>HYPERLINK("http://www.12365auto.com/zlts/20200215/447367.shtml","一汽大众宝来车身漏水严重影响使用")</f>
        <v>一汽大众宝来车身漏水严重影响使用</v>
      </c>
      <c r="C7204" s="2" t="s">
        <v>13</v>
      </c>
      <c r="D7204" s="2" t="s">
        <v>12</v>
      </c>
      <c r="E7204" s="2" t="s">
        <v>17</v>
      </c>
      <c r="F7204" s="2" t="str">
        <f>HYPERLINK("http://www.12365auto.com/zlts/20200215/447367.shtml","http://www.12365auto.com/zlts/20200215/447367.shtml")</f>
        <v>http://www.12365auto.com/zlts/20200215/447367.shtml</v>
      </c>
      <c r="G7204" s="2"/>
      <c r="H7204" s="2" t="s">
        <v>9886</v>
      </c>
      <c r="I7204" s="2" t="s">
        <v>19</v>
      </c>
      <c r="J7204" s="2" t="s">
        <v>12</v>
      </c>
      <c r="K7204" s="2" t="s">
        <v>9887</v>
      </c>
      <c r="L7204" s="2">
        <f t="shared" si="112"/>
        <v>150</v>
      </c>
    </row>
    <row r="7205" spans="1:12" ht="25" customHeight="1">
      <c r="A7205" s="2" t="s">
        <v>12</v>
      </c>
      <c r="B7205" s="2" t="str">
        <f>HYPERLINK("http://www.12365auto.com/zlts/20200215/447356.shtml","车门及车身生锈")</f>
        <v>车门及车身生锈</v>
      </c>
      <c r="C7205" s="2" t="s">
        <v>13</v>
      </c>
      <c r="D7205" s="2" t="s">
        <v>12</v>
      </c>
      <c r="E7205" s="2"/>
      <c r="F7205" s="2" t="str">
        <f>HYPERLINK("http://www.12365auto.com/zlts/20200215/447356.shtml","http://www.12365auto.com/zlts/20200215/447356.shtml")</f>
        <v>http://www.12365auto.com/zlts/20200215/447356.shtml</v>
      </c>
      <c r="G7205" s="2"/>
      <c r="H7205" s="2" t="s">
        <v>9889</v>
      </c>
      <c r="I7205" s="2" t="s">
        <v>15</v>
      </c>
      <c r="J7205" s="2" t="s">
        <v>12</v>
      </c>
      <c r="K7205" s="2" t="s">
        <v>9888</v>
      </c>
      <c r="L7205" s="2">
        <f t="shared" si="112"/>
        <v>83</v>
      </c>
    </row>
    <row r="7206" spans="1:12" ht="25" customHeight="1">
      <c r="A7206" s="2" t="s">
        <v>12</v>
      </c>
      <c r="B7206" s="2" t="str">
        <f>HYPERLINK("http://www.12365auto.com/zlts/20200215/447355.shtml","广汽本田飞度发动机冷启动异响有质量问题")</f>
        <v>广汽本田飞度发动机冷启动异响有质量问题</v>
      </c>
      <c r="C7206" s="2" t="s">
        <v>13</v>
      </c>
      <c r="D7206" s="2" t="s">
        <v>12</v>
      </c>
      <c r="E7206" s="2" t="s">
        <v>17</v>
      </c>
      <c r="F7206" s="2" t="str">
        <f>HYPERLINK("http://www.12365auto.com/zlts/20200215/447355.shtml","http://www.12365auto.com/zlts/20200215/447355.shtml")</f>
        <v>http://www.12365auto.com/zlts/20200215/447355.shtml</v>
      </c>
      <c r="G7206" s="2"/>
      <c r="H7206" s="2" t="s">
        <v>9890</v>
      </c>
      <c r="I7206" s="2" t="s">
        <v>19</v>
      </c>
      <c r="J7206" s="2" t="s">
        <v>12</v>
      </c>
      <c r="K7206" s="2" t="s">
        <v>9891</v>
      </c>
      <c r="L7206" s="2">
        <f t="shared" si="112"/>
        <v>150</v>
      </c>
    </row>
    <row r="7207" spans="1:12" ht="25" customHeight="1">
      <c r="A7207" s="2" t="s">
        <v>12</v>
      </c>
      <c r="B7207" s="2" t="str">
        <f>HYPERLINK("http://m.12365auto.com/zjdy/20200215/121293.shtml","一汽大众宝来这款车质量如何值得入手吗？")</f>
        <v>一汽大众宝来这款车质量如何值得入手吗？</v>
      </c>
      <c r="C7207" s="2" t="s">
        <v>13</v>
      </c>
      <c r="D7207" s="2" t="s">
        <v>12</v>
      </c>
      <c r="E7207" s="2"/>
      <c r="F7207" s="2" t="str">
        <f>HYPERLINK("http://m.12365auto.com/zjdy/20200215/121293.shtml","http://m.12365auto.com/zjdy/20200215/121293.shtml")</f>
        <v>http://m.12365auto.com/zjdy/20200215/121293.shtml</v>
      </c>
      <c r="G7207" s="2"/>
      <c r="H7207" s="2" t="s">
        <v>9892</v>
      </c>
      <c r="I7207" s="2" t="s">
        <v>19</v>
      </c>
      <c r="J7207" s="2" t="s">
        <v>12</v>
      </c>
      <c r="K7207" s="2" t="s">
        <v>9893</v>
      </c>
      <c r="L7207" s="2">
        <f t="shared" si="112"/>
        <v>24</v>
      </c>
    </row>
    <row r="7208" spans="1:12" ht="25" customHeight="1">
      <c r="A7208" s="2" t="s">
        <v>12</v>
      </c>
      <c r="B7208" s="2" t="str">
        <f>HYPERLINK("http://www.12365auto.com/zlts/20200215/447351.shtml","十代雅阁方向盘60迈以上方向盘严重卡顿")</f>
        <v>十代雅阁方向盘60迈以上方向盘严重卡顿</v>
      </c>
      <c r="C7208" s="2" t="s">
        <v>13</v>
      </c>
      <c r="D7208" s="2" t="s">
        <v>12</v>
      </c>
      <c r="E7208" s="2"/>
      <c r="F7208" s="2" t="str">
        <f>HYPERLINK("http://www.12365auto.com/zlts/20200215/447351.shtml","http://www.12365auto.com/zlts/20200215/447351.shtml")</f>
        <v>http://www.12365auto.com/zlts/20200215/447351.shtml</v>
      </c>
      <c r="G7208" s="2"/>
      <c r="H7208" s="2" t="s">
        <v>9895</v>
      </c>
      <c r="I7208" s="2" t="s">
        <v>15</v>
      </c>
      <c r="J7208" s="2" t="s">
        <v>12</v>
      </c>
      <c r="K7208" s="2" t="s">
        <v>9894</v>
      </c>
      <c r="L7208" s="2">
        <f t="shared" si="112"/>
        <v>84</v>
      </c>
    </row>
    <row r="7209" spans="1:12" ht="25" customHeight="1">
      <c r="A7209" s="2" t="s">
        <v>12</v>
      </c>
      <c r="B7209" s="2" t="str">
        <f>HYPERLINK("http://www.12365auto.com/zlts/20200215/447352.shtml","郑州日产途达电瓶亏电严重无法启动")</f>
        <v>郑州日产途达电瓶亏电严重无法启动</v>
      </c>
      <c r="C7209" s="2" t="s">
        <v>13</v>
      </c>
      <c r="D7209" s="2" t="s">
        <v>12</v>
      </c>
      <c r="E7209" s="2" t="s">
        <v>17</v>
      </c>
      <c r="F7209" s="2" t="str">
        <f>HYPERLINK("http://www.12365auto.com/zlts/20200215/447352.shtml","http://www.12365auto.com/zlts/20200215/447352.shtml")</f>
        <v>http://www.12365auto.com/zlts/20200215/447352.shtml</v>
      </c>
      <c r="G7209" s="2"/>
      <c r="H7209" s="2" t="s">
        <v>9896</v>
      </c>
      <c r="I7209" s="2" t="s">
        <v>15</v>
      </c>
      <c r="J7209" s="2" t="s">
        <v>12</v>
      </c>
      <c r="K7209" s="2" t="s">
        <v>9897</v>
      </c>
      <c r="L7209" s="2">
        <f t="shared" si="112"/>
        <v>150</v>
      </c>
    </row>
    <row r="7210" spans="1:12" ht="25" customHeight="1">
      <c r="A7210" s="2" t="s">
        <v>12</v>
      </c>
      <c r="B7210" s="2" t="str">
        <f>HYPERLINK("http://m.12365auto.com/zjdy/20200215/121291.shtml","雪铁龙天逸C5 AIRCROSS质量表现怎么样？")</f>
        <v>雪铁龙天逸C5 AIRCROSS质量表现怎么样？</v>
      </c>
      <c r="C7210" s="2" t="s">
        <v>13</v>
      </c>
      <c r="D7210" s="2" t="s">
        <v>12</v>
      </c>
      <c r="E7210" s="2"/>
      <c r="F7210" s="2" t="str">
        <f>HYPERLINK("http://m.12365auto.com/zjdy/20200215/121291.shtml","http://m.12365auto.com/zjdy/20200215/121291.shtml")</f>
        <v>http://m.12365auto.com/zjdy/20200215/121291.shtml</v>
      </c>
      <c r="G7210" s="2"/>
      <c r="H7210" s="2" t="s">
        <v>9898</v>
      </c>
      <c r="I7210" s="2" t="s">
        <v>19</v>
      </c>
      <c r="J7210" s="2" t="s">
        <v>12</v>
      </c>
      <c r="K7210" s="2" t="s">
        <v>9899</v>
      </c>
      <c r="L7210" s="2">
        <f t="shared" si="112"/>
        <v>30</v>
      </c>
    </row>
    <row r="7211" spans="1:12" ht="25" customHeight="1">
      <c r="A7211" s="2" t="s">
        <v>12</v>
      </c>
      <c r="B7211" s="2" t="str">
        <f>HYPERLINK("http://m.12365auto.com/zjdy/20200215/121290.shtml","新轩逸副驾驶侧漏水是什么原因导致的？")</f>
        <v>新轩逸副驾驶侧漏水是什么原因导致的？</v>
      </c>
      <c r="C7211" s="2" t="s">
        <v>13</v>
      </c>
      <c r="D7211" s="2" t="s">
        <v>12</v>
      </c>
      <c r="E7211" s="2"/>
      <c r="F7211" s="2" t="str">
        <f>HYPERLINK("http://m.12365auto.com/zjdy/20200215/121290.shtml","http://m.12365auto.com/zjdy/20200215/121290.shtml")</f>
        <v>http://m.12365auto.com/zjdy/20200215/121290.shtml</v>
      </c>
      <c r="G7211" s="2"/>
      <c r="H7211" s="2" t="s">
        <v>9900</v>
      </c>
      <c r="I7211" s="2" t="s">
        <v>19</v>
      </c>
      <c r="J7211" s="2" t="s">
        <v>12</v>
      </c>
      <c r="K7211" s="2" t="s">
        <v>9899</v>
      </c>
      <c r="L7211" s="2">
        <f t="shared" si="112"/>
        <v>36</v>
      </c>
    </row>
    <row r="7212" spans="1:12" ht="25" customHeight="1">
      <c r="A7212" s="2" t="s">
        <v>12</v>
      </c>
      <c r="B7212" s="2" t="str">
        <f>HYPERLINK("http://m.12365auto.com/zjdy/20200215/121292.shtml","亚洲龙斜坡D挡挂P挡时间长了会有影响吗？")</f>
        <v>亚洲龙斜坡D挡挂P挡时间长了会有影响吗？</v>
      </c>
      <c r="C7212" s="2" t="s">
        <v>13</v>
      </c>
      <c r="D7212" s="2" t="s">
        <v>12</v>
      </c>
      <c r="E7212" s="2"/>
      <c r="F7212" s="2" t="str">
        <f>HYPERLINK("http://m.12365auto.com/zjdy/20200215/121292.shtml","http://m.12365auto.com/zjdy/20200215/121292.shtml")</f>
        <v>http://m.12365auto.com/zjdy/20200215/121292.shtml</v>
      </c>
      <c r="G7212" s="2"/>
      <c r="H7212" s="2" t="s">
        <v>9901</v>
      </c>
      <c r="I7212" s="2" t="s">
        <v>19</v>
      </c>
      <c r="J7212" s="2" t="s">
        <v>12</v>
      </c>
      <c r="K7212" s="2" t="s">
        <v>9899</v>
      </c>
      <c r="L7212" s="2">
        <f t="shared" si="112"/>
        <v>62</v>
      </c>
    </row>
    <row r="7213" spans="1:12" ht="25" customHeight="1">
      <c r="A7213" s="2" t="s">
        <v>12</v>
      </c>
      <c r="B7213" s="2" t="str">
        <f>HYPERLINK("http://www.12365auto.com/zlts/20200215/447348.shtml","领克01厂家升级系统后动力弱油耗偏高")</f>
        <v>领克01厂家升级系统后动力弱油耗偏高</v>
      </c>
      <c r="C7213" s="2" t="s">
        <v>13</v>
      </c>
      <c r="D7213" s="2" t="s">
        <v>12</v>
      </c>
      <c r="E7213" s="2" t="s">
        <v>17</v>
      </c>
      <c r="F7213" s="2" t="str">
        <f>HYPERLINK("http://www.12365auto.com/zlts/20200215/447348.shtml","http://www.12365auto.com/zlts/20200215/447348.shtml")</f>
        <v>http://www.12365auto.com/zlts/20200215/447348.shtml</v>
      </c>
      <c r="G7213" s="2"/>
      <c r="H7213" s="2" t="s">
        <v>9902</v>
      </c>
      <c r="I7213" s="2" t="s">
        <v>19</v>
      </c>
      <c r="J7213" s="2" t="s">
        <v>12</v>
      </c>
      <c r="K7213" s="2" t="s">
        <v>9903</v>
      </c>
      <c r="L7213" s="2">
        <f t="shared" si="112"/>
        <v>150</v>
      </c>
    </row>
    <row r="7214" spans="1:12" ht="25" customHeight="1">
      <c r="A7214" s="2" t="s">
        <v>12</v>
      </c>
      <c r="B7214" s="2" t="str">
        <f>HYPERLINK("http://www.12365auto.com/zlts/20200215/447346.shtml","一汽大众探歌怠速时发动机舱内异响")</f>
        <v>一汽大众探歌怠速时发动机舱内异响</v>
      </c>
      <c r="C7214" s="2" t="s">
        <v>13</v>
      </c>
      <c r="D7214" s="2" t="s">
        <v>12</v>
      </c>
      <c r="E7214" s="2" t="s">
        <v>17</v>
      </c>
      <c r="F7214" s="2" t="str">
        <f>HYPERLINK("http://www.12365auto.com/zlts/20200215/447346.shtml","http://www.12365auto.com/zlts/20200215/447346.shtml")</f>
        <v>http://www.12365auto.com/zlts/20200215/447346.shtml</v>
      </c>
      <c r="G7214" s="2"/>
      <c r="H7214" s="2" t="s">
        <v>9904</v>
      </c>
      <c r="I7214" s="2" t="s">
        <v>19</v>
      </c>
      <c r="J7214" s="2" t="s">
        <v>12</v>
      </c>
      <c r="K7214" s="2" t="s">
        <v>9905</v>
      </c>
      <c r="L7214" s="2">
        <f t="shared" si="112"/>
        <v>150</v>
      </c>
    </row>
    <row r="7215" spans="1:12" ht="25" customHeight="1">
      <c r="A7215" s="2" t="s">
        <v>12</v>
      </c>
      <c r="B7215" s="2" t="str">
        <f>HYPERLINK("http://www.12365auto.com/zlts/20200215/447345.shtml","云度π1空调无法调节温度影响使用")</f>
        <v>云度π1空调无法调节温度影响使用</v>
      </c>
      <c r="C7215" s="2" t="s">
        <v>13</v>
      </c>
      <c r="D7215" s="2" t="s">
        <v>12</v>
      </c>
      <c r="E7215" s="2" t="s">
        <v>17</v>
      </c>
      <c r="F7215" s="2" t="str">
        <f>HYPERLINK("http://www.12365auto.com/zlts/20200215/447345.shtml","http://www.12365auto.com/zlts/20200215/447345.shtml")</f>
        <v>http://www.12365auto.com/zlts/20200215/447345.shtml</v>
      </c>
      <c r="G7215" s="2"/>
      <c r="H7215" s="2" t="s">
        <v>9906</v>
      </c>
      <c r="I7215" s="2" t="s">
        <v>15</v>
      </c>
      <c r="J7215" s="2" t="s">
        <v>12</v>
      </c>
      <c r="K7215" s="2" t="s">
        <v>9907</v>
      </c>
      <c r="L7215" s="2">
        <f t="shared" si="112"/>
        <v>150</v>
      </c>
    </row>
    <row r="7216" spans="1:12" ht="25" customHeight="1">
      <c r="A7216" s="2" t="s">
        <v>12</v>
      </c>
      <c r="B7216" s="2" t="str">
        <f>HYPERLINK("http://bbs.12365auto.com/postcontent.aspx?tID=194167","疫情期间车辆保养防护措施")</f>
        <v>疫情期间车辆保养防护措施</v>
      </c>
      <c r="C7216" s="2" t="s">
        <v>13</v>
      </c>
      <c r="D7216" s="2" t="s">
        <v>12</v>
      </c>
      <c r="E7216" s="2" t="s">
        <v>28</v>
      </c>
      <c r="F7216" s="2" t="str">
        <f>HYPERLINK("http://bbs.12365auto.com/postcontent.aspx?tID=194167","http://bbs.12365auto.com/postcontent.aspx?tID=194167")</f>
        <v>http://bbs.12365auto.com/postcontent.aspx?tID=194167</v>
      </c>
      <c r="G7216" s="2"/>
      <c r="H7216" s="2" t="s">
        <v>9908</v>
      </c>
      <c r="I7216" s="2" t="s">
        <v>15</v>
      </c>
      <c r="J7216" s="2" t="s">
        <v>1446</v>
      </c>
      <c r="K7216" s="2" t="s">
        <v>9907</v>
      </c>
      <c r="L7216" s="2">
        <f t="shared" si="112"/>
        <v>150</v>
      </c>
    </row>
    <row r="7217" spans="1:12" ht="25" customHeight="1">
      <c r="A7217" s="2" t="s">
        <v>12</v>
      </c>
      <c r="B7217" s="2" t="str">
        <f>HYPERLINK("http://www.12365auto.com/zlts/20200215/447344.shtml","冷车挂D挡没反应")</f>
        <v>冷车挂D挡没反应</v>
      </c>
      <c r="C7217" s="2" t="s">
        <v>13</v>
      </c>
      <c r="D7217" s="2" t="s">
        <v>12</v>
      </c>
      <c r="E7217" s="2"/>
      <c r="F7217" s="2" t="str">
        <f>HYPERLINK("http://www.12365auto.com/zlts/20200215/447344.shtml","http://www.12365auto.com/zlts/20200215/447344.shtml")</f>
        <v>http://www.12365auto.com/zlts/20200215/447344.shtml</v>
      </c>
      <c r="G7217" s="2"/>
      <c r="H7217" s="2" t="s">
        <v>9910</v>
      </c>
      <c r="I7217" s="2" t="s">
        <v>15</v>
      </c>
      <c r="J7217" s="2" t="s">
        <v>12</v>
      </c>
      <c r="K7217" s="2" t="s">
        <v>9909</v>
      </c>
      <c r="L7217" s="2">
        <f t="shared" si="112"/>
        <v>88</v>
      </c>
    </row>
    <row r="7218" spans="1:12" ht="25" customHeight="1">
      <c r="A7218" s="2" t="s">
        <v>12</v>
      </c>
      <c r="B7218" s="2" t="str">
        <f>HYPERLINK("http://www.12365auto.com/zlts/20200215/447340.shtml","设计缺陷，25%正面碰撞测试A柱严重变形，要求退款")</f>
        <v>设计缺陷，25%正面碰撞测试A柱严重变形，要求退款</v>
      </c>
      <c r="C7218" s="2" t="s">
        <v>13</v>
      </c>
      <c r="D7218" s="2" t="s">
        <v>12</v>
      </c>
      <c r="E7218" s="2"/>
      <c r="F7218" s="2" t="str">
        <f>HYPERLINK("http://www.12365auto.com/zlts/20200215/447340.shtml","http://www.12365auto.com/zlts/20200215/447340.shtml")</f>
        <v>http://www.12365auto.com/zlts/20200215/447340.shtml</v>
      </c>
      <c r="G7218" s="2"/>
      <c r="H7218" s="2" t="s">
        <v>9912</v>
      </c>
      <c r="I7218" s="2" t="s">
        <v>15</v>
      </c>
      <c r="J7218" s="2" t="s">
        <v>12</v>
      </c>
      <c r="K7218" s="2" t="s">
        <v>9911</v>
      </c>
      <c r="L7218" s="2">
        <f t="shared" si="112"/>
        <v>84</v>
      </c>
    </row>
    <row r="7219" spans="1:12" ht="25" customHeight="1">
      <c r="A7219" s="2" t="s">
        <v>12</v>
      </c>
      <c r="B7219" s="2" t="str">
        <f>HYPERLINK("http://www.12365auto.com/zlts/20200215/447339.shtml","多次重复出现停车几天不能打火")</f>
        <v>多次重复出现停车几天不能打火</v>
      </c>
      <c r="C7219" s="2" t="s">
        <v>13</v>
      </c>
      <c r="D7219" s="2" t="s">
        <v>12</v>
      </c>
      <c r="E7219" s="2"/>
      <c r="F7219" s="2" t="str">
        <f>HYPERLINK("http://www.12365auto.com/zlts/20200215/447339.shtml","http://www.12365auto.com/zlts/20200215/447339.shtml")</f>
        <v>http://www.12365auto.com/zlts/20200215/447339.shtml</v>
      </c>
      <c r="G7219" s="2"/>
      <c r="H7219" s="2" t="s">
        <v>9914</v>
      </c>
      <c r="I7219" s="2" t="s">
        <v>15</v>
      </c>
      <c r="J7219" s="2" t="s">
        <v>12</v>
      </c>
      <c r="K7219" s="2" t="s">
        <v>9913</v>
      </c>
      <c r="L7219" s="2">
        <f t="shared" si="112"/>
        <v>87</v>
      </c>
    </row>
    <row r="7220" spans="1:12" ht="25" customHeight="1">
      <c r="A7220" s="2" t="s">
        <v>12</v>
      </c>
      <c r="B7220" s="2" t="str">
        <f>HYPERLINK("http://www.12365auto.com/zlts/20200215/447337.shtml","方向盘转动异响严重")</f>
        <v>方向盘转动异响严重</v>
      </c>
      <c r="C7220" s="2" t="s">
        <v>13</v>
      </c>
      <c r="D7220" s="2" t="s">
        <v>12</v>
      </c>
      <c r="E7220" s="2"/>
      <c r="F7220" s="2" t="str">
        <f>HYPERLINK("http://www.12365auto.com/zlts/20200215/447337.shtml","http://www.12365auto.com/zlts/20200215/447337.shtml")</f>
        <v>http://www.12365auto.com/zlts/20200215/447337.shtml</v>
      </c>
      <c r="G7220" s="2"/>
      <c r="H7220" s="2" t="s">
        <v>9916</v>
      </c>
      <c r="I7220" s="2" t="s">
        <v>15</v>
      </c>
      <c r="J7220" s="2" t="s">
        <v>12</v>
      </c>
      <c r="K7220" s="2" t="s">
        <v>9915</v>
      </c>
      <c r="L7220" s="2">
        <f t="shared" si="112"/>
        <v>88</v>
      </c>
    </row>
    <row r="7221" spans="1:12" ht="25" customHeight="1">
      <c r="A7221" s="2" t="s">
        <v>12</v>
      </c>
      <c r="B7221" s="2" t="str">
        <f>HYPERLINK("http://www.12365auto.com/zlts/20200215/447336.shtml","东风雪铁龙C4世嘉方向盘晃动严重")</f>
        <v>东风雪铁龙C4世嘉方向盘晃动严重</v>
      </c>
      <c r="C7221" s="2" t="s">
        <v>13</v>
      </c>
      <c r="D7221" s="2" t="s">
        <v>12</v>
      </c>
      <c r="E7221" s="2" t="s">
        <v>17</v>
      </c>
      <c r="F7221" s="2" t="str">
        <f>HYPERLINK("http://www.12365auto.com/zlts/20200215/447336.shtml","http://www.12365auto.com/zlts/20200215/447336.shtml")</f>
        <v>http://www.12365auto.com/zlts/20200215/447336.shtml</v>
      </c>
      <c r="G7221" s="2"/>
      <c r="H7221" s="2" t="s">
        <v>9917</v>
      </c>
      <c r="I7221" s="2" t="s">
        <v>19</v>
      </c>
      <c r="J7221" s="2" t="s">
        <v>12</v>
      </c>
      <c r="K7221" s="2" t="s">
        <v>9918</v>
      </c>
      <c r="L7221" s="2">
        <f t="shared" si="112"/>
        <v>150</v>
      </c>
    </row>
    <row r="7222" spans="1:12" ht="25" customHeight="1">
      <c r="A7222" s="2" t="s">
        <v>12</v>
      </c>
      <c r="B7222" s="2" t="str">
        <f>HYPERLINK("http://www.12365auto.com/zlts/20200215/447335.shtml","吉利博越发动机声音大 变速箱异响 刹车异响")</f>
        <v>吉利博越发动机声音大 变速箱异响 刹车异响</v>
      </c>
      <c r="C7222" s="2" t="s">
        <v>13</v>
      </c>
      <c r="D7222" s="2" t="s">
        <v>12</v>
      </c>
      <c r="E7222" s="2" t="s">
        <v>17</v>
      </c>
      <c r="F7222" s="2" t="str">
        <f>HYPERLINK("http://www.12365auto.com/zlts/20200215/447335.shtml","http://www.12365auto.com/zlts/20200215/447335.shtml")</f>
        <v>http://www.12365auto.com/zlts/20200215/447335.shtml</v>
      </c>
      <c r="G7222" s="2"/>
      <c r="H7222" s="2" t="s">
        <v>9919</v>
      </c>
      <c r="I7222" s="2" t="s">
        <v>19</v>
      </c>
      <c r="J7222" s="2" t="s">
        <v>12</v>
      </c>
      <c r="K7222" s="2" t="s">
        <v>9920</v>
      </c>
      <c r="L7222" s="2">
        <f t="shared" si="112"/>
        <v>150</v>
      </c>
    </row>
    <row r="7223" spans="1:12" ht="25" customHeight="1">
      <c r="A7223" s="2" t="s">
        <v>12</v>
      </c>
      <c r="B7223" s="2" t="str">
        <f>HYPERLINK("http://www.12365auto.com/zlts/20200215/447331.shtml","一汽大众迈腾发动机风扇不转导致水温高")</f>
        <v>一汽大众迈腾发动机风扇不转导致水温高</v>
      </c>
      <c r="C7223" s="2" t="s">
        <v>13</v>
      </c>
      <c r="D7223" s="2" t="s">
        <v>12</v>
      </c>
      <c r="E7223" s="2"/>
      <c r="F7223" s="2" t="str">
        <f>HYPERLINK("http://www.12365auto.com/zlts/20200215/447331.shtml","http://www.12365auto.com/zlts/20200215/447331.shtml")</f>
        <v>http://www.12365auto.com/zlts/20200215/447331.shtml</v>
      </c>
      <c r="G7223" s="2"/>
      <c r="H7223" s="2" t="s">
        <v>9922</v>
      </c>
      <c r="I7223" s="2" t="s">
        <v>15</v>
      </c>
      <c r="J7223" s="2" t="s">
        <v>12</v>
      </c>
      <c r="K7223" s="2" t="s">
        <v>9921</v>
      </c>
      <c r="L7223" s="2">
        <f t="shared" si="112"/>
        <v>84</v>
      </c>
    </row>
    <row r="7224" spans="1:12" ht="25" customHeight="1">
      <c r="A7224" s="2" t="s">
        <v>12</v>
      </c>
      <c r="B7224" s="2" t="str">
        <f>HYPERLINK("http://m.12365auto.com/zjdy/20200215/121289.shtml","哈弗M6这款车质量如何可以购买吗？")</f>
        <v>哈弗M6这款车质量如何可以购买吗？</v>
      </c>
      <c r="C7224" s="2" t="s">
        <v>13</v>
      </c>
      <c r="D7224" s="2" t="s">
        <v>12</v>
      </c>
      <c r="E7224" s="2"/>
      <c r="F7224" s="2" t="str">
        <f>HYPERLINK("http://m.12365auto.com/zjdy/20200215/121289.shtml","http://m.12365auto.com/zjdy/20200215/121289.shtml")</f>
        <v>http://m.12365auto.com/zjdy/20200215/121289.shtml</v>
      </c>
      <c r="G7224" s="2"/>
      <c r="H7224" s="2" t="s">
        <v>9923</v>
      </c>
      <c r="I7224" s="2" t="s">
        <v>19</v>
      </c>
      <c r="J7224" s="2" t="s">
        <v>12</v>
      </c>
      <c r="K7224" s="2" t="s">
        <v>9924</v>
      </c>
      <c r="L7224" s="2">
        <f t="shared" si="112"/>
        <v>19</v>
      </c>
    </row>
    <row r="7225" spans="1:12" ht="25" customHeight="1">
      <c r="A7225" s="2" t="s">
        <v>12</v>
      </c>
      <c r="B7225" s="2" t="str">
        <f>HYPERLINK("http://m.12365auto.com/zjdy/20200215/121287.shtml","如何才能正确检查车辆发电机是否正常？")</f>
        <v>如何才能正确检查车辆发电机是否正常？</v>
      </c>
      <c r="C7225" s="2" t="s">
        <v>13</v>
      </c>
      <c r="D7225" s="2" t="s">
        <v>12</v>
      </c>
      <c r="E7225" s="2"/>
      <c r="F7225" s="2" t="str">
        <f>HYPERLINK("http://m.12365auto.com/zjdy/20200215/121287.shtml","http://m.12365auto.com/zjdy/20200215/121287.shtml")</f>
        <v>http://m.12365auto.com/zjdy/20200215/121287.shtml</v>
      </c>
      <c r="G7225" s="2"/>
      <c r="H7225" s="2" t="s">
        <v>9925</v>
      </c>
      <c r="I7225" s="2" t="s">
        <v>19</v>
      </c>
      <c r="J7225" s="2" t="s">
        <v>12</v>
      </c>
      <c r="K7225" s="2" t="s">
        <v>9924</v>
      </c>
      <c r="L7225" s="2">
        <f t="shared" si="112"/>
        <v>46</v>
      </c>
    </row>
    <row r="7226" spans="1:12" ht="25" customHeight="1">
      <c r="A7226" s="2" t="s">
        <v>12</v>
      </c>
      <c r="B7226" s="2" t="str">
        <f>HYPERLINK("http://m.12365auto.com/zjdy/20200215/121284.shtml","长安CS35 PLUS颠簸时底盘异响是什么原因？")</f>
        <v>长安CS35 PLUS颠簸时底盘异响是什么原因？</v>
      </c>
      <c r="C7226" s="2" t="s">
        <v>13</v>
      </c>
      <c r="D7226" s="2" t="s">
        <v>12</v>
      </c>
      <c r="E7226" s="2"/>
      <c r="F7226" s="2" t="str">
        <f>HYPERLINK("http://m.12365auto.com/zjdy/20200215/121284.shtml","http://m.12365auto.com/zjdy/20200215/121284.shtml")</f>
        <v>http://m.12365auto.com/zjdy/20200215/121284.shtml</v>
      </c>
      <c r="G7226" s="2"/>
      <c r="H7226" s="2" t="s">
        <v>9926</v>
      </c>
      <c r="I7226" s="2" t="s">
        <v>19</v>
      </c>
      <c r="J7226" s="2" t="s">
        <v>12</v>
      </c>
      <c r="K7226" s="2" t="s">
        <v>9927</v>
      </c>
      <c r="L7226" s="2">
        <f t="shared" si="112"/>
        <v>79</v>
      </c>
    </row>
    <row r="7227" spans="1:12" ht="25" customHeight="1">
      <c r="A7227" s="2" t="s">
        <v>12</v>
      </c>
      <c r="B7227" s="2" t="str">
        <f>HYPERLINK("http://m.12365auto.com/zjdy/20200215/121285.shtml","EA888发动机抖动异响漏气是哪里的问题？")</f>
        <v>EA888发动机抖动异响漏气是哪里的问题？</v>
      </c>
      <c r="C7227" s="2" t="s">
        <v>13</v>
      </c>
      <c r="D7227" s="2" t="s">
        <v>12</v>
      </c>
      <c r="E7227" s="2"/>
      <c r="F7227" s="2" t="str">
        <f>HYPERLINK("http://m.12365auto.com/zjdy/20200215/121285.shtml","http://m.12365auto.com/zjdy/20200215/121285.shtml")</f>
        <v>http://m.12365auto.com/zjdy/20200215/121285.shtml</v>
      </c>
      <c r="G7227" s="2"/>
      <c r="H7227" s="2" t="s">
        <v>9928</v>
      </c>
      <c r="I7227" s="2" t="s">
        <v>19</v>
      </c>
      <c r="J7227" s="2" t="s">
        <v>12</v>
      </c>
      <c r="K7227" s="2" t="s">
        <v>9927</v>
      </c>
      <c r="L7227" s="2">
        <f t="shared" si="112"/>
        <v>53</v>
      </c>
    </row>
    <row r="7228" spans="1:12" ht="25" customHeight="1">
      <c r="A7228" s="2" t="s">
        <v>12</v>
      </c>
      <c r="B7228" s="2" t="str">
        <f>HYPERLINK("http://www.12365auto.com/zlts/20200215/447329.shtml","东风悦达起亚焕驰离合器漏油无法使用")</f>
        <v>东风悦达起亚焕驰离合器漏油无法使用</v>
      </c>
      <c r="C7228" s="2" t="s">
        <v>13</v>
      </c>
      <c r="D7228" s="2" t="s">
        <v>12</v>
      </c>
      <c r="E7228" s="2"/>
      <c r="F7228" s="2" t="str">
        <f>HYPERLINK("http://www.12365auto.com/zlts/20200215/447329.shtml","http://www.12365auto.com/zlts/20200215/447329.shtml")</f>
        <v>http://www.12365auto.com/zlts/20200215/447329.shtml</v>
      </c>
      <c r="G7228" s="2"/>
      <c r="H7228" s="2" t="s">
        <v>9930</v>
      </c>
      <c r="I7228" s="2" t="s">
        <v>15</v>
      </c>
      <c r="J7228" s="2" t="s">
        <v>12</v>
      </c>
      <c r="K7228" s="2" t="s">
        <v>9929</v>
      </c>
      <c r="L7228" s="2">
        <f t="shared" si="112"/>
        <v>88</v>
      </c>
    </row>
    <row r="7229" spans="1:12" ht="25" customHeight="1">
      <c r="A7229" s="2" t="s">
        <v>12</v>
      </c>
      <c r="B7229" s="2" t="str">
        <f>HYPERLINK("http://m.12365auto.com/zjdy/20200215/121283.shtml","6万至7万哪款车质量好空间大？")</f>
        <v>6万至7万哪款车质量好空间大？</v>
      </c>
      <c r="C7229" s="2" t="s">
        <v>13</v>
      </c>
      <c r="D7229" s="2" t="s">
        <v>12</v>
      </c>
      <c r="E7229" s="2"/>
      <c r="F7229" s="2" t="str">
        <f>HYPERLINK("http://m.12365auto.com/zjdy/20200215/121283.shtml","http://m.12365auto.com/zjdy/20200215/121283.shtml")</f>
        <v>http://m.12365auto.com/zjdy/20200215/121283.shtml</v>
      </c>
      <c r="G7229" s="2"/>
      <c r="H7229" s="2" t="s">
        <v>9931</v>
      </c>
      <c r="I7229" s="2" t="s">
        <v>19</v>
      </c>
      <c r="J7229" s="2" t="s">
        <v>12</v>
      </c>
      <c r="K7229" s="2" t="s">
        <v>9932</v>
      </c>
      <c r="L7229" s="2">
        <f t="shared" si="112"/>
        <v>39</v>
      </c>
    </row>
    <row r="7230" spans="1:12" ht="25" customHeight="1">
      <c r="A7230" s="2" t="s">
        <v>12</v>
      </c>
      <c r="B7230" s="2" t="str">
        <f>HYPERLINK("http://www.12365auto.com/zlts/20200215/447330.shtml","一汽大众宝来天窗排水管脱落导致漏水")</f>
        <v>一汽大众宝来天窗排水管脱落导致漏水</v>
      </c>
      <c r="C7230" s="2" t="s">
        <v>13</v>
      </c>
      <c r="D7230" s="2" t="s">
        <v>12</v>
      </c>
      <c r="E7230" s="2" t="s">
        <v>17</v>
      </c>
      <c r="F7230" s="2" t="str">
        <f>HYPERLINK("http://www.12365auto.com/zlts/20200215/447330.shtml","http://www.12365auto.com/zlts/20200215/447330.shtml")</f>
        <v>http://www.12365auto.com/zlts/20200215/447330.shtml</v>
      </c>
      <c r="G7230" s="2"/>
      <c r="H7230" s="2" t="s">
        <v>9933</v>
      </c>
      <c r="I7230" s="2" t="s">
        <v>19</v>
      </c>
      <c r="J7230" s="2" t="s">
        <v>12</v>
      </c>
      <c r="K7230" s="2" t="s">
        <v>9934</v>
      </c>
      <c r="L7230" s="2">
        <f t="shared" si="112"/>
        <v>150</v>
      </c>
    </row>
    <row r="7231" spans="1:12" ht="25" customHeight="1">
      <c r="A7231" s="2" t="s">
        <v>12</v>
      </c>
      <c r="B7231" s="2" t="str">
        <f>HYPERLINK("http://www.12365auto.com/zlts/20200215/447327.shtml","全轮驱动故障")</f>
        <v>全轮驱动故障</v>
      </c>
      <c r="C7231" s="2" t="s">
        <v>13</v>
      </c>
      <c r="D7231" s="2" t="s">
        <v>12</v>
      </c>
      <c r="E7231" s="2"/>
      <c r="F7231" s="2" t="str">
        <f>HYPERLINK("http://www.12365auto.com/zlts/20200215/447327.shtml","http://www.12365auto.com/zlts/20200215/447327.shtml")</f>
        <v>http://www.12365auto.com/zlts/20200215/447327.shtml</v>
      </c>
      <c r="G7231" s="2"/>
      <c r="H7231" s="2" t="s">
        <v>9936</v>
      </c>
      <c r="I7231" s="2" t="s">
        <v>15</v>
      </c>
      <c r="J7231" s="2" t="s">
        <v>12</v>
      </c>
      <c r="K7231" s="2" t="s">
        <v>9935</v>
      </c>
      <c r="L7231" s="2">
        <f t="shared" si="112"/>
        <v>91</v>
      </c>
    </row>
    <row r="7232" spans="1:12" ht="25" customHeight="1">
      <c r="A7232" s="2" t="s">
        <v>12</v>
      </c>
      <c r="B7232" s="2" t="str">
        <f>HYPERLINK("http://www.12365auto.com/zlts/20200215/447328.shtml","长城风骏5变速箱无法换挡希望尽快处理")</f>
        <v>长城风骏5变速箱无法换挡希望尽快处理</v>
      </c>
      <c r="C7232" s="2" t="s">
        <v>13</v>
      </c>
      <c r="D7232" s="2" t="s">
        <v>12</v>
      </c>
      <c r="E7232" s="2" t="s">
        <v>17</v>
      </c>
      <c r="F7232" s="2" t="str">
        <f>HYPERLINK("http://www.12365auto.com/zlts/20200215/447328.shtml","http://www.12365auto.com/zlts/20200215/447328.shtml")</f>
        <v>http://www.12365auto.com/zlts/20200215/447328.shtml</v>
      </c>
      <c r="G7232" s="2"/>
      <c r="H7232" s="2" t="s">
        <v>9937</v>
      </c>
      <c r="I7232" s="2" t="s">
        <v>19</v>
      </c>
      <c r="J7232" s="2" t="s">
        <v>12</v>
      </c>
      <c r="K7232" s="2" t="s">
        <v>9938</v>
      </c>
      <c r="L7232" s="2">
        <f t="shared" si="112"/>
        <v>150</v>
      </c>
    </row>
    <row r="7233" spans="1:12" ht="25" customHeight="1">
      <c r="A7233" s="2" t="s">
        <v>12</v>
      </c>
      <c r="B7233" s="2" t="str">
        <f>HYPERLINK("http://www.12365auto.com/zlts/20200215/447326.shtml","哈弗F5蓄电池频繁亏电多次出现故障")</f>
        <v>哈弗F5蓄电池频繁亏电多次出现故障</v>
      </c>
      <c r="C7233" s="2" t="s">
        <v>13</v>
      </c>
      <c r="D7233" s="2" t="s">
        <v>12</v>
      </c>
      <c r="E7233" s="2" t="s">
        <v>17</v>
      </c>
      <c r="F7233" s="2" t="str">
        <f>HYPERLINK("http://www.12365auto.com/zlts/20200215/447326.shtml","http://www.12365auto.com/zlts/20200215/447326.shtml")</f>
        <v>http://www.12365auto.com/zlts/20200215/447326.shtml</v>
      </c>
      <c r="G7233" s="2"/>
      <c r="H7233" s="2" t="s">
        <v>9939</v>
      </c>
      <c r="I7233" s="2" t="s">
        <v>19</v>
      </c>
      <c r="J7233" s="2" t="s">
        <v>12</v>
      </c>
      <c r="K7233" s="2" t="s">
        <v>9940</v>
      </c>
      <c r="L7233" s="2">
        <f t="shared" si="112"/>
        <v>150</v>
      </c>
    </row>
    <row r="7234" spans="1:12" ht="25" customHeight="1">
      <c r="A7234" s="2" t="s">
        <v>12</v>
      </c>
      <c r="B7234" s="2" t="str">
        <f>HYPERLINK("http://www.12365auto.com/zlts/20200215/447323.shtml","雪佛兰科鲁兹机油散热器冷却液窜入机油中")</f>
        <v>雪佛兰科鲁兹机油散热器冷却液窜入机油中</v>
      </c>
      <c r="C7234" s="2" t="s">
        <v>13</v>
      </c>
      <c r="D7234" s="2" t="s">
        <v>12</v>
      </c>
      <c r="E7234" s="2"/>
      <c r="F7234" s="2" t="str">
        <f>HYPERLINK("http://www.12365auto.com/zlts/20200215/447323.shtml","http://www.12365auto.com/zlts/20200215/447323.shtml")</f>
        <v>http://www.12365auto.com/zlts/20200215/447323.shtml</v>
      </c>
      <c r="G7234" s="2"/>
      <c r="H7234" s="2" t="s">
        <v>9942</v>
      </c>
      <c r="I7234" s="2" t="s">
        <v>15</v>
      </c>
      <c r="J7234" s="2" t="s">
        <v>12</v>
      </c>
      <c r="K7234" s="2" t="s">
        <v>9941</v>
      </c>
      <c r="L7234" s="2">
        <f t="shared" si="112"/>
        <v>82</v>
      </c>
    </row>
    <row r="7235" spans="1:12" ht="25" customHeight="1">
      <c r="A7235" s="2" t="s">
        <v>12</v>
      </c>
      <c r="B7235" s="2" t="str">
        <f>HYPERLINK("http://www.12365auto.com/zlts/20200215/447321.shtml","自动启停功能时好时坏，仪表盘亮度偶尔失控。")</f>
        <v>自动启停功能时好时坏，仪表盘亮度偶尔失控。</v>
      </c>
      <c r="C7235" s="2" t="s">
        <v>13</v>
      </c>
      <c r="D7235" s="2" t="s">
        <v>12</v>
      </c>
      <c r="E7235" s="2"/>
      <c r="F7235" s="2" t="str">
        <f>HYPERLINK("http://www.12365auto.com/zlts/20200215/447321.shtml","http://www.12365auto.com/zlts/20200215/447321.shtml")</f>
        <v>http://www.12365auto.com/zlts/20200215/447321.shtml</v>
      </c>
      <c r="G7235" s="2"/>
      <c r="H7235" s="2" t="s">
        <v>9944</v>
      </c>
      <c r="I7235" s="2" t="s">
        <v>15</v>
      </c>
      <c r="J7235" s="2" t="s">
        <v>12</v>
      </c>
      <c r="K7235" s="2" t="s">
        <v>9943</v>
      </c>
      <c r="L7235" s="2">
        <f t="shared" ref="L7235:L7298" si="113">LEN(H7235)</f>
        <v>85</v>
      </c>
    </row>
    <row r="7236" spans="1:12" ht="25" customHeight="1">
      <c r="A7236" s="2" t="s">
        <v>12</v>
      </c>
      <c r="B7236" s="2" t="str">
        <f>HYPERLINK("http://www.12365auto.com/zlts/20200215/447324.shtml","上汽名爵6起步半联动离合器异响")</f>
        <v>上汽名爵6起步半联动离合器异响</v>
      </c>
      <c r="C7236" s="2" t="s">
        <v>13</v>
      </c>
      <c r="D7236" s="2" t="s">
        <v>12</v>
      </c>
      <c r="E7236" s="2" t="s">
        <v>17</v>
      </c>
      <c r="F7236" s="2" t="str">
        <f>HYPERLINK("http://www.12365auto.com/zlts/20200215/447324.shtml","http://www.12365auto.com/zlts/20200215/447324.shtml")</f>
        <v>http://www.12365auto.com/zlts/20200215/447324.shtml</v>
      </c>
      <c r="G7236" s="2"/>
      <c r="H7236" s="2" t="s">
        <v>9945</v>
      </c>
      <c r="I7236" s="2" t="s">
        <v>19</v>
      </c>
      <c r="J7236" s="2" t="s">
        <v>12</v>
      </c>
      <c r="K7236" s="2" t="s">
        <v>9946</v>
      </c>
      <c r="L7236" s="2">
        <f t="shared" si="113"/>
        <v>150</v>
      </c>
    </row>
    <row r="7237" spans="1:12" ht="25" customHeight="1">
      <c r="A7237" s="2" t="s">
        <v>12</v>
      </c>
      <c r="B7237" s="2" t="str">
        <f>HYPERLINK("http://www.12365auto.com/zlts/20200215/447310.shtml","2015全新科鲁兹后备箱严重漏水")</f>
        <v>2015全新科鲁兹后备箱严重漏水</v>
      </c>
      <c r="C7237" s="2" t="s">
        <v>13</v>
      </c>
      <c r="D7237" s="2" t="s">
        <v>12</v>
      </c>
      <c r="E7237" s="2"/>
      <c r="F7237" s="2" t="str">
        <f>HYPERLINK("http://www.12365auto.com/zlts/20200215/447310.shtml","http://www.12365auto.com/zlts/20200215/447310.shtml")</f>
        <v>http://www.12365auto.com/zlts/20200215/447310.shtml</v>
      </c>
      <c r="G7237" s="2"/>
      <c r="H7237" s="2" t="s">
        <v>9948</v>
      </c>
      <c r="I7237" s="2" t="s">
        <v>15</v>
      </c>
      <c r="J7237" s="2" t="s">
        <v>12</v>
      </c>
      <c r="K7237" s="2" t="s">
        <v>9947</v>
      </c>
      <c r="L7237" s="2">
        <f t="shared" si="113"/>
        <v>84</v>
      </c>
    </row>
    <row r="7238" spans="1:12" ht="25" customHeight="1">
      <c r="A7238" s="2" t="s">
        <v>12</v>
      </c>
      <c r="B7238" s="2" t="str">
        <f>HYPERLINK("http://www.12365auto.com/zlts/20200215/447315.shtml","车辆经常亏电无法正常使用希望尽快处理")</f>
        <v>车辆经常亏电无法正常使用希望尽快处理</v>
      </c>
      <c r="C7238" s="2" t="s">
        <v>13</v>
      </c>
      <c r="D7238" s="2" t="s">
        <v>12</v>
      </c>
      <c r="E7238" s="2"/>
      <c r="F7238" s="2" t="str">
        <f>HYPERLINK("http://www.12365auto.com/zlts/20200215/447315.shtml","http://www.12365auto.com/zlts/20200215/447315.shtml")</f>
        <v>http://www.12365auto.com/zlts/20200215/447315.shtml</v>
      </c>
      <c r="G7238" s="2"/>
      <c r="H7238" s="2" t="s">
        <v>9950</v>
      </c>
      <c r="I7238" s="2" t="s">
        <v>15</v>
      </c>
      <c r="J7238" s="2" t="s">
        <v>12</v>
      </c>
      <c r="K7238" s="2" t="s">
        <v>9949</v>
      </c>
      <c r="L7238" s="2">
        <f t="shared" si="113"/>
        <v>88</v>
      </c>
    </row>
    <row r="7239" spans="1:12" ht="25" customHeight="1">
      <c r="A7239" s="2" t="s">
        <v>12</v>
      </c>
      <c r="B7239" s="2" t="str">
        <f>HYPERLINK("http://www.12365auto.com/zlts/20200215/447320.shtml","长安欧尚X70A车身漏电导致电瓶亏电")</f>
        <v>长安欧尚X70A车身漏电导致电瓶亏电</v>
      </c>
      <c r="C7239" s="2" t="s">
        <v>13</v>
      </c>
      <c r="D7239" s="2" t="s">
        <v>12</v>
      </c>
      <c r="E7239" s="2" t="s">
        <v>17</v>
      </c>
      <c r="F7239" s="2" t="str">
        <f>HYPERLINK("http://www.12365auto.com/zlts/20200215/447320.shtml","http://www.12365auto.com/zlts/20200215/447320.shtml")</f>
        <v>http://www.12365auto.com/zlts/20200215/447320.shtml</v>
      </c>
      <c r="G7239" s="2"/>
      <c r="H7239" s="2" t="s">
        <v>9951</v>
      </c>
      <c r="I7239" s="2" t="s">
        <v>19</v>
      </c>
      <c r="J7239" s="2" t="s">
        <v>12</v>
      </c>
      <c r="K7239" s="2" t="s">
        <v>9952</v>
      </c>
      <c r="L7239" s="2">
        <f t="shared" si="113"/>
        <v>150</v>
      </c>
    </row>
    <row r="7240" spans="1:12" ht="25" customHeight="1">
      <c r="A7240" s="2" t="s">
        <v>12</v>
      </c>
      <c r="B7240" s="2" t="str">
        <f>HYPERLINK("http://www.12365auto.com/zlts/20200215/447319.shtml","东风本田CR-V机油增多要求尽快处理")</f>
        <v>东风本田CR-V机油增多要求尽快处理</v>
      </c>
      <c r="C7240" s="2" t="s">
        <v>13</v>
      </c>
      <c r="D7240" s="2" t="s">
        <v>12</v>
      </c>
      <c r="E7240" s="2" t="s">
        <v>17</v>
      </c>
      <c r="F7240" s="2" t="str">
        <f>HYPERLINK("http://www.12365auto.com/zlts/20200215/447319.shtml","http://www.12365auto.com/zlts/20200215/447319.shtml")</f>
        <v>http://www.12365auto.com/zlts/20200215/447319.shtml</v>
      </c>
      <c r="G7240" s="2"/>
      <c r="H7240" s="2" t="s">
        <v>9953</v>
      </c>
      <c r="I7240" s="2" t="s">
        <v>19</v>
      </c>
      <c r="J7240" s="2" t="s">
        <v>12</v>
      </c>
      <c r="K7240" s="2" t="s">
        <v>9954</v>
      </c>
      <c r="L7240" s="2">
        <f t="shared" si="113"/>
        <v>150</v>
      </c>
    </row>
    <row r="7241" spans="1:12" ht="25" customHeight="1">
      <c r="A7241" s="2" t="s">
        <v>12</v>
      </c>
      <c r="B7241" s="2" t="str">
        <f>HYPERLINK("http://www.12365auto.com/zlts/20200215/447318.shtml","长城M2车身多处生锈希望尽快处理")</f>
        <v>长城M2车身多处生锈希望尽快处理</v>
      </c>
      <c r="C7241" s="2" t="s">
        <v>13</v>
      </c>
      <c r="D7241" s="2" t="s">
        <v>12</v>
      </c>
      <c r="E7241" s="2" t="s">
        <v>17</v>
      </c>
      <c r="F7241" s="2" t="str">
        <f>HYPERLINK("http://www.12365auto.com/zlts/20200215/447318.shtml","http://www.12365auto.com/zlts/20200215/447318.shtml")</f>
        <v>http://www.12365auto.com/zlts/20200215/447318.shtml</v>
      </c>
      <c r="G7241" s="2"/>
      <c r="H7241" s="2" t="s">
        <v>9955</v>
      </c>
      <c r="I7241" s="2" t="s">
        <v>19</v>
      </c>
      <c r="J7241" s="2" t="s">
        <v>12</v>
      </c>
      <c r="K7241" s="2" t="s">
        <v>9956</v>
      </c>
      <c r="L7241" s="2">
        <f t="shared" si="113"/>
        <v>150</v>
      </c>
    </row>
    <row r="7242" spans="1:12" ht="25" customHeight="1">
      <c r="A7242" s="2" t="s">
        <v>12</v>
      </c>
      <c r="B7242" s="2" t="str">
        <f>HYPERLINK("http://www.12365auto.com/zlts/20200215/447317.shtml","宝骏560发动机冷启动异响多次维修仍未解决")</f>
        <v>宝骏560发动机冷启动异响多次维修仍未解决</v>
      </c>
      <c r="C7242" s="2" t="s">
        <v>13</v>
      </c>
      <c r="D7242" s="2" t="s">
        <v>12</v>
      </c>
      <c r="E7242" s="2" t="s">
        <v>17</v>
      </c>
      <c r="F7242" s="2" t="str">
        <f>HYPERLINK("http://www.12365auto.com/zlts/20200215/447317.shtml","http://www.12365auto.com/zlts/20200215/447317.shtml")</f>
        <v>http://www.12365auto.com/zlts/20200215/447317.shtml</v>
      </c>
      <c r="G7242" s="2"/>
      <c r="H7242" s="2" t="s">
        <v>9957</v>
      </c>
      <c r="I7242" s="2" t="s">
        <v>19</v>
      </c>
      <c r="J7242" s="2" t="s">
        <v>12</v>
      </c>
      <c r="K7242" s="2" t="s">
        <v>9958</v>
      </c>
      <c r="L7242" s="2">
        <f t="shared" si="113"/>
        <v>150</v>
      </c>
    </row>
    <row r="7243" spans="1:12" ht="25" customHeight="1">
      <c r="A7243" s="2" t="s">
        <v>12</v>
      </c>
      <c r="B7243" s="2" t="str">
        <f>HYPERLINK("http://www.12365auto.com/zlts/20200215/447316.shtml","郑州日产途达电瓶频繁亏电影响使用")</f>
        <v>郑州日产途达电瓶频繁亏电影响使用</v>
      </c>
      <c r="C7243" s="2" t="s">
        <v>13</v>
      </c>
      <c r="D7243" s="2" t="s">
        <v>12</v>
      </c>
      <c r="E7243" s="2" t="s">
        <v>17</v>
      </c>
      <c r="F7243" s="2" t="str">
        <f>HYPERLINK("http://www.12365auto.com/zlts/20200215/447316.shtml","http://www.12365auto.com/zlts/20200215/447316.shtml")</f>
        <v>http://www.12365auto.com/zlts/20200215/447316.shtml</v>
      </c>
      <c r="G7243" s="2"/>
      <c r="H7243" s="2" t="s">
        <v>9959</v>
      </c>
      <c r="I7243" s="2" t="s">
        <v>19</v>
      </c>
      <c r="J7243" s="2" t="s">
        <v>12</v>
      </c>
      <c r="K7243" s="2" t="s">
        <v>9960</v>
      </c>
      <c r="L7243" s="2">
        <f t="shared" si="113"/>
        <v>150</v>
      </c>
    </row>
    <row r="7244" spans="1:12" ht="25" customHeight="1">
      <c r="A7244" s="2" t="s">
        <v>12</v>
      </c>
      <c r="B7244" s="2" t="str">
        <f>HYPERLINK("http://www.12365auto.com/zlts/20200215/447314.shtml","众泰T600发动机异响严重影响使用")</f>
        <v>众泰T600发动机异响严重影响使用</v>
      </c>
      <c r="C7244" s="2" t="s">
        <v>13</v>
      </c>
      <c r="D7244" s="2" t="s">
        <v>12</v>
      </c>
      <c r="E7244" s="2" t="s">
        <v>17</v>
      </c>
      <c r="F7244" s="2" t="str">
        <f>HYPERLINK("http://www.12365auto.com/zlts/20200215/447314.shtml","http://www.12365auto.com/zlts/20200215/447314.shtml")</f>
        <v>http://www.12365auto.com/zlts/20200215/447314.shtml</v>
      </c>
      <c r="G7244" s="2"/>
      <c r="H7244" s="2" t="s">
        <v>9961</v>
      </c>
      <c r="I7244" s="2" t="s">
        <v>19</v>
      </c>
      <c r="J7244" s="2" t="s">
        <v>12</v>
      </c>
      <c r="K7244" s="2" t="s">
        <v>9962</v>
      </c>
      <c r="L7244" s="2">
        <f t="shared" si="113"/>
        <v>150</v>
      </c>
    </row>
    <row r="7245" spans="1:12" ht="25" customHeight="1">
      <c r="A7245" s="2" t="s">
        <v>12</v>
      </c>
      <c r="B7245" s="2" t="str">
        <f>HYPERLINK("http://www.12365auto.com/zlts/20200215/447312.shtml","北京现代名图发动机有异响严重影响使用")</f>
        <v>北京现代名图发动机有异响严重影响使用</v>
      </c>
      <c r="C7245" s="2" t="s">
        <v>13</v>
      </c>
      <c r="D7245" s="2" t="s">
        <v>12</v>
      </c>
      <c r="E7245" s="2" t="s">
        <v>17</v>
      </c>
      <c r="F7245" s="2" t="str">
        <f>HYPERLINK("http://www.12365auto.com/zlts/20200215/447312.shtml","http://www.12365auto.com/zlts/20200215/447312.shtml")</f>
        <v>http://www.12365auto.com/zlts/20200215/447312.shtml</v>
      </c>
      <c r="G7245" s="2"/>
      <c r="H7245" s="2" t="s">
        <v>9963</v>
      </c>
      <c r="I7245" s="2" t="s">
        <v>19</v>
      </c>
      <c r="J7245" s="2" t="s">
        <v>12</v>
      </c>
      <c r="K7245" s="2" t="s">
        <v>9964</v>
      </c>
      <c r="L7245" s="2">
        <f t="shared" si="113"/>
        <v>150</v>
      </c>
    </row>
    <row r="7246" spans="1:12" ht="25" customHeight="1">
      <c r="A7246" s="2" t="s">
        <v>12</v>
      </c>
      <c r="B7246" s="2" t="str">
        <f>HYPERLINK("http://www.12365auto.com/zlts/20200215/447311.shtml","郑州日产途达电瓶亏电无法正常启动")</f>
        <v>郑州日产途达电瓶亏电无法正常启动</v>
      </c>
      <c r="C7246" s="2" t="s">
        <v>13</v>
      </c>
      <c r="D7246" s="2" t="s">
        <v>12</v>
      </c>
      <c r="E7246" s="2" t="s">
        <v>17</v>
      </c>
      <c r="F7246" s="2" t="str">
        <f>HYPERLINK("http://www.12365auto.com/zlts/20200215/447311.shtml","http://www.12365auto.com/zlts/20200215/447311.shtml")</f>
        <v>http://www.12365auto.com/zlts/20200215/447311.shtml</v>
      </c>
      <c r="G7246" s="2"/>
      <c r="H7246" s="2" t="s">
        <v>9965</v>
      </c>
      <c r="I7246" s="2" t="s">
        <v>19</v>
      </c>
      <c r="J7246" s="2" t="s">
        <v>12</v>
      </c>
      <c r="K7246" s="2" t="s">
        <v>9966</v>
      </c>
      <c r="L7246" s="2">
        <f t="shared" si="113"/>
        <v>150</v>
      </c>
    </row>
    <row r="7247" spans="1:12" ht="25" customHeight="1">
      <c r="A7247" s="2" t="s">
        <v>12</v>
      </c>
      <c r="B7247" s="2" t="str">
        <f>HYPERLINK("http://www.12365auto.com/zlts/20200215/447309.shtml","东风标致301更换电瓶ABS烧毁厂家未回复处理")</f>
        <v>东风标致301更换电瓶ABS烧毁厂家未回复处理</v>
      </c>
      <c r="C7247" s="2" t="s">
        <v>13</v>
      </c>
      <c r="D7247" s="2" t="s">
        <v>12</v>
      </c>
      <c r="E7247" s="2" t="s">
        <v>17</v>
      </c>
      <c r="F7247" s="2" t="str">
        <f>HYPERLINK("http://www.12365auto.com/zlts/20200215/447309.shtml","http://www.12365auto.com/zlts/20200215/447309.shtml")</f>
        <v>http://www.12365auto.com/zlts/20200215/447309.shtml</v>
      </c>
      <c r="G7247" s="2"/>
      <c r="H7247" s="2" t="s">
        <v>9967</v>
      </c>
      <c r="I7247" s="2" t="s">
        <v>19</v>
      </c>
      <c r="J7247" s="2" t="s">
        <v>12</v>
      </c>
      <c r="K7247" s="2" t="s">
        <v>9968</v>
      </c>
      <c r="L7247" s="2">
        <f t="shared" si="113"/>
        <v>150</v>
      </c>
    </row>
    <row r="7248" spans="1:12" ht="25" customHeight="1">
      <c r="A7248" s="2" t="s">
        <v>12</v>
      </c>
      <c r="B7248" s="2" t="str">
        <f>HYPERLINK("http://www.12365auto.com/zlts/20200215/447307.shtml","北京现代领动行驶时转向卡滞影响安全")</f>
        <v>北京现代领动行驶时转向卡滞影响安全</v>
      </c>
      <c r="C7248" s="2" t="s">
        <v>13</v>
      </c>
      <c r="D7248" s="2" t="s">
        <v>12</v>
      </c>
      <c r="E7248" s="2" t="s">
        <v>17</v>
      </c>
      <c r="F7248" s="2" t="str">
        <f>HYPERLINK("http://www.12365auto.com/zlts/20200215/447307.shtml","http://www.12365auto.com/zlts/20200215/447307.shtml")</f>
        <v>http://www.12365auto.com/zlts/20200215/447307.shtml</v>
      </c>
      <c r="G7248" s="2"/>
      <c r="H7248" s="2" t="s">
        <v>9969</v>
      </c>
      <c r="I7248" s="2" t="s">
        <v>19</v>
      </c>
      <c r="J7248" s="2" t="s">
        <v>12</v>
      </c>
      <c r="K7248" s="2" t="s">
        <v>9970</v>
      </c>
      <c r="L7248" s="2">
        <f t="shared" si="113"/>
        <v>150</v>
      </c>
    </row>
    <row r="7249" spans="1:12" ht="25" customHeight="1">
      <c r="A7249" s="2" t="s">
        <v>12</v>
      </c>
      <c r="B7249" s="2" t="str">
        <f>HYPERLINK("http://www.12365auto.com/zlts/20200215/447304.shtml","上汽大众帕萨特A柱碰撞测试不合格")</f>
        <v>上汽大众帕萨特A柱碰撞测试不合格</v>
      </c>
      <c r="C7249" s="2" t="s">
        <v>13</v>
      </c>
      <c r="D7249" s="2" t="s">
        <v>12</v>
      </c>
      <c r="E7249" s="2"/>
      <c r="F7249" s="2" t="str">
        <f>HYPERLINK("http://www.12365auto.com/zlts/20200215/447304.shtml","http://www.12365auto.com/zlts/20200215/447304.shtml")</f>
        <v>http://www.12365auto.com/zlts/20200215/447304.shtml</v>
      </c>
      <c r="G7249" s="2"/>
      <c r="H7249" s="2" t="s">
        <v>9972</v>
      </c>
      <c r="I7249" s="2" t="s">
        <v>15</v>
      </c>
      <c r="J7249" s="2" t="s">
        <v>12</v>
      </c>
      <c r="K7249" s="2" t="s">
        <v>9971</v>
      </c>
      <c r="L7249" s="2">
        <f t="shared" si="113"/>
        <v>84</v>
      </c>
    </row>
    <row r="7250" spans="1:12" ht="25" customHeight="1">
      <c r="A7250" s="2" t="s">
        <v>12</v>
      </c>
      <c r="B7250" s="2" t="str">
        <f>HYPERLINK("http://www.12365auto.com/zlts/20200215/447301.shtml","比速T5中控屏系统瘫痪无法正常使用")</f>
        <v>比速T5中控屏系统瘫痪无法正常使用</v>
      </c>
      <c r="C7250" s="2" t="s">
        <v>13</v>
      </c>
      <c r="D7250" s="2" t="s">
        <v>12</v>
      </c>
      <c r="E7250" s="2"/>
      <c r="F7250" s="2" t="str">
        <f>HYPERLINK("http://www.12365auto.com/zlts/20200215/447301.shtml","http://www.12365auto.com/zlts/20200215/447301.shtml")</f>
        <v>http://www.12365auto.com/zlts/20200215/447301.shtml</v>
      </c>
      <c r="G7250" s="2"/>
      <c r="H7250" s="2" t="s">
        <v>9974</v>
      </c>
      <c r="I7250" s="2" t="s">
        <v>15</v>
      </c>
      <c r="J7250" s="2" t="s">
        <v>12</v>
      </c>
      <c r="K7250" s="2" t="s">
        <v>9973</v>
      </c>
      <c r="L7250" s="2">
        <f t="shared" si="113"/>
        <v>79</v>
      </c>
    </row>
    <row r="7251" spans="1:12" ht="25" customHeight="1">
      <c r="A7251" s="2" t="s">
        <v>12</v>
      </c>
      <c r="B7251" s="2" t="str">
        <f>HYPERLINK("http://www.12365auto.com/zlts/20200215/447306.shtml","众泰E200行驶过程中动力消失故障灯亮")</f>
        <v>众泰E200行驶过程中动力消失故障灯亮</v>
      </c>
      <c r="C7251" s="2" t="s">
        <v>13</v>
      </c>
      <c r="D7251" s="2" t="s">
        <v>12</v>
      </c>
      <c r="E7251" s="2" t="s">
        <v>17</v>
      </c>
      <c r="F7251" s="2" t="str">
        <f>HYPERLINK("http://www.12365auto.com/zlts/20200215/447306.shtml","http://www.12365auto.com/zlts/20200215/447306.shtml")</f>
        <v>http://www.12365auto.com/zlts/20200215/447306.shtml</v>
      </c>
      <c r="G7251" s="2"/>
      <c r="H7251" s="2" t="s">
        <v>9975</v>
      </c>
      <c r="I7251" s="2" t="s">
        <v>15</v>
      </c>
      <c r="J7251" s="2" t="s">
        <v>12</v>
      </c>
      <c r="K7251" s="2" t="s">
        <v>9976</v>
      </c>
      <c r="L7251" s="2">
        <f t="shared" si="113"/>
        <v>150</v>
      </c>
    </row>
    <row r="7252" spans="1:12" ht="25" customHeight="1">
      <c r="A7252" s="2" t="s">
        <v>12</v>
      </c>
      <c r="B7252" s="2" t="str">
        <f>HYPERLINK("http://www.12365auto.com/zlts/20200215/447302.shtml","一汽大众奥迪A4L售后修复漆面凹凸不平")</f>
        <v>一汽大众奥迪A4L售后修复漆面凹凸不平</v>
      </c>
      <c r="C7252" s="2" t="s">
        <v>13</v>
      </c>
      <c r="D7252" s="2" t="s">
        <v>12</v>
      </c>
      <c r="E7252" s="2"/>
      <c r="F7252" s="2" t="str">
        <f>HYPERLINK("http://www.12365auto.com/zlts/20200215/447302.shtml","http://www.12365auto.com/zlts/20200215/447302.shtml")</f>
        <v>http://www.12365auto.com/zlts/20200215/447302.shtml</v>
      </c>
      <c r="G7252" s="2"/>
      <c r="H7252" s="2" t="s">
        <v>9978</v>
      </c>
      <c r="I7252" s="2" t="s">
        <v>15</v>
      </c>
      <c r="J7252" s="2" t="s">
        <v>12</v>
      </c>
      <c r="K7252" s="2" t="s">
        <v>9977</v>
      </c>
      <c r="L7252" s="2">
        <f t="shared" si="113"/>
        <v>90</v>
      </c>
    </row>
    <row r="7253" spans="1:12" ht="25" customHeight="1">
      <c r="A7253" s="2" t="s">
        <v>12</v>
      </c>
      <c r="B7253" s="2" t="str">
        <f>HYPERLINK("http://www.12365auto.com/xcdg/20200215/418635.shtml","梅赛德斯-AMG G63特别版官图 霸气十足")</f>
        <v>梅赛德斯-AMG G63特别版官图 霸气十足</v>
      </c>
      <c r="C7253" s="2" t="s">
        <v>13</v>
      </c>
      <c r="D7253" s="2" t="s">
        <v>12</v>
      </c>
      <c r="E7253" s="2" t="s">
        <v>216</v>
      </c>
      <c r="F7253" s="2" t="str">
        <f>HYPERLINK("http://www.12365auto.com/xcdg/20200215/418635.shtml","http://www.12365auto.com/xcdg/20200215/418635.shtml")</f>
        <v>http://www.12365auto.com/xcdg/20200215/418635.shtml</v>
      </c>
      <c r="G7253" s="2"/>
      <c r="H7253" s="2" t="s">
        <v>9979</v>
      </c>
      <c r="I7253" s="2" t="s">
        <v>15</v>
      </c>
      <c r="J7253" s="2" t="s">
        <v>12</v>
      </c>
      <c r="K7253" s="2" t="s">
        <v>9980</v>
      </c>
      <c r="L7253" s="2">
        <f t="shared" si="113"/>
        <v>150</v>
      </c>
    </row>
    <row r="7254" spans="1:12" ht="25" customHeight="1">
      <c r="A7254" s="2" t="s">
        <v>12</v>
      </c>
      <c r="B7254" s="2" t="str">
        <f>HYPERLINK("http://m.12365auto.com/xcdg/20200215/418635.shtml","梅赛德斯-AMG G63特别版官图 霸气十足")</f>
        <v>梅赛德斯-AMG G63特别版官图 霸气十足</v>
      </c>
      <c r="C7254" s="2" t="s">
        <v>13</v>
      </c>
      <c r="D7254" s="2" t="s">
        <v>12</v>
      </c>
      <c r="E7254" s="2"/>
      <c r="F7254" s="2" t="str">
        <f>HYPERLINK("http://m.12365auto.com/xcdg/20200215/418635.shtml","http://m.12365auto.com/xcdg/20200215/418635.shtml")</f>
        <v>http://m.12365auto.com/xcdg/20200215/418635.shtml</v>
      </c>
      <c r="G7254" s="2"/>
      <c r="H7254" s="2" t="s">
        <v>9981</v>
      </c>
      <c r="I7254" s="2" t="s">
        <v>19</v>
      </c>
      <c r="J7254" s="2" t="s">
        <v>1657</v>
      </c>
      <c r="K7254" s="2" t="s">
        <v>9980</v>
      </c>
      <c r="L7254" s="2">
        <f t="shared" si="113"/>
        <v>150</v>
      </c>
    </row>
    <row r="7255" spans="1:12" ht="25" customHeight="1">
      <c r="A7255" s="2" t="s">
        <v>12</v>
      </c>
      <c r="B7255" s="2" t="str">
        <f>HYPERLINK("http://www.12365auto.com/xcdg/20200215/418634.shtml","网格状格栅 全新高尔夫GTD预告图发布")</f>
        <v>网格状格栅 全新高尔夫GTD预告图发布</v>
      </c>
      <c r="C7255" s="2" t="s">
        <v>13</v>
      </c>
      <c r="D7255" s="2" t="s">
        <v>12</v>
      </c>
      <c r="E7255" s="2" t="s">
        <v>216</v>
      </c>
      <c r="F7255" s="2" t="str">
        <f>HYPERLINK("http://www.12365auto.com/xcdg/20200215/418634.shtml","http://www.12365auto.com/xcdg/20200215/418634.shtml")</f>
        <v>http://www.12365auto.com/xcdg/20200215/418634.shtml</v>
      </c>
      <c r="G7255" s="2"/>
      <c r="H7255" s="2" t="s">
        <v>9982</v>
      </c>
      <c r="I7255" s="2" t="s">
        <v>15</v>
      </c>
      <c r="J7255" s="2" t="s">
        <v>12</v>
      </c>
      <c r="K7255" s="2" t="s">
        <v>9983</v>
      </c>
      <c r="L7255" s="2">
        <f t="shared" si="113"/>
        <v>150</v>
      </c>
    </row>
    <row r="7256" spans="1:12" ht="25" customHeight="1">
      <c r="A7256" s="2" t="s">
        <v>12</v>
      </c>
      <c r="B7256" s="2" t="str">
        <f>HYPERLINK("http://m.12365auto.com/xcdg/20200215/418634.shtml","网格状格栅 全新高尔夫GTD预告图发布")</f>
        <v>网格状格栅 全新高尔夫GTD预告图发布</v>
      </c>
      <c r="C7256" s="2" t="s">
        <v>13</v>
      </c>
      <c r="D7256" s="2" t="s">
        <v>12</v>
      </c>
      <c r="E7256" s="2"/>
      <c r="F7256" s="2" t="str">
        <f>HYPERLINK("http://m.12365auto.com/xcdg/20200215/418634.shtml","http://m.12365auto.com/xcdg/20200215/418634.shtml")</f>
        <v>http://m.12365auto.com/xcdg/20200215/418634.shtml</v>
      </c>
      <c r="G7256" s="2"/>
      <c r="H7256" s="2" t="s">
        <v>9984</v>
      </c>
      <c r="I7256" s="2" t="s">
        <v>19</v>
      </c>
      <c r="J7256" s="2" t="s">
        <v>303</v>
      </c>
      <c r="K7256" s="2" t="s">
        <v>9983</v>
      </c>
      <c r="L7256" s="2">
        <f t="shared" si="113"/>
        <v>150</v>
      </c>
    </row>
    <row r="7257" spans="1:12" ht="25" customHeight="1">
      <c r="A7257" s="2" t="s">
        <v>12</v>
      </c>
      <c r="B7257" s="2" t="str">
        <f>HYPERLINK("http://www.12365auto.com/news/20200215/418633.shtml","科技在进步 盘点那些造型独特的方向盘")</f>
        <v>科技在进步 盘点那些造型独特的方向盘</v>
      </c>
      <c r="C7257" s="2" t="s">
        <v>13</v>
      </c>
      <c r="D7257" s="2" t="s">
        <v>12</v>
      </c>
      <c r="E7257" s="2" t="s">
        <v>276</v>
      </c>
      <c r="F7257" s="2" t="str">
        <f>HYPERLINK("http://www.12365auto.com/news/20200215/418633.shtml","http://www.12365auto.com/news/20200215/418633.shtml")</f>
        <v>http://www.12365auto.com/news/20200215/418633.shtml</v>
      </c>
      <c r="G7257" s="2"/>
      <c r="H7257" s="2" t="s">
        <v>9985</v>
      </c>
      <c r="I7257" s="2" t="s">
        <v>15</v>
      </c>
      <c r="J7257" s="2" t="s">
        <v>12</v>
      </c>
      <c r="K7257" s="2" t="s">
        <v>9986</v>
      </c>
      <c r="L7257" s="2">
        <f t="shared" si="113"/>
        <v>150</v>
      </c>
    </row>
    <row r="7258" spans="1:12" ht="25" customHeight="1">
      <c r="A7258" s="2" t="s">
        <v>12</v>
      </c>
      <c r="B7258" s="2" t="str">
        <f>HYPERLINK("http://m.12365auto.com/news/20200215/418633.shtml","科技在进步 盘点那些造型独特的方向盘")</f>
        <v>科技在进步 盘点那些造型独特的方向盘</v>
      </c>
      <c r="C7258" s="2" t="s">
        <v>13</v>
      </c>
      <c r="D7258" s="2" t="s">
        <v>12</v>
      </c>
      <c r="E7258" s="2"/>
      <c r="F7258" s="2" t="str">
        <f>HYPERLINK("http://m.12365auto.com/news/20200215/418633.shtml","http://m.12365auto.com/news/20200215/418633.shtml")</f>
        <v>http://m.12365auto.com/news/20200215/418633.shtml</v>
      </c>
      <c r="G7258" s="2"/>
      <c r="H7258" s="2" t="s">
        <v>9987</v>
      </c>
      <c r="I7258" s="2" t="s">
        <v>19</v>
      </c>
      <c r="J7258" s="2" t="s">
        <v>3602</v>
      </c>
      <c r="K7258" s="2" t="s">
        <v>9986</v>
      </c>
      <c r="L7258" s="2">
        <f t="shared" si="113"/>
        <v>150</v>
      </c>
    </row>
    <row r="7259" spans="1:12" ht="25" customHeight="1">
      <c r="A7259" s="2" t="s">
        <v>12</v>
      </c>
      <c r="B7259" s="2" t="str">
        <f>HYPERLINK("http://www.12365auto.com/zlts/20200215/447300.shtml","哈弗F7发动机故障 车机故障 门窗异响")</f>
        <v>哈弗F7发动机故障 车机故障 门窗异响</v>
      </c>
      <c r="C7259" s="2" t="s">
        <v>13</v>
      </c>
      <c r="D7259" s="2" t="s">
        <v>12</v>
      </c>
      <c r="E7259" s="2"/>
      <c r="F7259" s="2" t="str">
        <f>HYPERLINK("http://www.12365auto.com/zlts/20200215/447300.shtml","http://www.12365auto.com/zlts/20200215/447300.shtml")</f>
        <v>http://www.12365auto.com/zlts/20200215/447300.shtml</v>
      </c>
      <c r="G7259" s="2"/>
      <c r="H7259" s="2" t="s">
        <v>9989</v>
      </c>
      <c r="I7259" s="2" t="s">
        <v>15</v>
      </c>
      <c r="J7259" s="2" t="s">
        <v>12</v>
      </c>
      <c r="K7259" s="2" t="s">
        <v>9988</v>
      </c>
      <c r="L7259" s="2">
        <f t="shared" si="113"/>
        <v>81</v>
      </c>
    </row>
    <row r="7260" spans="1:12" ht="25" customHeight="1">
      <c r="A7260" s="2" t="s">
        <v>12</v>
      </c>
      <c r="B7260" s="2" t="str">
        <f>HYPERLINK("http://www.12365auto.com/news/20200215/418632.shtml","全球化布局遇挫？宝马放弃在俄罗斯建厂")</f>
        <v>全球化布局遇挫？宝马放弃在俄罗斯建厂</v>
      </c>
      <c r="C7260" s="2" t="s">
        <v>13</v>
      </c>
      <c r="D7260" s="2" t="s">
        <v>12</v>
      </c>
      <c r="E7260" s="2" t="s">
        <v>276</v>
      </c>
      <c r="F7260" s="2" t="str">
        <f>HYPERLINK("http://www.12365auto.com/news/20200215/418632.shtml","http://www.12365auto.com/news/20200215/418632.shtml")</f>
        <v>http://www.12365auto.com/news/20200215/418632.shtml</v>
      </c>
      <c r="G7260" s="2"/>
      <c r="H7260" s="2" t="s">
        <v>9990</v>
      </c>
      <c r="I7260" s="2" t="s">
        <v>15</v>
      </c>
      <c r="J7260" s="2" t="s">
        <v>12</v>
      </c>
      <c r="K7260" s="2" t="s">
        <v>9991</v>
      </c>
      <c r="L7260" s="2">
        <f t="shared" si="113"/>
        <v>150</v>
      </c>
    </row>
    <row r="7261" spans="1:12" ht="25" customHeight="1">
      <c r="A7261" s="2" t="s">
        <v>12</v>
      </c>
      <c r="B7261" s="2" t="str">
        <f>HYPERLINK("http://m.12365auto.com/news/20200215/418632.shtml","全球化布局遇挫？宝马放弃在俄罗斯建厂")</f>
        <v>全球化布局遇挫？宝马放弃在俄罗斯建厂</v>
      </c>
      <c r="C7261" s="2" t="s">
        <v>13</v>
      </c>
      <c r="D7261" s="2" t="s">
        <v>12</v>
      </c>
      <c r="E7261" s="2"/>
      <c r="F7261" s="2" t="str">
        <f>HYPERLINK("http://m.12365auto.com/news/20200215/418632.shtml","http://m.12365auto.com/news/20200215/418632.shtml")</f>
        <v>http://m.12365auto.com/news/20200215/418632.shtml</v>
      </c>
      <c r="G7261" s="2"/>
      <c r="H7261" s="2" t="s">
        <v>9992</v>
      </c>
      <c r="I7261" s="2" t="s">
        <v>19</v>
      </c>
      <c r="J7261" s="2" t="s">
        <v>1170</v>
      </c>
      <c r="K7261" s="2" t="s">
        <v>9991</v>
      </c>
      <c r="L7261" s="2">
        <f t="shared" si="113"/>
        <v>150</v>
      </c>
    </row>
    <row r="7262" spans="1:12" ht="25" customHeight="1">
      <c r="A7262" s="2" t="s">
        <v>12</v>
      </c>
      <c r="B7262" s="2" t="str">
        <f>HYPERLINK("http://www.12365auto.com/news/20200215/418631.shtml","英国计划在2032年禁售燃油车及混动车")</f>
        <v>英国计划在2032年禁售燃油车及混动车</v>
      </c>
      <c r="C7262" s="2" t="s">
        <v>13</v>
      </c>
      <c r="D7262" s="2" t="s">
        <v>12</v>
      </c>
      <c r="E7262" s="2" t="s">
        <v>276</v>
      </c>
      <c r="F7262" s="2" t="str">
        <f>HYPERLINK("http://www.12365auto.com/news/20200215/418631.shtml","http://www.12365auto.com/news/20200215/418631.shtml")</f>
        <v>http://www.12365auto.com/news/20200215/418631.shtml</v>
      </c>
      <c r="G7262" s="2"/>
      <c r="H7262" s="2" t="s">
        <v>9993</v>
      </c>
      <c r="I7262" s="2" t="s">
        <v>15</v>
      </c>
      <c r="J7262" s="2" t="s">
        <v>12</v>
      </c>
      <c r="K7262" s="2" t="s">
        <v>9994</v>
      </c>
      <c r="L7262" s="2">
        <f t="shared" si="113"/>
        <v>150</v>
      </c>
    </row>
    <row r="7263" spans="1:12" ht="25" customHeight="1">
      <c r="A7263" s="2" t="s">
        <v>12</v>
      </c>
      <c r="B7263" s="2" t="str">
        <f>HYPERLINK("http://m.12365auto.com/news/20200215/418631.shtml","英国计划在2032年禁售燃油车及混动车")</f>
        <v>英国计划在2032年禁售燃油车及混动车</v>
      </c>
      <c r="C7263" s="2" t="s">
        <v>13</v>
      </c>
      <c r="D7263" s="2" t="s">
        <v>12</v>
      </c>
      <c r="E7263" s="2"/>
      <c r="F7263" s="2" t="str">
        <f>HYPERLINK("http://m.12365auto.com/news/20200215/418631.shtml","http://m.12365auto.com/news/20200215/418631.shtml")</f>
        <v>http://m.12365auto.com/news/20200215/418631.shtml</v>
      </c>
      <c r="G7263" s="2"/>
      <c r="H7263" s="2" t="s">
        <v>9995</v>
      </c>
      <c r="I7263" s="2" t="s">
        <v>19</v>
      </c>
      <c r="J7263" s="2" t="s">
        <v>1170</v>
      </c>
      <c r="K7263" s="2" t="s">
        <v>9994</v>
      </c>
      <c r="L7263" s="2">
        <f t="shared" si="113"/>
        <v>150</v>
      </c>
    </row>
    <row r="7264" spans="1:12" ht="25" customHeight="1">
      <c r="A7264" s="2" t="s">
        <v>12</v>
      </c>
      <c r="B7264" s="2" t="str">
        <f>HYPERLINK("http://m.12365auto.com/news/20200215/418630.shtml","6城服务1.8万人 滴滴再建医护保障车队")</f>
        <v>6城服务1.8万人 滴滴再建医护保障车队</v>
      </c>
      <c r="C7264" s="2" t="s">
        <v>13</v>
      </c>
      <c r="D7264" s="2" t="s">
        <v>12</v>
      </c>
      <c r="E7264" s="2"/>
      <c r="F7264" s="2" t="str">
        <f>HYPERLINK("http://m.12365auto.com/news/20200215/418630.shtml","http://m.12365auto.com/news/20200215/418630.shtml")</f>
        <v>http://m.12365auto.com/news/20200215/418630.shtml</v>
      </c>
      <c r="G7264" s="2"/>
      <c r="H7264" s="2" t="s">
        <v>9996</v>
      </c>
      <c r="I7264" s="2" t="s">
        <v>19</v>
      </c>
      <c r="J7264" s="2" t="s">
        <v>1170</v>
      </c>
      <c r="K7264" s="2" t="s">
        <v>9997</v>
      </c>
      <c r="L7264" s="2">
        <f t="shared" si="113"/>
        <v>150</v>
      </c>
    </row>
    <row r="7265" spans="1:12" ht="25" customHeight="1">
      <c r="A7265" s="2" t="s">
        <v>12</v>
      </c>
      <c r="B7265" s="2" t="str">
        <f>HYPERLINK("http://www.12365auto.com/news/20200215/418630.shtml","6城服务1.8万人 滴滴再建医护保障车队")</f>
        <v>6城服务1.8万人 滴滴再建医护保障车队</v>
      </c>
      <c r="C7265" s="2" t="s">
        <v>13</v>
      </c>
      <c r="D7265" s="2" t="s">
        <v>12</v>
      </c>
      <c r="E7265" s="2" t="s">
        <v>282</v>
      </c>
      <c r="F7265" s="2" t="str">
        <f>HYPERLINK("http://www.12365auto.com/news/20200215/418630.shtml","http://www.12365auto.com/news/20200215/418630.shtml")</f>
        <v>http://www.12365auto.com/news/20200215/418630.shtml</v>
      </c>
      <c r="G7265" s="2"/>
      <c r="H7265" s="2" t="s">
        <v>9998</v>
      </c>
      <c r="I7265" s="2" t="s">
        <v>19</v>
      </c>
      <c r="J7265" s="2" t="s">
        <v>12</v>
      </c>
      <c r="K7265" s="2" t="s">
        <v>9997</v>
      </c>
      <c r="L7265" s="2">
        <f t="shared" si="113"/>
        <v>150</v>
      </c>
    </row>
    <row r="7266" spans="1:12" ht="25" customHeight="1">
      <c r="A7266" s="2" t="s">
        <v>12</v>
      </c>
      <c r="B7266" s="2" t="str">
        <f>HYPERLINK("http://m.12365auto.com/xcdg/20200215/418629.shtml","Hispano Suiza Carmen将推特别版车型")</f>
        <v>Hispano Suiza Carmen将推特别版车型</v>
      </c>
      <c r="C7266" s="2" t="s">
        <v>13</v>
      </c>
      <c r="D7266" s="2" t="s">
        <v>12</v>
      </c>
      <c r="E7266" s="2"/>
      <c r="F7266" s="2" t="str">
        <f>HYPERLINK("http://m.12365auto.com/xcdg/20200215/418629.shtml","http://m.12365auto.com/xcdg/20200215/418629.shtml")</f>
        <v>http://m.12365auto.com/xcdg/20200215/418629.shtml</v>
      </c>
      <c r="G7266" s="2"/>
      <c r="H7266" s="2" t="s">
        <v>9999</v>
      </c>
      <c r="I7266" s="2" t="s">
        <v>19</v>
      </c>
      <c r="J7266" s="2" t="s">
        <v>332</v>
      </c>
      <c r="K7266" s="2" t="s">
        <v>10000</v>
      </c>
      <c r="L7266" s="2">
        <f t="shared" si="113"/>
        <v>150</v>
      </c>
    </row>
    <row r="7267" spans="1:12" ht="25" customHeight="1">
      <c r="A7267" s="2" t="s">
        <v>12</v>
      </c>
      <c r="B7267" s="2" t="str">
        <f>HYPERLINK("http://www.12365auto.com/xcdg/20200215/418629.shtml","Hispano Suiza Carmen将推特别版车型")</f>
        <v>Hispano Suiza Carmen将推特别版车型</v>
      </c>
      <c r="C7267" s="2" t="s">
        <v>13</v>
      </c>
      <c r="D7267" s="2" t="s">
        <v>12</v>
      </c>
      <c r="E7267" s="2" t="s">
        <v>245</v>
      </c>
      <c r="F7267" s="2" t="str">
        <f>HYPERLINK("http://www.12365auto.com/xcdg/20200215/418629.shtml","http://www.12365auto.com/xcdg/20200215/418629.shtml")</f>
        <v>http://www.12365auto.com/xcdg/20200215/418629.shtml</v>
      </c>
      <c r="G7267" s="2"/>
      <c r="H7267" s="2" t="s">
        <v>10001</v>
      </c>
      <c r="I7267" s="2" t="s">
        <v>19</v>
      </c>
      <c r="J7267" s="2" t="s">
        <v>12</v>
      </c>
      <c r="K7267" s="2" t="s">
        <v>10000</v>
      </c>
      <c r="L7267" s="2">
        <f t="shared" si="113"/>
        <v>150</v>
      </c>
    </row>
    <row r="7268" spans="1:12" ht="25" customHeight="1">
      <c r="A7268" s="2" t="s">
        <v>12</v>
      </c>
      <c r="B7268" s="2" t="str">
        <f>HYPERLINK("http://m.12365auto.com/news/20200215/418628.shtml","延长质保等 上汽通用推疫情关怀活动")</f>
        <v>延长质保等 上汽通用推疫情关怀活动</v>
      </c>
      <c r="C7268" s="2" t="s">
        <v>13</v>
      </c>
      <c r="D7268" s="2" t="s">
        <v>12</v>
      </c>
      <c r="E7268" s="2"/>
      <c r="F7268" s="2" t="str">
        <f>HYPERLINK("http://m.12365auto.com/news/20200215/418628.shtml","http://m.12365auto.com/news/20200215/418628.shtml")</f>
        <v>http://m.12365auto.com/news/20200215/418628.shtml</v>
      </c>
      <c r="G7268" s="2"/>
      <c r="H7268" s="2" t="s">
        <v>10002</v>
      </c>
      <c r="I7268" s="2" t="s">
        <v>19</v>
      </c>
      <c r="J7268" s="2" t="s">
        <v>836</v>
      </c>
      <c r="K7268" s="2" t="s">
        <v>10003</v>
      </c>
      <c r="L7268" s="2">
        <f t="shared" si="113"/>
        <v>150</v>
      </c>
    </row>
    <row r="7269" spans="1:12" ht="25" customHeight="1">
      <c r="A7269" s="2" t="s">
        <v>12</v>
      </c>
      <c r="B7269" s="2" t="str">
        <f>HYPERLINK("http://www.12365auto.com/news/20200215/418628.shtml","延长质保等 上汽通用推疫情关怀活动")</f>
        <v>延长质保等 上汽通用推疫情关怀活动</v>
      </c>
      <c r="C7269" s="2" t="s">
        <v>13</v>
      </c>
      <c r="D7269" s="2" t="s">
        <v>12</v>
      </c>
      <c r="E7269" s="2" t="s">
        <v>282</v>
      </c>
      <c r="F7269" s="2" t="str">
        <f>HYPERLINK("http://www.12365auto.com/news/20200215/418628.shtml","http://www.12365auto.com/news/20200215/418628.shtml")</f>
        <v>http://www.12365auto.com/news/20200215/418628.shtml</v>
      </c>
      <c r="G7269" s="2"/>
      <c r="H7269" s="2" t="s">
        <v>10004</v>
      </c>
      <c r="I7269" s="2" t="s">
        <v>19</v>
      </c>
      <c r="J7269" s="2" t="s">
        <v>12</v>
      </c>
      <c r="K7269" s="2" t="s">
        <v>10003</v>
      </c>
      <c r="L7269" s="2">
        <f t="shared" si="113"/>
        <v>150</v>
      </c>
    </row>
    <row r="7270" spans="1:12" ht="25" customHeight="1">
      <c r="A7270" s="2" t="s">
        <v>12</v>
      </c>
      <c r="B7270" s="2" t="str">
        <f>HYPERLINK("http://www.12365auto.com/zlts/20200215/447294.shtml","A柱断裂")</f>
        <v>A柱断裂</v>
      </c>
      <c r="C7270" s="2" t="s">
        <v>13</v>
      </c>
      <c r="D7270" s="2" t="s">
        <v>12</v>
      </c>
      <c r="E7270" s="2"/>
      <c r="F7270" s="2" t="str">
        <f>HYPERLINK("http://www.12365auto.com/zlts/20200215/447294.shtml","http://www.12365auto.com/zlts/20200215/447294.shtml")</f>
        <v>http://www.12365auto.com/zlts/20200215/447294.shtml</v>
      </c>
      <c r="G7270" s="2"/>
      <c r="H7270" s="2" t="s">
        <v>10006</v>
      </c>
      <c r="I7270" s="2" t="s">
        <v>15</v>
      </c>
      <c r="J7270" s="2" t="s">
        <v>12</v>
      </c>
      <c r="K7270" s="2" t="s">
        <v>10005</v>
      </c>
      <c r="L7270" s="2">
        <f t="shared" si="113"/>
        <v>84</v>
      </c>
    </row>
    <row r="7271" spans="1:12" ht="25" customHeight="1">
      <c r="A7271" s="2" t="s">
        <v>12</v>
      </c>
      <c r="B7271" s="2" t="str">
        <f>HYPERLINK("http://www.12365auto.com/zlts/20200215/447299.shtml","发动机气门弹簧断裂")</f>
        <v>发动机气门弹簧断裂</v>
      </c>
      <c r="C7271" s="2" t="s">
        <v>13</v>
      </c>
      <c r="D7271" s="2" t="s">
        <v>12</v>
      </c>
      <c r="E7271" s="2"/>
      <c r="F7271" s="2" t="str">
        <f>HYPERLINK("http://www.12365auto.com/zlts/20200215/447299.shtml","http://www.12365auto.com/zlts/20200215/447299.shtml")</f>
        <v>http://www.12365auto.com/zlts/20200215/447299.shtml</v>
      </c>
      <c r="G7271" s="2"/>
      <c r="H7271" s="2" t="s">
        <v>10008</v>
      </c>
      <c r="I7271" s="2" t="s">
        <v>15</v>
      </c>
      <c r="J7271" s="2" t="s">
        <v>12</v>
      </c>
      <c r="K7271" s="2" t="s">
        <v>10007</v>
      </c>
      <c r="L7271" s="2">
        <f t="shared" si="113"/>
        <v>83</v>
      </c>
    </row>
    <row r="7272" spans="1:12" ht="25" customHeight="1">
      <c r="A7272" s="2" t="s">
        <v>12</v>
      </c>
      <c r="B7272" s="2" t="str">
        <f>HYPERLINK("http://m.12365auto.com/news/20200215/418627.shtml","中国车手周冠宇出任雷诺F1车队试车手")</f>
        <v>中国车手周冠宇出任雷诺F1车队试车手</v>
      </c>
      <c r="C7272" s="2" t="s">
        <v>13</v>
      </c>
      <c r="D7272" s="2" t="s">
        <v>12</v>
      </c>
      <c r="E7272" s="2"/>
      <c r="F7272" s="2" t="str">
        <f>HYPERLINK("http://m.12365auto.com/news/20200215/418627.shtml","http://m.12365auto.com/news/20200215/418627.shtml")</f>
        <v>http://m.12365auto.com/news/20200215/418627.shtml</v>
      </c>
      <c r="G7272" s="2"/>
      <c r="H7272" s="2" t="s">
        <v>10009</v>
      </c>
      <c r="I7272" s="2" t="s">
        <v>19</v>
      </c>
      <c r="J7272" s="2" t="s">
        <v>2865</v>
      </c>
      <c r="K7272" s="2" t="s">
        <v>10010</v>
      </c>
      <c r="L7272" s="2">
        <f t="shared" si="113"/>
        <v>150</v>
      </c>
    </row>
    <row r="7273" spans="1:12" ht="25" customHeight="1">
      <c r="A7273" s="2" t="s">
        <v>12</v>
      </c>
      <c r="B7273" s="2" t="str">
        <f>HYPERLINK("http://www.12365auto.com/news/20200215/418627.shtml","中国车手周冠宇出任雷诺F1车队试车手")</f>
        <v>中国车手周冠宇出任雷诺F1车队试车手</v>
      </c>
      <c r="C7273" s="2" t="s">
        <v>13</v>
      </c>
      <c r="D7273" s="2" t="s">
        <v>12</v>
      </c>
      <c r="E7273" s="2" t="s">
        <v>282</v>
      </c>
      <c r="F7273" s="2" t="str">
        <f>HYPERLINK("http://www.12365auto.com/news/20200215/418627.shtml","http://www.12365auto.com/news/20200215/418627.shtml")</f>
        <v>http://www.12365auto.com/news/20200215/418627.shtml</v>
      </c>
      <c r="G7273" s="2"/>
      <c r="H7273" s="2" t="s">
        <v>10011</v>
      </c>
      <c r="I7273" s="2" t="s">
        <v>19</v>
      </c>
      <c r="J7273" s="2" t="s">
        <v>12</v>
      </c>
      <c r="K7273" s="2" t="s">
        <v>10010</v>
      </c>
      <c r="L7273" s="2">
        <f t="shared" si="113"/>
        <v>150</v>
      </c>
    </row>
    <row r="7274" spans="1:12" ht="25" customHeight="1">
      <c r="A7274" s="2" t="s">
        <v>12</v>
      </c>
      <c r="B7274" s="2" t="str">
        <f>HYPERLINK("http://m.12365auto.com/news/20200215/418626.shtml","第三笔 宝马中国及华晨宝马再捐500万元")</f>
        <v>第三笔 宝马中国及华晨宝马再捐500万元</v>
      </c>
      <c r="C7274" s="2" t="s">
        <v>13</v>
      </c>
      <c r="D7274" s="2" t="s">
        <v>12</v>
      </c>
      <c r="E7274" s="2"/>
      <c r="F7274" s="2" t="str">
        <f>HYPERLINK("http://m.12365auto.com/news/20200215/418626.shtml","http://m.12365auto.com/news/20200215/418626.shtml")</f>
        <v>http://m.12365auto.com/news/20200215/418626.shtml</v>
      </c>
      <c r="G7274" s="2"/>
      <c r="H7274" s="2" t="s">
        <v>10012</v>
      </c>
      <c r="I7274" s="2" t="s">
        <v>19</v>
      </c>
      <c r="J7274" s="2" t="s">
        <v>274</v>
      </c>
      <c r="K7274" s="2" t="s">
        <v>10013</v>
      </c>
      <c r="L7274" s="2">
        <f t="shared" si="113"/>
        <v>150</v>
      </c>
    </row>
    <row r="7275" spans="1:12" ht="25" customHeight="1">
      <c r="A7275" s="2" t="s">
        <v>12</v>
      </c>
      <c r="B7275" s="2" t="str">
        <f>HYPERLINK("http://www.12365auto.com/news/20200215/418626.shtml","第三笔 宝马中国及华晨宝马再捐500万元")</f>
        <v>第三笔 宝马中国及华晨宝马再捐500万元</v>
      </c>
      <c r="C7275" s="2" t="s">
        <v>13</v>
      </c>
      <c r="D7275" s="2" t="s">
        <v>12</v>
      </c>
      <c r="E7275" s="2" t="s">
        <v>282</v>
      </c>
      <c r="F7275" s="2" t="str">
        <f>HYPERLINK("http://www.12365auto.com/news/20200215/418626.shtml","http://www.12365auto.com/news/20200215/418626.shtml")</f>
        <v>http://www.12365auto.com/news/20200215/418626.shtml</v>
      </c>
      <c r="G7275" s="2"/>
      <c r="H7275" s="2" t="s">
        <v>10014</v>
      </c>
      <c r="I7275" s="2" t="s">
        <v>19</v>
      </c>
      <c r="J7275" s="2" t="s">
        <v>12</v>
      </c>
      <c r="K7275" s="2" t="s">
        <v>10013</v>
      </c>
      <c r="L7275" s="2">
        <f t="shared" si="113"/>
        <v>150</v>
      </c>
    </row>
    <row r="7276" spans="1:12" ht="25" customHeight="1">
      <c r="A7276" s="2" t="s">
        <v>12</v>
      </c>
      <c r="B7276" s="2" t="str">
        <f>HYPERLINK("http://www.12365auto.com/news/20200215/418625.shtml","赛前准备无法开展 F1中国站比赛延期")</f>
        <v>赛前准备无法开展 F1中国站比赛延期</v>
      </c>
      <c r="C7276" s="2" t="s">
        <v>13</v>
      </c>
      <c r="D7276" s="2" t="s">
        <v>12</v>
      </c>
      <c r="E7276" s="2" t="s">
        <v>276</v>
      </c>
      <c r="F7276" s="2" t="str">
        <f>HYPERLINK("http://www.12365auto.com/news/20200215/418625.shtml","http://www.12365auto.com/news/20200215/418625.shtml")</f>
        <v>http://www.12365auto.com/news/20200215/418625.shtml</v>
      </c>
      <c r="G7276" s="2"/>
      <c r="H7276" s="2" t="s">
        <v>10015</v>
      </c>
      <c r="I7276" s="2" t="s">
        <v>15</v>
      </c>
      <c r="J7276" s="2" t="s">
        <v>12</v>
      </c>
      <c r="K7276" s="2" t="s">
        <v>10016</v>
      </c>
      <c r="L7276" s="2">
        <f t="shared" si="113"/>
        <v>150</v>
      </c>
    </row>
    <row r="7277" spans="1:12" ht="25" customHeight="1">
      <c r="A7277" s="2" t="s">
        <v>12</v>
      </c>
      <c r="B7277" s="2" t="str">
        <f>HYPERLINK("http://m.12365auto.com/news/20200215/418625.shtml","赛前准备无法开展 F1中国站比赛延期")</f>
        <v>赛前准备无法开展 F1中国站比赛延期</v>
      </c>
      <c r="C7277" s="2" t="s">
        <v>13</v>
      </c>
      <c r="D7277" s="2" t="s">
        <v>12</v>
      </c>
      <c r="E7277" s="2"/>
      <c r="F7277" s="2" t="str">
        <f>HYPERLINK("http://m.12365auto.com/news/20200215/418625.shtml","http://m.12365auto.com/news/20200215/418625.shtml")</f>
        <v>http://m.12365auto.com/news/20200215/418625.shtml</v>
      </c>
      <c r="G7277" s="2"/>
      <c r="H7277" s="2" t="s">
        <v>10017</v>
      </c>
      <c r="I7277" s="2" t="s">
        <v>19</v>
      </c>
      <c r="J7277" s="2" t="s">
        <v>10018</v>
      </c>
      <c r="K7277" s="2" t="s">
        <v>10016</v>
      </c>
      <c r="L7277" s="2">
        <f t="shared" si="113"/>
        <v>150</v>
      </c>
    </row>
    <row r="7278" spans="1:12" ht="25" customHeight="1">
      <c r="A7278" s="2" t="s">
        <v>12</v>
      </c>
      <c r="B7278" s="2" t="str">
        <f>HYPERLINK("http://www.12365auto.com/zlts/20200215/447297.shtml","东风本田冠道油箱低速行驶有较大声音")</f>
        <v>东风本田冠道油箱低速行驶有较大声音</v>
      </c>
      <c r="C7278" s="2" t="s">
        <v>13</v>
      </c>
      <c r="D7278" s="2" t="s">
        <v>12</v>
      </c>
      <c r="E7278" s="2" t="s">
        <v>17</v>
      </c>
      <c r="F7278" s="2" t="str">
        <f>HYPERLINK("http://www.12365auto.com/zlts/20200215/447297.shtml","http://www.12365auto.com/zlts/20200215/447297.shtml")</f>
        <v>http://www.12365auto.com/zlts/20200215/447297.shtml</v>
      </c>
      <c r="G7278" s="2"/>
      <c r="H7278" s="2" t="s">
        <v>10019</v>
      </c>
      <c r="I7278" s="2" t="s">
        <v>19</v>
      </c>
      <c r="J7278" s="2" t="s">
        <v>12</v>
      </c>
      <c r="K7278" s="2" t="s">
        <v>10020</v>
      </c>
      <c r="L7278" s="2">
        <f t="shared" si="113"/>
        <v>150</v>
      </c>
    </row>
    <row r="7279" spans="1:12" ht="25" customHeight="1">
      <c r="A7279" s="2" t="s">
        <v>12</v>
      </c>
      <c r="B7279" s="2" t="str">
        <f>HYPERLINK("http://www.12365auto.com/news/20200215/418624.shtml","加速商用 华为智能驾驶平台过车规认证")</f>
        <v>加速商用 华为智能驾驶平台过车规认证</v>
      </c>
      <c r="C7279" s="2" t="s">
        <v>13</v>
      </c>
      <c r="D7279" s="2" t="s">
        <v>12</v>
      </c>
      <c r="E7279" s="2" t="s">
        <v>282</v>
      </c>
      <c r="F7279" s="2" t="str">
        <f>HYPERLINK("http://www.12365auto.com/news/20200215/418624.shtml","http://www.12365auto.com/news/20200215/418624.shtml")</f>
        <v>http://www.12365auto.com/news/20200215/418624.shtml</v>
      </c>
      <c r="G7279" s="2"/>
      <c r="H7279" s="2" t="s">
        <v>10021</v>
      </c>
      <c r="I7279" s="2" t="s">
        <v>19</v>
      </c>
      <c r="J7279" s="2" t="s">
        <v>12</v>
      </c>
      <c r="K7279" s="2" t="s">
        <v>10022</v>
      </c>
      <c r="L7279" s="2">
        <f t="shared" si="113"/>
        <v>150</v>
      </c>
    </row>
    <row r="7280" spans="1:12" ht="25" customHeight="1">
      <c r="A7280" s="2" t="s">
        <v>12</v>
      </c>
      <c r="B7280" s="2" t="str">
        <f>HYPERLINK("http://m.12365auto.com/news/20200215/418624.shtml","加速商用 华为智能驾驶平台过车规认证")</f>
        <v>加速商用 华为智能驾驶平台过车规认证</v>
      </c>
      <c r="C7280" s="2" t="s">
        <v>13</v>
      </c>
      <c r="D7280" s="2" t="s">
        <v>12</v>
      </c>
      <c r="E7280" s="2"/>
      <c r="F7280" s="2" t="str">
        <f>HYPERLINK("http://m.12365auto.com/news/20200215/418624.shtml","http://m.12365auto.com/news/20200215/418624.shtml")</f>
        <v>http://m.12365auto.com/news/20200215/418624.shtml</v>
      </c>
      <c r="G7280" s="2"/>
      <c r="H7280" s="2" t="s">
        <v>10023</v>
      </c>
      <c r="I7280" s="2" t="s">
        <v>19</v>
      </c>
      <c r="J7280" s="2" t="s">
        <v>1188</v>
      </c>
      <c r="K7280" s="2" t="s">
        <v>10022</v>
      </c>
      <c r="L7280" s="2">
        <f t="shared" si="113"/>
        <v>150</v>
      </c>
    </row>
    <row r="7281" spans="1:12" ht="25" customHeight="1">
      <c r="A7281" s="2" t="s">
        <v>12</v>
      </c>
      <c r="B7281" s="2" t="str">
        <f>HYPERLINK("http://www.12365auto.com/zlts/20200215/447295.shtml","一汽大众速腾韩泰轮胎开裂希望厂家处理问题")</f>
        <v>一汽大众速腾韩泰轮胎开裂希望厂家处理问题</v>
      </c>
      <c r="C7281" s="2" t="s">
        <v>13</v>
      </c>
      <c r="D7281" s="2" t="s">
        <v>12</v>
      </c>
      <c r="E7281" s="2" t="s">
        <v>17</v>
      </c>
      <c r="F7281" s="2" t="str">
        <f>HYPERLINK("http://www.12365auto.com/zlts/20200215/447295.shtml","http://www.12365auto.com/zlts/20200215/447295.shtml")</f>
        <v>http://www.12365auto.com/zlts/20200215/447295.shtml</v>
      </c>
      <c r="G7281" s="2"/>
      <c r="H7281" s="2" t="s">
        <v>10024</v>
      </c>
      <c r="I7281" s="2" t="s">
        <v>19</v>
      </c>
      <c r="J7281" s="2" t="s">
        <v>12</v>
      </c>
      <c r="K7281" s="2" t="s">
        <v>10025</v>
      </c>
      <c r="L7281" s="2">
        <f t="shared" si="113"/>
        <v>150</v>
      </c>
    </row>
    <row r="7282" spans="1:12" ht="25" customHeight="1">
      <c r="A7282" s="2" t="s">
        <v>12</v>
      </c>
      <c r="B7282" s="2" t="str">
        <f>HYPERLINK("http://m.12365auto.com/zjdy/20200215/121282.shtml","质保只保发动机的话漏防冻液能索赔吗？")</f>
        <v>质保只保发动机的话漏防冻液能索赔吗？</v>
      </c>
      <c r="C7282" s="2" t="s">
        <v>13</v>
      </c>
      <c r="D7282" s="2" t="s">
        <v>12</v>
      </c>
      <c r="E7282" s="2"/>
      <c r="F7282" s="2" t="str">
        <f>HYPERLINK("http://m.12365auto.com/zjdy/20200215/121282.shtml","http://m.12365auto.com/zjdy/20200215/121282.shtml")</f>
        <v>http://m.12365auto.com/zjdy/20200215/121282.shtml</v>
      </c>
      <c r="G7282" s="2"/>
      <c r="H7282" s="2" t="s">
        <v>10026</v>
      </c>
      <c r="I7282" s="2" t="s">
        <v>19</v>
      </c>
      <c r="J7282" s="2" t="s">
        <v>12</v>
      </c>
      <c r="K7282" s="2" t="s">
        <v>10027</v>
      </c>
      <c r="L7282" s="2">
        <f t="shared" si="113"/>
        <v>17</v>
      </c>
    </row>
    <row r="7283" spans="1:12" ht="25" customHeight="1">
      <c r="A7283" s="2" t="s">
        <v>12</v>
      </c>
      <c r="B7283" s="2" t="str">
        <f>HYPERLINK("http://www.12365auto.com/news/20200215/418623.shtml","12项升级 理想ONE将在5月前进行3次OTA")</f>
        <v>12项升级 理想ONE将在5月前进行3次OTA</v>
      </c>
      <c r="C7283" s="2" t="s">
        <v>13</v>
      </c>
      <c r="D7283" s="2" t="s">
        <v>12</v>
      </c>
      <c r="E7283" s="2" t="s">
        <v>282</v>
      </c>
      <c r="F7283" s="2" t="str">
        <f>HYPERLINK("http://www.12365auto.com/news/20200215/418623.shtml","http://www.12365auto.com/news/20200215/418623.shtml")</f>
        <v>http://www.12365auto.com/news/20200215/418623.shtml</v>
      </c>
      <c r="G7283" s="2"/>
      <c r="H7283" s="2" t="s">
        <v>10028</v>
      </c>
      <c r="I7283" s="2" t="s">
        <v>19</v>
      </c>
      <c r="J7283" s="2" t="s">
        <v>12</v>
      </c>
      <c r="K7283" s="2" t="s">
        <v>10029</v>
      </c>
      <c r="L7283" s="2">
        <f t="shared" si="113"/>
        <v>150</v>
      </c>
    </row>
    <row r="7284" spans="1:12" ht="25" customHeight="1">
      <c r="A7284" s="2" t="s">
        <v>12</v>
      </c>
      <c r="B7284" s="2" t="str">
        <f>HYPERLINK("http://m.12365auto.com/news/20200215/418623.shtml","12项升级 理想ONE将在5月前进行3次OTA")</f>
        <v>12项升级 理想ONE将在5月前进行3次OTA</v>
      </c>
      <c r="C7284" s="2" t="s">
        <v>13</v>
      </c>
      <c r="D7284" s="2" t="s">
        <v>12</v>
      </c>
      <c r="E7284" s="2"/>
      <c r="F7284" s="2" t="str">
        <f>HYPERLINK("http://m.12365auto.com/news/20200215/418623.shtml","http://m.12365auto.com/news/20200215/418623.shtml")</f>
        <v>http://m.12365auto.com/news/20200215/418623.shtml</v>
      </c>
      <c r="G7284" s="2"/>
      <c r="H7284" s="2" t="s">
        <v>10030</v>
      </c>
      <c r="I7284" s="2" t="s">
        <v>19</v>
      </c>
      <c r="J7284" s="2" t="s">
        <v>330</v>
      </c>
      <c r="K7284" s="2" t="s">
        <v>10029</v>
      </c>
      <c r="L7284" s="2">
        <f t="shared" si="113"/>
        <v>150</v>
      </c>
    </row>
    <row r="7285" spans="1:12" ht="25" customHeight="1">
      <c r="A7285" s="2" t="s">
        <v>12</v>
      </c>
      <c r="B7285" s="2" t="str">
        <f>HYPERLINK("http://m.12365auto.com/zjdy/20200215/121278.shtml","雪佛兰科鲁泽变速箱存在异响是什么原因？")</f>
        <v>雪佛兰科鲁泽变速箱存在异响是什么原因？</v>
      </c>
      <c r="C7285" s="2" t="s">
        <v>13</v>
      </c>
      <c r="D7285" s="2" t="s">
        <v>12</v>
      </c>
      <c r="E7285" s="2"/>
      <c r="F7285" s="2" t="str">
        <f>HYPERLINK("http://m.12365auto.com/zjdy/20200215/121278.shtml","http://m.12365auto.com/zjdy/20200215/121278.shtml")</f>
        <v>http://m.12365auto.com/zjdy/20200215/121278.shtml</v>
      </c>
      <c r="G7285" s="2"/>
      <c r="H7285" s="2" t="s">
        <v>10031</v>
      </c>
      <c r="I7285" s="2" t="s">
        <v>19</v>
      </c>
      <c r="J7285" s="2" t="s">
        <v>12</v>
      </c>
      <c r="K7285" s="2" t="s">
        <v>10032</v>
      </c>
      <c r="L7285" s="2">
        <f t="shared" si="113"/>
        <v>42</v>
      </c>
    </row>
    <row r="7286" spans="1:12" ht="25" customHeight="1">
      <c r="A7286" s="2" t="s">
        <v>12</v>
      </c>
      <c r="B7286" s="2" t="str">
        <f>HYPERLINK("http://m.12365auto.com/zjdy/20200215/121277.shtml","变速箱经常挂挡换挡困难是怎么回事？")</f>
        <v>变速箱经常挂挡换挡困难是怎么回事？</v>
      </c>
      <c r="C7286" s="2" t="s">
        <v>13</v>
      </c>
      <c r="D7286" s="2" t="s">
        <v>12</v>
      </c>
      <c r="E7286" s="2"/>
      <c r="F7286" s="2" t="str">
        <f>HYPERLINK("http://m.12365auto.com/zjdy/20200215/121277.shtml","http://m.12365auto.com/zjdy/20200215/121277.shtml")</f>
        <v>http://m.12365auto.com/zjdy/20200215/121277.shtml</v>
      </c>
      <c r="G7286" s="2"/>
      <c r="H7286" s="2" t="s">
        <v>10033</v>
      </c>
      <c r="I7286" s="2" t="s">
        <v>19</v>
      </c>
      <c r="J7286" s="2" t="s">
        <v>12</v>
      </c>
      <c r="K7286" s="2" t="s">
        <v>10032</v>
      </c>
      <c r="L7286" s="2">
        <f t="shared" si="113"/>
        <v>21</v>
      </c>
    </row>
    <row r="7287" spans="1:12" ht="25" customHeight="1">
      <c r="A7287" s="2" t="s">
        <v>12</v>
      </c>
      <c r="B7287" s="2" t="str">
        <f>HYPERLINK("http://m.12365auto.com/zjdy/20200215/121280.shtml","机油乳化是什么原因导致的可以投诉吗？")</f>
        <v>机油乳化是什么原因导致的可以投诉吗？</v>
      </c>
      <c r="C7287" s="2" t="s">
        <v>13</v>
      </c>
      <c r="D7287" s="2" t="s">
        <v>12</v>
      </c>
      <c r="E7287" s="2"/>
      <c r="F7287" s="2" t="str">
        <f>HYPERLINK("http://m.12365auto.com/zjdy/20200215/121280.shtml","http://m.12365auto.com/zjdy/20200215/121280.shtml")</f>
        <v>http://m.12365auto.com/zjdy/20200215/121280.shtml</v>
      </c>
      <c r="G7287" s="2"/>
      <c r="H7287" s="2" t="s">
        <v>10034</v>
      </c>
      <c r="I7287" s="2" t="s">
        <v>19</v>
      </c>
      <c r="J7287" s="2" t="s">
        <v>12</v>
      </c>
      <c r="K7287" s="2" t="s">
        <v>10032</v>
      </c>
      <c r="L7287" s="2">
        <f t="shared" si="113"/>
        <v>26</v>
      </c>
    </row>
    <row r="7288" spans="1:12" ht="25" customHeight="1">
      <c r="A7288" s="2" t="s">
        <v>12</v>
      </c>
      <c r="B7288" s="2" t="str">
        <f>HYPERLINK("http://m.12365auto.com/zjdy/20200215/121281.shtml","车速加到120方向盘抖是怎么回事如何解决？")</f>
        <v>车速加到120方向盘抖是怎么回事如何解决？</v>
      </c>
      <c r="C7288" s="2" t="s">
        <v>13</v>
      </c>
      <c r="D7288" s="2" t="s">
        <v>12</v>
      </c>
      <c r="E7288" s="2"/>
      <c r="F7288" s="2" t="str">
        <f>HYPERLINK("http://m.12365auto.com/zjdy/20200215/121281.shtml","http://m.12365auto.com/zjdy/20200215/121281.shtml")</f>
        <v>http://m.12365auto.com/zjdy/20200215/121281.shtml</v>
      </c>
      <c r="G7288" s="2"/>
      <c r="H7288" s="2" t="s">
        <v>10035</v>
      </c>
      <c r="I7288" s="2" t="s">
        <v>19</v>
      </c>
      <c r="J7288" s="2" t="s">
        <v>12</v>
      </c>
      <c r="K7288" s="2" t="s">
        <v>10032</v>
      </c>
      <c r="L7288" s="2">
        <f t="shared" si="113"/>
        <v>21</v>
      </c>
    </row>
    <row r="7289" spans="1:12" ht="25" customHeight="1">
      <c r="A7289" s="2" t="s">
        <v>12</v>
      </c>
      <c r="B7289" s="2" t="str">
        <f>HYPERLINK("http://www.12365auto.com/xcdg/20200215/418622.shtml","续航201公里 菲亚特500e续航信息曝光")</f>
        <v>续航201公里 菲亚特500e续航信息曝光</v>
      </c>
      <c r="C7289" s="2" t="s">
        <v>13</v>
      </c>
      <c r="D7289" s="2" t="s">
        <v>12</v>
      </c>
      <c r="E7289" s="2" t="s">
        <v>245</v>
      </c>
      <c r="F7289" s="2" t="str">
        <f>HYPERLINK("http://www.12365auto.com/xcdg/20200215/418622.shtml","http://www.12365auto.com/xcdg/20200215/418622.shtml")</f>
        <v>http://www.12365auto.com/xcdg/20200215/418622.shtml</v>
      </c>
      <c r="G7289" s="2"/>
      <c r="H7289" s="2" t="s">
        <v>10036</v>
      </c>
      <c r="I7289" s="2" t="s">
        <v>19</v>
      </c>
      <c r="J7289" s="2" t="s">
        <v>12</v>
      </c>
      <c r="K7289" s="2" t="s">
        <v>10037</v>
      </c>
      <c r="L7289" s="2">
        <f t="shared" si="113"/>
        <v>150</v>
      </c>
    </row>
    <row r="7290" spans="1:12" ht="25" customHeight="1">
      <c r="A7290" s="2" t="s">
        <v>12</v>
      </c>
      <c r="B7290" s="2" t="str">
        <f>HYPERLINK("http://m.12365auto.com/xcdg/20200215/418622.shtml","续航201公里 菲亚特500e续航信息曝光")</f>
        <v>续航201公里 菲亚特500e续航信息曝光</v>
      </c>
      <c r="C7290" s="2" t="s">
        <v>13</v>
      </c>
      <c r="D7290" s="2" t="s">
        <v>12</v>
      </c>
      <c r="E7290" s="2"/>
      <c r="F7290" s="2" t="str">
        <f>HYPERLINK("http://m.12365auto.com/xcdg/20200215/418622.shtml","http://m.12365auto.com/xcdg/20200215/418622.shtml")</f>
        <v>http://m.12365auto.com/xcdg/20200215/418622.shtml</v>
      </c>
      <c r="G7290" s="2"/>
      <c r="H7290" s="2" t="s">
        <v>10038</v>
      </c>
      <c r="I7290" s="2" t="s">
        <v>19</v>
      </c>
      <c r="J7290" s="2" t="s">
        <v>330</v>
      </c>
      <c r="K7290" s="2" t="s">
        <v>10037</v>
      </c>
      <c r="L7290" s="2">
        <f t="shared" si="113"/>
        <v>150</v>
      </c>
    </row>
    <row r="7291" spans="1:12" ht="25" customHeight="1">
      <c r="A7291" s="2" t="s">
        <v>12</v>
      </c>
      <c r="B7291" s="2" t="str">
        <f>HYPERLINK("http://m.12365auto.com/zjdy/20200214/121275.shtml","落地14万左右的SUV有什么值得推荐的？")</f>
        <v>落地14万左右的SUV有什么值得推荐的？</v>
      </c>
      <c r="C7291" s="2" t="s">
        <v>13</v>
      </c>
      <c r="D7291" s="2" t="s">
        <v>12</v>
      </c>
      <c r="E7291" s="2"/>
      <c r="F7291" s="2" t="str">
        <f>HYPERLINK("http://m.12365auto.com/zjdy/20200214/121275.shtml","http://m.12365auto.com/zjdy/20200214/121275.shtml")</f>
        <v>http://m.12365auto.com/zjdy/20200214/121275.shtml</v>
      </c>
      <c r="G7291" s="2"/>
      <c r="H7291" s="2" t="s">
        <v>10039</v>
      </c>
      <c r="I7291" s="2" t="s">
        <v>19</v>
      </c>
      <c r="J7291" s="2" t="s">
        <v>12</v>
      </c>
      <c r="K7291" s="2" t="s">
        <v>10040</v>
      </c>
      <c r="L7291" s="2">
        <f t="shared" si="113"/>
        <v>96</v>
      </c>
    </row>
    <row r="7292" spans="1:12" ht="25" customHeight="1">
      <c r="A7292" s="2" t="s">
        <v>12</v>
      </c>
      <c r="B7292" s="2" t="str">
        <f>HYPERLINK("http://m.12365auto.com/zjdy/20200214/121276.shtml","福特锐界变速箱换挡顿挫是什么原因？")</f>
        <v>福特锐界变速箱换挡顿挫是什么原因？</v>
      </c>
      <c r="C7292" s="2" t="s">
        <v>13</v>
      </c>
      <c r="D7292" s="2" t="s">
        <v>12</v>
      </c>
      <c r="E7292" s="2"/>
      <c r="F7292" s="2" t="str">
        <f>HYPERLINK("http://m.12365auto.com/zjdy/20200214/121276.shtml","http://m.12365auto.com/zjdy/20200214/121276.shtml")</f>
        <v>http://m.12365auto.com/zjdy/20200214/121276.shtml</v>
      </c>
      <c r="G7292" s="2"/>
      <c r="H7292" s="2" t="s">
        <v>10041</v>
      </c>
      <c r="I7292" s="2" t="s">
        <v>19</v>
      </c>
      <c r="J7292" s="2" t="s">
        <v>12</v>
      </c>
      <c r="K7292" s="2" t="s">
        <v>10040</v>
      </c>
      <c r="L7292" s="2">
        <f t="shared" si="113"/>
        <v>22</v>
      </c>
    </row>
    <row r="7293" spans="1:12" ht="25" customHeight="1">
      <c r="A7293" s="2" t="s">
        <v>12</v>
      </c>
      <c r="B7293" s="2" t="str">
        <f>HYPERLINK("http://www.12365auto.com/news/20200215/418621.shtml","亲历疫情 伟巴斯特的“惊魂”14天")</f>
        <v>亲历疫情 伟巴斯特的“惊魂”14天</v>
      </c>
      <c r="C7293" s="2" t="s">
        <v>13</v>
      </c>
      <c r="D7293" s="2" t="s">
        <v>12</v>
      </c>
      <c r="E7293" s="2" t="s">
        <v>282</v>
      </c>
      <c r="F7293" s="2" t="str">
        <f>HYPERLINK("http://www.12365auto.com/news/20200215/418621.shtml","http://www.12365auto.com/news/20200215/418621.shtml")</f>
        <v>http://www.12365auto.com/news/20200215/418621.shtml</v>
      </c>
      <c r="G7293" s="2"/>
      <c r="H7293" s="2" t="s">
        <v>10042</v>
      </c>
      <c r="I7293" s="2" t="s">
        <v>19</v>
      </c>
      <c r="J7293" s="2" t="s">
        <v>12</v>
      </c>
      <c r="K7293" s="2" t="s">
        <v>10043</v>
      </c>
      <c r="L7293" s="2">
        <f t="shared" si="113"/>
        <v>150</v>
      </c>
    </row>
    <row r="7294" spans="1:12" ht="25" customHeight="1">
      <c r="A7294" s="2" t="s">
        <v>12</v>
      </c>
      <c r="B7294" s="2" t="str">
        <f>HYPERLINK("http://m.12365auto.com/news/20200215/418621.shtml","亲历疫情 伟巴斯特的“惊魂”14天")</f>
        <v>亲历疫情 伟巴斯特的“惊魂”14天</v>
      </c>
      <c r="C7294" s="2" t="s">
        <v>13</v>
      </c>
      <c r="D7294" s="2" t="s">
        <v>12</v>
      </c>
      <c r="E7294" s="2"/>
      <c r="F7294" s="2" t="str">
        <f>HYPERLINK("http://m.12365auto.com/news/20200215/418621.shtml","http://m.12365auto.com/news/20200215/418621.shtml")</f>
        <v>http://m.12365auto.com/news/20200215/418621.shtml</v>
      </c>
      <c r="G7294" s="2"/>
      <c r="H7294" s="2" t="s">
        <v>10044</v>
      </c>
      <c r="I7294" s="2" t="s">
        <v>19</v>
      </c>
      <c r="J7294" s="2" t="s">
        <v>1653</v>
      </c>
      <c r="K7294" s="2" t="s">
        <v>10043</v>
      </c>
      <c r="L7294" s="2">
        <f t="shared" si="113"/>
        <v>150</v>
      </c>
    </row>
    <row r="7295" spans="1:12" ht="25" customHeight="1">
      <c r="A7295" s="2" t="s">
        <v>12</v>
      </c>
      <c r="B7295" s="2" t="str">
        <f>HYPERLINK("http://m.12365auto.com/news/20200215/418620.shtml","看车足不出户 哪吒汽车数字展厅上线")</f>
        <v>看车足不出户 哪吒汽车数字展厅上线</v>
      </c>
      <c r="C7295" s="2" t="s">
        <v>13</v>
      </c>
      <c r="D7295" s="2" t="s">
        <v>12</v>
      </c>
      <c r="E7295" s="2"/>
      <c r="F7295" s="2" t="str">
        <f>HYPERLINK("http://m.12365auto.com/news/20200215/418620.shtml","http://m.12365auto.com/news/20200215/418620.shtml")</f>
        <v>http://m.12365auto.com/news/20200215/418620.shtml</v>
      </c>
      <c r="G7295" s="2"/>
      <c r="H7295" s="2" t="s">
        <v>10045</v>
      </c>
      <c r="I7295" s="2" t="s">
        <v>19</v>
      </c>
      <c r="J7295" s="2" t="s">
        <v>1968</v>
      </c>
      <c r="K7295" s="2" t="s">
        <v>10046</v>
      </c>
      <c r="L7295" s="2">
        <f t="shared" si="113"/>
        <v>150</v>
      </c>
    </row>
    <row r="7296" spans="1:12" ht="25" customHeight="1">
      <c r="A7296" s="2" t="s">
        <v>12</v>
      </c>
      <c r="B7296" s="2" t="str">
        <f>HYPERLINK("http://www.12365auto.com/news/20200215/418620.shtml","看车足不出户 哪吒汽车数字展厅上线")</f>
        <v>看车足不出户 哪吒汽车数字展厅上线</v>
      </c>
      <c r="C7296" s="2" t="s">
        <v>13</v>
      </c>
      <c r="D7296" s="2" t="s">
        <v>12</v>
      </c>
      <c r="E7296" s="2" t="s">
        <v>276</v>
      </c>
      <c r="F7296" s="2" t="str">
        <f>HYPERLINK("http://www.12365auto.com/news/20200215/418620.shtml","http://www.12365auto.com/news/20200215/418620.shtml")</f>
        <v>http://www.12365auto.com/news/20200215/418620.shtml</v>
      </c>
      <c r="G7296" s="2"/>
      <c r="H7296" s="2" t="s">
        <v>10047</v>
      </c>
      <c r="I7296" s="2" t="s">
        <v>15</v>
      </c>
      <c r="J7296" s="2" t="s">
        <v>12</v>
      </c>
      <c r="K7296" s="2" t="s">
        <v>10046</v>
      </c>
      <c r="L7296" s="2">
        <f t="shared" si="113"/>
        <v>150</v>
      </c>
    </row>
    <row r="7297" spans="1:12" ht="25" customHeight="1">
      <c r="A7297" s="2" t="s">
        <v>12</v>
      </c>
      <c r="B7297" s="2" t="str">
        <f>HYPERLINK("http://m.12365auto.com/xcdg/20200215/418619.shtml","日内瓦车展亮相 APEX AP-0电动超跑预告")</f>
        <v>日内瓦车展亮相 APEX AP-0电动超跑预告</v>
      </c>
      <c r="C7297" s="2" t="s">
        <v>13</v>
      </c>
      <c r="D7297" s="2" t="s">
        <v>12</v>
      </c>
      <c r="E7297" s="2"/>
      <c r="F7297" s="2" t="str">
        <f>HYPERLINK("http://m.12365auto.com/xcdg/20200215/418619.shtml","http://m.12365auto.com/xcdg/20200215/418619.shtml")</f>
        <v>http://m.12365auto.com/xcdg/20200215/418619.shtml</v>
      </c>
      <c r="G7297" s="2"/>
      <c r="H7297" s="2" t="s">
        <v>10048</v>
      </c>
      <c r="I7297" s="2" t="s">
        <v>19</v>
      </c>
      <c r="J7297" s="2" t="s">
        <v>303</v>
      </c>
      <c r="K7297" s="2" t="s">
        <v>10049</v>
      </c>
      <c r="L7297" s="2">
        <f t="shared" si="113"/>
        <v>150</v>
      </c>
    </row>
    <row r="7298" spans="1:12" ht="25" customHeight="1">
      <c r="A7298" s="2" t="s">
        <v>12</v>
      </c>
      <c r="B7298" s="2" t="str">
        <f>HYPERLINK("http://www.12365auto.com/xcdg/20200215/418619.shtml","日内瓦车展亮相 APEX AP-0电动超跑预告")</f>
        <v>日内瓦车展亮相 APEX AP-0电动超跑预告</v>
      </c>
      <c r="C7298" s="2" t="s">
        <v>13</v>
      </c>
      <c r="D7298" s="2" t="s">
        <v>12</v>
      </c>
      <c r="E7298" s="2" t="s">
        <v>216</v>
      </c>
      <c r="F7298" s="2" t="str">
        <f>HYPERLINK("http://www.12365auto.com/xcdg/20200215/418619.shtml","http://www.12365auto.com/xcdg/20200215/418619.shtml")</f>
        <v>http://www.12365auto.com/xcdg/20200215/418619.shtml</v>
      </c>
      <c r="G7298" s="2"/>
      <c r="H7298" s="2" t="s">
        <v>10050</v>
      </c>
      <c r="I7298" s="2" t="s">
        <v>15</v>
      </c>
      <c r="J7298" s="2" t="s">
        <v>12</v>
      </c>
      <c r="K7298" s="2" t="s">
        <v>10049</v>
      </c>
      <c r="L7298" s="2">
        <f t="shared" si="113"/>
        <v>150</v>
      </c>
    </row>
    <row r="7299" spans="1:12" ht="25" customHeight="1">
      <c r="A7299" s="2" t="s">
        <v>12</v>
      </c>
      <c r="B7299" s="2" t="str">
        <f>HYPERLINK("http://m.12365auto.com/news/20200215/418618.shtml","免保养/享优惠 一汽奔腾推疫情关怀政策")</f>
        <v>免保养/享优惠 一汽奔腾推疫情关怀政策</v>
      </c>
      <c r="C7299" s="2" t="s">
        <v>13</v>
      </c>
      <c r="D7299" s="2" t="s">
        <v>12</v>
      </c>
      <c r="E7299" s="2"/>
      <c r="F7299" s="2" t="str">
        <f>HYPERLINK("http://m.12365auto.com/news/20200215/418618.shtml","http://m.12365auto.com/news/20200215/418618.shtml")</f>
        <v>http://m.12365auto.com/news/20200215/418618.shtml</v>
      </c>
      <c r="G7299" s="2"/>
      <c r="H7299" s="2" t="s">
        <v>10051</v>
      </c>
      <c r="I7299" s="2" t="s">
        <v>19</v>
      </c>
      <c r="J7299" s="2" t="s">
        <v>303</v>
      </c>
      <c r="K7299" s="2" t="s">
        <v>10052</v>
      </c>
      <c r="L7299" s="2">
        <f t="shared" ref="L7299:L7362" si="114">LEN(H7299)</f>
        <v>150</v>
      </c>
    </row>
    <row r="7300" spans="1:12" ht="25" customHeight="1">
      <c r="A7300" s="2" t="s">
        <v>12</v>
      </c>
      <c r="B7300" s="2" t="str">
        <f>HYPERLINK("http://www.12365auto.com/news/20200215/418618.shtml","免保养/享优惠 一汽奔腾推疫情关怀政策")</f>
        <v>免保养/享优惠 一汽奔腾推疫情关怀政策</v>
      </c>
      <c r="C7300" s="2" t="s">
        <v>13</v>
      </c>
      <c r="D7300" s="2" t="s">
        <v>12</v>
      </c>
      <c r="E7300" s="2" t="s">
        <v>276</v>
      </c>
      <c r="F7300" s="2" t="str">
        <f>HYPERLINK("http://www.12365auto.com/news/20200215/418618.shtml","http://www.12365auto.com/news/20200215/418618.shtml")</f>
        <v>http://www.12365auto.com/news/20200215/418618.shtml</v>
      </c>
      <c r="G7300" s="2"/>
      <c r="H7300" s="2" t="s">
        <v>10053</v>
      </c>
      <c r="I7300" s="2" t="s">
        <v>15</v>
      </c>
      <c r="J7300" s="2" t="s">
        <v>12</v>
      </c>
      <c r="K7300" s="2" t="s">
        <v>10052</v>
      </c>
      <c r="L7300" s="2">
        <f t="shared" si="114"/>
        <v>150</v>
      </c>
    </row>
    <row r="7301" spans="1:12" ht="25" customHeight="1">
      <c r="A7301" s="2" t="s">
        <v>12</v>
      </c>
      <c r="B7301" s="2" t="str">
        <f>HYPERLINK("http://m.12365auto.com/news/20200215/418617.shtml","加速量产应用 戴姆勒开发固态电池技术")</f>
        <v>加速量产应用 戴姆勒开发固态电池技术</v>
      </c>
      <c r="C7301" s="2" t="s">
        <v>13</v>
      </c>
      <c r="D7301" s="2" t="s">
        <v>12</v>
      </c>
      <c r="E7301" s="2"/>
      <c r="F7301" s="2" t="str">
        <f>HYPERLINK("http://m.12365auto.com/news/20200215/418617.shtml","http://m.12365auto.com/news/20200215/418617.shtml")</f>
        <v>http://m.12365auto.com/news/20200215/418617.shtml</v>
      </c>
      <c r="G7301" s="2"/>
      <c r="H7301" s="2" t="s">
        <v>10054</v>
      </c>
      <c r="I7301" s="2" t="s">
        <v>19</v>
      </c>
      <c r="J7301" s="2" t="s">
        <v>1643</v>
      </c>
      <c r="K7301" s="2" t="s">
        <v>10055</v>
      </c>
      <c r="L7301" s="2">
        <f t="shared" si="114"/>
        <v>150</v>
      </c>
    </row>
    <row r="7302" spans="1:12" ht="25" customHeight="1">
      <c r="A7302" s="2" t="s">
        <v>12</v>
      </c>
      <c r="B7302" s="2" t="str">
        <f>HYPERLINK("http://www.12365auto.com/news/20200215/418617.shtml","加速量产应用 戴姆勒开发固态电池技术")</f>
        <v>加速量产应用 戴姆勒开发固态电池技术</v>
      </c>
      <c r="C7302" s="2" t="s">
        <v>13</v>
      </c>
      <c r="D7302" s="2" t="s">
        <v>12</v>
      </c>
      <c r="E7302" s="2" t="s">
        <v>276</v>
      </c>
      <c r="F7302" s="2" t="str">
        <f>HYPERLINK("http://www.12365auto.com/news/20200215/418617.shtml","http://www.12365auto.com/news/20200215/418617.shtml")</f>
        <v>http://www.12365auto.com/news/20200215/418617.shtml</v>
      </c>
      <c r="G7302" s="2"/>
      <c r="H7302" s="2" t="s">
        <v>10056</v>
      </c>
      <c r="I7302" s="2" t="s">
        <v>15</v>
      </c>
      <c r="J7302" s="2" t="s">
        <v>12</v>
      </c>
      <c r="K7302" s="2" t="s">
        <v>10055</v>
      </c>
      <c r="L7302" s="2">
        <f t="shared" si="114"/>
        <v>150</v>
      </c>
    </row>
    <row r="7303" spans="1:12" ht="25" customHeight="1">
      <c r="A7303" s="2" t="s">
        <v>12</v>
      </c>
      <c r="B7303" s="2" t="str">
        <f>HYPERLINK("http://m.12365auto.com/news/20200215/418616.shtml","立减5200元 威马推出医疗体系购车福利")</f>
        <v>立减5200元 威马推出医疗体系购车福利</v>
      </c>
      <c r="C7303" s="2" t="s">
        <v>13</v>
      </c>
      <c r="D7303" s="2" t="s">
        <v>12</v>
      </c>
      <c r="E7303" s="2"/>
      <c r="F7303" s="2" t="str">
        <f>HYPERLINK("http://m.12365auto.com/news/20200215/418616.shtml","http://m.12365auto.com/news/20200215/418616.shtml")</f>
        <v>http://m.12365auto.com/news/20200215/418616.shtml</v>
      </c>
      <c r="G7303" s="2"/>
      <c r="H7303" s="2" t="s">
        <v>10057</v>
      </c>
      <c r="I7303" s="2" t="s">
        <v>19</v>
      </c>
      <c r="J7303" s="2" t="s">
        <v>855</v>
      </c>
      <c r="K7303" s="2" t="s">
        <v>10058</v>
      </c>
      <c r="L7303" s="2">
        <f t="shared" si="114"/>
        <v>150</v>
      </c>
    </row>
    <row r="7304" spans="1:12" ht="25" customHeight="1">
      <c r="A7304" s="2" t="s">
        <v>12</v>
      </c>
      <c r="B7304" s="2" t="str">
        <f>HYPERLINK("http://www.12365auto.com/news/20200215/418616.shtml","立减5200元 威马推出医疗体系购车福利")</f>
        <v>立减5200元 威马推出医疗体系购车福利</v>
      </c>
      <c r="C7304" s="2" t="s">
        <v>13</v>
      </c>
      <c r="D7304" s="2" t="s">
        <v>12</v>
      </c>
      <c r="E7304" s="2" t="s">
        <v>276</v>
      </c>
      <c r="F7304" s="2" t="str">
        <f>HYPERLINK("http://www.12365auto.com/news/20200215/418616.shtml","http://www.12365auto.com/news/20200215/418616.shtml")</f>
        <v>http://www.12365auto.com/news/20200215/418616.shtml</v>
      </c>
      <c r="G7304" s="2"/>
      <c r="H7304" s="2" t="s">
        <v>10059</v>
      </c>
      <c r="I7304" s="2" t="s">
        <v>15</v>
      </c>
      <c r="J7304" s="2" t="s">
        <v>12</v>
      </c>
      <c r="K7304" s="2" t="s">
        <v>10058</v>
      </c>
      <c r="L7304" s="2">
        <f t="shared" si="114"/>
        <v>150</v>
      </c>
    </row>
    <row r="7305" spans="1:12" ht="25" customHeight="1">
      <c r="A7305" s="2" t="s">
        <v>12</v>
      </c>
      <c r="B7305" s="2" t="str">
        <f>HYPERLINK("http://www.12365auto.com/zlts/20200215/447291.shtml","吉利博越气温低时发动机无法启动")</f>
        <v>吉利博越气温低时发动机无法启动</v>
      </c>
      <c r="C7305" s="2" t="s">
        <v>13</v>
      </c>
      <c r="D7305" s="2" t="s">
        <v>12</v>
      </c>
      <c r="E7305" s="2" t="s">
        <v>17</v>
      </c>
      <c r="F7305" s="2" t="str">
        <f>HYPERLINK("http://www.12365auto.com/zlts/20200215/447291.shtml","http://www.12365auto.com/zlts/20200215/447291.shtml")</f>
        <v>http://www.12365auto.com/zlts/20200215/447291.shtml</v>
      </c>
      <c r="G7305" s="2"/>
      <c r="H7305" s="2" t="s">
        <v>10060</v>
      </c>
      <c r="I7305" s="2" t="s">
        <v>19</v>
      </c>
      <c r="J7305" s="2" t="s">
        <v>12</v>
      </c>
      <c r="K7305" s="2" t="s">
        <v>10061</v>
      </c>
      <c r="L7305" s="2">
        <f t="shared" si="114"/>
        <v>150</v>
      </c>
    </row>
    <row r="7306" spans="1:12" ht="25" customHeight="1">
      <c r="A7306" s="2" t="s">
        <v>12</v>
      </c>
      <c r="B7306" s="2" t="str">
        <f>HYPERLINK("http://m.12365auto.com/news/20200215/418615.shtml","升级空调过滤系统 捷途推疫情关怀政策")</f>
        <v>升级空调过滤系统 捷途推疫情关怀政策</v>
      </c>
      <c r="C7306" s="2" t="s">
        <v>13</v>
      </c>
      <c r="D7306" s="2" t="s">
        <v>12</v>
      </c>
      <c r="E7306" s="2"/>
      <c r="F7306" s="2" t="str">
        <f>HYPERLINK("http://m.12365auto.com/news/20200215/418615.shtml","http://m.12365auto.com/news/20200215/418615.shtml")</f>
        <v>http://m.12365auto.com/news/20200215/418615.shtml</v>
      </c>
      <c r="G7306" s="2"/>
      <c r="H7306" s="2" t="s">
        <v>10062</v>
      </c>
      <c r="I7306" s="2" t="s">
        <v>19</v>
      </c>
      <c r="J7306" s="2" t="s">
        <v>2594</v>
      </c>
      <c r="K7306" s="2" t="s">
        <v>10063</v>
      </c>
      <c r="L7306" s="2">
        <f t="shared" si="114"/>
        <v>150</v>
      </c>
    </row>
    <row r="7307" spans="1:12" ht="25" customHeight="1">
      <c r="A7307" s="2" t="s">
        <v>12</v>
      </c>
      <c r="B7307" s="2" t="str">
        <f>HYPERLINK("http://www.12365auto.com/news/20200215/418615.shtml","升级空调过滤系统 捷途推疫情关怀政策")</f>
        <v>升级空调过滤系统 捷途推疫情关怀政策</v>
      </c>
      <c r="C7307" s="2" t="s">
        <v>13</v>
      </c>
      <c r="D7307" s="2" t="s">
        <v>12</v>
      </c>
      <c r="E7307" s="2" t="s">
        <v>276</v>
      </c>
      <c r="F7307" s="2" t="str">
        <f>HYPERLINK("http://www.12365auto.com/news/20200215/418615.shtml","http://www.12365auto.com/news/20200215/418615.shtml")</f>
        <v>http://www.12365auto.com/news/20200215/418615.shtml</v>
      </c>
      <c r="G7307" s="2"/>
      <c r="H7307" s="2" t="s">
        <v>10064</v>
      </c>
      <c r="I7307" s="2" t="s">
        <v>15</v>
      </c>
      <c r="J7307" s="2" t="s">
        <v>12</v>
      </c>
      <c r="K7307" s="2" t="s">
        <v>10063</v>
      </c>
      <c r="L7307" s="2">
        <f t="shared" si="114"/>
        <v>150</v>
      </c>
    </row>
    <row r="7308" spans="1:12" ht="25" customHeight="1">
      <c r="A7308" s="2" t="s">
        <v>12</v>
      </c>
      <c r="B7308" s="2" t="str">
        <f>HYPERLINK("http://m.12365auto.com/news/20200215/418614.shtml","共克时艰 东风风神多措并举驰援经销商")</f>
        <v>共克时艰 东风风神多措并举驰援经销商</v>
      </c>
      <c r="C7308" s="2" t="s">
        <v>13</v>
      </c>
      <c r="D7308" s="2" t="s">
        <v>12</v>
      </c>
      <c r="E7308" s="2"/>
      <c r="F7308" s="2" t="str">
        <f>HYPERLINK("http://m.12365auto.com/news/20200215/418614.shtml","http://m.12365auto.com/news/20200215/418614.shtml")</f>
        <v>http://m.12365auto.com/news/20200215/418614.shtml</v>
      </c>
      <c r="G7308" s="2"/>
      <c r="H7308" s="2" t="s">
        <v>10065</v>
      </c>
      <c r="I7308" s="2" t="s">
        <v>19</v>
      </c>
      <c r="J7308" s="2" t="s">
        <v>1968</v>
      </c>
      <c r="K7308" s="2" t="s">
        <v>10066</v>
      </c>
      <c r="L7308" s="2">
        <f t="shared" si="114"/>
        <v>150</v>
      </c>
    </row>
    <row r="7309" spans="1:12" ht="25" customHeight="1">
      <c r="A7309" s="2" t="s">
        <v>12</v>
      </c>
      <c r="B7309" s="2" t="str">
        <f>HYPERLINK("http://www.12365auto.com/news/20200215/418614.shtml","共克时艰 东风风神多措并举驰援经销商")</f>
        <v>共克时艰 东风风神多措并举驰援经销商</v>
      </c>
      <c r="C7309" s="2" t="s">
        <v>13</v>
      </c>
      <c r="D7309" s="2" t="s">
        <v>12</v>
      </c>
      <c r="E7309" s="2" t="s">
        <v>276</v>
      </c>
      <c r="F7309" s="2" t="str">
        <f>HYPERLINK("http://www.12365auto.com/news/20200215/418614.shtml","http://www.12365auto.com/news/20200215/418614.shtml")</f>
        <v>http://www.12365auto.com/news/20200215/418614.shtml</v>
      </c>
      <c r="G7309" s="2"/>
      <c r="H7309" s="2" t="s">
        <v>10067</v>
      </c>
      <c r="I7309" s="2" t="s">
        <v>15</v>
      </c>
      <c r="J7309" s="2" t="s">
        <v>12</v>
      </c>
      <c r="K7309" s="2" t="s">
        <v>10066</v>
      </c>
      <c r="L7309" s="2">
        <f t="shared" si="114"/>
        <v>150</v>
      </c>
    </row>
    <row r="7310" spans="1:12" ht="25" customHeight="1">
      <c r="A7310" s="2" t="s">
        <v>12</v>
      </c>
      <c r="B7310" s="2" t="str">
        <f>HYPERLINK("http://m.12365auto.com/xcdg/20200215/418613.shtml","宾尼法利纳Battista进入动态测试环节")</f>
        <v>宾尼法利纳Battista进入动态测试环节</v>
      </c>
      <c r="C7310" s="2" t="s">
        <v>13</v>
      </c>
      <c r="D7310" s="2" t="s">
        <v>12</v>
      </c>
      <c r="E7310" s="2"/>
      <c r="F7310" s="2" t="str">
        <f>HYPERLINK("http://m.12365auto.com/xcdg/20200215/418613.shtml","http://m.12365auto.com/xcdg/20200215/418613.shtml")</f>
        <v>http://m.12365auto.com/xcdg/20200215/418613.shtml</v>
      </c>
      <c r="G7310" s="2"/>
      <c r="H7310" s="2" t="s">
        <v>10068</v>
      </c>
      <c r="I7310" s="2" t="s">
        <v>19</v>
      </c>
      <c r="J7310" s="2" t="s">
        <v>332</v>
      </c>
      <c r="K7310" s="2" t="s">
        <v>10069</v>
      </c>
      <c r="L7310" s="2">
        <f t="shared" si="114"/>
        <v>150</v>
      </c>
    </row>
    <row r="7311" spans="1:12" ht="25" customHeight="1">
      <c r="A7311" s="2" t="s">
        <v>12</v>
      </c>
      <c r="B7311" s="2" t="str">
        <f>HYPERLINK("http://www.12365auto.com/xcdg/20200215/418613.shtml","宾尼法利纳Battista进入动态测试环节")</f>
        <v>宾尼法利纳Battista进入动态测试环节</v>
      </c>
      <c r="C7311" s="2" t="s">
        <v>13</v>
      </c>
      <c r="D7311" s="2" t="s">
        <v>12</v>
      </c>
      <c r="E7311" s="2" t="s">
        <v>216</v>
      </c>
      <c r="F7311" s="2" t="str">
        <f>HYPERLINK("http://www.12365auto.com/xcdg/20200215/418613.shtml","http://www.12365auto.com/xcdg/20200215/418613.shtml")</f>
        <v>http://www.12365auto.com/xcdg/20200215/418613.shtml</v>
      </c>
      <c r="G7311" s="2"/>
      <c r="H7311" s="2" t="s">
        <v>10070</v>
      </c>
      <c r="I7311" s="2" t="s">
        <v>15</v>
      </c>
      <c r="J7311" s="2" t="s">
        <v>12</v>
      </c>
      <c r="K7311" s="2" t="s">
        <v>10069</v>
      </c>
      <c r="L7311" s="2">
        <f t="shared" si="114"/>
        <v>150</v>
      </c>
    </row>
    <row r="7312" spans="1:12" ht="25" customHeight="1">
      <c r="A7312" s="2" t="s">
        <v>12</v>
      </c>
      <c r="B7312" s="2" t="str">
        <f>HYPERLINK("http://www.12365auto.com/zlts/20200215/447290.shtml","一汽大众迈腾召回燃油泵控制器安装故障")</f>
        <v>一汽大众迈腾召回燃油泵控制器安装故障</v>
      </c>
      <c r="C7312" s="2" t="s">
        <v>13</v>
      </c>
      <c r="D7312" s="2" t="s">
        <v>12</v>
      </c>
      <c r="E7312" s="2" t="s">
        <v>17</v>
      </c>
      <c r="F7312" s="2" t="str">
        <f>HYPERLINK("http://www.12365auto.com/zlts/20200215/447290.shtml","http://www.12365auto.com/zlts/20200215/447290.shtml")</f>
        <v>http://www.12365auto.com/zlts/20200215/447290.shtml</v>
      </c>
      <c r="G7312" s="2"/>
      <c r="H7312" s="2" t="s">
        <v>10071</v>
      </c>
      <c r="I7312" s="2" t="s">
        <v>19</v>
      </c>
      <c r="J7312" s="2" t="s">
        <v>12</v>
      </c>
      <c r="K7312" s="2" t="s">
        <v>10072</v>
      </c>
      <c r="L7312" s="2">
        <f t="shared" si="114"/>
        <v>150</v>
      </c>
    </row>
    <row r="7313" spans="1:12" ht="25" customHeight="1">
      <c r="A7313" s="2" t="s">
        <v>12</v>
      </c>
      <c r="B7313" s="2" t="str">
        <f>HYPERLINK("http://m.12365auto.com/news/20200215/418612.shtml","IIHS发布2020年首批Top Safety获奖名单")</f>
        <v>IIHS发布2020年首批Top Safety获奖名单</v>
      </c>
      <c r="C7313" s="2" t="s">
        <v>13</v>
      </c>
      <c r="D7313" s="2" t="s">
        <v>12</v>
      </c>
      <c r="E7313" s="2"/>
      <c r="F7313" s="2" t="str">
        <f>HYPERLINK("http://m.12365auto.com/news/20200215/418612.shtml","http://m.12365auto.com/news/20200215/418612.shtml")</f>
        <v>http://m.12365auto.com/news/20200215/418612.shtml</v>
      </c>
      <c r="G7313" s="2"/>
      <c r="H7313" s="2" t="s">
        <v>10073</v>
      </c>
      <c r="I7313" s="2" t="s">
        <v>19</v>
      </c>
      <c r="J7313" s="2" t="s">
        <v>295</v>
      </c>
      <c r="K7313" s="2" t="s">
        <v>10072</v>
      </c>
      <c r="L7313" s="2">
        <f t="shared" si="114"/>
        <v>150</v>
      </c>
    </row>
    <row r="7314" spans="1:12" ht="25" customHeight="1">
      <c r="A7314" s="2" t="s">
        <v>12</v>
      </c>
      <c r="B7314" s="2" t="str">
        <f>HYPERLINK("http://www.12365auto.com/news/20200215/418612.shtml","IIHS发布2020年首批Top Safety获奖名单")</f>
        <v>IIHS发布2020年首批Top Safety获奖名单</v>
      </c>
      <c r="C7314" s="2" t="s">
        <v>13</v>
      </c>
      <c r="D7314" s="2" t="s">
        <v>12</v>
      </c>
      <c r="E7314" s="2" t="s">
        <v>276</v>
      </c>
      <c r="F7314" s="2" t="str">
        <f>HYPERLINK("http://www.12365auto.com/news/20200215/418612.shtml","http://www.12365auto.com/news/20200215/418612.shtml")</f>
        <v>http://www.12365auto.com/news/20200215/418612.shtml</v>
      </c>
      <c r="G7314" s="2"/>
      <c r="H7314" s="2" t="s">
        <v>10074</v>
      </c>
      <c r="I7314" s="2" t="s">
        <v>15</v>
      </c>
      <c r="J7314" s="2" t="s">
        <v>12</v>
      </c>
      <c r="K7314" s="2" t="s">
        <v>10072</v>
      </c>
      <c r="L7314" s="2">
        <f t="shared" si="114"/>
        <v>150</v>
      </c>
    </row>
    <row r="7315" spans="1:12" ht="25" customHeight="1">
      <c r="A7315" s="2" t="s">
        <v>12</v>
      </c>
      <c r="B7315" s="2" t="str">
        <f>HYPERLINK("http://m.12365auto.com/news/20200215/418611.shtml","同比下滑34.55% 上汽集团公布1月销量")</f>
        <v>同比下滑34.55% 上汽集团公布1月销量</v>
      </c>
      <c r="C7315" s="2" t="s">
        <v>13</v>
      </c>
      <c r="D7315" s="2" t="s">
        <v>12</v>
      </c>
      <c r="E7315" s="2"/>
      <c r="F7315" s="2" t="str">
        <f>HYPERLINK("http://m.12365auto.com/news/20200215/418611.shtml","http://m.12365auto.com/news/20200215/418611.shtml")</f>
        <v>http://m.12365auto.com/news/20200215/418611.shtml</v>
      </c>
      <c r="G7315" s="2"/>
      <c r="H7315" s="2" t="s">
        <v>10075</v>
      </c>
      <c r="I7315" s="2" t="s">
        <v>19</v>
      </c>
      <c r="J7315" s="2" t="s">
        <v>281</v>
      </c>
      <c r="K7315" s="2" t="s">
        <v>10076</v>
      </c>
      <c r="L7315" s="2">
        <f t="shared" si="114"/>
        <v>150</v>
      </c>
    </row>
    <row r="7316" spans="1:12" ht="25" customHeight="1">
      <c r="A7316" s="2" t="s">
        <v>12</v>
      </c>
      <c r="B7316" s="2" t="str">
        <f>HYPERLINK("http://www.12365auto.com/news/20200215/418611.shtml","同比下滑34.55% 上汽集团公布1月销量")</f>
        <v>同比下滑34.55% 上汽集团公布1月销量</v>
      </c>
      <c r="C7316" s="2" t="s">
        <v>13</v>
      </c>
      <c r="D7316" s="2" t="s">
        <v>12</v>
      </c>
      <c r="E7316" s="2" t="s">
        <v>276</v>
      </c>
      <c r="F7316" s="2" t="str">
        <f>HYPERLINK("http://www.12365auto.com/news/20200215/418611.shtml","http://www.12365auto.com/news/20200215/418611.shtml")</f>
        <v>http://www.12365auto.com/news/20200215/418611.shtml</v>
      </c>
      <c r="G7316" s="2"/>
      <c r="H7316" s="2" t="s">
        <v>10077</v>
      </c>
      <c r="I7316" s="2" t="s">
        <v>15</v>
      </c>
      <c r="J7316" s="2" t="s">
        <v>12</v>
      </c>
      <c r="K7316" s="2" t="s">
        <v>10076</v>
      </c>
      <c r="L7316" s="2">
        <f t="shared" si="114"/>
        <v>150</v>
      </c>
    </row>
    <row r="7317" spans="1:12" ht="25" customHeight="1">
      <c r="A7317" s="2" t="s">
        <v>12</v>
      </c>
      <c r="B7317" s="2" t="str">
        <f>HYPERLINK("http://www.12365auto.com/zlts/20200215/447286.shtml","高速行驶让掉头，车门摇控打不开")</f>
        <v>高速行驶让掉头，车门摇控打不开</v>
      </c>
      <c r="C7317" s="2" t="s">
        <v>13</v>
      </c>
      <c r="D7317" s="2" t="s">
        <v>12</v>
      </c>
      <c r="E7317" s="2"/>
      <c r="F7317" s="2" t="str">
        <f>HYPERLINK("http://www.12365auto.com/zlts/20200215/447286.shtml","http://www.12365auto.com/zlts/20200215/447286.shtml")</f>
        <v>http://www.12365auto.com/zlts/20200215/447286.shtml</v>
      </c>
      <c r="G7317" s="2"/>
      <c r="H7317" s="2" t="s">
        <v>10079</v>
      </c>
      <c r="I7317" s="2" t="s">
        <v>15</v>
      </c>
      <c r="J7317" s="2" t="s">
        <v>12</v>
      </c>
      <c r="K7317" s="2" t="s">
        <v>10078</v>
      </c>
      <c r="L7317" s="2">
        <f t="shared" si="114"/>
        <v>84</v>
      </c>
    </row>
    <row r="7318" spans="1:12" ht="25" customHeight="1">
      <c r="A7318" s="2" t="s">
        <v>12</v>
      </c>
      <c r="B7318" s="2" t="str">
        <f>HYPERLINK("http://m.12365auto.com/news/20200215/418610.shtml","扩大产能 日本电产向工厂投入18亿美元")</f>
        <v>扩大产能 日本电产向工厂投入18亿美元</v>
      </c>
      <c r="C7318" s="2" t="s">
        <v>13</v>
      </c>
      <c r="D7318" s="2" t="s">
        <v>12</v>
      </c>
      <c r="E7318" s="2"/>
      <c r="F7318" s="2" t="str">
        <f>HYPERLINK("http://m.12365auto.com/news/20200215/418610.shtml","http://m.12365auto.com/news/20200215/418610.shtml")</f>
        <v>http://m.12365auto.com/news/20200215/418610.shtml</v>
      </c>
      <c r="G7318" s="2"/>
      <c r="H7318" s="2" t="s">
        <v>10080</v>
      </c>
      <c r="I7318" s="2" t="s">
        <v>19</v>
      </c>
      <c r="J7318" s="2" t="s">
        <v>781</v>
      </c>
      <c r="K7318" s="2" t="s">
        <v>10081</v>
      </c>
      <c r="L7318" s="2">
        <f t="shared" si="114"/>
        <v>150</v>
      </c>
    </row>
    <row r="7319" spans="1:12" ht="25" customHeight="1">
      <c r="A7319" s="2" t="s">
        <v>12</v>
      </c>
      <c r="B7319" s="2" t="str">
        <f>HYPERLINK("http://www.12365auto.com/news/20200215/418610.shtml","扩大产能 日本电产向工厂投入18亿美元")</f>
        <v>扩大产能 日本电产向工厂投入18亿美元</v>
      </c>
      <c r="C7319" s="2" t="s">
        <v>13</v>
      </c>
      <c r="D7319" s="2" t="s">
        <v>12</v>
      </c>
      <c r="E7319" s="2" t="s">
        <v>276</v>
      </c>
      <c r="F7319" s="2" t="str">
        <f>HYPERLINK("http://www.12365auto.com/news/20200215/418610.shtml","http://www.12365auto.com/news/20200215/418610.shtml")</f>
        <v>http://www.12365auto.com/news/20200215/418610.shtml</v>
      </c>
      <c r="G7319" s="2"/>
      <c r="H7319" s="2" t="s">
        <v>10082</v>
      </c>
      <c r="I7319" s="2" t="s">
        <v>15</v>
      </c>
      <c r="J7319" s="2" t="s">
        <v>12</v>
      </c>
      <c r="K7319" s="2" t="s">
        <v>10081</v>
      </c>
      <c r="L7319" s="2">
        <f t="shared" si="114"/>
        <v>150</v>
      </c>
    </row>
    <row r="7320" spans="1:12" ht="25" customHeight="1">
      <c r="A7320" s="2" t="s">
        <v>12</v>
      </c>
      <c r="B7320" s="2" t="str">
        <f>HYPERLINK("http://m.12365auto.com/news/20200215/418609.shtml","首月获8396单 自动驾驶出租车报告出炉")</f>
        <v>首月获8396单 自动驾驶出租车报告出炉</v>
      </c>
      <c r="C7320" s="2" t="s">
        <v>13</v>
      </c>
      <c r="D7320" s="2" t="s">
        <v>12</v>
      </c>
      <c r="E7320" s="2"/>
      <c r="F7320" s="2" t="str">
        <f>HYPERLINK("http://m.12365auto.com/news/20200215/418609.shtml","http://m.12365auto.com/news/20200215/418609.shtml")</f>
        <v>http://m.12365auto.com/news/20200215/418609.shtml</v>
      </c>
      <c r="G7320" s="2"/>
      <c r="H7320" s="2" t="s">
        <v>10083</v>
      </c>
      <c r="I7320" s="2" t="s">
        <v>19</v>
      </c>
      <c r="J7320" s="2" t="s">
        <v>1188</v>
      </c>
      <c r="K7320" s="2" t="s">
        <v>10084</v>
      </c>
      <c r="L7320" s="2">
        <f t="shared" si="114"/>
        <v>150</v>
      </c>
    </row>
    <row r="7321" spans="1:12" ht="25" customHeight="1">
      <c r="A7321" s="2" t="s">
        <v>12</v>
      </c>
      <c r="B7321" s="2" t="str">
        <f>HYPERLINK("http://www.12365auto.com/news/20200215/418609.shtml","首月获8396单 自动驾驶出租车报告出炉")</f>
        <v>首月获8396单 自动驾驶出租车报告出炉</v>
      </c>
      <c r="C7321" s="2" t="s">
        <v>13</v>
      </c>
      <c r="D7321" s="2" t="s">
        <v>12</v>
      </c>
      <c r="E7321" s="2" t="s">
        <v>276</v>
      </c>
      <c r="F7321" s="2" t="str">
        <f>HYPERLINK("http://www.12365auto.com/news/20200215/418609.shtml","http://www.12365auto.com/news/20200215/418609.shtml")</f>
        <v>http://www.12365auto.com/news/20200215/418609.shtml</v>
      </c>
      <c r="G7321" s="2"/>
      <c r="H7321" s="2" t="s">
        <v>10085</v>
      </c>
      <c r="I7321" s="2" t="s">
        <v>15</v>
      </c>
      <c r="J7321" s="2" t="s">
        <v>12</v>
      </c>
      <c r="K7321" s="2" t="s">
        <v>10084</v>
      </c>
      <c r="L7321" s="2">
        <f t="shared" si="114"/>
        <v>150</v>
      </c>
    </row>
    <row r="7322" spans="1:12" ht="25" customHeight="1">
      <c r="A7322" s="2" t="s">
        <v>12</v>
      </c>
      <c r="B7322" s="2" t="str">
        <f>HYPERLINK("http://m.12365auto.com/news/20200215/418608.shtml","同比下降4.54% 长安汽车公布1月份销量")</f>
        <v>同比下降4.54% 长安汽车公布1月份销量</v>
      </c>
      <c r="C7322" s="2" t="s">
        <v>13</v>
      </c>
      <c r="D7322" s="2" t="s">
        <v>12</v>
      </c>
      <c r="E7322" s="2"/>
      <c r="F7322" s="2" t="str">
        <f>HYPERLINK("http://m.12365auto.com/news/20200215/418608.shtml","http://m.12365auto.com/news/20200215/418608.shtml")</f>
        <v>http://m.12365auto.com/news/20200215/418608.shtml</v>
      </c>
      <c r="G7322" s="2"/>
      <c r="H7322" s="2" t="s">
        <v>10086</v>
      </c>
      <c r="I7322" s="2" t="s">
        <v>19</v>
      </c>
      <c r="J7322" s="2" t="s">
        <v>286</v>
      </c>
      <c r="K7322" s="2" t="s">
        <v>10087</v>
      </c>
      <c r="L7322" s="2">
        <f t="shared" si="114"/>
        <v>150</v>
      </c>
    </row>
    <row r="7323" spans="1:12" ht="25" customHeight="1">
      <c r="A7323" s="2" t="s">
        <v>12</v>
      </c>
      <c r="B7323" s="2" t="str">
        <f>HYPERLINK("http://www.12365auto.com/news/20200215/418608.shtml","同比下降4.54% 长安汽车公布1月份销量")</f>
        <v>同比下降4.54% 长安汽车公布1月份销量</v>
      </c>
      <c r="C7323" s="2" t="s">
        <v>13</v>
      </c>
      <c r="D7323" s="2" t="s">
        <v>12</v>
      </c>
      <c r="E7323" s="2" t="s">
        <v>276</v>
      </c>
      <c r="F7323" s="2" t="str">
        <f>HYPERLINK("http://www.12365auto.com/news/20200215/418608.shtml","http://www.12365auto.com/news/20200215/418608.shtml")</f>
        <v>http://www.12365auto.com/news/20200215/418608.shtml</v>
      </c>
      <c r="G7323" s="2"/>
      <c r="H7323" s="2" t="s">
        <v>10088</v>
      </c>
      <c r="I7323" s="2" t="s">
        <v>15</v>
      </c>
      <c r="J7323" s="2" t="s">
        <v>12</v>
      </c>
      <c r="K7323" s="2" t="s">
        <v>10087</v>
      </c>
      <c r="L7323" s="2">
        <f t="shared" si="114"/>
        <v>150</v>
      </c>
    </row>
    <row r="7324" spans="1:12" ht="25" customHeight="1">
      <c r="A7324" s="2" t="s">
        <v>12</v>
      </c>
      <c r="B7324" s="2" t="str">
        <f>HYPERLINK("http://m.12365auto.com/news/20200215/418607.shtml","总额1亿美元 蔚来再获两笔可转债融资")</f>
        <v>总额1亿美元 蔚来再获两笔可转债融资</v>
      </c>
      <c r="C7324" s="2" t="s">
        <v>13</v>
      </c>
      <c r="D7324" s="2" t="s">
        <v>12</v>
      </c>
      <c r="E7324" s="2"/>
      <c r="F7324" s="2" t="str">
        <f>HYPERLINK("http://m.12365auto.com/news/20200215/418607.shtml","http://m.12365auto.com/news/20200215/418607.shtml")</f>
        <v>http://m.12365auto.com/news/20200215/418607.shtml</v>
      </c>
      <c r="G7324" s="2"/>
      <c r="H7324" s="2" t="s">
        <v>10089</v>
      </c>
      <c r="I7324" s="2" t="s">
        <v>19</v>
      </c>
      <c r="J7324" s="2" t="s">
        <v>286</v>
      </c>
      <c r="K7324" s="2" t="s">
        <v>10090</v>
      </c>
      <c r="L7324" s="2">
        <f t="shared" si="114"/>
        <v>150</v>
      </c>
    </row>
    <row r="7325" spans="1:12" ht="25" customHeight="1">
      <c r="A7325" s="2" t="s">
        <v>12</v>
      </c>
      <c r="B7325" s="2" t="str">
        <f>HYPERLINK("http://www.12365auto.com/news/20200215/418607.shtml","总额1亿美元 蔚来再获两笔可转债融资")</f>
        <v>总额1亿美元 蔚来再获两笔可转债融资</v>
      </c>
      <c r="C7325" s="2" t="s">
        <v>13</v>
      </c>
      <c r="D7325" s="2" t="s">
        <v>12</v>
      </c>
      <c r="E7325" s="2" t="s">
        <v>276</v>
      </c>
      <c r="F7325" s="2" t="str">
        <f>HYPERLINK("http://www.12365auto.com/news/20200215/418607.shtml","http://www.12365auto.com/news/20200215/418607.shtml")</f>
        <v>http://www.12365auto.com/news/20200215/418607.shtml</v>
      </c>
      <c r="G7325" s="2"/>
      <c r="H7325" s="2" t="s">
        <v>10091</v>
      </c>
      <c r="I7325" s="2" t="s">
        <v>15</v>
      </c>
      <c r="J7325" s="2" t="s">
        <v>12</v>
      </c>
      <c r="K7325" s="2" t="s">
        <v>10090</v>
      </c>
      <c r="L7325" s="2">
        <f t="shared" si="114"/>
        <v>150</v>
      </c>
    </row>
    <row r="7326" spans="1:12" ht="25" customHeight="1">
      <c r="A7326" s="2" t="s">
        <v>12</v>
      </c>
      <c r="B7326" s="2" t="str">
        <f>HYPERLINK("http://m.12365auto.com/xcdg/20200215/418606.shtml","工厂再次裁员 Revero新车上市日期成谜")</f>
        <v>工厂再次裁员 Revero新车上市日期成谜</v>
      </c>
      <c r="C7326" s="2" t="s">
        <v>13</v>
      </c>
      <c r="D7326" s="2" t="s">
        <v>12</v>
      </c>
      <c r="E7326" s="2"/>
      <c r="F7326" s="2" t="str">
        <f>HYPERLINK("http://m.12365auto.com/xcdg/20200215/418606.shtml","http://m.12365auto.com/xcdg/20200215/418606.shtml")</f>
        <v>http://m.12365auto.com/xcdg/20200215/418606.shtml</v>
      </c>
      <c r="G7326" s="2"/>
      <c r="H7326" s="2" t="s">
        <v>10092</v>
      </c>
      <c r="I7326" s="2" t="s">
        <v>19</v>
      </c>
      <c r="J7326" s="2" t="s">
        <v>1543</v>
      </c>
      <c r="K7326" s="2" t="s">
        <v>10093</v>
      </c>
      <c r="L7326" s="2">
        <f t="shared" si="114"/>
        <v>150</v>
      </c>
    </row>
    <row r="7327" spans="1:12" ht="25" customHeight="1">
      <c r="A7327" s="2" t="s">
        <v>12</v>
      </c>
      <c r="B7327" s="2" t="str">
        <f>HYPERLINK("http://www.12365auto.com/xcdg/20200215/418606.shtml","工厂再次裁员 Revero新车上市日期成谜")</f>
        <v>工厂再次裁员 Revero新车上市日期成谜</v>
      </c>
      <c r="C7327" s="2" t="s">
        <v>13</v>
      </c>
      <c r="D7327" s="2" t="s">
        <v>12</v>
      </c>
      <c r="E7327" s="2" t="s">
        <v>216</v>
      </c>
      <c r="F7327" s="2" t="str">
        <f>HYPERLINK("http://www.12365auto.com/xcdg/20200215/418606.shtml","http://www.12365auto.com/xcdg/20200215/418606.shtml")</f>
        <v>http://www.12365auto.com/xcdg/20200215/418606.shtml</v>
      </c>
      <c r="G7327" s="2"/>
      <c r="H7327" s="2" t="s">
        <v>10094</v>
      </c>
      <c r="I7327" s="2" t="s">
        <v>15</v>
      </c>
      <c r="J7327" s="2" t="s">
        <v>12</v>
      </c>
      <c r="K7327" s="2" t="s">
        <v>10093</v>
      </c>
      <c r="L7327" s="2">
        <f t="shared" si="114"/>
        <v>150</v>
      </c>
    </row>
    <row r="7328" spans="1:12" ht="25" customHeight="1">
      <c r="A7328" s="2" t="s">
        <v>12</v>
      </c>
      <c r="B7328" s="2" t="str">
        <f>HYPERLINK("http://www.12365auto.com/zlts/20200215/447283.shtml","变速箱油散热软管破裂")</f>
        <v>变速箱油散热软管破裂</v>
      </c>
      <c r="C7328" s="2" t="s">
        <v>13</v>
      </c>
      <c r="D7328" s="2" t="s">
        <v>12</v>
      </c>
      <c r="E7328" s="2"/>
      <c r="F7328" s="2" t="str">
        <f>HYPERLINK("http://www.12365auto.com/zlts/20200215/447283.shtml","http://www.12365auto.com/zlts/20200215/447283.shtml")</f>
        <v>http://www.12365auto.com/zlts/20200215/447283.shtml</v>
      </c>
      <c r="G7328" s="2"/>
      <c r="H7328" s="2" t="s">
        <v>10096</v>
      </c>
      <c r="I7328" s="2" t="s">
        <v>15</v>
      </c>
      <c r="J7328" s="2" t="s">
        <v>12</v>
      </c>
      <c r="K7328" s="2" t="s">
        <v>10095</v>
      </c>
      <c r="L7328" s="2">
        <f t="shared" si="114"/>
        <v>83</v>
      </c>
    </row>
    <row r="7329" spans="1:12" ht="25" customHeight="1">
      <c r="A7329" s="2" t="s">
        <v>12</v>
      </c>
      <c r="B7329" s="2" t="str">
        <f>HYPERLINK("http://www.12365auto.com/zlts/20200215/447282.shtml","东风本田思域发动机机油增多")</f>
        <v>东风本田思域发动机机油增多</v>
      </c>
      <c r="C7329" s="2" t="s">
        <v>13</v>
      </c>
      <c r="D7329" s="2" t="s">
        <v>12</v>
      </c>
      <c r="E7329" s="2"/>
      <c r="F7329" s="2" t="str">
        <f>HYPERLINK("http://www.12365auto.com/zlts/20200215/447282.shtml","http://www.12365auto.com/zlts/20200215/447282.shtml")</f>
        <v>http://www.12365auto.com/zlts/20200215/447282.shtml</v>
      </c>
      <c r="G7329" s="2"/>
      <c r="H7329" s="2" t="s">
        <v>10098</v>
      </c>
      <c r="I7329" s="2" t="s">
        <v>15</v>
      </c>
      <c r="J7329" s="2" t="s">
        <v>12</v>
      </c>
      <c r="K7329" s="2" t="s">
        <v>10097</v>
      </c>
      <c r="L7329" s="2">
        <f t="shared" si="114"/>
        <v>84</v>
      </c>
    </row>
    <row r="7330" spans="1:12" ht="25" customHeight="1">
      <c r="A7330" s="2" t="s">
        <v>12</v>
      </c>
      <c r="B7330" s="2" t="str">
        <f>HYPERLINK("http://m.12365auto.com/news/20200215/418604.shtml","返程高峰降雪增多 雪天行车需掌握这几点！")</f>
        <v>返程高峰降雪增多 雪天行车需掌握这几点！</v>
      </c>
      <c r="C7330" s="2" t="s">
        <v>13</v>
      </c>
      <c r="D7330" s="2" t="s">
        <v>12</v>
      </c>
      <c r="E7330" s="2"/>
      <c r="F7330" s="2" t="str">
        <f>HYPERLINK("http://m.12365auto.com/news/20200215/418604.shtml","http://m.12365auto.com/news/20200215/418604.shtml")</f>
        <v>http://m.12365auto.com/news/20200215/418604.shtml</v>
      </c>
      <c r="G7330" s="2"/>
      <c r="H7330" s="2" t="s">
        <v>10099</v>
      </c>
      <c r="I7330" s="2" t="s">
        <v>19</v>
      </c>
      <c r="J7330" s="2" t="s">
        <v>369</v>
      </c>
      <c r="K7330" s="2" t="s">
        <v>10100</v>
      </c>
      <c r="L7330" s="2">
        <f t="shared" si="114"/>
        <v>150</v>
      </c>
    </row>
    <row r="7331" spans="1:12" ht="25" customHeight="1">
      <c r="A7331" s="2" t="s">
        <v>12</v>
      </c>
      <c r="B7331" s="2" t="str">
        <f>HYPERLINK("http://m.12365auto.com/dcbg/20200215/418605.shtml","新车产品力指数：上汽通用凯迪拉克CT4")</f>
        <v>新车产品力指数：上汽通用凯迪拉克CT4</v>
      </c>
      <c r="C7331" s="2" t="s">
        <v>13</v>
      </c>
      <c r="D7331" s="2" t="s">
        <v>12</v>
      </c>
      <c r="E7331" s="2"/>
      <c r="F7331" s="2" t="str">
        <f>HYPERLINK("http://m.12365auto.com/dcbg/20200215/418605.shtml","http://m.12365auto.com/dcbg/20200215/418605.shtml")</f>
        <v>http://m.12365auto.com/dcbg/20200215/418605.shtml</v>
      </c>
      <c r="G7331" s="2"/>
      <c r="H7331" s="2" t="s">
        <v>10101</v>
      </c>
      <c r="I7331" s="2" t="s">
        <v>19</v>
      </c>
      <c r="J7331" s="2" t="s">
        <v>371</v>
      </c>
      <c r="K7331" s="2" t="s">
        <v>10100</v>
      </c>
      <c r="L7331" s="2">
        <f t="shared" si="114"/>
        <v>150</v>
      </c>
    </row>
    <row r="7332" spans="1:12" ht="25" customHeight="1">
      <c r="A7332" s="2" t="s">
        <v>12</v>
      </c>
      <c r="B7332" s="2" t="str">
        <f>HYPERLINK("http://www.12365auto.com/news/20200215/418604.shtml","返程高峰降雪增多 雪天行车需掌握这几点！")</f>
        <v>返程高峰降雪增多 雪天行车需掌握这几点！</v>
      </c>
      <c r="C7332" s="2" t="s">
        <v>13</v>
      </c>
      <c r="D7332" s="2" t="s">
        <v>12</v>
      </c>
      <c r="E7332" s="2" t="s">
        <v>372</v>
      </c>
      <c r="F7332" s="2" t="str">
        <f>HYPERLINK("http://www.12365auto.com/news/20200215/418604.shtml","http://www.12365auto.com/news/20200215/418604.shtml")</f>
        <v>http://www.12365auto.com/news/20200215/418604.shtml</v>
      </c>
      <c r="G7332" s="2"/>
      <c r="H7332" s="2" t="s">
        <v>10102</v>
      </c>
      <c r="I7332" s="2" t="s">
        <v>15</v>
      </c>
      <c r="J7332" s="2" t="s">
        <v>12</v>
      </c>
      <c r="K7332" s="2" t="s">
        <v>10100</v>
      </c>
      <c r="L7332" s="2">
        <f t="shared" si="114"/>
        <v>150</v>
      </c>
    </row>
    <row r="7333" spans="1:12" ht="25" customHeight="1">
      <c r="A7333" s="2" t="s">
        <v>12</v>
      </c>
      <c r="B7333" s="2" t="str">
        <f>HYPERLINK("http://www.12365auto.com/dcbg/20200215/418605.shtml","新车产品力指数：上汽通用凯迪拉克CT4")</f>
        <v>新车产品力指数：上汽通用凯迪拉克CT4</v>
      </c>
      <c r="C7333" s="2" t="s">
        <v>13</v>
      </c>
      <c r="D7333" s="2" t="s">
        <v>12</v>
      </c>
      <c r="E7333" s="2" t="s">
        <v>1319</v>
      </c>
      <c r="F7333" s="2" t="str">
        <f>HYPERLINK("http://www.12365auto.com/dcbg/20200215/418605.shtml","http://www.12365auto.com/dcbg/20200215/418605.shtml")</f>
        <v>http://www.12365auto.com/dcbg/20200215/418605.shtml</v>
      </c>
      <c r="G7333" s="2"/>
      <c r="H7333" s="2" t="s">
        <v>10103</v>
      </c>
      <c r="I7333" s="2" t="s">
        <v>15</v>
      </c>
      <c r="J7333" s="2" t="s">
        <v>12</v>
      </c>
      <c r="K7333" s="2" t="s">
        <v>10100</v>
      </c>
      <c r="L7333" s="2">
        <f t="shared" si="114"/>
        <v>150</v>
      </c>
    </row>
    <row r="7334" spans="1:12" ht="25" customHeight="1">
      <c r="A7334" s="2" t="s">
        <v>12</v>
      </c>
      <c r="B7334" s="2" t="str">
        <f>HYPERLINK("http://www.12365auto.com/zlts/20200215/447281.shtml","节气门存油")</f>
        <v>节气门存油</v>
      </c>
      <c r="C7334" s="2" t="s">
        <v>13</v>
      </c>
      <c r="D7334" s="2" t="s">
        <v>12</v>
      </c>
      <c r="E7334" s="2"/>
      <c r="F7334" s="2" t="str">
        <f>HYPERLINK("http://www.12365auto.com/zlts/20200215/447281.shtml","http://www.12365auto.com/zlts/20200215/447281.shtml")</f>
        <v>http://www.12365auto.com/zlts/20200215/447281.shtml</v>
      </c>
      <c r="G7334" s="2"/>
      <c r="H7334" s="2" t="s">
        <v>10105</v>
      </c>
      <c r="I7334" s="2" t="s">
        <v>15</v>
      </c>
      <c r="J7334" s="2" t="s">
        <v>12</v>
      </c>
      <c r="K7334" s="2" t="s">
        <v>10104</v>
      </c>
      <c r="L7334" s="2">
        <f t="shared" si="114"/>
        <v>92</v>
      </c>
    </row>
    <row r="7335" spans="1:12" ht="25" customHeight="1">
      <c r="A7335" s="2" t="s">
        <v>12</v>
      </c>
      <c r="B7335" s="2" t="str">
        <f>HYPERLINK("http://www.12365auto.com/zlts/20200215/447279.shtml","漏油严重")</f>
        <v>漏油严重</v>
      </c>
      <c r="C7335" s="2" t="s">
        <v>13</v>
      </c>
      <c r="D7335" s="2" t="s">
        <v>12</v>
      </c>
      <c r="E7335" s="2"/>
      <c r="F7335" s="2" t="str">
        <f>HYPERLINK("http://www.12365auto.com/zlts/20200215/447279.shtml","http://www.12365auto.com/zlts/20200215/447279.shtml")</f>
        <v>http://www.12365auto.com/zlts/20200215/447279.shtml</v>
      </c>
      <c r="G7335" s="2"/>
      <c r="H7335" s="2" t="s">
        <v>10107</v>
      </c>
      <c r="I7335" s="2" t="s">
        <v>15</v>
      </c>
      <c r="J7335" s="2" t="s">
        <v>12</v>
      </c>
      <c r="K7335" s="2" t="s">
        <v>10106</v>
      </c>
      <c r="L7335" s="2">
        <f t="shared" si="114"/>
        <v>82</v>
      </c>
    </row>
    <row r="7336" spans="1:12" ht="25" customHeight="1">
      <c r="A7336" s="2" t="s">
        <v>12</v>
      </c>
      <c r="B7336" s="2" t="str">
        <f>HYPERLINK("http://www.12365auto.com/zlts/20200215/447278.shtml","车内异味大")</f>
        <v>车内异味大</v>
      </c>
      <c r="C7336" s="2" t="s">
        <v>13</v>
      </c>
      <c r="D7336" s="2" t="s">
        <v>12</v>
      </c>
      <c r="E7336" s="2"/>
      <c r="F7336" s="2" t="str">
        <f>HYPERLINK("http://www.12365auto.com/zlts/20200215/447278.shtml","http://www.12365auto.com/zlts/20200215/447278.shtml")</f>
        <v>http://www.12365auto.com/zlts/20200215/447278.shtml</v>
      </c>
      <c r="G7336" s="2"/>
      <c r="H7336" s="2" t="s">
        <v>10109</v>
      </c>
      <c r="I7336" s="2" t="s">
        <v>15</v>
      </c>
      <c r="J7336" s="2" t="s">
        <v>12</v>
      </c>
      <c r="K7336" s="2" t="s">
        <v>10108</v>
      </c>
      <c r="L7336" s="2">
        <f t="shared" si="114"/>
        <v>84</v>
      </c>
    </row>
    <row r="7337" spans="1:12" ht="25" customHeight="1">
      <c r="A7337" s="2" t="s">
        <v>12</v>
      </c>
      <c r="B7337" s="2" t="str">
        <f>HYPERLINK("http://www.12365auto.com/zlts/20200215/447274.shtml","两次发电机故障")</f>
        <v>两次发电机故障</v>
      </c>
      <c r="C7337" s="2" t="s">
        <v>13</v>
      </c>
      <c r="D7337" s="2" t="s">
        <v>12</v>
      </c>
      <c r="E7337" s="2"/>
      <c r="F7337" s="2" t="str">
        <f>HYPERLINK("http://www.12365auto.com/zlts/20200215/447274.shtml","http://www.12365auto.com/zlts/20200215/447274.shtml")</f>
        <v>http://www.12365auto.com/zlts/20200215/447274.shtml</v>
      </c>
      <c r="G7337" s="2"/>
      <c r="H7337" s="2" t="s">
        <v>10111</v>
      </c>
      <c r="I7337" s="2" t="s">
        <v>15</v>
      </c>
      <c r="J7337" s="2" t="s">
        <v>12</v>
      </c>
      <c r="K7337" s="2" t="s">
        <v>10110</v>
      </c>
      <c r="L7337" s="2">
        <f t="shared" si="114"/>
        <v>87</v>
      </c>
    </row>
    <row r="7338" spans="1:12" ht="25" customHeight="1">
      <c r="A7338" s="2" t="s">
        <v>12</v>
      </c>
      <c r="B7338" s="2" t="str">
        <f>HYPERLINK("http://www.12365auto.com/zlts/20200214/447272.shtml","朗逸异味，大众和经销商推诿至今没有解决")</f>
        <v>朗逸异味，大众和经销商推诿至今没有解决</v>
      </c>
      <c r="C7338" s="2" t="s">
        <v>13</v>
      </c>
      <c r="D7338" s="2" t="s">
        <v>12</v>
      </c>
      <c r="E7338" s="2"/>
      <c r="F7338" s="2" t="str">
        <f>HYPERLINK("http://www.12365auto.com/zlts/20200214/447272.shtml","http://www.12365auto.com/zlts/20200214/447272.shtml")</f>
        <v>http://www.12365auto.com/zlts/20200214/447272.shtml</v>
      </c>
      <c r="G7338" s="2"/>
      <c r="H7338" s="2" t="s">
        <v>10113</v>
      </c>
      <c r="I7338" s="2" t="s">
        <v>15</v>
      </c>
      <c r="J7338" s="2" t="s">
        <v>12</v>
      </c>
      <c r="K7338" s="2" t="s">
        <v>10112</v>
      </c>
      <c r="L7338" s="2">
        <f t="shared" si="114"/>
        <v>80</v>
      </c>
    </row>
    <row r="7339" spans="1:12" ht="25" customHeight="1">
      <c r="A7339" s="2" t="s">
        <v>12</v>
      </c>
      <c r="B7339" s="2" t="str">
        <f>HYPERLINK("http://www.12365auto.com/zlts/20200214/447273.shtml","刹车踩下去一直软下去")</f>
        <v>刹车踩下去一直软下去</v>
      </c>
      <c r="C7339" s="2" t="s">
        <v>13</v>
      </c>
      <c r="D7339" s="2" t="s">
        <v>12</v>
      </c>
      <c r="E7339" s="2"/>
      <c r="F7339" s="2" t="str">
        <f>HYPERLINK("http://www.12365auto.com/zlts/20200214/447273.shtml","http://www.12365auto.com/zlts/20200214/447273.shtml")</f>
        <v>http://www.12365auto.com/zlts/20200214/447273.shtml</v>
      </c>
      <c r="G7339" s="2"/>
      <c r="H7339" s="2" t="s">
        <v>10114</v>
      </c>
      <c r="I7339" s="2" t="s">
        <v>15</v>
      </c>
      <c r="J7339" s="2" t="s">
        <v>12</v>
      </c>
      <c r="K7339" s="2" t="s">
        <v>10112</v>
      </c>
      <c r="L7339" s="2">
        <f t="shared" si="114"/>
        <v>84</v>
      </c>
    </row>
    <row r="7340" spans="1:12" ht="25" customHeight="1">
      <c r="A7340" s="2" t="s">
        <v>12</v>
      </c>
      <c r="B7340" s="2" t="str">
        <f>HYPERLINK("http://www.12365auto.com/zlts/20200214/447271.shtml","奇瑞瑞虎5变速箱顿挫异响 手刹尖叫 减震异响")</f>
        <v>奇瑞瑞虎5变速箱顿挫异响 手刹尖叫 减震异响</v>
      </c>
      <c r="C7340" s="2" t="s">
        <v>13</v>
      </c>
      <c r="D7340" s="2" t="s">
        <v>12</v>
      </c>
      <c r="E7340" s="2" t="s">
        <v>17</v>
      </c>
      <c r="F7340" s="2" t="str">
        <f>HYPERLINK("http://www.12365auto.com/zlts/20200214/447271.shtml","http://www.12365auto.com/zlts/20200214/447271.shtml")</f>
        <v>http://www.12365auto.com/zlts/20200214/447271.shtml</v>
      </c>
      <c r="G7340" s="2"/>
      <c r="H7340" s="2" t="s">
        <v>10115</v>
      </c>
      <c r="I7340" s="2" t="s">
        <v>19</v>
      </c>
      <c r="J7340" s="2" t="s">
        <v>12</v>
      </c>
      <c r="K7340" s="2" t="s">
        <v>10116</v>
      </c>
      <c r="L7340" s="2">
        <f t="shared" si="114"/>
        <v>150</v>
      </c>
    </row>
    <row r="7341" spans="1:12" ht="25" customHeight="1">
      <c r="A7341" s="2" t="s">
        <v>12</v>
      </c>
      <c r="B7341" s="2" t="str">
        <f>HYPERLINK("http://www.12365auto.com/zlts/20200214/447269.shtml","中控屏出现裂纹")</f>
        <v>中控屏出现裂纹</v>
      </c>
      <c r="C7341" s="2" t="s">
        <v>13</v>
      </c>
      <c r="D7341" s="2" t="s">
        <v>12</v>
      </c>
      <c r="E7341" s="2"/>
      <c r="F7341" s="2" t="str">
        <f>HYPERLINK("http://www.12365auto.com/zlts/20200214/447269.shtml","http://www.12365auto.com/zlts/20200214/447269.shtml")</f>
        <v>http://www.12365auto.com/zlts/20200214/447269.shtml</v>
      </c>
      <c r="G7341" s="2"/>
      <c r="H7341" s="2" t="s">
        <v>10118</v>
      </c>
      <c r="I7341" s="2" t="s">
        <v>15</v>
      </c>
      <c r="J7341" s="2" t="s">
        <v>12</v>
      </c>
      <c r="K7341" s="2" t="s">
        <v>10117</v>
      </c>
      <c r="L7341" s="2">
        <f t="shared" si="114"/>
        <v>91</v>
      </c>
    </row>
    <row r="7342" spans="1:12" ht="25" customHeight="1">
      <c r="A7342" s="2" t="s">
        <v>12</v>
      </c>
      <c r="B7342" s="2" t="str">
        <f>HYPERLINK("http://bbs.12365auto.com/postcontent.aspx?tID=194165","启辰D60垃圾车 发动机坏了两次 没人解决")</f>
        <v>启辰D60垃圾车 发动机坏了两次 没人解决</v>
      </c>
      <c r="C7342" s="2" t="s">
        <v>13</v>
      </c>
      <c r="D7342" s="2" t="s">
        <v>12</v>
      </c>
      <c r="E7342" s="2" t="s">
        <v>4209</v>
      </c>
      <c r="F7342" s="2" t="str">
        <f>HYPERLINK("http://bbs.12365auto.com/postcontent.aspx?tID=194165","http://bbs.12365auto.com/postcontent.aspx?tID=194165")</f>
        <v>http://bbs.12365auto.com/postcontent.aspx?tID=194165</v>
      </c>
      <c r="G7342" s="2"/>
      <c r="H7342" s="2" t="s">
        <v>10119</v>
      </c>
      <c r="I7342" s="2" t="s">
        <v>15</v>
      </c>
      <c r="J7342" s="2" t="s">
        <v>10120</v>
      </c>
      <c r="K7342" s="2" t="s">
        <v>10121</v>
      </c>
      <c r="L7342" s="2">
        <f t="shared" si="114"/>
        <v>49</v>
      </c>
    </row>
    <row r="7343" spans="1:12" ht="25" customHeight="1">
      <c r="A7343" s="2" t="s">
        <v>12</v>
      </c>
      <c r="B7343" s="2" t="str">
        <f>HYPERLINK("http://www.12365auto.com/zlts/20200214/447264.shtml","故障灯亮")</f>
        <v>故障灯亮</v>
      </c>
      <c r="C7343" s="2" t="s">
        <v>13</v>
      </c>
      <c r="D7343" s="2" t="s">
        <v>12</v>
      </c>
      <c r="E7343" s="2"/>
      <c r="F7343" s="2" t="str">
        <f>HYPERLINK("http://www.12365auto.com/zlts/20200214/447264.shtml","http://www.12365auto.com/zlts/20200214/447264.shtml")</f>
        <v>http://www.12365auto.com/zlts/20200214/447264.shtml</v>
      </c>
      <c r="G7343" s="2"/>
      <c r="H7343" s="2" t="s">
        <v>10123</v>
      </c>
      <c r="I7343" s="2" t="s">
        <v>15</v>
      </c>
      <c r="J7343" s="2" t="s">
        <v>12</v>
      </c>
      <c r="K7343" s="2" t="s">
        <v>10122</v>
      </c>
      <c r="L7343" s="2">
        <f t="shared" si="114"/>
        <v>85</v>
      </c>
    </row>
    <row r="7344" spans="1:12" ht="25" customHeight="1">
      <c r="A7344" s="2" t="s">
        <v>12</v>
      </c>
      <c r="B7344" s="2" t="str">
        <f>HYPERLINK("http://www.12365auto.com/zlts/20200214/447262.shtml","大众主机连接苹果手机 CarPlay功能")</f>
        <v>大众主机连接苹果手机 CarPlay功能</v>
      </c>
      <c r="C7344" s="2" t="s">
        <v>13</v>
      </c>
      <c r="D7344" s="2" t="s">
        <v>12</v>
      </c>
      <c r="E7344" s="2"/>
      <c r="F7344" s="2" t="str">
        <f>HYPERLINK("http://www.12365auto.com/zlts/20200214/447262.shtml","http://www.12365auto.com/zlts/20200214/447262.shtml")</f>
        <v>http://www.12365auto.com/zlts/20200214/447262.shtml</v>
      </c>
      <c r="G7344" s="2"/>
      <c r="H7344" s="2" t="s">
        <v>10125</v>
      </c>
      <c r="I7344" s="2" t="s">
        <v>15</v>
      </c>
      <c r="J7344" s="2" t="s">
        <v>12</v>
      </c>
      <c r="K7344" s="2" t="s">
        <v>10124</v>
      </c>
      <c r="L7344" s="2">
        <f t="shared" si="114"/>
        <v>87</v>
      </c>
    </row>
    <row r="7345" spans="1:12" ht="25" customHeight="1">
      <c r="A7345" s="2" t="s">
        <v>12</v>
      </c>
      <c r="B7345" s="2" t="str">
        <f>HYPERLINK("http://www.12365auto.com/zlts/20200214/447263.shtml","比亚迪宋变速箱换挡困难 4S店服务态度差")</f>
        <v>比亚迪宋变速箱换挡困难 4S店服务态度差</v>
      </c>
      <c r="C7345" s="2" t="s">
        <v>13</v>
      </c>
      <c r="D7345" s="2" t="s">
        <v>12</v>
      </c>
      <c r="E7345" s="2"/>
      <c r="F7345" s="2" t="str">
        <f>HYPERLINK("http://www.12365auto.com/zlts/20200214/447263.shtml","http://www.12365auto.com/zlts/20200214/447263.shtml")</f>
        <v>http://www.12365auto.com/zlts/20200214/447263.shtml</v>
      </c>
      <c r="G7345" s="2"/>
      <c r="H7345" s="2" t="s">
        <v>10127</v>
      </c>
      <c r="I7345" s="2" t="s">
        <v>15</v>
      </c>
      <c r="J7345" s="2" t="s">
        <v>12</v>
      </c>
      <c r="K7345" s="2" t="s">
        <v>10126</v>
      </c>
      <c r="L7345" s="2">
        <f t="shared" si="114"/>
        <v>81</v>
      </c>
    </row>
    <row r="7346" spans="1:12" ht="25" customHeight="1">
      <c r="A7346" s="2" t="s">
        <v>12</v>
      </c>
      <c r="B7346" s="2" t="str">
        <f>HYPERLINK("http://www.12365auto.com/zlts/20200214/447259.shtml","波箱脱档，方向异响！")</f>
        <v>波箱脱档，方向异响！</v>
      </c>
      <c r="C7346" s="2" t="s">
        <v>13</v>
      </c>
      <c r="D7346" s="2" t="s">
        <v>12</v>
      </c>
      <c r="E7346" s="2"/>
      <c r="F7346" s="2" t="str">
        <f>HYPERLINK("http://www.12365auto.com/zlts/20200214/447259.shtml","http://www.12365auto.com/zlts/20200214/447259.shtml")</f>
        <v>http://www.12365auto.com/zlts/20200214/447259.shtml</v>
      </c>
      <c r="G7346" s="2"/>
      <c r="H7346" s="2" t="s">
        <v>10129</v>
      </c>
      <c r="I7346" s="2" t="s">
        <v>15</v>
      </c>
      <c r="J7346" s="2" t="s">
        <v>12</v>
      </c>
      <c r="K7346" s="2" t="s">
        <v>10128</v>
      </c>
      <c r="L7346" s="2">
        <f t="shared" si="114"/>
        <v>88</v>
      </c>
    </row>
    <row r="7347" spans="1:12" ht="25" customHeight="1">
      <c r="A7347" s="2" t="s">
        <v>12</v>
      </c>
      <c r="B7347" s="2" t="str">
        <f>HYPERLINK("http://www.12365auto.com/zlts/20200214/447260.shtml","倒车影像摄像头进水，影像模糊")</f>
        <v>倒车影像摄像头进水，影像模糊</v>
      </c>
      <c r="C7347" s="2" t="s">
        <v>13</v>
      </c>
      <c r="D7347" s="2" t="s">
        <v>12</v>
      </c>
      <c r="E7347" s="2"/>
      <c r="F7347" s="2" t="str">
        <f>HYPERLINK("http://www.12365auto.com/zlts/20200214/447260.shtml","http://www.12365auto.com/zlts/20200214/447260.shtml")</f>
        <v>http://www.12365auto.com/zlts/20200214/447260.shtml</v>
      </c>
      <c r="G7347" s="2"/>
      <c r="H7347" s="2" t="s">
        <v>10131</v>
      </c>
      <c r="I7347" s="2" t="s">
        <v>15</v>
      </c>
      <c r="J7347" s="2" t="s">
        <v>12</v>
      </c>
      <c r="K7347" s="2" t="s">
        <v>10130</v>
      </c>
      <c r="L7347" s="2">
        <f t="shared" si="114"/>
        <v>80</v>
      </c>
    </row>
    <row r="7348" spans="1:12" ht="25" customHeight="1">
      <c r="A7348" s="2" t="s">
        <v>12</v>
      </c>
      <c r="B7348" s="2" t="str">
        <f>HYPERLINK("http://www.12365auto.com/zlts/20200214/447261.shtml","斯柯达速派动态大灯故障希望尽快处理")</f>
        <v>斯柯达速派动态大灯故障希望尽快处理</v>
      </c>
      <c r="C7348" s="2" t="s">
        <v>13</v>
      </c>
      <c r="D7348" s="2" t="s">
        <v>12</v>
      </c>
      <c r="E7348" s="2" t="s">
        <v>17</v>
      </c>
      <c r="F7348" s="2" t="str">
        <f>HYPERLINK("http://www.12365auto.com/zlts/20200214/447261.shtml","http://www.12365auto.com/zlts/20200214/447261.shtml")</f>
        <v>http://www.12365auto.com/zlts/20200214/447261.shtml</v>
      </c>
      <c r="G7348" s="2"/>
      <c r="H7348" s="2" t="s">
        <v>10132</v>
      </c>
      <c r="I7348" s="2" t="s">
        <v>19</v>
      </c>
      <c r="J7348" s="2" t="s">
        <v>12</v>
      </c>
      <c r="K7348" s="2" t="s">
        <v>10133</v>
      </c>
      <c r="L7348" s="2">
        <f t="shared" si="114"/>
        <v>150</v>
      </c>
    </row>
    <row r="7349" spans="1:12" ht="25" customHeight="1">
      <c r="A7349" s="2" t="s">
        <v>12</v>
      </c>
      <c r="B7349" s="2" t="str">
        <f>HYPERLINK("http://www.12365auto.com/zlts/20200214/447257.shtml","一汽大众速腾变速箱与刹车异响希望处理")</f>
        <v>一汽大众速腾变速箱与刹车异响希望处理</v>
      </c>
      <c r="C7349" s="2" t="s">
        <v>13</v>
      </c>
      <c r="D7349" s="2" t="s">
        <v>12</v>
      </c>
      <c r="E7349" s="2"/>
      <c r="F7349" s="2" t="str">
        <f>HYPERLINK("http://www.12365auto.com/zlts/20200214/447257.shtml","http://www.12365auto.com/zlts/20200214/447257.shtml")</f>
        <v>http://www.12365auto.com/zlts/20200214/447257.shtml</v>
      </c>
      <c r="G7349" s="2"/>
      <c r="H7349" s="2" t="s">
        <v>10135</v>
      </c>
      <c r="I7349" s="2" t="s">
        <v>15</v>
      </c>
      <c r="J7349" s="2" t="s">
        <v>12</v>
      </c>
      <c r="K7349" s="2" t="s">
        <v>10134</v>
      </c>
      <c r="L7349" s="2">
        <f t="shared" si="114"/>
        <v>88</v>
      </c>
    </row>
    <row r="7350" spans="1:12" ht="25" customHeight="1">
      <c r="A7350" s="2" t="s">
        <v>12</v>
      </c>
      <c r="B7350" s="2" t="str">
        <f>HYPERLINK("http://bbs.12365auto.com/postcontent.aspx?tID=194164","荣威i5手动互联领豪旗舰版发动机部件生锈")</f>
        <v>荣威i5手动互联领豪旗舰版发动机部件生锈</v>
      </c>
      <c r="C7350" s="2" t="s">
        <v>13</v>
      </c>
      <c r="D7350" s="2" t="s">
        <v>12</v>
      </c>
      <c r="E7350" s="2" t="s">
        <v>67</v>
      </c>
      <c r="F7350" s="2" t="str">
        <f>HYPERLINK("http://bbs.12365auto.com/postcontent.aspx?tID=194164","http://bbs.12365auto.com/postcontent.aspx?tID=194164")</f>
        <v>http://bbs.12365auto.com/postcontent.aspx?tID=194164</v>
      </c>
      <c r="G7350" s="2"/>
      <c r="H7350" s="2" t="s">
        <v>10136</v>
      </c>
      <c r="I7350" s="2" t="s">
        <v>15</v>
      </c>
      <c r="J7350" s="2" t="s">
        <v>10137</v>
      </c>
      <c r="K7350" s="2" t="s">
        <v>10138</v>
      </c>
      <c r="L7350" s="2">
        <f t="shared" si="114"/>
        <v>87</v>
      </c>
    </row>
    <row r="7351" spans="1:12" ht="25" customHeight="1">
      <c r="A7351" s="2" t="s">
        <v>12</v>
      </c>
      <c r="B7351" s="2" t="str">
        <f>HYPERLINK("http://m.12365auto.com/zjdy/20200214/121274.shtml","丰田亚洲龙2.0L版本的车型值得考虑吗？")</f>
        <v>丰田亚洲龙2.0L版本的车型值得考虑吗？</v>
      </c>
      <c r="C7351" s="2" t="s">
        <v>13</v>
      </c>
      <c r="D7351" s="2" t="s">
        <v>12</v>
      </c>
      <c r="E7351" s="2"/>
      <c r="F7351" s="2" t="str">
        <f>HYPERLINK("http://m.12365auto.com/zjdy/20200214/121274.shtml","http://m.12365auto.com/zjdy/20200214/121274.shtml")</f>
        <v>http://m.12365auto.com/zjdy/20200214/121274.shtml</v>
      </c>
      <c r="G7351" s="2"/>
      <c r="H7351" s="2" t="s">
        <v>10139</v>
      </c>
      <c r="I7351" s="2" t="s">
        <v>19</v>
      </c>
      <c r="J7351" s="2" t="s">
        <v>12</v>
      </c>
      <c r="K7351" s="2" t="s">
        <v>10140</v>
      </c>
      <c r="L7351" s="2">
        <f t="shared" si="114"/>
        <v>22</v>
      </c>
    </row>
    <row r="7352" spans="1:12" ht="25" customHeight="1">
      <c r="A7352" s="2" t="s">
        <v>12</v>
      </c>
      <c r="B7352" s="2" t="str">
        <f>HYPERLINK("http://m.12365auto.com/zjdy/20200214/121271.shtml","机油乳化是什么原因导致的如何处理？")</f>
        <v>机油乳化是什么原因导致的如何处理？</v>
      </c>
      <c r="C7352" s="2" t="s">
        <v>13</v>
      </c>
      <c r="D7352" s="2" t="s">
        <v>12</v>
      </c>
      <c r="E7352" s="2"/>
      <c r="F7352" s="2" t="str">
        <f>HYPERLINK("http://m.12365auto.com/zjdy/20200214/121271.shtml","http://m.12365auto.com/zjdy/20200214/121271.shtml")</f>
        <v>http://m.12365auto.com/zjdy/20200214/121271.shtml</v>
      </c>
      <c r="G7352" s="2"/>
      <c r="H7352" s="2" t="s">
        <v>10141</v>
      </c>
      <c r="I7352" s="2" t="s">
        <v>19</v>
      </c>
      <c r="J7352" s="2" t="s">
        <v>12</v>
      </c>
      <c r="K7352" s="2" t="s">
        <v>10142</v>
      </c>
      <c r="L7352" s="2">
        <f t="shared" si="114"/>
        <v>46</v>
      </c>
    </row>
    <row r="7353" spans="1:12" ht="25" customHeight="1">
      <c r="A7353" s="2" t="s">
        <v>12</v>
      </c>
      <c r="B7353" s="2" t="str">
        <f>HYPERLINK("http://m.12365auto.com/zjdy/20200214/121270.shtml","车辆发动机有异味是什么原因导致的？")</f>
        <v>车辆发动机有异味是什么原因导致的？</v>
      </c>
      <c r="C7353" s="2" t="s">
        <v>13</v>
      </c>
      <c r="D7353" s="2" t="s">
        <v>12</v>
      </c>
      <c r="E7353" s="2"/>
      <c r="F7353" s="2" t="str">
        <f>HYPERLINK("http://m.12365auto.com/zjdy/20200214/121270.shtml","http://m.12365auto.com/zjdy/20200214/121270.shtml")</f>
        <v>http://m.12365auto.com/zjdy/20200214/121270.shtml</v>
      </c>
      <c r="G7353" s="2"/>
      <c r="H7353" s="2" t="s">
        <v>10143</v>
      </c>
      <c r="I7353" s="2" t="s">
        <v>19</v>
      </c>
      <c r="J7353" s="2" t="s">
        <v>12</v>
      </c>
      <c r="K7353" s="2" t="s">
        <v>10142</v>
      </c>
      <c r="L7353" s="2">
        <f t="shared" si="114"/>
        <v>68</v>
      </c>
    </row>
    <row r="7354" spans="1:12" ht="25" customHeight="1">
      <c r="A7354" s="2" t="s">
        <v>12</v>
      </c>
      <c r="B7354" s="2" t="str">
        <f>HYPERLINK("http://m.12365auto.com/zjdy/20200214/121273.shtml","2019款探界者1.5T国六现在质量怎么样？")</f>
        <v>2019款探界者1.5T国六现在质量怎么样？</v>
      </c>
      <c r="C7354" s="2" t="s">
        <v>13</v>
      </c>
      <c r="D7354" s="2" t="s">
        <v>12</v>
      </c>
      <c r="E7354" s="2"/>
      <c r="F7354" s="2" t="str">
        <f>HYPERLINK("http://m.12365auto.com/zjdy/20200214/121273.shtml","http://m.12365auto.com/zjdy/20200214/121273.shtml")</f>
        <v>http://m.12365auto.com/zjdy/20200214/121273.shtml</v>
      </c>
      <c r="G7354" s="2"/>
      <c r="H7354" s="2" t="s">
        <v>10144</v>
      </c>
      <c r="I7354" s="2" t="s">
        <v>19</v>
      </c>
      <c r="J7354" s="2" t="s">
        <v>12</v>
      </c>
      <c r="K7354" s="2" t="s">
        <v>10142</v>
      </c>
      <c r="L7354" s="2">
        <f t="shared" si="114"/>
        <v>31</v>
      </c>
    </row>
    <row r="7355" spans="1:12" ht="25" customHeight="1">
      <c r="A7355" s="2" t="s">
        <v>12</v>
      </c>
      <c r="B7355" s="2" t="str">
        <f>HYPERLINK("http://www.12365auto.com/zlts/20200214/447253.shtml","车刚买10多天发动机机油增多机油乳化要求退车")</f>
        <v>车刚买10多天发动机机油增多机油乳化要求退车</v>
      </c>
      <c r="C7355" s="2" t="s">
        <v>13</v>
      </c>
      <c r="D7355" s="2" t="s">
        <v>12</v>
      </c>
      <c r="E7355" s="2"/>
      <c r="F7355" s="2" t="str">
        <f>HYPERLINK("http://www.12365auto.com/zlts/20200214/447253.shtml","http://www.12365auto.com/zlts/20200214/447253.shtml")</f>
        <v>http://www.12365auto.com/zlts/20200214/447253.shtml</v>
      </c>
      <c r="G7355" s="2"/>
      <c r="H7355" s="2" t="s">
        <v>10146</v>
      </c>
      <c r="I7355" s="2" t="s">
        <v>15</v>
      </c>
      <c r="J7355" s="2" t="s">
        <v>12</v>
      </c>
      <c r="K7355" s="2" t="s">
        <v>10145</v>
      </c>
      <c r="L7355" s="2">
        <f t="shared" si="114"/>
        <v>96</v>
      </c>
    </row>
    <row r="7356" spans="1:12" ht="25" customHeight="1">
      <c r="A7356" s="2" t="s">
        <v>12</v>
      </c>
      <c r="B7356" s="2" t="str">
        <f>HYPERLINK("http://www.12365auto.com/zlts/20200214/447255.shtml","哈弗H2s刹车踏板无法踩踏到位希望处理")</f>
        <v>哈弗H2s刹车踏板无法踩踏到位希望处理</v>
      </c>
      <c r="C7356" s="2" t="s">
        <v>13</v>
      </c>
      <c r="D7356" s="2" t="s">
        <v>12</v>
      </c>
      <c r="E7356" s="2" t="s">
        <v>17</v>
      </c>
      <c r="F7356" s="2" t="str">
        <f>HYPERLINK("http://www.12365auto.com/zlts/20200214/447255.shtml","http://www.12365auto.com/zlts/20200214/447255.shtml")</f>
        <v>http://www.12365auto.com/zlts/20200214/447255.shtml</v>
      </c>
      <c r="G7356" s="2"/>
      <c r="H7356" s="2" t="s">
        <v>10147</v>
      </c>
      <c r="I7356" s="2" t="s">
        <v>19</v>
      </c>
      <c r="J7356" s="2" t="s">
        <v>12</v>
      </c>
      <c r="K7356" s="2" t="s">
        <v>10148</v>
      </c>
      <c r="L7356" s="2">
        <f t="shared" si="114"/>
        <v>150</v>
      </c>
    </row>
    <row r="7357" spans="1:12" ht="25" customHeight="1">
      <c r="A7357" s="2" t="s">
        <v>12</v>
      </c>
      <c r="B7357" s="2" t="str">
        <f>HYPERLINK("http://bbs.12365auto.com/postcontent.aspx?tID=194163","1.6T行驶中发动机抖动 失去动力/故障灯亮")</f>
        <v>1.6T行驶中发动机抖动 失去动力/故障灯亮</v>
      </c>
      <c r="C7357" s="2" t="s">
        <v>13</v>
      </c>
      <c r="D7357" s="2" t="s">
        <v>12</v>
      </c>
      <c r="E7357" s="2" t="s">
        <v>67</v>
      </c>
      <c r="F7357" s="2" t="str">
        <f>HYPERLINK("http://bbs.12365auto.com/postcontent.aspx?tID=194163","http://bbs.12365auto.com/postcontent.aspx?tID=194163")</f>
        <v>http://bbs.12365auto.com/postcontent.aspx?tID=194163</v>
      </c>
      <c r="G7357" s="2"/>
      <c r="H7357" s="2" t="s">
        <v>10149</v>
      </c>
      <c r="I7357" s="2" t="s">
        <v>15</v>
      </c>
      <c r="J7357" s="2" t="s">
        <v>10150</v>
      </c>
      <c r="K7357" s="2" t="s">
        <v>10151</v>
      </c>
      <c r="L7357" s="2">
        <f t="shared" si="114"/>
        <v>100</v>
      </c>
    </row>
    <row r="7358" spans="1:12" ht="25" customHeight="1">
      <c r="A7358" s="2" t="s">
        <v>12</v>
      </c>
      <c r="B7358" s="2" t="str">
        <f>HYPERLINK("http://www.12365auto.com/zlts/20200214/447252.shtml","广汽本田2014款飞度发动机启动故障，严重影响使用")</f>
        <v>广汽本田2014款飞度发动机启动故障，严重影响使用</v>
      </c>
      <c r="C7358" s="2" t="s">
        <v>13</v>
      </c>
      <c r="D7358" s="2" t="s">
        <v>12</v>
      </c>
      <c r="E7358" s="2"/>
      <c r="F7358" s="2" t="str">
        <f>HYPERLINK("http://www.12365auto.com/zlts/20200214/447252.shtml","http://www.12365auto.com/zlts/20200214/447252.shtml")</f>
        <v>http://www.12365auto.com/zlts/20200214/447252.shtml</v>
      </c>
      <c r="G7358" s="2"/>
      <c r="H7358" s="2" t="s">
        <v>10153</v>
      </c>
      <c r="I7358" s="2" t="s">
        <v>15</v>
      </c>
      <c r="J7358" s="2" t="s">
        <v>12</v>
      </c>
      <c r="K7358" s="2" t="s">
        <v>10152</v>
      </c>
      <c r="L7358" s="2">
        <f t="shared" si="114"/>
        <v>83</v>
      </c>
    </row>
    <row r="7359" spans="1:12" ht="25" customHeight="1">
      <c r="A7359" s="2" t="s">
        <v>12</v>
      </c>
      <c r="B7359" s="2" t="str">
        <f>HYPERLINK("http://www.12365auto.com/zlts/20200214/447251.shtml","发动机及刹车显示异常")</f>
        <v>发动机及刹车显示异常</v>
      </c>
      <c r="C7359" s="2" t="s">
        <v>13</v>
      </c>
      <c r="D7359" s="2" t="s">
        <v>12</v>
      </c>
      <c r="E7359" s="2"/>
      <c r="F7359" s="2" t="str">
        <f>HYPERLINK("http://www.12365auto.com/zlts/20200214/447251.shtml","http://www.12365auto.com/zlts/20200214/447251.shtml")</f>
        <v>http://www.12365auto.com/zlts/20200214/447251.shtml</v>
      </c>
      <c r="G7359" s="2"/>
      <c r="H7359" s="2" t="s">
        <v>10155</v>
      </c>
      <c r="I7359" s="2" t="s">
        <v>15</v>
      </c>
      <c r="J7359" s="2" t="s">
        <v>12</v>
      </c>
      <c r="K7359" s="2" t="s">
        <v>10154</v>
      </c>
      <c r="L7359" s="2">
        <f t="shared" si="114"/>
        <v>83</v>
      </c>
    </row>
    <row r="7360" spans="1:12" ht="25" customHeight="1">
      <c r="A7360" s="2" t="s">
        <v>12</v>
      </c>
      <c r="B7360" s="2" t="str">
        <f>HYPERLINK("http://www.12365auto.com/zlts/20200214/447249.shtml","前轮左右弹簧都断了")</f>
        <v>前轮左右弹簧都断了</v>
      </c>
      <c r="C7360" s="2" t="s">
        <v>13</v>
      </c>
      <c r="D7360" s="2" t="s">
        <v>12</v>
      </c>
      <c r="E7360" s="2"/>
      <c r="F7360" s="2" t="str">
        <f>HYPERLINK("http://www.12365auto.com/zlts/20200214/447249.shtml","http://www.12365auto.com/zlts/20200214/447249.shtml")</f>
        <v>http://www.12365auto.com/zlts/20200214/447249.shtml</v>
      </c>
      <c r="G7360" s="2"/>
      <c r="H7360" s="2" t="s">
        <v>10157</v>
      </c>
      <c r="I7360" s="2" t="s">
        <v>15</v>
      </c>
      <c r="J7360" s="2" t="s">
        <v>12</v>
      </c>
      <c r="K7360" s="2" t="s">
        <v>10156</v>
      </c>
      <c r="L7360" s="2">
        <f t="shared" si="114"/>
        <v>84</v>
      </c>
    </row>
    <row r="7361" spans="1:12" ht="25" customHeight="1">
      <c r="A7361" s="2" t="s">
        <v>12</v>
      </c>
      <c r="B7361" s="2" t="str">
        <f>HYPERLINK("http://bbs.12365auto.com/postcontent.aspx?tID=194162","雷克萨斯UX  推荐给大家")</f>
        <v>雷克萨斯UX  推荐给大家</v>
      </c>
      <c r="C7361" s="2" t="s">
        <v>13</v>
      </c>
      <c r="D7361" s="2" t="s">
        <v>12</v>
      </c>
      <c r="E7361" s="2" t="s">
        <v>214</v>
      </c>
      <c r="F7361" s="2" t="str">
        <f>HYPERLINK("http://bbs.12365auto.com/postcontent.aspx?tID=194162","http://bbs.12365auto.com/postcontent.aspx?tID=194162")</f>
        <v>http://bbs.12365auto.com/postcontent.aspx?tID=194162</v>
      </c>
      <c r="G7361" s="2"/>
      <c r="H7361" s="2" t="s">
        <v>10158</v>
      </c>
      <c r="I7361" s="2" t="s">
        <v>15</v>
      </c>
      <c r="J7361" s="2" t="s">
        <v>5633</v>
      </c>
      <c r="K7361" s="2" t="s">
        <v>10159</v>
      </c>
      <c r="L7361" s="2">
        <f t="shared" si="114"/>
        <v>150</v>
      </c>
    </row>
    <row r="7362" spans="1:12" ht="25" customHeight="1">
      <c r="A7362" s="2" t="s">
        <v>12</v>
      </c>
      <c r="B7362" s="2" t="str">
        <f>HYPERLINK("http://www.12365auto.com/zlts/20200214/447244.shtml","北京奔驰GLC车身漏水 转向卡顿严重")</f>
        <v>北京奔驰GLC车身漏水 转向卡顿严重</v>
      </c>
      <c r="C7362" s="2" t="s">
        <v>13</v>
      </c>
      <c r="D7362" s="2" t="s">
        <v>12</v>
      </c>
      <c r="E7362" s="2" t="s">
        <v>17</v>
      </c>
      <c r="F7362" s="2" t="str">
        <f>HYPERLINK("http://www.12365auto.com/zlts/20200214/447244.shtml","http://www.12365auto.com/zlts/20200214/447244.shtml")</f>
        <v>http://www.12365auto.com/zlts/20200214/447244.shtml</v>
      </c>
      <c r="G7362" s="2"/>
      <c r="H7362" s="2" t="s">
        <v>10160</v>
      </c>
      <c r="I7362" s="2" t="s">
        <v>19</v>
      </c>
      <c r="J7362" s="2" t="s">
        <v>12</v>
      </c>
      <c r="K7362" s="2" t="s">
        <v>10161</v>
      </c>
      <c r="L7362" s="2">
        <f t="shared" si="114"/>
        <v>150</v>
      </c>
    </row>
    <row r="7363" spans="1:12" ht="25" customHeight="1">
      <c r="A7363" s="2" t="s">
        <v>12</v>
      </c>
      <c r="B7363" s="2" t="str">
        <f>HYPERLINK("http://www.12365auto.com/zlts/20200214/447242.shtml","车辆在正常行驶中ABS泵报警灯和手刹灯同时亮起.")</f>
        <v>车辆在正常行驶中ABS泵报警灯和手刹灯同时亮起.</v>
      </c>
      <c r="C7363" s="2" t="s">
        <v>13</v>
      </c>
      <c r="D7363" s="2" t="s">
        <v>12</v>
      </c>
      <c r="E7363" s="2"/>
      <c r="F7363" s="2" t="str">
        <f>HYPERLINK("http://www.12365auto.com/zlts/20200214/447242.shtml","http://www.12365auto.com/zlts/20200214/447242.shtml")</f>
        <v>http://www.12365auto.com/zlts/20200214/447242.shtml</v>
      </c>
      <c r="G7363" s="2"/>
      <c r="H7363" s="2" t="s">
        <v>10163</v>
      </c>
      <c r="I7363" s="2" t="s">
        <v>15</v>
      </c>
      <c r="J7363" s="2" t="s">
        <v>12</v>
      </c>
      <c r="K7363" s="2" t="s">
        <v>10162</v>
      </c>
      <c r="L7363" s="2">
        <f t="shared" ref="L7363:L7426" si="115">LEN(H7363)</f>
        <v>83</v>
      </c>
    </row>
    <row r="7364" spans="1:12" ht="25" customHeight="1">
      <c r="A7364" s="2" t="s">
        <v>12</v>
      </c>
      <c r="B7364" s="2" t="str">
        <f>HYPERLINK("http://www.12365auto.com/zlts/20200214/447243.shtml","一汽丰田RAV4荣放发动机异响未解决")</f>
        <v>一汽丰田RAV4荣放发动机异响未解决</v>
      </c>
      <c r="C7364" s="2" t="s">
        <v>13</v>
      </c>
      <c r="D7364" s="2" t="s">
        <v>12</v>
      </c>
      <c r="E7364" s="2" t="s">
        <v>17</v>
      </c>
      <c r="F7364" s="2" t="str">
        <f>HYPERLINK("http://www.12365auto.com/zlts/20200214/447243.shtml","http://www.12365auto.com/zlts/20200214/447243.shtml")</f>
        <v>http://www.12365auto.com/zlts/20200214/447243.shtml</v>
      </c>
      <c r="G7364" s="2"/>
      <c r="H7364" s="2" t="s">
        <v>10164</v>
      </c>
      <c r="I7364" s="2" t="s">
        <v>19</v>
      </c>
      <c r="J7364" s="2" t="s">
        <v>12</v>
      </c>
      <c r="K7364" s="2" t="s">
        <v>10165</v>
      </c>
      <c r="L7364" s="2">
        <f t="shared" si="115"/>
        <v>150</v>
      </c>
    </row>
    <row r="7365" spans="1:12" ht="25" customHeight="1">
      <c r="A7365" s="2" t="s">
        <v>12</v>
      </c>
      <c r="B7365" s="2" t="str">
        <f>HYPERLINK("http://m.12365auto.com/zjdy/20200214/121268.shtml","名爵锐腾钥匙锁在车内无提示什么原因？")</f>
        <v>名爵锐腾钥匙锁在车内无提示什么原因？</v>
      </c>
      <c r="C7365" s="2" t="s">
        <v>13</v>
      </c>
      <c r="D7365" s="2" t="s">
        <v>12</v>
      </c>
      <c r="E7365" s="2"/>
      <c r="F7365" s="2" t="str">
        <f>HYPERLINK("http://m.12365auto.com/zjdy/20200214/121268.shtml","http://m.12365auto.com/zjdy/20200214/121268.shtml")</f>
        <v>http://m.12365auto.com/zjdy/20200214/121268.shtml</v>
      </c>
      <c r="G7365" s="2"/>
      <c r="H7365" s="2" t="s">
        <v>10166</v>
      </c>
      <c r="I7365" s="2" t="s">
        <v>19</v>
      </c>
      <c r="J7365" s="2" t="s">
        <v>12</v>
      </c>
      <c r="K7365" s="2" t="s">
        <v>10167</v>
      </c>
      <c r="L7365" s="2">
        <f t="shared" si="115"/>
        <v>39</v>
      </c>
    </row>
    <row r="7366" spans="1:12" ht="25" customHeight="1">
      <c r="A7366" s="2" t="s">
        <v>12</v>
      </c>
      <c r="B7366" s="2" t="str">
        <f>HYPERLINK("http://www.12365auto.com/zlts/20200214/447238.shtml","上汽名爵HS车辆停放五天电瓶出现亏电现象")</f>
        <v>上汽名爵HS车辆停放五天电瓶出现亏电现象</v>
      </c>
      <c r="C7366" s="2" t="s">
        <v>13</v>
      </c>
      <c r="D7366" s="2" t="s">
        <v>12</v>
      </c>
      <c r="E7366" s="2" t="s">
        <v>17</v>
      </c>
      <c r="F7366" s="2" t="str">
        <f>HYPERLINK("http://www.12365auto.com/zlts/20200214/447238.shtml","http://www.12365auto.com/zlts/20200214/447238.shtml")</f>
        <v>http://www.12365auto.com/zlts/20200214/447238.shtml</v>
      </c>
      <c r="G7366" s="2"/>
      <c r="H7366" s="2" t="s">
        <v>10168</v>
      </c>
      <c r="I7366" s="2" t="s">
        <v>19</v>
      </c>
      <c r="J7366" s="2" t="s">
        <v>12</v>
      </c>
      <c r="K7366" s="2" t="s">
        <v>10169</v>
      </c>
      <c r="L7366" s="2">
        <f t="shared" si="115"/>
        <v>150</v>
      </c>
    </row>
    <row r="7367" spans="1:12" ht="25" customHeight="1">
      <c r="A7367" s="2" t="s">
        <v>12</v>
      </c>
      <c r="B7367" s="2" t="str">
        <f>HYPERLINK("http://m.12365auto.com/zjdy/20200214/121267.shtml","冬天行驶距离短就出现机油乳化现象吗？")</f>
        <v>冬天行驶距离短就出现机油乳化现象吗？</v>
      </c>
      <c r="C7367" s="2" t="s">
        <v>13</v>
      </c>
      <c r="D7367" s="2" t="s">
        <v>12</v>
      </c>
      <c r="E7367" s="2"/>
      <c r="F7367" s="2" t="str">
        <f>HYPERLINK("http://m.12365auto.com/zjdy/20200214/121267.shtml","http://m.12365auto.com/zjdy/20200214/121267.shtml")</f>
        <v>http://m.12365auto.com/zjdy/20200214/121267.shtml</v>
      </c>
      <c r="G7367" s="2"/>
      <c r="H7367" s="2" t="s">
        <v>10170</v>
      </c>
      <c r="I7367" s="2" t="s">
        <v>19</v>
      </c>
      <c r="J7367" s="2" t="s">
        <v>12</v>
      </c>
      <c r="K7367" s="2" t="s">
        <v>10171</v>
      </c>
      <c r="L7367" s="2">
        <f t="shared" si="115"/>
        <v>32</v>
      </c>
    </row>
    <row r="7368" spans="1:12" ht="25" customHeight="1">
      <c r="A7368" s="2" t="s">
        <v>12</v>
      </c>
      <c r="B7368" s="2" t="str">
        <f>HYPERLINK("http://www.12365auto.com/zlts/20200214/447237.shtml","北京现代途胜油耗增加噪音大抖动 车窗锈蚀")</f>
        <v>北京现代途胜油耗增加噪音大抖动 车窗锈蚀</v>
      </c>
      <c r="C7368" s="2" t="s">
        <v>13</v>
      </c>
      <c r="D7368" s="2" t="s">
        <v>12</v>
      </c>
      <c r="E7368" s="2" t="s">
        <v>17</v>
      </c>
      <c r="F7368" s="2" t="str">
        <f>HYPERLINK("http://www.12365auto.com/zlts/20200214/447237.shtml","http://www.12365auto.com/zlts/20200214/447237.shtml")</f>
        <v>http://www.12365auto.com/zlts/20200214/447237.shtml</v>
      </c>
      <c r="G7368" s="2"/>
      <c r="H7368" s="2" t="s">
        <v>10172</v>
      </c>
      <c r="I7368" s="2" t="s">
        <v>19</v>
      </c>
      <c r="J7368" s="2" t="s">
        <v>12</v>
      </c>
      <c r="K7368" s="2" t="s">
        <v>10173</v>
      </c>
      <c r="L7368" s="2">
        <f t="shared" si="115"/>
        <v>150</v>
      </c>
    </row>
    <row r="7369" spans="1:12" ht="25" customHeight="1">
      <c r="A7369" s="2" t="s">
        <v>12</v>
      </c>
      <c r="B7369" s="2" t="str">
        <f>HYPERLINK("http://www.12365auto.com/zlts/20200214/447236.shtml","进口宝马1系车身抖动 自动跳回N挡")</f>
        <v>进口宝马1系车身抖动 自动跳回N挡</v>
      </c>
      <c r="C7369" s="2" t="s">
        <v>13</v>
      </c>
      <c r="D7369" s="2" t="s">
        <v>12</v>
      </c>
      <c r="E7369" s="2" t="s">
        <v>17</v>
      </c>
      <c r="F7369" s="2" t="str">
        <f>HYPERLINK("http://www.12365auto.com/zlts/20200214/447236.shtml","http://www.12365auto.com/zlts/20200214/447236.shtml")</f>
        <v>http://www.12365auto.com/zlts/20200214/447236.shtml</v>
      </c>
      <c r="G7369" s="2"/>
      <c r="H7369" s="2" t="s">
        <v>10174</v>
      </c>
      <c r="I7369" s="2" t="s">
        <v>19</v>
      </c>
      <c r="J7369" s="2" t="s">
        <v>12</v>
      </c>
      <c r="K7369" s="2" t="s">
        <v>10175</v>
      </c>
      <c r="L7369" s="2">
        <f t="shared" si="115"/>
        <v>150</v>
      </c>
    </row>
    <row r="7370" spans="1:12" ht="25" customHeight="1">
      <c r="A7370" s="2" t="s">
        <v>12</v>
      </c>
      <c r="B7370" s="2" t="str">
        <f>HYPERLINK("http://www.12365auto.com/zlts/20200214/447235.shtml","上汽大众朗逸ABS泵故障导致故障灯亮")</f>
        <v>上汽大众朗逸ABS泵故障导致故障灯亮</v>
      </c>
      <c r="C7370" s="2" t="s">
        <v>13</v>
      </c>
      <c r="D7370" s="2" t="s">
        <v>12</v>
      </c>
      <c r="E7370" s="2" t="s">
        <v>17</v>
      </c>
      <c r="F7370" s="2" t="str">
        <f>HYPERLINK("http://www.12365auto.com/zlts/20200214/447235.shtml","http://www.12365auto.com/zlts/20200214/447235.shtml")</f>
        <v>http://www.12365auto.com/zlts/20200214/447235.shtml</v>
      </c>
      <c r="G7370" s="2"/>
      <c r="H7370" s="2" t="s">
        <v>10176</v>
      </c>
      <c r="I7370" s="2" t="s">
        <v>15</v>
      </c>
      <c r="J7370" s="2" t="s">
        <v>12</v>
      </c>
      <c r="K7370" s="2" t="s">
        <v>10177</v>
      </c>
      <c r="L7370" s="2">
        <f t="shared" si="115"/>
        <v>150</v>
      </c>
    </row>
    <row r="7371" spans="1:12" ht="25" customHeight="1">
      <c r="A7371" s="2" t="s">
        <v>12</v>
      </c>
      <c r="B7371" s="2" t="str">
        <f>HYPERLINK("http://m.12365auto.com/zjdy/20200214/121266.shtml","机油乳化跟冷车短途行驶有关系吗？")</f>
        <v>机油乳化跟冷车短途行驶有关系吗？</v>
      </c>
      <c r="C7371" s="2" t="s">
        <v>13</v>
      </c>
      <c r="D7371" s="2" t="s">
        <v>12</v>
      </c>
      <c r="E7371" s="2"/>
      <c r="F7371" s="2" t="str">
        <f>HYPERLINK("http://m.12365auto.com/zjdy/20200214/121266.shtml","http://m.12365auto.com/zjdy/20200214/121266.shtml")</f>
        <v>http://m.12365auto.com/zjdy/20200214/121266.shtml</v>
      </c>
      <c r="G7371" s="2"/>
      <c r="H7371" s="2" t="s">
        <v>10178</v>
      </c>
      <c r="I7371" s="2" t="s">
        <v>19</v>
      </c>
      <c r="J7371" s="2" t="s">
        <v>12</v>
      </c>
      <c r="K7371" s="2" t="s">
        <v>10179</v>
      </c>
      <c r="L7371" s="2">
        <f t="shared" si="115"/>
        <v>52</v>
      </c>
    </row>
    <row r="7372" spans="1:12" ht="25" customHeight="1">
      <c r="A7372" s="2" t="s">
        <v>12</v>
      </c>
      <c r="B7372" s="2" t="str">
        <f>HYPERLINK("http://m.12365auto.com/zjdy/20200214/121265.shtml","捷达VS5这款车值得入手吗质量如何？")</f>
        <v>捷达VS5这款车值得入手吗质量如何？</v>
      </c>
      <c r="C7372" s="2" t="s">
        <v>13</v>
      </c>
      <c r="D7372" s="2" t="s">
        <v>12</v>
      </c>
      <c r="E7372" s="2"/>
      <c r="F7372" s="2" t="str">
        <f>HYPERLINK("http://m.12365auto.com/zjdy/20200214/121265.shtml","http://m.12365auto.com/zjdy/20200214/121265.shtml")</f>
        <v>http://m.12365auto.com/zjdy/20200214/121265.shtml</v>
      </c>
      <c r="G7372" s="2"/>
      <c r="H7372" s="2" t="s">
        <v>10180</v>
      </c>
      <c r="I7372" s="2" t="s">
        <v>19</v>
      </c>
      <c r="J7372" s="2" t="s">
        <v>12</v>
      </c>
      <c r="K7372" s="2" t="s">
        <v>10181</v>
      </c>
      <c r="L7372" s="2">
        <f t="shared" si="115"/>
        <v>19</v>
      </c>
    </row>
    <row r="7373" spans="1:12" ht="25" customHeight="1">
      <c r="A7373" s="2" t="s">
        <v>12</v>
      </c>
      <c r="B7373" s="2" t="str">
        <f>HYPERLINK("http://www.12365auto.com/zlts/20200214/447234.shtml","江淮瑞风S2发动机异响一直无解决方案")</f>
        <v>江淮瑞风S2发动机异响一直无解决方案</v>
      </c>
      <c r="C7373" s="2" t="s">
        <v>13</v>
      </c>
      <c r="D7373" s="2" t="s">
        <v>12</v>
      </c>
      <c r="E7373" s="2" t="s">
        <v>17</v>
      </c>
      <c r="F7373" s="2" t="str">
        <f>HYPERLINK("http://www.12365auto.com/zlts/20200214/447234.shtml","http://www.12365auto.com/zlts/20200214/447234.shtml")</f>
        <v>http://www.12365auto.com/zlts/20200214/447234.shtml</v>
      </c>
      <c r="G7373" s="2"/>
      <c r="H7373" s="2" t="s">
        <v>10182</v>
      </c>
      <c r="I7373" s="2" t="s">
        <v>19</v>
      </c>
      <c r="J7373" s="2" t="s">
        <v>12</v>
      </c>
      <c r="K7373" s="2" t="s">
        <v>10183</v>
      </c>
      <c r="L7373" s="2">
        <f t="shared" si="115"/>
        <v>150</v>
      </c>
    </row>
    <row r="7374" spans="1:12" ht="25" customHeight="1">
      <c r="A7374" s="2" t="s">
        <v>12</v>
      </c>
      <c r="B7374" s="2" t="str">
        <f>HYPERLINK("http://www.12365auto.com/zlts/20200214/447233.shtml","吉利帝豪更换的车门出现严重变色")</f>
        <v>吉利帝豪更换的车门出现严重变色</v>
      </c>
      <c r="C7374" s="2" t="s">
        <v>13</v>
      </c>
      <c r="D7374" s="2" t="s">
        <v>12</v>
      </c>
      <c r="E7374" s="2" t="s">
        <v>17</v>
      </c>
      <c r="F7374" s="2" t="str">
        <f>HYPERLINK("http://www.12365auto.com/zlts/20200214/447233.shtml","http://www.12365auto.com/zlts/20200214/447233.shtml")</f>
        <v>http://www.12365auto.com/zlts/20200214/447233.shtml</v>
      </c>
      <c r="G7374" s="2"/>
      <c r="H7374" s="2" t="s">
        <v>10184</v>
      </c>
      <c r="I7374" s="2" t="s">
        <v>15</v>
      </c>
      <c r="J7374" s="2" t="s">
        <v>12</v>
      </c>
      <c r="K7374" s="2" t="s">
        <v>10185</v>
      </c>
      <c r="L7374" s="2">
        <f t="shared" si="115"/>
        <v>150</v>
      </c>
    </row>
    <row r="7375" spans="1:12" ht="25" customHeight="1">
      <c r="A7375" s="2" t="s">
        <v>12</v>
      </c>
      <c r="B7375" s="2" t="str">
        <f>HYPERLINK("http://www.12365auto.com/zlts/20200214/447232.shtml","斯威X7更换减震器顶胶后异响加剧")</f>
        <v>斯威X7更换减震器顶胶后异响加剧</v>
      </c>
      <c r="C7375" s="2" t="s">
        <v>13</v>
      </c>
      <c r="D7375" s="2" t="s">
        <v>12</v>
      </c>
      <c r="E7375" s="2" t="s">
        <v>17</v>
      </c>
      <c r="F7375" s="2" t="str">
        <f>HYPERLINK("http://www.12365auto.com/zlts/20200214/447232.shtml","http://www.12365auto.com/zlts/20200214/447232.shtml")</f>
        <v>http://www.12365auto.com/zlts/20200214/447232.shtml</v>
      </c>
      <c r="G7375" s="2"/>
      <c r="H7375" s="2" t="s">
        <v>10186</v>
      </c>
      <c r="I7375" s="2" t="s">
        <v>15</v>
      </c>
      <c r="J7375" s="2" t="s">
        <v>12</v>
      </c>
      <c r="K7375" s="2" t="s">
        <v>10187</v>
      </c>
      <c r="L7375" s="2">
        <f t="shared" si="115"/>
        <v>150</v>
      </c>
    </row>
    <row r="7376" spans="1:12" ht="25" customHeight="1">
      <c r="A7376" s="2" t="s">
        <v>12</v>
      </c>
      <c r="B7376" s="2" t="str">
        <f>HYPERLINK("http://bbs.12365auto.com/postcontent.aspx?tID=194161","吉利帝豪GS踩油门车不走 转速表也不动")</f>
        <v>吉利帝豪GS踩油门车不走 转速表也不动</v>
      </c>
      <c r="C7376" s="2" t="s">
        <v>13</v>
      </c>
      <c r="D7376" s="2" t="s">
        <v>12</v>
      </c>
      <c r="E7376" s="2" t="s">
        <v>67</v>
      </c>
      <c r="F7376" s="2" t="str">
        <f>HYPERLINK("http://bbs.12365auto.com/postcontent.aspx?tID=194161","http://bbs.12365auto.com/postcontent.aspx?tID=194161")</f>
        <v>http://bbs.12365auto.com/postcontent.aspx?tID=194161</v>
      </c>
      <c r="G7376" s="2"/>
      <c r="H7376" s="2" t="s">
        <v>10188</v>
      </c>
      <c r="I7376" s="2" t="s">
        <v>15</v>
      </c>
      <c r="J7376" s="2" t="s">
        <v>10189</v>
      </c>
      <c r="K7376" s="2" t="s">
        <v>10187</v>
      </c>
      <c r="L7376" s="2">
        <f t="shared" si="115"/>
        <v>100</v>
      </c>
    </row>
    <row r="7377" spans="1:12" ht="25" customHeight="1">
      <c r="A7377" s="2" t="s">
        <v>12</v>
      </c>
      <c r="B7377" s="2" t="str">
        <f>HYPERLINK("http://bbs.12365auto.com/postcontent.aspx?tId=194161","吉利帝豪GS踩油门车不走 转速表也不动")</f>
        <v>吉利帝豪GS踩油门车不走 转速表也不动</v>
      </c>
      <c r="C7377" s="2" t="s">
        <v>13</v>
      </c>
      <c r="D7377" s="2" t="s">
        <v>12</v>
      </c>
      <c r="E7377" s="2" t="s">
        <v>66</v>
      </c>
      <c r="F7377" s="2" t="str">
        <f>HYPERLINK("http://bbs.12365auto.com/postcontent.aspx?tId=194161","http://bbs.12365auto.com/postcontent.aspx?tId=194161")</f>
        <v>http://bbs.12365auto.com/postcontent.aspx?tId=194161</v>
      </c>
      <c r="G7377" s="2"/>
      <c r="H7377" s="2" t="s">
        <v>10190</v>
      </c>
      <c r="I7377" s="2" t="s">
        <v>15</v>
      </c>
      <c r="J7377" s="2" t="s">
        <v>10189</v>
      </c>
      <c r="K7377" s="2" t="s">
        <v>10187</v>
      </c>
      <c r="L7377" s="2">
        <f t="shared" si="115"/>
        <v>81</v>
      </c>
    </row>
    <row r="7378" spans="1:12" ht="25" customHeight="1">
      <c r="A7378" s="2" t="s">
        <v>12</v>
      </c>
      <c r="B7378" s="2" t="str">
        <f>HYPERLINK("http://m.12365auto.com/bbs/postcontent.aspx?tID=194161","吉利帝豪GS踩油门车不走 转速表也不动")</f>
        <v>吉利帝豪GS踩油门车不走 转速表也不动</v>
      </c>
      <c r="C7378" s="2" t="s">
        <v>13</v>
      </c>
      <c r="D7378" s="2" t="s">
        <v>23</v>
      </c>
      <c r="E7378" s="2"/>
      <c r="F7378" s="2" t="str">
        <f>HYPERLINK("http://m.12365auto.com/bbs/postcontent.aspx?tID=194161","http://m.12365auto.com/bbs/postcontent.aspx?tID=194161")</f>
        <v>http://m.12365auto.com/bbs/postcontent.aspx?tID=194161</v>
      </c>
      <c r="G7378" s="2"/>
      <c r="H7378" s="2" t="s">
        <v>10190</v>
      </c>
      <c r="I7378" s="2" t="s">
        <v>15</v>
      </c>
      <c r="J7378" s="2" t="s">
        <v>10189</v>
      </c>
      <c r="K7378" s="2" t="s">
        <v>10187</v>
      </c>
      <c r="L7378" s="2">
        <f t="shared" si="115"/>
        <v>81</v>
      </c>
    </row>
    <row r="7379" spans="1:12" ht="25" customHeight="1">
      <c r="A7379" s="2" t="s">
        <v>12</v>
      </c>
      <c r="B7379" s="2" t="str">
        <f>HYPERLINK("http://www.12365auto.com/zlts/20200214/447231.shtml","北京越野BJ40发动机故障灯亮要求尽快解决")</f>
        <v>北京越野BJ40发动机故障灯亮要求尽快解决</v>
      </c>
      <c r="C7379" s="2" t="s">
        <v>13</v>
      </c>
      <c r="D7379" s="2" t="s">
        <v>12</v>
      </c>
      <c r="E7379" s="2" t="s">
        <v>17</v>
      </c>
      <c r="F7379" s="2" t="str">
        <f>HYPERLINK("http://www.12365auto.com/zlts/20200214/447231.shtml","http://www.12365auto.com/zlts/20200214/447231.shtml")</f>
        <v>http://www.12365auto.com/zlts/20200214/447231.shtml</v>
      </c>
      <c r="G7379" s="2"/>
      <c r="H7379" s="2" t="s">
        <v>10191</v>
      </c>
      <c r="I7379" s="2" t="s">
        <v>19</v>
      </c>
      <c r="J7379" s="2" t="s">
        <v>12</v>
      </c>
      <c r="K7379" s="2" t="s">
        <v>10192</v>
      </c>
      <c r="L7379" s="2">
        <f t="shared" si="115"/>
        <v>150</v>
      </c>
    </row>
    <row r="7380" spans="1:12" ht="25" customHeight="1">
      <c r="A7380" s="2" t="s">
        <v>12</v>
      </c>
      <c r="B7380" s="2" t="str">
        <f>HYPERLINK("http://m.12365auto.com/zjdy/20200214/121264.shtml","奔驰C级索赔维修可以要求4S店赔偿吗？")</f>
        <v>奔驰C级索赔维修可以要求4S店赔偿吗？</v>
      </c>
      <c r="C7380" s="2" t="s">
        <v>13</v>
      </c>
      <c r="D7380" s="2" t="s">
        <v>12</v>
      </c>
      <c r="E7380" s="2"/>
      <c r="F7380" s="2" t="str">
        <f>HYPERLINK("http://m.12365auto.com/zjdy/20200214/121264.shtml","http://m.12365auto.com/zjdy/20200214/121264.shtml")</f>
        <v>http://m.12365auto.com/zjdy/20200214/121264.shtml</v>
      </c>
      <c r="G7380" s="2"/>
      <c r="H7380" s="2" t="s">
        <v>10193</v>
      </c>
      <c r="I7380" s="2" t="s">
        <v>19</v>
      </c>
      <c r="J7380" s="2" t="s">
        <v>12</v>
      </c>
      <c r="K7380" s="2" t="s">
        <v>10194</v>
      </c>
      <c r="L7380" s="2">
        <f t="shared" si="115"/>
        <v>119</v>
      </c>
    </row>
    <row r="7381" spans="1:12" ht="25" customHeight="1">
      <c r="A7381" s="2" t="s">
        <v>12</v>
      </c>
      <c r="B7381" s="2" t="str">
        <f>HYPERLINK("http://www.12365auto.com/zlts/20200214/447228.shtml","一汽大众奥迪A6L节温器渗漏 雨刮器松动")</f>
        <v>一汽大众奥迪A6L节温器渗漏 雨刮器松动</v>
      </c>
      <c r="C7381" s="2" t="s">
        <v>13</v>
      </c>
      <c r="D7381" s="2" t="s">
        <v>12</v>
      </c>
      <c r="E7381" s="2" t="s">
        <v>17</v>
      </c>
      <c r="F7381" s="2" t="str">
        <f>HYPERLINK("http://www.12365auto.com/zlts/20200214/447228.shtml","http://www.12365auto.com/zlts/20200214/447228.shtml")</f>
        <v>http://www.12365auto.com/zlts/20200214/447228.shtml</v>
      </c>
      <c r="G7381" s="2"/>
      <c r="H7381" s="2" t="s">
        <v>10195</v>
      </c>
      <c r="I7381" s="2" t="s">
        <v>19</v>
      </c>
      <c r="J7381" s="2" t="s">
        <v>12</v>
      </c>
      <c r="K7381" s="2" t="s">
        <v>10196</v>
      </c>
      <c r="L7381" s="2">
        <f t="shared" si="115"/>
        <v>150</v>
      </c>
    </row>
    <row r="7382" spans="1:12" ht="25" customHeight="1">
      <c r="A7382" s="2" t="s">
        <v>12</v>
      </c>
      <c r="B7382" s="2" t="str">
        <f>HYPERLINK("http://www.12365auto.com/zlts/20200214/447226.shtml","长安马自达昂克赛拉后视镜折叠无法正常展开")</f>
        <v>长安马自达昂克赛拉后视镜折叠无法正常展开</v>
      </c>
      <c r="C7382" s="2" t="s">
        <v>13</v>
      </c>
      <c r="D7382" s="2" t="s">
        <v>12</v>
      </c>
      <c r="E7382" s="2"/>
      <c r="F7382" s="2" t="str">
        <f>HYPERLINK("http://www.12365auto.com/zlts/20200214/447226.shtml","http://www.12365auto.com/zlts/20200214/447226.shtml")</f>
        <v>http://www.12365auto.com/zlts/20200214/447226.shtml</v>
      </c>
      <c r="G7382" s="2"/>
      <c r="H7382" s="2" t="s">
        <v>10198</v>
      </c>
      <c r="I7382" s="2" t="s">
        <v>15</v>
      </c>
      <c r="J7382" s="2" t="s">
        <v>12</v>
      </c>
      <c r="K7382" s="2" t="s">
        <v>10197</v>
      </c>
      <c r="L7382" s="2">
        <f t="shared" si="115"/>
        <v>94</v>
      </c>
    </row>
    <row r="7383" spans="1:12" ht="25" customHeight="1">
      <c r="A7383" s="2" t="s">
        <v>12</v>
      </c>
      <c r="B7383" s="2" t="str">
        <f>HYPERLINK("http://www.12365auto.com/zlts/20200214/447227.shtml","广汽丰田汉兰达中控显示屏黑屏无法使用")</f>
        <v>广汽丰田汉兰达中控显示屏黑屏无法使用</v>
      </c>
      <c r="C7383" s="2" t="s">
        <v>13</v>
      </c>
      <c r="D7383" s="2" t="s">
        <v>12</v>
      </c>
      <c r="E7383" s="2"/>
      <c r="F7383" s="2" t="str">
        <f>HYPERLINK("http://www.12365auto.com/zlts/20200214/447227.shtml","http://www.12365auto.com/zlts/20200214/447227.shtml")</f>
        <v>http://www.12365auto.com/zlts/20200214/447227.shtml</v>
      </c>
      <c r="G7383" s="2"/>
      <c r="H7383" s="2" t="s">
        <v>10200</v>
      </c>
      <c r="I7383" s="2" t="s">
        <v>15</v>
      </c>
      <c r="J7383" s="2" t="s">
        <v>12</v>
      </c>
      <c r="K7383" s="2" t="s">
        <v>10199</v>
      </c>
      <c r="L7383" s="2">
        <f t="shared" si="115"/>
        <v>88</v>
      </c>
    </row>
    <row r="7384" spans="1:12" ht="25" customHeight="1">
      <c r="A7384" s="2" t="s">
        <v>12</v>
      </c>
      <c r="B7384" s="2" t="str">
        <f>HYPERLINK("http://m.12365auto.com/bbs/postcontent.aspx?tID=194160","车辆要怎么保养会更好？快来学习一下")</f>
        <v>车辆要怎么保养会更好？快来学习一下</v>
      </c>
      <c r="C7384" s="2" t="s">
        <v>13</v>
      </c>
      <c r="D7384" s="2" t="s">
        <v>23</v>
      </c>
      <c r="E7384" s="2"/>
      <c r="F7384" s="2" t="str">
        <f>HYPERLINK("http://m.12365auto.com/bbs/postcontent.aspx?tID=194160","http://m.12365auto.com/bbs/postcontent.aspx?tID=194160")</f>
        <v>http://m.12365auto.com/bbs/postcontent.aspx?tID=194160</v>
      </c>
      <c r="G7384" s="2"/>
      <c r="H7384" s="2" t="s">
        <v>10201</v>
      </c>
      <c r="I7384" s="2" t="s">
        <v>15</v>
      </c>
      <c r="J7384" s="2" t="s">
        <v>1446</v>
      </c>
      <c r="K7384" s="2" t="s">
        <v>10202</v>
      </c>
      <c r="L7384" s="2">
        <f t="shared" si="115"/>
        <v>150</v>
      </c>
    </row>
    <row r="7385" spans="1:12" ht="25" customHeight="1">
      <c r="A7385" s="2" t="s">
        <v>12</v>
      </c>
      <c r="B7385" s="2" t="str">
        <f>HYPERLINK("http://bbs.12365auto.com/postcontent.aspx?tId=194160","车辆要怎么保养会更好？快来学习一下")</f>
        <v>车辆要怎么保养会更好？快来学习一下</v>
      </c>
      <c r="C7385" s="2" t="s">
        <v>13</v>
      </c>
      <c r="D7385" s="2" t="s">
        <v>12</v>
      </c>
      <c r="E7385" s="2" t="s">
        <v>27</v>
      </c>
      <c r="F7385" s="2" t="str">
        <f>HYPERLINK("http://bbs.12365auto.com/postcontent.aspx?tId=194160","http://bbs.12365auto.com/postcontent.aspx?tId=194160")</f>
        <v>http://bbs.12365auto.com/postcontent.aspx?tId=194160</v>
      </c>
      <c r="G7385" s="2"/>
      <c r="H7385" s="2" t="s">
        <v>10201</v>
      </c>
      <c r="I7385" s="2" t="s">
        <v>15</v>
      </c>
      <c r="J7385" s="2" t="s">
        <v>1446</v>
      </c>
      <c r="K7385" s="2" t="s">
        <v>10202</v>
      </c>
      <c r="L7385" s="2">
        <f t="shared" si="115"/>
        <v>150</v>
      </c>
    </row>
    <row r="7386" spans="1:12" ht="25" customHeight="1">
      <c r="A7386" s="2" t="s">
        <v>12</v>
      </c>
      <c r="B7386" s="2" t="str">
        <f>HYPERLINK("http://bbs.12365auto.com/postcontent.aspx?tID=194160","车辆要怎么保养会更好？快来学习一下")</f>
        <v>车辆要怎么保养会更好？快来学习一下</v>
      </c>
      <c r="C7386" s="2" t="s">
        <v>13</v>
      </c>
      <c r="D7386" s="2" t="s">
        <v>12</v>
      </c>
      <c r="E7386" s="2" t="s">
        <v>28</v>
      </c>
      <c r="F7386" s="2" t="str">
        <f>HYPERLINK("http://bbs.12365auto.com/postcontent.aspx?tID=194160","http://bbs.12365auto.com/postcontent.aspx?tID=194160")</f>
        <v>http://bbs.12365auto.com/postcontent.aspx?tID=194160</v>
      </c>
      <c r="G7386" s="2"/>
      <c r="H7386" s="2" t="s">
        <v>10203</v>
      </c>
      <c r="I7386" s="2" t="s">
        <v>15</v>
      </c>
      <c r="J7386" s="2" t="s">
        <v>1446</v>
      </c>
      <c r="K7386" s="2" t="s">
        <v>10202</v>
      </c>
      <c r="L7386" s="2">
        <f t="shared" si="115"/>
        <v>150</v>
      </c>
    </row>
    <row r="7387" spans="1:12" ht="25" customHeight="1">
      <c r="A7387" s="2" t="s">
        <v>12</v>
      </c>
      <c r="B7387" s="2" t="str">
        <f>HYPERLINK("http://www.12365auto.com/zlts/20200214/447225.shtml","一汽丰田卡罗拉电瓶断电 减震器漏油")</f>
        <v>一汽丰田卡罗拉电瓶断电 减震器漏油</v>
      </c>
      <c r="C7387" s="2" t="s">
        <v>13</v>
      </c>
      <c r="D7387" s="2" t="s">
        <v>12</v>
      </c>
      <c r="E7387" s="2" t="s">
        <v>17</v>
      </c>
      <c r="F7387" s="2" t="str">
        <f>HYPERLINK("http://www.12365auto.com/zlts/20200214/447225.shtml","http://www.12365auto.com/zlts/20200214/447225.shtml")</f>
        <v>http://www.12365auto.com/zlts/20200214/447225.shtml</v>
      </c>
      <c r="G7387" s="2"/>
      <c r="H7387" s="2" t="s">
        <v>10204</v>
      </c>
      <c r="I7387" s="2" t="s">
        <v>15</v>
      </c>
      <c r="J7387" s="2" t="s">
        <v>12</v>
      </c>
      <c r="K7387" s="2" t="s">
        <v>10205</v>
      </c>
      <c r="L7387" s="2">
        <f t="shared" si="115"/>
        <v>150</v>
      </c>
    </row>
    <row r="7388" spans="1:12" ht="25" customHeight="1">
      <c r="A7388" s="2" t="s">
        <v>12</v>
      </c>
      <c r="B7388" s="2" t="str">
        <f>HYPERLINK("http://www.12365auto.com/zlts/20200214/447224.shtml","一汽大众速腾1挡起步和倒挡半离合时转速高")</f>
        <v>一汽大众速腾1挡起步和倒挡半离合时转速高</v>
      </c>
      <c r="C7388" s="2" t="s">
        <v>13</v>
      </c>
      <c r="D7388" s="2" t="s">
        <v>12</v>
      </c>
      <c r="E7388" s="2" t="s">
        <v>17</v>
      </c>
      <c r="F7388" s="2" t="str">
        <f>HYPERLINK("http://www.12365auto.com/zlts/20200214/447224.shtml","http://www.12365auto.com/zlts/20200214/447224.shtml")</f>
        <v>http://www.12365auto.com/zlts/20200214/447224.shtml</v>
      </c>
      <c r="G7388" s="2"/>
      <c r="H7388" s="2" t="s">
        <v>10206</v>
      </c>
      <c r="I7388" s="2" t="s">
        <v>15</v>
      </c>
      <c r="J7388" s="2" t="s">
        <v>12</v>
      </c>
      <c r="K7388" s="2" t="s">
        <v>10207</v>
      </c>
      <c r="L7388" s="2">
        <f t="shared" si="115"/>
        <v>150</v>
      </c>
    </row>
    <row r="7389" spans="1:12" ht="25" customHeight="1">
      <c r="A7389" s="2" t="s">
        <v>12</v>
      </c>
      <c r="B7389" s="2" t="str">
        <f>HYPERLINK("http://www.12365auto.com/zlts/20200214/447223.shtml","一汽大众速腾起步倒车转速升高 离合器磨损")</f>
        <v>一汽大众速腾起步倒车转速升高 离合器磨损</v>
      </c>
      <c r="C7389" s="2" t="s">
        <v>13</v>
      </c>
      <c r="D7389" s="2" t="s">
        <v>12</v>
      </c>
      <c r="E7389" s="2" t="s">
        <v>17</v>
      </c>
      <c r="F7389" s="2" t="str">
        <f>HYPERLINK("http://www.12365auto.com/zlts/20200214/447223.shtml","http://www.12365auto.com/zlts/20200214/447223.shtml")</f>
        <v>http://www.12365auto.com/zlts/20200214/447223.shtml</v>
      </c>
      <c r="G7389" s="2"/>
      <c r="H7389" s="2" t="s">
        <v>10208</v>
      </c>
      <c r="I7389" s="2" t="s">
        <v>19</v>
      </c>
      <c r="J7389" s="2" t="s">
        <v>12</v>
      </c>
      <c r="K7389" s="2" t="s">
        <v>10209</v>
      </c>
      <c r="L7389" s="2">
        <f t="shared" si="115"/>
        <v>150</v>
      </c>
    </row>
    <row r="7390" spans="1:12" ht="25" customHeight="1">
      <c r="A7390" s="2" t="s">
        <v>12</v>
      </c>
      <c r="B7390" s="2" t="str">
        <f>HYPERLINK("http://www.12365auto.com/zlts/20200214/447221.shtml","郑州日产途达停放三天电瓶亏电打不着火")</f>
        <v>郑州日产途达停放三天电瓶亏电打不着火</v>
      </c>
      <c r="C7390" s="2" t="s">
        <v>13</v>
      </c>
      <c r="D7390" s="2" t="s">
        <v>12</v>
      </c>
      <c r="E7390" s="2"/>
      <c r="F7390" s="2" t="str">
        <f>HYPERLINK("http://www.12365auto.com/zlts/20200214/447221.shtml","http://www.12365auto.com/zlts/20200214/447221.shtml")</f>
        <v>http://www.12365auto.com/zlts/20200214/447221.shtml</v>
      </c>
      <c r="G7390" s="2"/>
      <c r="H7390" s="2" t="s">
        <v>10211</v>
      </c>
      <c r="I7390" s="2" t="s">
        <v>15</v>
      </c>
      <c r="J7390" s="2" t="s">
        <v>12</v>
      </c>
      <c r="K7390" s="2" t="s">
        <v>10210</v>
      </c>
      <c r="L7390" s="2">
        <f t="shared" si="115"/>
        <v>83</v>
      </c>
    </row>
    <row r="7391" spans="1:12" ht="25" customHeight="1">
      <c r="A7391" s="2" t="s">
        <v>12</v>
      </c>
      <c r="B7391" s="2" t="str">
        <f>HYPERLINK("http://www.12365auto.com/zlts/20200214/447222.shtml","上汽大众帕萨特发动机缸盖和正时盖处渗油")</f>
        <v>上汽大众帕萨特发动机缸盖和正时盖处渗油</v>
      </c>
      <c r="C7391" s="2" t="s">
        <v>13</v>
      </c>
      <c r="D7391" s="2" t="s">
        <v>12</v>
      </c>
      <c r="E7391" s="2" t="s">
        <v>17</v>
      </c>
      <c r="F7391" s="2" t="str">
        <f>HYPERLINK("http://www.12365auto.com/zlts/20200214/447222.shtml","http://www.12365auto.com/zlts/20200214/447222.shtml")</f>
        <v>http://www.12365auto.com/zlts/20200214/447222.shtml</v>
      </c>
      <c r="G7391" s="2"/>
      <c r="H7391" s="2" t="s">
        <v>10212</v>
      </c>
      <c r="I7391" s="2" t="s">
        <v>19</v>
      </c>
      <c r="J7391" s="2" t="s">
        <v>12</v>
      </c>
      <c r="K7391" s="2" t="s">
        <v>10213</v>
      </c>
      <c r="L7391" s="2">
        <f t="shared" si="115"/>
        <v>150</v>
      </c>
    </row>
    <row r="7392" spans="1:12" ht="25" customHeight="1">
      <c r="A7392" s="2" t="s">
        <v>12</v>
      </c>
      <c r="B7392" s="2" t="str">
        <f>HYPERLINK("http://www.12365auto.com/zlts/20200214/447220.shtml","郑州日产途达电瓶亏电 预碰撞故障灯闪亮")</f>
        <v>郑州日产途达电瓶亏电 预碰撞故障灯闪亮</v>
      </c>
      <c r="C7392" s="2" t="s">
        <v>13</v>
      </c>
      <c r="D7392" s="2" t="s">
        <v>12</v>
      </c>
      <c r="E7392" s="2" t="s">
        <v>17</v>
      </c>
      <c r="F7392" s="2" t="str">
        <f>HYPERLINK("http://www.12365auto.com/zlts/20200214/447220.shtml","http://www.12365auto.com/zlts/20200214/447220.shtml")</f>
        <v>http://www.12365auto.com/zlts/20200214/447220.shtml</v>
      </c>
      <c r="G7392" s="2"/>
      <c r="H7392" s="2" t="s">
        <v>10214</v>
      </c>
      <c r="I7392" s="2" t="s">
        <v>19</v>
      </c>
      <c r="J7392" s="2" t="s">
        <v>12</v>
      </c>
      <c r="K7392" s="2" t="s">
        <v>10215</v>
      </c>
      <c r="L7392" s="2">
        <f t="shared" si="115"/>
        <v>150</v>
      </c>
    </row>
    <row r="7393" spans="1:12" ht="25" customHeight="1">
      <c r="A7393" s="2" t="s">
        <v>12</v>
      </c>
      <c r="B7393" s="2" t="str">
        <f>HYPERLINK("http://www.12365auto.com/zlts/20200214/447219.shtml","上汽名爵HS蓄电池亏电导致无法启动")</f>
        <v>上汽名爵HS蓄电池亏电导致无法启动</v>
      </c>
      <c r="C7393" s="2" t="s">
        <v>13</v>
      </c>
      <c r="D7393" s="2" t="s">
        <v>12</v>
      </c>
      <c r="E7393" s="2" t="s">
        <v>17</v>
      </c>
      <c r="F7393" s="2" t="str">
        <f>HYPERLINK("http://www.12365auto.com/zlts/20200214/447219.shtml","http://www.12365auto.com/zlts/20200214/447219.shtml")</f>
        <v>http://www.12365auto.com/zlts/20200214/447219.shtml</v>
      </c>
      <c r="G7393" s="2"/>
      <c r="H7393" s="2" t="s">
        <v>10216</v>
      </c>
      <c r="I7393" s="2" t="s">
        <v>19</v>
      </c>
      <c r="J7393" s="2" t="s">
        <v>12</v>
      </c>
      <c r="K7393" s="2" t="s">
        <v>10217</v>
      </c>
      <c r="L7393" s="2">
        <f t="shared" si="115"/>
        <v>150</v>
      </c>
    </row>
    <row r="7394" spans="1:12" ht="25" customHeight="1">
      <c r="A7394" s="2" t="s">
        <v>12</v>
      </c>
      <c r="B7394" s="2" t="str">
        <f>HYPERLINK("http://www.12365auto.com/zlts/20200214/447216.shtml","广汽本田雅阁高速行驶时方向盘卡顿")</f>
        <v>广汽本田雅阁高速行驶时方向盘卡顿</v>
      </c>
      <c r="C7394" s="2" t="s">
        <v>13</v>
      </c>
      <c r="D7394" s="2" t="s">
        <v>12</v>
      </c>
      <c r="E7394" s="2"/>
      <c r="F7394" s="2" t="str">
        <f>HYPERLINK("http://www.12365auto.com/zlts/20200214/447216.shtml","http://www.12365auto.com/zlts/20200214/447216.shtml")</f>
        <v>http://www.12365auto.com/zlts/20200214/447216.shtml</v>
      </c>
      <c r="G7394" s="2"/>
      <c r="H7394" s="2" t="s">
        <v>10219</v>
      </c>
      <c r="I7394" s="2" t="s">
        <v>15</v>
      </c>
      <c r="J7394" s="2" t="s">
        <v>12</v>
      </c>
      <c r="K7394" s="2" t="s">
        <v>10218</v>
      </c>
      <c r="L7394" s="2">
        <f t="shared" si="115"/>
        <v>84</v>
      </c>
    </row>
    <row r="7395" spans="1:12" ht="25" customHeight="1">
      <c r="A7395" s="2" t="s">
        <v>12</v>
      </c>
      <c r="B7395" s="2" t="str">
        <f>HYPERLINK("http://www.12365auto.com/zlts/20200214/447217.shtml","上汽荣威RX8转向系统失灵 无法控制转向")</f>
        <v>上汽荣威RX8转向系统失灵 无法控制转向</v>
      </c>
      <c r="C7395" s="2" t="s">
        <v>13</v>
      </c>
      <c r="D7395" s="2" t="s">
        <v>12</v>
      </c>
      <c r="E7395" s="2" t="s">
        <v>17</v>
      </c>
      <c r="F7395" s="2" t="str">
        <f>HYPERLINK("http://www.12365auto.com/zlts/20200214/447217.shtml","http://www.12365auto.com/zlts/20200214/447217.shtml")</f>
        <v>http://www.12365auto.com/zlts/20200214/447217.shtml</v>
      </c>
      <c r="G7395" s="2"/>
      <c r="H7395" s="2" t="s">
        <v>10220</v>
      </c>
      <c r="I7395" s="2" t="s">
        <v>15</v>
      </c>
      <c r="J7395" s="2" t="s">
        <v>12</v>
      </c>
      <c r="K7395" s="2" t="s">
        <v>10221</v>
      </c>
      <c r="L7395" s="2">
        <f t="shared" si="115"/>
        <v>150</v>
      </c>
    </row>
    <row r="7396" spans="1:12" ht="25" customHeight="1">
      <c r="A7396" s="2" t="s">
        <v>12</v>
      </c>
      <c r="B7396" s="2" t="s">
        <v>10222</v>
      </c>
      <c r="C7396" s="2" t="s">
        <v>13</v>
      </c>
      <c r="D7396" s="2" t="s">
        <v>23</v>
      </c>
      <c r="E7396" s="2"/>
      <c r="F7396" s="2" t="str">
        <f>HYPERLINK("http://m.12365auto.com/bbs/postcontent.aspx?tID=194159","http://m.12365auto.com/bbs/postcontent.aspx?tID=194159")</f>
        <v>http://m.12365auto.com/bbs/postcontent.aspx?tID=194159</v>
      </c>
      <c r="G7396" s="2"/>
      <c r="H7396" s="2" t="s">
        <v>10223</v>
      </c>
      <c r="I7396" s="2" t="s">
        <v>15</v>
      </c>
      <c r="J7396" s="2" t="s">
        <v>1386</v>
      </c>
      <c r="K7396" s="2" t="s">
        <v>10224</v>
      </c>
      <c r="L7396" s="2">
        <f t="shared" si="115"/>
        <v>150</v>
      </c>
    </row>
    <row r="7397" spans="1:12" ht="25" customHeight="1">
      <c r="A7397" s="2" t="s">
        <v>12</v>
      </c>
      <c r="B7397" s="2" t="s">
        <v>10222</v>
      </c>
      <c r="C7397" s="2" t="s">
        <v>13</v>
      </c>
      <c r="D7397" s="2" t="s">
        <v>12</v>
      </c>
      <c r="E7397" s="2" t="s">
        <v>214</v>
      </c>
      <c r="F7397" s="2" t="str">
        <f>HYPERLINK("http://bbs.12365auto.com/postcontent.aspx?tID=194159","http://bbs.12365auto.com/postcontent.aspx?tID=194159")</f>
        <v>http://bbs.12365auto.com/postcontent.aspx?tID=194159</v>
      </c>
      <c r="G7397" s="2"/>
      <c r="H7397" s="2" t="s">
        <v>10225</v>
      </c>
      <c r="I7397" s="2" t="s">
        <v>15</v>
      </c>
      <c r="J7397" s="2" t="s">
        <v>1386</v>
      </c>
      <c r="K7397" s="2" t="s">
        <v>10224</v>
      </c>
      <c r="L7397" s="2">
        <f t="shared" si="115"/>
        <v>150</v>
      </c>
    </row>
    <row r="7398" spans="1:12" ht="25" customHeight="1">
      <c r="A7398" s="2" t="s">
        <v>12</v>
      </c>
      <c r="B7398" s="2" t="s">
        <v>10222</v>
      </c>
      <c r="C7398" s="2" t="s">
        <v>13</v>
      </c>
      <c r="D7398" s="2" t="s">
        <v>12</v>
      </c>
      <c r="E7398" s="2" t="s">
        <v>210</v>
      </c>
      <c r="F7398" s="2" t="str">
        <f>HYPERLINK("http://bbs.12365auto.com/postcontent.aspx?tId=194159","http://bbs.12365auto.com/postcontent.aspx?tId=194159")</f>
        <v>http://bbs.12365auto.com/postcontent.aspx?tId=194159</v>
      </c>
      <c r="G7398" s="2"/>
      <c r="H7398" s="2" t="s">
        <v>10223</v>
      </c>
      <c r="I7398" s="2" t="s">
        <v>15</v>
      </c>
      <c r="J7398" s="2" t="s">
        <v>1386</v>
      </c>
      <c r="K7398" s="2" t="s">
        <v>10224</v>
      </c>
      <c r="L7398" s="2">
        <f t="shared" si="115"/>
        <v>150</v>
      </c>
    </row>
    <row r="7399" spans="1:12" ht="25" customHeight="1">
      <c r="A7399" s="2" t="s">
        <v>12</v>
      </c>
      <c r="B7399" s="2" t="str">
        <f>HYPERLINK("http://www.12365auto.com/zlts/20200214/447207.shtml","长安福特福克斯转向助力泵漏油影响使用")</f>
        <v>长安福特福克斯转向助力泵漏油影响使用</v>
      </c>
      <c r="C7399" s="2" t="s">
        <v>13</v>
      </c>
      <c r="D7399" s="2" t="s">
        <v>12</v>
      </c>
      <c r="E7399" s="2"/>
      <c r="F7399" s="2" t="str">
        <f>HYPERLINK("http://www.12365auto.com/zlts/20200214/447207.shtml","http://www.12365auto.com/zlts/20200214/447207.shtml")</f>
        <v>http://www.12365auto.com/zlts/20200214/447207.shtml</v>
      </c>
      <c r="G7399" s="2"/>
      <c r="H7399" s="2" t="s">
        <v>10227</v>
      </c>
      <c r="I7399" s="2" t="s">
        <v>15</v>
      </c>
      <c r="J7399" s="2" t="s">
        <v>12</v>
      </c>
      <c r="K7399" s="2" t="s">
        <v>10226</v>
      </c>
      <c r="L7399" s="2">
        <f t="shared" si="115"/>
        <v>83</v>
      </c>
    </row>
    <row r="7400" spans="1:12" ht="25" customHeight="1">
      <c r="A7400" s="2" t="s">
        <v>12</v>
      </c>
      <c r="B7400" s="2" t="str">
        <f>HYPERLINK("http://bbs.12365auto.com/postcontent.aspx?tID=194157","全款落地16万元 雪佛兰探界者性价比高")</f>
        <v>全款落地16万元 雪佛兰探界者性价比高</v>
      </c>
      <c r="C7400" s="2" t="s">
        <v>13</v>
      </c>
      <c r="D7400" s="2" t="s">
        <v>12</v>
      </c>
      <c r="E7400" s="2" t="s">
        <v>214</v>
      </c>
      <c r="F7400" s="2" t="str">
        <f>HYPERLINK("http://bbs.12365auto.com/postcontent.aspx?tID=194157","http://bbs.12365auto.com/postcontent.aspx?tID=194157")</f>
        <v>http://bbs.12365auto.com/postcontent.aspx?tID=194157</v>
      </c>
      <c r="G7400" s="2"/>
      <c r="H7400" s="2" t="s">
        <v>10228</v>
      </c>
      <c r="I7400" s="2" t="s">
        <v>15</v>
      </c>
      <c r="J7400" s="2" t="s">
        <v>1386</v>
      </c>
      <c r="K7400" s="2" t="s">
        <v>10229</v>
      </c>
      <c r="L7400" s="2">
        <f t="shared" si="115"/>
        <v>150</v>
      </c>
    </row>
    <row r="7401" spans="1:12" ht="25" customHeight="1">
      <c r="A7401" s="2" t="s">
        <v>12</v>
      </c>
      <c r="B7401" s="2" t="str">
        <f>HYPERLINK("http://bbs.12365auto.com/postcontent.aspx?tID=194158","10万以内 比较可靠的5款SUV推荐")</f>
        <v>10万以内 比较可靠的5款SUV推荐</v>
      </c>
      <c r="C7401" s="2" t="s">
        <v>13</v>
      </c>
      <c r="D7401" s="2" t="s">
        <v>12</v>
      </c>
      <c r="E7401" s="2" t="s">
        <v>214</v>
      </c>
      <c r="F7401" s="2" t="str">
        <f>HYPERLINK("http://bbs.12365auto.com/postcontent.aspx?tID=194158","http://bbs.12365auto.com/postcontent.aspx?tID=194158")</f>
        <v>http://bbs.12365auto.com/postcontent.aspx?tID=194158</v>
      </c>
      <c r="G7401" s="2"/>
      <c r="H7401" s="2" t="s">
        <v>10230</v>
      </c>
      <c r="I7401" s="2" t="s">
        <v>15</v>
      </c>
      <c r="J7401" s="2" t="s">
        <v>1386</v>
      </c>
      <c r="K7401" s="2" t="s">
        <v>10229</v>
      </c>
      <c r="L7401" s="2">
        <f t="shared" si="115"/>
        <v>150</v>
      </c>
    </row>
    <row r="7402" spans="1:12" ht="25" customHeight="1">
      <c r="A7402" s="2" t="s">
        <v>12</v>
      </c>
      <c r="B7402" s="2" t="str">
        <f>HYPERLINK("http://m.12365auto.com/bbs/postcontent.aspx?tID=194157&amp;i=1","全款落地16万元 雪佛兰探界者性价比高")</f>
        <v>全款落地16万元 雪佛兰探界者性价比高</v>
      </c>
      <c r="C7402" s="2" t="s">
        <v>13</v>
      </c>
      <c r="D7402" s="2" t="s">
        <v>23</v>
      </c>
      <c r="E7402" s="2"/>
      <c r="F7402" s="2" t="str">
        <f>HYPERLINK("http://m.12365auto.com/bbs/postcontent.aspx?tID=194157&amp;i=1","http://m.12365auto.com/bbs/postcontent.aspx?tID=194157&amp;i=1")</f>
        <v>http://m.12365auto.com/bbs/postcontent.aspx?tID=194157&amp;i=1</v>
      </c>
      <c r="G7402" s="2"/>
      <c r="H7402" s="2" t="s">
        <v>10231</v>
      </c>
      <c r="I7402" s="2" t="s">
        <v>15</v>
      </c>
      <c r="J7402" s="2" t="s">
        <v>1386</v>
      </c>
      <c r="K7402" s="2" t="s">
        <v>10229</v>
      </c>
      <c r="L7402" s="2">
        <f t="shared" si="115"/>
        <v>150</v>
      </c>
    </row>
    <row r="7403" spans="1:12" ht="25" customHeight="1">
      <c r="A7403" s="2" t="s">
        <v>12</v>
      </c>
      <c r="B7403" s="2" t="str">
        <f>HYPERLINK("http://m.12365auto.com/bbs/postcontent.aspx?tID=194158","10万以内 比较可靠的5款SUV")</f>
        <v>10万以内 比较可靠的5款SUV</v>
      </c>
      <c r="C7403" s="2" t="s">
        <v>13</v>
      </c>
      <c r="D7403" s="2" t="s">
        <v>23</v>
      </c>
      <c r="E7403" s="2"/>
      <c r="F7403" s="2" t="str">
        <f>HYPERLINK("http://m.12365auto.com/bbs/postcontent.aspx?tID=194158","http://m.12365auto.com/bbs/postcontent.aspx?tID=194158")</f>
        <v>http://m.12365auto.com/bbs/postcontent.aspx?tID=194158</v>
      </c>
      <c r="G7403" s="2"/>
      <c r="H7403" s="2" t="s">
        <v>10232</v>
      </c>
      <c r="I7403" s="2" t="s">
        <v>15</v>
      </c>
      <c r="J7403" s="2" t="s">
        <v>1386</v>
      </c>
      <c r="K7403" s="2" t="s">
        <v>10229</v>
      </c>
      <c r="L7403" s="2">
        <f t="shared" si="115"/>
        <v>150</v>
      </c>
    </row>
    <row r="7404" spans="1:12" ht="25" customHeight="1">
      <c r="A7404" s="2" t="s">
        <v>12</v>
      </c>
      <c r="B7404" s="2" t="str">
        <f>HYPERLINK("http://m.12365auto.com/bbs/postcontent.aspx?tID=194157","全款落地16万元 雪佛兰探界者性价比高")</f>
        <v>全款落地16万元 雪佛兰探界者性价比高</v>
      </c>
      <c r="C7404" s="2" t="s">
        <v>13</v>
      </c>
      <c r="D7404" s="2" t="s">
        <v>23</v>
      </c>
      <c r="E7404" s="2"/>
      <c r="F7404" s="2" t="str">
        <f>HYPERLINK("http://m.12365auto.com/bbs/postcontent.aspx?tID=194157","http://m.12365auto.com/bbs/postcontent.aspx?tID=194157")</f>
        <v>http://m.12365auto.com/bbs/postcontent.aspx?tID=194157</v>
      </c>
      <c r="G7404" s="2"/>
      <c r="H7404" s="2" t="s">
        <v>10231</v>
      </c>
      <c r="I7404" s="2" t="s">
        <v>15</v>
      </c>
      <c r="J7404" s="2" t="s">
        <v>1386</v>
      </c>
      <c r="K7404" s="2" t="s">
        <v>10229</v>
      </c>
      <c r="L7404" s="2">
        <f t="shared" si="115"/>
        <v>150</v>
      </c>
    </row>
    <row r="7405" spans="1:12" ht="25" customHeight="1">
      <c r="A7405" s="2" t="s">
        <v>12</v>
      </c>
      <c r="B7405" s="2" t="str">
        <f>HYPERLINK("http://bbs.12365auto.com/postcontent.aspx?tId=194158","10万以内 比较可靠的5款SUV")</f>
        <v>10万以内 比较可靠的5款SUV</v>
      </c>
      <c r="C7405" s="2" t="s">
        <v>13</v>
      </c>
      <c r="D7405" s="2" t="s">
        <v>12</v>
      </c>
      <c r="E7405" s="2" t="s">
        <v>210</v>
      </c>
      <c r="F7405" s="2" t="str">
        <f>HYPERLINK("http://bbs.12365auto.com/postcontent.aspx?tId=194158","http://bbs.12365auto.com/postcontent.aspx?tId=194158")</f>
        <v>http://bbs.12365auto.com/postcontent.aspx?tId=194158</v>
      </c>
      <c r="G7405" s="2"/>
      <c r="H7405" s="2" t="s">
        <v>10232</v>
      </c>
      <c r="I7405" s="2" t="s">
        <v>15</v>
      </c>
      <c r="J7405" s="2" t="s">
        <v>1386</v>
      </c>
      <c r="K7405" s="2" t="s">
        <v>10229</v>
      </c>
      <c r="L7405" s="2">
        <f t="shared" si="115"/>
        <v>150</v>
      </c>
    </row>
    <row r="7406" spans="1:12" ht="25" customHeight="1">
      <c r="A7406" s="2" t="s">
        <v>12</v>
      </c>
      <c r="B7406" s="2" t="str">
        <f>HYPERLINK("http://bbs.12365auto.com/postcontent.aspx?tId=194157","全款落地16万元 雪佛兰探界者性价比高")</f>
        <v>全款落地16万元 雪佛兰探界者性价比高</v>
      </c>
      <c r="C7406" s="2" t="s">
        <v>13</v>
      </c>
      <c r="D7406" s="2" t="s">
        <v>12</v>
      </c>
      <c r="E7406" s="2" t="s">
        <v>210</v>
      </c>
      <c r="F7406" s="2" t="str">
        <f>HYPERLINK("http://bbs.12365auto.com/postcontent.aspx?tId=194157","http://bbs.12365auto.com/postcontent.aspx?tId=194157")</f>
        <v>http://bbs.12365auto.com/postcontent.aspx?tId=194157</v>
      </c>
      <c r="G7406" s="2"/>
      <c r="H7406" s="2" t="s">
        <v>10231</v>
      </c>
      <c r="I7406" s="2" t="s">
        <v>15</v>
      </c>
      <c r="J7406" s="2" t="s">
        <v>1386</v>
      </c>
      <c r="K7406" s="2" t="s">
        <v>10229</v>
      </c>
      <c r="L7406" s="2">
        <f t="shared" si="115"/>
        <v>150</v>
      </c>
    </row>
    <row r="7407" spans="1:12" ht="25" customHeight="1">
      <c r="A7407" s="2" t="s">
        <v>12</v>
      </c>
      <c r="B7407" s="2" t="str">
        <f>HYPERLINK("http://bbs.12365auto.com/postcontent.aspx?tID=194156","日系车皮薄？大众车厚重？")</f>
        <v>日系车皮薄？大众车厚重？</v>
      </c>
      <c r="C7407" s="2" t="s">
        <v>13</v>
      </c>
      <c r="D7407" s="2" t="s">
        <v>12</v>
      </c>
      <c r="E7407" s="2" t="s">
        <v>214</v>
      </c>
      <c r="F7407" s="2" t="str">
        <f>HYPERLINK("http://bbs.12365auto.com/postcontent.aspx?tID=194156","http://bbs.12365auto.com/postcontent.aspx?tID=194156")</f>
        <v>http://bbs.12365auto.com/postcontent.aspx?tID=194156</v>
      </c>
      <c r="G7407" s="2"/>
      <c r="H7407" s="2" t="s">
        <v>10233</v>
      </c>
      <c r="I7407" s="2" t="s">
        <v>15</v>
      </c>
      <c r="J7407" s="2" t="s">
        <v>1386</v>
      </c>
      <c r="K7407" s="2" t="s">
        <v>10234</v>
      </c>
      <c r="L7407" s="2">
        <f t="shared" si="115"/>
        <v>150</v>
      </c>
    </row>
    <row r="7408" spans="1:12" ht="25" customHeight="1">
      <c r="A7408" s="2" t="s">
        <v>12</v>
      </c>
      <c r="B7408" s="2" t="str">
        <f>HYPERLINK("http://m.12365auto.com/bbs/postcontent.aspx?tID=194156","日系车皮薄？大众车厚重？")</f>
        <v>日系车皮薄？大众车厚重？</v>
      </c>
      <c r="C7408" s="2" t="s">
        <v>13</v>
      </c>
      <c r="D7408" s="2" t="s">
        <v>23</v>
      </c>
      <c r="E7408" s="2"/>
      <c r="F7408" s="2" t="str">
        <f>HYPERLINK("http://m.12365auto.com/bbs/postcontent.aspx?tID=194156","http://m.12365auto.com/bbs/postcontent.aspx?tID=194156")</f>
        <v>http://m.12365auto.com/bbs/postcontent.aspx?tID=194156</v>
      </c>
      <c r="G7408" s="2"/>
      <c r="H7408" s="2" t="s">
        <v>10235</v>
      </c>
      <c r="I7408" s="2" t="s">
        <v>15</v>
      </c>
      <c r="J7408" s="2" t="s">
        <v>1386</v>
      </c>
      <c r="K7408" s="2" t="s">
        <v>10234</v>
      </c>
      <c r="L7408" s="2">
        <f t="shared" si="115"/>
        <v>150</v>
      </c>
    </row>
    <row r="7409" spans="1:12" ht="25" customHeight="1">
      <c r="A7409" s="2" t="s">
        <v>12</v>
      </c>
      <c r="B7409" s="2" t="str">
        <f>HYPERLINK("http://bbs.12365auto.com/postcontent.aspx?tId=194156","日系车皮薄？大众车厚重？")</f>
        <v>日系车皮薄？大众车厚重？</v>
      </c>
      <c r="C7409" s="2" t="s">
        <v>13</v>
      </c>
      <c r="D7409" s="2" t="s">
        <v>12</v>
      </c>
      <c r="E7409" s="2" t="s">
        <v>210</v>
      </c>
      <c r="F7409" s="2" t="str">
        <f>HYPERLINK("http://bbs.12365auto.com/postcontent.aspx?tId=194156","http://bbs.12365auto.com/postcontent.aspx?tId=194156")</f>
        <v>http://bbs.12365auto.com/postcontent.aspx?tId=194156</v>
      </c>
      <c r="G7409" s="2"/>
      <c r="H7409" s="2" t="s">
        <v>10235</v>
      </c>
      <c r="I7409" s="2" t="s">
        <v>15</v>
      </c>
      <c r="J7409" s="2" t="s">
        <v>1386</v>
      </c>
      <c r="K7409" s="2" t="s">
        <v>10234</v>
      </c>
      <c r="L7409" s="2">
        <f t="shared" si="115"/>
        <v>150</v>
      </c>
    </row>
    <row r="7410" spans="1:12" ht="25" customHeight="1">
      <c r="A7410" s="2" t="s">
        <v>12</v>
      </c>
      <c r="B7410" s="2" t="str">
        <f>HYPERLINK("http://m.12365auto.com/zjdy/20200214/121263.shtml","雪佛兰探界者和大众途岳选择哪一款？")</f>
        <v>雪佛兰探界者和大众途岳选择哪一款？</v>
      </c>
      <c r="C7410" s="2" t="s">
        <v>13</v>
      </c>
      <c r="D7410" s="2" t="s">
        <v>12</v>
      </c>
      <c r="E7410" s="2"/>
      <c r="F7410" s="2" t="str">
        <f>HYPERLINK("http://m.12365auto.com/zjdy/20200214/121263.shtml","http://m.12365auto.com/zjdy/20200214/121263.shtml")</f>
        <v>http://m.12365auto.com/zjdy/20200214/121263.shtml</v>
      </c>
      <c r="G7410" s="2"/>
      <c r="H7410" s="2" t="s">
        <v>10236</v>
      </c>
      <c r="I7410" s="2" t="s">
        <v>19</v>
      </c>
      <c r="J7410" s="2" t="s">
        <v>12</v>
      </c>
      <c r="K7410" s="2" t="s">
        <v>10237</v>
      </c>
      <c r="L7410" s="2">
        <f t="shared" si="115"/>
        <v>150</v>
      </c>
    </row>
    <row r="7411" spans="1:12" ht="25" customHeight="1">
      <c r="A7411" s="2" t="s">
        <v>12</v>
      </c>
      <c r="B7411" s="2" t="str">
        <f>HYPERLINK("http://m.12365auto.com/bbs/postcontent.aspx?tID=194155","X1都已经降至20万出头了 还在买荣放CR-V？")</f>
        <v>X1都已经降至20万出头了 还在买荣放CR-V？</v>
      </c>
      <c r="C7411" s="2" t="s">
        <v>13</v>
      </c>
      <c r="D7411" s="2" t="s">
        <v>23</v>
      </c>
      <c r="E7411" s="2"/>
      <c r="F7411" s="2" t="str">
        <f>HYPERLINK("http://m.12365auto.com/bbs/postcontent.aspx?tID=194155","http://m.12365auto.com/bbs/postcontent.aspx?tID=194155")</f>
        <v>http://m.12365auto.com/bbs/postcontent.aspx?tID=194155</v>
      </c>
      <c r="G7411" s="2"/>
      <c r="H7411" s="2" t="s">
        <v>10238</v>
      </c>
      <c r="I7411" s="2" t="s">
        <v>15</v>
      </c>
      <c r="J7411" s="2" t="s">
        <v>1386</v>
      </c>
      <c r="K7411" s="2" t="s">
        <v>10239</v>
      </c>
      <c r="L7411" s="2">
        <f t="shared" si="115"/>
        <v>150</v>
      </c>
    </row>
    <row r="7412" spans="1:12" ht="25" customHeight="1">
      <c r="A7412" s="2" t="s">
        <v>12</v>
      </c>
      <c r="B7412" s="2" t="str">
        <f>HYPERLINK("http://bbs.12365auto.com/postcontent.aspx?tId=194155","X1都已经降至20万出头了 还在买荣放CR-V？")</f>
        <v>X1都已经降至20万出头了 还在买荣放CR-V？</v>
      </c>
      <c r="C7412" s="2" t="s">
        <v>13</v>
      </c>
      <c r="D7412" s="2" t="s">
        <v>12</v>
      </c>
      <c r="E7412" s="2" t="s">
        <v>210</v>
      </c>
      <c r="F7412" s="2" t="str">
        <f>HYPERLINK("http://bbs.12365auto.com/postcontent.aspx?tId=194155","http://bbs.12365auto.com/postcontent.aspx?tId=194155")</f>
        <v>http://bbs.12365auto.com/postcontent.aspx?tId=194155</v>
      </c>
      <c r="G7412" s="2"/>
      <c r="H7412" s="2" t="s">
        <v>10238</v>
      </c>
      <c r="I7412" s="2" t="s">
        <v>15</v>
      </c>
      <c r="J7412" s="2" t="s">
        <v>1386</v>
      </c>
      <c r="K7412" s="2" t="s">
        <v>10239</v>
      </c>
      <c r="L7412" s="2">
        <f t="shared" si="115"/>
        <v>150</v>
      </c>
    </row>
    <row r="7413" spans="1:12" ht="25" customHeight="1">
      <c r="A7413" s="2" t="s">
        <v>12</v>
      </c>
      <c r="B7413" s="2" t="str">
        <f>HYPERLINK("http://www.12365auto.com/zlts/20200214/447215.shtml","吉利帝豪低速行驶过程中变速箱顿挫严重")</f>
        <v>吉利帝豪低速行驶过程中变速箱顿挫严重</v>
      </c>
      <c r="C7413" s="2" t="s">
        <v>13</v>
      </c>
      <c r="D7413" s="2" t="s">
        <v>12</v>
      </c>
      <c r="E7413" s="2" t="s">
        <v>17</v>
      </c>
      <c r="F7413" s="2" t="str">
        <f>HYPERLINK("http://www.12365auto.com/zlts/20200214/447215.shtml","http://www.12365auto.com/zlts/20200214/447215.shtml")</f>
        <v>http://www.12365auto.com/zlts/20200214/447215.shtml</v>
      </c>
      <c r="G7413" s="2"/>
      <c r="H7413" s="2" t="s">
        <v>10240</v>
      </c>
      <c r="I7413" s="2" t="s">
        <v>19</v>
      </c>
      <c r="J7413" s="2" t="s">
        <v>12</v>
      </c>
      <c r="K7413" s="2" t="s">
        <v>10239</v>
      </c>
      <c r="L7413" s="2">
        <f t="shared" si="115"/>
        <v>150</v>
      </c>
    </row>
    <row r="7414" spans="1:12" ht="25" customHeight="1">
      <c r="A7414" s="2" t="s">
        <v>12</v>
      </c>
      <c r="B7414" s="2" t="str">
        <f>HYPERLINK("http://bbs.12365auto.com/postcontent.aspx?tID=194155","X1都已经降至20万出头了 还在买荣放CR-V？")</f>
        <v>X1都已经降至20万出头了 还在买荣放CR-V？</v>
      </c>
      <c r="C7414" s="2" t="s">
        <v>13</v>
      </c>
      <c r="D7414" s="2" t="s">
        <v>12</v>
      </c>
      <c r="E7414" s="2" t="s">
        <v>214</v>
      </c>
      <c r="F7414" s="2" t="str">
        <f>HYPERLINK("http://bbs.12365auto.com/postcontent.aspx?tID=194155","http://bbs.12365auto.com/postcontent.aspx?tID=194155")</f>
        <v>http://bbs.12365auto.com/postcontent.aspx?tID=194155</v>
      </c>
      <c r="G7414" s="2"/>
      <c r="H7414" s="2" t="s">
        <v>10241</v>
      </c>
      <c r="I7414" s="2" t="s">
        <v>15</v>
      </c>
      <c r="J7414" s="2" t="s">
        <v>1386</v>
      </c>
      <c r="K7414" s="2" t="s">
        <v>10239</v>
      </c>
      <c r="L7414" s="2">
        <f t="shared" si="115"/>
        <v>150</v>
      </c>
    </row>
    <row r="7415" spans="1:12" ht="25" customHeight="1">
      <c r="A7415" s="2" t="s">
        <v>12</v>
      </c>
      <c r="B7415" s="2" t="str">
        <f>HYPERLINK("http://m.12365auto.com/bbs/postcontent.aspx?tID=194154","新一代奔驰S实车现身 内外设计曝光")</f>
        <v>新一代奔驰S实车现身 内外设计曝光</v>
      </c>
      <c r="C7415" s="2" t="s">
        <v>13</v>
      </c>
      <c r="D7415" s="2" t="s">
        <v>23</v>
      </c>
      <c r="E7415" s="2"/>
      <c r="F7415" s="2" t="str">
        <f>HYPERLINK("http://m.12365auto.com/bbs/postcontent.aspx?tID=194154","http://m.12365auto.com/bbs/postcontent.aspx?tID=194154")</f>
        <v>http://m.12365auto.com/bbs/postcontent.aspx?tID=194154</v>
      </c>
      <c r="G7415" s="2"/>
      <c r="H7415" s="2" t="s">
        <v>10242</v>
      </c>
      <c r="I7415" s="2" t="s">
        <v>15</v>
      </c>
      <c r="J7415" s="2" t="s">
        <v>1386</v>
      </c>
      <c r="K7415" s="2" t="s">
        <v>10243</v>
      </c>
      <c r="L7415" s="2">
        <f t="shared" si="115"/>
        <v>150</v>
      </c>
    </row>
    <row r="7416" spans="1:12" ht="25" customHeight="1">
      <c r="A7416" s="2" t="s">
        <v>12</v>
      </c>
      <c r="B7416" s="2" t="str">
        <f>HYPERLINK("http://bbs.12365auto.com/postcontent.aspx?tId=194154","新一代奔驰S实车现身 内外设计曝光")</f>
        <v>新一代奔驰S实车现身 内外设计曝光</v>
      </c>
      <c r="C7416" s="2" t="s">
        <v>13</v>
      </c>
      <c r="D7416" s="2" t="s">
        <v>12</v>
      </c>
      <c r="E7416" s="2" t="s">
        <v>210</v>
      </c>
      <c r="F7416" s="2" t="str">
        <f>HYPERLINK("http://bbs.12365auto.com/postcontent.aspx?tId=194154","http://bbs.12365auto.com/postcontent.aspx?tId=194154")</f>
        <v>http://bbs.12365auto.com/postcontent.aspx?tId=194154</v>
      </c>
      <c r="G7416" s="2"/>
      <c r="H7416" s="2" t="s">
        <v>10242</v>
      </c>
      <c r="I7416" s="2" t="s">
        <v>15</v>
      </c>
      <c r="J7416" s="2" t="s">
        <v>1386</v>
      </c>
      <c r="K7416" s="2" t="s">
        <v>10243</v>
      </c>
      <c r="L7416" s="2">
        <f t="shared" si="115"/>
        <v>150</v>
      </c>
    </row>
    <row r="7417" spans="1:12" ht="25" customHeight="1">
      <c r="A7417" s="2" t="s">
        <v>12</v>
      </c>
      <c r="B7417" s="2" t="str">
        <f>HYPERLINK("http://bbs.12365auto.com/postcontent.aspx?tID=194154","新一代奔驰S实车现身 内外设计曝光")</f>
        <v>新一代奔驰S实车现身 内外设计曝光</v>
      </c>
      <c r="C7417" s="2" t="s">
        <v>13</v>
      </c>
      <c r="D7417" s="2" t="s">
        <v>12</v>
      </c>
      <c r="E7417" s="2" t="s">
        <v>214</v>
      </c>
      <c r="F7417" s="2" t="str">
        <f>HYPERLINK("http://bbs.12365auto.com/postcontent.aspx?tID=194154","http://bbs.12365auto.com/postcontent.aspx?tID=194154")</f>
        <v>http://bbs.12365auto.com/postcontent.aspx?tID=194154</v>
      </c>
      <c r="G7417" s="2"/>
      <c r="H7417" s="2" t="s">
        <v>10244</v>
      </c>
      <c r="I7417" s="2" t="s">
        <v>15</v>
      </c>
      <c r="J7417" s="2" t="s">
        <v>1386</v>
      </c>
      <c r="K7417" s="2" t="s">
        <v>10243</v>
      </c>
      <c r="L7417" s="2">
        <f t="shared" si="115"/>
        <v>150</v>
      </c>
    </row>
    <row r="7418" spans="1:12" ht="25" customHeight="1">
      <c r="A7418" s="2" t="s">
        <v>12</v>
      </c>
      <c r="B7418" s="2" t="str">
        <f>HYPERLINK("http://www.12365auto.com/zlts/20200214/447214.shtml","广汽本田飞度冷车启动发动机有咔咔异响")</f>
        <v>广汽本田飞度冷车启动发动机有咔咔异响</v>
      </c>
      <c r="C7418" s="2" t="s">
        <v>13</v>
      </c>
      <c r="D7418" s="2" t="s">
        <v>12</v>
      </c>
      <c r="E7418" s="2" t="s">
        <v>17</v>
      </c>
      <c r="F7418" s="2" t="str">
        <f>HYPERLINK("http://www.12365auto.com/zlts/20200214/447214.shtml","http://www.12365auto.com/zlts/20200214/447214.shtml")</f>
        <v>http://www.12365auto.com/zlts/20200214/447214.shtml</v>
      </c>
      <c r="G7418" s="2"/>
      <c r="H7418" s="2" t="s">
        <v>10245</v>
      </c>
      <c r="I7418" s="2" t="s">
        <v>19</v>
      </c>
      <c r="J7418" s="2" t="s">
        <v>12</v>
      </c>
      <c r="K7418" s="2" t="s">
        <v>10246</v>
      </c>
      <c r="L7418" s="2">
        <f t="shared" si="115"/>
        <v>150</v>
      </c>
    </row>
    <row r="7419" spans="1:12" ht="25" customHeight="1">
      <c r="A7419" s="2" t="s">
        <v>12</v>
      </c>
      <c r="B7419" s="2" t="str">
        <f>HYPERLINK("http://m.12365auto.com/bbs/postcontent.aspx?tID=194153","又给国人长脸了！这5台新车霸气亮相 个个都是中国骄傲")</f>
        <v>又给国人长脸了！这5台新车霸气亮相 个个都是中国骄傲</v>
      </c>
      <c r="C7419" s="2" t="s">
        <v>13</v>
      </c>
      <c r="D7419" s="2" t="s">
        <v>23</v>
      </c>
      <c r="E7419" s="2"/>
      <c r="F7419" s="2" t="str">
        <f>HYPERLINK("http://m.12365auto.com/bbs/postcontent.aspx?tID=194153","http://m.12365auto.com/bbs/postcontent.aspx?tID=194153")</f>
        <v>http://m.12365auto.com/bbs/postcontent.aspx?tID=194153</v>
      </c>
      <c r="G7419" s="2"/>
      <c r="H7419" s="2" t="s">
        <v>10247</v>
      </c>
      <c r="I7419" s="2" t="s">
        <v>15</v>
      </c>
      <c r="J7419" s="2" t="s">
        <v>1386</v>
      </c>
      <c r="K7419" s="2" t="s">
        <v>10248</v>
      </c>
      <c r="L7419" s="2">
        <f t="shared" si="115"/>
        <v>150</v>
      </c>
    </row>
    <row r="7420" spans="1:12" ht="25" customHeight="1">
      <c r="A7420" s="2" t="s">
        <v>12</v>
      </c>
      <c r="B7420" s="2" t="str">
        <f>HYPERLINK("http://m.12365auto.com/bbs/postcontent.aspx?tID=194152","这3款10多万的SUV 有100万的面子")</f>
        <v>这3款10多万的SUV 有100万的面子</v>
      </c>
      <c r="C7420" s="2" t="s">
        <v>13</v>
      </c>
      <c r="D7420" s="2" t="s">
        <v>23</v>
      </c>
      <c r="E7420" s="2"/>
      <c r="F7420" s="2" t="str">
        <f>HYPERLINK("http://m.12365auto.com/bbs/postcontent.aspx?tID=194152","http://m.12365auto.com/bbs/postcontent.aspx?tID=194152")</f>
        <v>http://m.12365auto.com/bbs/postcontent.aspx?tID=194152</v>
      </c>
      <c r="G7420" s="2"/>
      <c r="H7420" s="2" t="s">
        <v>10249</v>
      </c>
      <c r="I7420" s="2" t="s">
        <v>15</v>
      </c>
      <c r="J7420" s="2" t="s">
        <v>1386</v>
      </c>
      <c r="K7420" s="2" t="s">
        <v>10248</v>
      </c>
      <c r="L7420" s="2">
        <f t="shared" si="115"/>
        <v>150</v>
      </c>
    </row>
    <row r="7421" spans="1:12" ht="25" customHeight="1">
      <c r="A7421" s="2" t="s">
        <v>12</v>
      </c>
      <c r="B7421" s="2" t="str">
        <f>HYPERLINK("http://bbs.12365auto.com/postcontent.aspx?tId=194153","又给国人长脸了！这5台新车霸气亮相 个个都是中国骄傲")</f>
        <v>又给国人长脸了！这5台新车霸气亮相 个个都是中国骄傲</v>
      </c>
      <c r="C7421" s="2" t="s">
        <v>13</v>
      </c>
      <c r="D7421" s="2" t="s">
        <v>12</v>
      </c>
      <c r="E7421" s="2" t="s">
        <v>210</v>
      </c>
      <c r="F7421" s="2" t="str">
        <f>HYPERLINK("http://bbs.12365auto.com/postcontent.aspx?tId=194153","http://bbs.12365auto.com/postcontent.aspx?tId=194153")</f>
        <v>http://bbs.12365auto.com/postcontent.aspx?tId=194153</v>
      </c>
      <c r="G7421" s="2"/>
      <c r="H7421" s="2" t="s">
        <v>10247</v>
      </c>
      <c r="I7421" s="2" t="s">
        <v>15</v>
      </c>
      <c r="J7421" s="2" t="s">
        <v>1386</v>
      </c>
      <c r="K7421" s="2" t="s">
        <v>10248</v>
      </c>
      <c r="L7421" s="2">
        <f t="shared" si="115"/>
        <v>150</v>
      </c>
    </row>
    <row r="7422" spans="1:12" ht="25" customHeight="1">
      <c r="A7422" s="2" t="s">
        <v>12</v>
      </c>
      <c r="B7422" s="2" t="str">
        <f>HYPERLINK("http://bbs.12365auto.com/postcontent.aspx?tId=194152","这3款10多万的SUV 有100万的面子")</f>
        <v>这3款10多万的SUV 有100万的面子</v>
      </c>
      <c r="C7422" s="2" t="s">
        <v>13</v>
      </c>
      <c r="D7422" s="2" t="s">
        <v>12</v>
      </c>
      <c r="E7422" s="2" t="s">
        <v>210</v>
      </c>
      <c r="F7422" s="2" t="str">
        <f>HYPERLINK("http://bbs.12365auto.com/postcontent.aspx?tId=194152","http://bbs.12365auto.com/postcontent.aspx?tId=194152")</f>
        <v>http://bbs.12365auto.com/postcontent.aspx?tId=194152</v>
      </c>
      <c r="G7422" s="2"/>
      <c r="H7422" s="2" t="s">
        <v>10249</v>
      </c>
      <c r="I7422" s="2" t="s">
        <v>15</v>
      </c>
      <c r="J7422" s="2" t="s">
        <v>1386</v>
      </c>
      <c r="K7422" s="2" t="s">
        <v>10248</v>
      </c>
      <c r="L7422" s="2">
        <f t="shared" si="115"/>
        <v>150</v>
      </c>
    </row>
    <row r="7423" spans="1:12" ht="25" customHeight="1">
      <c r="A7423" s="2" t="s">
        <v>12</v>
      </c>
      <c r="B7423" s="2" t="str">
        <f>HYPERLINK("http://bbs.12365auto.com/postcontent.aspx?tID=194153","这5台新车霸气亮相 个个都是中国骄傲")</f>
        <v>这5台新车霸气亮相 个个都是中国骄傲</v>
      </c>
      <c r="C7423" s="2" t="s">
        <v>13</v>
      </c>
      <c r="D7423" s="2" t="s">
        <v>12</v>
      </c>
      <c r="E7423" s="2" t="s">
        <v>214</v>
      </c>
      <c r="F7423" s="2" t="str">
        <f>HYPERLINK("http://bbs.12365auto.com/postcontent.aspx?tID=194153","http://bbs.12365auto.com/postcontent.aspx?tID=194153")</f>
        <v>http://bbs.12365auto.com/postcontent.aspx?tID=194153</v>
      </c>
      <c r="G7423" s="2"/>
      <c r="H7423" s="2" t="s">
        <v>10250</v>
      </c>
      <c r="I7423" s="2" t="s">
        <v>15</v>
      </c>
      <c r="J7423" s="2" t="s">
        <v>1386</v>
      </c>
      <c r="K7423" s="2" t="s">
        <v>10248</v>
      </c>
      <c r="L7423" s="2">
        <f t="shared" si="115"/>
        <v>150</v>
      </c>
    </row>
    <row r="7424" spans="1:12" ht="25" customHeight="1">
      <c r="A7424" s="2" t="s">
        <v>12</v>
      </c>
      <c r="B7424" s="2" t="str">
        <f>HYPERLINK("http://bbs.12365auto.com/postcontent.aspx?tID=194152","这3款10多万的SUV 有100万的面子")</f>
        <v>这3款10多万的SUV 有100万的面子</v>
      </c>
      <c r="C7424" s="2" t="s">
        <v>13</v>
      </c>
      <c r="D7424" s="2" t="s">
        <v>12</v>
      </c>
      <c r="E7424" s="2" t="s">
        <v>214</v>
      </c>
      <c r="F7424" s="2" t="str">
        <f>HYPERLINK("http://bbs.12365auto.com/postcontent.aspx?tID=194152","http://bbs.12365auto.com/postcontent.aspx?tID=194152")</f>
        <v>http://bbs.12365auto.com/postcontent.aspx?tID=194152</v>
      </c>
      <c r="G7424" s="2"/>
      <c r="H7424" s="2" t="s">
        <v>10251</v>
      </c>
      <c r="I7424" s="2" t="s">
        <v>15</v>
      </c>
      <c r="J7424" s="2" t="s">
        <v>1386</v>
      </c>
      <c r="K7424" s="2" t="s">
        <v>10248</v>
      </c>
      <c r="L7424" s="2">
        <f t="shared" si="115"/>
        <v>150</v>
      </c>
    </row>
    <row r="7425" spans="1:12" ht="25" customHeight="1">
      <c r="A7425" s="2" t="s">
        <v>12</v>
      </c>
      <c r="B7425" s="2" t="str">
        <f>HYPERLINK("http://m.12365auto.com/bbs/postcontent.aspx?tID=194151","20万内无敌手？这台国产性能小钢炮究竟香不香")</f>
        <v>20万内无敌手？这台国产性能小钢炮究竟香不香</v>
      </c>
      <c r="C7425" s="2" t="s">
        <v>13</v>
      </c>
      <c r="D7425" s="2" t="s">
        <v>23</v>
      </c>
      <c r="E7425" s="2"/>
      <c r="F7425" s="2" t="str">
        <f>HYPERLINK("http://m.12365auto.com/bbs/postcontent.aspx?tID=194151","http://m.12365auto.com/bbs/postcontent.aspx?tID=194151")</f>
        <v>http://m.12365auto.com/bbs/postcontent.aspx?tID=194151</v>
      </c>
      <c r="G7425" s="2"/>
      <c r="H7425" s="2" t="s">
        <v>6469</v>
      </c>
      <c r="I7425" s="2" t="s">
        <v>15</v>
      </c>
      <c r="J7425" s="2" t="s">
        <v>1386</v>
      </c>
      <c r="K7425" s="2" t="s">
        <v>10252</v>
      </c>
      <c r="L7425" s="2">
        <f t="shared" si="115"/>
        <v>150</v>
      </c>
    </row>
    <row r="7426" spans="1:12" ht="25" customHeight="1">
      <c r="A7426" s="2" t="s">
        <v>12</v>
      </c>
      <c r="B7426" s="2" t="str">
        <f>HYPERLINK("http://bbs.12365auto.com/postcontent.aspx?tId=194151","20万内无敌手？这台国产性能小钢炮究竟香不香")</f>
        <v>20万内无敌手？这台国产性能小钢炮究竟香不香</v>
      </c>
      <c r="C7426" s="2" t="s">
        <v>13</v>
      </c>
      <c r="D7426" s="2" t="s">
        <v>12</v>
      </c>
      <c r="E7426" s="2" t="s">
        <v>210</v>
      </c>
      <c r="F7426" s="2" t="str">
        <f>HYPERLINK("http://bbs.12365auto.com/postcontent.aspx?tId=194151","http://bbs.12365auto.com/postcontent.aspx?tId=194151")</f>
        <v>http://bbs.12365auto.com/postcontent.aspx?tId=194151</v>
      </c>
      <c r="G7426" s="2"/>
      <c r="H7426" s="2" t="s">
        <v>6469</v>
      </c>
      <c r="I7426" s="2" t="s">
        <v>15</v>
      </c>
      <c r="J7426" s="2" t="s">
        <v>1386</v>
      </c>
      <c r="K7426" s="2" t="s">
        <v>10252</v>
      </c>
      <c r="L7426" s="2">
        <f t="shared" si="115"/>
        <v>150</v>
      </c>
    </row>
    <row r="7427" spans="1:12" ht="25" customHeight="1">
      <c r="A7427" s="2" t="s">
        <v>12</v>
      </c>
      <c r="B7427" s="2" t="str">
        <f>HYPERLINK("http://bbs.12365auto.com/postcontent.aspx?tID=194151","20万内无敌手？这台国产性能小钢炮究竟香不香")</f>
        <v>20万内无敌手？这台国产性能小钢炮究竟香不香</v>
      </c>
      <c r="C7427" s="2" t="s">
        <v>13</v>
      </c>
      <c r="D7427" s="2" t="s">
        <v>12</v>
      </c>
      <c r="E7427" s="2" t="s">
        <v>214</v>
      </c>
      <c r="F7427" s="2" t="str">
        <f>HYPERLINK("http://bbs.12365auto.com/postcontent.aspx?tID=194151","http://bbs.12365auto.com/postcontent.aspx?tID=194151")</f>
        <v>http://bbs.12365auto.com/postcontent.aspx?tID=194151</v>
      </c>
      <c r="G7427" s="2"/>
      <c r="H7427" s="2" t="s">
        <v>6467</v>
      </c>
      <c r="I7427" s="2" t="s">
        <v>15</v>
      </c>
      <c r="J7427" s="2" t="s">
        <v>1386</v>
      </c>
      <c r="K7427" s="2" t="s">
        <v>10252</v>
      </c>
      <c r="L7427" s="2">
        <f t="shared" ref="L7427:L7490" si="116">LEN(H7427)</f>
        <v>150</v>
      </c>
    </row>
    <row r="7428" spans="1:12" ht="25" customHeight="1">
      <c r="A7428" s="2" t="s">
        <v>12</v>
      </c>
      <c r="B7428" s="2" t="str">
        <f>HYPERLINK("http://bbs.12365auto.com/postcontent.aspx?tId=194150","搭载电子挡把 日产全新奇骏内饰图曝光")</f>
        <v>搭载电子挡把 日产全新奇骏内饰图曝光</v>
      </c>
      <c r="C7428" s="2" t="s">
        <v>13</v>
      </c>
      <c r="D7428" s="2" t="s">
        <v>12</v>
      </c>
      <c r="E7428" s="2" t="s">
        <v>210</v>
      </c>
      <c r="F7428" s="2" t="str">
        <f>HYPERLINK("http://bbs.12365auto.com/postcontent.aspx?tId=194150","http://bbs.12365auto.com/postcontent.aspx?tId=194150")</f>
        <v>http://bbs.12365auto.com/postcontent.aspx?tId=194150</v>
      </c>
      <c r="G7428" s="2"/>
      <c r="H7428" s="2" t="s">
        <v>10253</v>
      </c>
      <c r="I7428" s="2" t="s">
        <v>15</v>
      </c>
      <c r="J7428" s="2" t="s">
        <v>1386</v>
      </c>
      <c r="K7428" s="2" t="s">
        <v>10254</v>
      </c>
      <c r="L7428" s="2">
        <f t="shared" si="116"/>
        <v>150</v>
      </c>
    </row>
    <row r="7429" spans="1:12" ht="25" customHeight="1">
      <c r="A7429" s="2" t="s">
        <v>12</v>
      </c>
      <c r="B7429" s="2" t="str">
        <f>HYPERLINK("http://m.12365auto.com/bbs/postcontent.aspx?tID=194150","搭载电子挡把 日产全新奇骏内饰图曝光")</f>
        <v>搭载电子挡把 日产全新奇骏内饰图曝光</v>
      </c>
      <c r="C7429" s="2" t="s">
        <v>13</v>
      </c>
      <c r="D7429" s="2" t="s">
        <v>23</v>
      </c>
      <c r="E7429" s="2"/>
      <c r="F7429" s="2" t="str">
        <f>HYPERLINK("http://m.12365auto.com/bbs/postcontent.aspx?tID=194150","http://m.12365auto.com/bbs/postcontent.aspx?tID=194150")</f>
        <v>http://m.12365auto.com/bbs/postcontent.aspx?tID=194150</v>
      </c>
      <c r="G7429" s="2"/>
      <c r="H7429" s="2" t="s">
        <v>10253</v>
      </c>
      <c r="I7429" s="2" t="s">
        <v>15</v>
      </c>
      <c r="J7429" s="2" t="s">
        <v>1386</v>
      </c>
      <c r="K7429" s="2" t="s">
        <v>10254</v>
      </c>
      <c r="L7429" s="2">
        <f t="shared" si="116"/>
        <v>150</v>
      </c>
    </row>
    <row r="7430" spans="1:12" ht="25" customHeight="1">
      <c r="A7430" s="2" t="s">
        <v>12</v>
      </c>
      <c r="B7430" s="2" t="str">
        <f>HYPERLINK("http://bbs.12365auto.com/postcontent.aspx?tID=194150","搭载电子挡把 日产全新奇骏内饰图曝光")</f>
        <v>搭载电子挡把 日产全新奇骏内饰图曝光</v>
      </c>
      <c r="C7430" s="2" t="s">
        <v>13</v>
      </c>
      <c r="D7430" s="2" t="s">
        <v>12</v>
      </c>
      <c r="E7430" s="2" t="s">
        <v>214</v>
      </c>
      <c r="F7430" s="2" t="str">
        <f>HYPERLINK("http://bbs.12365auto.com/postcontent.aspx?tID=194150","http://bbs.12365auto.com/postcontent.aspx?tID=194150")</f>
        <v>http://bbs.12365auto.com/postcontent.aspx?tID=194150</v>
      </c>
      <c r="G7430" s="2"/>
      <c r="H7430" s="2" t="s">
        <v>10255</v>
      </c>
      <c r="I7430" s="2" t="s">
        <v>15</v>
      </c>
      <c r="J7430" s="2" t="s">
        <v>1386</v>
      </c>
      <c r="K7430" s="2" t="s">
        <v>10254</v>
      </c>
      <c r="L7430" s="2">
        <f t="shared" si="116"/>
        <v>150</v>
      </c>
    </row>
    <row r="7431" spans="1:12" ht="25" customHeight="1">
      <c r="A7431" s="2" t="s">
        <v>12</v>
      </c>
      <c r="B7431" s="2" t="str">
        <f>HYPERLINK("http://www.12365auto.com/zlts/20200214/447213.shtml","一汽大众速腾一挡和倒挡时发动机转速升高")</f>
        <v>一汽大众速腾一挡和倒挡时发动机转速升高</v>
      </c>
      <c r="C7431" s="2" t="s">
        <v>13</v>
      </c>
      <c r="D7431" s="2" t="s">
        <v>12</v>
      </c>
      <c r="E7431" s="2" t="s">
        <v>17</v>
      </c>
      <c r="F7431" s="2" t="str">
        <f>HYPERLINK("http://www.12365auto.com/zlts/20200214/447213.shtml","http://www.12365auto.com/zlts/20200214/447213.shtml")</f>
        <v>http://www.12365auto.com/zlts/20200214/447213.shtml</v>
      </c>
      <c r="G7431" s="2"/>
      <c r="H7431" s="2" t="s">
        <v>10256</v>
      </c>
      <c r="I7431" s="2" t="s">
        <v>19</v>
      </c>
      <c r="J7431" s="2" t="s">
        <v>12</v>
      </c>
      <c r="K7431" s="2" t="s">
        <v>10257</v>
      </c>
      <c r="L7431" s="2">
        <f t="shared" si="116"/>
        <v>150</v>
      </c>
    </row>
    <row r="7432" spans="1:12" ht="25" customHeight="1">
      <c r="A7432" s="2" t="s">
        <v>12</v>
      </c>
      <c r="B7432" s="2" t="str">
        <f>HYPERLINK("http://www.12365auto.com/zlts/20200214/447212.shtml","一汽大众奥迪A4L启动后发动机舱内有异响")</f>
        <v>一汽大众奥迪A4L启动后发动机舱内有异响</v>
      </c>
      <c r="C7432" s="2" t="s">
        <v>13</v>
      </c>
      <c r="D7432" s="2" t="s">
        <v>12</v>
      </c>
      <c r="E7432" s="2" t="s">
        <v>17</v>
      </c>
      <c r="F7432" s="2" t="str">
        <f>HYPERLINK("http://www.12365auto.com/zlts/20200214/447212.shtml","http://www.12365auto.com/zlts/20200214/447212.shtml")</f>
        <v>http://www.12365auto.com/zlts/20200214/447212.shtml</v>
      </c>
      <c r="G7432" s="2"/>
      <c r="H7432" s="2" t="s">
        <v>10258</v>
      </c>
      <c r="I7432" s="2" t="s">
        <v>19</v>
      </c>
      <c r="J7432" s="2" t="s">
        <v>12</v>
      </c>
      <c r="K7432" s="2" t="s">
        <v>10259</v>
      </c>
      <c r="L7432" s="2">
        <f t="shared" si="116"/>
        <v>150</v>
      </c>
    </row>
    <row r="7433" spans="1:12" ht="25" customHeight="1">
      <c r="A7433" s="2" t="s">
        <v>12</v>
      </c>
      <c r="B7433" s="2" t="str">
        <f>HYPERLINK("http://m.12365auto.com/zjdy/20200214/121262.shtml","新凯美瑞CVT和老款6AT变速箱哪个更可靠？")</f>
        <v>新凯美瑞CVT和老款6AT变速箱哪个更可靠？</v>
      </c>
      <c r="C7433" s="2" t="s">
        <v>13</v>
      </c>
      <c r="D7433" s="2" t="s">
        <v>12</v>
      </c>
      <c r="E7433" s="2"/>
      <c r="F7433" s="2" t="str">
        <f>HYPERLINK("http://m.12365auto.com/zjdy/20200214/121262.shtml","http://m.12365auto.com/zjdy/20200214/121262.shtml")</f>
        <v>http://m.12365auto.com/zjdy/20200214/121262.shtml</v>
      </c>
      <c r="G7433" s="2"/>
      <c r="H7433" s="2" t="s">
        <v>10260</v>
      </c>
      <c r="I7433" s="2" t="s">
        <v>19</v>
      </c>
      <c r="J7433" s="2" t="s">
        <v>12</v>
      </c>
      <c r="K7433" s="2" t="s">
        <v>10261</v>
      </c>
      <c r="L7433" s="2">
        <f t="shared" si="116"/>
        <v>69</v>
      </c>
    </row>
    <row r="7434" spans="1:12" ht="25" customHeight="1">
      <c r="A7434" s="2" t="s">
        <v>12</v>
      </c>
      <c r="B7434" s="2" t="str">
        <f>HYPERLINK("http://www.12365auto.com/zlts/20200214/447205.shtml","别克英朗高速行驶时方向卡顿影响使用")</f>
        <v>别克英朗高速行驶时方向卡顿影响使用</v>
      </c>
      <c r="C7434" s="2" t="s">
        <v>13</v>
      </c>
      <c r="D7434" s="2" t="s">
        <v>12</v>
      </c>
      <c r="E7434" s="2"/>
      <c r="F7434" s="2" t="str">
        <f>HYPERLINK("http://www.12365auto.com/zlts/20200214/447205.shtml","http://www.12365auto.com/zlts/20200214/447205.shtml")</f>
        <v>http://www.12365auto.com/zlts/20200214/447205.shtml</v>
      </c>
      <c r="G7434" s="2"/>
      <c r="H7434" s="2" t="s">
        <v>10263</v>
      </c>
      <c r="I7434" s="2" t="s">
        <v>15</v>
      </c>
      <c r="J7434" s="2" t="s">
        <v>12</v>
      </c>
      <c r="K7434" s="2" t="s">
        <v>10262</v>
      </c>
      <c r="L7434" s="2">
        <f t="shared" si="116"/>
        <v>81</v>
      </c>
    </row>
    <row r="7435" spans="1:12" ht="25" customHeight="1">
      <c r="A7435" s="2" t="s">
        <v>12</v>
      </c>
      <c r="B7435" s="2" t="str">
        <f>HYPERLINK("http://www.12365auto.com/zlts/20200214/447206.shtml","华晨宝马3系互联互通功能一直未开通")</f>
        <v>华晨宝马3系互联互通功能一直未开通</v>
      </c>
      <c r="C7435" s="2" t="s">
        <v>13</v>
      </c>
      <c r="D7435" s="2" t="s">
        <v>12</v>
      </c>
      <c r="E7435" s="2" t="s">
        <v>17</v>
      </c>
      <c r="F7435" s="2" t="str">
        <f>HYPERLINK("http://www.12365auto.com/zlts/20200214/447206.shtml","http://www.12365auto.com/zlts/20200214/447206.shtml")</f>
        <v>http://www.12365auto.com/zlts/20200214/447206.shtml</v>
      </c>
      <c r="G7435" s="2"/>
      <c r="H7435" s="2" t="s">
        <v>10264</v>
      </c>
      <c r="I7435" s="2" t="s">
        <v>19</v>
      </c>
      <c r="J7435" s="2" t="s">
        <v>12</v>
      </c>
      <c r="K7435" s="2" t="s">
        <v>10265</v>
      </c>
      <c r="L7435" s="2">
        <f t="shared" si="116"/>
        <v>150</v>
      </c>
    </row>
    <row r="7436" spans="1:12" ht="25" customHeight="1">
      <c r="A7436" s="2" t="s">
        <v>12</v>
      </c>
      <c r="B7436" s="2" t="str">
        <f>HYPERLINK("http://m.12365auto.com/zjdy/20200214/121261.shtml","宝骏560变速箱的质保时间是多久？")</f>
        <v>宝骏560变速箱的质保时间是多久？</v>
      </c>
      <c r="C7436" s="2" t="s">
        <v>13</v>
      </c>
      <c r="D7436" s="2" t="s">
        <v>12</v>
      </c>
      <c r="E7436" s="2"/>
      <c r="F7436" s="2" t="str">
        <f>HYPERLINK("http://m.12365auto.com/zjdy/20200214/121261.shtml","http://m.12365auto.com/zjdy/20200214/121261.shtml")</f>
        <v>http://m.12365auto.com/zjdy/20200214/121261.shtml</v>
      </c>
      <c r="G7436" s="2"/>
      <c r="H7436" s="2" t="s">
        <v>10266</v>
      </c>
      <c r="I7436" s="2" t="s">
        <v>19</v>
      </c>
      <c r="J7436" s="2" t="s">
        <v>12</v>
      </c>
      <c r="K7436" s="2" t="s">
        <v>10267</v>
      </c>
      <c r="L7436" s="2">
        <f t="shared" si="116"/>
        <v>24</v>
      </c>
    </row>
    <row r="7437" spans="1:12" ht="25" customHeight="1">
      <c r="A7437" s="2" t="s">
        <v>12</v>
      </c>
      <c r="B7437" s="2" t="str">
        <f>HYPERLINK("http://www.12365auto.com/zlts/20200214/447203.shtml","吉利帝豪正常行驶中发动机故障灯亮")</f>
        <v>吉利帝豪正常行驶中发动机故障灯亮</v>
      </c>
      <c r="C7437" s="2" t="s">
        <v>13</v>
      </c>
      <c r="D7437" s="2" t="s">
        <v>12</v>
      </c>
      <c r="E7437" s="2" t="s">
        <v>17</v>
      </c>
      <c r="F7437" s="2" t="str">
        <f>HYPERLINK("http://www.12365auto.com/zlts/20200214/447203.shtml","http://www.12365auto.com/zlts/20200214/447203.shtml")</f>
        <v>http://www.12365auto.com/zlts/20200214/447203.shtml</v>
      </c>
      <c r="G7437" s="2"/>
      <c r="H7437" s="2" t="s">
        <v>10268</v>
      </c>
      <c r="I7437" s="2" t="s">
        <v>19</v>
      </c>
      <c r="J7437" s="2" t="s">
        <v>12</v>
      </c>
      <c r="K7437" s="2" t="s">
        <v>10269</v>
      </c>
      <c r="L7437" s="2">
        <f t="shared" si="116"/>
        <v>150</v>
      </c>
    </row>
    <row r="7438" spans="1:12" ht="25" customHeight="1">
      <c r="A7438" s="2" t="s">
        <v>12</v>
      </c>
      <c r="B7438" s="2" t="str">
        <f>HYPERLINK("http://www.12365auto.com/zlts/20200214/447201.shtml","东风悦达起亚智跑中控台异响维修多次未解决")</f>
        <v>东风悦达起亚智跑中控台异响维修多次未解决</v>
      </c>
      <c r="C7438" s="2" t="s">
        <v>13</v>
      </c>
      <c r="D7438" s="2" t="s">
        <v>12</v>
      </c>
      <c r="E7438" s="2" t="s">
        <v>17</v>
      </c>
      <c r="F7438" s="2" t="str">
        <f>HYPERLINK("http://www.12365auto.com/zlts/20200214/447201.shtml","http://www.12365auto.com/zlts/20200214/447201.shtml")</f>
        <v>http://www.12365auto.com/zlts/20200214/447201.shtml</v>
      </c>
      <c r="G7438" s="2"/>
      <c r="H7438" s="2" t="s">
        <v>10270</v>
      </c>
      <c r="I7438" s="2" t="s">
        <v>19</v>
      </c>
      <c r="J7438" s="2" t="s">
        <v>12</v>
      </c>
      <c r="K7438" s="2" t="s">
        <v>10271</v>
      </c>
      <c r="L7438" s="2">
        <f t="shared" si="116"/>
        <v>150</v>
      </c>
    </row>
    <row r="7439" spans="1:12" ht="25" customHeight="1">
      <c r="A7439" s="2" t="s">
        <v>12</v>
      </c>
      <c r="B7439" s="2" t="str">
        <f>HYPERLINK("http://m.12365auto.com/zjdy/20200214/121260.shtml","宝骏560变速箱报警挡位缺失什么原因？")</f>
        <v>宝骏560变速箱报警挡位缺失什么原因？</v>
      </c>
      <c r="C7439" s="2" t="s">
        <v>13</v>
      </c>
      <c r="D7439" s="2" t="s">
        <v>12</v>
      </c>
      <c r="E7439" s="2"/>
      <c r="F7439" s="2" t="str">
        <f>HYPERLINK("http://m.12365auto.com/zjdy/20200214/121260.shtml","http://m.12365auto.com/zjdy/20200214/121260.shtml")</f>
        <v>http://m.12365auto.com/zjdy/20200214/121260.shtml</v>
      </c>
      <c r="G7439" s="2"/>
      <c r="H7439" s="2" t="s">
        <v>10272</v>
      </c>
      <c r="I7439" s="2" t="s">
        <v>19</v>
      </c>
      <c r="J7439" s="2" t="s">
        <v>12</v>
      </c>
      <c r="K7439" s="2" t="s">
        <v>10273</v>
      </c>
      <c r="L7439" s="2">
        <f t="shared" si="116"/>
        <v>50</v>
      </c>
    </row>
    <row r="7440" spans="1:12" ht="25" customHeight="1">
      <c r="A7440" s="2" t="s">
        <v>12</v>
      </c>
      <c r="B7440" s="2" t="str">
        <f>HYPERLINK("http://bbs.12365auto.com/postcontent.aspx?tId=194149","推荐几款油耗极低的热门车型 省钱利器")</f>
        <v>推荐几款油耗极低的热门车型 省钱利器</v>
      </c>
      <c r="C7440" s="2" t="s">
        <v>13</v>
      </c>
      <c r="D7440" s="2" t="s">
        <v>12</v>
      </c>
      <c r="E7440" s="2" t="s">
        <v>27</v>
      </c>
      <c r="F7440" s="2" t="str">
        <f>HYPERLINK("http://bbs.12365auto.com/postcontent.aspx?tId=194149","http://bbs.12365auto.com/postcontent.aspx?tId=194149")</f>
        <v>http://bbs.12365auto.com/postcontent.aspx?tId=194149</v>
      </c>
      <c r="G7440" s="2"/>
      <c r="H7440" s="2" t="s">
        <v>10274</v>
      </c>
      <c r="I7440" s="2" t="s">
        <v>15</v>
      </c>
      <c r="J7440" s="2" t="s">
        <v>1276</v>
      </c>
      <c r="K7440" s="2" t="s">
        <v>10275</v>
      </c>
      <c r="L7440" s="2">
        <f t="shared" si="116"/>
        <v>150</v>
      </c>
    </row>
    <row r="7441" spans="1:12" ht="25" customHeight="1">
      <c r="A7441" s="2" t="s">
        <v>12</v>
      </c>
      <c r="B7441" s="2" t="str">
        <f>HYPERLINK("http://m.12365auto.com/bbs/postcontent.aspx?tID=194149","推荐几款油耗极低的热门车型 省钱利器")</f>
        <v>推荐几款油耗极低的热门车型 省钱利器</v>
      </c>
      <c r="C7441" s="2" t="s">
        <v>13</v>
      </c>
      <c r="D7441" s="2" t="s">
        <v>23</v>
      </c>
      <c r="E7441" s="2"/>
      <c r="F7441" s="2" t="str">
        <f>HYPERLINK("http://m.12365auto.com/bbs/postcontent.aspx?tID=194149","http://m.12365auto.com/bbs/postcontent.aspx?tID=194149")</f>
        <v>http://m.12365auto.com/bbs/postcontent.aspx?tID=194149</v>
      </c>
      <c r="G7441" s="2"/>
      <c r="H7441" s="2" t="s">
        <v>10274</v>
      </c>
      <c r="I7441" s="2" t="s">
        <v>15</v>
      </c>
      <c r="J7441" s="2" t="s">
        <v>1276</v>
      </c>
      <c r="K7441" s="2" t="s">
        <v>10275</v>
      </c>
      <c r="L7441" s="2">
        <f t="shared" si="116"/>
        <v>150</v>
      </c>
    </row>
    <row r="7442" spans="1:12" ht="25" customHeight="1">
      <c r="A7442" s="2" t="s">
        <v>12</v>
      </c>
      <c r="B7442" s="2" t="str">
        <f>HYPERLINK("http://bbs.12365auto.com/postcontent.aspx?tID=194149","推荐几款油耗极低的热门车型 省钱利器")</f>
        <v>推荐几款油耗极低的热门车型 省钱利器</v>
      </c>
      <c r="C7442" s="2" t="s">
        <v>13</v>
      </c>
      <c r="D7442" s="2" t="s">
        <v>12</v>
      </c>
      <c r="E7442" s="2" t="s">
        <v>28</v>
      </c>
      <c r="F7442" s="2" t="str">
        <f>HYPERLINK("http://bbs.12365auto.com/postcontent.aspx?tID=194149","http://bbs.12365auto.com/postcontent.aspx?tID=194149")</f>
        <v>http://bbs.12365auto.com/postcontent.aspx?tID=194149</v>
      </c>
      <c r="G7442" s="2"/>
      <c r="H7442" s="2" t="s">
        <v>10276</v>
      </c>
      <c r="I7442" s="2" t="s">
        <v>15</v>
      </c>
      <c r="J7442" s="2" t="s">
        <v>1276</v>
      </c>
      <c r="K7442" s="2" t="s">
        <v>10275</v>
      </c>
      <c r="L7442" s="2">
        <f t="shared" si="116"/>
        <v>150</v>
      </c>
    </row>
    <row r="7443" spans="1:12" ht="25" customHeight="1">
      <c r="A7443" s="2" t="s">
        <v>12</v>
      </c>
      <c r="B7443" s="2" t="str">
        <f>HYPERLINK("http://bbs.12365auto.com/postcontent.aspx?tId=194148","三缸发动机的先天优势 是四缸机无法取代的")</f>
        <v>三缸发动机的先天优势 是四缸机无法取代的</v>
      </c>
      <c r="C7443" s="2" t="s">
        <v>13</v>
      </c>
      <c r="D7443" s="2" t="s">
        <v>12</v>
      </c>
      <c r="E7443" s="2" t="s">
        <v>27</v>
      </c>
      <c r="F7443" s="2" t="str">
        <f>HYPERLINK("http://bbs.12365auto.com/postcontent.aspx?tId=194148","http://bbs.12365auto.com/postcontent.aspx?tId=194148")</f>
        <v>http://bbs.12365auto.com/postcontent.aspx?tId=194148</v>
      </c>
      <c r="G7443" s="2"/>
      <c r="H7443" s="2" t="s">
        <v>10277</v>
      </c>
      <c r="I7443" s="2" t="s">
        <v>15</v>
      </c>
      <c r="J7443" s="2" t="s">
        <v>1276</v>
      </c>
      <c r="K7443" s="2" t="s">
        <v>10278</v>
      </c>
      <c r="L7443" s="2">
        <f t="shared" si="116"/>
        <v>150</v>
      </c>
    </row>
    <row r="7444" spans="1:12" ht="25" customHeight="1">
      <c r="A7444" s="2" t="s">
        <v>12</v>
      </c>
      <c r="B7444" s="2" t="str">
        <f>HYPERLINK("http://m.12365auto.com/bbs/postcontent.aspx?tID=194148","三缸发动机的先天优势 是四缸机无法取代的")</f>
        <v>三缸发动机的先天优势 是四缸机无法取代的</v>
      </c>
      <c r="C7444" s="2" t="s">
        <v>13</v>
      </c>
      <c r="D7444" s="2" t="s">
        <v>23</v>
      </c>
      <c r="E7444" s="2"/>
      <c r="F7444" s="2" t="str">
        <f>HYPERLINK("http://m.12365auto.com/bbs/postcontent.aspx?tID=194148","http://m.12365auto.com/bbs/postcontent.aspx?tID=194148")</f>
        <v>http://m.12365auto.com/bbs/postcontent.aspx?tID=194148</v>
      </c>
      <c r="G7444" s="2"/>
      <c r="H7444" s="2" t="s">
        <v>10277</v>
      </c>
      <c r="I7444" s="2" t="s">
        <v>15</v>
      </c>
      <c r="J7444" s="2" t="s">
        <v>1276</v>
      </c>
      <c r="K7444" s="2" t="s">
        <v>10278</v>
      </c>
      <c r="L7444" s="2">
        <f t="shared" si="116"/>
        <v>150</v>
      </c>
    </row>
    <row r="7445" spans="1:12" ht="25" customHeight="1">
      <c r="A7445" s="2" t="s">
        <v>12</v>
      </c>
      <c r="B7445" s="2" t="str">
        <f>HYPERLINK("http://bbs.12365auto.com/postcontent.aspx?tID=194148","三缸发动机的先天优势 是四缸机无法取代的")</f>
        <v>三缸发动机的先天优势 是四缸机无法取代的</v>
      </c>
      <c r="C7445" s="2" t="s">
        <v>13</v>
      </c>
      <c r="D7445" s="2" t="s">
        <v>12</v>
      </c>
      <c r="E7445" s="2" t="s">
        <v>28</v>
      </c>
      <c r="F7445" s="2" t="str">
        <f>HYPERLINK("http://bbs.12365auto.com/postcontent.aspx?tID=194148","http://bbs.12365auto.com/postcontent.aspx?tID=194148")</f>
        <v>http://bbs.12365auto.com/postcontent.aspx?tID=194148</v>
      </c>
      <c r="G7445" s="2"/>
      <c r="H7445" s="2" t="s">
        <v>10279</v>
      </c>
      <c r="I7445" s="2" t="s">
        <v>15</v>
      </c>
      <c r="J7445" s="2" t="s">
        <v>1276</v>
      </c>
      <c r="K7445" s="2" t="s">
        <v>10278</v>
      </c>
      <c r="L7445" s="2">
        <f t="shared" si="116"/>
        <v>150</v>
      </c>
    </row>
    <row r="7446" spans="1:12" ht="25" customHeight="1">
      <c r="A7446" s="2" t="s">
        <v>12</v>
      </c>
      <c r="B7446" s="2" t="str">
        <f>HYPERLINK("http://bbs.12365auto.com/postcontent.aspx?tId=194147","7万元你想买什么？这款车绝对够你用")</f>
        <v>7万元你想买什么？这款车绝对够你用</v>
      </c>
      <c r="C7446" s="2" t="s">
        <v>13</v>
      </c>
      <c r="D7446" s="2" t="s">
        <v>12</v>
      </c>
      <c r="E7446" s="2" t="s">
        <v>27</v>
      </c>
      <c r="F7446" s="2" t="str">
        <f>HYPERLINK("http://bbs.12365auto.com/postcontent.aspx?tId=194147","http://bbs.12365auto.com/postcontent.aspx?tId=194147")</f>
        <v>http://bbs.12365auto.com/postcontent.aspx?tId=194147</v>
      </c>
      <c r="G7446" s="2"/>
      <c r="H7446" s="2" t="s">
        <v>10280</v>
      </c>
      <c r="I7446" s="2" t="s">
        <v>15</v>
      </c>
      <c r="J7446" s="2" t="s">
        <v>1276</v>
      </c>
      <c r="K7446" s="2" t="s">
        <v>10281</v>
      </c>
      <c r="L7446" s="2">
        <f t="shared" si="116"/>
        <v>150</v>
      </c>
    </row>
    <row r="7447" spans="1:12" ht="25" customHeight="1">
      <c r="A7447" s="2" t="s">
        <v>12</v>
      </c>
      <c r="B7447" s="2" t="str">
        <f>HYPERLINK("http://m.12365auto.com/bbs/postcontent.aspx?tID=194147","7万元你想买什么？这款车绝对够你用")</f>
        <v>7万元你想买什么？这款车绝对够你用</v>
      </c>
      <c r="C7447" s="2" t="s">
        <v>13</v>
      </c>
      <c r="D7447" s="2" t="s">
        <v>23</v>
      </c>
      <c r="E7447" s="2"/>
      <c r="F7447" s="2" t="str">
        <f>HYPERLINK("http://m.12365auto.com/bbs/postcontent.aspx?tID=194147","http://m.12365auto.com/bbs/postcontent.aspx?tID=194147")</f>
        <v>http://m.12365auto.com/bbs/postcontent.aspx?tID=194147</v>
      </c>
      <c r="G7447" s="2"/>
      <c r="H7447" s="2" t="s">
        <v>10280</v>
      </c>
      <c r="I7447" s="2" t="s">
        <v>15</v>
      </c>
      <c r="J7447" s="2" t="s">
        <v>1276</v>
      </c>
      <c r="K7447" s="2" t="s">
        <v>10281</v>
      </c>
      <c r="L7447" s="2">
        <f t="shared" si="116"/>
        <v>150</v>
      </c>
    </row>
    <row r="7448" spans="1:12" ht="25" customHeight="1">
      <c r="A7448" s="2" t="s">
        <v>12</v>
      </c>
      <c r="B7448" s="2" t="str">
        <f>HYPERLINK("http://bbs.12365auto.com/postcontent.aspx?tID=194147","7万元你想买什么？这款车绝对够你用")</f>
        <v>7万元你想买什么？这款车绝对够你用</v>
      </c>
      <c r="C7448" s="2" t="s">
        <v>13</v>
      </c>
      <c r="D7448" s="2" t="s">
        <v>12</v>
      </c>
      <c r="E7448" s="2" t="s">
        <v>28</v>
      </c>
      <c r="F7448" s="2" t="str">
        <f>HYPERLINK("http://bbs.12365auto.com/postcontent.aspx?tID=194147","http://bbs.12365auto.com/postcontent.aspx?tID=194147")</f>
        <v>http://bbs.12365auto.com/postcontent.aspx?tID=194147</v>
      </c>
      <c r="G7448" s="2"/>
      <c r="H7448" s="2" t="s">
        <v>10282</v>
      </c>
      <c r="I7448" s="2" t="s">
        <v>15</v>
      </c>
      <c r="J7448" s="2" t="s">
        <v>1276</v>
      </c>
      <c r="K7448" s="2" t="s">
        <v>10281</v>
      </c>
      <c r="L7448" s="2">
        <f t="shared" si="116"/>
        <v>150</v>
      </c>
    </row>
    <row r="7449" spans="1:12" ht="25" customHeight="1">
      <c r="A7449" s="2" t="s">
        <v>12</v>
      </c>
      <c r="B7449" s="2" t="str">
        <f>HYPERLINK("http://www.12365auto.com/zlts/20200214/447200.shtml","上汽大众凌渡挡杆位于P挡却提示挂入P挡")</f>
        <v>上汽大众凌渡挡杆位于P挡却提示挂入P挡</v>
      </c>
      <c r="C7449" s="2" t="s">
        <v>13</v>
      </c>
      <c r="D7449" s="2" t="s">
        <v>12</v>
      </c>
      <c r="E7449" s="2" t="s">
        <v>17</v>
      </c>
      <c r="F7449" s="2" t="str">
        <f>HYPERLINK("http://www.12365auto.com/zlts/20200214/447200.shtml","http://www.12365auto.com/zlts/20200214/447200.shtml")</f>
        <v>http://www.12365auto.com/zlts/20200214/447200.shtml</v>
      </c>
      <c r="G7449" s="2"/>
      <c r="H7449" s="2" t="s">
        <v>10283</v>
      </c>
      <c r="I7449" s="2" t="s">
        <v>15</v>
      </c>
      <c r="J7449" s="2" t="s">
        <v>12</v>
      </c>
      <c r="K7449" s="2" t="s">
        <v>10284</v>
      </c>
      <c r="L7449" s="2">
        <f t="shared" si="116"/>
        <v>150</v>
      </c>
    </row>
    <row r="7450" spans="1:12" ht="25" customHeight="1">
      <c r="A7450" s="2" t="s">
        <v>12</v>
      </c>
      <c r="B7450" s="2" t="str">
        <f>HYPERLINK("http://m.12365auto.com/bbs/postcontent.aspx?tID=194146","做好这四步 宅家也能亲手给爱车来一次小保养")</f>
        <v>做好这四步 宅家也能亲手给爱车来一次小保养</v>
      </c>
      <c r="C7450" s="2" t="s">
        <v>13</v>
      </c>
      <c r="D7450" s="2" t="s">
        <v>23</v>
      </c>
      <c r="E7450" s="2"/>
      <c r="F7450" s="2" t="str">
        <f>HYPERLINK("http://m.12365auto.com/bbs/postcontent.aspx?tID=194146","http://m.12365auto.com/bbs/postcontent.aspx?tID=194146")</f>
        <v>http://m.12365auto.com/bbs/postcontent.aspx?tID=194146</v>
      </c>
      <c r="G7450" s="2"/>
      <c r="H7450" s="2" t="s">
        <v>10285</v>
      </c>
      <c r="I7450" s="2" t="s">
        <v>15</v>
      </c>
      <c r="J7450" s="2" t="s">
        <v>1276</v>
      </c>
      <c r="K7450" s="2" t="s">
        <v>10286</v>
      </c>
      <c r="L7450" s="2">
        <f t="shared" si="116"/>
        <v>150</v>
      </c>
    </row>
    <row r="7451" spans="1:12" ht="25" customHeight="1">
      <c r="A7451" s="2" t="s">
        <v>12</v>
      </c>
      <c r="B7451" s="2" t="str">
        <f>HYPERLINK("http://bbs.12365auto.com/postcontent.aspx?tId=194146","做好这四步 宅家也能亲手给爱车来一次小保养")</f>
        <v>做好这四步 宅家也能亲手给爱车来一次小保养</v>
      </c>
      <c r="C7451" s="2" t="s">
        <v>13</v>
      </c>
      <c r="D7451" s="2" t="s">
        <v>12</v>
      </c>
      <c r="E7451" s="2" t="s">
        <v>210</v>
      </c>
      <c r="F7451" s="2" t="str">
        <f>HYPERLINK("http://bbs.12365auto.com/postcontent.aspx?tId=194146","http://bbs.12365auto.com/postcontent.aspx?tId=194146")</f>
        <v>http://bbs.12365auto.com/postcontent.aspx?tId=194146</v>
      </c>
      <c r="G7451" s="2"/>
      <c r="H7451" s="2" t="s">
        <v>10285</v>
      </c>
      <c r="I7451" s="2" t="s">
        <v>15</v>
      </c>
      <c r="J7451" s="2" t="s">
        <v>1276</v>
      </c>
      <c r="K7451" s="2" t="s">
        <v>10286</v>
      </c>
      <c r="L7451" s="2">
        <f t="shared" si="116"/>
        <v>150</v>
      </c>
    </row>
    <row r="7452" spans="1:12" ht="25" customHeight="1">
      <c r="A7452" s="2" t="s">
        <v>12</v>
      </c>
      <c r="B7452" s="2" t="str">
        <f>HYPERLINK("http://bbs.12365auto.com/postcontent.aspx?tID=194146","做好这四步 宅家也能亲手给爱车来一次小保养")</f>
        <v>做好这四步 宅家也能亲手给爱车来一次小保养</v>
      </c>
      <c r="C7452" s="2" t="s">
        <v>13</v>
      </c>
      <c r="D7452" s="2" t="s">
        <v>12</v>
      </c>
      <c r="E7452" s="2" t="s">
        <v>214</v>
      </c>
      <c r="F7452" s="2" t="str">
        <f>HYPERLINK("http://bbs.12365auto.com/postcontent.aspx?tID=194146","http://bbs.12365auto.com/postcontent.aspx?tID=194146")</f>
        <v>http://bbs.12365auto.com/postcontent.aspx?tID=194146</v>
      </c>
      <c r="G7452" s="2"/>
      <c r="H7452" s="2" t="s">
        <v>10287</v>
      </c>
      <c r="I7452" s="2" t="s">
        <v>15</v>
      </c>
      <c r="J7452" s="2" t="s">
        <v>1276</v>
      </c>
      <c r="K7452" s="2" t="s">
        <v>10286</v>
      </c>
      <c r="L7452" s="2">
        <f t="shared" si="116"/>
        <v>150</v>
      </c>
    </row>
    <row r="7453" spans="1:12" ht="25" customHeight="1">
      <c r="A7453" s="2" t="s">
        <v>12</v>
      </c>
      <c r="B7453" s="2" t="str">
        <f>HYPERLINK("http://m.12365auto.com/bbs/postcontent.aspx?tID=194144","回顾博通经典又怪异的9款概念车")</f>
        <v>回顾博通经典又怪异的9款概念车</v>
      </c>
      <c r="C7453" s="2" t="s">
        <v>13</v>
      </c>
      <c r="D7453" s="2" t="s">
        <v>23</v>
      </c>
      <c r="E7453" s="2"/>
      <c r="F7453" s="2" t="str">
        <f>HYPERLINK("http://m.12365auto.com/bbs/postcontent.aspx?tID=194144","http://m.12365auto.com/bbs/postcontent.aspx?tID=194144")</f>
        <v>http://m.12365auto.com/bbs/postcontent.aspx?tID=194144</v>
      </c>
      <c r="G7453" s="2"/>
      <c r="H7453" s="2" t="s">
        <v>10288</v>
      </c>
      <c r="I7453" s="2" t="s">
        <v>15</v>
      </c>
      <c r="J7453" s="2" t="s">
        <v>683</v>
      </c>
      <c r="K7453" s="2" t="s">
        <v>10289</v>
      </c>
      <c r="L7453" s="2">
        <f t="shared" si="116"/>
        <v>150</v>
      </c>
    </row>
    <row r="7454" spans="1:12" ht="25" customHeight="1">
      <c r="A7454" s="2" t="s">
        <v>12</v>
      </c>
      <c r="B7454" s="2" t="str">
        <f>HYPERLINK("http://m.12365auto.com/bbs/postcontent.aspx?tID=194145","满大街都搭载1.5T发动机 哪家最强？")</f>
        <v>满大街都搭载1.5T发动机 哪家最强？</v>
      </c>
      <c r="C7454" s="2" t="s">
        <v>13</v>
      </c>
      <c r="D7454" s="2" t="s">
        <v>23</v>
      </c>
      <c r="E7454" s="2"/>
      <c r="F7454" s="2" t="str">
        <f>HYPERLINK("http://m.12365auto.com/bbs/postcontent.aspx?tID=194145","http://m.12365auto.com/bbs/postcontent.aspx?tID=194145")</f>
        <v>http://m.12365auto.com/bbs/postcontent.aspx?tID=194145</v>
      </c>
      <c r="G7454" s="2"/>
      <c r="H7454" s="2" t="s">
        <v>951</v>
      </c>
      <c r="I7454" s="2" t="s">
        <v>15</v>
      </c>
      <c r="J7454" s="2" t="s">
        <v>683</v>
      </c>
      <c r="K7454" s="2" t="s">
        <v>10289</v>
      </c>
      <c r="L7454" s="2">
        <f t="shared" si="116"/>
        <v>150</v>
      </c>
    </row>
    <row r="7455" spans="1:12" ht="25" customHeight="1">
      <c r="A7455" s="2" t="s">
        <v>12</v>
      </c>
      <c r="B7455" s="2" t="str">
        <f>HYPERLINK("http://bbs.12365auto.com/postcontent.aspx?tId=194144","回顾博通经典又怪异的9款概念车")</f>
        <v>回顾博通经典又怪异的9款概念车</v>
      </c>
      <c r="C7455" s="2" t="s">
        <v>13</v>
      </c>
      <c r="D7455" s="2" t="s">
        <v>12</v>
      </c>
      <c r="E7455" s="2" t="s">
        <v>27</v>
      </c>
      <c r="F7455" s="2" t="str">
        <f>HYPERLINK("http://bbs.12365auto.com/postcontent.aspx?tId=194144","http://bbs.12365auto.com/postcontent.aspx?tId=194144")</f>
        <v>http://bbs.12365auto.com/postcontent.aspx?tId=194144</v>
      </c>
      <c r="G7455" s="2"/>
      <c r="H7455" s="2" t="s">
        <v>10288</v>
      </c>
      <c r="I7455" s="2" t="s">
        <v>15</v>
      </c>
      <c r="J7455" s="2" t="s">
        <v>683</v>
      </c>
      <c r="K7455" s="2" t="s">
        <v>10289</v>
      </c>
      <c r="L7455" s="2">
        <f t="shared" si="116"/>
        <v>150</v>
      </c>
    </row>
    <row r="7456" spans="1:12" ht="25" customHeight="1">
      <c r="A7456" s="2" t="s">
        <v>12</v>
      </c>
      <c r="B7456" s="2" t="str">
        <f>HYPERLINK("http://bbs.12365auto.com/postcontent.aspx?tId=194145","满大街都搭载1.5T发动机 哪家最强？")</f>
        <v>满大街都搭载1.5T发动机 哪家最强？</v>
      </c>
      <c r="C7456" s="2" t="s">
        <v>13</v>
      </c>
      <c r="D7456" s="2" t="s">
        <v>12</v>
      </c>
      <c r="E7456" s="2" t="s">
        <v>210</v>
      </c>
      <c r="F7456" s="2" t="str">
        <f>HYPERLINK("http://bbs.12365auto.com/postcontent.aspx?tId=194145","http://bbs.12365auto.com/postcontent.aspx?tId=194145")</f>
        <v>http://bbs.12365auto.com/postcontent.aspx?tId=194145</v>
      </c>
      <c r="G7456" s="2"/>
      <c r="H7456" s="2" t="s">
        <v>951</v>
      </c>
      <c r="I7456" s="2" t="s">
        <v>15</v>
      </c>
      <c r="J7456" s="2" t="s">
        <v>683</v>
      </c>
      <c r="K7456" s="2" t="s">
        <v>10289</v>
      </c>
      <c r="L7456" s="2">
        <f t="shared" si="116"/>
        <v>150</v>
      </c>
    </row>
    <row r="7457" spans="1:12" ht="25" customHeight="1">
      <c r="A7457" s="2" t="s">
        <v>12</v>
      </c>
      <c r="B7457" s="2" t="str">
        <f>HYPERLINK("http://bbs.12365auto.com/postcontent.aspx?tID=194144","回顾博通经典又怪异的9款概念车")</f>
        <v>回顾博通经典又怪异的9款概念车</v>
      </c>
      <c r="C7457" s="2" t="s">
        <v>13</v>
      </c>
      <c r="D7457" s="2" t="s">
        <v>12</v>
      </c>
      <c r="E7457" s="2" t="s">
        <v>28</v>
      </c>
      <c r="F7457" s="2" t="str">
        <f>HYPERLINK("http://bbs.12365auto.com/postcontent.aspx?tID=194144","http://bbs.12365auto.com/postcontent.aspx?tID=194144")</f>
        <v>http://bbs.12365auto.com/postcontent.aspx?tID=194144</v>
      </c>
      <c r="G7457" s="2"/>
      <c r="H7457" s="2" t="s">
        <v>10290</v>
      </c>
      <c r="I7457" s="2" t="s">
        <v>15</v>
      </c>
      <c r="J7457" s="2" t="s">
        <v>683</v>
      </c>
      <c r="K7457" s="2" t="s">
        <v>10289</v>
      </c>
      <c r="L7457" s="2">
        <f t="shared" si="116"/>
        <v>150</v>
      </c>
    </row>
    <row r="7458" spans="1:12" ht="25" customHeight="1">
      <c r="A7458" s="2" t="s">
        <v>12</v>
      </c>
      <c r="B7458" s="2" t="str">
        <f>HYPERLINK("http://bbs.12365auto.com/postcontent.aspx?tID=194145","满大街都搭载1.5T发动机 哪家最强？")</f>
        <v>满大街都搭载1.5T发动机 哪家最强？</v>
      </c>
      <c r="C7458" s="2" t="s">
        <v>13</v>
      </c>
      <c r="D7458" s="2" t="s">
        <v>12</v>
      </c>
      <c r="E7458" s="2" t="s">
        <v>214</v>
      </c>
      <c r="F7458" s="2" t="str">
        <f>HYPERLINK("http://bbs.12365auto.com/postcontent.aspx?tID=194145","http://bbs.12365auto.com/postcontent.aspx?tID=194145")</f>
        <v>http://bbs.12365auto.com/postcontent.aspx?tID=194145</v>
      </c>
      <c r="G7458" s="2"/>
      <c r="H7458" s="2" t="s">
        <v>950</v>
      </c>
      <c r="I7458" s="2" t="s">
        <v>15</v>
      </c>
      <c r="J7458" s="2" t="s">
        <v>683</v>
      </c>
      <c r="K7458" s="2" t="s">
        <v>10289</v>
      </c>
      <c r="L7458" s="2">
        <f t="shared" si="116"/>
        <v>150</v>
      </c>
    </row>
    <row r="7459" spans="1:12" ht="25" customHeight="1">
      <c r="A7459" s="2" t="s">
        <v>12</v>
      </c>
      <c r="B7459" s="2" t="str">
        <f>HYPERLINK("http://m.12365auto.com/bbs/postcontent.aspx?tID=194143","奥迪是“灯厂”？这些车第一个不服")</f>
        <v>奥迪是“灯厂”？这些车第一个不服</v>
      </c>
      <c r="C7459" s="2" t="s">
        <v>13</v>
      </c>
      <c r="D7459" s="2" t="s">
        <v>23</v>
      </c>
      <c r="E7459" s="2"/>
      <c r="F7459" s="2" t="str">
        <f>HYPERLINK("http://m.12365auto.com/bbs/postcontent.aspx?tID=194143","http://m.12365auto.com/bbs/postcontent.aspx?tID=194143")</f>
        <v>http://m.12365auto.com/bbs/postcontent.aspx?tID=194143</v>
      </c>
      <c r="G7459" s="2"/>
      <c r="H7459" s="2" t="s">
        <v>10291</v>
      </c>
      <c r="I7459" s="2" t="s">
        <v>15</v>
      </c>
      <c r="J7459" s="2" t="s">
        <v>683</v>
      </c>
      <c r="K7459" s="2" t="s">
        <v>10292</v>
      </c>
      <c r="L7459" s="2">
        <f t="shared" si="116"/>
        <v>150</v>
      </c>
    </row>
    <row r="7460" spans="1:12" ht="25" customHeight="1">
      <c r="A7460" s="2" t="s">
        <v>12</v>
      </c>
      <c r="B7460" s="2" t="str">
        <f>HYPERLINK("http://bbs.12365auto.com/postcontent.aspx?tId=194143","奥迪是“灯厂”？这些车第一个不服")</f>
        <v>奥迪是“灯厂”？这些车第一个不服</v>
      </c>
      <c r="C7460" s="2" t="s">
        <v>13</v>
      </c>
      <c r="D7460" s="2" t="s">
        <v>12</v>
      </c>
      <c r="E7460" s="2" t="s">
        <v>27</v>
      </c>
      <c r="F7460" s="2" t="str">
        <f>HYPERLINK("http://bbs.12365auto.com/postcontent.aspx?tId=194143","http://bbs.12365auto.com/postcontent.aspx?tId=194143")</f>
        <v>http://bbs.12365auto.com/postcontent.aspx?tId=194143</v>
      </c>
      <c r="G7460" s="2"/>
      <c r="H7460" s="2" t="s">
        <v>10291</v>
      </c>
      <c r="I7460" s="2" t="s">
        <v>15</v>
      </c>
      <c r="J7460" s="2" t="s">
        <v>683</v>
      </c>
      <c r="K7460" s="2" t="s">
        <v>10292</v>
      </c>
      <c r="L7460" s="2">
        <f t="shared" si="116"/>
        <v>150</v>
      </c>
    </row>
    <row r="7461" spans="1:12" ht="25" customHeight="1">
      <c r="A7461" s="2" t="s">
        <v>12</v>
      </c>
      <c r="B7461" s="2" t="str">
        <f>HYPERLINK("http://bbs.12365auto.com/postcontent.aspx?tID=194143","奥迪是“灯厂”？这些车第一个不服")</f>
        <v>奥迪是“灯厂”？这些车第一个不服</v>
      </c>
      <c r="C7461" s="2" t="s">
        <v>13</v>
      </c>
      <c r="D7461" s="2" t="s">
        <v>12</v>
      </c>
      <c r="E7461" s="2" t="s">
        <v>28</v>
      </c>
      <c r="F7461" s="2" t="str">
        <f>HYPERLINK("http://bbs.12365auto.com/postcontent.aspx?tID=194143","http://bbs.12365auto.com/postcontent.aspx?tID=194143")</f>
        <v>http://bbs.12365auto.com/postcontent.aspx?tID=194143</v>
      </c>
      <c r="G7461" s="2"/>
      <c r="H7461" s="2" t="s">
        <v>10293</v>
      </c>
      <c r="I7461" s="2" t="s">
        <v>15</v>
      </c>
      <c r="J7461" s="2" t="s">
        <v>683</v>
      </c>
      <c r="K7461" s="2" t="s">
        <v>10292</v>
      </c>
      <c r="L7461" s="2">
        <f t="shared" si="116"/>
        <v>150</v>
      </c>
    </row>
    <row r="7462" spans="1:12" ht="25" customHeight="1">
      <c r="A7462" s="2" t="s">
        <v>12</v>
      </c>
      <c r="B7462" s="2" t="str">
        <f>HYPERLINK("http://www.12365auto.com/zlts/20200214/447199.shtml","郑州日产途达车辆停放一天电瓶亏电严重")</f>
        <v>郑州日产途达车辆停放一天电瓶亏电严重</v>
      </c>
      <c r="C7462" s="2" t="s">
        <v>13</v>
      </c>
      <c r="D7462" s="2" t="s">
        <v>12</v>
      </c>
      <c r="E7462" s="2" t="s">
        <v>17</v>
      </c>
      <c r="F7462" s="2" t="str">
        <f>HYPERLINK("http://www.12365auto.com/zlts/20200214/447199.shtml","http://www.12365auto.com/zlts/20200214/447199.shtml")</f>
        <v>http://www.12365auto.com/zlts/20200214/447199.shtml</v>
      </c>
      <c r="G7462" s="2"/>
      <c r="H7462" s="2" t="s">
        <v>10294</v>
      </c>
      <c r="I7462" s="2" t="s">
        <v>19</v>
      </c>
      <c r="J7462" s="2" t="s">
        <v>12</v>
      </c>
      <c r="K7462" s="2" t="s">
        <v>10295</v>
      </c>
      <c r="L7462" s="2">
        <f t="shared" si="116"/>
        <v>150</v>
      </c>
    </row>
    <row r="7463" spans="1:12" ht="25" customHeight="1">
      <c r="A7463" s="2" t="s">
        <v>12</v>
      </c>
      <c r="B7463" s="2" t="str">
        <f>HYPERLINK("http://www.12365auto.com/zlts/20200214/447197.shtml","陆风X7变速箱不能升挡行驶时故障灯亮")</f>
        <v>陆风X7变速箱不能升挡行驶时故障灯亮</v>
      </c>
      <c r="C7463" s="2" t="s">
        <v>13</v>
      </c>
      <c r="D7463" s="2" t="s">
        <v>12</v>
      </c>
      <c r="E7463" s="2" t="s">
        <v>17</v>
      </c>
      <c r="F7463" s="2" t="str">
        <f>HYPERLINK("http://www.12365auto.com/zlts/20200214/447197.shtml","http://www.12365auto.com/zlts/20200214/447197.shtml")</f>
        <v>http://www.12365auto.com/zlts/20200214/447197.shtml</v>
      </c>
      <c r="G7463" s="2"/>
      <c r="H7463" s="2" t="s">
        <v>10296</v>
      </c>
      <c r="I7463" s="2" t="s">
        <v>15</v>
      </c>
      <c r="J7463" s="2" t="s">
        <v>12</v>
      </c>
      <c r="K7463" s="2" t="s">
        <v>10297</v>
      </c>
      <c r="L7463" s="2">
        <f t="shared" si="116"/>
        <v>150</v>
      </c>
    </row>
    <row r="7464" spans="1:12" ht="25" customHeight="1">
      <c r="A7464" s="2" t="s">
        <v>12</v>
      </c>
      <c r="B7464" s="2" t="str">
        <f>HYPERLINK("http://m.12365auto.com/zjdy/20200214/121258.shtml","25到35万的轿车和SUV选择购买哪一款？")</f>
        <v>25到35万的轿车和SUV选择购买哪一款？</v>
      </c>
      <c r="C7464" s="2" t="s">
        <v>13</v>
      </c>
      <c r="D7464" s="2" t="s">
        <v>12</v>
      </c>
      <c r="E7464" s="2"/>
      <c r="F7464" s="2" t="str">
        <f>HYPERLINK("http://m.12365auto.com/zjdy/20200214/121258.shtml","http://m.12365auto.com/zjdy/20200214/121258.shtml")</f>
        <v>http://m.12365auto.com/zjdy/20200214/121258.shtml</v>
      </c>
      <c r="G7464" s="2"/>
      <c r="H7464" s="2" t="s">
        <v>10298</v>
      </c>
      <c r="I7464" s="2" t="s">
        <v>19</v>
      </c>
      <c r="J7464" s="2" t="s">
        <v>12</v>
      </c>
      <c r="K7464" s="2" t="s">
        <v>10299</v>
      </c>
      <c r="L7464" s="2">
        <f t="shared" si="116"/>
        <v>24</v>
      </c>
    </row>
    <row r="7465" spans="1:12" ht="25" customHeight="1">
      <c r="A7465" s="2" t="s">
        <v>12</v>
      </c>
      <c r="B7465" s="2" t="str">
        <f>HYPERLINK("http://www.12365auto.com/zlts/20200214/447196.shtml","一汽大众奥迪Q3怠速状态打方向盘有异响")</f>
        <v>一汽大众奥迪Q3怠速状态打方向盘有异响</v>
      </c>
      <c r="C7465" s="2" t="s">
        <v>13</v>
      </c>
      <c r="D7465" s="2" t="s">
        <v>12</v>
      </c>
      <c r="E7465" s="2" t="s">
        <v>17</v>
      </c>
      <c r="F7465" s="2" t="str">
        <f>HYPERLINK("http://www.12365auto.com/zlts/20200214/447196.shtml","http://www.12365auto.com/zlts/20200214/447196.shtml")</f>
        <v>http://www.12365auto.com/zlts/20200214/447196.shtml</v>
      </c>
      <c r="G7465" s="2"/>
      <c r="H7465" s="2" t="s">
        <v>10300</v>
      </c>
      <c r="I7465" s="2" t="s">
        <v>15</v>
      </c>
      <c r="J7465" s="2" t="s">
        <v>12</v>
      </c>
      <c r="K7465" s="2" t="s">
        <v>10301</v>
      </c>
      <c r="L7465" s="2">
        <f t="shared" si="116"/>
        <v>150</v>
      </c>
    </row>
    <row r="7466" spans="1:12" ht="25" customHeight="1">
      <c r="A7466" s="2" t="s">
        <v>12</v>
      </c>
      <c r="B7466" s="2" t="str">
        <f>HYPERLINK("http://www.12365auto.com/zlts/20200214/447195.shtml","一汽大众高尔夫嘉旅EPC故障灯亮 方向盘沉重")</f>
        <v>一汽大众高尔夫嘉旅EPC故障灯亮 方向盘沉重</v>
      </c>
      <c r="C7466" s="2" t="s">
        <v>13</v>
      </c>
      <c r="D7466" s="2" t="s">
        <v>12</v>
      </c>
      <c r="E7466" s="2" t="s">
        <v>17</v>
      </c>
      <c r="F7466" s="2" t="str">
        <f>HYPERLINK("http://www.12365auto.com/zlts/20200214/447195.shtml","http://www.12365auto.com/zlts/20200214/447195.shtml")</f>
        <v>http://www.12365auto.com/zlts/20200214/447195.shtml</v>
      </c>
      <c r="G7466" s="2"/>
      <c r="H7466" s="2" t="s">
        <v>10302</v>
      </c>
      <c r="I7466" s="2" t="s">
        <v>15</v>
      </c>
      <c r="J7466" s="2" t="s">
        <v>12</v>
      </c>
      <c r="K7466" s="2" t="s">
        <v>10303</v>
      </c>
      <c r="L7466" s="2">
        <f t="shared" si="116"/>
        <v>150</v>
      </c>
    </row>
    <row r="7467" spans="1:12" ht="25" customHeight="1">
      <c r="A7467" s="2" t="s">
        <v>12</v>
      </c>
      <c r="B7467" s="2" t="str">
        <f>HYPERLINK("http://m.12365auto.com/zjdy/20200214/121257.shtml","发电机发电电压与电瓶电压相同什么原因？")</f>
        <v>发电机发电电压与电瓶电压相同什么原因？</v>
      </c>
      <c r="C7467" s="2" t="s">
        <v>13</v>
      </c>
      <c r="D7467" s="2" t="s">
        <v>12</v>
      </c>
      <c r="E7467" s="2"/>
      <c r="F7467" s="2" t="str">
        <f>HYPERLINK("http://m.12365auto.com/zjdy/20200214/121257.shtml","http://m.12365auto.com/zjdy/20200214/121257.shtml")</f>
        <v>http://m.12365auto.com/zjdy/20200214/121257.shtml</v>
      </c>
      <c r="G7467" s="2"/>
      <c r="H7467" s="2" t="s">
        <v>10304</v>
      </c>
      <c r="I7467" s="2" t="s">
        <v>19</v>
      </c>
      <c r="J7467" s="2" t="s">
        <v>12</v>
      </c>
      <c r="K7467" s="2" t="s">
        <v>10305</v>
      </c>
      <c r="L7467" s="2">
        <f t="shared" si="116"/>
        <v>115</v>
      </c>
    </row>
    <row r="7468" spans="1:12" ht="25" customHeight="1">
      <c r="A7468" s="2" t="s">
        <v>12</v>
      </c>
      <c r="B7468" s="2" t="str">
        <f>HYPERLINK("http://m.12365auto.com/zjdy/20200214/121256.shtml","比亚迪秦科沃兹和长安逸动选择购买哪款？")</f>
        <v>比亚迪秦科沃兹和长安逸动选择购买哪款？</v>
      </c>
      <c r="C7468" s="2" t="s">
        <v>13</v>
      </c>
      <c r="D7468" s="2" t="s">
        <v>12</v>
      </c>
      <c r="E7468" s="2"/>
      <c r="F7468" s="2" t="str">
        <f>HYPERLINK("http://m.12365auto.com/zjdy/20200214/121256.shtml","http://m.12365auto.com/zjdy/20200214/121256.shtml")</f>
        <v>http://m.12365auto.com/zjdy/20200214/121256.shtml</v>
      </c>
      <c r="G7468" s="2"/>
      <c r="H7468" s="2" t="s">
        <v>10306</v>
      </c>
      <c r="I7468" s="2" t="s">
        <v>19</v>
      </c>
      <c r="J7468" s="2" t="s">
        <v>12</v>
      </c>
      <c r="K7468" s="2" t="s">
        <v>10307</v>
      </c>
      <c r="L7468" s="2">
        <f t="shared" si="116"/>
        <v>44</v>
      </c>
    </row>
    <row r="7469" spans="1:12" ht="25" customHeight="1">
      <c r="A7469" s="2" t="s">
        <v>12</v>
      </c>
      <c r="B7469" s="2" t="str">
        <f>HYPERLINK("http://m.12365auto.com/xcdg/20200214/418602.shtml","本田全新飞度售价曝光 搭1.5L引擎/夏季开售")</f>
        <v>本田全新飞度售价曝光 搭1.5L引擎/夏季开售</v>
      </c>
      <c r="C7469" s="2" t="s">
        <v>13</v>
      </c>
      <c r="D7469" s="2" t="s">
        <v>12</v>
      </c>
      <c r="E7469" s="2"/>
      <c r="F7469" s="2" t="str">
        <f>HYPERLINK("http://m.12365auto.com/xcdg/20200214/418602.shtml","http://m.12365auto.com/xcdg/20200214/418602.shtml")</f>
        <v>http://m.12365auto.com/xcdg/20200214/418602.shtml</v>
      </c>
      <c r="G7469" s="2"/>
      <c r="H7469" s="2" t="s">
        <v>10308</v>
      </c>
      <c r="I7469" s="2" t="s">
        <v>19</v>
      </c>
      <c r="J7469" s="2" t="s">
        <v>220</v>
      </c>
      <c r="K7469" s="2" t="s">
        <v>10309</v>
      </c>
      <c r="L7469" s="2">
        <f t="shared" si="116"/>
        <v>150</v>
      </c>
    </row>
    <row r="7470" spans="1:12" ht="25" customHeight="1">
      <c r="A7470" s="2" t="s">
        <v>12</v>
      </c>
      <c r="B7470" s="2" t="str">
        <f>HYPERLINK("http://www.12365auto.com/xcdg/20200214/418602.shtml","本田全新飞度售价曝光 搭1.5L引擎/夏季开售")</f>
        <v>本田全新飞度售价曝光 搭1.5L引擎/夏季开售</v>
      </c>
      <c r="C7470" s="2" t="s">
        <v>13</v>
      </c>
      <c r="D7470" s="2" t="s">
        <v>12</v>
      </c>
      <c r="E7470" s="2" t="s">
        <v>245</v>
      </c>
      <c r="F7470" s="2" t="str">
        <f>HYPERLINK("http://www.12365auto.com/xcdg/20200214/418602.shtml","http://www.12365auto.com/xcdg/20200214/418602.shtml")</f>
        <v>http://www.12365auto.com/xcdg/20200214/418602.shtml</v>
      </c>
      <c r="G7470" s="2"/>
      <c r="H7470" s="2" t="s">
        <v>10310</v>
      </c>
      <c r="I7470" s="2" t="s">
        <v>19</v>
      </c>
      <c r="J7470" s="2" t="s">
        <v>12</v>
      </c>
      <c r="K7470" s="2" t="s">
        <v>10309</v>
      </c>
      <c r="L7470" s="2">
        <f t="shared" si="116"/>
        <v>150</v>
      </c>
    </row>
    <row r="7471" spans="1:12" ht="25" customHeight="1">
      <c r="A7471" s="2" t="s">
        <v>12</v>
      </c>
      <c r="B7471" s="2" t="str">
        <f>HYPERLINK("http://www.12365auto.com/xcdg/20200214/418601.shtml","铃木新款Vitara售价曝光 搭1.4T/年内开售")</f>
        <v>铃木新款Vitara售价曝光 搭1.4T/年内开售</v>
      </c>
      <c r="C7471" s="2" t="s">
        <v>13</v>
      </c>
      <c r="D7471" s="2" t="s">
        <v>12</v>
      </c>
      <c r="E7471" s="2" t="s">
        <v>216</v>
      </c>
      <c r="F7471" s="2" t="str">
        <f>HYPERLINK("http://www.12365auto.com/xcdg/20200214/418601.shtml","http://www.12365auto.com/xcdg/20200214/418601.shtml")</f>
        <v>http://www.12365auto.com/xcdg/20200214/418601.shtml</v>
      </c>
      <c r="G7471" s="2"/>
      <c r="H7471" s="2" t="s">
        <v>10311</v>
      </c>
      <c r="I7471" s="2" t="s">
        <v>15</v>
      </c>
      <c r="J7471" s="2" t="s">
        <v>12</v>
      </c>
      <c r="K7471" s="2" t="s">
        <v>10312</v>
      </c>
      <c r="L7471" s="2">
        <f t="shared" si="116"/>
        <v>150</v>
      </c>
    </row>
    <row r="7472" spans="1:12" ht="25" customHeight="1">
      <c r="A7472" s="2" t="s">
        <v>12</v>
      </c>
      <c r="B7472" s="2" t="str">
        <f>HYPERLINK("http://m.12365auto.com/xcdg/20200214/418601.shtml","铃木新款Vitara售价曝光 搭1.4T/年内开售")</f>
        <v>铃木新款Vitara售价曝光 搭1.4T/年内开售</v>
      </c>
      <c r="C7472" s="2" t="s">
        <v>13</v>
      </c>
      <c r="D7472" s="2" t="s">
        <v>12</v>
      </c>
      <c r="E7472" s="2"/>
      <c r="F7472" s="2" t="str">
        <f>HYPERLINK("http://m.12365auto.com/xcdg/20200214/418601.shtml","http://m.12365auto.com/xcdg/20200214/418601.shtml")</f>
        <v>http://m.12365auto.com/xcdg/20200214/418601.shtml</v>
      </c>
      <c r="G7472" s="2"/>
      <c r="H7472" s="2" t="s">
        <v>10313</v>
      </c>
      <c r="I7472" s="2" t="s">
        <v>19</v>
      </c>
      <c r="J7472" s="2" t="s">
        <v>220</v>
      </c>
      <c r="K7472" s="2" t="s">
        <v>10312</v>
      </c>
      <c r="L7472" s="2">
        <f t="shared" si="116"/>
        <v>150</v>
      </c>
    </row>
    <row r="7473" spans="1:12" ht="25" customHeight="1">
      <c r="A7473" s="2" t="s">
        <v>12</v>
      </c>
      <c r="B7473" s="2" t="str">
        <f>HYPERLINK("http://www.12365auto.com/zlts/20200214/447193.shtml","东风悦达起亚智跑蓄电池亏电导致无法启动")</f>
        <v>东风悦达起亚智跑蓄电池亏电导致无法启动</v>
      </c>
      <c r="C7473" s="2" t="s">
        <v>13</v>
      </c>
      <c r="D7473" s="2" t="s">
        <v>12</v>
      </c>
      <c r="E7473" s="2" t="s">
        <v>17</v>
      </c>
      <c r="F7473" s="2" t="str">
        <f>HYPERLINK("http://www.12365auto.com/zlts/20200214/447193.shtml","http://www.12365auto.com/zlts/20200214/447193.shtml")</f>
        <v>http://www.12365auto.com/zlts/20200214/447193.shtml</v>
      </c>
      <c r="G7473" s="2"/>
      <c r="H7473" s="2" t="s">
        <v>10314</v>
      </c>
      <c r="I7473" s="2" t="s">
        <v>15</v>
      </c>
      <c r="J7473" s="2" t="s">
        <v>12</v>
      </c>
      <c r="K7473" s="2" t="s">
        <v>10315</v>
      </c>
      <c r="L7473" s="2">
        <f t="shared" si="116"/>
        <v>150</v>
      </c>
    </row>
    <row r="7474" spans="1:12" ht="25" customHeight="1">
      <c r="A7474" s="2" t="s">
        <v>12</v>
      </c>
      <c r="B7474" s="2" t="str">
        <f>HYPERLINK("http://m.12365auto.com/xcdg/20200214/418600.shtml","动力升级 2021款丰田GR Supra官图发布")</f>
        <v>动力升级 2021款丰田GR Supra官图发布</v>
      </c>
      <c r="C7474" s="2" t="s">
        <v>13</v>
      </c>
      <c r="D7474" s="2" t="s">
        <v>12</v>
      </c>
      <c r="E7474" s="2"/>
      <c r="F7474" s="2" t="str">
        <f>HYPERLINK("http://m.12365auto.com/xcdg/20200214/418600.shtml","http://m.12365auto.com/xcdg/20200214/418600.shtml")</f>
        <v>http://m.12365auto.com/xcdg/20200214/418600.shtml</v>
      </c>
      <c r="G7474" s="2"/>
      <c r="H7474" s="2" t="s">
        <v>10316</v>
      </c>
      <c r="I7474" s="2" t="s">
        <v>19</v>
      </c>
      <c r="J7474" s="2" t="s">
        <v>1197</v>
      </c>
      <c r="K7474" s="2" t="s">
        <v>10317</v>
      </c>
      <c r="L7474" s="2">
        <f t="shared" si="116"/>
        <v>150</v>
      </c>
    </row>
    <row r="7475" spans="1:12" ht="25" customHeight="1">
      <c r="A7475" s="2" t="s">
        <v>12</v>
      </c>
      <c r="B7475" s="2" t="str">
        <f>HYPERLINK("http://www.12365auto.com/xcdg/20200214/418600.shtml","动力升级 2021款丰田GR Supra官图发布")</f>
        <v>动力升级 2021款丰田GR Supra官图发布</v>
      </c>
      <c r="C7475" s="2" t="s">
        <v>13</v>
      </c>
      <c r="D7475" s="2" t="s">
        <v>12</v>
      </c>
      <c r="E7475" s="2" t="s">
        <v>216</v>
      </c>
      <c r="F7475" s="2" t="str">
        <f>HYPERLINK("http://www.12365auto.com/xcdg/20200214/418600.shtml","http://www.12365auto.com/xcdg/20200214/418600.shtml")</f>
        <v>http://www.12365auto.com/xcdg/20200214/418600.shtml</v>
      </c>
      <c r="G7475" s="2"/>
      <c r="H7475" s="2" t="s">
        <v>10318</v>
      </c>
      <c r="I7475" s="2" t="s">
        <v>15</v>
      </c>
      <c r="J7475" s="2" t="s">
        <v>12</v>
      </c>
      <c r="K7475" s="2" t="s">
        <v>10317</v>
      </c>
      <c r="L7475" s="2">
        <f t="shared" si="116"/>
        <v>150</v>
      </c>
    </row>
    <row r="7476" spans="1:12" ht="25" customHeight="1">
      <c r="A7476" s="2" t="s">
        <v>12</v>
      </c>
      <c r="B7476" s="2" t="str">
        <f>HYPERLINK("http://m.12365auto.com/xcdg/20200214/418599.shtml","运动套件加身 全新凯雷德V假想图曝光")</f>
        <v>运动套件加身 全新凯雷德V假想图曝光</v>
      </c>
      <c r="C7476" s="2" t="s">
        <v>13</v>
      </c>
      <c r="D7476" s="2" t="s">
        <v>12</v>
      </c>
      <c r="E7476" s="2"/>
      <c r="F7476" s="2" t="str">
        <f>HYPERLINK("http://m.12365auto.com/xcdg/20200214/418599.shtml","http://m.12365auto.com/xcdg/20200214/418599.shtml")</f>
        <v>http://m.12365auto.com/xcdg/20200214/418599.shtml</v>
      </c>
      <c r="G7476" s="2"/>
      <c r="H7476" s="2" t="s">
        <v>10319</v>
      </c>
      <c r="I7476" s="2" t="s">
        <v>19</v>
      </c>
      <c r="J7476" s="2" t="s">
        <v>836</v>
      </c>
      <c r="K7476" s="2" t="s">
        <v>10320</v>
      </c>
      <c r="L7476" s="2">
        <f t="shared" si="116"/>
        <v>150</v>
      </c>
    </row>
    <row r="7477" spans="1:12" ht="25" customHeight="1">
      <c r="A7477" s="2" t="s">
        <v>12</v>
      </c>
      <c r="B7477" s="2" t="str">
        <f>HYPERLINK("http://www.12365auto.com/xcdg/20200214/418599.shtml","运动套件加身 全新凯雷德V假想图曝光")</f>
        <v>运动套件加身 全新凯雷德V假想图曝光</v>
      </c>
      <c r="C7477" s="2" t="s">
        <v>13</v>
      </c>
      <c r="D7477" s="2" t="s">
        <v>12</v>
      </c>
      <c r="E7477" s="2" t="s">
        <v>216</v>
      </c>
      <c r="F7477" s="2" t="str">
        <f>HYPERLINK("http://www.12365auto.com/xcdg/20200214/418599.shtml","http://www.12365auto.com/xcdg/20200214/418599.shtml")</f>
        <v>http://www.12365auto.com/xcdg/20200214/418599.shtml</v>
      </c>
      <c r="G7477" s="2"/>
      <c r="H7477" s="2" t="s">
        <v>10321</v>
      </c>
      <c r="I7477" s="2" t="s">
        <v>15</v>
      </c>
      <c r="J7477" s="2" t="s">
        <v>12</v>
      </c>
      <c r="K7477" s="2" t="s">
        <v>10320</v>
      </c>
      <c r="L7477" s="2">
        <f t="shared" si="116"/>
        <v>150</v>
      </c>
    </row>
    <row r="7478" spans="1:12" ht="25" customHeight="1">
      <c r="A7478" s="2" t="s">
        <v>12</v>
      </c>
      <c r="B7478" s="2" t="str">
        <f>HYPERLINK("http://bbs.12365auto.com/postcontent.aspx?tId=194142","三菱奕歌这个油耗大家说说 表现怎样？")</f>
        <v>三菱奕歌这个油耗大家说说 表现怎样？</v>
      </c>
      <c r="C7478" s="2" t="s">
        <v>13</v>
      </c>
      <c r="D7478" s="2" t="s">
        <v>12</v>
      </c>
      <c r="E7478" s="2" t="s">
        <v>66</v>
      </c>
      <c r="F7478" s="2" t="str">
        <f>HYPERLINK("http://bbs.12365auto.com/postcontent.aspx?tId=194142","http://bbs.12365auto.com/postcontent.aspx?tId=194142")</f>
        <v>http://bbs.12365auto.com/postcontent.aspx?tId=194142</v>
      </c>
      <c r="G7478" s="2"/>
      <c r="H7478" s="2" t="s">
        <v>10322</v>
      </c>
      <c r="I7478" s="2" t="s">
        <v>15</v>
      </c>
      <c r="J7478" s="2" t="s">
        <v>10323</v>
      </c>
      <c r="K7478" s="2" t="s">
        <v>10324</v>
      </c>
      <c r="L7478" s="2">
        <f t="shared" si="116"/>
        <v>38</v>
      </c>
    </row>
    <row r="7479" spans="1:12" ht="25" customHeight="1">
      <c r="A7479" s="2" t="s">
        <v>12</v>
      </c>
      <c r="B7479" s="2" t="str">
        <f>HYPERLINK("http://m.12365auto.com/bbs/postcontent.aspx?tID=194142","三菱奕歌这个油耗大家说说 表现怎样？")</f>
        <v>三菱奕歌这个油耗大家说说 表现怎样？</v>
      </c>
      <c r="C7479" s="2" t="s">
        <v>13</v>
      </c>
      <c r="D7479" s="2" t="s">
        <v>23</v>
      </c>
      <c r="E7479" s="2"/>
      <c r="F7479" s="2" t="str">
        <f>HYPERLINK("http://m.12365auto.com/bbs/postcontent.aspx?tID=194142","http://m.12365auto.com/bbs/postcontent.aspx?tID=194142")</f>
        <v>http://m.12365auto.com/bbs/postcontent.aspx?tID=194142</v>
      </c>
      <c r="G7479" s="2"/>
      <c r="H7479" s="2" t="s">
        <v>10322</v>
      </c>
      <c r="I7479" s="2" t="s">
        <v>15</v>
      </c>
      <c r="J7479" s="2" t="s">
        <v>10323</v>
      </c>
      <c r="K7479" s="2" t="s">
        <v>10324</v>
      </c>
      <c r="L7479" s="2">
        <f t="shared" si="116"/>
        <v>38</v>
      </c>
    </row>
    <row r="7480" spans="1:12" ht="25" customHeight="1">
      <c r="A7480" s="2" t="s">
        <v>12</v>
      </c>
      <c r="B7480" s="2" t="str">
        <f>HYPERLINK("http://bbs.12365auto.com/postcontent.aspx?tID=194142","三菱奕歌这个油耗大家说说 表现怎样？")</f>
        <v>三菱奕歌这个油耗大家说说 表现怎样？</v>
      </c>
      <c r="C7480" s="2" t="s">
        <v>13</v>
      </c>
      <c r="D7480" s="2" t="s">
        <v>12</v>
      </c>
      <c r="E7480" s="2" t="s">
        <v>67</v>
      </c>
      <c r="F7480" s="2" t="str">
        <f>HYPERLINK("http://bbs.12365auto.com/postcontent.aspx?tID=194142","http://bbs.12365auto.com/postcontent.aspx?tID=194142")</f>
        <v>http://bbs.12365auto.com/postcontent.aspx?tID=194142</v>
      </c>
      <c r="G7480" s="2"/>
      <c r="H7480" s="2" t="s">
        <v>10325</v>
      </c>
      <c r="I7480" s="2" t="s">
        <v>15</v>
      </c>
      <c r="J7480" s="2" t="s">
        <v>10323</v>
      </c>
      <c r="K7480" s="2" t="s">
        <v>10324</v>
      </c>
      <c r="L7480" s="2">
        <f t="shared" si="116"/>
        <v>56</v>
      </c>
    </row>
    <row r="7481" spans="1:12" ht="25" customHeight="1">
      <c r="A7481" s="2" t="s">
        <v>12</v>
      </c>
      <c r="B7481" s="2" t="str">
        <f>HYPERLINK("http://www.12365auto.com/xcdg/20200214/418598.shtml","WLTP续航600km 欧版Mustang Mach-E官图")</f>
        <v>WLTP续航600km 欧版Mustang Mach-E官图</v>
      </c>
      <c r="C7481" s="2" t="s">
        <v>13</v>
      </c>
      <c r="D7481" s="2" t="s">
        <v>12</v>
      </c>
      <c r="E7481" s="2" t="s">
        <v>245</v>
      </c>
      <c r="F7481" s="2" t="str">
        <f>HYPERLINK("http://www.12365auto.com/xcdg/20200214/418598.shtml","http://www.12365auto.com/xcdg/20200214/418598.shtml")</f>
        <v>http://www.12365auto.com/xcdg/20200214/418598.shtml</v>
      </c>
      <c r="G7481" s="2"/>
      <c r="H7481" s="2" t="s">
        <v>10326</v>
      </c>
      <c r="I7481" s="2" t="s">
        <v>19</v>
      </c>
      <c r="J7481" s="2" t="s">
        <v>12</v>
      </c>
      <c r="K7481" s="2" t="s">
        <v>10327</v>
      </c>
      <c r="L7481" s="2">
        <f t="shared" si="116"/>
        <v>150</v>
      </c>
    </row>
    <row r="7482" spans="1:12" ht="25" customHeight="1">
      <c r="A7482" s="2" t="s">
        <v>12</v>
      </c>
      <c r="B7482" s="2" t="str">
        <f>HYPERLINK("http://m.12365auto.com/xcdg/20200214/418598.shtml","WLTP续航600km 欧版Mustang Mach-E官图")</f>
        <v>WLTP续航600km 欧版Mustang Mach-E官图</v>
      </c>
      <c r="C7482" s="2" t="s">
        <v>13</v>
      </c>
      <c r="D7482" s="2" t="s">
        <v>12</v>
      </c>
      <c r="E7482" s="2"/>
      <c r="F7482" s="2" t="str">
        <f>HYPERLINK("http://m.12365auto.com/xcdg/20200214/418598.shtml","http://m.12365auto.com/xcdg/20200214/418598.shtml")</f>
        <v>http://m.12365auto.com/xcdg/20200214/418598.shtml</v>
      </c>
      <c r="G7482" s="2"/>
      <c r="H7482" s="2" t="s">
        <v>10328</v>
      </c>
      <c r="I7482" s="2" t="s">
        <v>19</v>
      </c>
      <c r="J7482" s="2" t="s">
        <v>295</v>
      </c>
      <c r="K7482" s="2" t="s">
        <v>10327</v>
      </c>
      <c r="L7482" s="2">
        <f t="shared" si="116"/>
        <v>150</v>
      </c>
    </row>
    <row r="7483" spans="1:12" ht="25" customHeight="1">
      <c r="A7483" s="2" t="s">
        <v>12</v>
      </c>
      <c r="B7483" s="2" t="str">
        <f>HYPERLINK("http://www.12365auto.com/xcdg/20200214/418597.shtml","1.3L/1.4L发动机 全新菲亚特Strada官图")</f>
        <v>1.3L/1.4L发动机 全新菲亚特Strada官图</v>
      </c>
      <c r="C7483" s="2" t="s">
        <v>13</v>
      </c>
      <c r="D7483" s="2" t="s">
        <v>12</v>
      </c>
      <c r="E7483" s="2" t="s">
        <v>245</v>
      </c>
      <c r="F7483" s="2" t="str">
        <f>HYPERLINK("http://www.12365auto.com/xcdg/20200214/418597.shtml","http://www.12365auto.com/xcdg/20200214/418597.shtml")</f>
        <v>http://www.12365auto.com/xcdg/20200214/418597.shtml</v>
      </c>
      <c r="G7483" s="2"/>
      <c r="H7483" s="2" t="s">
        <v>10329</v>
      </c>
      <c r="I7483" s="2" t="s">
        <v>19</v>
      </c>
      <c r="J7483" s="2" t="s">
        <v>12</v>
      </c>
      <c r="K7483" s="2" t="s">
        <v>10330</v>
      </c>
      <c r="L7483" s="2">
        <f t="shared" si="116"/>
        <v>150</v>
      </c>
    </row>
    <row r="7484" spans="1:12" ht="25" customHeight="1">
      <c r="A7484" s="2" t="s">
        <v>12</v>
      </c>
      <c r="B7484" s="2" t="str">
        <f>HYPERLINK("http://m.12365auto.com/xcdg/20200214/418597.shtml","1.3L/1.4L发动机 全新菲亚特Strada官图")</f>
        <v>1.3L/1.4L发动机 全新菲亚特Strada官图</v>
      </c>
      <c r="C7484" s="2" t="s">
        <v>13</v>
      </c>
      <c r="D7484" s="2" t="s">
        <v>12</v>
      </c>
      <c r="E7484" s="2"/>
      <c r="F7484" s="2" t="str">
        <f>HYPERLINK("http://m.12365auto.com/xcdg/20200214/418597.shtml","http://m.12365auto.com/xcdg/20200214/418597.shtml")</f>
        <v>http://m.12365auto.com/xcdg/20200214/418597.shtml</v>
      </c>
      <c r="G7484" s="2"/>
      <c r="H7484" s="2" t="s">
        <v>10331</v>
      </c>
      <c r="I7484" s="2" t="s">
        <v>19</v>
      </c>
      <c r="J7484" s="2" t="s">
        <v>338</v>
      </c>
      <c r="K7484" s="2" t="s">
        <v>10330</v>
      </c>
      <c r="L7484" s="2">
        <f t="shared" si="116"/>
        <v>150</v>
      </c>
    </row>
    <row r="7485" spans="1:12" ht="25" customHeight="1">
      <c r="A7485" s="2" t="s">
        <v>12</v>
      </c>
      <c r="B7485" s="2" t="str">
        <f>HYPERLINK("http://www.12365auto.com/zlts/20200214/447191.shtml","北京现代菲斯塔耐克森轮胎开裂 车门掉漆")</f>
        <v>北京现代菲斯塔耐克森轮胎开裂 车门掉漆</v>
      </c>
      <c r="C7485" s="2" t="s">
        <v>13</v>
      </c>
      <c r="D7485" s="2" t="s">
        <v>12</v>
      </c>
      <c r="E7485" s="2" t="s">
        <v>17</v>
      </c>
      <c r="F7485" s="2" t="str">
        <f>HYPERLINK("http://www.12365auto.com/zlts/20200214/447191.shtml","http://www.12365auto.com/zlts/20200214/447191.shtml")</f>
        <v>http://www.12365auto.com/zlts/20200214/447191.shtml</v>
      </c>
      <c r="G7485" s="2"/>
      <c r="H7485" s="2" t="s">
        <v>10332</v>
      </c>
      <c r="I7485" s="2" t="s">
        <v>15</v>
      </c>
      <c r="J7485" s="2" t="s">
        <v>12</v>
      </c>
      <c r="K7485" s="2" t="s">
        <v>10333</v>
      </c>
      <c r="L7485" s="2">
        <f t="shared" si="116"/>
        <v>150</v>
      </c>
    </row>
    <row r="7486" spans="1:12" ht="25" customHeight="1">
      <c r="A7486" s="2" t="s">
        <v>12</v>
      </c>
      <c r="B7486" s="2" t="str">
        <f>HYPERLINK("http://www.12365auto.com/xcdg/20200214/418595.shtml","路虎发现运动版售价公布 售35.68万起")</f>
        <v>路虎发现运动版售价公布 售35.68万起</v>
      </c>
      <c r="C7486" s="2" t="s">
        <v>13</v>
      </c>
      <c r="D7486" s="2" t="s">
        <v>12</v>
      </c>
      <c r="E7486" s="2" t="s">
        <v>216</v>
      </c>
      <c r="F7486" s="2" t="str">
        <f>HYPERLINK("http://www.12365auto.com/xcdg/20200214/418595.shtml","http://www.12365auto.com/xcdg/20200214/418595.shtml")</f>
        <v>http://www.12365auto.com/xcdg/20200214/418595.shtml</v>
      </c>
      <c r="G7486" s="2"/>
      <c r="H7486" s="2" t="s">
        <v>10334</v>
      </c>
      <c r="I7486" s="2" t="s">
        <v>15</v>
      </c>
      <c r="J7486" s="2" t="s">
        <v>12</v>
      </c>
      <c r="K7486" s="2" t="s">
        <v>10335</v>
      </c>
      <c r="L7486" s="2">
        <f t="shared" si="116"/>
        <v>150</v>
      </c>
    </row>
    <row r="7487" spans="1:12" ht="25" customHeight="1">
      <c r="A7487" s="2" t="s">
        <v>12</v>
      </c>
      <c r="B7487" s="2" t="str">
        <f>HYPERLINK("http://www.12365auto.com/xcdg/20200214/418596.shtml","智能年轻 几何首款纯电动SUV定名几何C")</f>
        <v>智能年轻 几何首款纯电动SUV定名几何C</v>
      </c>
      <c r="C7487" s="2" t="s">
        <v>13</v>
      </c>
      <c r="D7487" s="2" t="s">
        <v>12</v>
      </c>
      <c r="E7487" s="2" t="s">
        <v>216</v>
      </c>
      <c r="F7487" s="2" t="str">
        <f>HYPERLINK("http://www.12365auto.com/xcdg/20200214/418596.shtml","http://www.12365auto.com/xcdg/20200214/418596.shtml")</f>
        <v>http://www.12365auto.com/xcdg/20200214/418596.shtml</v>
      </c>
      <c r="G7487" s="2"/>
      <c r="H7487" s="2" t="s">
        <v>10336</v>
      </c>
      <c r="I7487" s="2" t="s">
        <v>15</v>
      </c>
      <c r="J7487" s="2" t="s">
        <v>12</v>
      </c>
      <c r="K7487" s="2" t="s">
        <v>10335</v>
      </c>
      <c r="L7487" s="2">
        <f t="shared" si="116"/>
        <v>150</v>
      </c>
    </row>
    <row r="7488" spans="1:12" ht="25" customHeight="1">
      <c r="A7488" s="2" t="s">
        <v>12</v>
      </c>
      <c r="B7488" s="2" t="str">
        <f>HYPERLINK("http://m.12365auto.com/xcdg/20200214/418596.shtml","智能年轻 几何首款纯电动SUV定名几何C")</f>
        <v>智能年轻 几何首款纯电动SUV定名几何C</v>
      </c>
      <c r="C7488" s="2" t="s">
        <v>13</v>
      </c>
      <c r="D7488" s="2" t="s">
        <v>12</v>
      </c>
      <c r="E7488" s="2"/>
      <c r="F7488" s="2" t="str">
        <f>HYPERLINK("http://m.12365auto.com/xcdg/20200214/418596.shtml","http://m.12365auto.com/xcdg/20200214/418596.shtml")</f>
        <v>http://m.12365auto.com/xcdg/20200214/418596.shtml</v>
      </c>
      <c r="G7488" s="2"/>
      <c r="H7488" s="2" t="s">
        <v>10337</v>
      </c>
      <c r="I7488" s="2" t="s">
        <v>19</v>
      </c>
      <c r="J7488" s="2" t="s">
        <v>6734</v>
      </c>
      <c r="K7488" s="2" t="s">
        <v>10335</v>
      </c>
      <c r="L7488" s="2">
        <f t="shared" si="116"/>
        <v>150</v>
      </c>
    </row>
    <row r="7489" spans="1:12" ht="25" customHeight="1">
      <c r="A7489" s="2" t="s">
        <v>12</v>
      </c>
      <c r="B7489" s="2" t="str">
        <f>HYPERLINK("http://m.12365auto.com/xcdg/20200214/418595.shtml","路虎发现运动版售价公布 售35.68万起")</f>
        <v>路虎发现运动版售价公布 售35.68万起</v>
      </c>
      <c r="C7489" s="2" t="s">
        <v>13</v>
      </c>
      <c r="D7489" s="2" t="s">
        <v>12</v>
      </c>
      <c r="E7489" s="2"/>
      <c r="F7489" s="2" t="str">
        <f>HYPERLINK("http://m.12365auto.com/xcdg/20200214/418595.shtml","http://m.12365auto.com/xcdg/20200214/418595.shtml")</f>
        <v>http://m.12365auto.com/xcdg/20200214/418595.shtml</v>
      </c>
      <c r="G7489" s="2"/>
      <c r="H7489" s="2" t="s">
        <v>10338</v>
      </c>
      <c r="I7489" s="2" t="s">
        <v>19</v>
      </c>
      <c r="J7489" s="2" t="s">
        <v>317</v>
      </c>
      <c r="K7489" s="2" t="s">
        <v>10335</v>
      </c>
      <c r="L7489" s="2">
        <f t="shared" si="116"/>
        <v>150</v>
      </c>
    </row>
    <row r="7490" spans="1:12" ht="25" customHeight="1">
      <c r="A7490" s="2" t="s">
        <v>12</v>
      </c>
      <c r="B7490" s="2" t="str">
        <f>HYPERLINK("http://www.12365auto.com/news/20200214/418594.shtml","全球定制 FCA为新车配备智能网络套餐")</f>
        <v>全球定制 FCA为新车配备智能网络套餐</v>
      </c>
      <c r="C7490" s="2" t="s">
        <v>13</v>
      </c>
      <c r="D7490" s="2" t="s">
        <v>12</v>
      </c>
      <c r="E7490" s="2" t="s">
        <v>276</v>
      </c>
      <c r="F7490" s="2" t="str">
        <f>HYPERLINK("http://www.12365auto.com/news/20200214/418594.shtml","http://www.12365auto.com/news/20200214/418594.shtml")</f>
        <v>http://www.12365auto.com/news/20200214/418594.shtml</v>
      </c>
      <c r="G7490" s="2"/>
      <c r="H7490" s="2" t="s">
        <v>10339</v>
      </c>
      <c r="I7490" s="2" t="s">
        <v>15</v>
      </c>
      <c r="J7490" s="2" t="s">
        <v>12</v>
      </c>
      <c r="K7490" s="2" t="s">
        <v>10340</v>
      </c>
      <c r="L7490" s="2">
        <f t="shared" si="116"/>
        <v>150</v>
      </c>
    </row>
    <row r="7491" spans="1:12" ht="25" customHeight="1">
      <c r="A7491" s="2" t="s">
        <v>12</v>
      </c>
      <c r="B7491" s="2" t="str">
        <f>HYPERLINK("http://m.12365auto.com/news/20200214/418594.shtml","全球定制 FCA为新车配备智能网络套餐")</f>
        <v>全球定制 FCA为新车配备智能网络套餐</v>
      </c>
      <c r="C7491" s="2" t="s">
        <v>13</v>
      </c>
      <c r="D7491" s="2" t="s">
        <v>12</v>
      </c>
      <c r="E7491" s="2"/>
      <c r="F7491" s="2" t="str">
        <f>HYPERLINK("http://m.12365auto.com/news/20200214/418594.shtml","http://m.12365auto.com/news/20200214/418594.shtml")</f>
        <v>http://m.12365auto.com/news/20200214/418594.shtml</v>
      </c>
      <c r="G7491" s="2"/>
      <c r="H7491" s="2" t="s">
        <v>10341</v>
      </c>
      <c r="I7491" s="2" t="s">
        <v>19</v>
      </c>
      <c r="J7491" s="2" t="s">
        <v>1543</v>
      </c>
      <c r="K7491" s="2" t="s">
        <v>10340</v>
      </c>
      <c r="L7491" s="2">
        <f t="shared" ref="L7491:L7554" si="117">LEN(H7491)</f>
        <v>150</v>
      </c>
    </row>
    <row r="7492" spans="1:12" ht="25" customHeight="1">
      <c r="A7492" s="2" t="s">
        <v>12</v>
      </c>
      <c r="B7492" s="2" t="str">
        <f>HYPERLINK("http://www.12365auto.com/zhgg/20200214/418593.shtml","因高田气囊问题 斯巴鲁召回力狮/傲虎等汽车")</f>
        <v>因高田气囊问题 斯巴鲁召回力狮/傲虎等汽车</v>
      </c>
      <c r="C7492" s="2" t="s">
        <v>13</v>
      </c>
      <c r="D7492" s="2" t="s">
        <v>12</v>
      </c>
      <c r="E7492" s="2" t="s">
        <v>1460</v>
      </c>
      <c r="F7492" s="2" t="str">
        <f>HYPERLINK("http://www.12365auto.com/zhgg/20200214/418593.shtml","http://www.12365auto.com/zhgg/20200214/418593.shtml")</f>
        <v>http://www.12365auto.com/zhgg/20200214/418593.shtml</v>
      </c>
      <c r="G7492" s="2"/>
      <c r="H7492" s="2" t="s">
        <v>10342</v>
      </c>
      <c r="I7492" s="2" t="s">
        <v>15</v>
      </c>
      <c r="J7492" s="2" t="s">
        <v>12</v>
      </c>
      <c r="K7492" s="2" t="s">
        <v>10343</v>
      </c>
      <c r="L7492" s="2">
        <f t="shared" si="117"/>
        <v>150</v>
      </c>
    </row>
    <row r="7493" spans="1:12" ht="25" customHeight="1">
      <c r="A7493" s="2" t="s">
        <v>12</v>
      </c>
      <c r="B7493" s="2" t="str">
        <f>HYPERLINK("http://m.12365auto.com/zhgg/20200214/418593.shtml","因高田气囊问题 斯巴鲁召回力狮/傲虎等汽车")</f>
        <v>因高田气囊问题 斯巴鲁召回力狮/傲虎等汽车</v>
      </c>
      <c r="C7493" s="2" t="s">
        <v>13</v>
      </c>
      <c r="D7493" s="2" t="s">
        <v>12</v>
      </c>
      <c r="E7493" s="2"/>
      <c r="F7493" s="2" t="str">
        <f>HYPERLINK("http://m.12365auto.com/zhgg/20200214/418593.shtml","http://m.12365auto.com/zhgg/20200214/418593.shtml")</f>
        <v>http://m.12365auto.com/zhgg/20200214/418593.shtml</v>
      </c>
      <c r="G7493" s="2"/>
      <c r="H7493" s="2" t="s">
        <v>10344</v>
      </c>
      <c r="I7493" s="2" t="s">
        <v>19</v>
      </c>
      <c r="J7493" s="2" t="s">
        <v>12</v>
      </c>
      <c r="K7493" s="2" t="s">
        <v>10343</v>
      </c>
      <c r="L7493" s="2">
        <f t="shared" si="117"/>
        <v>150</v>
      </c>
    </row>
    <row r="7494" spans="1:12" ht="25" customHeight="1">
      <c r="A7494" s="2" t="s">
        <v>12</v>
      </c>
      <c r="B7494" s="2" t="str">
        <f>HYPERLINK("http://www.12365auto.com/zhgg/20200214/418592.shtml","因后悬架故障 斯巴鲁召回部分森林人汽车")</f>
        <v>因后悬架故障 斯巴鲁召回部分森林人汽车</v>
      </c>
      <c r="C7494" s="2" t="s">
        <v>13</v>
      </c>
      <c r="D7494" s="2" t="s">
        <v>12</v>
      </c>
      <c r="E7494" s="2" t="s">
        <v>1460</v>
      </c>
      <c r="F7494" s="2" t="str">
        <f>HYPERLINK("http://www.12365auto.com/zhgg/20200214/418592.shtml","http://www.12365auto.com/zhgg/20200214/418592.shtml")</f>
        <v>http://www.12365auto.com/zhgg/20200214/418592.shtml</v>
      </c>
      <c r="G7494" s="2"/>
      <c r="H7494" s="2" t="s">
        <v>10345</v>
      </c>
      <c r="I7494" s="2" t="s">
        <v>15</v>
      </c>
      <c r="J7494" s="2" t="s">
        <v>12</v>
      </c>
      <c r="K7494" s="2" t="s">
        <v>10346</v>
      </c>
      <c r="L7494" s="2">
        <f t="shared" si="117"/>
        <v>150</v>
      </c>
    </row>
    <row r="7495" spans="1:12" ht="25" customHeight="1">
      <c r="A7495" s="2" t="s">
        <v>12</v>
      </c>
      <c r="B7495" s="2" t="str">
        <f>HYPERLINK("http://m.12365auto.com/zhgg/20200214/418592.shtml","因后悬架故障 斯巴鲁召回部分森林人汽车")</f>
        <v>因后悬架故障 斯巴鲁召回部分森林人汽车</v>
      </c>
      <c r="C7495" s="2" t="s">
        <v>13</v>
      </c>
      <c r="D7495" s="2" t="s">
        <v>12</v>
      </c>
      <c r="E7495" s="2"/>
      <c r="F7495" s="2" t="str">
        <f>HYPERLINK("http://m.12365auto.com/zhgg/20200214/418592.shtml","http://m.12365auto.com/zhgg/20200214/418592.shtml")</f>
        <v>http://m.12365auto.com/zhgg/20200214/418592.shtml</v>
      </c>
      <c r="G7495" s="2"/>
      <c r="H7495" s="2" t="s">
        <v>10347</v>
      </c>
      <c r="I7495" s="2" t="s">
        <v>19</v>
      </c>
      <c r="J7495" s="2" t="s">
        <v>12</v>
      </c>
      <c r="K7495" s="2" t="s">
        <v>10346</v>
      </c>
      <c r="L7495" s="2">
        <f t="shared" si="117"/>
        <v>150</v>
      </c>
    </row>
    <row r="7496" spans="1:12" ht="25" customHeight="1">
      <c r="A7496" s="2" t="s">
        <v>12</v>
      </c>
      <c r="B7496" s="2" t="str">
        <f>HYPERLINK("http://www.12365auto.com/zlts/20200214/447189.shtml","别克昂科拉冷却水泵泄漏存在安全隐患")</f>
        <v>别克昂科拉冷却水泵泄漏存在安全隐患</v>
      </c>
      <c r="C7496" s="2" t="s">
        <v>13</v>
      </c>
      <c r="D7496" s="2" t="s">
        <v>12</v>
      </c>
      <c r="E7496" s="2"/>
      <c r="F7496" s="2" t="str">
        <f>HYPERLINK("http://www.12365auto.com/zlts/20200214/447189.shtml","http://www.12365auto.com/zlts/20200214/447189.shtml")</f>
        <v>http://www.12365auto.com/zlts/20200214/447189.shtml</v>
      </c>
      <c r="G7496" s="2"/>
      <c r="H7496" s="2" t="s">
        <v>10349</v>
      </c>
      <c r="I7496" s="2" t="s">
        <v>15</v>
      </c>
      <c r="J7496" s="2" t="s">
        <v>12</v>
      </c>
      <c r="K7496" s="2" t="s">
        <v>10348</v>
      </c>
      <c r="L7496" s="2">
        <f t="shared" si="117"/>
        <v>87</v>
      </c>
    </row>
    <row r="7497" spans="1:12" ht="25" customHeight="1">
      <c r="A7497" s="2" t="s">
        <v>12</v>
      </c>
      <c r="B7497" s="2" t="str">
        <f>HYPERLINK("http://www.12365auto.com/zlts/20200214/447188.shtml","长安福特福睿斯主驾驶侧车窗升降失灵")</f>
        <v>长安福特福睿斯主驾驶侧车窗升降失灵</v>
      </c>
      <c r="C7497" s="2" t="s">
        <v>13</v>
      </c>
      <c r="D7497" s="2" t="s">
        <v>12</v>
      </c>
      <c r="E7497" s="2"/>
      <c r="F7497" s="2" t="str">
        <f>HYPERLINK("http://www.12365auto.com/zlts/20200214/447188.shtml","http://www.12365auto.com/zlts/20200214/447188.shtml")</f>
        <v>http://www.12365auto.com/zlts/20200214/447188.shtml</v>
      </c>
      <c r="G7497" s="2"/>
      <c r="H7497" s="2" t="s">
        <v>10351</v>
      </c>
      <c r="I7497" s="2" t="s">
        <v>15</v>
      </c>
      <c r="J7497" s="2" t="s">
        <v>12</v>
      </c>
      <c r="K7497" s="2" t="s">
        <v>10350</v>
      </c>
      <c r="L7497" s="2">
        <f t="shared" si="117"/>
        <v>81</v>
      </c>
    </row>
    <row r="7498" spans="1:12" ht="25" customHeight="1">
      <c r="A7498" s="2" t="s">
        <v>12</v>
      </c>
      <c r="B7498" s="2" t="str">
        <f>HYPERLINK("http://m.12365auto.com/news/20200214/418590.shtml","对话杨大勇：奔腾如何稳营销/推新车")</f>
        <v>对话杨大勇：奔腾如何稳营销/推新车</v>
      </c>
      <c r="C7498" s="2" t="s">
        <v>13</v>
      </c>
      <c r="D7498" s="2" t="s">
        <v>12</v>
      </c>
      <c r="E7498" s="2"/>
      <c r="F7498" s="2" t="str">
        <f>HYPERLINK("http://m.12365auto.com/news/20200214/418590.shtml","http://m.12365auto.com/news/20200214/418590.shtml")</f>
        <v>http://m.12365auto.com/news/20200214/418590.shtml</v>
      </c>
      <c r="G7498" s="2"/>
      <c r="H7498" s="2" t="s">
        <v>10352</v>
      </c>
      <c r="I7498" s="2" t="s">
        <v>19</v>
      </c>
      <c r="J7498" s="2" t="s">
        <v>7631</v>
      </c>
      <c r="K7498" s="2" t="s">
        <v>10353</v>
      </c>
      <c r="L7498" s="2">
        <f t="shared" si="117"/>
        <v>150</v>
      </c>
    </row>
    <row r="7499" spans="1:12" ht="25" customHeight="1">
      <c r="A7499" s="2" t="s">
        <v>12</v>
      </c>
      <c r="B7499" s="2" t="str">
        <f>HYPERLINK("http://www.12365auto.com/zhgg/20200214/418591.shtml","因转向助力失效隐患 特斯拉召回Model X汽车")</f>
        <v>因转向助力失效隐患 特斯拉召回Model X汽车</v>
      </c>
      <c r="C7499" s="2" t="s">
        <v>13</v>
      </c>
      <c r="D7499" s="2" t="s">
        <v>12</v>
      </c>
      <c r="E7499" s="2" t="s">
        <v>1460</v>
      </c>
      <c r="F7499" s="2" t="str">
        <f>HYPERLINK("http://www.12365auto.com/zhgg/20200214/418591.shtml","http://www.12365auto.com/zhgg/20200214/418591.shtml")</f>
        <v>http://www.12365auto.com/zhgg/20200214/418591.shtml</v>
      </c>
      <c r="G7499" s="2"/>
      <c r="H7499" s="2" t="s">
        <v>10354</v>
      </c>
      <c r="I7499" s="2" t="s">
        <v>15</v>
      </c>
      <c r="J7499" s="2" t="s">
        <v>12</v>
      </c>
      <c r="K7499" s="2" t="s">
        <v>10353</v>
      </c>
      <c r="L7499" s="2">
        <f t="shared" si="117"/>
        <v>150</v>
      </c>
    </row>
    <row r="7500" spans="1:12" ht="25" customHeight="1">
      <c r="A7500" s="2" t="s">
        <v>12</v>
      </c>
      <c r="B7500" s="2" t="str">
        <f>HYPERLINK("http://m.12365auto.com/zhgg/20200214/418591.shtml","因转向助力失效隐患 特斯拉召回Model X汽车")</f>
        <v>因转向助力失效隐患 特斯拉召回Model X汽车</v>
      </c>
      <c r="C7500" s="2" t="s">
        <v>13</v>
      </c>
      <c r="D7500" s="2" t="s">
        <v>12</v>
      </c>
      <c r="E7500" s="2"/>
      <c r="F7500" s="2" t="str">
        <f>HYPERLINK("http://m.12365auto.com/zhgg/20200214/418591.shtml","http://m.12365auto.com/zhgg/20200214/418591.shtml")</f>
        <v>http://m.12365auto.com/zhgg/20200214/418591.shtml</v>
      </c>
      <c r="G7500" s="2"/>
      <c r="H7500" s="2" t="s">
        <v>10355</v>
      </c>
      <c r="I7500" s="2" t="s">
        <v>19</v>
      </c>
      <c r="J7500" s="2" t="s">
        <v>12</v>
      </c>
      <c r="K7500" s="2" t="s">
        <v>10353</v>
      </c>
      <c r="L7500" s="2">
        <f t="shared" si="117"/>
        <v>150</v>
      </c>
    </row>
    <row r="7501" spans="1:12" ht="25" customHeight="1">
      <c r="A7501" s="2" t="s">
        <v>12</v>
      </c>
      <c r="B7501" s="2" t="str">
        <f>HYPERLINK("http://www.12365auto.com/news/20200214/418590.shtml","对话杨大勇：奔腾如何稳营销/推新车")</f>
        <v>对话杨大勇：奔腾如何稳营销/推新车</v>
      </c>
      <c r="C7501" s="2" t="s">
        <v>13</v>
      </c>
      <c r="D7501" s="2" t="s">
        <v>12</v>
      </c>
      <c r="E7501" s="2" t="s">
        <v>276</v>
      </c>
      <c r="F7501" s="2" t="str">
        <f>HYPERLINK("http://www.12365auto.com/news/20200214/418590.shtml","http://www.12365auto.com/news/20200214/418590.shtml")</f>
        <v>http://www.12365auto.com/news/20200214/418590.shtml</v>
      </c>
      <c r="G7501" s="2"/>
      <c r="H7501" s="2" t="s">
        <v>10356</v>
      </c>
      <c r="I7501" s="2" t="s">
        <v>15</v>
      </c>
      <c r="J7501" s="2" t="s">
        <v>12</v>
      </c>
      <c r="K7501" s="2" t="s">
        <v>10353</v>
      </c>
      <c r="L7501" s="2">
        <f t="shared" si="117"/>
        <v>150</v>
      </c>
    </row>
    <row r="7502" spans="1:12" ht="25" customHeight="1">
      <c r="A7502" s="2" t="s">
        <v>12</v>
      </c>
      <c r="B7502" s="2" t="str">
        <f>HYPERLINK("http://m.12365auto.com/news/20200214/418589.shtml","同比降15.9% 广汽集团1月销售17.6万辆")</f>
        <v>同比降15.9% 广汽集团1月销售17.6万辆</v>
      </c>
      <c r="C7502" s="2" t="s">
        <v>13</v>
      </c>
      <c r="D7502" s="2" t="s">
        <v>12</v>
      </c>
      <c r="E7502" s="2"/>
      <c r="F7502" s="2" t="str">
        <f>HYPERLINK("http://m.12365auto.com/news/20200214/418589.shtml","http://m.12365auto.com/news/20200214/418589.shtml")</f>
        <v>http://m.12365auto.com/news/20200214/418589.shtml</v>
      </c>
      <c r="G7502" s="2"/>
      <c r="H7502" s="2" t="s">
        <v>10357</v>
      </c>
      <c r="I7502" s="2" t="s">
        <v>19</v>
      </c>
      <c r="J7502" s="2" t="s">
        <v>274</v>
      </c>
      <c r="K7502" s="2" t="s">
        <v>10358</v>
      </c>
      <c r="L7502" s="2">
        <f t="shared" si="117"/>
        <v>150</v>
      </c>
    </row>
    <row r="7503" spans="1:12" ht="25" customHeight="1">
      <c r="A7503" s="2" t="s">
        <v>12</v>
      </c>
      <c r="B7503" s="2" t="str">
        <f>HYPERLINK("http://www.12365auto.com/news/20200214/418589.shtml","同比降15.9% 广汽集团1月销售17.6万辆")</f>
        <v>同比降15.9% 广汽集团1月销售17.6万辆</v>
      </c>
      <c r="C7503" s="2" t="s">
        <v>13</v>
      </c>
      <c r="D7503" s="2" t="s">
        <v>12</v>
      </c>
      <c r="E7503" s="2" t="s">
        <v>276</v>
      </c>
      <c r="F7503" s="2" t="str">
        <f>HYPERLINK("http://www.12365auto.com/news/20200214/418589.shtml","http://www.12365auto.com/news/20200214/418589.shtml")</f>
        <v>http://www.12365auto.com/news/20200214/418589.shtml</v>
      </c>
      <c r="G7503" s="2"/>
      <c r="H7503" s="2" t="s">
        <v>10359</v>
      </c>
      <c r="I7503" s="2" t="s">
        <v>15</v>
      </c>
      <c r="J7503" s="2" t="s">
        <v>12</v>
      </c>
      <c r="K7503" s="2" t="s">
        <v>10358</v>
      </c>
      <c r="L7503" s="2">
        <f t="shared" si="117"/>
        <v>150</v>
      </c>
    </row>
    <row r="7504" spans="1:12" ht="25" customHeight="1">
      <c r="A7504" s="2" t="s">
        <v>12</v>
      </c>
      <c r="B7504" s="2" t="str">
        <f>HYPERLINK("http://m.12365auto.com/news/20200214/418588.shtml","同比涨18.3% 一汽集团1月销售35.4万辆")</f>
        <v>同比涨18.3% 一汽集团1月销售35.4万辆</v>
      </c>
      <c r="C7504" s="2" t="s">
        <v>13</v>
      </c>
      <c r="D7504" s="2" t="s">
        <v>12</v>
      </c>
      <c r="E7504" s="2"/>
      <c r="F7504" s="2" t="str">
        <f>HYPERLINK("http://m.12365auto.com/news/20200214/418588.shtml","http://m.12365auto.com/news/20200214/418588.shtml")</f>
        <v>http://m.12365auto.com/news/20200214/418588.shtml</v>
      </c>
      <c r="G7504" s="2"/>
      <c r="H7504" s="2" t="s">
        <v>10360</v>
      </c>
      <c r="I7504" s="2" t="s">
        <v>19</v>
      </c>
      <c r="J7504" s="2" t="s">
        <v>274</v>
      </c>
      <c r="K7504" s="2" t="s">
        <v>10361</v>
      </c>
      <c r="L7504" s="2">
        <f t="shared" si="117"/>
        <v>150</v>
      </c>
    </row>
    <row r="7505" spans="1:12" ht="25" customHeight="1">
      <c r="A7505" s="2" t="s">
        <v>12</v>
      </c>
      <c r="B7505" s="2" t="str">
        <f>HYPERLINK("http://www.12365auto.com/news/20200214/418588.shtml","同比涨18.3% 一汽集团1月销售35.4万辆")</f>
        <v>同比涨18.3% 一汽集团1月销售35.4万辆</v>
      </c>
      <c r="C7505" s="2" t="s">
        <v>13</v>
      </c>
      <c r="D7505" s="2" t="s">
        <v>12</v>
      </c>
      <c r="E7505" s="2" t="s">
        <v>276</v>
      </c>
      <c r="F7505" s="2" t="str">
        <f>HYPERLINK("http://www.12365auto.com/news/20200214/418588.shtml","http://www.12365auto.com/news/20200214/418588.shtml")</f>
        <v>http://www.12365auto.com/news/20200214/418588.shtml</v>
      </c>
      <c r="G7505" s="2"/>
      <c r="H7505" s="2" t="s">
        <v>10362</v>
      </c>
      <c r="I7505" s="2" t="s">
        <v>15</v>
      </c>
      <c r="J7505" s="2" t="s">
        <v>12</v>
      </c>
      <c r="K7505" s="2" t="s">
        <v>10361</v>
      </c>
      <c r="L7505" s="2">
        <f t="shared" si="117"/>
        <v>150</v>
      </c>
    </row>
    <row r="7506" spans="1:12" ht="25" customHeight="1">
      <c r="A7506" s="2" t="s">
        <v>12</v>
      </c>
      <c r="B7506" s="2" t="str">
        <f>HYPERLINK("http://m.12365auto.com/parts/20200214/418587.shtml","观致汽车将推出“N95级”空气过滤系统")</f>
        <v>观致汽车将推出“N95级”空气过滤系统</v>
      </c>
      <c r="C7506" s="2" t="s">
        <v>13</v>
      </c>
      <c r="D7506" s="2" t="s">
        <v>12</v>
      </c>
      <c r="E7506" s="2"/>
      <c r="F7506" s="2" t="str">
        <f>HYPERLINK("http://m.12365auto.com/parts/20200214/418587.shtml","http://m.12365auto.com/parts/20200214/418587.shtml")</f>
        <v>http://m.12365auto.com/parts/20200214/418587.shtml</v>
      </c>
      <c r="G7506" s="2"/>
      <c r="H7506" s="2" t="s">
        <v>10363</v>
      </c>
      <c r="I7506" s="2" t="s">
        <v>19</v>
      </c>
      <c r="J7506" s="2" t="s">
        <v>1170</v>
      </c>
      <c r="K7506" s="2" t="s">
        <v>10364</v>
      </c>
      <c r="L7506" s="2">
        <f t="shared" si="117"/>
        <v>150</v>
      </c>
    </row>
    <row r="7507" spans="1:12" ht="25" customHeight="1">
      <c r="A7507" s="2" t="s">
        <v>12</v>
      </c>
      <c r="B7507" s="2" t="str">
        <f>HYPERLINK("http://www.12365auto.com/parts/20200214/418587.shtml","观致汽车将推出“N95级”空气过滤系统")</f>
        <v>观致汽车将推出“N95级”空气过滤系统</v>
      </c>
      <c r="C7507" s="2" t="s">
        <v>13</v>
      </c>
      <c r="D7507" s="2" t="s">
        <v>12</v>
      </c>
      <c r="E7507" s="2" t="s">
        <v>240</v>
      </c>
      <c r="F7507" s="2" t="str">
        <f>HYPERLINK("http://www.12365auto.com/parts/20200214/418587.shtml","http://www.12365auto.com/parts/20200214/418587.shtml")</f>
        <v>http://www.12365auto.com/parts/20200214/418587.shtml</v>
      </c>
      <c r="G7507" s="2"/>
      <c r="H7507" s="2" t="s">
        <v>10365</v>
      </c>
      <c r="I7507" s="2" t="s">
        <v>15</v>
      </c>
      <c r="J7507" s="2" t="s">
        <v>12</v>
      </c>
      <c r="K7507" s="2" t="s">
        <v>10364</v>
      </c>
      <c r="L7507" s="2">
        <f t="shared" si="117"/>
        <v>150</v>
      </c>
    </row>
    <row r="7508" spans="1:12" ht="25" customHeight="1">
      <c r="A7508" s="2" t="s">
        <v>12</v>
      </c>
      <c r="B7508" s="2" t="str">
        <f>HYPERLINK("http://bbs.12365auto.com/postcontent.aspx?tID=194141","神车五菱宏光S再进化 纯电版实拍流出")</f>
        <v>神车五菱宏光S再进化 纯电版实拍流出</v>
      </c>
      <c r="C7508" s="2" t="s">
        <v>13</v>
      </c>
      <c r="D7508" s="2" t="s">
        <v>12</v>
      </c>
      <c r="E7508" s="2" t="s">
        <v>28</v>
      </c>
      <c r="F7508" s="2" t="str">
        <f>HYPERLINK("http://bbs.12365auto.com/postcontent.aspx?tID=194141","http://bbs.12365auto.com/postcontent.aspx?tID=194141")</f>
        <v>http://bbs.12365auto.com/postcontent.aspx?tID=194141</v>
      </c>
      <c r="G7508" s="2"/>
      <c r="H7508" s="2" t="s">
        <v>10366</v>
      </c>
      <c r="I7508" s="2" t="s">
        <v>15</v>
      </c>
      <c r="J7508" s="2" t="s">
        <v>10367</v>
      </c>
      <c r="K7508" s="2" t="s">
        <v>10368</v>
      </c>
      <c r="L7508" s="2">
        <f t="shared" si="117"/>
        <v>150</v>
      </c>
    </row>
    <row r="7509" spans="1:12" ht="25" customHeight="1">
      <c r="A7509" s="2" t="s">
        <v>12</v>
      </c>
      <c r="B7509" s="2" t="str">
        <f>HYPERLINK("http://m.12365auto.com/bbs/postcontent.aspx?tID=194141","神车五菱宏光S再进化 纯电版实拍流出")</f>
        <v>神车五菱宏光S再进化 纯电版实拍流出</v>
      </c>
      <c r="C7509" s="2" t="s">
        <v>13</v>
      </c>
      <c r="D7509" s="2" t="s">
        <v>23</v>
      </c>
      <c r="E7509" s="2"/>
      <c r="F7509" s="2" t="str">
        <f>HYPERLINK("http://m.12365auto.com/bbs/postcontent.aspx?tID=194141","http://m.12365auto.com/bbs/postcontent.aspx?tID=194141")</f>
        <v>http://m.12365auto.com/bbs/postcontent.aspx?tID=194141</v>
      </c>
      <c r="G7509" s="2"/>
      <c r="H7509" s="2" t="s">
        <v>10369</v>
      </c>
      <c r="I7509" s="2" t="s">
        <v>15</v>
      </c>
      <c r="J7509" s="2" t="s">
        <v>10367</v>
      </c>
      <c r="K7509" s="2" t="s">
        <v>10368</v>
      </c>
      <c r="L7509" s="2">
        <f t="shared" si="117"/>
        <v>150</v>
      </c>
    </row>
    <row r="7510" spans="1:12" ht="25" customHeight="1">
      <c r="A7510" s="2" t="s">
        <v>12</v>
      </c>
      <c r="B7510" s="2" t="str">
        <f>HYPERLINK("http://bbs.12365auto.com/postcontent.aspx?tId=194141","神车五菱宏光S再进化 纯电版实拍流出")</f>
        <v>神车五菱宏光S再进化 纯电版实拍流出</v>
      </c>
      <c r="C7510" s="2" t="s">
        <v>13</v>
      </c>
      <c r="D7510" s="2" t="s">
        <v>12</v>
      </c>
      <c r="E7510" s="2" t="s">
        <v>27</v>
      </c>
      <c r="F7510" s="2" t="str">
        <f>HYPERLINK("http://bbs.12365auto.com/postcontent.aspx?tId=194141","http://bbs.12365auto.com/postcontent.aspx?tId=194141")</f>
        <v>http://bbs.12365auto.com/postcontent.aspx?tId=194141</v>
      </c>
      <c r="G7510" s="2"/>
      <c r="H7510" s="2" t="s">
        <v>10369</v>
      </c>
      <c r="I7510" s="2" t="s">
        <v>15</v>
      </c>
      <c r="J7510" s="2" t="s">
        <v>10367</v>
      </c>
      <c r="K7510" s="2" t="s">
        <v>10368</v>
      </c>
      <c r="L7510" s="2">
        <f t="shared" si="117"/>
        <v>150</v>
      </c>
    </row>
    <row r="7511" spans="1:12" ht="25" customHeight="1">
      <c r="A7511" s="2" t="s">
        <v>12</v>
      </c>
      <c r="B7511" s="2" t="str">
        <f>HYPERLINK("http://bbs.12365auto.com/postcontent.aspx?tID=194141&amp;sId=784&amp;ppage=1&amp;from=s","神车五菱宏光S再进化 纯电版实拍流出")</f>
        <v>神车五菱宏光S再进化 纯电版实拍流出</v>
      </c>
      <c r="C7511" s="2" t="s">
        <v>13</v>
      </c>
      <c r="D7511" s="2" t="s">
        <v>12</v>
      </c>
      <c r="E7511" s="2" t="s">
        <v>7103</v>
      </c>
      <c r="F7511" s="2" t="str">
        <f>HYPERLINK("http://bbs.12365auto.com/postcontent.aspx?tID=194141&amp;sId=784&amp;ppage=1&amp;from=s","http://bbs.12365auto.com/postcontent.aspx?tID=194141&amp;sId=784&amp;ppage=1&amp;from=s")</f>
        <v>http://bbs.12365auto.com/postcontent.aspx?tID=194141&amp;sId=784&amp;ppage=1&amp;from=s</v>
      </c>
      <c r="G7511" s="2"/>
      <c r="H7511" s="2" t="s">
        <v>10366</v>
      </c>
      <c r="I7511" s="2" t="s">
        <v>15</v>
      </c>
      <c r="J7511" s="2" t="s">
        <v>10370</v>
      </c>
      <c r="K7511" s="2" t="s">
        <v>10368</v>
      </c>
      <c r="L7511" s="2">
        <f t="shared" si="117"/>
        <v>150</v>
      </c>
    </row>
    <row r="7512" spans="1:12" ht="25" customHeight="1">
      <c r="A7512" s="2" t="s">
        <v>12</v>
      </c>
      <c r="B7512" s="2" t="str">
        <f>HYPERLINK("http://bbs.12365auto.com/postcontent.aspx?tID=194139","1月跌幅18%！车市连降19个月")</f>
        <v>1月跌幅18%！车市连降19个月</v>
      </c>
      <c r="C7512" s="2" t="s">
        <v>13</v>
      </c>
      <c r="D7512" s="2" t="s">
        <v>12</v>
      </c>
      <c r="E7512" s="2" t="s">
        <v>28</v>
      </c>
      <c r="F7512" s="2" t="str">
        <f>HYPERLINK("http://bbs.12365auto.com/postcontent.aspx?tID=194139","http://bbs.12365auto.com/postcontent.aspx?tID=194139")</f>
        <v>http://bbs.12365auto.com/postcontent.aspx?tID=194139</v>
      </c>
      <c r="G7512" s="2"/>
      <c r="H7512" s="2" t="s">
        <v>10371</v>
      </c>
      <c r="I7512" s="2" t="s">
        <v>15</v>
      </c>
      <c r="J7512" s="2" t="s">
        <v>10367</v>
      </c>
      <c r="K7512" s="2" t="s">
        <v>10372</v>
      </c>
      <c r="L7512" s="2">
        <f t="shared" si="117"/>
        <v>150</v>
      </c>
    </row>
    <row r="7513" spans="1:12" ht="25" customHeight="1">
      <c r="A7513" s="2" t="s">
        <v>12</v>
      </c>
      <c r="B7513" s="2" t="str">
        <f>HYPERLINK("http://bbs.12365auto.com/postcontent.aspx?tID=194138","插混车型（PHEV）到底要不要买")</f>
        <v>插混车型（PHEV）到底要不要买</v>
      </c>
      <c r="C7513" s="2" t="s">
        <v>13</v>
      </c>
      <c r="D7513" s="2" t="s">
        <v>12</v>
      </c>
      <c r="E7513" s="2" t="s">
        <v>28</v>
      </c>
      <c r="F7513" s="2" t="str">
        <f>HYPERLINK("http://bbs.12365auto.com/postcontent.aspx?tID=194138","http://bbs.12365auto.com/postcontent.aspx?tID=194138")</f>
        <v>http://bbs.12365auto.com/postcontent.aspx?tID=194138</v>
      </c>
      <c r="G7513" s="2"/>
      <c r="H7513" s="2" t="s">
        <v>10373</v>
      </c>
      <c r="I7513" s="2" t="s">
        <v>15</v>
      </c>
      <c r="J7513" s="2" t="s">
        <v>10367</v>
      </c>
      <c r="K7513" s="2" t="s">
        <v>10372</v>
      </c>
      <c r="L7513" s="2">
        <f t="shared" si="117"/>
        <v>150</v>
      </c>
    </row>
    <row r="7514" spans="1:12" ht="25" customHeight="1">
      <c r="A7514" s="2" t="s">
        <v>12</v>
      </c>
      <c r="B7514" s="2" t="str">
        <f>HYPERLINK("http://bbs.12365auto.com/postcontent.aspx?tID=194140","不搞电动汽车 日本主攻氢能源")</f>
        <v>不搞电动汽车 日本主攻氢能源</v>
      </c>
      <c r="C7514" s="2" t="s">
        <v>13</v>
      </c>
      <c r="D7514" s="2" t="s">
        <v>12</v>
      </c>
      <c r="E7514" s="2" t="s">
        <v>28</v>
      </c>
      <c r="F7514" s="2" t="str">
        <f>HYPERLINK("http://bbs.12365auto.com/postcontent.aspx?tID=194140","http://bbs.12365auto.com/postcontent.aspx?tID=194140")</f>
        <v>http://bbs.12365auto.com/postcontent.aspx?tID=194140</v>
      </c>
      <c r="G7514" s="2"/>
      <c r="H7514" s="2" t="s">
        <v>10374</v>
      </c>
      <c r="I7514" s="2" t="s">
        <v>15</v>
      </c>
      <c r="J7514" s="2" t="s">
        <v>10367</v>
      </c>
      <c r="K7514" s="2" t="s">
        <v>10372</v>
      </c>
      <c r="L7514" s="2">
        <f t="shared" si="117"/>
        <v>150</v>
      </c>
    </row>
    <row r="7515" spans="1:12" ht="25" customHeight="1">
      <c r="A7515" s="2" t="s">
        <v>12</v>
      </c>
      <c r="B7515" s="2" t="str">
        <f>HYPERLINK("http://m.12365auto.com/news/20200214/418586.shtml","特斯拉将在中国生产长续航后驱版Model 3")</f>
        <v>特斯拉将在中国生产长续航后驱版Model 3</v>
      </c>
      <c r="C7515" s="2" t="s">
        <v>13</v>
      </c>
      <c r="D7515" s="2" t="s">
        <v>12</v>
      </c>
      <c r="E7515" s="2"/>
      <c r="F7515" s="2" t="str">
        <f>HYPERLINK("http://m.12365auto.com/news/20200214/418586.shtml","http://m.12365auto.com/news/20200214/418586.shtml")</f>
        <v>http://m.12365auto.com/news/20200214/418586.shtml</v>
      </c>
      <c r="G7515" s="2"/>
      <c r="H7515" s="2" t="s">
        <v>10375</v>
      </c>
      <c r="I7515" s="2" t="s">
        <v>19</v>
      </c>
      <c r="J7515" s="2" t="s">
        <v>12</v>
      </c>
      <c r="K7515" s="2" t="s">
        <v>10372</v>
      </c>
      <c r="L7515" s="2">
        <f t="shared" si="117"/>
        <v>150</v>
      </c>
    </row>
    <row r="7516" spans="1:12" ht="25" customHeight="1">
      <c r="A7516" s="2" t="s">
        <v>12</v>
      </c>
      <c r="B7516" s="2" t="str">
        <f>HYPERLINK("http://www.12365auto.com/news/20200214/418586.shtml","特斯拉将在中国生产长续航后驱版Model 3")</f>
        <v>特斯拉将在中国生产长续航后驱版Model 3</v>
      </c>
      <c r="C7516" s="2" t="s">
        <v>13</v>
      </c>
      <c r="D7516" s="2" t="s">
        <v>12</v>
      </c>
      <c r="E7516" s="2" t="s">
        <v>276</v>
      </c>
      <c r="F7516" s="2" t="str">
        <f>HYPERLINK("http://www.12365auto.com/news/20200214/418586.shtml","http://www.12365auto.com/news/20200214/418586.shtml")</f>
        <v>http://www.12365auto.com/news/20200214/418586.shtml</v>
      </c>
      <c r="G7516" s="2"/>
      <c r="H7516" s="2" t="s">
        <v>10376</v>
      </c>
      <c r="I7516" s="2" t="s">
        <v>15</v>
      </c>
      <c r="J7516" s="2" t="s">
        <v>12</v>
      </c>
      <c r="K7516" s="2" t="s">
        <v>10372</v>
      </c>
      <c r="L7516" s="2">
        <f t="shared" si="117"/>
        <v>150</v>
      </c>
    </row>
    <row r="7517" spans="1:12" ht="25" customHeight="1">
      <c r="A7517" s="2" t="s">
        <v>12</v>
      </c>
      <c r="B7517" s="2" t="str">
        <f>HYPERLINK("http://m.12365auto.com/bbs/postcontent.aspx?tID=194139","1月跌幅18%！车市连降19个月")</f>
        <v>1月跌幅18%！车市连降19个月</v>
      </c>
      <c r="C7517" s="2" t="s">
        <v>13</v>
      </c>
      <c r="D7517" s="2" t="s">
        <v>23</v>
      </c>
      <c r="E7517" s="2"/>
      <c r="F7517" s="2" t="str">
        <f>HYPERLINK("http://m.12365auto.com/bbs/postcontent.aspx?tID=194139","http://m.12365auto.com/bbs/postcontent.aspx?tID=194139")</f>
        <v>http://m.12365auto.com/bbs/postcontent.aspx?tID=194139</v>
      </c>
      <c r="G7517" s="2"/>
      <c r="H7517" s="2" t="s">
        <v>10377</v>
      </c>
      <c r="I7517" s="2" t="s">
        <v>15</v>
      </c>
      <c r="J7517" s="2" t="s">
        <v>10367</v>
      </c>
      <c r="K7517" s="2" t="s">
        <v>10372</v>
      </c>
      <c r="L7517" s="2">
        <f t="shared" si="117"/>
        <v>150</v>
      </c>
    </row>
    <row r="7518" spans="1:12" ht="25" customHeight="1">
      <c r="A7518" s="2" t="s">
        <v>12</v>
      </c>
      <c r="B7518" s="2" t="str">
        <f>HYPERLINK("http://m.12365auto.com/bbs/postcontent.aspx?tID=194140","不搞电动汽车 日本主攻氢能源")</f>
        <v>不搞电动汽车 日本主攻氢能源</v>
      </c>
      <c r="C7518" s="2" t="s">
        <v>13</v>
      </c>
      <c r="D7518" s="2" t="s">
        <v>23</v>
      </c>
      <c r="E7518" s="2"/>
      <c r="F7518" s="2" t="str">
        <f>HYPERLINK("http://m.12365auto.com/bbs/postcontent.aspx?tID=194140","http://m.12365auto.com/bbs/postcontent.aspx?tID=194140")</f>
        <v>http://m.12365auto.com/bbs/postcontent.aspx?tID=194140</v>
      </c>
      <c r="G7518" s="2"/>
      <c r="H7518" s="2" t="s">
        <v>10378</v>
      </c>
      <c r="I7518" s="2" t="s">
        <v>15</v>
      </c>
      <c r="J7518" s="2" t="s">
        <v>10367</v>
      </c>
      <c r="K7518" s="2" t="s">
        <v>10372</v>
      </c>
      <c r="L7518" s="2">
        <f t="shared" si="117"/>
        <v>150</v>
      </c>
    </row>
    <row r="7519" spans="1:12" ht="25" customHeight="1">
      <c r="A7519" s="2" t="s">
        <v>12</v>
      </c>
      <c r="B7519" s="2" t="str">
        <f>HYPERLINK("http://m.12365auto.com/bbs/postcontent.aspx?tID=194138","插混车型（PHEV）到底要不要买")</f>
        <v>插混车型（PHEV）到底要不要买</v>
      </c>
      <c r="C7519" s="2" t="s">
        <v>13</v>
      </c>
      <c r="D7519" s="2" t="s">
        <v>23</v>
      </c>
      <c r="E7519" s="2"/>
      <c r="F7519" s="2" t="str">
        <f>HYPERLINK("http://m.12365auto.com/bbs/postcontent.aspx?tID=194138","http://m.12365auto.com/bbs/postcontent.aspx?tID=194138")</f>
        <v>http://m.12365auto.com/bbs/postcontent.aspx?tID=194138</v>
      </c>
      <c r="G7519" s="2"/>
      <c r="H7519" s="2" t="s">
        <v>10379</v>
      </c>
      <c r="I7519" s="2" t="s">
        <v>15</v>
      </c>
      <c r="J7519" s="2" t="s">
        <v>10367</v>
      </c>
      <c r="K7519" s="2" t="s">
        <v>10372</v>
      </c>
      <c r="L7519" s="2">
        <f t="shared" si="117"/>
        <v>150</v>
      </c>
    </row>
    <row r="7520" spans="1:12" ht="25" customHeight="1">
      <c r="A7520" s="2" t="s">
        <v>12</v>
      </c>
      <c r="B7520" s="2" t="str">
        <f>HYPERLINK("http://bbs.12365auto.com/postcontent.aspx?tId=194139","1月跌幅18%！车市连降19个月")</f>
        <v>1月跌幅18%！车市连降19个月</v>
      </c>
      <c r="C7520" s="2" t="s">
        <v>13</v>
      </c>
      <c r="D7520" s="2" t="s">
        <v>12</v>
      </c>
      <c r="E7520" s="2" t="s">
        <v>27</v>
      </c>
      <c r="F7520" s="2" t="str">
        <f>HYPERLINK("http://bbs.12365auto.com/postcontent.aspx?tId=194139","http://bbs.12365auto.com/postcontent.aspx?tId=194139")</f>
        <v>http://bbs.12365auto.com/postcontent.aspx?tId=194139</v>
      </c>
      <c r="G7520" s="2"/>
      <c r="H7520" s="2" t="s">
        <v>10377</v>
      </c>
      <c r="I7520" s="2" t="s">
        <v>15</v>
      </c>
      <c r="J7520" s="2" t="s">
        <v>10367</v>
      </c>
      <c r="K7520" s="2" t="s">
        <v>10372</v>
      </c>
      <c r="L7520" s="2">
        <f t="shared" si="117"/>
        <v>150</v>
      </c>
    </row>
    <row r="7521" spans="1:12" ht="25" customHeight="1">
      <c r="A7521" s="2" t="s">
        <v>12</v>
      </c>
      <c r="B7521" s="2" t="str">
        <f>HYPERLINK("http://bbs.12365auto.com/postcontent.aspx?tId=194138","插混车型（PHEV）到底要不要买")</f>
        <v>插混车型（PHEV）到底要不要买</v>
      </c>
      <c r="C7521" s="2" t="s">
        <v>13</v>
      </c>
      <c r="D7521" s="2" t="s">
        <v>12</v>
      </c>
      <c r="E7521" s="2" t="s">
        <v>27</v>
      </c>
      <c r="F7521" s="2" t="str">
        <f>HYPERLINK("http://bbs.12365auto.com/postcontent.aspx?tId=194138","http://bbs.12365auto.com/postcontent.aspx?tId=194138")</f>
        <v>http://bbs.12365auto.com/postcontent.aspx?tId=194138</v>
      </c>
      <c r="G7521" s="2"/>
      <c r="H7521" s="2" t="s">
        <v>10379</v>
      </c>
      <c r="I7521" s="2" t="s">
        <v>15</v>
      </c>
      <c r="J7521" s="2" t="s">
        <v>10367</v>
      </c>
      <c r="K7521" s="2" t="s">
        <v>10372</v>
      </c>
      <c r="L7521" s="2">
        <f t="shared" si="117"/>
        <v>150</v>
      </c>
    </row>
    <row r="7522" spans="1:12" ht="25" customHeight="1">
      <c r="A7522" s="2" t="s">
        <v>12</v>
      </c>
      <c r="B7522" s="2" t="str">
        <f>HYPERLINK("http://bbs.12365auto.com/postcontent.aspx?tId=194140","不搞电动汽车 日本主攻氢能源")</f>
        <v>不搞电动汽车 日本主攻氢能源</v>
      </c>
      <c r="C7522" s="2" t="s">
        <v>13</v>
      </c>
      <c r="D7522" s="2" t="s">
        <v>12</v>
      </c>
      <c r="E7522" s="2" t="s">
        <v>27</v>
      </c>
      <c r="F7522" s="2" t="str">
        <f>HYPERLINK("http://bbs.12365auto.com/postcontent.aspx?tId=194140","http://bbs.12365auto.com/postcontent.aspx?tId=194140")</f>
        <v>http://bbs.12365auto.com/postcontent.aspx?tId=194140</v>
      </c>
      <c r="G7522" s="2"/>
      <c r="H7522" s="2" t="s">
        <v>10378</v>
      </c>
      <c r="I7522" s="2" t="s">
        <v>15</v>
      </c>
      <c r="J7522" s="2" t="s">
        <v>10367</v>
      </c>
      <c r="K7522" s="2" t="s">
        <v>10372</v>
      </c>
      <c r="L7522" s="2">
        <f t="shared" si="117"/>
        <v>150</v>
      </c>
    </row>
    <row r="7523" spans="1:12" ht="25" customHeight="1">
      <c r="A7523" s="2" t="s">
        <v>12</v>
      </c>
      <c r="B7523" s="2" t="str">
        <f>HYPERLINK("http://m.12365auto.com/bbs/postcontent.aspx?tID=194137","为了省100块钱 很多司机付出惨重代价")</f>
        <v>为了省100块钱 很多司机付出惨重代价</v>
      </c>
      <c r="C7523" s="2" t="s">
        <v>13</v>
      </c>
      <c r="D7523" s="2" t="s">
        <v>23</v>
      </c>
      <c r="E7523" s="2"/>
      <c r="F7523" s="2" t="str">
        <f>HYPERLINK("http://m.12365auto.com/bbs/postcontent.aspx?tID=194137","http://m.12365auto.com/bbs/postcontent.aspx?tID=194137")</f>
        <v>http://m.12365auto.com/bbs/postcontent.aspx?tID=194137</v>
      </c>
      <c r="G7523" s="2"/>
      <c r="H7523" s="2" t="s">
        <v>10380</v>
      </c>
      <c r="I7523" s="2" t="s">
        <v>15</v>
      </c>
      <c r="J7523" s="2" t="s">
        <v>10367</v>
      </c>
      <c r="K7523" s="2" t="s">
        <v>10381</v>
      </c>
      <c r="L7523" s="2">
        <f t="shared" si="117"/>
        <v>150</v>
      </c>
    </row>
    <row r="7524" spans="1:12" ht="25" customHeight="1">
      <c r="A7524" s="2" t="s">
        <v>12</v>
      </c>
      <c r="B7524" s="2" t="str">
        <f>HYPERLINK("http://bbs.12365auto.com/postcontent.aspx?tId=194137","为了省100块钱 很多司机付出惨重代价")</f>
        <v>为了省100块钱 很多司机付出惨重代价</v>
      </c>
      <c r="C7524" s="2" t="s">
        <v>13</v>
      </c>
      <c r="D7524" s="2" t="s">
        <v>12</v>
      </c>
      <c r="E7524" s="2" t="s">
        <v>27</v>
      </c>
      <c r="F7524" s="2" t="str">
        <f>HYPERLINK("http://bbs.12365auto.com/postcontent.aspx?tId=194137","http://bbs.12365auto.com/postcontent.aspx?tId=194137")</f>
        <v>http://bbs.12365auto.com/postcontent.aspx?tId=194137</v>
      </c>
      <c r="G7524" s="2"/>
      <c r="H7524" s="2" t="s">
        <v>10380</v>
      </c>
      <c r="I7524" s="2" t="s">
        <v>15</v>
      </c>
      <c r="J7524" s="2" t="s">
        <v>10367</v>
      </c>
      <c r="K7524" s="2" t="s">
        <v>10381</v>
      </c>
      <c r="L7524" s="2">
        <f t="shared" si="117"/>
        <v>150</v>
      </c>
    </row>
    <row r="7525" spans="1:12" ht="25" customHeight="1">
      <c r="A7525" s="2" t="s">
        <v>12</v>
      </c>
      <c r="B7525" s="2" t="str">
        <f>HYPERLINK("http://bbs.12365auto.com/postcontent.aspx?tID=194137","为了省100块钱 很多司机付出惨重代价")</f>
        <v>为了省100块钱 很多司机付出惨重代价</v>
      </c>
      <c r="C7525" s="2" t="s">
        <v>13</v>
      </c>
      <c r="D7525" s="2" t="s">
        <v>12</v>
      </c>
      <c r="E7525" s="2" t="s">
        <v>28</v>
      </c>
      <c r="F7525" s="2" t="str">
        <f>HYPERLINK("http://bbs.12365auto.com/postcontent.aspx?tID=194137","http://bbs.12365auto.com/postcontent.aspx?tID=194137")</f>
        <v>http://bbs.12365auto.com/postcontent.aspx?tID=194137</v>
      </c>
      <c r="G7525" s="2"/>
      <c r="H7525" s="2" t="s">
        <v>10382</v>
      </c>
      <c r="I7525" s="2" t="s">
        <v>15</v>
      </c>
      <c r="J7525" s="2" t="s">
        <v>10367</v>
      </c>
      <c r="K7525" s="2" t="s">
        <v>10381</v>
      </c>
      <c r="L7525" s="2">
        <f t="shared" si="117"/>
        <v>150</v>
      </c>
    </row>
    <row r="7526" spans="1:12" ht="25" customHeight="1">
      <c r="A7526" s="2" t="s">
        <v>12</v>
      </c>
      <c r="B7526" s="2" t="str">
        <f>HYPERLINK("http://bbs.12365auto.com/postcontent.aspx?tID=194136","2020汽车可靠性排行榜出炉")</f>
        <v>2020汽车可靠性排行榜出炉</v>
      </c>
      <c r="C7526" s="2" t="s">
        <v>13</v>
      </c>
      <c r="D7526" s="2" t="s">
        <v>12</v>
      </c>
      <c r="E7526" s="2" t="s">
        <v>28</v>
      </c>
      <c r="F7526" s="2" t="str">
        <f>HYPERLINK("http://bbs.12365auto.com/postcontent.aspx?tID=194136","http://bbs.12365auto.com/postcontent.aspx?tID=194136")</f>
        <v>http://bbs.12365auto.com/postcontent.aspx?tID=194136</v>
      </c>
      <c r="G7526" s="2"/>
      <c r="H7526" s="2" t="s">
        <v>10383</v>
      </c>
      <c r="I7526" s="2" t="s">
        <v>15</v>
      </c>
      <c r="J7526" s="2" t="s">
        <v>10367</v>
      </c>
      <c r="K7526" s="2" t="s">
        <v>10384</v>
      </c>
      <c r="L7526" s="2">
        <f t="shared" si="117"/>
        <v>150</v>
      </c>
    </row>
    <row r="7527" spans="1:12" ht="25" customHeight="1">
      <c r="A7527" s="2" t="s">
        <v>12</v>
      </c>
      <c r="B7527" s="2" t="str">
        <f>HYPERLINK("http://m.12365auto.com/bbs/postcontent.aspx?tID=194136","2020汽车可靠性排行榜出炉")</f>
        <v>2020汽车可靠性排行榜出炉</v>
      </c>
      <c r="C7527" s="2" t="s">
        <v>13</v>
      </c>
      <c r="D7527" s="2" t="s">
        <v>23</v>
      </c>
      <c r="E7527" s="2"/>
      <c r="F7527" s="2" t="str">
        <f>HYPERLINK("http://m.12365auto.com/bbs/postcontent.aspx?tID=194136","http://m.12365auto.com/bbs/postcontent.aspx?tID=194136")</f>
        <v>http://m.12365auto.com/bbs/postcontent.aspx?tID=194136</v>
      </c>
      <c r="G7527" s="2"/>
      <c r="H7527" s="2" t="s">
        <v>10385</v>
      </c>
      <c r="I7527" s="2" t="s">
        <v>15</v>
      </c>
      <c r="J7527" s="2" t="s">
        <v>10367</v>
      </c>
      <c r="K7527" s="2" t="s">
        <v>10384</v>
      </c>
      <c r="L7527" s="2">
        <f t="shared" si="117"/>
        <v>150</v>
      </c>
    </row>
    <row r="7528" spans="1:12" ht="25" customHeight="1">
      <c r="A7528" s="2" t="s">
        <v>12</v>
      </c>
      <c r="B7528" s="2" t="str">
        <f>HYPERLINK("http://bbs.12365auto.com/postcontent.aspx?tId=194136","2020汽车可靠性排行榜出炉")</f>
        <v>2020汽车可靠性排行榜出炉</v>
      </c>
      <c r="C7528" s="2" t="s">
        <v>13</v>
      </c>
      <c r="D7528" s="2" t="s">
        <v>12</v>
      </c>
      <c r="E7528" s="2" t="s">
        <v>27</v>
      </c>
      <c r="F7528" s="2" t="str">
        <f>HYPERLINK("http://bbs.12365auto.com/postcontent.aspx?tId=194136","http://bbs.12365auto.com/postcontent.aspx?tId=194136")</f>
        <v>http://bbs.12365auto.com/postcontent.aspx?tId=194136</v>
      </c>
      <c r="G7528" s="2"/>
      <c r="H7528" s="2" t="s">
        <v>10385</v>
      </c>
      <c r="I7528" s="2" t="s">
        <v>15</v>
      </c>
      <c r="J7528" s="2" t="s">
        <v>10367</v>
      </c>
      <c r="K7528" s="2" t="s">
        <v>10384</v>
      </c>
      <c r="L7528" s="2">
        <f t="shared" si="117"/>
        <v>150</v>
      </c>
    </row>
    <row r="7529" spans="1:12" ht="25" customHeight="1">
      <c r="A7529" s="2" t="s">
        <v>12</v>
      </c>
      <c r="B7529" s="2" t="str">
        <f>HYPERLINK("http://bbs.12365auto.com/postcontent.aspx?tID=194134","女生眼中的“便宜车” 你知道吗？")</f>
        <v>女生眼中的“便宜车” 你知道吗？</v>
      </c>
      <c r="C7529" s="2" t="s">
        <v>13</v>
      </c>
      <c r="D7529" s="2" t="s">
        <v>12</v>
      </c>
      <c r="E7529" s="2" t="s">
        <v>28</v>
      </c>
      <c r="F7529" s="2" t="str">
        <f>HYPERLINK("http://bbs.12365auto.com/postcontent.aspx?tID=194134","http://bbs.12365auto.com/postcontent.aspx?tID=194134")</f>
        <v>http://bbs.12365auto.com/postcontent.aspx?tID=194134</v>
      </c>
      <c r="G7529" s="2"/>
      <c r="H7529" s="2" t="s">
        <v>10386</v>
      </c>
      <c r="I7529" s="2" t="s">
        <v>15</v>
      </c>
      <c r="J7529" s="2" t="s">
        <v>10367</v>
      </c>
      <c r="K7529" s="2" t="s">
        <v>10387</v>
      </c>
      <c r="L7529" s="2">
        <f t="shared" si="117"/>
        <v>150</v>
      </c>
    </row>
    <row r="7530" spans="1:12" ht="25" customHeight="1">
      <c r="A7530" s="2" t="s">
        <v>12</v>
      </c>
      <c r="B7530" s="2" t="str">
        <f>HYPERLINK("http://m.12365auto.com/bbs/postcontent.aspx?tID=194135","五菱口罩有卖了？1.8元一个？官方回应了！")</f>
        <v>五菱口罩有卖了？1.8元一个？官方回应了！</v>
      </c>
      <c r="C7530" s="2" t="s">
        <v>13</v>
      </c>
      <c r="D7530" s="2" t="s">
        <v>23</v>
      </c>
      <c r="E7530" s="2"/>
      <c r="F7530" s="2" t="str">
        <f>HYPERLINK("http://m.12365auto.com/bbs/postcontent.aspx?tID=194135","http://m.12365auto.com/bbs/postcontent.aspx?tID=194135")</f>
        <v>http://m.12365auto.com/bbs/postcontent.aspx?tID=194135</v>
      </c>
      <c r="G7530" s="2"/>
      <c r="H7530" s="2" t="s">
        <v>10388</v>
      </c>
      <c r="I7530" s="2" t="s">
        <v>15</v>
      </c>
      <c r="J7530" s="2" t="s">
        <v>10367</v>
      </c>
      <c r="K7530" s="2" t="s">
        <v>10387</v>
      </c>
      <c r="L7530" s="2">
        <f t="shared" si="117"/>
        <v>150</v>
      </c>
    </row>
    <row r="7531" spans="1:12" ht="25" customHeight="1">
      <c r="A7531" s="2" t="s">
        <v>12</v>
      </c>
      <c r="B7531" s="2" t="str">
        <f>HYPERLINK("http://m.12365auto.com/bbs/postcontent.aspx?tID=194134","女生眼中的“便宜车”")</f>
        <v>女生眼中的“便宜车”</v>
      </c>
      <c r="C7531" s="2" t="s">
        <v>13</v>
      </c>
      <c r="D7531" s="2" t="s">
        <v>23</v>
      </c>
      <c r="E7531" s="2"/>
      <c r="F7531" s="2" t="str">
        <f>HYPERLINK("http://m.12365auto.com/bbs/postcontent.aspx?tID=194134","http://m.12365auto.com/bbs/postcontent.aspx?tID=194134")</f>
        <v>http://m.12365auto.com/bbs/postcontent.aspx?tID=194134</v>
      </c>
      <c r="G7531" s="2"/>
      <c r="H7531" s="2" t="s">
        <v>10389</v>
      </c>
      <c r="I7531" s="2" t="s">
        <v>15</v>
      </c>
      <c r="J7531" s="2" t="s">
        <v>10367</v>
      </c>
      <c r="K7531" s="2" t="s">
        <v>10387</v>
      </c>
      <c r="L7531" s="2">
        <f t="shared" si="117"/>
        <v>150</v>
      </c>
    </row>
    <row r="7532" spans="1:12" ht="25" customHeight="1">
      <c r="A7532" s="2" t="s">
        <v>12</v>
      </c>
      <c r="B7532" s="2" t="str">
        <f>HYPERLINK("http://bbs.12365auto.com/postcontent.aspx?tId=194135","五菱口罩有卖了？1.8元一个？官方回应了！")</f>
        <v>五菱口罩有卖了？1.8元一个？官方回应了！</v>
      </c>
      <c r="C7532" s="2" t="s">
        <v>13</v>
      </c>
      <c r="D7532" s="2" t="s">
        <v>12</v>
      </c>
      <c r="E7532" s="2" t="s">
        <v>27</v>
      </c>
      <c r="F7532" s="2" t="str">
        <f>HYPERLINK("http://bbs.12365auto.com/postcontent.aspx?tId=194135","http://bbs.12365auto.com/postcontent.aspx?tId=194135")</f>
        <v>http://bbs.12365auto.com/postcontent.aspx?tId=194135</v>
      </c>
      <c r="G7532" s="2"/>
      <c r="H7532" s="2" t="s">
        <v>10388</v>
      </c>
      <c r="I7532" s="2" t="s">
        <v>15</v>
      </c>
      <c r="J7532" s="2" t="s">
        <v>10367</v>
      </c>
      <c r="K7532" s="2" t="s">
        <v>10387</v>
      </c>
      <c r="L7532" s="2">
        <f t="shared" si="117"/>
        <v>150</v>
      </c>
    </row>
    <row r="7533" spans="1:12" ht="25" customHeight="1">
      <c r="A7533" s="2" t="s">
        <v>12</v>
      </c>
      <c r="B7533" s="2" t="str">
        <f>HYPERLINK("http://bbs.12365auto.com/postcontent.aspx?tId=194134","女生眼中的“便宜车”")</f>
        <v>女生眼中的“便宜车”</v>
      </c>
      <c r="C7533" s="2" t="s">
        <v>13</v>
      </c>
      <c r="D7533" s="2" t="s">
        <v>12</v>
      </c>
      <c r="E7533" s="2" t="s">
        <v>27</v>
      </c>
      <c r="F7533" s="2" t="str">
        <f>HYPERLINK("http://bbs.12365auto.com/postcontent.aspx?tId=194134","http://bbs.12365auto.com/postcontent.aspx?tId=194134")</f>
        <v>http://bbs.12365auto.com/postcontent.aspx?tId=194134</v>
      </c>
      <c r="G7533" s="2"/>
      <c r="H7533" s="2" t="s">
        <v>10389</v>
      </c>
      <c r="I7533" s="2" t="s">
        <v>15</v>
      </c>
      <c r="J7533" s="2" t="s">
        <v>10367</v>
      </c>
      <c r="K7533" s="2" t="s">
        <v>10387</v>
      </c>
      <c r="L7533" s="2">
        <f t="shared" si="117"/>
        <v>150</v>
      </c>
    </row>
    <row r="7534" spans="1:12" ht="25" customHeight="1">
      <c r="A7534" s="2" t="s">
        <v>12</v>
      </c>
      <c r="B7534" s="2" t="str">
        <f>HYPERLINK("http://bbs.12365auto.com/postcontent.aspx?tID=194135","五菱口罩有卖了？1.8元一个？官方回应了")</f>
        <v>五菱口罩有卖了？1.8元一个？官方回应了</v>
      </c>
      <c r="C7534" s="2" t="s">
        <v>13</v>
      </c>
      <c r="D7534" s="2" t="s">
        <v>12</v>
      </c>
      <c r="E7534" s="2" t="s">
        <v>28</v>
      </c>
      <c r="F7534" s="2" t="str">
        <f>HYPERLINK("http://bbs.12365auto.com/postcontent.aspx?tID=194135","http://bbs.12365auto.com/postcontent.aspx?tID=194135")</f>
        <v>http://bbs.12365auto.com/postcontent.aspx?tID=194135</v>
      </c>
      <c r="G7534" s="2"/>
      <c r="H7534" s="2" t="s">
        <v>10390</v>
      </c>
      <c r="I7534" s="2" t="s">
        <v>15</v>
      </c>
      <c r="J7534" s="2" t="s">
        <v>10367</v>
      </c>
      <c r="K7534" s="2" t="s">
        <v>10387</v>
      </c>
      <c r="L7534" s="2">
        <f t="shared" si="117"/>
        <v>150</v>
      </c>
    </row>
    <row r="7535" spans="1:12" ht="25" customHeight="1">
      <c r="A7535" s="2" t="s">
        <v>12</v>
      </c>
      <c r="B7535" s="2" t="str">
        <f>HYPERLINK("http://m.12365auto.com/bbs/postcontent.aspx?tID=194132","2020最值得期待的四款国产SUV")</f>
        <v>2020最值得期待的四款国产SUV</v>
      </c>
      <c r="C7535" s="2" t="s">
        <v>13</v>
      </c>
      <c r="D7535" s="2" t="s">
        <v>23</v>
      </c>
      <c r="E7535" s="2"/>
      <c r="F7535" s="2" t="str">
        <f>HYPERLINK("http://m.12365auto.com/bbs/postcontent.aspx?tID=194132","http://m.12365auto.com/bbs/postcontent.aspx?tID=194132")</f>
        <v>http://m.12365auto.com/bbs/postcontent.aspx?tID=194132</v>
      </c>
      <c r="G7535" s="2"/>
      <c r="H7535" s="2" t="s">
        <v>10391</v>
      </c>
      <c r="I7535" s="2" t="s">
        <v>15</v>
      </c>
      <c r="J7535" s="2" t="s">
        <v>10367</v>
      </c>
      <c r="K7535" s="2" t="s">
        <v>10392</v>
      </c>
      <c r="L7535" s="2">
        <f t="shared" si="117"/>
        <v>150</v>
      </c>
    </row>
    <row r="7536" spans="1:12" ht="25" customHeight="1">
      <c r="A7536" s="2" t="s">
        <v>12</v>
      </c>
      <c r="B7536" s="2" t="str">
        <f>HYPERLINK("http://m.12365auto.com/bbs/postcontent.aspx?tID=194133","东瀛宝马这下真变“宝马”了")</f>
        <v>东瀛宝马这下真变“宝马”了</v>
      </c>
      <c r="C7536" s="2" t="s">
        <v>13</v>
      </c>
      <c r="D7536" s="2" t="s">
        <v>23</v>
      </c>
      <c r="E7536" s="2"/>
      <c r="F7536" s="2" t="str">
        <f>HYPERLINK("http://m.12365auto.com/bbs/postcontent.aspx?tID=194133","http://m.12365auto.com/bbs/postcontent.aspx?tID=194133")</f>
        <v>http://m.12365auto.com/bbs/postcontent.aspx?tID=194133</v>
      </c>
      <c r="G7536" s="2"/>
      <c r="H7536" s="2" t="s">
        <v>10393</v>
      </c>
      <c r="I7536" s="2" t="s">
        <v>15</v>
      </c>
      <c r="J7536" s="2" t="s">
        <v>10367</v>
      </c>
      <c r="K7536" s="2" t="s">
        <v>10392</v>
      </c>
      <c r="L7536" s="2">
        <f t="shared" si="117"/>
        <v>150</v>
      </c>
    </row>
    <row r="7537" spans="1:12" ht="25" customHeight="1">
      <c r="A7537" s="2" t="s">
        <v>12</v>
      </c>
      <c r="B7537" s="2" t="str">
        <f>HYPERLINK("http://bbs.12365auto.com/postcontent.aspx?tID=194133","东瀛宝马这下真变“宝马”了​")</f>
        <v>东瀛宝马这下真变“宝马”了​</v>
      </c>
      <c r="C7537" s="2" t="s">
        <v>13</v>
      </c>
      <c r="D7537" s="2" t="s">
        <v>12</v>
      </c>
      <c r="E7537" s="2" t="s">
        <v>28</v>
      </c>
      <c r="F7537" s="2" t="str">
        <f>HYPERLINK("http://bbs.12365auto.com/postcontent.aspx?tID=194133","http://bbs.12365auto.com/postcontent.aspx?tID=194133")</f>
        <v>http://bbs.12365auto.com/postcontent.aspx?tID=194133</v>
      </c>
      <c r="G7537" s="2"/>
      <c r="H7537" s="2" t="s">
        <v>10394</v>
      </c>
      <c r="I7537" s="2" t="s">
        <v>15</v>
      </c>
      <c r="J7537" s="2" t="s">
        <v>10367</v>
      </c>
      <c r="K7537" s="2" t="s">
        <v>10392</v>
      </c>
      <c r="L7537" s="2">
        <f t="shared" si="117"/>
        <v>150</v>
      </c>
    </row>
    <row r="7538" spans="1:12" ht="25" customHeight="1">
      <c r="A7538" s="2" t="s">
        <v>12</v>
      </c>
      <c r="B7538" s="2" t="str">
        <f>HYPERLINK("http://bbs.12365auto.com/postcontent.aspx?tId=194132","2020最值得期待的四款国产SUV")</f>
        <v>2020最值得期待的四款国产SUV</v>
      </c>
      <c r="C7538" s="2" t="s">
        <v>13</v>
      </c>
      <c r="D7538" s="2" t="s">
        <v>12</v>
      </c>
      <c r="E7538" s="2" t="s">
        <v>27</v>
      </c>
      <c r="F7538" s="2" t="str">
        <f>HYPERLINK("http://bbs.12365auto.com/postcontent.aspx?tId=194132","http://bbs.12365auto.com/postcontent.aspx?tId=194132")</f>
        <v>http://bbs.12365auto.com/postcontent.aspx?tId=194132</v>
      </c>
      <c r="G7538" s="2"/>
      <c r="H7538" s="2" t="s">
        <v>10391</v>
      </c>
      <c r="I7538" s="2" t="s">
        <v>15</v>
      </c>
      <c r="J7538" s="2" t="s">
        <v>10367</v>
      </c>
      <c r="K7538" s="2" t="s">
        <v>10392</v>
      </c>
      <c r="L7538" s="2">
        <f t="shared" si="117"/>
        <v>150</v>
      </c>
    </row>
    <row r="7539" spans="1:12" ht="25" customHeight="1">
      <c r="A7539" s="2" t="s">
        <v>12</v>
      </c>
      <c r="B7539" s="2" t="str">
        <f>HYPERLINK("http://bbs.12365auto.com/postcontent.aspx?tId=194133","东瀛宝马这下真变“宝马”了​")</f>
        <v>东瀛宝马这下真变“宝马”了​</v>
      </c>
      <c r="C7539" s="2" t="s">
        <v>13</v>
      </c>
      <c r="D7539" s="2" t="s">
        <v>12</v>
      </c>
      <c r="E7539" s="2" t="s">
        <v>27</v>
      </c>
      <c r="F7539" s="2" t="str">
        <f>HYPERLINK("http://bbs.12365auto.com/postcontent.aspx?tId=194133","http://bbs.12365auto.com/postcontent.aspx?tId=194133")</f>
        <v>http://bbs.12365auto.com/postcontent.aspx?tId=194133</v>
      </c>
      <c r="G7539" s="2"/>
      <c r="H7539" s="2" t="s">
        <v>10393</v>
      </c>
      <c r="I7539" s="2" t="s">
        <v>15</v>
      </c>
      <c r="J7539" s="2" t="s">
        <v>10367</v>
      </c>
      <c r="K7539" s="2" t="s">
        <v>10392</v>
      </c>
      <c r="L7539" s="2">
        <f t="shared" si="117"/>
        <v>150</v>
      </c>
    </row>
    <row r="7540" spans="1:12" ht="25" customHeight="1">
      <c r="A7540" s="2" t="s">
        <v>12</v>
      </c>
      <c r="B7540" s="2" t="str">
        <f>HYPERLINK("http://bbs.12365auto.com/postcontent.aspx?tID=194132","2020最值得期待的四款国产SUV")</f>
        <v>2020最值得期待的四款国产SUV</v>
      </c>
      <c r="C7540" s="2" t="s">
        <v>13</v>
      </c>
      <c r="D7540" s="2" t="s">
        <v>12</v>
      </c>
      <c r="E7540" s="2" t="s">
        <v>28</v>
      </c>
      <c r="F7540" s="2" t="str">
        <f>HYPERLINK("http://bbs.12365auto.com/postcontent.aspx?tID=194132","http://bbs.12365auto.com/postcontent.aspx?tID=194132")</f>
        <v>http://bbs.12365auto.com/postcontent.aspx?tID=194132</v>
      </c>
      <c r="G7540" s="2"/>
      <c r="H7540" s="2" t="s">
        <v>10395</v>
      </c>
      <c r="I7540" s="2" t="s">
        <v>15</v>
      </c>
      <c r="J7540" s="2" t="s">
        <v>10367</v>
      </c>
      <c r="K7540" s="2" t="s">
        <v>10392</v>
      </c>
      <c r="L7540" s="2">
        <f t="shared" si="117"/>
        <v>150</v>
      </c>
    </row>
    <row r="7541" spans="1:12" ht="25" customHeight="1">
      <c r="A7541" s="2" t="s">
        <v>12</v>
      </c>
      <c r="B7541" s="2" t="str">
        <f>HYPERLINK("http://www.12365auto.com/zlts/20200214/447186.shtml","上汽大众朗逸车身漏水 希望厂家解决")</f>
        <v>上汽大众朗逸车身漏水 希望厂家解决</v>
      </c>
      <c r="C7541" s="2" t="s">
        <v>13</v>
      </c>
      <c r="D7541" s="2" t="s">
        <v>12</v>
      </c>
      <c r="E7541" s="2" t="s">
        <v>17</v>
      </c>
      <c r="F7541" s="2" t="str">
        <f>HYPERLINK("http://www.12365auto.com/zlts/20200214/447186.shtml","http://www.12365auto.com/zlts/20200214/447186.shtml")</f>
        <v>http://www.12365auto.com/zlts/20200214/447186.shtml</v>
      </c>
      <c r="G7541" s="2"/>
      <c r="H7541" s="2" t="s">
        <v>10396</v>
      </c>
      <c r="I7541" s="2" t="s">
        <v>15</v>
      </c>
      <c r="J7541" s="2" t="s">
        <v>12</v>
      </c>
      <c r="K7541" s="2" t="s">
        <v>10397</v>
      </c>
      <c r="L7541" s="2">
        <f t="shared" si="117"/>
        <v>150</v>
      </c>
    </row>
    <row r="7542" spans="1:12" ht="25" customHeight="1">
      <c r="A7542" s="2" t="s">
        <v>12</v>
      </c>
      <c r="B7542" s="2" t="str">
        <f>HYPERLINK("http://m.12365auto.com/news/20200214/418585.shtml","特斯拉2019年在华营收同比增长70%")</f>
        <v>特斯拉2019年在华营收同比增长70%</v>
      </c>
      <c r="C7542" s="2" t="s">
        <v>13</v>
      </c>
      <c r="D7542" s="2" t="s">
        <v>12</v>
      </c>
      <c r="E7542" s="2"/>
      <c r="F7542" s="2" t="str">
        <f>HYPERLINK("http://m.12365auto.com/news/20200214/418585.shtml","http://m.12365auto.com/news/20200214/418585.shtml")</f>
        <v>http://m.12365auto.com/news/20200214/418585.shtml</v>
      </c>
      <c r="G7542" s="2"/>
      <c r="H7542" s="2" t="s">
        <v>10398</v>
      </c>
      <c r="I7542" s="2" t="s">
        <v>19</v>
      </c>
      <c r="J7542" s="2" t="s">
        <v>2527</v>
      </c>
      <c r="K7542" s="2" t="s">
        <v>10397</v>
      </c>
      <c r="L7542" s="2">
        <f t="shared" si="117"/>
        <v>150</v>
      </c>
    </row>
    <row r="7543" spans="1:12" ht="25" customHeight="1">
      <c r="A7543" s="2" t="s">
        <v>12</v>
      </c>
      <c r="B7543" s="2" t="str">
        <f>HYPERLINK("http://www.12365auto.com/news/20200214/418585.shtml","特斯拉2019年在华营收同比增长70%")</f>
        <v>特斯拉2019年在华营收同比增长70%</v>
      </c>
      <c r="C7543" s="2" t="s">
        <v>13</v>
      </c>
      <c r="D7543" s="2" t="s">
        <v>12</v>
      </c>
      <c r="E7543" s="2" t="s">
        <v>276</v>
      </c>
      <c r="F7543" s="2" t="str">
        <f>HYPERLINK("http://www.12365auto.com/news/20200214/418585.shtml","http://www.12365auto.com/news/20200214/418585.shtml")</f>
        <v>http://www.12365auto.com/news/20200214/418585.shtml</v>
      </c>
      <c r="G7543" s="2"/>
      <c r="H7543" s="2" t="s">
        <v>10399</v>
      </c>
      <c r="I7543" s="2" t="s">
        <v>15</v>
      </c>
      <c r="J7543" s="2" t="s">
        <v>12</v>
      </c>
      <c r="K7543" s="2" t="s">
        <v>10397</v>
      </c>
      <c r="L7543" s="2">
        <f t="shared" si="117"/>
        <v>150</v>
      </c>
    </row>
    <row r="7544" spans="1:12" ht="25" customHeight="1">
      <c r="A7544" s="2" t="s">
        <v>12</v>
      </c>
      <c r="B7544" s="2" t="str">
        <f>HYPERLINK("http://www.12365auto.com/news/20200214/418583.shtml","广汽新能源1月销量同比大增 年内推两款新车")</f>
        <v>广汽新能源1月销量同比大增 年内推两款新车</v>
      </c>
      <c r="C7544" s="2" t="s">
        <v>13</v>
      </c>
      <c r="D7544" s="2" t="s">
        <v>12</v>
      </c>
      <c r="E7544" s="2" t="s">
        <v>276</v>
      </c>
      <c r="F7544" s="2" t="str">
        <f>HYPERLINK("http://www.12365auto.com/news/20200214/418583.shtml","http://www.12365auto.com/news/20200214/418583.shtml")</f>
        <v>http://www.12365auto.com/news/20200214/418583.shtml</v>
      </c>
      <c r="G7544" s="2"/>
      <c r="H7544" s="2" t="s">
        <v>10400</v>
      </c>
      <c r="I7544" s="2" t="s">
        <v>15</v>
      </c>
      <c r="J7544" s="2" t="s">
        <v>12</v>
      </c>
      <c r="K7544" s="2" t="s">
        <v>10401</v>
      </c>
      <c r="L7544" s="2">
        <f t="shared" si="117"/>
        <v>150</v>
      </c>
    </row>
    <row r="7545" spans="1:12" ht="25" customHeight="1">
      <c r="A7545" s="2" t="s">
        <v>12</v>
      </c>
      <c r="B7545" s="2" t="str">
        <f>HYPERLINK("http://www.12365auto.com/xcdg/20200214/418584.shtml","起亚全新索兰托渲染图 将亮相/增太阳能充电")</f>
        <v>起亚全新索兰托渲染图 将亮相/增太阳能充电</v>
      </c>
      <c r="C7545" s="2" t="s">
        <v>13</v>
      </c>
      <c r="D7545" s="2" t="s">
        <v>12</v>
      </c>
      <c r="E7545" s="2" t="s">
        <v>216</v>
      </c>
      <c r="F7545" s="2" t="str">
        <f>HYPERLINK("http://www.12365auto.com/xcdg/20200214/418584.shtml","http://www.12365auto.com/xcdg/20200214/418584.shtml")</f>
        <v>http://www.12365auto.com/xcdg/20200214/418584.shtml</v>
      </c>
      <c r="G7545" s="2"/>
      <c r="H7545" s="2" t="s">
        <v>10402</v>
      </c>
      <c r="I7545" s="2" t="s">
        <v>15</v>
      </c>
      <c r="J7545" s="2" t="s">
        <v>12</v>
      </c>
      <c r="K7545" s="2" t="s">
        <v>10401</v>
      </c>
      <c r="L7545" s="2">
        <f t="shared" si="117"/>
        <v>150</v>
      </c>
    </row>
    <row r="7546" spans="1:12" ht="25" customHeight="1">
      <c r="A7546" s="2" t="s">
        <v>12</v>
      </c>
      <c r="B7546" s="2" t="str">
        <f>HYPERLINK("http://m.12365auto.com/xcdg/20200214/418584.shtml","起亚全新索兰托渲染图 将亮相/增太阳能充电")</f>
        <v>起亚全新索兰托渲染图 将亮相/增太阳能充电</v>
      </c>
      <c r="C7546" s="2" t="s">
        <v>13</v>
      </c>
      <c r="D7546" s="2" t="s">
        <v>12</v>
      </c>
      <c r="E7546" s="2"/>
      <c r="F7546" s="2" t="str">
        <f>HYPERLINK("http://m.12365auto.com/xcdg/20200214/418584.shtml","http://m.12365auto.com/xcdg/20200214/418584.shtml")</f>
        <v>http://m.12365auto.com/xcdg/20200214/418584.shtml</v>
      </c>
      <c r="G7546" s="2"/>
      <c r="H7546" s="2" t="s">
        <v>10403</v>
      </c>
      <c r="I7546" s="2" t="s">
        <v>19</v>
      </c>
      <c r="J7546" s="2" t="s">
        <v>220</v>
      </c>
      <c r="K7546" s="2" t="s">
        <v>10401</v>
      </c>
      <c r="L7546" s="2">
        <f t="shared" si="117"/>
        <v>150</v>
      </c>
    </row>
    <row r="7547" spans="1:12" ht="25" customHeight="1">
      <c r="A7547" s="2" t="s">
        <v>12</v>
      </c>
      <c r="B7547" s="2" t="str">
        <f>HYPERLINK("http://m.12365auto.com/news/20200214/418583.shtml","广汽新能源1月销量同比大增 年内推两款新车")</f>
        <v>广汽新能源1月销量同比大增 年内推两款新车</v>
      </c>
      <c r="C7547" s="2" t="s">
        <v>13</v>
      </c>
      <c r="D7547" s="2" t="s">
        <v>12</v>
      </c>
      <c r="E7547" s="2"/>
      <c r="F7547" s="2" t="str">
        <f>HYPERLINK("http://m.12365auto.com/news/20200214/418583.shtml","http://m.12365auto.com/news/20200214/418583.shtml")</f>
        <v>http://m.12365auto.com/news/20200214/418583.shtml</v>
      </c>
      <c r="G7547" s="2"/>
      <c r="H7547" s="2" t="s">
        <v>10404</v>
      </c>
      <c r="I7547" s="2" t="s">
        <v>19</v>
      </c>
      <c r="J7547" s="2" t="s">
        <v>257</v>
      </c>
      <c r="K7547" s="2" t="s">
        <v>10401</v>
      </c>
      <c r="L7547" s="2">
        <f t="shared" si="117"/>
        <v>150</v>
      </c>
    </row>
    <row r="7548" spans="1:12" ht="25" customHeight="1">
      <c r="A7548" s="2" t="s">
        <v>12</v>
      </c>
      <c r="B7548" s="2" t="str">
        <f>HYPERLINK("http://www.12365auto.com/xcdg/20200214/418582.shtml","雷克萨斯新款ES 300h 将亮相/增电子后视镜")</f>
        <v>雷克萨斯新款ES 300h 将亮相/增电子后视镜</v>
      </c>
      <c r="C7548" s="2" t="s">
        <v>13</v>
      </c>
      <c r="D7548" s="2" t="s">
        <v>12</v>
      </c>
      <c r="E7548" s="2" t="s">
        <v>216</v>
      </c>
      <c r="F7548" s="2" t="str">
        <f>HYPERLINK("http://www.12365auto.com/xcdg/20200214/418582.shtml","http://www.12365auto.com/xcdg/20200214/418582.shtml")</f>
        <v>http://www.12365auto.com/xcdg/20200214/418582.shtml</v>
      </c>
      <c r="G7548" s="2"/>
      <c r="H7548" s="2" t="s">
        <v>10405</v>
      </c>
      <c r="I7548" s="2" t="s">
        <v>15</v>
      </c>
      <c r="J7548" s="2" t="s">
        <v>12</v>
      </c>
      <c r="K7548" s="2" t="s">
        <v>10406</v>
      </c>
      <c r="L7548" s="2">
        <f t="shared" si="117"/>
        <v>150</v>
      </c>
    </row>
    <row r="7549" spans="1:12" ht="25" customHeight="1">
      <c r="A7549" s="2" t="s">
        <v>12</v>
      </c>
      <c r="B7549" s="2" t="str">
        <f>HYPERLINK("http://m.12365auto.com/xcdg/20200214/418582.shtml","雷克萨斯新款ES 300h 将亮相/增电子后视镜")</f>
        <v>雷克萨斯新款ES 300h 将亮相/增电子后视镜</v>
      </c>
      <c r="C7549" s="2" t="s">
        <v>13</v>
      </c>
      <c r="D7549" s="2" t="s">
        <v>12</v>
      </c>
      <c r="E7549" s="2"/>
      <c r="F7549" s="2" t="str">
        <f>HYPERLINK("http://m.12365auto.com/xcdg/20200214/418582.shtml","http://m.12365auto.com/xcdg/20200214/418582.shtml")</f>
        <v>http://m.12365auto.com/xcdg/20200214/418582.shtml</v>
      </c>
      <c r="G7549" s="2"/>
      <c r="H7549" s="2" t="s">
        <v>10407</v>
      </c>
      <c r="I7549" s="2" t="s">
        <v>19</v>
      </c>
      <c r="J7549" s="2" t="s">
        <v>220</v>
      </c>
      <c r="K7549" s="2" t="s">
        <v>10406</v>
      </c>
      <c r="L7549" s="2">
        <f t="shared" si="117"/>
        <v>150</v>
      </c>
    </row>
    <row r="7550" spans="1:12" ht="25" customHeight="1">
      <c r="A7550" s="2" t="s">
        <v>12</v>
      </c>
      <c r="B7550" s="2" t="str">
        <f>HYPERLINK("http://m.12365auto.com/bbs/postcontent.aspx?tID=194130","车里真的需要戴口罩吗 车里的空气质量玄学")</f>
        <v>车里真的需要戴口罩吗 车里的空气质量玄学</v>
      </c>
      <c r="C7550" s="2" t="s">
        <v>13</v>
      </c>
      <c r="D7550" s="2" t="s">
        <v>23</v>
      </c>
      <c r="E7550" s="2"/>
      <c r="F7550" s="2" t="str">
        <f>HYPERLINK("http://m.12365auto.com/bbs/postcontent.aspx?tID=194130","http://m.12365auto.com/bbs/postcontent.aspx?tID=194130")</f>
        <v>http://m.12365auto.com/bbs/postcontent.aspx?tID=194130</v>
      </c>
      <c r="G7550" s="2"/>
      <c r="H7550" s="2" t="s">
        <v>10408</v>
      </c>
      <c r="I7550" s="2" t="s">
        <v>15</v>
      </c>
      <c r="J7550" s="2" t="s">
        <v>795</v>
      </c>
      <c r="K7550" s="2" t="s">
        <v>10409</v>
      </c>
      <c r="L7550" s="2">
        <f t="shared" si="117"/>
        <v>150</v>
      </c>
    </row>
    <row r="7551" spans="1:12" ht="25" customHeight="1">
      <c r="A7551" s="2" t="s">
        <v>12</v>
      </c>
      <c r="B7551" s="2" t="str">
        <f>HYPERLINK("http://bbs.12365auto.com/postcontent.aspx?tId=194130","车里真的需要戴口罩吗 车里的空气质量玄学")</f>
        <v>车里真的需要戴口罩吗 车里的空气质量玄学</v>
      </c>
      <c r="C7551" s="2" t="s">
        <v>13</v>
      </c>
      <c r="D7551" s="2" t="s">
        <v>12</v>
      </c>
      <c r="E7551" s="2" t="s">
        <v>1397</v>
      </c>
      <c r="F7551" s="2" t="str">
        <f>HYPERLINK("http://bbs.12365auto.com/postcontent.aspx?tId=194130","http://bbs.12365auto.com/postcontent.aspx?tId=194130")</f>
        <v>http://bbs.12365auto.com/postcontent.aspx?tId=194130</v>
      </c>
      <c r="G7551" s="2"/>
      <c r="H7551" s="2" t="s">
        <v>10408</v>
      </c>
      <c r="I7551" s="2" t="s">
        <v>15</v>
      </c>
      <c r="J7551" s="2" t="s">
        <v>795</v>
      </c>
      <c r="K7551" s="2" t="s">
        <v>10409</v>
      </c>
      <c r="L7551" s="2">
        <f t="shared" si="117"/>
        <v>150</v>
      </c>
    </row>
    <row r="7552" spans="1:12" ht="25" customHeight="1">
      <c r="A7552" s="2" t="s">
        <v>12</v>
      </c>
      <c r="B7552" s="2" t="str">
        <f>HYPERLINK("http://bbs.12365auto.com/postcontent.aspx?tID=194130","车里真的需要戴口罩吗 车里的空气质量玄学")</f>
        <v>车里真的需要戴口罩吗 车里的空气质量玄学</v>
      </c>
      <c r="C7552" s="2" t="s">
        <v>13</v>
      </c>
      <c r="D7552" s="2" t="s">
        <v>12</v>
      </c>
      <c r="E7552" s="2" t="s">
        <v>1393</v>
      </c>
      <c r="F7552" s="2" t="str">
        <f>HYPERLINK("http://bbs.12365auto.com/postcontent.aspx?tID=194130","http://bbs.12365auto.com/postcontent.aspx?tID=194130")</f>
        <v>http://bbs.12365auto.com/postcontent.aspx?tID=194130</v>
      </c>
      <c r="G7552" s="2"/>
      <c r="H7552" s="2" t="s">
        <v>10410</v>
      </c>
      <c r="I7552" s="2" t="s">
        <v>15</v>
      </c>
      <c r="J7552" s="2" t="s">
        <v>795</v>
      </c>
      <c r="K7552" s="2" t="s">
        <v>10409</v>
      </c>
      <c r="L7552" s="2">
        <f t="shared" si="117"/>
        <v>150</v>
      </c>
    </row>
    <row r="7553" spans="1:12" ht="25" customHeight="1">
      <c r="A7553" s="2" t="s">
        <v>12</v>
      </c>
      <c r="B7553" s="2" t="str">
        <f>HYPERLINK("http://bbs.12365auto.com/postcontent.aspx?tId=194128","你的车有没有减配 就看这里会不会生锈了")</f>
        <v>你的车有没有减配 就看这里会不会生锈了</v>
      </c>
      <c r="C7553" s="2" t="s">
        <v>13</v>
      </c>
      <c r="D7553" s="2" t="s">
        <v>12</v>
      </c>
      <c r="E7553" s="2" t="s">
        <v>1397</v>
      </c>
      <c r="F7553" s="2" t="str">
        <f>HYPERLINK("http://bbs.12365auto.com/postcontent.aspx?tId=194128","http://bbs.12365auto.com/postcontent.aspx?tId=194128")</f>
        <v>http://bbs.12365auto.com/postcontent.aspx?tId=194128</v>
      </c>
      <c r="G7553" s="2"/>
      <c r="H7553" s="2" t="s">
        <v>10411</v>
      </c>
      <c r="I7553" s="2" t="s">
        <v>15</v>
      </c>
      <c r="J7553" s="2" t="s">
        <v>795</v>
      </c>
      <c r="K7553" s="2" t="s">
        <v>10412</v>
      </c>
      <c r="L7553" s="2">
        <f t="shared" si="117"/>
        <v>150</v>
      </c>
    </row>
    <row r="7554" spans="1:12" ht="25" customHeight="1">
      <c r="A7554" s="2" t="s">
        <v>12</v>
      </c>
      <c r="B7554" s="2" t="str">
        <f>HYPERLINK("http://bbs.12365auto.com/postcontent.aspx?tID=194128","你的车有没有减配 就看这里会不会生锈了")</f>
        <v>你的车有没有减配 就看这里会不会生锈了</v>
      </c>
      <c r="C7554" s="2" t="s">
        <v>13</v>
      </c>
      <c r="D7554" s="2" t="s">
        <v>12</v>
      </c>
      <c r="E7554" s="2" t="s">
        <v>1393</v>
      </c>
      <c r="F7554" s="2" t="str">
        <f>HYPERLINK("http://bbs.12365auto.com/postcontent.aspx?tID=194128","http://bbs.12365auto.com/postcontent.aspx?tID=194128")</f>
        <v>http://bbs.12365auto.com/postcontent.aspx?tID=194128</v>
      </c>
      <c r="G7554" s="2"/>
      <c r="H7554" s="2" t="s">
        <v>10413</v>
      </c>
      <c r="I7554" s="2" t="s">
        <v>15</v>
      </c>
      <c r="J7554" s="2" t="s">
        <v>795</v>
      </c>
      <c r="K7554" s="2" t="s">
        <v>10412</v>
      </c>
      <c r="L7554" s="2">
        <f t="shared" si="117"/>
        <v>150</v>
      </c>
    </row>
    <row r="7555" spans="1:12" ht="25" customHeight="1">
      <c r="A7555" s="2" t="s">
        <v>12</v>
      </c>
      <c r="B7555" s="2" t="str">
        <f>HYPERLINK("http://m.12365auto.com/bbs/postcontent.aspx?tID=194129","同样都是大屏 看看全液晶仪表盘都是怎样的设计")</f>
        <v>同样都是大屏 看看全液晶仪表盘都是怎样的设计</v>
      </c>
      <c r="C7555" s="2" t="s">
        <v>13</v>
      </c>
      <c r="D7555" s="2" t="s">
        <v>23</v>
      </c>
      <c r="E7555" s="2"/>
      <c r="F7555" s="2" t="str">
        <f>HYPERLINK("http://m.12365auto.com/bbs/postcontent.aspx?tID=194129","http://m.12365auto.com/bbs/postcontent.aspx?tID=194129")</f>
        <v>http://m.12365auto.com/bbs/postcontent.aspx?tID=194129</v>
      </c>
      <c r="G7555" s="2"/>
      <c r="H7555" s="2" t="s">
        <v>10414</v>
      </c>
      <c r="I7555" s="2" t="s">
        <v>15</v>
      </c>
      <c r="J7555" s="2" t="s">
        <v>795</v>
      </c>
      <c r="K7555" s="2" t="s">
        <v>10412</v>
      </c>
      <c r="L7555" s="2">
        <f t="shared" ref="L7555:L7618" si="118">LEN(H7555)</f>
        <v>150</v>
      </c>
    </row>
    <row r="7556" spans="1:12" ht="25" customHeight="1">
      <c r="A7556" s="2" t="s">
        <v>12</v>
      </c>
      <c r="B7556" s="2" t="str">
        <f>HYPERLINK("http://m.12365auto.com/bbs/postcontent.aspx?tID=194128","你的车有没有减配 就看这里会不会生锈了")</f>
        <v>你的车有没有减配 就看这里会不会生锈了</v>
      </c>
      <c r="C7556" s="2" t="s">
        <v>13</v>
      </c>
      <c r="D7556" s="2" t="s">
        <v>23</v>
      </c>
      <c r="E7556" s="2"/>
      <c r="F7556" s="2" t="str">
        <f>HYPERLINK("http://m.12365auto.com/bbs/postcontent.aspx?tID=194128","http://m.12365auto.com/bbs/postcontent.aspx?tID=194128")</f>
        <v>http://m.12365auto.com/bbs/postcontent.aspx?tID=194128</v>
      </c>
      <c r="G7556" s="2"/>
      <c r="H7556" s="2" t="s">
        <v>10411</v>
      </c>
      <c r="I7556" s="2" t="s">
        <v>15</v>
      </c>
      <c r="J7556" s="2" t="s">
        <v>795</v>
      </c>
      <c r="K7556" s="2" t="s">
        <v>10412</v>
      </c>
      <c r="L7556" s="2">
        <f t="shared" si="118"/>
        <v>150</v>
      </c>
    </row>
    <row r="7557" spans="1:12" ht="25" customHeight="1">
      <c r="A7557" s="2" t="s">
        <v>12</v>
      </c>
      <c r="B7557" s="2" t="str">
        <f>HYPERLINK("http://bbs.12365auto.com/postcontent.aspx?tId=194129","同样都是大屏 看看全液晶仪表盘都是怎样的设计")</f>
        <v>同样都是大屏 看看全液晶仪表盘都是怎样的设计</v>
      </c>
      <c r="C7557" s="2" t="s">
        <v>13</v>
      </c>
      <c r="D7557" s="2" t="s">
        <v>12</v>
      </c>
      <c r="E7557" s="2" t="s">
        <v>1397</v>
      </c>
      <c r="F7557" s="2" t="str">
        <f>HYPERLINK("http://bbs.12365auto.com/postcontent.aspx?tId=194129","http://bbs.12365auto.com/postcontent.aspx?tId=194129")</f>
        <v>http://bbs.12365auto.com/postcontent.aspx?tId=194129</v>
      </c>
      <c r="G7557" s="2"/>
      <c r="H7557" s="2" t="s">
        <v>10414</v>
      </c>
      <c r="I7557" s="2" t="s">
        <v>15</v>
      </c>
      <c r="J7557" s="2" t="s">
        <v>795</v>
      </c>
      <c r="K7557" s="2" t="s">
        <v>10412</v>
      </c>
      <c r="L7557" s="2">
        <f t="shared" si="118"/>
        <v>150</v>
      </c>
    </row>
    <row r="7558" spans="1:12" ht="25" customHeight="1">
      <c r="A7558" s="2" t="s">
        <v>12</v>
      </c>
      <c r="B7558" s="2" t="str">
        <f>HYPERLINK("http://bbs.12365auto.com/postcontent.aspx?tID=194129","同样都是大屏 看看全液晶仪表盘都是怎样的设计")</f>
        <v>同样都是大屏 看看全液晶仪表盘都是怎样的设计</v>
      </c>
      <c r="C7558" s="2" t="s">
        <v>13</v>
      </c>
      <c r="D7558" s="2" t="s">
        <v>12</v>
      </c>
      <c r="E7558" s="2" t="s">
        <v>1393</v>
      </c>
      <c r="F7558" s="2" t="str">
        <f>HYPERLINK("http://bbs.12365auto.com/postcontent.aspx?tID=194129","http://bbs.12365auto.com/postcontent.aspx?tID=194129")</f>
        <v>http://bbs.12365auto.com/postcontent.aspx?tID=194129</v>
      </c>
      <c r="G7558" s="2"/>
      <c r="H7558" s="2" t="s">
        <v>10415</v>
      </c>
      <c r="I7558" s="2" t="s">
        <v>15</v>
      </c>
      <c r="J7558" s="2" t="s">
        <v>795</v>
      </c>
      <c r="K7558" s="2" t="s">
        <v>10412</v>
      </c>
      <c r="L7558" s="2">
        <f t="shared" si="118"/>
        <v>150</v>
      </c>
    </row>
    <row r="7559" spans="1:12" ht="25" customHeight="1">
      <c r="A7559" s="2" t="s">
        <v>12</v>
      </c>
      <c r="B7559" s="2" t="str">
        <f>HYPERLINK("http://bbs.12365auto.com/postcontent.aspx?tId=194127","车停半个月电瓶就没电 怎么预防")</f>
        <v>车停半个月电瓶就没电 怎么预防</v>
      </c>
      <c r="C7559" s="2" t="s">
        <v>13</v>
      </c>
      <c r="D7559" s="2" t="s">
        <v>12</v>
      </c>
      <c r="E7559" s="2" t="s">
        <v>1397</v>
      </c>
      <c r="F7559" s="2" t="str">
        <f>HYPERLINK("http://bbs.12365auto.com/postcontent.aspx?tId=194127","http://bbs.12365auto.com/postcontent.aspx?tId=194127")</f>
        <v>http://bbs.12365auto.com/postcontent.aspx?tId=194127</v>
      </c>
      <c r="G7559" s="2"/>
      <c r="H7559" s="2" t="s">
        <v>10416</v>
      </c>
      <c r="I7559" s="2" t="s">
        <v>15</v>
      </c>
      <c r="J7559" s="2" t="s">
        <v>795</v>
      </c>
      <c r="K7559" s="2" t="s">
        <v>10417</v>
      </c>
      <c r="L7559" s="2">
        <f t="shared" si="118"/>
        <v>150</v>
      </c>
    </row>
    <row r="7560" spans="1:12" ht="25" customHeight="1">
      <c r="A7560" s="2" t="s">
        <v>12</v>
      </c>
      <c r="B7560" s="2" t="str">
        <f>HYPERLINK("http://bbs.12365auto.com/postcontent.aspx?tId=194126","积碳到底怎么洗才干净")</f>
        <v>积碳到底怎么洗才干净</v>
      </c>
      <c r="C7560" s="2" t="s">
        <v>13</v>
      </c>
      <c r="D7560" s="2" t="s">
        <v>12</v>
      </c>
      <c r="E7560" s="2" t="s">
        <v>1397</v>
      </c>
      <c r="F7560" s="2" t="str">
        <f>HYPERLINK("http://bbs.12365auto.com/postcontent.aspx?tId=194126","http://bbs.12365auto.com/postcontent.aspx?tId=194126")</f>
        <v>http://bbs.12365auto.com/postcontent.aspx?tId=194126</v>
      </c>
      <c r="G7560" s="2"/>
      <c r="H7560" s="2" t="s">
        <v>10418</v>
      </c>
      <c r="I7560" s="2" t="s">
        <v>15</v>
      </c>
      <c r="J7560" s="2" t="s">
        <v>795</v>
      </c>
      <c r="K7560" s="2" t="s">
        <v>10417</v>
      </c>
      <c r="L7560" s="2">
        <f t="shared" si="118"/>
        <v>150</v>
      </c>
    </row>
    <row r="7561" spans="1:12" ht="25" customHeight="1">
      <c r="A7561" s="2" t="s">
        <v>12</v>
      </c>
      <c r="B7561" s="2" t="str">
        <f>HYPERLINK("http://bbs.12365auto.com/postcontent.aspx?tId=194125","轮胎结实不结实关键看哪里")</f>
        <v>轮胎结实不结实关键看哪里</v>
      </c>
      <c r="C7561" s="2" t="s">
        <v>13</v>
      </c>
      <c r="D7561" s="2" t="s">
        <v>12</v>
      </c>
      <c r="E7561" s="2" t="s">
        <v>1397</v>
      </c>
      <c r="F7561" s="2" t="str">
        <f>HYPERLINK("http://bbs.12365auto.com/postcontent.aspx?tId=194125","http://bbs.12365auto.com/postcontent.aspx?tId=194125")</f>
        <v>http://bbs.12365auto.com/postcontent.aspx?tId=194125</v>
      </c>
      <c r="G7561" s="2"/>
      <c r="H7561" s="2" t="s">
        <v>10419</v>
      </c>
      <c r="I7561" s="2" t="s">
        <v>15</v>
      </c>
      <c r="J7561" s="2" t="s">
        <v>795</v>
      </c>
      <c r="K7561" s="2" t="s">
        <v>10417</v>
      </c>
      <c r="L7561" s="2">
        <f t="shared" si="118"/>
        <v>150</v>
      </c>
    </row>
    <row r="7562" spans="1:12" ht="25" customHeight="1">
      <c r="A7562" s="2" t="s">
        <v>12</v>
      </c>
      <c r="B7562" s="2" t="str">
        <f>HYPERLINK("http://m.12365auto.com/bbs/postcontent.aspx?tID=194126","积碳到底怎么洗才干净")</f>
        <v>积碳到底怎么洗才干净</v>
      </c>
      <c r="C7562" s="2" t="s">
        <v>13</v>
      </c>
      <c r="D7562" s="2" t="s">
        <v>23</v>
      </c>
      <c r="E7562" s="2"/>
      <c r="F7562" s="2" t="str">
        <f>HYPERLINK("http://m.12365auto.com/bbs/postcontent.aspx?tID=194126","http://m.12365auto.com/bbs/postcontent.aspx?tID=194126")</f>
        <v>http://m.12365auto.com/bbs/postcontent.aspx?tID=194126</v>
      </c>
      <c r="G7562" s="2"/>
      <c r="H7562" s="2" t="s">
        <v>10418</v>
      </c>
      <c r="I7562" s="2" t="s">
        <v>15</v>
      </c>
      <c r="J7562" s="2" t="s">
        <v>795</v>
      </c>
      <c r="K7562" s="2" t="s">
        <v>10417</v>
      </c>
      <c r="L7562" s="2">
        <f t="shared" si="118"/>
        <v>150</v>
      </c>
    </row>
    <row r="7563" spans="1:12" ht="25" customHeight="1">
      <c r="A7563" s="2" t="s">
        <v>12</v>
      </c>
      <c r="B7563" s="2" t="str">
        <f>HYPERLINK("http://m.12365auto.com/bbs/postcontent.aspx?tID=194127","车停半个月电瓶就没电 怎么预防")</f>
        <v>车停半个月电瓶就没电 怎么预防</v>
      </c>
      <c r="C7563" s="2" t="s">
        <v>13</v>
      </c>
      <c r="D7563" s="2" t="s">
        <v>23</v>
      </c>
      <c r="E7563" s="2"/>
      <c r="F7563" s="2" t="str">
        <f>HYPERLINK("http://m.12365auto.com/bbs/postcontent.aspx?tID=194127","http://m.12365auto.com/bbs/postcontent.aspx?tID=194127")</f>
        <v>http://m.12365auto.com/bbs/postcontent.aspx?tID=194127</v>
      </c>
      <c r="G7563" s="2"/>
      <c r="H7563" s="2" t="s">
        <v>10416</v>
      </c>
      <c r="I7563" s="2" t="s">
        <v>15</v>
      </c>
      <c r="J7563" s="2" t="s">
        <v>795</v>
      </c>
      <c r="K7563" s="2" t="s">
        <v>10417</v>
      </c>
      <c r="L7563" s="2">
        <f t="shared" si="118"/>
        <v>150</v>
      </c>
    </row>
    <row r="7564" spans="1:12" ht="25" customHeight="1">
      <c r="A7564" s="2" t="s">
        <v>12</v>
      </c>
      <c r="B7564" s="2" t="str">
        <f>HYPERLINK("http://m.12365auto.com/bbs/postcontent.aspx?tID=194125","轮胎结实不结实关键看哪里")</f>
        <v>轮胎结实不结实关键看哪里</v>
      </c>
      <c r="C7564" s="2" t="s">
        <v>13</v>
      </c>
      <c r="D7564" s="2" t="s">
        <v>23</v>
      </c>
      <c r="E7564" s="2"/>
      <c r="F7564" s="2" t="str">
        <f>HYPERLINK("http://m.12365auto.com/bbs/postcontent.aspx?tID=194125","http://m.12365auto.com/bbs/postcontent.aspx?tID=194125")</f>
        <v>http://m.12365auto.com/bbs/postcontent.aspx?tID=194125</v>
      </c>
      <c r="G7564" s="2"/>
      <c r="H7564" s="2" t="s">
        <v>10419</v>
      </c>
      <c r="I7564" s="2" t="s">
        <v>15</v>
      </c>
      <c r="J7564" s="2" t="s">
        <v>795</v>
      </c>
      <c r="K7564" s="2" t="s">
        <v>10417</v>
      </c>
      <c r="L7564" s="2">
        <f t="shared" si="118"/>
        <v>150</v>
      </c>
    </row>
    <row r="7565" spans="1:12" ht="25" customHeight="1">
      <c r="A7565" s="2" t="s">
        <v>12</v>
      </c>
      <c r="B7565" s="2" t="str">
        <f>HYPERLINK("http://bbs.12365auto.com/postcontent.aspx?tID=194125","轮胎结实不结实关键看哪里")</f>
        <v>轮胎结实不结实关键看哪里</v>
      </c>
      <c r="C7565" s="2" t="s">
        <v>13</v>
      </c>
      <c r="D7565" s="2" t="s">
        <v>12</v>
      </c>
      <c r="E7565" s="2" t="s">
        <v>1393</v>
      </c>
      <c r="F7565" s="2" t="str">
        <f>HYPERLINK("http://bbs.12365auto.com/postcontent.aspx?tID=194125","http://bbs.12365auto.com/postcontent.aspx?tID=194125")</f>
        <v>http://bbs.12365auto.com/postcontent.aspx?tID=194125</v>
      </c>
      <c r="G7565" s="2"/>
      <c r="H7565" s="2" t="s">
        <v>10420</v>
      </c>
      <c r="I7565" s="2" t="s">
        <v>15</v>
      </c>
      <c r="J7565" s="2" t="s">
        <v>795</v>
      </c>
      <c r="K7565" s="2" t="s">
        <v>10417</v>
      </c>
      <c r="L7565" s="2">
        <f t="shared" si="118"/>
        <v>150</v>
      </c>
    </row>
    <row r="7566" spans="1:12" ht="25" customHeight="1">
      <c r="A7566" s="2" t="s">
        <v>12</v>
      </c>
      <c r="B7566" s="2" t="str">
        <f>HYPERLINK("http://bbs.12365auto.com/postcontent.aspx?tID=194127","车停半个月电瓶就没电 怎么预防")</f>
        <v>车停半个月电瓶就没电 怎么预防</v>
      </c>
      <c r="C7566" s="2" t="s">
        <v>13</v>
      </c>
      <c r="D7566" s="2" t="s">
        <v>12</v>
      </c>
      <c r="E7566" s="2" t="s">
        <v>1393</v>
      </c>
      <c r="F7566" s="2" t="str">
        <f>HYPERLINK("http://bbs.12365auto.com/postcontent.aspx?tID=194127","http://bbs.12365auto.com/postcontent.aspx?tID=194127")</f>
        <v>http://bbs.12365auto.com/postcontent.aspx?tID=194127</v>
      </c>
      <c r="G7566" s="2"/>
      <c r="H7566" s="2" t="s">
        <v>10421</v>
      </c>
      <c r="I7566" s="2" t="s">
        <v>15</v>
      </c>
      <c r="J7566" s="2" t="s">
        <v>795</v>
      </c>
      <c r="K7566" s="2" t="s">
        <v>10417</v>
      </c>
      <c r="L7566" s="2">
        <f t="shared" si="118"/>
        <v>150</v>
      </c>
    </row>
    <row r="7567" spans="1:12" ht="25" customHeight="1">
      <c r="A7567" s="2" t="s">
        <v>12</v>
      </c>
      <c r="B7567" s="2" t="str">
        <f>HYPERLINK("http://bbs.12365auto.com/postcontent.aspx?tID=194126","积碳到底怎么洗才干净")</f>
        <v>积碳到底怎么洗才干净</v>
      </c>
      <c r="C7567" s="2" t="s">
        <v>13</v>
      </c>
      <c r="D7567" s="2" t="s">
        <v>12</v>
      </c>
      <c r="E7567" s="2" t="s">
        <v>1393</v>
      </c>
      <c r="F7567" s="2" t="str">
        <f>HYPERLINK("http://bbs.12365auto.com/postcontent.aspx?tID=194126","http://bbs.12365auto.com/postcontent.aspx?tID=194126")</f>
        <v>http://bbs.12365auto.com/postcontent.aspx?tID=194126</v>
      </c>
      <c r="G7567" s="2"/>
      <c r="H7567" s="2" t="s">
        <v>10422</v>
      </c>
      <c r="I7567" s="2" t="s">
        <v>15</v>
      </c>
      <c r="J7567" s="2" t="s">
        <v>795</v>
      </c>
      <c r="K7567" s="2" t="s">
        <v>10417</v>
      </c>
      <c r="L7567" s="2">
        <f t="shared" si="118"/>
        <v>150</v>
      </c>
    </row>
    <row r="7568" spans="1:12" ht="25" customHeight="1">
      <c r="A7568" s="2" t="s">
        <v>12</v>
      </c>
      <c r="B7568" s="2" t="str">
        <f>HYPERLINK("http://bbs.12365auto.com/postcontent.aspx?tId=194124","纯电动车有哪些降低风阻的方法")</f>
        <v>纯电动车有哪些降低风阻的方法</v>
      </c>
      <c r="C7568" s="2" t="s">
        <v>13</v>
      </c>
      <c r="D7568" s="2" t="s">
        <v>12</v>
      </c>
      <c r="E7568" s="2" t="s">
        <v>1397</v>
      </c>
      <c r="F7568" s="2" t="str">
        <f>HYPERLINK("http://bbs.12365auto.com/postcontent.aspx?tId=194124","http://bbs.12365auto.com/postcontent.aspx?tId=194124")</f>
        <v>http://bbs.12365auto.com/postcontent.aspx?tId=194124</v>
      </c>
      <c r="G7568" s="2"/>
      <c r="H7568" s="2" t="s">
        <v>10423</v>
      </c>
      <c r="I7568" s="2" t="s">
        <v>15</v>
      </c>
      <c r="J7568" s="2" t="s">
        <v>795</v>
      </c>
      <c r="K7568" s="2" t="s">
        <v>10424</v>
      </c>
      <c r="L7568" s="2">
        <f t="shared" si="118"/>
        <v>150</v>
      </c>
    </row>
    <row r="7569" spans="1:12" ht="25" customHeight="1">
      <c r="A7569" s="2" t="s">
        <v>12</v>
      </c>
      <c r="B7569" s="2" t="str">
        <f>HYPERLINK("http://bbs.12365auto.com/postcontent.aspx?tID=194123","疫情期间不出门 纯电动车维护有哪些注意事项")</f>
        <v>疫情期间不出门 纯电动车维护有哪些注意事项</v>
      </c>
      <c r="C7569" s="2" t="s">
        <v>13</v>
      </c>
      <c r="D7569" s="2" t="s">
        <v>12</v>
      </c>
      <c r="E7569" s="2" t="s">
        <v>1393</v>
      </c>
      <c r="F7569" s="2" t="str">
        <f>HYPERLINK("http://bbs.12365auto.com/postcontent.aspx?tID=194123","http://bbs.12365auto.com/postcontent.aspx?tID=194123")</f>
        <v>http://bbs.12365auto.com/postcontent.aspx?tID=194123</v>
      </c>
      <c r="G7569" s="2"/>
      <c r="H7569" s="2" t="s">
        <v>10425</v>
      </c>
      <c r="I7569" s="2" t="s">
        <v>15</v>
      </c>
      <c r="J7569" s="2" t="s">
        <v>795</v>
      </c>
      <c r="K7569" s="2" t="s">
        <v>10424</v>
      </c>
      <c r="L7569" s="2">
        <f t="shared" si="118"/>
        <v>150</v>
      </c>
    </row>
    <row r="7570" spans="1:12" ht="25" customHeight="1">
      <c r="A7570" s="2" t="s">
        <v>12</v>
      </c>
      <c r="B7570" s="2" t="str">
        <f>HYPERLINK("http://bbs.12365auto.com/postcontent.aspx?tId=194123","疫情期间不出门 纯电动车维护有哪些注意事项")</f>
        <v>疫情期间不出门 纯电动车维护有哪些注意事项</v>
      </c>
      <c r="C7570" s="2" t="s">
        <v>13</v>
      </c>
      <c r="D7570" s="2" t="s">
        <v>12</v>
      </c>
      <c r="E7570" s="2" t="s">
        <v>1397</v>
      </c>
      <c r="F7570" s="2" t="str">
        <f>HYPERLINK("http://bbs.12365auto.com/postcontent.aspx?tId=194123","http://bbs.12365auto.com/postcontent.aspx?tId=194123")</f>
        <v>http://bbs.12365auto.com/postcontent.aspx?tId=194123</v>
      </c>
      <c r="G7570" s="2"/>
      <c r="H7570" s="2" t="s">
        <v>10426</v>
      </c>
      <c r="I7570" s="2" t="s">
        <v>15</v>
      </c>
      <c r="J7570" s="2" t="s">
        <v>795</v>
      </c>
      <c r="K7570" s="2" t="s">
        <v>10424</v>
      </c>
      <c r="L7570" s="2">
        <f t="shared" si="118"/>
        <v>150</v>
      </c>
    </row>
    <row r="7571" spans="1:12" ht="25" customHeight="1">
      <c r="A7571" s="2" t="s">
        <v>12</v>
      </c>
      <c r="B7571" s="2" t="str">
        <f>HYPERLINK("http://m.12365auto.com/bbs/postcontent.aspx?tID=194124","纯电动车有哪些降低风阻的方法")</f>
        <v>纯电动车有哪些降低风阻的方法</v>
      </c>
      <c r="C7571" s="2" t="s">
        <v>13</v>
      </c>
      <c r="D7571" s="2" t="s">
        <v>23</v>
      </c>
      <c r="E7571" s="2"/>
      <c r="F7571" s="2" t="str">
        <f>HYPERLINK("http://m.12365auto.com/bbs/postcontent.aspx?tID=194124","http://m.12365auto.com/bbs/postcontent.aspx?tID=194124")</f>
        <v>http://m.12365auto.com/bbs/postcontent.aspx?tID=194124</v>
      </c>
      <c r="G7571" s="2"/>
      <c r="H7571" s="2" t="s">
        <v>10423</v>
      </c>
      <c r="I7571" s="2" t="s">
        <v>15</v>
      </c>
      <c r="J7571" s="2" t="s">
        <v>795</v>
      </c>
      <c r="K7571" s="2" t="s">
        <v>10424</v>
      </c>
      <c r="L7571" s="2">
        <f t="shared" si="118"/>
        <v>150</v>
      </c>
    </row>
    <row r="7572" spans="1:12" ht="25" customHeight="1">
      <c r="A7572" s="2" t="s">
        <v>12</v>
      </c>
      <c r="B7572" s="2" t="str">
        <f>HYPERLINK("http://m.12365auto.com/bbs/postcontent.aspx?tID=194123","疫情期间不出门 纯电动车维护有哪些注意事项")</f>
        <v>疫情期间不出门 纯电动车维护有哪些注意事项</v>
      </c>
      <c r="C7572" s="2" t="s">
        <v>13</v>
      </c>
      <c r="D7572" s="2" t="s">
        <v>23</v>
      </c>
      <c r="E7572" s="2"/>
      <c r="F7572" s="2" t="str">
        <f>HYPERLINK("http://m.12365auto.com/bbs/postcontent.aspx?tID=194123","http://m.12365auto.com/bbs/postcontent.aspx?tID=194123")</f>
        <v>http://m.12365auto.com/bbs/postcontent.aspx?tID=194123</v>
      </c>
      <c r="G7572" s="2"/>
      <c r="H7572" s="2" t="s">
        <v>10426</v>
      </c>
      <c r="I7572" s="2" t="s">
        <v>15</v>
      </c>
      <c r="J7572" s="2" t="s">
        <v>795</v>
      </c>
      <c r="K7572" s="2" t="s">
        <v>10424</v>
      </c>
      <c r="L7572" s="2">
        <f t="shared" si="118"/>
        <v>150</v>
      </c>
    </row>
    <row r="7573" spans="1:12" ht="25" customHeight="1">
      <c r="A7573" s="2" t="s">
        <v>12</v>
      </c>
      <c r="B7573" s="2" t="str">
        <f>HYPERLINK("http://bbs.12365auto.com/postcontent.aspx?tID=194124","纯电动车有哪些降低风阻的方法")</f>
        <v>纯电动车有哪些降低风阻的方法</v>
      </c>
      <c r="C7573" s="2" t="s">
        <v>13</v>
      </c>
      <c r="D7573" s="2" t="s">
        <v>12</v>
      </c>
      <c r="E7573" s="2" t="s">
        <v>1393</v>
      </c>
      <c r="F7573" s="2" t="str">
        <f>HYPERLINK("http://bbs.12365auto.com/postcontent.aspx?tID=194124","http://bbs.12365auto.com/postcontent.aspx?tID=194124")</f>
        <v>http://bbs.12365auto.com/postcontent.aspx?tID=194124</v>
      </c>
      <c r="G7573" s="2"/>
      <c r="H7573" s="2" t="s">
        <v>10427</v>
      </c>
      <c r="I7573" s="2" t="s">
        <v>15</v>
      </c>
      <c r="J7573" s="2" t="s">
        <v>795</v>
      </c>
      <c r="K7573" s="2" t="s">
        <v>10424</v>
      </c>
      <c r="L7573" s="2">
        <f t="shared" si="118"/>
        <v>150</v>
      </c>
    </row>
    <row r="7574" spans="1:12" ht="25" customHeight="1">
      <c r="A7574" s="2" t="s">
        <v>12</v>
      </c>
      <c r="B7574" s="2" t="str">
        <f>HYPERLINK("http://bbs.12365auto.com/postcontent.aspx?tId=194122","将于银石赛道首航 红牛发布新赛季赛车")</f>
        <v>将于银石赛道首航 红牛发布新赛季赛车</v>
      </c>
      <c r="C7574" s="2" t="s">
        <v>13</v>
      </c>
      <c r="D7574" s="2" t="s">
        <v>12</v>
      </c>
      <c r="E7574" s="2" t="s">
        <v>1397</v>
      </c>
      <c r="F7574" s="2" t="str">
        <f>HYPERLINK("http://bbs.12365auto.com/postcontent.aspx?tId=194122","http://bbs.12365auto.com/postcontent.aspx?tId=194122")</f>
        <v>http://bbs.12365auto.com/postcontent.aspx?tId=194122</v>
      </c>
      <c r="G7574" s="2"/>
      <c r="H7574" s="2" t="s">
        <v>10428</v>
      </c>
      <c r="I7574" s="2" t="s">
        <v>15</v>
      </c>
      <c r="J7574" s="2" t="s">
        <v>795</v>
      </c>
      <c r="K7574" s="2" t="s">
        <v>10429</v>
      </c>
      <c r="L7574" s="2">
        <f t="shared" si="118"/>
        <v>150</v>
      </c>
    </row>
    <row r="7575" spans="1:12" ht="25" customHeight="1">
      <c r="A7575" s="2" t="s">
        <v>12</v>
      </c>
      <c r="B7575" s="2" t="str">
        <f>HYPERLINK("http://m.12365auto.com/bbs/postcontent.aspx?tID=194122","将于银石赛道首航 红牛发布新赛季赛车")</f>
        <v>将于银石赛道首航 红牛发布新赛季赛车</v>
      </c>
      <c r="C7575" s="2" t="s">
        <v>13</v>
      </c>
      <c r="D7575" s="2" t="s">
        <v>23</v>
      </c>
      <c r="E7575" s="2"/>
      <c r="F7575" s="2" t="str">
        <f>HYPERLINK("http://m.12365auto.com/bbs/postcontent.aspx?tID=194122","http://m.12365auto.com/bbs/postcontent.aspx?tID=194122")</f>
        <v>http://m.12365auto.com/bbs/postcontent.aspx?tID=194122</v>
      </c>
      <c r="G7575" s="2"/>
      <c r="H7575" s="2" t="s">
        <v>10428</v>
      </c>
      <c r="I7575" s="2" t="s">
        <v>15</v>
      </c>
      <c r="J7575" s="2" t="s">
        <v>795</v>
      </c>
      <c r="K7575" s="2" t="s">
        <v>10429</v>
      </c>
      <c r="L7575" s="2">
        <f t="shared" si="118"/>
        <v>150</v>
      </c>
    </row>
    <row r="7576" spans="1:12" ht="25" customHeight="1">
      <c r="A7576" s="2" t="s">
        <v>12</v>
      </c>
      <c r="B7576" s="2" t="str">
        <f>HYPERLINK("http://bbs.12365auto.com/postcontent.aspx?tID=194122","将于银石赛道首航 红牛发布新赛季赛车")</f>
        <v>将于银石赛道首航 红牛发布新赛季赛车</v>
      </c>
      <c r="C7576" s="2" t="s">
        <v>13</v>
      </c>
      <c r="D7576" s="2" t="s">
        <v>12</v>
      </c>
      <c r="E7576" s="2" t="s">
        <v>1393</v>
      </c>
      <c r="F7576" s="2" t="str">
        <f>HYPERLINK("http://bbs.12365auto.com/postcontent.aspx?tID=194122","http://bbs.12365auto.com/postcontent.aspx?tID=194122")</f>
        <v>http://bbs.12365auto.com/postcontent.aspx?tID=194122</v>
      </c>
      <c r="G7576" s="2"/>
      <c r="H7576" s="2" t="s">
        <v>10430</v>
      </c>
      <c r="I7576" s="2" t="s">
        <v>15</v>
      </c>
      <c r="J7576" s="2" t="s">
        <v>795</v>
      </c>
      <c r="K7576" s="2" t="s">
        <v>10429</v>
      </c>
      <c r="L7576" s="2">
        <f t="shared" si="118"/>
        <v>150</v>
      </c>
    </row>
    <row r="7577" spans="1:12" ht="25" customHeight="1">
      <c r="A7577" s="2" t="s">
        <v>12</v>
      </c>
      <c r="B7577" s="2" t="str">
        <f>HYPERLINK("http://bbs.12365auto.com/postcontent.aspx?tId=194121","到2025年 全球将迎来这些硬核纯电跑车")</f>
        <v>到2025年 全球将迎来这些硬核纯电跑车</v>
      </c>
      <c r="C7577" s="2" t="s">
        <v>13</v>
      </c>
      <c r="D7577" s="2" t="s">
        <v>12</v>
      </c>
      <c r="E7577" s="2" t="s">
        <v>1397</v>
      </c>
      <c r="F7577" s="2" t="str">
        <f>HYPERLINK("http://bbs.12365auto.com/postcontent.aspx?tId=194121","http://bbs.12365auto.com/postcontent.aspx?tId=194121")</f>
        <v>http://bbs.12365auto.com/postcontent.aspx?tId=194121</v>
      </c>
      <c r="G7577" s="2"/>
      <c r="H7577" s="2" t="s">
        <v>10431</v>
      </c>
      <c r="I7577" s="2" t="s">
        <v>15</v>
      </c>
      <c r="J7577" s="2" t="s">
        <v>795</v>
      </c>
      <c r="K7577" s="2" t="s">
        <v>10432</v>
      </c>
      <c r="L7577" s="2">
        <f t="shared" si="118"/>
        <v>150</v>
      </c>
    </row>
    <row r="7578" spans="1:12" ht="25" customHeight="1">
      <c r="A7578" s="2" t="s">
        <v>12</v>
      </c>
      <c r="B7578" s="2" t="str">
        <f>HYPERLINK("http://www.12365auto.com/zlts/20200214/447181.shtml","吉利帝豪GSe实际续航里程与宣传不符")</f>
        <v>吉利帝豪GSe实际续航里程与宣传不符</v>
      </c>
      <c r="C7578" s="2" t="s">
        <v>13</v>
      </c>
      <c r="D7578" s="2" t="s">
        <v>12</v>
      </c>
      <c r="E7578" s="2" t="s">
        <v>17</v>
      </c>
      <c r="F7578" s="2" t="str">
        <f>HYPERLINK("http://www.12365auto.com/zlts/20200214/447181.shtml","http://www.12365auto.com/zlts/20200214/447181.shtml")</f>
        <v>http://www.12365auto.com/zlts/20200214/447181.shtml</v>
      </c>
      <c r="G7578" s="2"/>
      <c r="H7578" s="2" t="s">
        <v>10433</v>
      </c>
      <c r="I7578" s="2" t="s">
        <v>19</v>
      </c>
      <c r="J7578" s="2" t="s">
        <v>12</v>
      </c>
      <c r="K7578" s="2" t="s">
        <v>10432</v>
      </c>
      <c r="L7578" s="2">
        <f t="shared" si="118"/>
        <v>150</v>
      </c>
    </row>
    <row r="7579" spans="1:12" ht="25" customHeight="1">
      <c r="A7579" s="2" t="s">
        <v>12</v>
      </c>
      <c r="B7579" s="2" t="str">
        <f>HYPERLINK("http://m.12365auto.com/bbs/postcontent.aspx?tID=194121","到2025年 全球将迎来这些硬核纯电跑车")</f>
        <v>到2025年 全球将迎来这些硬核纯电跑车</v>
      </c>
      <c r="C7579" s="2" t="s">
        <v>13</v>
      </c>
      <c r="D7579" s="2" t="s">
        <v>23</v>
      </c>
      <c r="E7579" s="2"/>
      <c r="F7579" s="2" t="str">
        <f>HYPERLINK("http://m.12365auto.com/bbs/postcontent.aspx?tID=194121","http://m.12365auto.com/bbs/postcontent.aspx?tID=194121")</f>
        <v>http://m.12365auto.com/bbs/postcontent.aspx?tID=194121</v>
      </c>
      <c r="G7579" s="2"/>
      <c r="H7579" s="2" t="s">
        <v>10431</v>
      </c>
      <c r="I7579" s="2" t="s">
        <v>15</v>
      </c>
      <c r="J7579" s="2" t="s">
        <v>795</v>
      </c>
      <c r="K7579" s="2" t="s">
        <v>10432</v>
      </c>
      <c r="L7579" s="2">
        <f t="shared" si="118"/>
        <v>150</v>
      </c>
    </row>
    <row r="7580" spans="1:12" ht="25" customHeight="1">
      <c r="A7580" s="2" t="s">
        <v>12</v>
      </c>
      <c r="B7580" s="2" t="str">
        <f>HYPERLINK("http://bbs.12365auto.com/postcontent.aspx?tID=194121","到2025年 全球将迎来这些硬核纯电跑车")</f>
        <v>到2025年 全球将迎来这些硬核纯电跑车</v>
      </c>
      <c r="C7580" s="2" t="s">
        <v>13</v>
      </c>
      <c r="D7580" s="2" t="s">
        <v>12</v>
      </c>
      <c r="E7580" s="2" t="s">
        <v>1393</v>
      </c>
      <c r="F7580" s="2" t="str">
        <f>HYPERLINK("http://bbs.12365auto.com/postcontent.aspx?tID=194121","http://bbs.12365auto.com/postcontent.aspx?tID=194121")</f>
        <v>http://bbs.12365auto.com/postcontent.aspx?tID=194121</v>
      </c>
      <c r="G7580" s="2"/>
      <c r="H7580" s="2" t="s">
        <v>10434</v>
      </c>
      <c r="I7580" s="2" t="s">
        <v>15</v>
      </c>
      <c r="J7580" s="2" t="s">
        <v>795</v>
      </c>
      <c r="K7580" s="2" t="s">
        <v>10432</v>
      </c>
      <c r="L7580" s="2">
        <f t="shared" si="118"/>
        <v>150</v>
      </c>
    </row>
    <row r="7581" spans="1:12" ht="25" customHeight="1">
      <c r="A7581" s="2" t="s">
        <v>12</v>
      </c>
      <c r="B7581" s="2" t="str">
        <f>HYPERLINK("http://www.12365auto.com/zlts/20200214/447180.shtml","郑州日产途达购买新车电瓶亏电无法启动")</f>
        <v>郑州日产途达购买新车电瓶亏电无法启动</v>
      </c>
      <c r="C7581" s="2" t="s">
        <v>13</v>
      </c>
      <c r="D7581" s="2" t="s">
        <v>12</v>
      </c>
      <c r="E7581" s="2" t="s">
        <v>17</v>
      </c>
      <c r="F7581" s="2" t="str">
        <f>HYPERLINK("http://www.12365auto.com/zlts/20200214/447180.shtml","http://www.12365auto.com/zlts/20200214/447180.shtml")</f>
        <v>http://www.12365auto.com/zlts/20200214/447180.shtml</v>
      </c>
      <c r="G7581" s="2"/>
      <c r="H7581" s="2" t="s">
        <v>10435</v>
      </c>
      <c r="I7581" s="2" t="s">
        <v>15</v>
      </c>
      <c r="J7581" s="2" t="s">
        <v>12</v>
      </c>
      <c r="K7581" s="2" t="s">
        <v>10436</v>
      </c>
      <c r="L7581" s="2">
        <f t="shared" si="118"/>
        <v>150</v>
      </c>
    </row>
    <row r="7582" spans="1:12" ht="25" customHeight="1">
      <c r="A7582" s="2" t="s">
        <v>12</v>
      </c>
      <c r="B7582" s="2" t="str">
        <f>HYPERLINK("http://www.12365auto.com/zlts/20200214/447179.shtml","奇瑞艾瑞泽GX天窗无法打开关闭不严")</f>
        <v>奇瑞艾瑞泽GX天窗无法打开关闭不严</v>
      </c>
      <c r="C7582" s="2" t="s">
        <v>13</v>
      </c>
      <c r="D7582" s="2" t="s">
        <v>12</v>
      </c>
      <c r="E7582" s="2" t="s">
        <v>17</v>
      </c>
      <c r="F7582" s="2" t="str">
        <f>HYPERLINK("http://www.12365auto.com/zlts/20200214/447179.shtml","http://www.12365auto.com/zlts/20200214/447179.shtml")</f>
        <v>http://www.12365auto.com/zlts/20200214/447179.shtml</v>
      </c>
      <c r="G7582" s="2"/>
      <c r="H7582" s="2" t="s">
        <v>10437</v>
      </c>
      <c r="I7582" s="2" t="s">
        <v>19</v>
      </c>
      <c r="J7582" s="2" t="s">
        <v>12</v>
      </c>
      <c r="K7582" s="2" t="s">
        <v>10436</v>
      </c>
      <c r="L7582" s="2">
        <f t="shared" si="118"/>
        <v>150</v>
      </c>
    </row>
    <row r="7583" spans="1:12" ht="25" customHeight="1">
      <c r="A7583" s="2" t="s">
        <v>12</v>
      </c>
      <c r="B7583" s="2" t="str">
        <f>HYPERLINK("http://www.12365auto.com/zlts/20200214/447177.shtml","江淮瑞风S3佳通轮胎出现大量裂纹")</f>
        <v>江淮瑞风S3佳通轮胎出现大量裂纹</v>
      </c>
      <c r="C7583" s="2" t="s">
        <v>13</v>
      </c>
      <c r="D7583" s="2" t="s">
        <v>12</v>
      </c>
      <c r="E7583" s="2" t="s">
        <v>17</v>
      </c>
      <c r="F7583" s="2" t="str">
        <f>HYPERLINK("http://www.12365auto.com/zlts/20200214/447177.shtml","http://www.12365auto.com/zlts/20200214/447177.shtml")</f>
        <v>http://www.12365auto.com/zlts/20200214/447177.shtml</v>
      </c>
      <c r="G7583" s="2"/>
      <c r="H7583" s="2" t="s">
        <v>10438</v>
      </c>
      <c r="I7583" s="2" t="s">
        <v>19</v>
      </c>
      <c r="J7583" s="2" t="s">
        <v>12</v>
      </c>
      <c r="K7583" s="2" t="s">
        <v>10439</v>
      </c>
      <c r="L7583" s="2">
        <f t="shared" si="118"/>
        <v>150</v>
      </c>
    </row>
    <row r="7584" spans="1:12" ht="25" customHeight="1">
      <c r="A7584" s="2" t="s">
        <v>12</v>
      </c>
      <c r="B7584" s="2" t="str">
        <f>HYPERLINK("http://m.12365auto.com/xcdg/20200214/418581.shtml","再等一等 综合续航超过600km纯电动车盘点")</f>
        <v>再等一等 综合续航超过600km纯电动车盘点</v>
      </c>
      <c r="C7584" s="2" t="s">
        <v>13</v>
      </c>
      <c r="D7584" s="2" t="s">
        <v>12</v>
      </c>
      <c r="E7584" s="2"/>
      <c r="F7584" s="2" t="str">
        <f>HYPERLINK("http://m.12365auto.com/xcdg/20200214/418581.shtml","http://m.12365auto.com/xcdg/20200214/418581.shtml")</f>
        <v>http://m.12365auto.com/xcdg/20200214/418581.shtml</v>
      </c>
      <c r="G7584" s="2"/>
      <c r="H7584" s="2" t="s">
        <v>10440</v>
      </c>
      <c r="I7584" s="2" t="s">
        <v>19</v>
      </c>
      <c r="J7584" s="2" t="s">
        <v>10441</v>
      </c>
      <c r="K7584" s="2" t="s">
        <v>10442</v>
      </c>
      <c r="L7584" s="2">
        <f t="shared" si="118"/>
        <v>150</v>
      </c>
    </row>
    <row r="7585" spans="1:12" ht="25" customHeight="1">
      <c r="A7585" s="2" t="s">
        <v>12</v>
      </c>
      <c r="B7585" s="2" t="str">
        <f>HYPERLINK("http://m.12365auto.com/xcdg/20200214/418580.shtml","为心爱的他/她选辆车 纯电动小型SUV推荐")</f>
        <v>为心爱的他/她选辆车 纯电动小型SUV推荐</v>
      </c>
      <c r="C7585" s="2" t="s">
        <v>13</v>
      </c>
      <c r="D7585" s="2" t="s">
        <v>12</v>
      </c>
      <c r="E7585" s="2"/>
      <c r="F7585" s="2" t="str">
        <f>HYPERLINK("http://m.12365auto.com/xcdg/20200214/418580.shtml","http://m.12365auto.com/xcdg/20200214/418580.shtml")</f>
        <v>http://m.12365auto.com/xcdg/20200214/418580.shtml</v>
      </c>
      <c r="G7585" s="2"/>
      <c r="H7585" s="2" t="s">
        <v>10443</v>
      </c>
      <c r="I7585" s="2" t="s">
        <v>19</v>
      </c>
      <c r="J7585" s="2" t="s">
        <v>4775</v>
      </c>
      <c r="K7585" s="2" t="s">
        <v>10444</v>
      </c>
      <c r="L7585" s="2">
        <f t="shared" si="118"/>
        <v>150</v>
      </c>
    </row>
    <row r="7586" spans="1:12" ht="25" customHeight="1">
      <c r="A7586" s="2" t="s">
        <v>12</v>
      </c>
      <c r="B7586" s="2" t="str">
        <f>HYPERLINK("http://www.12365auto.com/news/20200214/418579.shtml","国际油价开始回调 纽油/布油涨幅均超1%")</f>
        <v>国际油价开始回调 纽油/布油涨幅均超1%</v>
      </c>
      <c r="C7586" s="2" t="s">
        <v>13</v>
      </c>
      <c r="D7586" s="2" t="s">
        <v>12</v>
      </c>
      <c r="E7586" s="2" t="s">
        <v>282</v>
      </c>
      <c r="F7586" s="2" t="str">
        <f>HYPERLINK("http://www.12365auto.com/news/20200214/418579.shtml","http://www.12365auto.com/news/20200214/418579.shtml")</f>
        <v>http://www.12365auto.com/news/20200214/418579.shtml</v>
      </c>
      <c r="G7586" s="2"/>
      <c r="H7586" s="2" t="s">
        <v>10445</v>
      </c>
      <c r="I7586" s="2" t="s">
        <v>19</v>
      </c>
      <c r="J7586" s="2" t="s">
        <v>12</v>
      </c>
      <c r="K7586" s="2" t="s">
        <v>10446</v>
      </c>
      <c r="L7586" s="2">
        <f t="shared" si="118"/>
        <v>150</v>
      </c>
    </row>
    <row r="7587" spans="1:12" ht="25" customHeight="1">
      <c r="A7587" s="2" t="s">
        <v>12</v>
      </c>
      <c r="B7587" s="2" t="str">
        <f>HYPERLINK("http://m.12365auto.com/news/20200214/418579.shtml","国际油价开始回调 纽油/布油涨幅均超1%")</f>
        <v>国际油价开始回调 纽油/布油涨幅均超1%</v>
      </c>
      <c r="C7587" s="2" t="s">
        <v>13</v>
      </c>
      <c r="D7587" s="2" t="s">
        <v>12</v>
      </c>
      <c r="E7587" s="2"/>
      <c r="F7587" s="2" t="str">
        <f>HYPERLINK("http://m.12365auto.com/news/20200214/418579.shtml","http://m.12365auto.com/news/20200214/418579.shtml")</f>
        <v>http://m.12365auto.com/news/20200214/418579.shtml</v>
      </c>
      <c r="G7587" s="2"/>
      <c r="H7587" s="2" t="s">
        <v>10447</v>
      </c>
      <c r="I7587" s="2" t="s">
        <v>19</v>
      </c>
      <c r="J7587" s="2" t="s">
        <v>12</v>
      </c>
      <c r="K7587" s="2" t="s">
        <v>10446</v>
      </c>
      <c r="L7587" s="2">
        <f t="shared" si="118"/>
        <v>150</v>
      </c>
    </row>
    <row r="7588" spans="1:12" ht="25" customHeight="1">
      <c r="A7588" s="2" t="s">
        <v>12</v>
      </c>
      <c r="B7588" s="2" t="str">
        <f>HYPERLINK("http://www.12365auto.com/news/20200214/418578.shtml","一汽轿车并购重组正常推进 18日上会审议")</f>
        <v>一汽轿车并购重组正常推进 18日上会审议</v>
      </c>
      <c r="C7588" s="2" t="s">
        <v>13</v>
      </c>
      <c r="D7588" s="2" t="s">
        <v>12</v>
      </c>
      <c r="E7588" s="2" t="s">
        <v>282</v>
      </c>
      <c r="F7588" s="2" t="str">
        <f>HYPERLINK("http://www.12365auto.com/news/20200214/418578.shtml","http://www.12365auto.com/news/20200214/418578.shtml")</f>
        <v>http://www.12365auto.com/news/20200214/418578.shtml</v>
      </c>
      <c r="G7588" s="2"/>
      <c r="H7588" s="2" t="s">
        <v>10448</v>
      </c>
      <c r="I7588" s="2" t="s">
        <v>19</v>
      </c>
      <c r="J7588" s="2" t="s">
        <v>12</v>
      </c>
      <c r="K7588" s="2" t="s">
        <v>10449</v>
      </c>
      <c r="L7588" s="2">
        <f t="shared" si="118"/>
        <v>150</v>
      </c>
    </row>
    <row r="7589" spans="1:12" ht="25" customHeight="1">
      <c r="A7589" s="2" t="s">
        <v>12</v>
      </c>
      <c r="B7589" s="2" t="str">
        <f>HYPERLINK("http://m.12365auto.com/news/20200214/418578.shtml","一汽轿车并购重组正常推进 18日上会审议")</f>
        <v>一汽轿车并购重组正常推进 18日上会审议</v>
      </c>
      <c r="C7589" s="2" t="s">
        <v>13</v>
      </c>
      <c r="D7589" s="2" t="s">
        <v>12</v>
      </c>
      <c r="E7589" s="2"/>
      <c r="F7589" s="2" t="str">
        <f>HYPERLINK("http://m.12365auto.com/news/20200214/418578.shtml","http://m.12365auto.com/news/20200214/418578.shtml")</f>
        <v>http://m.12365auto.com/news/20200214/418578.shtml</v>
      </c>
      <c r="G7589" s="2"/>
      <c r="H7589" s="2" t="s">
        <v>10450</v>
      </c>
      <c r="I7589" s="2" t="s">
        <v>19</v>
      </c>
      <c r="J7589" s="2" t="s">
        <v>9015</v>
      </c>
      <c r="K7589" s="2" t="s">
        <v>10449</v>
      </c>
      <c r="L7589" s="2">
        <f t="shared" si="118"/>
        <v>150</v>
      </c>
    </row>
    <row r="7590" spans="1:12" ht="25" customHeight="1">
      <c r="A7590" s="2" t="s">
        <v>12</v>
      </c>
      <c r="B7590" s="2" t="str">
        <f>HYPERLINK("http://www.12365auto.com/news/20200214/418577.shtml","东风本田取消目标考核 返利为经销商解压")</f>
        <v>东风本田取消目标考核 返利为经销商解压</v>
      </c>
      <c r="C7590" s="2" t="s">
        <v>13</v>
      </c>
      <c r="D7590" s="2" t="s">
        <v>12</v>
      </c>
      <c r="E7590" s="2" t="s">
        <v>282</v>
      </c>
      <c r="F7590" s="2" t="str">
        <f>HYPERLINK("http://www.12365auto.com/news/20200214/418577.shtml","http://www.12365auto.com/news/20200214/418577.shtml")</f>
        <v>http://www.12365auto.com/news/20200214/418577.shtml</v>
      </c>
      <c r="G7590" s="2"/>
      <c r="H7590" s="2" t="s">
        <v>10451</v>
      </c>
      <c r="I7590" s="2" t="s">
        <v>19</v>
      </c>
      <c r="J7590" s="2" t="s">
        <v>12</v>
      </c>
      <c r="K7590" s="2" t="s">
        <v>10452</v>
      </c>
      <c r="L7590" s="2">
        <f t="shared" si="118"/>
        <v>150</v>
      </c>
    </row>
    <row r="7591" spans="1:12" ht="25" customHeight="1">
      <c r="A7591" s="2" t="s">
        <v>12</v>
      </c>
      <c r="B7591" s="2" t="str">
        <f>HYPERLINK("http://m.12365auto.com/news/20200214/418577.shtml","东风本田取消目标考核 返利为经销商解压")</f>
        <v>东风本田取消目标考核 返利为经销商解压</v>
      </c>
      <c r="C7591" s="2" t="s">
        <v>13</v>
      </c>
      <c r="D7591" s="2" t="s">
        <v>12</v>
      </c>
      <c r="E7591" s="2"/>
      <c r="F7591" s="2" t="str">
        <f>HYPERLINK("http://m.12365auto.com/news/20200214/418577.shtml","http://m.12365auto.com/news/20200214/418577.shtml")</f>
        <v>http://m.12365auto.com/news/20200214/418577.shtml</v>
      </c>
      <c r="G7591" s="2"/>
      <c r="H7591" s="2" t="s">
        <v>10453</v>
      </c>
      <c r="I7591" s="2" t="s">
        <v>19</v>
      </c>
      <c r="J7591" s="2" t="s">
        <v>5923</v>
      </c>
      <c r="K7591" s="2" t="s">
        <v>10452</v>
      </c>
      <c r="L7591" s="2">
        <f t="shared" si="118"/>
        <v>150</v>
      </c>
    </row>
    <row r="7592" spans="1:12" ht="25" customHeight="1">
      <c r="A7592" s="2" t="s">
        <v>12</v>
      </c>
      <c r="B7592" s="2" t="str">
        <f>HYPERLINK("http://www.12365auto.com/zlts/20200214/447176.shtml","进口Jeep指南者节气门故障导致动力不足")</f>
        <v>进口Jeep指南者节气门故障导致动力不足</v>
      </c>
      <c r="C7592" s="2" t="s">
        <v>13</v>
      </c>
      <c r="D7592" s="2" t="s">
        <v>12</v>
      </c>
      <c r="E7592" s="2" t="s">
        <v>17</v>
      </c>
      <c r="F7592" s="2" t="str">
        <f>HYPERLINK("http://www.12365auto.com/zlts/20200214/447176.shtml","http://www.12365auto.com/zlts/20200214/447176.shtml")</f>
        <v>http://www.12365auto.com/zlts/20200214/447176.shtml</v>
      </c>
      <c r="G7592" s="2"/>
      <c r="H7592" s="2" t="s">
        <v>10454</v>
      </c>
      <c r="I7592" s="2" t="s">
        <v>19</v>
      </c>
      <c r="J7592" s="2" t="s">
        <v>12</v>
      </c>
      <c r="K7592" s="2" t="s">
        <v>10455</v>
      </c>
      <c r="L7592" s="2">
        <f t="shared" si="118"/>
        <v>150</v>
      </c>
    </row>
    <row r="7593" spans="1:12" ht="25" customHeight="1">
      <c r="A7593" s="2" t="s">
        <v>12</v>
      </c>
      <c r="B7593" s="2" t="str">
        <f>HYPERLINK("http://www.12365auto.com/news/20200214/418576.shtml","中汽中心公布1月上险数 蔚来达1600辆")</f>
        <v>中汽中心公布1月上险数 蔚来达1600辆</v>
      </c>
      <c r="C7593" s="2" t="s">
        <v>13</v>
      </c>
      <c r="D7593" s="2" t="s">
        <v>12</v>
      </c>
      <c r="E7593" s="2" t="s">
        <v>282</v>
      </c>
      <c r="F7593" s="2" t="str">
        <f>HYPERLINK("http://www.12365auto.com/news/20200214/418576.shtml","http://www.12365auto.com/news/20200214/418576.shtml")</f>
        <v>http://www.12365auto.com/news/20200214/418576.shtml</v>
      </c>
      <c r="G7593" s="2"/>
      <c r="H7593" s="2" t="s">
        <v>10456</v>
      </c>
      <c r="I7593" s="2" t="s">
        <v>19</v>
      </c>
      <c r="J7593" s="2" t="s">
        <v>12</v>
      </c>
      <c r="K7593" s="2" t="s">
        <v>10455</v>
      </c>
      <c r="L7593" s="2">
        <f t="shared" si="118"/>
        <v>150</v>
      </c>
    </row>
    <row r="7594" spans="1:12" ht="25" customHeight="1">
      <c r="A7594" s="2" t="s">
        <v>12</v>
      </c>
      <c r="B7594" s="2" t="str">
        <f>HYPERLINK("http://m.12365auto.com/news/20200214/418576.shtml","中汽中心公布1月上险数 蔚来达1600辆")</f>
        <v>中汽中心公布1月上险数 蔚来达1600辆</v>
      </c>
      <c r="C7594" s="2" t="s">
        <v>13</v>
      </c>
      <c r="D7594" s="2" t="s">
        <v>12</v>
      </c>
      <c r="E7594" s="2"/>
      <c r="F7594" s="2" t="str">
        <f>HYPERLINK("http://m.12365auto.com/news/20200214/418576.shtml","http://m.12365auto.com/news/20200214/418576.shtml")</f>
        <v>http://m.12365auto.com/news/20200214/418576.shtml</v>
      </c>
      <c r="G7594" s="2"/>
      <c r="H7594" s="2" t="s">
        <v>10457</v>
      </c>
      <c r="I7594" s="2" t="s">
        <v>19</v>
      </c>
      <c r="J7594" s="2" t="s">
        <v>6010</v>
      </c>
      <c r="K7594" s="2" t="s">
        <v>10455</v>
      </c>
      <c r="L7594" s="2">
        <f t="shared" si="118"/>
        <v>150</v>
      </c>
    </row>
    <row r="7595" spans="1:12" ht="25" customHeight="1">
      <c r="A7595" s="2" t="s">
        <v>12</v>
      </c>
      <c r="B7595" s="2" t="str">
        <f>HYPERLINK("http://www.12365auto.com/news/20200214/418575.shtml","零部件“断供” 半数车企延迟复工")</f>
        <v>零部件“断供” 半数车企延迟复工</v>
      </c>
      <c r="C7595" s="2" t="s">
        <v>13</v>
      </c>
      <c r="D7595" s="2" t="s">
        <v>12</v>
      </c>
      <c r="E7595" s="2" t="s">
        <v>282</v>
      </c>
      <c r="F7595" s="2" t="str">
        <f>HYPERLINK("http://www.12365auto.com/news/20200214/418575.shtml","http://www.12365auto.com/news/20200214/418575.shtml")</f>
        <v>http://www.12365auto.com/news/20200214/418575.shtml</v>
      </c>
      <c r="G7595" s="2"/>
      <c r="H7595" s="2" t="s">
        <v>10458</v>
      </c>
      <c r="I7595" s="2" t="s">
        <v>19</v>
      </c>
      <c r="J7595" s="2" t="s">
        <v>12</v>
      </c>
      <c r="K7595" s="2" t="s">
        <v>10459</v>
      </c>
      <c r="L7595" s="2">
        <f t="shared" si="118"/>
        <v>150</v>
      </c>
    </row>
    <row r="7596" spans="1:12" ht="25" customHeight="1">
      <c r="A7596" s="2" t="s">
        <v>12</v>
      </c>
      <c r="B7596" s="2" t="str">
        <f>HYPERLINK("http://m.12365auto.com/news/20200214/418575.shtml","零部件“断供” 半数车企延迟复工")</f>
        <v>零部件“断供” 半数车企延迟复工</v>
      </c>
      <c r="C7596" s="2" t="s">
        <v>13</v>
      </c>
      <c r="D7596" s="2" t="s">
        <v>12</v>
      </c>
      <c r="E7596" s="2"/>
      <c r="F7596" s="2" t="str">
        <f>HYPERLINK("http://m.12365auto.com/news/20200214/418575.shtml","http://m.12365auto.com/news/20200214/418575.shtml")</f>
        <v>http://m.12365auto.com/news/20200214/418575.shtml</v>
      </c>
      <c r="G7596" s="2"/>
      <c r="H7596" s="2" t="s">
        <v>10460</v>
      </c>
      <c r="I7596" s="2" t="s">
        <v>19</v>
      </c>
      <c r="J7596" s="2" t="s">
        <v>5923</v>
      </c>
      <c r="K7596" s="2" t="s">
        <v>10459</v>
      </c>
      <c r="L7596" s="2">
        <f t="shared" si="118"/>
        <v>150</v>
      </c>
    </row>
    <row r="7597" spans="1:12" ht="25" customHeight="1">
      <c r="A7597" s="2" t="s">
        <v>12</v>
      </c>
      <c r="B7597" s="2" t="str">
        <f>HYPERLINK("http://www.12365auto.com/news/20200214/418574.shtml","国内车市1月销量下滑 新能源汽车销量腰斩")</f>
        <v>国内车市1月销量下滑 新能源汽车销量腰斩</v>
      </c>
      <c r="C7597" s="2" t="s">
        <v>13</v>
      </c>
      <c r="D7597" s="2" t="s">
        <v>12</v>
      </c>
      <c r="E7597" s="2" t="s">
        <v>282</v>
      </c>
      <c r="F7597" s="2" t="str">
        <f>HYPERLINK("http://www.12365auto.com/news/20200214/418574.shtml","http://www.12365auto.com/news/20200214/418574.shtml")</f>
        <v>http://www.12365auto.com/news/20200214/418574.shtml</v>
      </c>
      <c r="G7597" s="2"/>
      <c r="H7597" s="2" t="s">
        <v>10461</v>
      </c>
      <c r="I7597" s="2" t="s">
        <v>19</v>
      </c>
      <c r="J7597" s="2" t="s">
        <v>12</v>
      </c>
      <c r="K7597" s="2" t="s">
        <v>10462</v>
      </c>
      <c r="L7597" s="2">
        <f t="shared" si="118"/>
        <v>150</v>
      </c>
    </row>
    <row r="7598" spans="1:12" ht="25" customHeight="1">
      <c r="A7598" s="2" t="s">
        <v>12</v>
      </c>
      <c r="B7598" s="2" t="str">
        <f>HYPERLINK("http://m.12365auto.com/news/20200214/418574.shtml","国内车市1月销量下滑 新能源汽车销量腰斩")</f>
        <v>国内车市1月销量下滑 新能源汽车销量腰斩</v>
      </c>
      <c r="C7598" s="2" t="s">
        <v>13</v>
      </c>
      <c r="D7598" s="2" t="s">
        <v>12</v>
      </c>
      <c r="E7598" s="2"/>
      <c r="F7598" s="2" t="str">
        <f>HYPERLINK("http://m.12365auto.com/news/20200214/418574.shtml","http://m.12365auto.com/news/20200214/418574.shtml")</f>
        <v>http://m.12365auto.com/news/20200214/418574.shtml</v>
      </c>
      <c r="G7598" s="2"/>
      <c r="H7598" s="2" t="s">
        <v>10463</v>
      </c>
      <c r="I7598" s="2" t="s">
        <v>19</v>
      </c>
      <c r="J7598" s="2" t="s">
        <v>2527</v>
      </c>
      <c r="K7598" s="2" t="s">
        <v>10462</v>
      </c>
      <c r="L7598" s="2">
        <f t="shared" si="118"/>
        <v>150</v>
      </c>
    </row>
    <row r="7599" spans="1:12" ht="25" customHeight="1">
      <c r="A7599" s="2" t="s">
        <v>12</v>
      </c>
      <c r="B7599" s="2" t="str">
        <f>HYPERLINK("http://www.12365auto.com/news/20200214/418573.shtml","英国禁售燃油车计划再次提前 混动车包括在内")</f>
        <v>英国禁售燃油车计划再次提前 混动车包括在内</v>
      </c>
      <c r="C7599" s="2" t="s">
        <v>13</v>
      </c>
      <c r="D7599" s="2" t="s">
        <v>12</v>
      </c>
      <c r="E7599" s="2" t="s">
        <v>282</v>
      </c>
      <c r="F7599" s="2" t="str">
        <f>HYPERLINK("http://www.12365auto.com/news/20200214/418573.shtml","http://www.12365auto.com/news/20200214/418573.shtml")</f>
        <v>http://www.12365auto.com/news/20200214/418573.shtml</v>
      </c>
      <c r="G7599" s="2"/>
      <c r="H7599" s="2" t="s">
        <v>10464</v>
      </c>
      <c r="I7599" s="2" t="s">
        <v>19</v>
      </c>
      <c r="J7599" s="2" t="s">
        <v>12</v>
      </c>
      <c r="K7599" s="2" t="s">
        <v>10465</v>
      </c>
      <c r="L7599" s="2">
        <f t="shared" si="118"/>
        <v>150</v>
      </c>
    </row>
    <row r="7600" spans="1:12" ht="25" customHeight="1">
      <c r="A7600" s="2" t="s">
        <v>12</v>
      </c>
      <c r="B7600" s="2" t="str">
        <f>HYPERLINK("http://m.12365auto.com/news/20200214/418573.shtml","英国禁售燃油车计划再次提前 混动车包括在内")</f>
        <v>英国禁售燃油车计划再次提前 混动车包括在内</v>
      </c>
      <c r="C7600" s="2" t="s">
        <v>13</v>
      </c>
      <c r="D7600" s="2" t="s">
        <v>12</v>
      </c>
      <c r="E7600" s="2"/>
      <c r="F7600" s="2" t="str">
        <f>HYPERLINK("http://m.12365auto.com/news/20200214/418573.shtml","http://m.12365auto.com/news/20200214/418573.shtml")</f>
        <v>http://m.12365auto.com/news/20200214/418573.shtml</v>
      </c>
      <c r="G7600" s="2"/>
      <c r="H7600" s="2" t="s">
        <v>10466</v>
      </c>
      <c r="I7600" s="2" t="s">
        <v>19</v>
      </c>
      <c r="J7600" s="2" t="s">
        <v>5923</v>
      </c>
      <c r="K7600" s="2" t="s">
        <v>10465</v>
      </c>
      <c r="L7600" s="2">
        <f t="shared" si="118"/>
        <v>150</v>
      </c>
    </row>
    <row r="7601" spans="1:12" ht="25" customHeight="1">
      <c r="A7601" s="2" t="s">
        <v>12</v>
      </c>
      <c r="B7601" s="2" t="str">
        <f>HYPERLINK("http://www.12365auto.com/news/20200214/418572.shtml","奇瑞高端品牌EXEED登陆美国 推SUV车型")</f>
        <v>奇瑞高端品牌EXEED登陆美国 推SUV车型</v>
      </c>
      <c r="C7601" s="2" t="s">
        <v>13</v>
      </c>
      <c r="D7601" s="2" t="s">
        <v>12</v>
      </c>
      <c r="E7601" s="2" t="s">
        <v>282</v>
      </c>
      <c r="F7601" s="2" t="str">
        <f>HYPERLINK("http://www.12365auto.com/news/20200214/418572.shtml","http://www.12365auto.com/news/20200214/418572.shtml")</f>
        <v>http://www.12365auto.com/news/20200214/418572.shtml</v>
      </c>
      <c r="G7601" s="2"/>
      <c r="H7601" s="2" t="s">
        <v>10467</v>
      </c>
      <c r="I7601" s="2" t="s">
        <v>19</v>
      </c>
      <c r="J7601" s="2" t="s">
        <v>12</v>
      </c>
      <c r="K7601" s="2" t="s">
        <v>10468</v>
      </c>
      <c r="L7601" s="2">
        <f t="shared" si="118"/>
        <v>150</v>
      </c>
    </row>
    <row r="7602" spans="1:12" ht="25" customHeight="1">
      <c r="A7602" s="2" t="s">
        <v>12</v>
      </c>
      <c r="B7602" s="2" t="str">
        <f>HYPERLINK("http://m.12365auto.com/news/20200214/418572.shtml","奇瑞高端品牌EXEED登陆美国 推SUV车型")</f>
        <v>奇瑞高端品牌EXEED登陆美国 推SUV车型</v>
      </c>
      <c r="C7602" s="2" t="s">
        <v>13</v>
      </c>
      <c r="D7602" s="2" t="s">
        <v>12</v>
      </c>
      <c r="E7602" s="2"/>
      <c r="F7602" s="2" t="str">
        <f>HYPERLINK("http://m.12365auto.com/news/20200214/418572.shtml","http://m.12365auto.com/news/20200214/418572.shtml")</f>
        <v>http://m.12365auto.com/news/20200214/418572.shtml</v>
      </c>
      <c r="G7602" s="2"/>
      <c r="H7602" s="2" t="s">
        <v>10469</v>
      </c>
      <c r="I7602" s="2" t="s">
        <v>19</v>
      </c>
      <c r="J7602" s="2" t="s">
        <v>5923</v>
      </c>
      <c r="K7602" s="2" t="s">
        <v>10468</v>
      </c>
      <c r="L7602" s="2">
        <f t="shared" si="118"/>
        <v>150</v>
      </c>
    </row>
    <row r="7603" spans="1:12" ht="25" customHeight="1">
      <c r="A7603" s="2" t="s">
        <v>12</v>
      </c>
      <c r="B7603" s="2" t="str">
        <f>HYPERLINK("http://www.12365auto.com/xcdg/20200214/418571.shtml","命名探岳X 一汽大众SUV Coupe申报信息曝光")</f>
        <v>命名探岳X 一汽大众SUV Coupe申报信息曝光</v>
      </c>
      <c r="C7603" s="2" t="s">
        <v>13</v>
      </c>
      <c r="D7603" s="2" t="s">
        <v>12</v>
      </c>
      <c r="E7603" s="2" t="s">
        <v>245</v>
      </c>
      <c r="F7603" s="2" t="str">
        <f>HYPERLINK("http://www.12365auto.com/xcdg/20200214/418571.shtml","http://www.12365auto.com/xcdg/20200214/418571.shtml")</f>
        <v>http://www.12365auto.com/xcdg/20200214/418571.shtml</v>
      </c>
      <c r="G7603" s="2"/>
      <c r="H7603" s="2" t="s">
        <v>10470</v>
      </c>
      <c r="I7603" s="2" t="s">
        <v>19</v>
      </c>
      <c r="J7603" s="2" t="s">
        <v>12</v>
      </c>
      <c r="K7603" s="2" t="s">
        <v>10471</v>
      </c>
      <c r="L7603" s="2">
        <f t="shared" si="118"/>
        <v>150</v>
      </c>
    </row>
    <row r="7604" spans="1:12" ht="25" customHeight="1">
      <c r="A7604" s="2" t="s">
        <v>12</v>
      </c>
      <c r="B7604" s="2" t="str">
        <f>HYPERLINK("http://m.12365auto.com/xcdg/20200214/418571.shtml","命名探岳X 一汽大众SUV Coupe申报信息曝光")</f>
        <v>命名探岳X 一汽大众SUV Coupe申报信息曝光</v>
      </c>
      <c r="C7604" s="2" t="s">
        <v>13</v>
      </c>
      <c r="D7604" s="2" t="s">
        <v>12</v>
      </c>
      <c r="E7604" s="2"/>
      <c r="F7604" s="2" t="str">
        <f>HYPERLINK("http://m.12365auto.com/xcdg/20200214/418571.shtml","http://m.12365auto.com/xcdg/20200214/418571.shtml")</f>
        <v>http://m.12365auto.com/xcdg/20200214/418571.shtml</v>
      </c>
      <c r="G7604" s="2"/>
      <c r="H7604" s="2" t="s">
        <v>10472</v>
      </c>
      <c r="I7604" s="2" t="s">
        <v>19</v>
      </c>
      <c r="J7604" s="2" t="s">
        <v>702</v>
      </c>
      <c r="K7604" s="2" t="s">
        <v>10471</v>
      </c>
      <c r="L7604" s="2">
        <f t="shared" si="118"/>
        <v>150</v>
      </c>
    </row>
    <row r="7605" spans="1:12" ht="25" customHeight="1">
      <c r="A7605" s="2" t="s">
        <v>12</v>
      </c>
      <c r="B7605" s="2" t="str">
        <f>HYPERLINK("http://m.12365auto.com/xcdg/20200214/418570.shtml","预计3月海外亮相 现代i20发布新车预告图")</f>
        <v>预计3月海外亮相 现代i20发布新车预告图</v>
      </c>
      <c r="C7605" s="2" t="s">
        <v>13</v>
      </c>
      <c r="D7605" s="2" t="s">
        <v>12</v>
      </c>
      <c r="E7605" s="2"/>
      <c r="F7605" s="2" t="str">
        <f>HYPERLINK("http://m.12365auto.com/xcdg/20200214/418570.shtml","http://m.12365auto.com/xcdg/20200214/418570.shtml")</f>
        <v>http://m.12365auto.com/xcdg/20200214/418570.shtml</v>
      </c>
      <c r="G7605" s="2"/>
      <c r="H7605" s="2" t="s">
        <v>10473</v>
      </c>
      <c r="I7605" s="2" t="s">
        <v>19</v>
      </c>
      <c r="J7605" s="2" t="s">
        <v>1558</v>
      </c>
      <c r="K7605" s="2" t="s">
        <v>10474</v>
      </c>
      <c r="L7605" s="2">
        <f t="shared" si="118"/>
        <v>150</v>
      </c>
    </row>
    <row r="7606" spans="1:12" ht="25" customHeight="1">
      <c r="A7606" s="2" t="s">
        <v>12</v>
      </c>
      <c r="B7606" s="2" t="str">
        <f>HYPERLINK("http://www.12365auto.com/xcdg/20200214/418570.shtml","预计3月海外亮相 现代i20发布新车预告图")</f>
        <v>预计3月海外亮相 现代i20发布新车预告图</v>
      </c>
      <c r="C7606" s="2" t="s">
        <v>13</v>
      </c>
      <c r="D7606" s="2" t="s">
        <v>12</v>
      </c>
      <c r="E7606" s="2" t="s">
        <v>216</v>
      </c>
      <c r="F7606" s="2" t="str">
        <f>HYPERLINK("http://www.12365auto.com/xcdg/20200214/418570.shtml","http://www.12365auto.com/xcdg/20200214/418570.shtml")</f>
        <v>http://www.12365auto.com/xcdg/20200214/418570.shtml</v>
      </c>
      <c r="G7606" s="2"/>
      <c r="H7606" s="2" t="s">
        <v>10475</v>
      </c>
      <c r="I7606" s="2" t="s">
        <v>15</v>
      </c>
      <c r="J7606" s="2" t="s">
        <v>12</v>
      </c>
      <c r="K7606" s="2" t="s">
        <v>10474</v>
      </c>
      <c r="L7606" s="2">
        <f t="shared" si="118"/>
        <v>150</v>
      </c>
    </row>
    <row r="7607" spans="1:12" ht="25" customHeight="1">
      <c r="A7607" s="2" t="s">
        <v>12</v>
      </c>
      <c r="B7607" s="2" t="str">
        <f>HYPERLINK("http://m.12365auto.com/xcdg/20200214/418569.shtml","整体设计较为简洁 新宝骏E300内饰图发布")</f>
        <v>整体设计较为简洁 新宝骏E300内饰图发布</v>
      </c>
      <c r="C7607" s="2" t="s">
        <v>13</v>
      </c>
      <c r="D7607" s="2" t="s">
        <v>12</v>
      </c>
      <c r="E7607" s="2"/>
      <c r="F7607" s="2" t="str">
        <f>HYPERLINK("http://m.12365auto.com/xcdg/20200214/418569.shtml","http://m.12365auto.com/xcdg/20200214/418569.shtml")</f>
        <v>http://m.12365auto.com/xcdg/20200214/418569.shtml</v>
      </c>
      <c r="G7607" s="2"/>
      <c r="H7607" s="2" t="s">
        <v>10476</v>
      </c>
      <c r="I7607" s="2" t="s">
        <v>19</v>
      </c>
      <c r="J7607" s="2" t="s">
        <v>4467</v>
      </c>
      <c r="K7607" s="2" t="s">
        <v>10477</v>
      </c>
      <c r="L7607" s="2">
        <f t="shared" si="118"/>
        <v>150</v>
      </c>
    </row>
    <row r="7608" spans="1:12" ht="25" customHeight="1">
      <c r="A7608" s="2" t="s">
        <v>12</v>
      </c>
      <c r="B7608" s="2" t="str">
        <f>HYPERLINK("http://www.12365auto.com/xcdg/20200214/418569.shtml","整体设计较为简洁 新宝骏E300内饰图发布")</f>
        <v>整体设计较为简洁 新宝骏E300内饰图发布</v>
      </c>
      <c r="C7608" s="2" t="s">
        <v>13</v>
      </c>
      <c r="D7608" s="2" t="s">
        <v>12</v>
      </c>
      <c r="E7608" s="2" t="s">
        <v>216</v>
      </c>
      <c r="F7608" s="2" t="str">
        <f>HYPERLINK("http://www.12365auto.com/xcdg/20200214/418569.shtml","http://www.12365auto.com/xcdg/20200214/418569.shtml")</f>
        <v>http://www.12365auto.com/xcdg/20200214/418569.shtml</v>
      </c>
      <c r="G7608" s="2"/>
      <c r="H7608" s="2" t="s">
        <v>10478</v>
      </c>
      <c r="I7608" s="2" t="s">
        <v>15</v>
      </c>
      <c r="J7608" s="2" t="s">
        <v>12</v>
      </c>
      <c r="K7608" s="2" t="s">
        <v>10477</v>
      </c>
      <c r="L7608" s="2">
        <f t="shared" si="118"/>
        <v>150</v>
      </c>
    </row>
    <row r="7609" spans="1:12" ht="25" customHeight="1">
      <c r="A7609" s="2" t="s">
        <v>12</v>
      </c>
      <c r="B7609" s="2" t="str">
        <f>HYPERLINK("http://m.12365auto.com/xcdg/20200214/418568.shtml","大众ID. BUZZ量产版2022年推出 为取名发愁")</f>
        <v>大众ID. BUZZ量产版2022年推出 为取名发愁</v>
      </c>
      <c r="C7609" s="2" t="s">
        <v>13</v>
      </c>
      <c r="D7609" s="2" t="s">
        <v>12</v>
      </c>
      <c r="E7609" s="2"/>
      <c r="F7609" s="2" t="str">
        <f>HYPERLINK("http://m.12365auto.com/xcdg/20200214/418568.shtml","http://m.12365auto.com/xcdg/20200214/418568.shtml")</f>
        <v>http://m.12365auto.com/xcdg/20200214/418568.shtml</v>
      </c>
      <c r="G7609" s="2"/>
      <c r="H7609" s="2" t="s">
        <v>10479</v>
      </c>
      <c r="I7609" s="2" t="s">
        <v>19</v>
      </c>
      <c r="J7609" s="2" t="s">
        <v>1701</v>
      </c>
      <c r="K7609" s="2" t="s">
        <v>10480</v>
      </c>
      <c r="L7609" s="2">
        <f t="shared" si="118"/>
        <v>150</v>
      </c>
    </row>
    <row r="7610" spans="1:12" ht="25" customHeight="1">
      <c r="A7610" s="2" t="s">
        <v>12</v>
      </c>
      <c r="B7610" s="2" t="str">
        <f>HYPERLINK("http://www.12365auto.com/xcdg/20200214/418568.shtml","大众ID. BUZZ量产版2022年推出 为取名发愁")</f>
        <v>大众ID. BUZZ量产版2022年推出 为取名发愁</v>
      </c>
      <c r="C7610" s="2" t="s">
        <v>13</v>
      </c>
      <c r="D7610" s="2" t="s">
        <v>12</v>
      </c>
      <c r="E7610" s="2" t="s">
        <v>216</v>
      </c>
      <c r="F7610" s="2" t="str">
        <f>HYPERLINK("http://www.12365auto.com/xcdg/20200214/418568.shtml","http://www.12365auto.com/xcdg/20200214/418568.shtml")</f>
        <v>http://www.12365auto.com/xcdg/20200214/418568.shtml</v>
      </c>
      <c r="G7610" s="2"/>
      <c r="H7610" s="2" t="s">
        <v>10481</v>
      </c>
      <c r="I7610" s="2" t="s">
        <v>15</v>
      </c>
      <c r="J7610" s="2" t="s">
        <v>12</v>
      </c>
      <c r="K7610" s="2" t="s">
        <v>10480</v>
      </c>
      <c r="L7610" s="2">
        <f t="shared" si="118"/>
        <v>150</v>
      </c>
    </row>
    <row r="7611" spans="1:12" ht="25" customHeight="1">
      <c r="A7611" s="2" t="s">
        <v>12</v>
      </c>
      <c r="B7611" s="2" t="str">
        <f>HYPERLINK("http://m.12365auto.com/xcdg/20200214/418567.shtml","新款途观无伪装谍照 或于日内瓦车展首发")</f>
        <v>新款途观无伪装谍照 或于日内瓦车展首发</v>
      </c>
      <c r="C7611" s="2" t="s">
        <v>13</v>
      </c>
      <c r="D7611" s="2" t="s">
        <v>12</v>
      </c>
      <c r="E7611" s="2"/>
      <c r="F7611" s="2" t="str">
        <f>HYPERLINK("http://m.12365auto.com/xcdg/20200214/418567.shtml","http://m.12365auto.com/xcdg/20200214/418567.shtml")</f>
        <v>http://m.12365auto.com/xcdg/20200214/418567.shtml</v>
      </c>
      <c r="G7611" s="2"/>
      <c r="H7611" s="2" t="s">
        <v>10482</v>
      </c>
      <c r="I7611" s="2" t="s">
        <v>19</v>
      </c>
      <c r="J7611" s="2" t="s">
        <v>992</v>
      </c>
      <c r="K7611" s="2" t="s">
        <v>10483</v>
      </c>
      <c r="L7611" s="2">
        <f t="shared" si="118"/>
        <v>150</v>
      </c>
    </row>
    <row r="7612" spans="1:12" ht="25" customHeight="1">
      <c r="A7612" s="2" t="s">
        <v>12</v>
      </c>
      <c r="B7612" s="2" t="str">
        <f>HYPERLINK("http://www.12365auto.com/xcdg/20200214/418567.shtml","新款途观无伪装谍照 或于日内瓦车展首发")</f>
        <v>新款途观无伪装谍照 或于日内瓦车展首发</v>
      </c>
      <c r="C7612" s="2" t="s">
        <v>13</v>
      </c>
      <c r="D7612" s="2" t="s">
        <v>12</v>
      </c>
      <c r="E7612" s="2" t="s">
        <v>224</v>
      </c>
      <c r="F7612" s="2" t="str">
        <f>HYPERLINK("http://www.12365auto.com/xcdg/20200214/418567.shtml","http://www.12365auto.com/xcdg/20200214/418567.shtml")</f>
        <v>http://www.12365auto.com/xcdg/20200214/418567.shtml</v>
      </c>
      <c r="G7612" s="2"/>
      <c r="H7612" s="2" t="s">
        <v>10484</v>
      </c>
      <c r="I7612" s="2" t="s">
        <v>15</v>
      </c>
      <c r="J7612" s="2" t="s">
        <v>12</v>
      </c>
      <c r="K7612" s="2" t="s">
        <v>10483</v>
      </c>
      <c r="L7612" s="2">
        <f t="shared" si="118"/>
        <v>150</v>
      </c>
    </row>
    <row r="7613" spans="1:12" ht="25" customHeight="1">
      <c r="A7613" s="2" t="s">
        <v>12</v>
      </c>
      <c r="B7613" s="2" t="str">
        <f>HYPERLINK("http://m.12365auto.com/bbs/postcontent.aspx?tID=194120","索纳塔九真皮座椅开裂质量不行呀")</f>
        <v>索纳塔九真皮座椅开裂质量不行呀</v>
      </c>
      <c r="C7613" s="2" t="s">
        <v>13</v>
      </c>
      <c r="D7613" s="2" t="s">
        <v>23</v>
      </c>
      <c r="E7613" s="2"/>
      <c r="F7613" s="2" t="str">
        <f>HYPERLINK("http://m.12365auto.com/bbs/postcontent.aspx?tID=194120","http://m.12365auto.com/bbs/postcontent.aspx?tID=194120")</f>
        <v>http://m.12365auto.com/bbs/postcontent.aspx?tID=194120</v>
      </c>
      <c r="G7613" s="2"/>
      <c r="H7613" s="2" t="s">
        <v>10485</v>
      </c>
      <c r="I7613" s="2" t="s">
        <v>15</v>
      </c>
      <c r="J7613" s="2" t="s">
        <v>4119</v>
      </c>
      <c r="K7613" s="2" t="s">
        <v>10486</v>
      </c>
      <c r="L7613" s="2">
        <f t="shared" si="118"/>
        <v>80</v>
      </c>
    </row>
    <row r="7614" spans="1:12" ht="25" customHeight="1">
      <c r="A7614" s="2" t="s">
        <v>12</v>
      </c>
      <c r="B7614" s="2" t="str">
        <f>HYPERLINK("http://m.12365auto.com/bbs/postcontent.aspx?tID=194119","奥迪A7变速箱故障挡位缺失")</f>
        <v>奥迪A7变速箱故障挡位缺失</v>
      </c>
      <c r="C7614" s="2" t="s">
        <v>13</v>
      </c>
      <c r="D7614" s="2" t="s">
        <v>23</v>
      </c>
      <c r="E7614" s="2"/>
      <c r="F7614" s="2" t="str">
        <f>HYPERLINK("http://m.12365auto.com/bbs/postcontent.aspx?tID=194119","http://m.12365auto.com/bbs/postcontent.aspx?tID=194119")</f>
        <v>http://m.12365auto.com/bbs/postcontent.aspx?tID=194119</v>
      </c>
      <c r="G7614" s="2"/>
      <c r="H7614" s="2" t="s">
        <v>10487</v>
      </c>
      <c r="I7614" s="2" t="s">
        <v>15</v>
      </c>
      <c r="J7614" s="2" t="s">
        <v>4123</v>
      </c>
      <c r="K7614" s="2" t="s">
        <v>10486</v>
      </c>
      <c r="L7614" s="2">
        <f t="shared" si="118"/>
        <v>122</v>
      </c>
    </row>
    <row r="7615" spans="1:12" ht="25" customHeight="1">
      <c r="A7615" s="2" t="s">
        <v>12</v>
      </c>
      <c r="B7615" s="2" t="str">
        <f>HYPERLINK("http://bbs.12365auto.com/postcontent.aspx?tId=194120","索纳塔九真皮座椅开裂质量不行呀")</f>
        <v>索纳塔九真皮座椅开裂质量不行呀</v>
      </c>
      <c r="C7615" s="2" t="s">
        <v>13</v>
      </c>
      <c r="D7615" s="2" t="s">
        <v>12</v>
      </c>
      <c r="E7615" s="2" t="s">
        <v>66</v>
      </c>
      <c r="F7615" s="2" t="str">
        <f>HYPERLINK("http://bbs.12365auto.com/postcontent.aspx?tId=194120","http://bbs.12365auto.com/postcontent.aspx?tId=194120")</f>
        <v>http://bbs.12365auto.com/postcontent.aspx?tId=194120</v>
      </c>
      <c r="G7615" s="2"/>
      <c r="H7615" s="2" t="s">
        <v>10485</v>
      </c>
      <c r="I7615" s="2" t="s">
        <v>15</v>
      </c>
      <c r="J7615" s="2" t="s">
        <v>4119</v>
      </c>
      <c r="K7615" s="2" t="s">
        <v>10486</v>
      </c>
      <c r="L7615" s="2">
        <f t="shared" si="118"/>
        <v>80</v>
      </c>
    </row>
    <row r="7616" spans="1:12" ht="25" customHeight="1">
      <c r="A7616" s="2" t="s">
        <v>12</v>
      </c>
      <c r="B7616" s="2" t="str">
        <f>HYPERLINK("http://bbs.12365auto.com/postcontent.aspx?tId=194119","奥迪A7变速箱故障挡位缺失")</f>
        <v>奥迪A7变速箱故障挡位缺失</v>
      </c>
      <c r="C7616" s="2" t="s">
        <v>13</v>
      </c>
      <c r="D7616" s="2" t="s">
        <v>12</v>
      </c>
      <c r="E7616" s="2" t="s">
        <v>66</v>
      </c>
      <c r="F7616" s="2" t="str">
        <f>HYPERLINK("http://bbs.12365auto.com/postcontent.aspx?tId=194119","http://bbs.12365auto.com/postcontent.aspx?tId=194119")</f>
        <v>http://bbs.12365auto.com/postcontent.aspx?tId=194119</v>
      </c>
      <c r="G7616" s="2"/>
      <c r="H7616" s="2" t="s">
        <v>10487</v>
      </c>
      <c r="I7616" s="2" t="s">
        <v>15</v>
      </c>
      <c r="J7616" s="2" t="s">
        <v>4123</v>
      </c>
      <c r="K7616" s="2" t="s">
        <v>10486</v>
      </c>
      <c r="L7616" s="2">
        <f t="shared" si="118"/>
        <v>122</v>
      </c>
    </row>
    <row r="7617" spans="1:12" ht="25" customHeight="1">
      <c r="A7617" s="2" t="s">
        <v>12</v>
      </c>
      <c r="B7617" s="2" t="str">
        <f>HYPERLINK("http://bbs.12365auto.com/postcontent.aspx?tID=194119","奥迪A7变速箱故障挡位缺失")</f>
        <v>奥迪A7变速箱故障挡位缺失</v>
      </c>
      <c r="C7617" s="2" t="s">
        <v>13</v>
      </c>
      <c r="D7617" s="2" t="s">
        <v>12</v>
      </c>
      <c r="E7617" s="2" t="s">
        <v>67</v>
      </c>
      <c r="F7617" s="2" t="str">
        <f>HYPERLINK("http://bbs.12365auto.com/postcontent.aspx?tID=194119","http://bbs.12365auto.com/postcontent.aspx?tID=194119")</f>
        <v>http://bbs.12365auto.com/postcontent.aspx?tID=194119</v>
      </c>
      <c r="G7617" s="2"/>
      <c r="H7617" s="2" t="s">
        <v>10488</v>
      </c>
      <c r="I7617" s="2" t="s">
        <v>15</v>
      </c>
      <c r="J7617" s="2" t="s">
        <v>4123</v>
      </c>
      <c r="K7617" s="2" t="s">
        <v>10486</v>
      </c>
      <c r="L7617" s="2">
        <f t="shared" si="118"/>
        <v>135</v>
      </c>
    </row>
    <row r="7618" spans="1:12" ht="25" customHeight="1">
      <c r="A7618" s="2" t="s">
        <v>12</v>
      </c>
      <c r="B7618" s="2" t="str">
        <f>HYPERLINK("http://bbs.12365auto.com/postcontent.aspx?tID=194120","索纳塔九真皮座椅开裂质量不行呀")</f>
        <v>索纳塔九真皮座椅开裂质量不行呀</v>
      </c>
      <c r="C7618" s="2" t="s">
        <v>13</v>
      </c>
      <c r="D7618" s="2" t="s">
        <v>12</v>
      </c>
      <c r="E7618" s="2" t="s">
        <v>67</v>
      </c>
      <c r="F7618" s="2" t="str">
        <f>HYPERLINK("http://bbs.12365auto.com/postcontent.aspx?tID=194120","http://bbs.12365auto.com/postcontent.aspx?tID=194120")</f>
        <v>http://bbs.12365auto.com/postcontent.aspx?tID=194120</v>
      </c>
      <c r="G7618" s="2"/>
      <c r="H7618" s="2" t="s">
        <v>10489</v>
      </c>
      <c r="I7618" s="2" t="s">
        <v>15</v>
      </c>
      <c r="J7618" s="2" t="s">
        <v>4119</v>
      </c>
      <c r="K7618" s="2" t="s">
        <v>10486</v>
      </c>
      <c r="L7618" s="2">
        <f t="shared" si="118"/>
        <v>95</v>
      </c>
    </row>
    <row r="7619" spans="1:12" ht="25" customHeight="1">
      <c r="A7619" s="2" t="s">
        <v>12</v>
      </c>
      <c r="B7619" s="2" t="str">
        <f>HYPERLINK("http://bbs.12365auto.com/postcontent.aspx?tID=194118","雪铁龙C4L行驶跑偏行驶过程中不安全")</f>
        <v>雪铁龙C4L行驶跑偏行驶过程中不安全</v>
      </c>
      <c r="C7619" s="2" t="s">
        <v>13</v>
      </c>
      <c r="D7619" s="2" t="s">
        <v>12</v>
      </c>
      <c r="E7619" s="2" t="s">
        <v>67</v>
      </c>
      <c r="F7619" s="2" t="str">
        <f>HYPERLINK("http://bbs.12365auto.com/postcontent.aspx?tID=194118","http://bbs.12365auto.com/postcontent.aspx?tID=194118")</f>
        <v>http://bbs.12365auto.com/postcontent.aspx?tID=194118</v>
      </c>
      <c r="G7619" s="2"/>
      <c r="H7619" s="2" t="s">
        <v>10490</v>
      </c>
      <c r="I7619" s="2" t="s">
        <v>15</v>
      </c>
      <c r="J7619" s="2" t="s">
        <v>4126</v>
      </c>
      <c r="K7619" s="2" t="s">
        <v>10491</v>
      </c>
      <c r="L7619" s="2">
        <f t="shared" ref="L7619:L7682" si="119">LEN(H7619)</f>
        <v>150</v>
      </c>
    </row>
    <row r="7620" spans="1:12" ht="25" customHeight="1">
      <c r="A7620" s="2" t="s">
        <v>12</v>
      </c>
      <c r="B7620" s="2" t="str">
        <f>HYPERLINK("http://m.12365auto.com/bbs/postcontent.aspx?tID=194118","雪铁龙C4L行驶跑偏行驶过程中不安全")</f>
        <v>雪铁龙C4L行驶跑偏行驶过程中不安全</v>
      </c>
      <c r="C7620" s="2" t="s">
        <v>13</v>
      </c>
      <c r="D7620" s="2" t="s">
        <v>23</v>
      </c>
      <c r="E7620" s="2"/>
      <c r="F7620" s="2" t="str">
        <f>HYPERLINK("http://m.12365auto.com/bbs/postcontent.aspx?tID=194118","http://m.12365auto.com/bbs/postcontent.aspx?tID=194118")</f>
        <v>http://m.12365auto.com/bbs/postcontent.aspx?tID=194118</v>
      </c>
      <c r="G7620" s="2"/>
      <c r="H7620" s="2" t="s">
        <v>10492</v>
      </c>
      <c r="I7620" s="2" t="s">
        <v>15</v>
      </c>
      <c r="J7620" s="2" t="s">
        <v>4126</v>
      </c>
      <c r="K7620" s="2" t="s">
        <v>10491</v>
      </c>
      <c r="L7620" s="2">
        <f t="shared" si="119"/>
        <v>138</v>
      </c>
    </row>
    <row r="7621" spans="1:12" ht="25" customHeight="1">
      <c r="A7621" s="2" t="s">
        <v>12</v>
      </c>
      <c r="B7621" s="2" t="str">
        <f>HYPERLINK("http://bbs.12365auto.com/postcontent.aspx?tId=194118","雪铁龙C4L行驶跑偏行驶过程中不安全")</f>
        <v>雪铁龙C4L行驶跑偏行驶过程中不安全</v>
      </c>
      <c r="C7621" s="2" t="s">
        <v>13</v>
      </c>
      <c r="D7621" s="2" t="s">
        <v>12</v>
      </c>
      <c r="E7621" s="2" t="s">
        <v>66</v>
      </c>
      <c r="F7621" s="2" t="str">
        <f>HYPERLINK("http://bbs.12365auto.com/postcontent.aspx?tId=194118","http://bbs.12365auto.com/postcontent.aspx?tId=194118")</f>
        <v>http://bbs.12365auto.com/postcontent.aspx?tId=194118</v>
      </c>
      <c r="G7621" s="2"/>
      <c r="H7621" s="2" t="s">
        <v>10492</v>
      </c>
      <c r="I7621" s="2" t="s">
        <v>15</v>
      </c>
      <c r="J7621" s="2" t="s">
        <v>4126</v>
      </c>
      <c r="K7621" s="2" t="s">
        <v>10491</v>
      </c>
      <c r="L7621" s="2">
        <f t="shared" si="119"/>
        <v>138</v>
      </c>
    </row>
    <row r="7622" spans="1:12" ht="25" customHeight="1">
      <c r="A7622" s="2" t="s">
        <v>12</v>
      </c>
      <c r="B7622" s="2" t="str">
        <f>HYPERLINK("http://m.12365auto.com/xcdg/20200214/418566.shtml","丰田将推GR C-HR 原厂改装/272匹马力")</f>
        <v>丰田将推GR C-HR 原厂改装/272匹马力</v>
      </c>
      <c r="C7622" s="2" t="s">
        <v>13</v>
      </c>
      <c r="D7622" s="2" t="s">
        <v>12</v>
      </c>
      <c r="E7622" s="2"/>
      <c r="F7622" s="2" t="str">
        <f>HYPERLINK("http://m.12365auto.com/xcdg/20200214/418566.shtml","http://m.12365auto.com/xcdg/20200214/418566.shtml")</f>
        <v>http://m.12365auto.com/xcdg/20200214/418566.shtml</v>
      </c>
      <c r="G7622" s="2"/>
      <c r="H7622" s="2" t="s">
        <v>10493</v>
      </c>
      <c r="I7622" s="2" t="s">
        <v>19</v>
      </c>
      <c r="J7622" s="2" t="s">
        <v>1701</v>
      </c>
      <c r="K7622" s="2" t="s">
        <v>10491</v>
      </c>
      <c r="L7622" s="2">
        <f t="shared" si="119"/>
        <v>150</v>
      </c>
    </row>
    <row r="7623" spans="1:12" ht="25" customHeight="1">
      <c r="A7623" s="2" t="s">
        <v>12</v>
      </c>
      <c r="B7623" s="2" t="str">
        <f>HYPERLINK("http://www.12365auto.com/xcdg/20200214/418566.shtml","丰田将推GR C-HR 原厂改装/272匹马力")</f>
        <v>丰田将推GR C-HR 原厂改装/272匹马力</v>
      </c>
      <c r="C7623" s="2" t="s">
        <v>13</v>
      </c>
      <c r="D7623" s="2" t="s">
        <v>12</v>
      </c>
      <c r="E7623" s="2" t="s">
        <v>216</v>
      </c>
      <c r="F7623" s="2" t="str">
        <f>HYPERLINK("http://www.12365auto.com/xcdg/20200214/418566.shtml","http://www.12365auto.com/xcdg/20200214/418566.shtml")</f>
        <v>http://www.12365auto.com/xcdg/20200214/418566.shtml</v>
      </c>
      <c r="G7623" s="2"/>
      <c r="H7623" s="2" t="s">
        <v>10494</v>
      </c>
      <c r="I7623" s="2" t="s">
        <v>15</v>
      </c>
      <c r="J7623" s="2" t="s">
        <v>12</v>
      </c>
      <c r="K7623" s="2" t="s">
        <v>10491</v>
      </c>
      <c r="L7623" s="2">
        <f t="shared" si="119"/>
        <v>150</v>
      </c>
    </row>
    <row r="7624" spans="1:12" ht="25" customHeight="1">
      <c r="A7624" s="2" t="s">
        <v>12</v>
      </c>
      <c r="B7624" s="2" t="str">
        <f>HYPERLINK("http://bbs.12365auto.com/postcontent.aspx?tID=194116","L3电液模块损坏 故障灯亮个不停")</f>
        <v>L3电液模块损坏 故障灯亮个不停</v>
      </c>
      <c r="C7624" s="2" t="s">
        <v>13</v>
      </c>
      <c r="D7624" s="2" t="s">
        <v>12</v>
      </c>
      <c r="E7624" s="2" t="s">
        <v>67</v>
      </c>
      <c r="F7624" s="2" t="str">
        <f>HYPERLINK("http://bbs.12365auto.com/postcontent.aspx?tID=194116","http://bbs.12365auto.com/postcontent.aspx?tID=194116")</f>
        <v>http://bbs.12365auto.com/postcontent.aspx?tID=194116</v>
      </c>
      <c r="G7624" s="2"/>
      <c r="H7624" s="2" t="s">
        <v>10495</v>
      </c>
      <c r="I7624" s="2" t="s">
        <v>15</v>
      </c>
      <c r="J7624" s="2" t="s">
        <v>4134</v>
      </c>
      <c r="K7624" s="2" t="s">
        <v>10496</v>
      </c>
      <c r="L7624" s="2">
        <f t="shared" si="119"/>
        <v>150</v>
      </c>
    </row>
    <row r="7625" spans="1:12" ht="25" customHeight="1">
      <c r="A7625" s="2" t="s">
        <v>12</v>
      </c>
      <c r="B7625" s="2" t="str">
        <f>HYPERLINK("http://bbs.12365auto.com/postcontent.aspx?tID=194117","凌轩悬挂故障厂家不解决呀")</f>
        <v>凌轩悬挂故障厂家不解决呀</v>
      </c>
      <c r="C7625" s="2" t="s">
        <v>13</v>
      </c>
      <c r="D7625" s="2" t="s">
        <v>12</v>
      </c>
      <c r="E7625" s="2" t="s">
        <v>67</v>
      </c>
      <c r="F7625" s="2" t="str">
        <f>HYPERLINK("http://bbs.12365auto.com/postcontent.aspx?tID=194117","http://bbs.12365auto.com/postcontent.aspx?tID=194117")</f>
        <v>http://bbs.12365auto.com/postcontent.aspx?tID=194117</v>
      </c>
      <c r="G7625" s="2"/>
      <c r="H7625" s="2" t="s">
        <v>10497</v>
      </c>
      <c r="I7625" s="2" t="s">
        <v>15</v>
      </c>
      <c r="J7625" s="2" t="s">
        <v>4132</v>
      </c>
      <c r="K7625" s="2" t="s">
        <v>10496</v>
      </c>
      <c r="L7625" s="2">
        <f t="shared" si="119"/>
        <v>75</v>
      </c>
    </row>
    <row r="7626" spans="1:12" ht="25" customHeight="1">
      <c r="A7626" s="2" t="s">
        <v>12</v>
      </c>
      <c r="B7626" s="2" t="str">
        <f>HYPERLINK("http://m.12365auto.com/bbs/postcontent.aspx?tID=194116","L3电液模块损坏 故障灯亮个不停")</f>
        <v>L3电液模块损坏 故障灯亮个不停</v>
      </c>
      <c r="C7626" s="2" t="s">
        <v>13</v>
      </c>
      <c r="D7626" s="2" t="s">
        <v>23</v>
      </c>
      <c r="E7626" s="2"/>
      <c r="F7626" s="2" t="str">
        <f>HYPERLINK("http://m.12365auto.com/bbs/postcontent.aspx?tID=194116","http://m.12365auto.com/bbs/postcontent.aspx?tID=194116")</f>
        <v>http://m.12365auto.com/bbs/postcontent.aspx?tID=194116</v>
      </c>
      <c r="G7626" s="2"/>
      <c r="H7626" s="2" t="s">
        <v>10498</v>
      </c>
      <c r="I7626" s="2" t="s">
        <v>15</v>
      </c>
      <c r="J7626" s="2" t="s">
        <v>4134</v>
      </c>
      <c r="K7626" s="2" t="s">
        <v>10496</v>
      </c>
      <c r="L7626" s="2">
        <f t="shared" si="119"/>
        <v>150</v>
      </c>
    </row>
    <row r="7627" spans="1:12" ht="25" customHeight="1">
      <c r="A7627" s="2" t="s">
        <v>12</v>
      </c>
      <c r="B7627" s="2" t="str">
        <f>HYPERLINK("http://m.12365auto.com/bbs/postcontent.aspx?tID=194117","凌轩悬挂故障厂家不解决呀")</f>
        <v>凌轩悬挂故障厂家不解决呀</v>
      </c>
      <c r="C7627" s="2" t="s">
        <v>13</v>
      </c>
      <c r="D7627" s="2" t="s">
        <v>23</v>
      </c>
      <c r="E7627" s="2"/>
      <c r="F7627" s="2" t="str">
        <f>HYPERLINK("http://m.12365auto.com/bbs/postcontent.aspx?tID=194117","http://m.12365auto.com/bbs/postcontent.aspx?tID=194117")</f>
        <v>http://m.12365auto.com/bbs/postcontent.aspx?tID=194117</v>
      </c>
      <c r="G7627" s="2"/>
      <c r="H7627" s="2" t="s">
        <v>4251</v>
      </c>
      <c r="I7627" s="2" t="s">
        <v>15</v>
      </c>
      <c r="J7627" s="2" t="s">
        <v>4132</v>
      </c>
      <c r="K7627" s="2" t="s">
        <v>10496</v>
      </c>
      <c r="L7627" s="2">
        <f t="shared" si="119"/>
        <v>63</v>
      </c>
    </row>
    <row r="7628" spans="1:12" ht="25" customHeight="1">
      <c r="A7628" s="2" t="s">
        <v>12</v>
      </c>
      <c r="B7628" s="2" t="str">
        <f>HYPERLINK("http://bbs.12365auto.com/postcontent.aspx?tId=194117","凌轩悬挂故障厂家不解决呀")</f>
        <v>凌轩悬挂故障厂家不解决呀</v>
      </c>
      <c r="C7628" s="2" t="s">
        <v>13</v>
      </c>
      <c r="D7628" s="2" t="s">
        <v>12</v>
      </c>
      <c r="E7628" s="2" t="s">
        <v>66</v>
      </c>
      <c r="F7628" s="2" t="str">
        <f>HYPERLINK("http://bbs.12365auto.com/postcontent.aspx?tId=194117","http://bbs.12365auto.com/postcontent.aspx?tId=194117")</f>
        <v>http://bbs.12365auto.com/postcontent.aspx?tId=194117</v>
      </c>
      <c r="G7628" s="2"/>
      <c r="H7628" s="2" t="s">
        <v>4251</v>
      </c>
      <c r="I7628" s="2" t="s">
        <v>15</v>
      </c>
      <c r="J7628" s="2" t="s">
        <v>4132</v>
      </c>
      <c r="K7628" s="2" t="s">
        <v>10496</v>
      </c>
      <c r="L7628" s="2">
        <f t="shared" si="119"/>
        <v>63</v>
      </c>
    </row>
    <row r="7629" spans="1:12" ht="25" customHeight="1">
      <c r="A7629" s="2" t="s">
        <v>12</v>
      </c>
      <c r="B7629" s="2" t="str">
        <f>HYPERLINK("http://bbs.12365auto.com/postcontent.aspx?tId=194116","L3电液模块损坏 故障灯亮个不停")</f>
        <v>L3电液模块损坏 故障灯亮个不停</v>
      </c>
      <c r="C7629" s="2" t="s">
        <v>13</v>
      </c>
      <c r="D7629" s="2" t="s">
        <v>12</v>
      </c>
      <c r="E7629" s="2" t="s">
        <v>66</v>
      </c>
      <c r="F7629" s="2" t="str">
        <f>HYPERLINK("http://bbs.12365auto.com/postcontent.aspx?tId=194116","http://bbs.12365auto.com/postcontent.aspx?tId=194116")</f>
        <v>http://bbs.12365auto.com/postcontent.aspx?tId=194116</v>
      </c>
      <c r="G7629" s="2"/>
      <c r="H7629" s="2" t="s">
        <v>10498</v>
      </c>
      <c r="I7629" s="2" t="s">
        <v>15</v>
      </c>
      <c r="J7629" s="2" t="s">
        <v>4134</v>
      </c>
      <c r="K7629" s="2" t="s">
        <v>10496</v>
      </c>
      <c r="L7629" s="2">
        <f t="shared" si="119"/>
        <v>150</v>
      </c>
    </row>
    <row r="7630" spans="1:12" ht="25" customHeight="1">
      <c r="A7630" s="2" t="s">
        <v>12</v>
      </c>
      <c r="B7630" s="2" t="str">
        <f>HYPERLINK("http://m.12365auto.com/xcdg/20200214/418565.shtml","海马6P车型申报图曝光 搭载1.2T混动系统")</f>
        <v>海马6P车型申报图曝光 搭载1.2T混动系统</v>
      </c>
      <c r="C7630" s="2" t="s">
        <v>13</v>
      </c>
      <c r="D7630" s="2" t="s">
        <v>12</v>
      </c>
      <c r="E7630" s="2"/>
      <c r="F7630" s="2" t="str">
        <f>HYPERLINK("http://m.12365auto.com/xcdg/20200214/418565.shtml","http://m.12365auto.com/xcdg/20200214/418565.shtml")</f>
        <v>http://m.12365auto.com/xcdg/20200214/418565.shtml</v>
      </c>
      <c r="G7630" s="2"/>
      <c r="H7630" s="2" t="s">
        <v>10499</v>
      </c>
      <c r="I7630" s="2" t="s">
        <v>19</v>
      </c>
      <c r="J7630" s="2" t="s">
        <v>4514</v>
      </c>
      <c r="K7630" s="2" t="s">
        <v>10500</v>
      </c>
      <c r="L7630" s="2">
        <f t="shared" si="119"/>
        <v>150</v>
      </c>
    </row>
    <row r="7631" spans="1:12" ht="25" customHeight="1">
      <c r="A7631" s="2" t="s">
        <v>12</v>
      </c>
      <c r="B7631" s="2" t="str">
        <f>HYPERLINK("http://bbs.12365auto.com/postcontent.aspx?tID=194115","猎豹CS10变速箱漏油密封性差")</f>
        <v>猎豹CS10变速箱漏油密封性差</v>
      </c>
      <c r="C7631" s="2" t="s">
        <v>13</v>
      </c>
      <c r="D7631" s="2" t="s">
        <v>12</v>
      </c>
      <c r="E7631" s="2" t="s">
        <v>67</v>
      </c>
      <c r="F7631" s="2" t="str">
        <f>HYPERLINK("http://bbs.12365auto.com/postcontent.aspx?tID=194115","http://bbs.12365auto.com/postcontent.aspx?tID=194115")</f>
        <v>http://bbs.12365auto.com/postcontent.aspx?tID=194115</v>
      </c>
      <c r="G7631" s="2"/>
      <c r="H7631" s="2" t="s">
        <v>10501</v>
      </c>
      <c r="I7631" s="2" t="s">
        <v>15</v>
      </c>
      <c r="J7631" s="2" t="s">
        <v>4138</v>
      </c>
      <c r="K7631" s="2" t="s">
        <v>10500</v>
      </c>
      <c r="L7631" s="2">
        <f t="shared" si="119"/>
        <v>150</v>
      </c>
    </row>
    <row r="7632" spans="1:12" ht="25" customHeight="1">
      <c r="A7632" s="2" t="s">
        <v>12</v>
      </c>
      <c r="B7632" s="2" t="str">
        <f>HYPERLINK("http://www.12365auto.com/xcdg/20200214/418565.shtml","海马6P车型申报图曝光 搭载1.2T混动系统")</f>
        <v>海马6P车型申报图曝光 搭载1.2T混动系统</v>
      </c>
      <c r="C7632" s="2" t="s">
        <v>13</v>
      </c>
      <c r="D7632" s="2" t="s">
        <v>12</v>
      </c>
      <c r="E7632" s="2" t="s">
        <v>245</v>
      </c>
      <c r="F7632" s="2" t="str">
        <f>HYPERLINK("http://www.12365auto.com/xcdg/20200214/418565.shtml","http://www.12365auto.com/xcdg/20200214/418565.shtml")</f>
        <v>http://www.12365auto.com/xcdg/20200214/418565.shtml</v>
      </c>
      <c r="G7632" s="2"/>
      <c r="H7632" s="2" t="s">
        <v>10502</v>
      </c>
      <c r="I7632" s="2" t="s">
        <v>19</v>
      </c>
      <c r="J7632" s="2" t="s">
        <v>12</v>
      </c>
      <c r="K7632" s="2" t="s">
        <v>10500</v>
      </c>
      <c r="L7632" s="2">
        <f t="shared" si="119"/>
        <v>150</v>
      </c>
    </row>
    <row r="7633" spans="1:12" ht="25" customHeight="1">
      <c r="A7633" s="2" t="s">
        <v>12</v>
      </c>
      <c r="B7633" s="2" t="str">
        <f>HYPERLINK("http://m.12365auto.com/bbs/postcontent.aspx?tID=194115","猎豹CS10变速箱漏油密封性差")</f>
        <v>猎豹CS10变速箱漏油密封性差</v>
      </c>
      <c r="C7633" s="2" t="s">
        <v>13</v>
      </c>
      <c r="D7633" s="2" t="s">
        <v>23</v>
      </c>
      <c r="E7633" s="2"/>
      <c r="F7633" s="2" t="str">
        <f>HYPERLINK("http://m.12365auto.com/bbs/postcontent.aspx?tID=194115","http://m.12365auto.com/bbs/postcontent.aspx?tID=194115")</f>
        <v>http://m.12365auto.com/bbs/postcontent.aspx?tID=194115</v>
      </c>
      <c r="G7633" s="2"/>
      <c r="H7633" s="2" t="s">
        <v>10503</v>
      </c>
      <c r="I7633" s="2" t="s">
        <v>15</v>
      </c>
      <c r="J7633" s="2" t="s">
        <v>4138</v>
      </c>
      <c r="K7633" s="2" t="s">
        <v>10500</v>
      </c>
      <c r="L7633" s="2">
        <f t="shared" si="119"/>
        <v>150</v>
      </c>
    </row>
    <row r="7634" spans="1:12" ht="25" customHeight="1">
      <c r="A7634" s="2" t="s">
        <v>12</v>
      </c>
      <c r="B7634" s="2" t="str">
        <f>HYPERLINK("http://m.12365auto.com/bbs/postcontent.aspx?tID=194114","传祺GS5车顶漏水怎么处理质量让人堪忧")</f>
        <v>传祺GS5车顶漏水怎么处理质量让人堪忧</v>
      </c>
      <c r="C7634" s="2" t="s">
        <v>13</v>
      </c>
      <c r="D7634" s="2" t="s">
        <v>23</v>
      </c>
      <c r="E7634" s="2"/>
      <c r="F7634" s="2" t="str">
        <f>HYPERLINK("http://m.12365auto.com/bbs/postcontent.aspx?tID=194114","http://m.12365auto.com/bbs/postcontent.aspx?tID=194114")</f>
        <v>http://m.12365auto.com/bbs/postcontent.aspx?tID=194114</v>
      </c>
      <c r="G7634" s="2"/>
      <c r="H7634" s="2" t="s">
        <v>10504</v>
      </c>
      <c r="I7634" s="2" t="s">
        <v>15</v>
      </c>
      <c r="J7634" s="2" t="s">
        <v>4145</v>
      </c>
      <c r="K7634" s="2" t="s">
        <v>10500</v>
      </c>
      <c r="L7634" s="2">
        <f t="shared" si="119"/>
        <v>74</v>
      </c>
    </row>
    <row r="7635" spans="1:12" ht="25" customHeight="1">
      <c r="A7635" s="2" t="s">
        <v>12</v>
      </c>
      <c r="B7635" s="2" t="str">
        <f>HYPERLINK("http://bbs.12365auto.com/postcontent.aspx?tID=194114","传祺GS5车顶漏水怎么处理质量让人堪忧")</f>
        <v>传祺GS5车顶漏水怎么处理质量让人堪忧</v>
      </c>
      <c r="C7635" s="2" t="s">
        <v>13</v>
      </c>
      <c r="D7635" s="2" t="s">
        <v>12</v>
      </c>
      <c r="E7635" s="2" t="s">
        <v>67</v>
      </c>
      <c r="F7635" s="2" t="str">
        <f>HYPERLINK("http://bbs.12365auto.com/postcontent.aspx?tID=194114","http://bbs.12365auto.com/postcontent.aspx?tID=194114")</f>
        <v>http://bbs.12365auto.com/postcontent.aspx?tID=194114</v>
      </c>
      <c r="G7635" s="2"/>
      <c r="H7635" s="2" t="s">
        <v>10505</v>
      </c>
      <c r="I7635" s="2" t="s">
        <v>15</v>
      </c>
      <c r="J7635" s="2" t="s">
        <v>4145</v>
      </c>
      <c r="K7635" s="2" t="s">
        <v>10500</v>
      </c>
      <c r="L7635" s="2">
        <f t="shared" si="119"/>
        <v>93</v>
      </c>
    </row>
    <row r="7636" spans="1:12" ht="25" customHeight="1">
      <c r="A7636" s="2" t="s">
        <v>12</v>
      </c>
      <c r="B7636" s="2" t="str">
        <f>HYPERLINK("http://bbs.12365auto.com/postcontent.aspx?tId=194115","猎豹CS10变速箱漏油密封性差")</f>
        <v>猎豹CS10变速箱漏油密封性差</v>
      </c>
      <c r="C7636" s="2" t="s">
        <v>13</v>
      </c>
      <c r="D7636" s="2" t="s">
        <v>12</v>
      </c>
      <c r="E7636" s="2" t="s">
        <v>66</v>
      </c>
      <c r="F7636" s="2" t="str">
        <f>HYPERLINK("http://bbs.12365auto.com/postcontent.aspx?tId=194115","http://bbs.12365auto.com/postcontent.aspx?tId=194115")</f>
        <v>http://bbs.12365auto.com/postcontent.aspx?tId=194115</v>
      </c>
      <c r="G7636" s="2"/>
      <c r="H7636" s="2" t="s">
        <v>10503</v>
      </c>
      <c r="I7636" s="2" t="s">
        <v>15</v>
      </c>
      <c r="J7636" s="2" t="s">
        <v>4138</v>
      </c>
      <c r="K7636" s="2" t="s">
        <v>10500</v>
      </c>
      <c r="L7636" s="2">
        <f t="shared" si="119"/>
        <v>150</v>
      </c>
    </row>
    <row r="7637" spans="1:12" ht="25" customHeight="1">
      <c r="A7637" s="2" t="s">
        <v>12</v>
      </c>
      <c r="B7637" s="2" t="str">
        <f>HYPERLINK("http://bbs.12365auto.com/postcontent.aspx?tId=194114","传祺GS5车顶漏水怎么处理质量让人堪忧")</f>
        <v>传祺GS5车顶漏水怎么处理质量让人堪忧</v>
      </c>
      <c r="C7637" s="2" t="s">
        <v>13</v>
      </c>
      <c r="D7637" s="2" t="s">
        <v>12</v>
      </c>
      <c r="E7637" s="2" t="s">
        <v>66</v>
      </c>
      <c r="F7637" s="2" t="str">
        <f>HYPERLINK("http://bbs.12365auto.com/postcontent.aspx?tId=194114","http://bbs.12365auto.com/postcontent.aspx?tId=194114")</f>
        <v>http://bbs.12365auto.com/postcontent.aspx?tId=194114</v>
      </c>
      <c r="G7637" s="2"/>
      <c r="H7637" s="2" t="s">
        <v>10504</v>
      </c>
      <c r="I7637" s="2" t="s">
        <v>15</v>
      </c>
      <c r="J7637" s="2" t="s">
        <v>4145</v>
      </c>
      <c r="K7637" s="2" t="s">
        <v>10500</v>
      </c>
      <c r="L7637" s="2">
        <f t="shared" si="119"/>
        <v>74</v>
      </c>
    </row>
    <row r="7638" spans="1:12" ht="25" customHeight="1">
      <c r="A7638" s="2" t="s">
        <v>12</v>
      </c>
      <c r="B7638" s="2" t="str">
        <f>HYPERLINK("http://m.12365auto.com/xcdg/20200214/418564.shtml","启辰T90轻混版申报图曝光 使用三菱发动机")</f>
        <v>启辰T90轻混版申报图曝光 使用三菱发动机</v>
      </c>
      <c r="C7638" s="2" t="s">
        <v>13</v>
      </c>
      <c r="D7638" s="2" t="s">
        <v>12</v>
      </c>
      <c r="E7638" s="2"/>
      <c r="F7638" s="2" t="str">
        <f>HYPERLINK("http://m.12365auto.com/xcdg/20200214/418564.shtml","http://m.12365auto.com/xcdg/20200214/418564.shtml")</f>
        <v>http://m.12365auto.com/xcdg/20200214/418564.shtml</v>
      </c>
      <c r="G7638" s="2"/>
      <c r="H7638" s="2" t="s">
        <v>10506</v>
      </c>
      <c r="I7638" s="2" t="s">
        <v>19</v>
      </c>
      <c r="J7638" s="2" t="s">
        <v>4514</v>
      </c>
      <c r="K7638" s="2" t="s">
        <v>10507</v>
      </c>
      <c r="L7638" s="2">
        <f t="shared" si="119"/>
        <v>150</v>
      </c>
    </row>
    <row r="7639" spans="1:12" ht="25" customHeight="1">
      <c r="A7639" s="2" t="s">
        <v>12</v>
      </c>
      <c r="B7639" s="2" t="str">
        <f>HYPERLINK("http://www.12365auto.com/xcdg/20200214/418564.shtml","启辰T90轻混版申报图曝光 使用三菱发动机")</f>
        <v>启辰T90轻混版申报图曝光 使用三菱发动机</v>
      </c>
      <c r="C7639" s="2" t="s">
        <v>13</v>
      </c>
      <c r="D7639" s="2" t="s">
        <v>12</v>
      </c>
      <c r="E7639" s="2" t="s">
        <v>245</v>
      </c>
      <c r="F7639" s="2" t="str">
        <f>HYPERLINK("http://www.12365auto.com/xcdg/20200214/418564.shtml","http://www.12365auto.com/xcdg/20200214/418564.shtml")</f>
        <v>http://www.12365auto.com/xcdg/20200214/418564.shtml</v>
      </c>
      <c r="G7639" s="2"/>
      <c r="H7639" s="2" t="s">
        <v>10508</v>
      </c>
      <c r="I7639" s="2" t="s">
        <v>19</v>
      </c>
      <c r="J7639" s="2" t="s">
        <v>12</v>
      </c>
      <c r="K7639" s="2" t="s">
        <v>10507</v>
      </c>
      <c r="L7639" s="2">
        <f t="shared" si="119"/>
        <v>150</v>
      </c>
    </row>
    <row r="7640" spans="1:12" ht="25" customHeight="1">
      <c r="A7640" s="2" t="s">
        <v>12</v>
      </c>
      <c r="B7640" s="2" t="str">
        <f>HYPERLINK("http://m.12365auto.com/bbs/postcontent.aspx?tID=194113","荣威Ei5遥控器无法解锁车开不了了")</f>
        <v>荣威Ei5遥控器无法解锁车开不了了</v>
      </c>
      <c r="C7640" s="2" t="s">
        <v>13</v>
      </c>
      <c r="D7640" s="2" t="s">
        <v>23</v>
      </c>
      <c r="E7640" s="2"/>
      <c r="F7640" s="2" t="str">
        <f>HYPERLINK("http://m.12365auto.com/bbs/postcontent.aspx?tID=194113","http://m.12365auto.com/bbs/postcontent.aspx?tID=194113")</f>
        <v>http://m.12365auto.com/bbs/postcontent.aspx?tID=194113</v>
      </c>
      <c r="G7640" s="2"/>
      <c r="H7640" s="2" t="s">
        <v>10509</v>
      </c>
      <c r="I7640" s="2" t="s">
        <v>15</v>
      </c>
      <c r="J7640" s="2" t="s">
        <v>4142</v>
      </c>
      <c r="K7640" s="2" t="s">
        <v>10507</v>
      </c>
      <c r="L7640" s="2">
        <f t="shared" si="119"/>
        <v>74</v>
      </c>
    </row>
    <row r="7641" spans="1:12" ht="25" customHeight="1">
      <c r="A7641" s="2" t="s">
        <v>12</v>
      </c>
      <c r="B7641" s="2" t="str">
        <f>HYPERLINK("http://bbs.12365auto.com/postcontent.aspx?tID=194113","荣威Ei5遥控器无法解锁车开不了了")</f>
        <v>荣威Ei5遥控器无法解锁车开不了了</v>
      </c>
      <c r="C7641" s="2" t="s">
        <v>13</v>
      </c>
      <c r="D7641" s="2" t="s">
        <v>12</v>
      </c>
      <c r="E7641" s="2" t="s">
        <v>67</v>
      </c>
      <c r="F7641" s="2" t="str">
        <f>HYPERLINK("http://bbs.12365auto.com/postcontent.aspx?tID=194113","http://bbs.12365auto.com/postcontent.aspx?tID=194113")</f>
        <v>http://bbs.12365auto.com/postcontent.aspx?tID=194113</v>
      </c>
      <c r="G7641" s="2"/>
      <c r="H7641" s="2" t="s">
        <v>10510</v>
      </c>
      <c r="I7641" s="2" t="s">
        <v>15</v>
      </c>
      <c r="J7641" s="2" t="s">
        <v>4142</v>
      </c>
      <c r="K7641" s="2" t="s">
        <v>10507</v>
      </c>
      <c r="L7641" s="2">
        <f t="shared" si="119"/>
        <v>91</v>
      </c>
    </row>
    <row r="7642" spans="1:12" ht="25" customHeight="1">
      <c r="A7642" s="2" t="s">
        <v>12</v>
      </c>
      <c r="B7642" s="2" t="str">
        <f>HYPERLINK("http://bbs.12365auto.com/postcontent.aspx?tId=194113","荣威Ei5遥控器无法解锁车开不了了")</f>
        <v>荣威Ei5遥控器无法解锁车开不了了</v>
      </c>
      <c r="C7642" s="2" t="s">
        <v>13</v>
      </c>
      <c r="D7642" s="2" t="s">
        <v>12</v>
      </c>
      <c r="E7642" s="2" t="s">
        <v>66</v>
      </c>
      <c r="F7642" s="2" t="str">
        <f>HYPERLINK("http://bbs.12365auto.com/postcontent.aspx?tId=194113","http://bbs.12365auto.com/postcontent.aspx?tId=194113")</f>
        <v>http://bbs.12365auto.com/postcontent.aspx?tId=194113</v>
      </c>
      <c r="G7642" s="2"/>
      <c r="H7642" s="2" t="s">
        <v>10509</v>
      </c>
      <c r="I7642" s="2" t="s">
        <v>15</v>
      </c>
      <c r="J7642" s="2" t="s">
        <v>4142</v>
      </c>
      <c r="K7642" s="2" t="s">
        <v>10507</v>
      </c>
      <c r="L7642" s="2">
        <f t="shared" si="119"/>
        <v>74</v>
      </c>
    </row>
    <row r="7643" spans="1:12" ht="25" customHeight="1">
      <c r="A7643" s="2" t="s">
        <v>12</v>
      </c>
      <c r="B7643" s="2" t="str">
        <f>HYPERLINK("http://m.12365auto.com/news/20200214/418563.shtml","奔腾最新产品计划曝光 年内将推3款新车")</f>
        <v>奔腾最新产品计划曝光 年内将推3款新车</v>
      </c>
      <c r="C7643" s="2" t="s">
        <v>13</v>
      </c>
      <c r="D7643" s="2" t="s">
        <v>12</v>
      </c>
      <c r="E7643" s="2"/>
      <c r="F7643" s="2" t="str">
        <f>HYPERLINK("http://m.12365auto.com/news/20200214/418563.shtml","http://m.12365auto.com/news/20200214/418563.shtml")</f>
        <v>http://m.12365auto.com/news/20200214/418563.shtml</v>
      </c>
      <c r="G7643" s="2"/>
      <c r="H7643" s="2" t="s">
        <v>10511</v>
      </c>
      <c r="I7643" s="2" t="s">
        <v>19</v>
      </c>
      <c r="J7643" s="2" t="s">
        <v>1701</v>
      </c>
      <c r="K7643" s="2" t="s">
        <v>10512</v>
      </c>
      <c r="L7643" s="2">
        <f t="shared" si="119"/>
        <v>150</v>
      </c>
    </row>
    <row r="7644" spans="1:12" ht="25" customHeight="1">
      <c r="A7644" s="2" t="s">
        <v>12</v>
      </c>
      <c r="B7644" s="2" t="str">
        <f>HYPERLINK("http://www.12365auto.com/news/20200214/418563.shtml","奔腾最新产品计划曝光 年内将推3款新车")</f>
        <v>奔腾最新产品计划曝光 年内将推3款新车</v>
      </c>
      <c r="C7644" s="2" t="s">
        <v>13</v>
      </c>
      <c r="D7644" s="2" t="s">
        <v>12</v>
      </c>
      <c r="E7644" s="2" t="s">
        <v>282</v>
      </c>
      <c r="F7644" s="2" t="str">
        <f>HYPERLINK("http://www.12365auto.com/news/20200214/418563.shtml","http://www.12365auto.com/news/20200214/418563.shtml")</f>
        <v>http://www.12365auto.com/news/20200214/418563.shtml</v>
      </c>
      <c r="G7644" s="2"/>
      <c r="H7644" s="2" t="s">
        <v>10513</v>
      </c>
      <c r="I7644" s="2" t="s">
        <v>19</v>
      </c>
      <c r="J7644" s="2" t="s">
        <v>12</v>
      </c>
      <c r="K7644" s="2" t="s">
        <v>10512</v>
      </c>
      <c r="L7644" s="2">
        <f t="shared" si="119"/>
        <v>150</v>
      </c>
    </row>
    <row r="7645" spans="1:12" ht="25" customHeight="1">
      <c r="A7645" s="2" t="s">
        <v>12</v>
      </c>
      <c r="B7645" s="2" t="str">
        <f>HYPERLINK("http://m.12365auto.com/bbs/postcontent.aspx?tID=194112","领动变速箱加速无力动力不行了")</f>
        <v>领动变速箱加速无力动力不行了</v>
      </c>
      <c r="C7645" s="2" t="s">
        <v>13</v>
      </c>
      <c r="D7645" s="2" t="s">
        <v>23</v>
      </c>
      <c r="E7645" s="2"/>
      <c r="F7645" s="2" t="str">
        <f>HYPERLINK("http://m.12365auto.com/bbs/postcontent.aspx?tID=194112","http://m.12365auto.com/bbs/postcontent.aspx?tID=194112")</f>
        <v>http://m.12365auto.com/bbs/postcontent.aspx?tID=194112</v>
      </c>
      <c r="G7645" s="2"/>
      <c r="H7645" s="2" t="s">
        <v>10514</v>
      </c>
      <c r="I7645" s="2" t="s">
        <v>15</v>
      </c>
      <c r="J7645" s="2" t="s">
        <v>4152</v>
      </c>
      <c r="K7645" s="2" t="s">
        <v>10512</v>
      </c>
      <c r="L7645" s="2">
        <f t="shared" si="119"/>
        <v>37</v>
      </c>
    </row>
    <row r="7646" spans="1:12" ht="25" customHeight="1">
      <c r="A7646" s="2" t="s">
        <v>12</v>
      </c>
      <c r="B7646" s="2" t="str">
        <f>HYPERLINK("http://m.12365auto.com/bbs/postcontent.aspx?tID=194111","领动高速行驶转向有卡顿的现象")</f>
        <v>领动高速行驶转向有卡顿的现象</v>
      </c>
      <c r="C7646" s="2" t="s">
        <v>13</v>
      </c>
      <c r="D7646" s="2" t="s">
        <v>23</v>
      </c>
      <c r="E7646" s="2"/>
      <c r="F7646" s="2" t="str">
        <f>HYPERLINK("http://m.12365auto.com/bbs/postcontent.aspx?tID=194111","http://m.12365auto.com/bbs/postcontent.aspx?tID=194111")</f>
        <v>http://m.12365auto.com/bbs/postcontent.aspx?tID=194111</v>
      </c>
      <c r="G7646" s="2"/>
      <c r="H7646" s="2" t="s">
        <v>10515</v>
      </c>
      <c r="I7646" s="2" t="s">
        <v>15</v>
      </c>
      <c r="J7646" s="2" t="s">
        <v>4149</v>
      </c>
      <c r="K7646" s="2" t="s">
        <v>10512</v>
      </c>
      <c r="L7646" s="2">
        <f t="shared" si="119"/>
        <v>49</v>
      </c>
    </row>
    <row r="7647" spans="1:12" ht="25" customHeight="1">
      <c r="A7647" s="2" t="s">
        <v>12</v>
      </c>
      <c r="B7647" s="2" t="str">
        <f>HYPERLINK("http://bbs.12365auto.com/postcontent.aspx?tID=194111","领动高速行驶转向有卡顿的现象")</f>
        <v>领动高速行驶转向有卡顿的现象</v>
      </c>
      <c r="C7647" s="2" t="s">
        <v>13</v>
      </c>
      <c r="D7647" s="2" t="s">
        <v>12</v>
      </c>
      <c r="E7647" s="2" t="s">
        <v>67</v>
      </c>
      <c r="F7647" s="2" t="str">
        <f>HYPERLINK("http://bbs.12365auto.com/postcontent.aspx?tID=194111","http://bbs.12365auto.com/postcontent.aspx?tID=194111")</f>
        <v>http://bbs.12365auto.com/postcontent.aspx?tID=194111</v>
      </c>
      <c r="G7647" s="2"/>
      <c r="H7647" s="2" t="s">
        <v>10516</v>
      </c>
      <c r="I7647" s="2" t="s">
        <v>15</v>
      </c>
      <c r="J7647" s="2" t="s">
        <v>4149</v>
      </c>
      <c r="K7647" s="2" t="s">
        <v>10512</v>
      </c>
      <c r="L7647" s="2">
        <f t="shared" si="119"/>
        <v>63</v>
      </c>
    </row>
    <row r="7648" spans="1:12" ht="25" customHeight="1">
      <c r="A7648" s="2" t="s">
        <v>12</v>
      </c>
      <c r="B7648" s="2" t="str">
        <f>HYPERLINK("http://bbs.12365auto.com/postcontent.aspx?tID=194112","领动变速箱加速无力动力不行了")</f>
        <v>领动变速箱加速无力动力不行了</v>
      </c>
      <c r="C7648" s="2" t="s">
        <v>13</v>
      </c>
      <c r="D7648" s="2" t="s">
        <v>12</v>
      </c>
      <c r="E7648" s="2" t="s">
        <v>67</v>
      </c>
      <c r="F7648" s="2" t="str">
        <f>HYPERLINK("http://bbs.12365auto.com/postcontent.aspx?tID=194112","http://bbs.12365auto.com/postcontent.aspx?tID=194112")</f>
        <v>http://bbs.12365auto.com/postcontent.aspx?tID=194112</v>
      </c>
      <c r="G7648" s="2"/>
      <c r="H7648" s="2" t="s">
        <v>10517</v>
      </c>
      <c r="I7648" s="2" t="s">
        <v>15</v>
      </c>
      <c r="J7648" s="2" t="s">
        <v>4152</v>
      </c>
      <c r="K7648" s="2" t="s">
        <v>10512</v>
      </c>
      <c r="L7648" s="2">
        <f t="shared" si="119"/>
        <v>51</v>
      </c>
    </row>
    <row r="7649" spans="1:12" ht="25" customHeight="1">
      <c r="A7649" s="2" t="s">
        <v>12</v>
      </c>
      <c r="B7649" s="2" t="str">
        <f>HYPERLINK("http://bbs.12365auto.com/postcontent.aspx?tId=194111","领动高速行驶转向有卡顿的现象")</f>
        <v>领动高速行驶转向有卡顿的现象</v>
      </c>
      <c r="C7649" s="2" t="s">
        <v>13</v>
      </c>
      <c r="D7649" s="2" t="s">
        <v>12</v>
      </c>
      <c r="E7649" s="2" t="s">
        <v>66</v>
      </c>
      <c r="F7649" s="2" t="str">
        <f>HYPERLINK("http://bbs.12365auto.com/postcontent.aspx?tId=194111","http://bbs.12365auto.com/postcontent.aspx?tId=194111")</f>
        <v>http://bbs.12365auto.com/postcontent.aspx?tId=194111</v>
      </c>
      <c r="G7649" s="2"/>
      <c r="H7649" s="2" t="s">
        <v>10515</v>
      </c>
      <c r="I7649" s="2" t="s">
        <v>15</v>
      </c>
      <c r="J7649" s="2" t="s">
        <v>4149</v>
      </c>
      <c r="K7649" s="2" t="s">
        <v>10512</v>
      </c>
      <c r="L7649" s="2">
        <f t="shared" si="119"/>
        <v>49</v>
      </c>
    </row>
    <row r="7650" spans="1:12" ht="25" customHeight="1">
      <c r="A7650" s="2" t="s">
        <v>12</v>
      </c>
      <c r="B7650" s="2" t="str">
        <f>HYPERLINK("http://bbs.12365auto.com/postcontent.aspx?tId=194112","领动变速箱加速无力动力不行了")</f>
        <v>领动变速箱加速无力动力不行了</v>
      </c>
      <c r="C7650" s="2" t="s">
        <v>13</v>
      </c>
      <c r="D7650" s="2" t="s">
        <v>12</v>
      </c>
      <c r="E7650" s="2" t="s">
        <v>66</v>
      </c>
      <c r="F7650" s="2" t="str">
        <f>HYPERLINK("http://bbs.12365auto.com/postcontent.aspx?tId=194112","http://bbs.12365auto.com/postcontent.aspx?tId=194112")</f>
        <v>http://bbs.12365auto.com/postcontent.aspx?tId=194112</v>
      </c>
      <c r="G7650" s="2"/>
      <c r="H7650" s="2" t="s">
        <v>10514</v>
      </c>
      <c r="I7650" s="2" t="s">
        <v>15</v>
      </c>
      <c r="J7650" s="2" t="s">
        <v>4152</v>
      </c>
      <c r="K7650" s="2" t="s">
        <v>10512</v>
      </c>
      <c r="L7650" s="2">
        <f t="shared" si="119"/>
        <v>37</v>
      </c>
    </row>
    <row r="7651" spans="1:12" ht="25" customHeight="1">
      <c r="A7651" s="2" t="s">
        <v>12</v>
      </c>
      <c r="B7651" s="2" t="str">
        <f>HYPERLINK("http://bbs.12365auto.com/postcontent.aspx?tID=194109","CR-V发动机机油增多厂家就不管呀")</f>
        <v>CR-V发动机机油增多厂家就不管呀</v>
      </c>
      <c r="C7651" s="2" t="s">
        <v>13</v>
      </c>
      <c r="D7651" s="2" t="s">
        <v>12</v>
      </c>
      <c r="E7651" s="2" t="s">
        <v>67</v>
      </c>
      <c r="F7651" s="2" t="str">
        <f>HYPERLINK("http://bbs.12365auto.com/postcontent.aspx?tID=194109","http://bbs.12365auto.com/postcontent.aspx?tID=194109")</f>
        <v>http://bbs.12365auto.com/postcontent.aspx?tID=194109</v>
      </c>
      <c r="G7651" s="2"/>
      <c r="H7651" s="2" t="s">
        <v>10518</v>
      </c>
      <c r="I7651" s="2" t="s">
        <v>15</v>
      </c>
      <c r="J7651" s="2" t="s">
        <v>4160</v>
      </c>
      <c r="K7651" s="2" t="s">
        <v>10519</v>
      </c>
      <c r="L7651" s="2">
        <f t="shared" si="119"/>
        <v>46</v>
      </c>
    </row>
    <row r="7652" spans="1:12" ht="25" customHeight="1">
      <c r="A7652" s="2" t="s">
        <v>12</v>
      </c>
      <c r="B7652" s="2" t="str">
        <f>HYPERLINK("http://bbs.12365auto.com/postcontent.aspx?tID=194110","现代领动发动机不起火")</f>
        <v>现代领动发动机不起火</v>
      </c>
      <c r="C7652" s="2" t="s">
        <v>13</v>
      </c>
      <c r="D7652" s="2" t="s">
        <v>12</v>
      </c>
      <c r="E7652" s="2" t="s">
        <v>67</v>
      </c>
      <c r="F7652" s="2" t="str">
        <f>HYPERLINK("http://bbs.12365auto.com/postcontent.aspx?tID=194110","http://bbs.12365auto.com/postcontent.aspx?tID=194110")</f>
        <v>http://bbs.12365auto.com/postcontent.aspx?tID=194110</v>
      </c>
      <c r="G7652" s="2"/>
      <c r="H7652" s="2" t="s">
        <v>10520</v>
      </c>
      <c r="I7652" s="2" t="s">
        <v>15</v>
      </c>
      <c r="J7652" s="2" t="s">
        <v>4156</v>
      </c>
      <c r="K7652" s="2" t="s">
        <v>10519</v>
      </c>
      <c r="L7652" s="2">
        <f t="shared" si="119"/>
        <v>57</v>
      </c>
    </row>
    <row r="7653" spans="1:12" ht="25" customHeight="1">
      <c r="A7653" s="2" t="s">
        <v>12</v>
      </c>
      <c r="B7653" s="2" t="str">
        <f>HYPERLINK("http://bbs.12365auto.com/postcontent.aspx?tId=194110","现代领动发动机不起火")</f>
        <v>现代领动发动机不起火</v>
      </c>
      <c r="C7653" s="2" t="s">
        <v>13</v>
      </c>
      <c r="D7653" s="2" t="s">
        <v>12</v>
      </c>
      <c r="E7653" s="2" t="s">
        <v>66</v>
      </c>
      <c r="F7653" s="2" t="str">
        <f>HYPERLINK("http://bbs.12365auto.com/postcontent.aspx?tId=194110","http://bbs.12365auto.com/postcontent.aspx?tId=194110")</f>
        <v>http://bbs.12365auto.com/postcontent.aspx?tId=194110</v>
      </c>
      <c r="G7653" s="2"/>
      <c r="H7653" s="2" t="s">
        <v>10521</v>
      </c>
      <c r="I7653" s="2" t="s">
        <v>15</v>
      </c>
      <c r="J7653" s="2" t="s">
        <v>4156</v>
      </c>
      <c r="K7653" s="2" t="s">
        <v>10519</v>
      </c>
      <c r="L7653" s="2">
        <f t="shared" si="119"/>
        <v>47</v>
      </c>
    </row>
    <row r="7654" spans="1:12" ht="25" customHeight="1">
      <c r="A7654" s="2" t="s">
        <v>12</v>
      </c>
      <c r="B7654" s="2" t="str">
        <f>HYPERLINK("http://bbs.12365auto.com/postcontent.aspx?tId=194109","CR-V发动机机油增多厂家就不管呀")</f>
        <v>CR-V发动机机油增多厂家就不管呀</v>
      </c>
      <c r="C7654" s="2" t="s">
        <v>13</v>
      </c>
      <c r="D7654" s="2" t="s">
        <v>12</v>
      </c>
      <c r="E7654" s="2" t="s">
        <v>66</v>
      </c>
      <c r="F7654" s="2" t="str">
        <f>HYPERLINK("http://bbs.12365auto.com/postcontent.aspx?tId=194109","http://bbs.12365auto.com/postcontent.aspx?tId=194109")</f>
        <v>http://bbs.12365auto.com/postcontent.aspx?tId=194109</v>
      </c>
      <c r="G7654" s="2"/>
      <c r="H7654" s="2" t="s">
        <v>10522</v>
      </c>
      <c r="I7654" s="2" t="s">
        <v>15</v>
      </c>
      <c r="J7654" s="2" t="s">
        <v>4160</v>
      </c>
      <c r="K7654" s="2" t="s">
        <v>10519</v>
      </c>
      <c r="L7654" s="2">
        <f t="shared" si="119"/>
        <v>29</v>
      </c>
    </row>
    <row r="7655" spans="1:12" ht="25" customHeight="1">
      <c r="A7655" s="2" t="s">
        <v>12</v>
      </c>
      <c r="B7655" s="2" t="str">
        <f>HYPERLINK("http://bbs.12365auto.com/postcontent.aspx?tId=194108","雅阁变速箱漏油应该怎么处理？")</f>
        <v>雅阁变速箱漏油应该怎么处理？</v>
      </c>
      <c r="C7655" s="2" t="s">
        <v>13</v>
      </c>
      <c r="D7655" s="2" t="s">
        <v>12</v>
      </c>
      <c r="E7655" s="2" t="s">
        <v>66</v>
      </c>
      <c r="F7655" s="2" t="str">
        <f>HYPERLINK("http://bbs.12365auto.com/postcontent.aspx?tId=194108","http://bbs.12365auto.com/postcontent.aspx?tId=194108")</f>
        <v>http://bbs.12365auto.com/postcontent.aspx?tId=194108</v>
      </c>
      <c r="G7655" s="2"/>
      <c r="H7655" s="2" t="s">
        <v>10523</v>
      </c>
      <c r="I7655" s="2" t="s">
        <v>15</v>
      </c>
      <c r="J7655" s="2" t="s">
        <v>4163</v>
      </c>
      <c r="K7655" s="2" t="s">
        <v>10524</v>
      </c>
      <c r="L7655" s="2">
        <f t="shared" si="119"/>
        <v>47</v>
      </c>
    </row>
    <row r="7656" spans="1:12" ht="25" customHeight="1">
      <c r="A7656" s="2" t="s">
        <v>12</v>
      </c>
      <c r="B7656" s="2" t="str">
        <f>HYPERLINK("http://bbs.12365auto.com/postcontent.aspx?tID=194108","雅阁变速箱漏油应该怎么处理？")</f>
        <v>雅阁变速箱漏油应该怎么处理？</v>
      </c>
      <c r="C7656" s="2" t="s">
        <v>13</v>
      </c>
      <c r="D7656" s="2" t="s">
        <v>12</v>
      </c>
      <c r="E7656" s="2" t="s">
        <v>67</v>
      </c>
      <c r="F7656" s="2" t="str">
        <f>HYPERLINK("http://bbs.12365auto.com/postcontent.aspx?tID=194108","http://bbs.12365auto.com/postcontent.aspx?tID=194108")</f>
        <v>http://bbs.12365auto.com/postcontent.aspx?tID=194108</v>
      </c>
      <c r="G7656" s="2"/>
      <c r="H7656" s="2" t="s">
        <v>10525</v>
      </c>
      <c r="I7656" s="2" t="s">
        <v>15</v>
      </c>
      <c r="J7656" s="2" t="s">
        <v>4163</v>
      </c>
      <c r="K7656" s="2" t="s">
        <v>10524</v>
      </c>
      <c r="L7656" s="2">
        <f t="shared" si="119"/>
        <v>61</v>
      </c>
    </row>
    <row r="7657" spans="1:12" ht="25" customHeight="1">
      <c r="A7657" s="2" t="s">
        <v>12</v>
      </c>
      <c r="B7657" s="2" t="str">
        <f>HYPERLINK("http://www.12365auto.com/news/20200214/418562.shtml","温中求变 上汽大通2020年挑战18万辆")</f>
        <v>温中求变 上汽大通2020年挑战18万辆</v>
      </c>
      <c r="C7657" s="2" t="s">
        <v>13</v>
      </c>
      <c r="D7657" s="2" t="s">
        <v>12</v>
      </c>
      <c r="E7657" s="2" t="s">
        <v>282</v>
      </c>
      <c r="F7657" s="2" t="str">
        <f>HYPERLINK("http://www.12365auto.com/news/20200214/418562.shtml","http://www.12365auto.com/news/20200214/418562.shtml")</f>
        <v>http://www.12365auto.com/news/20200214/418562.shtml</v>
      </c>
      <c r="G7657" s="2"/>
      <c r="H7657" s="2" t="s">
        <v>10526</v>
      </c>
      <c r="I7657" s="2" t="s">
        <v>19</v>
      </c>
      <c r="J7657" s="2" t="s">
        <v>12</v>
      </c>
      <c r="K7657" s="2" t="s">
        <v>10527</v>
      </c>
      <c r="L7657" s="2">
        <f t="shared" si="119"/>
        <v>150</v>
      </c>
    </row>
    <row r="7658" spans="1:12" ht="25" customHeight="1">
      <c r="A7658" s="2" t="s">
        <v>12</v>
      </c>
      <c r="B7658" s="2" t="str">
        <f>HYPERLINK("http://bbs.12365auto.com/postcontent.aspx?tId=194106","缤越变速箱换挡顿挫质量不行呀")</f>
        <v>缤越变速箱换挡顿挫质量不行呀</v>
      </c>
      <c r="C7658" s="2" t="s">
        <v>13</v>
      </c>
      <c r="D7658" s="2" t="s">
        <v>12</v>
      </c>
      <c r="E7658" s="2" t="s">
        <v>66</v>
      </c>
      <c r="F7658" s="2" t="str">
        <f>HYPERLINK("http://bbs.12365auto.com/postcontent.aspx?tId=194106","http://bbs.12365auto.com/postcontent.aspx?tId=194106")</f>
        <v>http://bbs.12365auto.com/postcontent.aspx?tId=194106</v>
      </c>
      <c r="G7658" s="2"/>
      <c r="H7658" s="2" t="s">
        <v>10528</v>
      </c>
      <c r="I7658" s="2" t="s">
        <v>15</v>
      </c>
      <c r="J7658" s="2" t="s">
        <v>4166</v>
      </c>
      <c r="K7658" s="2" t="s">
        <v>10527</v>
      </c>
      <c r="L7658" s="2">
        <f t="shared" si="119"/>
        <v>64</v>
      </c>
    </row>
    <row r="7659" spans="1:12" ht="25" customHeight="1">
      <c r="A7659" s="2" t="s">
        <v>12</v>
      </c>
      <c r="B7659" s="2" t="str">
        <f>HYPERLINK("http://bbs.12365auto.com/postcontent.aspx?tId=194107","东南DX3发动机故障灯亮了起来质量不行呀")</f>
        <v>东南DX3发动机故障灯亮了起来质量不行呀</v>
      </c>
      <c r="C7659" s="2" t="s">
        <v>13</v>
      </c>
      <c r="D7659" s="2" t="s">
        <v>12</v>
      </c>
      <c r="E7659" s="2" t="s">
        <v>66</v>
      </c>
      <c r="F7659" s="2" t="str">
        <f>HYPERLINK("http://bbs.12365auto.com/postcontent.aspx?tId=194107","http://bbs.12365auto.com/postcontent.aspx?tId=194107")</f>
        <v>http://bbs.12365auto.com/postcontent.aspx?tId=194107</v>
      </c>
      <c r="G7659" s="2"/>
      <c r="H7659" s="2" t="s">
        <v>10529</v>
      </c>
      <c r="I7659" s="2" t="s">
        <v>15</v>
      </c>
      <c r="J7659" s="2" t="s">
        <v>4169</v>
      </c>
      <c r="K7659" s="2" t="s">
        <v>10527</v>
      </c>
      <c r="L7659" s="2">
        <f t="shared" si="119"/>
        <v>27</v>
      </c>
    </row>
    <row r="7660" spans="1:12" ht="25" customHeight="1">
      <c r="A7660" s="2" t="s">
        <v>12</v>
      </c>
      <c r="B7660" s="2" t="str">
        <f>HYPERLINK("http://bbs.12365auto.com/postcontent.aspx?tID=194107","东南DX3发动机故障灯亮了起来质量不行呀")</f>
        <v>东南DX3发动机故障灯亮了起来质量不行呀</v>
      </c>
      <c r="C7660" s="2" t="s">
        <v>13</v>
      </c>
      <c r="D7660" s="2" t="s">
        <v>12</v>
      </c>
      <c r="E7660" s="2" t="s">
        <v>67</v>
      </c>
      <c r="F7660" s="2" t="str">
        <f>HYPERLINK("http://bbs.12365auto.com/postcontent.aspx?tID=194107","http://bbs.12365auto.com/postcontent.aspx?tID=194107")</f>
        <v>http://bbs.12365auto.com/postcontent.aspx?tID=194107</v>
      </c>
      <c r="G7660" s="2"/>
      <c r="H7660" s="2" t="s">
        <v>10530</v>
      </c>
      <c r="I7660" s="2" t="s">
        <v>15</v>
      </c>
      <c r="J7660" s="2" t="s">
        <v>4169</v>
      </c>
      <c r="K7660" s="2" t="s">
        <v>10527</v>
      </c>
      <c r="L7660" s="2">
        <f t="shared" si="119"/>
        <v>47</v>
      </c>
    </row>
    <row r="7661" spans="1:12" ht="25" customHeight="1">
      <c r="A7661" s="2" t="s">
        <v>12</v>
      </c>
      <c r="B7661" s="2" t="str">
        <f>HYPERLINK("http://bbs.12365auto.com/postcontent.aspx?tID=194106","缤越变速箱换挡顿挫质量不行呀")</f>
        <v>缤越变速箱换挡顿挫质量不行呀</v>
      </c>
      <c r="C7661" s="2" t="s">
        <v>13</v>
      </c>
      <c r="D7661" s="2" t="s">
        <v>12</v>
      </c>
      <c r="E7661" s="2" t="s">
        <v>67</v>
      </c>
      <c r="F7661" s="2" t="str">
        <f>HYPERLINK("http://bbs.12365auto.com/postcontent.aspx?tID=194106","http://bbs.12365auto.com/postcontent.aspx?tID=194106")</f>
        <v>http://bbs.12365auto.com/postcontent.aspx?tID=194106</v>
      </c>
      <c r="G7661" s="2"/>
      <c r="H7661" s="2" t="s">
        <v>10531</v>
      </c>
      <c r="I7661" s="2" t="s">
        <v>15</v>
      </c>
      <c r="J7661" s="2" t="s">
        <v>4166</v>
      </c>
      <c r="K7661" s="2" t="s">
        <v>10527</v>
      </c>
      <c r="L7661" s="2">
        <f t="shared" si="119"/>
        <v>78</v>
      </c>
    </row>
    <row r="7662" spans="1:12" ht="25" customHeight="1">
      <c r="A7662" s="2" t="s">
        <v>12</v>
      </c>
      <c r="B7662" s="2" t="str">
        <f>HYPERLINK("http://m.12365auto.com/news/20200214/418562.shtml","温中求变 上汽大通2020年挑战18万辆")</f>
        <v>温中求变 上汽大通2020年挑战18万辆</v>
      </c>
      <c r="C7662" s="2" t="s">
        <v>13</v>
      </c>
      <c r="D7662" s="2" t="s">
        <v>12</v>
      </c>
      <c r="E7662" s="2"/>
      <c r="F7662" s="2" t="str">
        <f>HYPERLINK("http://m.12365auto.com/news/20200214/418562.shtml","http://m.12365auto.com/news/20200214/418562.shtml")</f>
        <v>http://m.12365auto.com/news/20200214/418562.shtml</v>
      </c>
      <c r="G7662" s="2"/>
      <c r="H7662" s="2" t="s">
        <v>10532</v>
      </c>
      <c r="I7662" s="2" t="s">
        <v>19</v>
      </c>
      <c r="J7662" s="2" t="s">
        <v>12</v>
      </c>
      <c r="K7662" s="2" t="s">
        <v>10527</v>
      </c>
      <c r="L7662" s="2">
        <f t="shared" si="119"/>
        <v>150</v>
      </c>
    </row>
    <row r="7663" spans="1:12" ht="25" customHeight="1">
      <c r="A7663" s="2" t="s">
        <v>12</v>
      </c>
      <c r="B7663" s="2" t="str">
        <f>HYPERLINK("http://www.12365auto.com/zlts/20200214/447174.shtml","东风本田杰德机油增多已到上限位置")</f>
        <v>东风本田杰德机油增多已到上限位置</v>
      </c>
      <c r="C7663" s="2" t="s">
        <v>13</v>
      </c>
      <c r="D7663" s="2" t="s">
        <v>12</v>
      </c>
      <c r="E7663" s="2" t="s">
        <v>17</v>
      </c>
      <c r="F7663" s="2" t="str">
        <f>HYPERLINK("http://www.12365auto.com/zlts/20200214/447174.shtml","http://www.12365auto.com/zlts/20200214/447174.shtml")</f>
        <v>http://www.12365auto.com/zlts/20200214/447174.shtml</v>
      </c>
      <c r="G7663" s="2"/>
      <c r="H7663" s="2" t="s">
        <v>10533</v>
      </c>
      <c r="I7663" s="2" t="s">
        <v>15</v>
      </c>
      <c r="J7663" s="2" t="s">
        <v>12</v>
      </c>
      <c r="K7663" s="2" t="s">
        <v>10534</v>
      </c>
      <c r="L7663" s="2">
        <f t="shared" si="119"/>
        <v>150</v>
      </c>
    </row>
    <row r="7664" spans="1:12" ht="25" customHeight="1">
      <c r="A7664" s="2" t="s">
        <v>12</v>
      </c>
      <c r="B7664" s="2" t="str">
        <f>HYPERLINK("http://www.12365auto.com/news/20200214/418561.shtml","宝马宣布将放弃在俄罗斯建设新工厂")</f>
        <v>宝马宣布将放弃在俄罗斯建设新工厂</v>
      </c>
      <c r="C7664" s="2" t="s">
        <v>13</v>
      </c>
      <c r="D7664" s="2" t="s">
        <v>12</v>
      </c>
      <c r="E7664" s="2" t="s">
        <v>276</v>
      </c>
      <c r="F7664" s="2" t="str">
        <f>HYPERLINK("http://www.12365auto.com/news/20200214/418561.shtml","http://www.12365auto.com/news/20200214/418561.shtml")</f>
        <v>http://www.12365auto.com/news/20200214/418561.shtml</v>
      </c>
      <c r="G7664" s="2"/>
      <c r="H7664" s="2" t="s">
        <v>10535</v>
      </c>
      <c r="I7664" s="2" t="s">
        <v>15</v>
      </c>
      <c r="J7664" s="2" t="s">
        <v>12</v>
      </c>
      <c r="K7664" s="2" t="s">
        <v>10534</v>
      </c>
      <c r="L7664" s="2">
        <f t="shared" si="119"/>
        <v>150</v>
      </c>
    </row>
    <row r="7665" spans="1:12" ht="25" customHeight="1">
      <c r="A7665" s="2" t="s">
        <v>12</v>
      </c>
      <c r="B7665" s="2" t="str">
        <f>HYPERLINK("http://m.12365auto.com/news/20200214/418561.shtml","宝马宣布将放弃在俄罗斯建设新工厂")</f>
        <v>宝马宣布将放弃在俄罗斯建设新工厂</v>
      </c>
      <c r="C7665" s="2" t="s">
        <v>13</v>
      </c>
      <c r="D7665" s="2" t="s">
        <v>12</v>
      </c>
      <c r="E7665" s="2"/>
      <c r="F7665" s="2" t="str">
        <f>HYPERLINK("http://m.12365auto.com/news/20200214/418561.shtml","http://m.12365auto.com/news/20200214/418561.shtml")</f>
        <v>http://m.12365auto.com/news/20200214/418561.shtml</v>
      </c>
      <c r="G7665" s="2"/>
      <c r="H7665" s="2" t="s">
        <v>10536</v>
      </c>
      <c r="I7665" s="2" t="s">
        <v>19</v>
      </c>
      <c r="J7665" s="2" t="s">
        <v>12</v>
      </c>
      <c r="K7665" s="2" t="s">
        <v>10534</v>
      </c>
      <c r="L7665" s="2">
        <f t="shared" si="119"/>
        <v>150</v>
      </c>
    </row>
    <row r="7666" spans="1:12" ht="25" customHeight="1">
      <c r="A7666" s="2" t="s">
        <v>12</v>
      </c>
      <c r="B7666" s="2" t="str">
        <f>HYPERLINK("http://www.12365auto.com/xcdg/20200214/418560.shtml","大众ID.4路试谍照曝光 或底特律车展发布")</f>
        <v>大众ID.4路试谍照曝光 或底特律车展发布</v>
      </c>
      <c r="C7666" s="2" t="s">
        <v>13</v>
      </c>
      <c r="D7666" s="2" t="s">
        <v>12</v>
      </c>
      <c r="E7666" s="2" t="s">
        <v>216</v>
      </c>
      <c r="F7666" s="2" t="str">
        <f>HYPERLINK("http://www.12365auto.com/xcdg/20200214/418560.shtml","http://www.12365auto.com/xcdg/20200214/418560.shtml")</f>
        <v>http://www.12365auto.com/xcdg/20200214/418560.shtml</v>
      </c>
      <c r="G7666" s="2"/>
      <c r="H7666" s="2" t="s">
        <v>10537</v>
      </c>
      <c r="I7666" s="2" t="s">
        <v>15</v>
      </c>
      <c r="J7666" s="2" t="s">
        <v>12</v>
      </c>
      <c r="K7666" s="2" t="s">
        <v>10538</v>
      </c>
      <c r="L7666" s="2">
        <f t="shared" si="119"/>
        <v>150</v>
      </c>
    </row>
    <row r="7667" spans="1:12" ht="25" customHeight="1">
      <c r="A7667" s="2" t="s">
        <v>12</v>
      </c>
      <c r="B7667" s="2" t="str">
        <f>HYPERLINK("http://m.12365auto.com/xcdg/20200214/418560.shtml","大众ID.4路试谍照曝光 或底特律车展发布")</f>
        <v>大众ID.4路试谍照曝光 或底特律车展发布</v>
      </c>
      <c r="C7667" s="2" t="s">
        <v>13</v>
      </c>
      <c r="D7667" s="2" t="s">
        <v>12</v>
      </c>
      <c r="E7667" s="2"/>
      <c r="F7667" s="2" t="str">
        <f>HYPERLINK("http://m.12365auto.com/xcdg/20200214/418560.shtml","http://m.12365auto.com/xcdg/20200214/418560.shtml")</f>
        <v>http://m.12365auto.com/xcdg/20200214/418560.shtml</v>
      </c>
      <c r="G7667" s="2"/>
      <c r="H7667" s="2" t="s">
        <v>10539</v>
      </c>
      <c r="I7667" s="2" t="s">
        <v>19</v>
      </c>
      <c r="J7667" s="2" t="s">
        <v>10540</v>
      </c>
      <c r="K7667" s="2" t="s">
        <v>10538</v>
      </c>
      <c r="L7667" s="2">
        <f t="shared" si="119"/>
        <v>150</v>
      </c>
    </row>
    <row r="7668" spans="1:12" ht="25" customHeight="1">
      <c r="A7668" s="2" t="s">
        <v>12</v>
      </c>
      <c r="B7668" s="2" t="str">
        <f>HYPERLINK("http://www.12365auto.com/xcdg/20200214/418559.shtml","电动“悍马皮卡”假想图曝光 或2021年发布")</f>
        <v>电动“悍马皮卡”假想图曝光 或2021年发布</v>
      </c>
      <c r="C7668" s="2" t="s">
        <v>13</v>
      </c>
      <c r="D7668" s="2" t="s">
        <v>12</v>
      </c>
      <c r="E7668" s="2" t="s">
        <v>245</v>
      </c>
      <c r="F7668" s="2" t="str">
        <f>HYPERLINK("http://www.12365auto.com/xcdg/20200214/418559.shtml","http://www.12365auto.com/xcdg/20200214/418559.shtml")</f>
        <v>http://www.12365auto.com/xcdg/20200214/418559.shtml</v>
      </c>
      <c r="G7668" s="2"/>
      <c r="H7668" s="2" t="s">
        <v>10541</v>
      </c>
      <c r="I7668" s="2" t="s">
        <v>19</v>
      </c>
      <c r="J7668" s="2" t="s">
        <v>12</v>
      </c>
      <c r="K7668" s="2" t="s">
        <v>10542</v>
      </c>
      <c r="L7668" s="2">
        <f t="shared" si="119"/>
        <v>150</v>
      </c>
    </row>
    <row r="7669" spans="1:12" ht="25" customHeight="1">
      <c r="A7669" s="2" t="s">
        <v>12</v>
      </c>
      <c r="B7669" s="2" t="str">
        <f>HYPERLINK("http://m.12365auto.com/xcdg/20200214/418559.shtml","电动“悍马皮卡”假想图曝光 或2021年发布")</f>
        <v>电动“悍马皮卡”假想图曝光 或2021年发布</v>
      </c>
      <c r="C7669" s="2" t="s">
        <v>13</v>
      </c>
      <c r="D7669" s="2" t="s">
        <v>12</v>
      </c>
      <c r="E7669" s="2"/>
      <c r="F7669" s="2" t="str">
        <f>HYPERLINK("http://m.12365auto.com/xcdg/20200214/418559.shtml","http://m.12365auto.com/xcdg/20200214/418559.shtml")</f>
        <v>http://m.12365auto.com/xcdg/20200214/418559.shtml</v>
      </c>
      <c r="G7669" s="2"/>
      <c r="H7669" s="2" t="s">
        <v>10543</v>
      </c>
      <c r="I7669" s="2" t="s">
        <v>19</v>
      </c>
      <c r="J7669" s="2" t="s">
        <v>10540</v>
      </c>
      <c r="K7669" s="2" t="s">
        <v>10542</v>
      </c>
      <c r="L7669" s="2">
        <f t="shared" si="119"/>
        <v>150</v>
      </c>
    </row>
    <row r="7670" spans="1:12" ht="25" customHeight="1">
      <c r="A7670" s="2" t="s">
        <v>12</v>
      </c>
      <c r="B7670" s="2" t="str">
        <f>HYPERLINK("http://www.12365auto.com/news/20200214/418558.shtml","受疫情影响严重 北汽新能源1月销量下滑")</f>
        <v>受疫情影响严重 北汽新能源1月销量下滑</v>
      </c>
      <c r="C7670" s="2" t="s">
        <v>13</v>
      </c>
      <c r="D7670" s="2" t="s">
        <v>12</v>
      </c>
      <c r="E7670" s="2" t="s">
        <v>282</v>
      </c>
      <c r="F7670" s="2" t="str">
        <f>HYPERLINK("http://www.12365auto.com/news/20200214/418558.shtml","http://www.12365auto.com/news/20200214/418558.shtml")</f>
        <v>http://www.12365auto.com/news/20200214/418558.shtml</v>
      </c>
      <c r="G7670" s="2"/>
      <c r="H7670" s="2" t="s">
        <v>10544</v>
      </c>
      <c r="I7670" s="2" t="s">
        <v>19</v>
      </c>
      <c r="J7670" s="2" t="s">
        <v>12</v>
      </c>
      <c r="K7670" s="2" t="s">
        <v>10545</v>
      </c>
      <c r="L7670" s="2">
        <f t="shared" si="119"/>
        <v>150</v>
      </c>
    </row>
    <row r="7671" spans="1:12" ht="25" customHeight="1">
      <c r="A7671" s="2" t="s">
        <v>12</v>
      </c>
      <c r="B7671" s="2" t="str">
        <f>HYPERLINK("http://m.12365auto.com/news/20200214/418558.shtml","受疫情影响严重 北汽新能源1月销量下滑")</f>
        <v>受疫情影响严重 北汽新能源1月销量下滑</v>
      </c>
      <c r="C7671" s="2" t="s">
        <v>13</v>
      </c>
      <c r="D7671" s="2" t="s">
        <v>12</v>
      </c>
      <c r="E7671" s="2"/>
      <c r="F7671" s="2" t="str">
        <f>HYPERLINK("http://m.12365auto.com/news/20200214/418558.shtml","http://m.12365auto.com/news/20200214/418558.shtml")</f>
        <v>http://m.12365auto.com/news/20200214/418558.shtml</v>
      </c>
      <c r="G7671" s="2"/>
      <c r="H7671" s="2" t="s">
        <v>10546</v>
      </c>
      <c r="I7671" s="2" t="s">
        <v>19</v>
      </c>
      <c r="J7671" s="2" t="s">
        <v>2697</v>
      </c>
      <c r="K7671" s="2" t="s">
        <v>10545</v>
      </c>
      <c r="L7671" s="2">
        <f t="shared" si="119"/>
        <v>150</v>
      </c>
    </row>
    <row r="7672" spans="1:12" ht="25" customHeight="1">
      <c r="A7672" s="2" t="s">
        <v>12</v>
      </c>
      <c r="B7672" s="2" t="str">
        <f>HYPERLINK("http://www.12365auto.com/news/20200214/418557.shtml","小鹏汽车为部分G3车主推出延迟还款政策")</f>
        <v>小鹏汽车为部分G3车主推出延迟还款政策</v>
      </c>
      <c r="C7672" s="2" t="s">
        <v>13</v>
      </c>
      <c r="D7672" s="2" t="s">
        <v>12</v>
      </c>
      <c r="E7672" s="2" t="s">
        <v>282</v>
      </c>
      <c r="F7672" s="2" t="str">
        <f>HYPERLINK("http://www.12365auto.com/news/20200214/418557.shtml","http://www.12365auto.com/news/20200214/418557.shtml")</f>
        <v>http://www.12365auto.com/news/20200214/418557.shtml</v>
      </c>
      <c r="G7672" s="2"/>
      <c r="H7672" s="2" t="s">
        <v>10547</v>
      </c>
      <c r="I7672" s="2" t="s">
        <v>19</v>
      </c>
      <c r="J7672" s="2" t="s">
        <v>12</v>
      </c>
      <c r="K7672" s="2" t="s">
        <v>10548</v>
      </c>
      <c r="L7672" s="2">
        <f t="shared" si="119"/>
        <v>150</v>
      </c>
    </row>
    <row r="7673" spans="1:12" ht="25" customHeight="1">
      <c r="A7673" s="2" t="s">
        <v>12</v>
      </c>
      <c r="B7673" s="2" t="str">
        <f>HYPERLINK("http://m.12365auto.com/news/20200214/418557.shtml","小鹏汽车为部分G3车主推出延迟还款政策")</f>
        <v>小鹏汽车为部分G3车主推出延迟还款政策</v>
      </c>
      <c r="C7673" s="2" t="s">
        <v>13</v>
      </c>
      <c r="D7673" s="2" t="s">
        <v>12</v>
      </c>
      <c r="E7673" s="2"/>
      <c r="F7673" s="2" t="str">
        <f>HYPERLINK("http://m.12365auto.com/news/20200214/418557.shtml","http://m.12365auto.com/news/20200214/418557.shtml")</f>
        <v>http://m.12365auto.com/news/20200214/418557.shtml</v>
      </c>
      <c r="G7673" s="2"/>
      <c r="H7673" s="2" t="s">
        <v>10549</v>
      </c>
      <c r="I7673" s="2" t="s">
        <v>19</v>
      </c>
      <c r="J7673" s="2" t="s">
        <v>3373</v>
      </c>
      <c r="K7673" s="2" t="s">
        <v>10548</v>
      </c>
      <c r="L7673" s="2">
        <f t="shared" si="119"/>
        <v>150</v>
      </c>
    </row>
    <row r="7674" spans="1:12" ht="25" customHeight="1">
      <c r="A7674" s="2" t="s">
        <v>12</v>
      </c>
      <c r="B7674" s="2" t="str">
        <f>HYPERLINK("http://www.12365auto.com/news/20200214/418556.shtml","奥迪透露全新一代R8计划：将进入电气化时代")</f>
        <v>奥迪透露全新一代R8计划：将进入电气化时代</v>
      </c>
      <c r="C7674" s="2" t="s">
        <v>13</v>
      </c>
      <c r="D7674" s="2" t="s">
        <v>12</v>
      </c>
      <c r="E7674" s="2" t="s">
        <v>282</v>
      </c>
      <c r="F7674" s="2" t="str">
        <f>HYPERLINK("http://www.12365auto.com/news/20200214/418556.shtml","http://www.12365auto.com/news/20200214/418556.shtml")</f>
        <v>http://www.12365auto.com/news/20200214/418556.shtml</v>
      </c>
      <c r="G7674" s="2"/>
      <c r="H7674" s="2" t="s">
        <v>10550</v>
      </c>
      <c r="I7674" s="2" t="s">
        <v>19</v>
      </c>
      <c r="J7674" s="2" t="s">
        <v>12</v>
      </c>
      <c r="K7674" s="2" t="s">
        <v>10551</v>
      </c>
      <c r="L7674" s="2">
        <f t="shared" si="119"/>
        <v>150</v>
      </c>
    </row>
    <row r="7675" spans="1:12" ht="25" customHeight="1">
      <c r="A7675" s="2" t="s">
        <v>12</v>
      </c>
      <c r="B7675" s="2" t="str">
        <f>HYPERLINK("http://m.12365auto.com/news/20200214/418556.shtml","奥迪透露全新一代R8计划：将进入电气化时代")</f>
        <v>奥迪透露全新一代R8计划：将进入电气化时代</v>
      </c>
      <c r="C7675" s="2" t="s">
        <v>13</v>
      </c>
      <c r="D7675" s="2" t="s">
        <v>12</v>
      </c>
      <c r="E7675" s="2"/>
      <c r="F7675" s="2" t="str">
        <f>HYPERLINK("http://m.12365auto.com/news/20200214/418556.shtml","http://m.12365auto.com/news/20200214/418556.shtml")</f>
        <v>http://m.12365auto.com/news/20200214/418556.shtml</v>
      </c>
      <c r="G7675" s="2"/>
      <c r="H7675" s="2" t="s">
        <v>10552</v>
      </c>
      <c r="I7675" s="2" t="s">
        <v>19</v>
      </c>
      <c r="J7675" s="2" t="s">
        <v>2741</v>
      </c>
      <c r="K7675" s="2" t="s">
        <v>10551</v>
      </c>
      <c r="L7675" s="2">
        <f t="shared" si="119"/>
        <v>150</v>
      </c>
    </row>
    <row r="7676" spans="1:12" ht="25" customHeight="1">
      <c r="A7676" s="2" t="s">
        <v>12</v>
      </c>
      <c r="B7676" s="2" t="str">
        <f>HYPERLINK("http://www.12365auto.com/zlts/20200214/447168.shtml","北京现代途胜升级后发动机噪音大油耗增加")</f>
        <v>北京现代途胜升级后发动机噪音大油耗增加</v>
      </c>
      <c r="C7676" s="2" t="s">
        <v>13</v>
      </c>
      <c r="D7676" s="2" t="s">
        <v>12</v>
      </c>
      <c r="E7676" s="2"/>
      <c r="F7676" s="2" t="str">
        <f>HYPERLINK("http://www.12365auto.com/zlts/20200214/447168.shtml","http://www.12365auto.com/zlts/20200214/447168.shtml")</f>
        <v>http://www.12365auto.com/zlts/20200214/447168.shtml</v>
      </c>
      <c r="G7676" s="2"/>
      <c r="H7676" s="2" t="s">
        <v>10554</v>
      </c>
      <c r="I7676" s="2" t="s">
        <v>15</v>
      </c>
      <c r="J7676" s="2" t="s">
        <v>12</v>
      </c>
      <c r="K7676" s="2" t="s">
        <v>10553</v>
      </c>
      <c r="L7676" s="2">
        <f t="shared" si="119"/>
        <v>88</v>
      </c>
    </row>
    <row r="7677" spans="1:12" ht="25" customHeight="1">
      <c r="A7677" s="2" t="s">
        <v>12</v>
      </c>
      <c r="B7677" s="2" t="str">
        <f>HYPERLINK("http://m.12365auto.com/xcdg/20200214/418555.shtml","15万比小型SUV更好的选择 创界不仅仅是更大")</f>
        <v>15万比小型SUV更好的选择 创界不仅仅是更大</v>
      </c>
      <c r="C7677" s="2" t="s">
        <v>13</v>
      </c>
      <c r="D7677" s="2" t="s">
        <v>12</v>
      </c>
      <c r="E7677" s="2"/>
      <c r="F7677" s="2" t="str">
        <f>HYPERLINK("http://m.12365auto.com/xcdg/20200214/418555.shtml","http://m.12365auto.com/xcdg/20200214/418555.shtml")</f>
        <v>http://m.12365auto.com/xcdg/20200214/418555.shtml</v>
      </c>
      <c r="G7677" s="2"/>
      <c r="H7677" s="2" t="s">
        <v>10555</v>
      </c>
      <c r="I7677" s="2" t="s">
        <v>19</v>
      </c>
      <c r="J7677" s="2" t="s">
        <v>2760</v>
      </c>
      <c r="K7677" s="2" t="s">
        <v>10556</v>
      </c>
      <c r="L7677" s="2">
        <f t="shared" si="119"/>
        <v>150</v>
      </c>
    </row>
    <row r="7678" spans="1:12" ht="25" customHeight="1">
      <c r="A7678" s="2" t="s">
        <v>12</v>
      </c>
      <c r="B7678" s="2" t="str">
        <f>HYPERLINK("http://m.12365auto.com/zjdy/20200214/121255.shtml","吉利帝豪和比亚迪秦这两款车选择哪一款？")</f>
        <v>吉利帝豪和比亚迪秦这两款车选择哪一款？</v>
      </c>
      <c r="C7678" s="2" t="s">
        <v>13</v>
      </c>
      <c r="D7678" s="2" t="s">
        <v>12</v>
      </c>
      <c r="E7678" s="2"/>
      <c r="F7678" s="2" t="str">
        <f>HYPERLINK("http://m.12365auto.com/zjdy/20200214/121255.shtml","http://m.12365auto.com/zjdy/20200214/121255.shtml")</f>
        <v>http://m.12365auto.com/zjdy/20200214/121255.shtml</v>
      </c>
      <c r="G7678" s="2"/>
      <c r="H7678" s="2" t="s">
        <v>10557</v>
      </c>
      <c r="I7678" s="2" t="s">
        <v>19</v>
      </c>
      <c r="J7678" s="2" t="s">
        <v>12</v>
      </c>
      <c r="K7678" s="2" t="s">
        <v>10558</v>
      </c>
      <c r="L7678" s="2">
        <f t="shared" si="119"/>
        <v>38</v>
      </c>
    </row>
    <row r="7679" spans="1:12" ht="25" customHeight="1">
      <c r="A7679" s="2" t="s">
        <v>12</v>
      </c>
      <c r="B7679" s="2" t="str">
        <f>HYPERLINK("http://www.12365auto.com/zlts/20200214/447171.shtml","吉利缤越行驶时变速箱换挡顿挫 后悬挂异响")</f>
        <v>吉利缤越行驶时变速箱换挡顿挫 后悬挂异响</v>
      </c>
      <c r="C7679" s="2" t="s">
        <v>13</v>
      </c>
      <c r="D7679" s="2" t="s">
        <v>12</v>
      </c>
      <c r="E7679" s="2" t="s">
        <v>17</v>
      </c>
      <c r="F7679" s="2" t="str">
        <f>HYPERLINK("http://www.12365auto.com/zlts/20200214/447171.shtml","http://www.12365auto.com/zlts/20200214/447171.shtml")</f>
        <v>http://www.12365auto.com/zlts/20200214/447171.shtml</v>
      </c>
      <c r="G7679" s="2"/>
      <c r="H7679" s="2" t="s">
        <v>10559</v>
      </c>
      <c r="I7679" s="2" t="s">
        <v>15</v>
      </c>
      <c r="J7679" s="2" t="s">
        <v>12</v>
      </c>
      <c r="K7679" s="2" t="s">
        <v>10560</v>
      </c>
      <c r="L7679" s="2">
        <f t="shared" si="119"/>
        <v>150</v>
      </c>
    </row>
    <row r="7680" spans="1:12" ht="25" customHeight="1">
      <c r="A7680" s="2" t="s">
        <v>12</v>
      </c>
      <c r="B7680" s="2" t="str">
        <f>HYPERLINK("http://m.12365auto.com/xcdg/20200214/418554.shtml","面对后来者能否守擂成功？新宝马X6亮点解析")</f>
        <v>面对后来者能否守擂成功？新宝马X6亮点解析</v>
      </c>
      <c r="C7680" s="2" t="s">
        <v>13</v>
      </c>
      <c r="D7680" s="2" t="s">
        <v>12</v>
      </c>
      <c r="E7680" s="2"/>
      <c r="F7680" s="2" t="str">
        <f>HYPERLINK("http://m.12365auto.com/xcdg/20200214/418554.shtml","http://m.12365auto.com/xcdg/20200214/418554.shtml")</f>
        <v>http://m.12365auto.com/xcdg/20200214/418554.shtml</v>
      </c>
      <c r="G7680" s="2"/>
      <c r="H7680" s="2" t="s">
        <v>10561</v>
      </c>
      <c r="I7680" s="2" t="s">
        <v>19</v>
      </c>
      <c r="J7680" s="2" t="s">
        <v>1923</v>
      </c>
      <c r="K7680" s="2" t="s">
        <v>10560</v>
      </c>
      <c r="L7680" s="2">
        <f t="shared" si="119"/>
        <v>150</v>
      </c>
    </row>
    <row r="7681" spans="1:12" ht="25" customHeight="1">
      <c r="A7681" s="2" t="s">
        <v>12</v>
      </c>
      <c r="B7681" s="2" t="str">
        <f>HYPERLINK("http://m.12365auto.com/xcdg/20200214/418553.shtml","旗舰大哥就该有模有样 新奔驰GLS竞争力分析")</f>
        <v>旗舰大哥就该有模有样 新奔驰GLS竞争力分析</v>
      </c>
      <c r="C7681" s="2" t="s">
        <v>13</v>
      </c>
      <c r="D7681" s="2" t="s">
        <v>12</v>
      </c>
      <c r="E7681" s="2"/>
      <c r="F7681" s="2" t="str">
        <f>HYPERLINK("http://m.12365auto.com/xcdg/20200214/418553.shtml","http://m.12365auto.com/xcdg/20200214/418553.shtml")</f>
        <v>http://m.12365auto.com/xcdg/20200214/418553.shtml</v>
      </c>
      <c r="G7681" s="2"/>
      <c r="H7681" s="2" t="s">
        <v>10562</v>
      </c>
      <c r="I7681" s="2" t="s">
        <v>19</v>
      </c>
      <c r="J7681" s="2" t="s">
        <v>1099</v>
      </c>
      <c r="K7681" s="2" t="s">
        <v>10563</v>
      </c>
      <c r="L7681" s="2">
        <f t="shared" si="119"/>
        <v>150</v>
      </c>
    </row>
    <row r="7682" spans="1:12" ht="25" customHeight="1">
      <c r="A7682" s="2" t="s">
        <v>12</v>
      </c>
      <c r="B7682" s="2" t="str">
        <f>HYPERLINK("http://m.12365auto.com/xcdg/20200214/418552.shtml","科技感还是要看奥迪 新款Q7竞争力分析")</f>
        <v>科技感还是要看奥迪 新款Q7竞争力分析</v>
      </c>
      <c r="C7682" s="2" t="s">
        <v>13</v>
      </c>
      <c r="D7682" s="2" t="s">
        <v>12</v>
      </c>
      <c r="E7682" s="2"/>
      <c r="F7682" s="2" t="str">
        <f>HYPERLINK("http://m.12365auto.com/xcdg/20200214/418552.shtml","http://m.12365auto.com/xcdg/20200214/418552.shtml")</f>
        <v>http://m.12365auto.com/xcdg/20200214/418552.shtml</v>
      </c>
      <c r="G7682" s="2"/>
      <c r="H7682" s="2" t="s">
        <v>10564</v>
      </c>
      <c r="I7682" s="2" t="s">
        <v>19</v>
      </c>
      <c r="J7682" s="2" t="s">
        <v>1076</v>
      </c>
      <c r="K7682" s="2" t="s">
        <v>10565</v>
      </c>
      <c r="L7682" s="2">
        <f t="shared" si="119"/>
        <v>150</v>
      </c>
    </row>
    <row r="7683" spans="1:12" ht="25" customHeight="1">
      <c r="A7683" s="2" t="s">
        <v>12</v>
      </c>
      <c r="B7683" s="2" t="str">
        <f>HYPERLINK("http://m.12365auto.com/bbs/postcontent.aspx?tID=194105","盘点2019年5款热门轿车，有你喜欢的")</f>
        <v>盘点2019年5款热门轿车，有你喜欢的</v>
      </c>
      <c r="C7683" s="2" t="s">
        <v>13</v>
      </c>
      <c r="D7683" s="2" t="s">
        <v>23</v>
      </c>
      <c r="E7683" s="2"/>
      <c r="F7683" s="2" t="str">
        <f>HYPERLINK("http://m.12365auto.com/bbs/postcontent.aspx?tID=194105","http://m.12365auto.com/bbs/postcontent.aspx?tID=194105")</f>
        <v>http://m.12365auto.com/bbs/postcontent.aspx?tID=194105</v>
      </c>
      <c r="G7683" s="2"/>
      <c r="H7683" s="2" t="s">
        <v>10566</v>
      </c>
      <c r="I7683" s="2" t="s">
        <v>15</v>
      </c>
      <c r="J7683" s="2" t="s">
        <v>10567</v>
      </c>
      <c r="K7683" s="2" t="s">
        <v>10565</v>
      </c>
      <c r="L7683" s="2">
        <f t="shared" ref="L7683:L7746" si="120">LEN(H7683)</f>
        <v>150</v>
      </c>
    </row>
    <row r="7684" spans="1:12" ht="25" customHeight="1">
      <c r="A7684" s="2" t="s">
        <v>12</v>
      </c>
      <c r="B7684" s="2" t="str">
        <f>HYPERLINK("http://m.12365auto.com/bbs/postcontent.aspx?tID=194104","新司机小心了，这几类车一般人都驾驭不了")</f>
        <v>新司机小心了，这几类车一般人都驾驭不了</v>
      </c>
      <c r="C7684" s="2" t="s">
        <v>13</v>
      </c>
      <c r="D7684" s="2" t="s">
        <v>23</v>
      </c>
      <c r="E7684" s="2"/>
      <c r="F7684" s="2" t="str">
        <f>HYPERLINK("http://m.12365auto.com/bbs/postcontent.aspx?tID=194104","http://m.12365auto.com/bbs/postcontent.aspx?tID=194104")</f>
        <v>http://m.12365auto.com/bbs/postcontent.aspx?tID=194104</v>
      </c>
      <c r="G7684" s="2"/>
      <c r="H7684" s="2" t="s">
        <v>10568</v>
      </c>
      <c r="I7684" s="2" t="s">
        <v>15</v>
      </c>
      <c r="J7684" s="2" t="s">
        <v>10567</v>
      </c>
      <c r="K7684" s="2" t="s">
        <v>10565</v>
      </c>
      <c r="L7684" s="2">
        <f t="shared" si="120"/>
        <v>150</v>
      </c>
    </row>
    <row r="7685" spans="1:12" ht="25" customHeight="1">
      <c r="A7685" s="2" t="s">
        <v>12</v>
      </c>
      <c r="B7685" s="2" t="str">
        <f>HYPERLINK("http://bbs.12365auto.com/postcontent.aspx?tID=194104","新司机小心了，这几类车一般人都驾驭不了")</f>
        <v>新司机小心了，这几类车一般人都驾驭不了</v>
      </c>
      <c r="C7685" s="2" t="s">
        <v>13</v>
      </c>
      <c r="D7685" s="2" t="s">
        <v>12</v>
      </c>
      <c r="E7685" s="2" t="s">
        <v>214</v>
      </c>
      <c r="F7685" s="2" t="str">
        <f>HYPERLINK("http://bbs.12365auto.com/postcontent.aspx?tID=194104","http://bbs.12365auto.com/postcontent.aspx?tID=194104")</f>
        <v>http://bbs.12365auto.com/postcontent.aspx?tID=194104</v>
      </c>
      <c r="G7685" s="2"/>
      <c r="H7685" s="2" t="s">
        <v>10569</v>
      </c>
      <c r="I7685" s="2" t="s">
        <v>15</v>
      </c>
      <c r="J7685" s="2" t="s">
        <v>10567</v>
      </c>
      <c r="K7685" s="2" t="s">
        <v>10565</v>
      </c>
      <c r="L7685" s="2">
        <f t="shared" si="120"/>
        <v>150</v>
      </c>
    </row>
    <row r="7686" spans="1:12" ht="25" customHeight="1">
      <c r="A7686" s="2" t="s">
        <v>12</v>
      </c>
      <c r="B7686" s="2" t="str">
        <f>HYPERLINK("http://bbs.12365auto.com/postcontent.aspx?tID=194105","盘点2019年5款热门轿车，有你喜欢的")</f>
        <v>盘点2019年5款热门轿车，有你喜欢的</v>
      </c>
      <c r="C7686" s="2" t="s">
        <v>13</v>
      </c>
      <c r="D7686" s="2" t="s">
        <v>12</v>
      </c>
      <c r="E7686" s="2" t="s">
        <v>214</v>
      </c>
      <c r="F7686" s="2" t="str">
        <f>HYPERLINK("http://bbs.12365auto.com/postcontent.aspx?tID=194105","http://bbs.12365auto.com/postcontent.aspx?tID=194105")</f>
        <v>http://bbs.12365auto.com/postcontent.aspx?tID=194105</v>
      </c>
      <c r="G7686" s="2"/>
      <c r="H7686" s="2" t="s">
        <v>10570</v>
      </c>
      <c r="I7686" s="2" t="s">
        <v>15</v>
      </c>
      <c r="J7686" s="2" t="s">
        <v>10567</v>
      </c>
      <c r="K7686" s="2" t="s">
        <v>10565</v>
      </c>
      <c r="L7686" s="2">
        <f t="shared" si="120"/>
        <v>150</v>
      </c>
    </row>
    <row r="7687" spans="1:12" ht="25" customHeight="1">
      <c r="A7687" s="2" t="s">
        <v>12</v>
      </c>
      <c r="B7687" s="2" t="str">
        <f>HYPERLINK("http://bbs.12365auto.com/postcontent.aspx?tId=194105","盘点2019年5款热门轿车，有你喜欢的")</f>
        <v>盘点2019年5款热门轿车，有你喜欢的</v>
      </c>
      <c r="C7687" s="2" t="s">
        <v>13</v>
      </c>
      <c r="D7687" s="2" t="s">
        <v>12</v>
      </c>
      <c r="E7687" s="2" t="s">
        <v>210</v>
      </c>
      <c r="F7687" s="2" t="str">
        <f>HYPERLINK("http://bbs.12365auto.com/postcontent.aspx?tId=194105","http://bbs.12365auto.com/postcontent.aspx?tId=194105")</f>
        <v>http://bbs.12365auto.com/postcontent.aspx?tId=194105</v>
      </c>
      <c r="G7687" s="2"/>
      <c r="H7687" s="2" t="s">
        <v>10566</v>
      </c>
      <c r="I7687" s="2" t="s">
        <v>15</v>
      </c>
      <c r="J7687" s="2" t="s">
        <v>10567</v>
      </c>
      <c r="K7687" s="2" t="s">
        <v>10565</v>
      </c>
      <c r="L7687" s="2">
        <f t="shared" si="120"/>
        <v>150</v>
      </c>
    </row>
    <row r="7688" spans="1:12" ht="25" customHeight="1">
      <c r="A7688" s="2" t="s">
        <v>12</v>
      </c>
      <c r="B7688" s="2" t="str">
        <f>HYPERLINK("http://bbs.12365auto.com/postcontent.aspx?tId=194104","新司机小心了，这几类车一般人都驾驭不了")</f>
        <v>新司机小心了，这几类车一般人都驾驭不了</v>
      </c>
      <c r="C7688" s="2" t="s">
        <v>13</v>
      </c>
      <c r="D7688" s="2" t="s">
        <v>12</v>
      </c>
      <c r="E7688" s="2" t="s">
        <v>210</v>
      </c>
      <c r="F7688" s="2" t="str">
        <f>HYPERLINK("http://bbs.12365auto.com/postcontent.aspx?tId=194104","http://bbs.12365auto.com/postcontent.aspx?tId=194104")</f>
        <v>http://bbs.12365auto.com/postcontent.aspx?tId=194104</v>
      </c>
      <c r="G7688" s="2"/>
      <c r="H7688" s="2" t="s">
        <v>10568</v>
      </c>
      <c r="I7688" s="2" t="s">
        <v>15</v>
      </c>
      <c r="J7688" s="2" t="s">
        <v>10567</v>
      </c>
      <c r="K7688" s="2" t="s">
        <v>10565</v>
      </c>
      <c r="L7688" s="2">
        <f t="shared" si="120"/>
        <v>150</v>
      </c>
    </row>
    <row r="7689" spans="1:12" ht="25" customHeight="1">
      <c r="A7689" s="2" t="s">
        <v>12</v>
      </c>
      <c r="B7689" s="2" t="str">
        <f>HYPERLINK("http://m.12365auto.com/bbs/postcontent.aspx?tID=194102","20万元左右合资SUV，为何这4款销量最高？")</f>
        <v>20万元左右合资SUV，为何这4款销量最高？</v>
      </c>
      <c r="C7689" s="2" t="s">
        <v>13</v>
      </c>
      <c r="D7689" s="2" t="s">
        <v>23</v>
      </c>
      <c r="E7689" s="2"/>
      <c r="F7689" s="2" t="str">
        <f>HYPERLINK("http://m.12365auto.com/bbs/postcontent.aspx?tID=194102","http://m.12365auto.com/bbs/postcontent.aspx?tID=194102")</f>
        <v>http://m.12365auto.com/bbs/postcontent.aspx?tID=194102</v>
      </c>
      <c r="G7689" s="2"/>
      <c r="H7689" s="2" t="s">
        <v>10571</v>
      </c>
      <c r="I7689" s="2" t="s">
        <v>15</v>
      </c>
      <c r="J7689" s="2" t="s">
        <v>10567</v>
      </c>
      <c r="K7689" s="2" t="s">
        <v>10572</v>
      </c>
      <c r="L7689" s="2">
        <f t="shared" si="120"/>
        <v>150</v>
      </c>
    </row>
    <row r="7690" spans="1:12" ht="25" customHeight="1">
      <c r="A7690" s="2" t="s">
        <v>12</v>
      </c>
      <c r="B7690" s="2" t="str">
        <f>HYPERLINK("http://m.12365auto.com/bbs/postcontent.aspx?tID=194103","8万买合资车，这四款省油又可靠")</f>
        <v>8万买合资车，这四款省油又可靠</v>
      </c>
      <c r="C7690" s="2" t="s">
        <v>13</v>
      </c>
      <c r="D7690" s="2" t="s">
        <v>23</v>
      </c>
      <c r="E7690" s="2"/>
      <c r="F7690" s="2" t="str">
        <f>HYPERLINK("http://m.12365auto.com/bbs/postcontent.aspx?tID=194103","http://m.12365auto.com/bbs/postcontent.aspx?tID=194103")</f>
        <v>http://m.12365auto.com/bbs/postcontent.aspx?tID=194103</v>
      </c>
      <c r="G7690" s="2"/>
      <c r="H7690" s="2" t="s">
        <v>10573</v>
      </c>
      <c r="I7690" s="2" t="s">
        <v>15</v>
      </c>
      <c r="J7690" s="2" t="s">
        <v>10567</v>
      </c>
      <c r="K7690" s="2" t="s">
        <v>10572</v>
      </c>
      <c r="L7690" s="2">
        <f t="shared" si="120"/>
        <v>150</v>
      </c>
    </row>
    <row r="7691" spans="1:12" ht="25" customHeight="1">
      <c r="A7691" s="2" t="s">
        <v>12</v>
      </c>
      <c r="B7691" s="2" t="str">
        <f>HYPERLINK("http://bbs.12365auto.com/postcontent.aspx?tID=194102","20万元左右合资SUV，为何这4款销量最高？")</f>
        <v>20万元左右合资SUV，为何这4款销量最高？</v>
      </c>
      <c r="C7691" s="2" t="s">
        <v>13</v>
      </c>
      <c r="D7691" s="2" t="s">
        <v>12</v>
      </c>
      <c r="E7691" s="2" t="s">
        <v>214</v>
      </c>
      <c r="F7691" s="2" t="str">
        <f>HYPERLINK("http://bbs.12365auto.com/postcontent.aspx?tID=194102","http://bbs.12365auto.com/postcontent.aspx?tID=194102")</f>
        <v>http://bbs.12365auto.com/postcontent.aspx?tID=194102</v>
      </c>
      <c r="G7691" s="2"/>
      <c r="H7691" s="2" t="s">
        <v>10574</v>
      </c>
      <c r="I7691" s="2" t="s">
        <v>15</v>
      </c>
      <c r="J7691" s="2" t="s">
        <v>10567</v>
      </c>
      <c r="K7691" s="2" t="s">
        <v>10572</v>
      </c>
      <c r="L7691" s="2">
        <f t="shared" si="120"/>
        <v>150</v>
      </c>
    </row>
    <row r="7692" spans="1:12" ht="25" customHeight="1">
      <c r="A7692" s="2" t="s">
        <v>12</v>
      </c>
      <c r="B7692" s="2" t="str">
        <f>HYPERLINK("http://bbs.12365auto.com/postcontent.aspx?tID=194103","8万买合资车，这四款省油又可靠")</f>
        <v>8万买合资车，这四款省油又可靠</v>
      </c>
      <c r="C7692" s="2" t="s">
        <v>13</v>
      </c>
      <c r="D7692" s="2" t="s">
        <v>12</v>
      </c>
      <c r="E7692" s="2" t="s">
        <v>214</v>
      </c>
      <c r="F7692" s="2" t="str">
        <f>HYPERLINK("http://bbs.12365auto.com/postcontent.aspx?tID=194103","http://bbs.12365auto.com/postcontent.aspx?tID=194103")</f>
        <v>http://bbs.12365auto.com/postcontent.aspx?tID=194103</v>
      </c>
      <c r="G7692" s="2"/>
      <c r="H7692" s="2" t="s">
        <v>10575</v>
      </c>
      <c r="I7692" s="2" t="s">
        <v>15</v>
      </c>
      <c r="J7692" s="2" t="s">
        <v>10567</v>
      </c>
      <c r="K7692" s="2" t="s">
        <v>10572</v>
      </c>
      <c r="L7692" s="2">
        <f t="shared" si="120"/>
        <v>150</v>
      </c>
    </row>
    <row r="7693" spans="1:12" ht="25" customHeight="1">
      <c r="A7693" s="2" t="s">
        <v>12</v>
      </c>
      <c r="B7693" s="2" t="str">
        <f>HYPERLINK("http://bbs.12365auto.com/postcontent.aspx?tId=194103","8万买合资车，这四款省油又可靠")</f>
        <v>8万买合资车，这四款省油又可靠</v>
      </c>
      <c r="C7693" s="2" t="s">
        <v>13</v>
      </c>
      <c r="D7693" s="2" t="s">
        <v>12</v>
      </c>
      <c r="E7693" s="2" t="s">
        <v>210</v>
      </c>
      <c r="F7693" s="2" t="str">
        <f>HYPERLINK("http://bbs.12365auto.com/postcontent.aspx?tId=194103","http://bbs.12365auto.com/postcontent.aspx?tId=194103")</f>
        <v>http://bbs.12365auto.com/postcontent.aspx?tId=194103</v>
      </c>
      <c r="G7693" s="2"/>
      <c r="H7693" s="2" t="s">
        <v>10573</v>
      </c>
      <c r="I7693" s="2" t="s">
        <v>15</v>
      </c>
      <c r="J7693" s="2" t="s">
        <v>10567</v>
      </c>
      <c r="K7693" s="2" t="s">
        <v>10572</v>
      </c>
      <c r="L7693" s="2">
        <f t="shared" si="120"/>
        <v>150</v>
      </c>
    </row>
    <row r="7694" spans="1:12" ht="25" customHeight="1">
      <c r="A7694" s="2" t="s">
        <v>12</v>
      </c>
      <c r="B7694" s="2" t="str">
        <f>HYPERLINK("http://bbs.12365auto.com/postcontent.aspx?tId=194102","20万元左右合资SUV，为何这4款销量最高？")</f>
        <v>20万元左右合资SUV，为何这4款销量最高？</v>
      </c>
      <c r="C7694" s="2" t="s">
        <v>13</v>
      </c>
      <c r="D7694" s="2" t="s">
        <v>12</v>
      </c>
      <c r="E7694" s="2" t="s">
        <v>210</v>
      </c>
      <c r="F7694" s="2" t="str">
        <f>HYPERLINK("http://bbs.12365auto.com/postcontent.aspx?tId=194102","http://bbs.12365auto.com/postcontent.aspx?tId=194102")</f>
        <v>http://bbs.12365auto.com/postcontent.aspx?tId=194102</v>
      </c>
      <c r="G7694" s="2"/>
      <c r="H7694" s="2" t="s">
        <v>10571</v>
      </c>
      <c r="I7694" s="2" t="s">
        <v>15</v>
      </c>
      <c r="J7694" s="2" t="s">
        <v>10567</v>
      </c>
      <c r="K7694" s="2" t="s">
        <v>10572</v>
      </c>
      <c r="L7694" s="2">
        <f t="shared" si="120"/>
        <v>150</v>
      </c>
    </row>
    <row r="7695" spans="1:12" ht="25" customHeight="1">
      <c r="A7695" s="2" t="s">
        <v>12</v>
      </c>
      <c r="B7695" s="2" t="str">
        <f>HYPERLINK("http://m.12365auto.com/bbs/postcontent.aspx?tID=194101","价格都曝光了？这些马上来的热门SUV看了不亏")</f>
        <v>价格都曝光了？这些马上来的热门SUV看了不亏</v>
      </c>
      <c r="C7695" s="2" t="s">
        <v>13</v>
      </c>
      <c r="D7695" s="2" t="s">
        <v>23</v>
      </c>
      <c r="E7695" s="2"/>
      <c r="F7695" s="2" t="str">
        <f>HYPERLINK("http://m.12365auto.com/bbs/postcontent.aspx?tID=194101","http://m.12365auto.com/bbs/postcontent.aspx?tID=194101")</f>
        <v>http://m.12365auto.com/bbs/postcontent.aspx?tID=194101</v>
      </c>
      <c r="G7695" s="2"/>
      <c r="H7695" s="2" t="s">
        <v>10576</v>
      </c>
      <c r="I7695" s="2" t="s">
        <v>15</v>
      </c>
      <c r="J7695" s="2" t="s">
        <v>10567</v>
      </c>
      <c r="K7695" s="2" t="s">
        <v>10577</v>
      </c>
      <c r="L7695" s="2">
        <f t="shared" si="120"/>
        <v>150</v>
      </c>
    </row>
    <row r="7696" spans="1:12" ht="25" customHeight="1">
      <c r="A7696" s="2" t="s">
        <v>12</v>
      </c>
      <c r="B7696" s="2" t="str">
        <f>HYPERLINK("http://m.12365auto.com/bbs/postcontent.aspx?tID=194100","最终跳不出这几台，20万落地想选台B级车")</f>
        <v>最终跳不出这几台，20万落地想选台B级车</v>
      </c>
      <c r="C7696" s="2" t="s">
        <v>13</v>
      </c>
      <c r="D7696" s="2" t="s">
        <v>23</v>
      </c>
      <c r="E7696" s="2"/>
      <c r="F7696" s="2" t="str">
        <f>HYPERLINK("http://m.12365auto.com/bbs/postcontent.aspx?tID=194100","http://m.12365auto.com/bbs/postcontent.aspx?tID=194100")</f>
        <v>http://m.12365auto.com/bbs/postcontent.aspx?tID=194100</v>
      </c>
      <c r="G7696" s="2"/>
      <c r="H7696" s="2" t="s">
        <v>10578</v>
      </c>
      <c r="I7696" s="2" t="s">
        <v>15</v>
      </c>
      <c r="J7696" s="2" t="s">
        <v>10567</v>
      </c>
      <c r="K7696" s="2" t="s">
        <v>10577</v>
      </c>
      <c r="L7696" s="2">
        <f t="shared" si="120"/>
        <v>150</v>
      </c>
    </row>
    <row r="7697" spans="1:12" ht="25" customHeight="1">
      <c r="A7697" s="2" t="s">
        <v>12</v>
      </c>
      <c r="B7697" s="2" t="str">
        <f>HYPERLINK("http://bbs.12365auto.com/postcontent.aspx?tId=194100","最终跳不出这几台，20万落地想选台B级车")</f>
        <v>最终跳不出这几台，20万落地想选台B级车</v>
      </c>
      <c r="C7697" s="2" t="s">
        <v>13</v>
      </c>
      <c r="D7697" s="2" t="s">
        <v>12</v>
      </c>
      <c r="E7697" s="2" t="s">
        <v>210</v>
      </c>
      <c r="F7697" s="2" t="str">
        <f>HYPERLINK("http://bbs.12365auto.com/postcontent.aspx?tId=194100","http://bbs.12365auto.com/postcontent.aspx?tId=194100")</f>
        <v>http://bbs.12365auto.com/postcontent.aspx?tId=194100</v>
      </c>
      <c r="G7697" s="2"/>
      <c r="H7697" s="2" t="s">
        <v>10578</v>
      </c>
      <c r="I7697" s="2" t="s">
        <v>15</v>
      </c>
      <c r="J7697" s="2" t="s">
        <v>10567</v>
      </c>
      <c r="K7697" s="2" t="s">
        <v>10577</v>
      </c>
      <c r="L7697" s="2">
        <f t="shared" si="120"/>
        <v>150</v>
      </c>
    </row>
    <row r="7698" spans="1:12" ht="25" customHeight="1">
      <c r="A7698" s="2" t="s">
        <v>12</v>
      </c>
      <c r="B7698" s="2" t="str">
        <f>HYPERLINK("http://bbs.12365auto.com/postcontent.aspx?tId=194101","价格都曝光了？这些马上来的热门SUV看了不亏")</f>
        <v>价格都曝光了？这些马上来的热门SUV看了不亏</v>
      </c>
      <c r="C7698" s="2" t="s">
        <v>13</v>
      </c>
      <c r="D7698" s="2" t="s">
        <v>12</v>
      </c>
      <c r="E7698" s="2" t="s">
        <v>210</v>
      </c>
      <c r="F7698" s="2" t="str">
        <f>HYPERLINK("http://bbs.12365auto.com/postcontent.aspx?tId=194101","http://bbs.12365auto.com/postcontent.aspx?tId=194101")</f>
        <v>http://bbs.12365auto.com/postcontent.aspx?tId=194101</v>
      </c>
      <c r="G7698" s="2"/>
      <c r="H7698" s="2" t="s">
        <v>10576</v>
      </c>
      <c r="I7698" s="2" t="s">
        <v>15</v>
      </c>
      <c r="J7698" s="2" t="s">
        <v>10567</v>
      </c>
      <c r="K7698" s="2" t="s">
        <v>10577</v>
      </c>
      <c r="L7698" s="2">
        <f t="shared" si="120"/>
        <v>150</v>
      </c>
    </row>
    <row r="7699" spans="1:12" ht="25" customHeight="1">
      <c r="A7699" s="2" t="s">
        <v>12</v>
      </c>
      <c r="B7699" s="2" t="str">
        <f>HYPERLINK("http://bbs.12365auto.com/postcontent.aspx?tID=194101","价格都曝光了？这些马上来的热门SUV看了不亏")</f>
        <v>价格都曝光了？这些马上来的热门SUV看了不亏</v>
      </c>
      <c r="C7699" s="2" t="s">
        <v>13</v>
      </c>
      <c r="D7699" s="2" t="s">
        <v>12</v>
      </c>
      <c r="E7699" s="2" t="s">
        <v>214</v>
      </c>
      <c r="F7699" s="2" t="str">
        <f>HYPERLINK("http://bbs.12365auto.com/postcontent.aspx?tID=194101","http://bbs.12365auto.com/postcontent.aspx?tID=194101")</f>
        <v>http://bbs.12365auto.com/postcontent.aspx?tID=194101</v>
      </c>
      <c r="G7699" s="2"/>
      <c r="H7699" s="2" t="s">
        <v>10579</v>
      </c>
      <c r="I7699" s="2" t="s">
        <v>15</v>
      </c>
      <c r="J7699" s="2" t="s">
        <v>10567</v>
      </c>
      <c r="K7699" s="2" t="s">
        <v>10577</v>
      </c>
      <c r="L7699" s="2">
        <f t="shared" si="120"/>
        <v>150</v>
      </c>
    </row>
    <row r="7700" spans="1:12" ht="25" customHeight="1">
      <c r="A7700" s="2" t="s">
        <v>12</v>
      </c>
      <c r="B7700" s="2" t="str">
        <f>HYPERLINK("http://bbs.12365auto.com/postcontent.aspx?tID=194100","最终跳不出这几台，20万落地想选台B级车")</f>
        <v>最终跳不出这几台，20万落地想选台B级车</v>
      </c>
      <c r="C7700" s="2" t="s">
        <v>13</v>
      </c>
      <c r="D7700" s="2" t="s">
        <v>12</v>
      </c>
      <c r="E7700" s="2" t="s">
        <v>214</v>
      </c>
      <c r="F7700" s="2" t="str">
        <f>HYPERLINK("http://bbs.12365auto.com/postcontent.aspx?tID=194100","http://bbs.12365auto.com/postcontent.aspx?tID=194100")</f>
        <v>http://bbs.12365auto.com/postcontent.aspx?tID=194100</v>
      </c>
      <c r="G7700" s="2"/>
      <c r="H7700" s="2" t="s">
        <v>10580</v>
      </c>
      <c r="I7700" s="2" t="s">
        <v>15</v>
      </c>
      <c r="J7700" s="2" t="s">
        <v>10567</v>
      </c>
      <c r="K7700" s="2" t="s">
        <v>10577</v>
      </c>
      <c r="L7700" s="2">
        <f t="shared" si="120"/>
        <v>150</v>
      </c>
    </row>
    <row r="7701" spans="1:12" ht="25" customHeight="1">
      <c r="A7701" s="2" t="s">
        <v>12</v>
      </c>
      <c r="B7701" s="2" t="str">
        <f>HYPERLINK("http://bbs.12365auto.com/postcontent.aspx?tID=194099","2020年跌3万、5万、10万的车型合集")</f>
        <v>2020年跌3万、5万、10万的车型合集</v>
      </c>
      <c r="C7701" s="2" t="s">
        <v>13</v>
      </c>
      <c r="D7701" s="2" t="s">
        <v>12</v>
      </c>
      <c r="E7701" s="2" t="s">
        <v>214</v>
      </c>
      <c r="F7701" s="2" t="str">
        <f>HYPERLINK("http://bbs.12365auto.com/postcontent.aspx?tID=194099","http://bbs.12365auto.com/postcontent.aspx?tID=194099")</f>
        <v>http://bbs.12365auto.com/postcontent.aspx?tID=194099</v>
      </c>
      <c r="G7701" s="2"/>
      <c r="H7701" s="2" t="s">
        <v>10581</v>
      </c>
      <c r="I7701" s="2" t="s">
        <v>15</v>
      </c>
      <c r="J7701" s="2" t="s">
        <v>10567</v>
      </c>
      <c r="K7701" s="2" t="s">
        <v>10582</v>
      </c>
      <c r="L7701" s="2">
        <f t="shared" si="120"/>
        <v>150</v>
      </c>
    </row>
    <row r="7702" spans="1:12" ht="25" customHeight="1">
      <c r="A7702" s="2" t="s">
        <v>12</v>
      </c>
      <c r="B7702" s="2" t="str">
        <f>HYPERLINK("http://m.12365auto.com/bbs/postcontent.aspx?tID=194098","老铁，不要再“盲目”地买车了")</f>
        <v>老铁，不要再“盲目”地买车了</v>
      </c>
      <c r="C7702" s="2" t="s">
        <v>13</v>
      </c>
      <c r="D7702" s="2" t="s">
        <v>23</v>
      </c>
      <c r="E7702" s="2"/>
      <c r="F7702" s="2" t="str">
        <f>HYPERLINK("http://m.12365auto.com/bbs/postcontent.aspx?tID=194098","http://m.12365auto.com/bbs/postcontent.aspx?tID=194098")</f>
        <v>http://m.12365auto.com/bbs/postcontent.aspx?tID=194098</v>
      </c>
      <c r="G7702" s="2"/>
      <c r="H7702" s="2" t="s">
        <v>10583</v>
      </c>
      <c r="I7702" s="2" t="s">
        <v>15</v>
      </c>
      <c r="J7702" s="2" t="s">
        <v>10567</v>
      </c>
      <c r="K7702" s="2" t="s">
        <v>10582</v>
      </c>
      <c r="L7702" s="2">
        <f t="shared" si="120"/>
        <v>150</v>
      </c>
    </row>
    <row r="7703" spans="1:12" ht="25" customHeight="1">
      <c r="A7703" s="2" t="s">
        <v>12</v>
      </c>
      <c r="B7703" s="2" t="str">
        <f>HYPERLINK("http://m.12365auto.com/bbs/postcontent.aspx?tID=194099","2020年跌3万、5万、10万的车型合集")</f>
        <v>2020年跌3万、5万、10万的车型合集</v>
      </c>
      <c r="C7703" s="2" t="s">
        <v>13</v>
      </c>
      <c r="D7703" s="2" t="s">
        <v>23</v>
      </c>
      <c r="E7703" s="2"/>
      <c r="F7703" s="2" t="str">
        <f>HYPERLINK("http://m.12365auto.com/bbs/postcontent.aspx?tID=194099","http://m.12365auto.com/bbs/postcontent.aspx?tID=194099")</f>
        <v>http://m.12365auto.com/bbs/postcontent.aspx?tID=194099</v>
      </c>
      <c r="G7703" s="2"/>
      <c r="H7703" s="2" t="s">
        <v>10584</v>
      </c>
      <c r="I7703" s="2" t="s">
        <v>15</v>
      </c>
      <c r="J7703" s="2" t="s">
        <v>10567</v>
      </c>
      <c r="K7703" s="2" t="s">
        <v>10582</v>
      </c>
      <c r="L7703" s="2">
        <f t="shared" si="120"/>
        <v>150</v>
      </c>
    </row>
    <row r="7704" spans="1:12" ht="25" customHeight="1">
      <c r="A7704" s="2" t="s">
        <v>12</v>
      </c>
      <c r="B7704" s="2" t="str">
        <f>HYPERLINK("http://bbs.12365auto.com/postcontent.aspx?tId=194099","2020年跌3万、5万、10万的车型合集")</f>
        <v>2020年跌3万、5万、10万的车型合集</v>
      </c>
      <c r="C7704" s="2" t="s">
        <v>13</v>
      </c>
      <c r="D7704" s="2" t="s">
        <v>12</v>
      </c>
      <c r="E7704" s="2" t="s">
        <v>210</v>
      </c>
      <c r="F7704" s="2" t="str">
        <f>HYPERLINK("http://bbs.12365auto.com/postcontent.aspx?tId=194099","http://bbs.12365auto.com/postcontent.aspx?tId=194099")</f>
        <v>http://bbs.12365auto.com/postcontent.aspx?tId=194099</v>
      </c>
      <c r="G7704" s="2"/>
      <c r="H7704" s="2" t="s">
        <v>10584</v>
      </c>
      <c r="I7704" s="2" t="s">
        <v>15</v>
      </c>
      <c r="J7704" s="2" t="s">
        <v>10567</v>
      </c>
      <c r="K7704" s="2" t="s">
        <v>10582</v>
      </c>
      <c r="L7704" s="2">
        <f t="shared" si="120"/>
        <v>150</v>
      </c>
    </row>
    <row r="7705" spans="1:12" ht="25" customHeight="1">
      <c r="A7705" s="2" t="s">
        <v>12</v>
      </c>
      <c r="B7705" s="2" t="str">
        <f>HYPERLINK("http://bbs.12365auto.com/postcontent.aspx?tId=194098","老铁，不要再“盲目”地买车了")</f>
        <v>老铁，不要再“盲目”地买车了</v>
      </c>
      <c r="C7705" s="2" t="s">
        <v>13</v>
      </c>
      <c r="D7705" s="2" t="s">
        <v>12</v>
      </c>
      <c r="E7705" s="2" t="s">
        <v>210</v>
      </c>
      <c r="F7705" s="2" t="str">
        <f>HYPERLINK("http://bbs.12365auto.com/postcontent.aspx?tId=194098","http://bbs.12365auto.com/postcontent.aspx?tId=194098")</f>
        <v>http://bbs.12365auto.com/postcontent.aspx?tId=194098</v>
      </c>
      <c r="G7705" s="2"/>
      <c r="H7705" s="2" t="s">
        <v>10583</v>
      </c>
      <c r="I7705" s="2" t="s">
        <v>15</v>
      </c>
      <c r="J7705" s="2" t="s">
        <v>10567</v>
      </c>
      <c r="K7705" s="2" t="s">
        <v>10582</v>
      </c>
      <c r="L7705" s="2">
        <f t="shared" si="120"/>
        <v>150</v>
      </c>
    </row>
    <row r="7706" spans="1:12" ht="25" customHeight="1">
      <c r="A7706" s="2" t="s">
        <v>12</v>
      </c>
      <c r="B7706" s="2" t="str">
        <f>HYPERLINK("http://bbs.12365auto.com/postcontent.aspx?tID=194098","老铁 不要再“盲目”地买车了")</f>
        <v>老铁 不要再“盲目”地买车了</v>
      </c>
      <c r="C7706" s="2" t="s">
        <v>13</v>
      </c>
      <c r="D7706" s="2" t="s">
        <v>12</v>
      </c>
      <c r="E7706" s="2" t="s">
        <v>214</v>
      </c>
      <c r="F7706" s="2" t="str">
        <f>HYPERLINK("http://bbs.12365auto.com/postcontent.aspx?tID=194098","http://bbs.12365auto.com/postcontent.aspx?tID=194098")</f>
        <v>http://bbs.12365auto.com/postcontent.aspx?tID=194098</v>
      </c>
      <c r="G7706" s="2"/>
      <c r="H7706" s="2" t="s">
        <v>10585</v>
      </c>
      <c r="I7706" s="2" t="s">
        <v>15</v>
      </c>
      <c r="J7706" s="2" t="s">
        <v>10567</v>
      </c>
      <c r="K7706" s="2" t="s">
        <v>10582</v>
      </c>
      <c r="L7706" s="2">
        <f t="shared" si="120"/>
        <v>150</v>
      </c>
    </row>
    <row r="7707" spans="1:12" ht="25" customHeight="1">
      <c r="A7707" s="2" t="s">
        <v>12</v>
      </c>
      <c r="B7707" s="2" t="str">
        <f>HYPERLINK("http://m.12365auto.com/xcdg/20200214/418551.shtml","特殊的情人节 不出门也能买到心仪的座驾？")</f>
        <v>特殊的情人节 不出门也能买到心仪的座驾？</v>
      </c>
      <c r="C7707" s="2" t="s">
        <v>13</v>
      </c>
      <c r="D7707" s="2" t="s">
        <v>12</v>
      </c>
      <c r="E7707" s="2"/>
      <c r="F7707" s="2" t="str">
        <f>HYPERLINK("http://m.12365auto.com/xcdg/20200214/418551.shtml","http://m.12365auto.com/xcdg/20200214/418551.shtml")</f>
        <v>http://m.12365auto.com/xcdg/20200214/418551.shtml</v>
      </c>
      <c r="G7707" s="2"/>
      <c r="H7707" s="2" t="s">
        <v>10586</v>
      </c>
      <c r="I7707" s="2" t="s">
        <v>19</v>
      </c>
      <c r="J7707" s="2" t="s">
        <v>10587</v>
      </c>
      <c r="K7707" s="2" t="s">
        <v>10588</v>
      </c>
      <c r="L7707" s="2">
        <f t="shared" si="120"/>
        <v>150</v>
      </c>
    </row>
    <row r="7708" spans="1:12" ht="25" customHeight="1">
      <c r="A7708" s="2" t="s">
        <v>12</v>
      </c>
      <c r="B7708" s="2" t="str">
        <f>HYPERLINK("http://m.12365auto.com/bbs/postcontent.aspx?tID=194097","8-10万值得买的二手车推荐")</f>
        <v>8-10万值得买的二手车推荐</v>
      </c>
      <c r="C7708" s="2" t="s">
        <v>13</v>
      </c>
      <c r="D7708" s="2" t="s">
        <v>23</v>
      </c>
      <c r="E7708" s="2"/>
      <c r="F7708" s="2" t="str">
        <f>HYPERLINK("http://m.12365auto.com/bbs/postcontent.aspx?tID=194097","http://m.12365auto.com/bbs/postcontent.aspx?tID=194097")</f>
        <v>http://m.12365auto.com/bbs/postcontent.aspx?tID=194097</v>
      </c>
      <c r="G7708" s="2"/>
      <c r="H7708" s="2" t="s">
        <v>10589</v>
      </c>
      <c r="I7708" s="2" t="s">
        <v>15</v>
      </c>
      <c r="J7708" s="2" t="s">
        <v>10567</v>
      </c>
      <c r="K7708" s="2" t="s">
        <v>10588</v>
      </c>
      <c r="L7708" s="2">
        <f t="shared" si="120"/>
        <v>150</v>
      </c>
    </row>
    <row r="7709" spans="1:12" ht="25" customHeight="1">
      <c r="A7709" s="2" t="s">
        <v>12</v>
      </c>
      <c r="B7709" s="2" t="str">
        <f>HYPERLINK("http://m.12365auto.com/bbs/postcontent.aspx?tID=194096","2019年销量最差排名：标致还能再降")</f>
        <v>2019年销量最差排名：标致还能再降</v>
      </c>
      <c r="C7709" s="2" t="s">
        <v>13</v>
      </c>
      <c r="D7709" s="2" t="s">
        <v>23</v>
      </c>
      <c r="E7709" s="2"/>
      <c r="F7709" s="2" t="str">
        <f>HYPERLINK("http://m.12365auto.com/bbs/postcontent.aspx?tID=194096","http://m.12365auto.com/bbs/postcontent.aspx?tID=194096")</f>
        <v>http://m.12365auto.com/bbs/postcontent.aspx?tID=194096</v>
      </c>
      <c r="G7709" s="2"/>
      <c r="H7709" s="2" t="s">
        <v>10590</v>
      </c>
      <c r="I7709" s="2" t="s">
        <v>15</v>
      </c>
      <c r="J7709" s="2" t="s">
        <v>10567</v>
      </c>
      <c r="K7709" s="2" t="s">
        <v>10588</v>
      </c>
      <c r="L7709" s="2">
        <f t="shared" si="120"/>
        <v>150</v>
      </c>
    </row>
    <row r="7710" spans="1:12" ht="25" customHeight="1">
      <c r="A7710" s="2" t="s">
        <v>12</v>
      </c>
      <c r="B7710" s="2" t="str">
        <f>HYPERLINK("http://bbs.12365auto.com/postcontent.aspx?tId=194096","2019年销量最差排名：标致还能再降")</f>
        <v>2019年销量最差排名：标致还能再降</v>
      </c>
      <c r="C7710" s="2" t="s">
        <v>13</v>
      </c>
      <c r="D7710" s="2" t="s">
        <v>12</v>
      </c>
      <c r="E7710" s="2" t="s">
        <v>210</v>
      </c>
      <c r="F7710" s="2" t="str">
        <f>HYPERLINK("http://bbs.12365auto.com/postcontent.aspx?tId=194096","http://bbs.12365auto.com/postcontent.aspx?tId=194096")</f>
        <v>http://bbs.12365auto.com/postcontent.aspx?tId=194096</v>
      </c>
      <c r="G7710" s="2"/>
      <c r="H7710" s="2" t="s">
        <v>10590</v>
      </c>
      <c r="I7710" s="2" t="s">
        <v>15</v>
      </c>
      <c r="J7710" s="2" t="s">
        <v>10567</v>
      </c>
      <c r="K7710" s="2" t="s">
        <v>10588</v>
      </c>
      <c r="L7710" s="2">
        <f t="shared" si="120"/>
        <v>150</v>
      </c>
    </row>
    <row r="7711" spans="1:12" ht="25" customHeight="1">
      <c r="A7711" s="2" t="s">
        <v>12</v>
      </c>
      <c r="B7711" s="2" t="str">
        <f>HYPERLINK("http://bbs.12365auto.com/postcontent.aspx?tId=194097","8-10万值得买的二手车推荐")</f>
        <v>8-10万值得买的二手车推荐</v>
      </c>
      <c r="C7711" s="2" t="s">
        <v>13</v>
      </c>
      <c r="D7711" s="2" t="s">
        <v>12</v>
      </c>
      <c r="E7711" s="2" t="s">
        <v>210</v>
      </c>
      <c r="F7711" s="2" t="str">
        <f>HYPERLINK("http://bbs.12365auto.com/postcontent.aspx?tId=194097","http://bbs.12365auto.com/postcontent.aspx?tId=194097")</f>
        <v>http://bbs.12365auto.com/postcontent.aspx?tId=194097</v>
      </c>
      <c r="G7711" s="2"/>
      <c r="H7711" s="2" t="s">
        <v>10589</v>
      </c>
      <c r="I7711" s="2" t="s">
        <v>15</v>
      </c>
      <c r="J7711" s="2" t="s">
        <v>10567</v>
      </c>
      <c r="K7711" s="2" t="s">
        <v>10588</v>
      </c>
      <c r="L7711" s="2">
        <f t="shared" si="120"/>
        <v>150</v>
      </c>
    </row>
    <row r="7712" spans="1:12" ht="25" customHeight="1">
      <c r="A7712" s="2" t="s">
        <v>12</v>
      </c>
      <c r="B7712" s="2" t="str">
        <f>HYPERLINK("http://bbs.12365auto.com/postcontent.aspx?tID=194097","8-10万值得买的二手车推荐")</f>
        <v>8-10万值得买的二手车推荐</v>
      </c>
      <c r="C7712" s="2" t="s">
        <v>13</v>
      </c>
      <c r="D7712" s="2" t="s">
        <v>12</v>
      </c>
      <c r="E7712" s="2" t="s">
        <v>214</v>
      </c>
      <c r="F7712" s="2" t="str">
        <f>HYPERLINK("http://bbs.12365auto.com/postcontent.aspx?tID=194097","http://bbs.12365auto.com/postcontent.aspx?tID=194097")</f>
        <v>http://bbs.12365auto.com/postcontent.aspx?tID=194097</v>
      </c>
      <c r="G7712" s="2"/>
      <c r="H7712" s="2" t="s">
        <v>10591</v>
      </c>
      <c r="I7712" s="2" t="s">
        <v>15</v>
      </c>
      <c r="J7712" s="2" t="s">
        <v>10567</v>
      </c>
      <c r="K7712" s="2" t="s">
        <v>10588</v>
      </c>
      <c r="L7712" s="2">
        <f t="shared" si="120"/>
        <v>150</v>
      </c>
    </row>
    <row r="7713" spans="1:12" ht="25" customHeight="1">
      <c r="A7713" s="2" t="s">
        <v>12</v>
      </c>
      <c r="B7713" s="2" t="str">
        <f>HYPERLINK("http://bbs.12365auto.com/postcontent.aspx?tID=194096","2019年销量最差排名：标致还能再降")</f>
        <v>2019年销量最差排名：标致还能再降</v>
      </c>
      <c r="C7713" s="2" t="s">
        <v>13</v>
      </c>
      <c r="D7713" s="2" t="s">
        <v>12</v>
      </c>
      <c r="E7713" s="2" t="s">
        <v>214</v>
      </c>
      <c r="F7713" s="2" t="str">
        <f>HYPERLINK("http://bbs.12365auto.com/postcontent.aspx?tID=194096","http://bbs.12365auto.com/postcontent.aspx?tID=194096")</f>
        <v>http://bbs.12365auto.com/postcontent.aspx?tID=194096</v>
      </c>
      <c r="G7713" s="2"/>
      <c r="H7713" s="2" t="s">
        <v>10592</v>
      </c>
      <c r="I7713" s="2" t="s">
        <v>15</v>
      </c>
      <c r="J7713" s="2" t="s">
        <v>10567</v>
      </c>
      <c r="K7713" s="2" t="s">
        <v>10588</v>
      </c>
      <c r="L7713" s="2">
        <f t="shared" si="120"/>
        <v>150</v>
      </c>
    </row>
    <row r="7714" spans="1:12" ht="25" customHeight="1">
      <c r="A7714" s="2" t="s">
        <v>12</v>
      </c>
      <c r="B7714" s="2" t="str">
        <f>HYPERLINK("http://m.12365auto.com/xcdg/20200214/418550.shtml","它有的 不只是你看到的 聊聊新北京现代ix25")</f>
        <v>它有的 不只是你看到的 聊聊新北京现代ix25</v>
      </c>
      <c r="C7714" s="2" t="s">
        <v>13</v>
      </c>
      <c r="D7714" s="2" t="s">
        <v>12</v>
      </c>
      <c r="E7714" s="2"/>
      <c r="F7714" s="2" t="str">
        <f>HYPERLINK("http://m.12365auto.com/xcdg/20200214/418550.shtml","http://m.12365auto.com/xcdg/20200214/418550.shtml")</f>
        <v>http://m.12365auto.com/xcdg/20200214/418550.shtml</v>
      </c>
      <c r="G7714" s="2"/>
      <c r="H7714" s="2" t="s">
        <v>10593</v>
      </c>
      <c r="I7714" s="2" t="s">
        <v>19</v>
      </c>
      <c r="J7714" s="2" t="s">
        <v>6828</v>
      </c>
      <c r="K7714" s="2" t="s">
        <v>10594</v>
      </c>
      <c r="L7714" s="2">
        <f t="shared" si="120"/>
        <v>150</v>
      </c>
    </row>
    <row r="7715" spans="1:12" ht="25" customHeight="1">
      <c r="A7715" s="2" t="s">
        <v>12</v>
      </c>
      <c r="B7715" s="2" t="str">
        <f>HYPERLINK("http://bbs.12365auto.com/postcontent.aspx?tId=194095","保值率最高的五款车，五年才折损30%")</f>
        <v>保值率最高的五款车，五年才折损30%</v>
      </c>
      <c r="C7715" s="2" t="s">
        <v>13</v>
      </c>
      <c r="D7715" s="2" t="s">
        <v>12</v>
      </c>
      <c r="E7715" s="2" t="s">
        <v>210</v>
      </c>
      <c r="F7715" s="2" t="str">
        <f>HYPERLINK("http://bbs.12365auto.com/postcontent.aspx?tId=194095","http://bbs.12365auto.com/postcontent.aspx?tId=194095")</f>
        <v>http://bbs.12365auto.com/postcontent.aspx?tId=194095</v>
      </c>
      <c r="G7715" s="2"/>
      <c r="H7715" s="2" t="s">
        <v>10595</v>
      </c>
      <c r="I7715" s="2" t="s">
        <v>15</v>
      </c>
      <c r="J7715" s="2" t="s">
        <v>10567</v>
      </c>
      <c r="K7715" s="2" t="s">
        <v>10594</v>
      </c>
      <c r="L7715" s="2">
        <f t="shared" si="120"/>
        <v>150</v>
      </c>
    </row>
    <row r="7716" spans="1:12" ht="25" customHeight="1">
      <c r="A7716" s="2" t="s">
        <v>12</v>
      </c>
      <c r="B7716" s="2" t="str">
        <f>HYPERLINK("http://bbs.12365auto.com/postcontent.aspx?tID=194095","保值率最高的五款车 五年才折损30%")</f>
        <v>保值率最高的五款车 五年才折损30%</v>
      </c>
      <c r="C7716" s="2" t="s">
        <v>13</v>
      </c>
      <c r="D7716" s="2" t="s">
        <v>12</v>
      </c>
      <c r="E7716" s="2" t="s">
        <v>214</v>
      </c>
      <c r="F7716" s="2" t="str">
        <f>HYPERLINK("http://bbs.12365auto.com/postcontent.aspx?tID=194095","http://bbs.12365auto.com/postcontent.aspx?tID=194095")</f>
        <v>http://bbs.12365auto.com/postcontent.aspx?tID=194095</v>
      </c>
      <c r="G7716" s="2"/>
      <c r="H7716" s="2" t="s">
        <v>10596</v>
      </c>
      <c r="I7716" s="2" t="s">
        <v>15</v>
      </c>
      <c r="J7716" s="2" t="s">
        <v>10567</v>
      </c>
      <c r="K7716" s="2" t="s">
        <v>10594</v>
      </c>
      <c r="L7716" s="2">
        <f t="shared" si="120"/>
        <v>150</v>
      </c>
    </row>
    <row r="7717" spans="1:12" ht="25" customHeight="1">
      <c r="A7717" s="2" t="s">
        <v>12</v>
      </c>
      <c r="B7717" s="2" t="str">
        <f>HYPERLINK("http://m.12365auto.com/xcdg/20200214/418549.shtml","热门日系家轿你投谁一票？日产天籁对比雅阁")</f>
        <v>热门日系家轿你投谁一票？日产天籁对比雅阁</v>
      </c>
      <c r="C7717" s="2" t="s">
        <v>13</v>
      </c>
      <c r="D7717" s="2" t="s">
        <v>12</v>
      </c>
      <c r="E7717" s="2"/>
      <c r="F7717" s="2" t="str">
        <f>HYPERLINK("http://m.12365auto.com/xcdg/20200214/418549.shtml","http://m.12365auto.com/xcdg/20200214/418549.shtml")</f>
        <v>http://m.12365auto.com/xcdg/20200214/418549.shtml</v>
      </c>
      <c r="G7717" s="2"/>
      <c r="H7717" s="2" t="s">
        <v>10597</v>
      </c>
      <c r="I7717" s="2" t="s">
        <v>19</v>
      </c>
      <c r="J7717" s="2" t="s">
        <v>1623</v>
      </c>
      <c r="K7717" s="2" t="s">
        <v>10598</v>
      </c>
      <c r="L7717" s="2">
        <f t="shared" si="120"/>
        <v>150</v>
      </c>
    </row>
    <row r="7718" spans="1:12" ht="25" customHeight="1">
      <c r="A7718" s="2" t="s">
        <v>12</v>
      </c>
      <c r="B7718" s="2" t="str">
        <f>HYPERLINK("http://www.12365auto.com/zlts/20200214/447169.shtml","发动机故障码")</f>
        <v>发动机故障码</v>
      </c>
      <c r="C7718" s="2" t="s">
        <v>13</v>
      </c>
      <c r="D7718" s="2" t="s">
        <v>12</v>
      </c>
      <c r="E7718" s="2"/>
      <c r="F7718" s="2" t="str">
        <f>HYPERLINK("http://www.12365auto.com/zlts/20200214/447169.shtml","http://www.12365auto.com/zlts/20200214/447169.shtml")</f>
        <v>http://www.12365auto.com/zlts/20200214/447169.shtml</v>
      </c>
      <c r="G7718" s="2"/>
      <c r="H7718" s="2" t="s">
        <v>10600</v>
      </c>
      <c r="I7718" s="2" t="s">
        <v>15</v>
      </c>
      <c r="J7718" s="2" t="s">
        <v>12</v>
      </c>
      <c r="K7718" s="2" t="s">
        <v>10599</v>
      </c>
      <c r="L7718" s="2">
        <f t="shared" si="120"/>
        <v>87</v>
      </c>
    </row>
    <row r="7719" spans="1:12" ht="25" customHeight="1">
      <c r="A7719" s="2" t="s">
        <v>12</v>
      </c>
      <c r="B7719" s="2" t="str">
        <f>HYPERLINK("http://m.12365auto.com/news/20200214/418548.shtml","1月新能源汽车销量预计4.4万辆 同比降54.4%")</f>
        <v>1月新能源汽车销量预计4.4万辆 同比降54.4%</v>
      </c>
      <c r="C7719" s="2" t="s">
        <v>13</v>
      </c>
      <c r="D7719" s="2" t="s">
        <v>12</v>
      </c>
      <c r="E7719" s="2"/>
      <c r="F7719" s="2" t="str">
        <f>HYPERLINK("http://m.12365auto.com/news/20200214/418548.shtml","http://m.12365auto.com/news/20200214/418548.shtml")</f>
        <v>http://m.12365auto.com/news/20200214/418548.shtml</v>
      </c>
      <c r="G7719" s="2"/>
      <c r="H7719" s="2" t="s">
        <v>10601</v>
      </c>
      <c r="I7719" s="2" t="s">
        <v>19</v>
      </c>
      <c r="J7719" s="2" t="s">
        <v>5466</v>
      </c>
      <c r="K7719" s="2" t="s">
        <v>10602</v>
      </c>
      <c r="L7719" s="2">
        <f t="shared" si="120"/>
        <v>150</v>
      </c>
    </row>
    <row r="7720" spans="1:12" ht="25" customHeight="1">
      <c r="A7720" s="2" t="s">
        <v>12</v>
      </c>
      <c r="B7720" s="2" t="str">
        <f>HYPERLINK("http://www.12365auto.com/news/20200214/418548.shtml","1月新能源汽车销量预计4.4万辆 同比降54.4%")</f>
        <v>1月新能源汽车销量预计4.4万辆 同比降54.4%</v>
      </c>
      <c r="C7720" s="2" t="s">
        <v>13</v>
      </c>
      <c r="D7720" s="2" t="s">
        <v>12</v>
      </c>
      <c r="E7720" s="2" t="s">
        <v>276</v>
      </c>
      <c r="F7720" s="2" t="str">
        <f>HYPERLINK("http://www.12365auto.com/news/20200214/418548.shtml","http://www.12365auto.com/news/20200214/418548.shtml")</f>
        <v>http://www.12365auto.com/news/20200214/418548.shtml</v>
      </c>
      <c r="G7720" s="2"/>
      <c r="H7720" s="2" t="s">
        <v>10603</v>
      </c>
      <c r="I7720" s="2" t="s">
        <v>15</v>
      </c>
      <c r="J7720" s="2" t="s">
        <v>12</v>
      </c>
      <c r="K7720" s="2" t="s">
        <v>10602</v>
      </c>
      <c r="L7720" s="2">
        <f t="shared" si="120"/>
        <v>150</v>
      </c>
    </row>
    <row r="7721" spans="1:12" ht="25" customHeight="1">
      <c r="A7721" s="2" t="s">
        <v>12</v>
      </c>
      <c r="B7721" s="2" t="str">
        <f>HYPERLINK("http://m.12365auto.com/news/20200214/418547.shtml","日产汽车发布财报 大幅下调收入预期")</f>
        <v>日产汽车发布财报 大幅下调收入预期</v>
      </c>
      <c r="C7721" s="2" t="s">
        <v>13</v>
      </c>
      <c r="D7721" s="2" t="s">
        <v>12</v>
      </c>
      <c r="E7721" s="2"/>
      <c r="F7721" s="2" t="str">
        <f>HYPERLINK("http://m.12365auto.com/news/20200214/418547.shtml","http://m.12365auto.com/news/20200214/418547.shtml")</f>
        <v>http://m.12365auto.com/news/20200214/418547.shtml</v>
      </c>
      <c r="G7721" s="2"/>
      <c r="H7721" s="2" t="s">
        <v>10604</v>
      </c>
      <c r="I7721" s="2" t="s">
        <v>19</v>
      </c>
      <c r="J7721" s="2" t="s">
        <v>10605</v>
      </c>
      <c r="K7721" s="2" t="s">
        <v>10606</v>
      </c>
      <c r="L7721" s="2">
        <f t="shared" si="120"/>
        <v>150</v>
      </c>
    </row>
    <row r="7722" spans="1:12" ht="25" customHeight="1">
      <c r="A7722" s="2" t="s">
        <v>12</v>
      </c>
      <c r="B7722" s="2" t="str">
        <f>HYPERLINK("http://www.12365auto.com/news/20200214/418547.shtml","日产汽车发布财报 大幅下调收入预期")</f>
        <v>日产汽车发布财报 大幅下调收入预期</v>
      </c>
      <c r="C7722" s="2" t="s">
        <v>13</v>
      </c>
      <c r="D7722" s="2" t="s">
        <v>12</v>
      </c>
      <c r="E7722" s="2" t="s">
        <v>276</v>
      </c>
      <c r="F7722" s="2" t="str">
        <f>HYPERLINK("http://www.12365auto.com/news/20200214/418547.shtml","http://www.12365auto.com/news/20200214/418547.shtml")</f>
        <v>http://www.12365auto.com/news/20200214/418547.shtml</v>
      </c>
      <c r="G7722" s="2"/>
      <c r="H7722" s="2" t="s">
        <v>10607</v>
      </c>
      <c r="I7722" s="2" t="s">
        <v>15</v>
      </c>
      <c r="J7722" s="2" t="s">
        <v>12</v>
      </c>
      <c r="K7722" s="2" t="s">
        <v>10606</v>
      </c>
      <c r="L7722" s="2">
        <f t="shared" si="120"/>
        <v>150</v>
      </c>
    </row>
    <row r="7723" spans="1:12" ht="25" customHeight="1">
      <c r="A7723" s="2" t="s">
        <v>12</v>
      </c>
      <c r="B7723" s="2" t="str">
        <f>HYPERLINK("http://www.12365auto.com/zlts/20200214/447170.shtml","奇瑞艾瑞泽5整车故障多故障一直未解决")</f>
        <v>奇瑞艾瑞泽5整车故障多故障一直未解决</v>
      </c>
      <c r="C7723" s="2" t="s">
        <v>13</v>
      </c>
      <c r="D7723" s="2" t="s">
        <v>12</v>
      </c>
      <c r="E7723" s="2" t="s">
        <v>17</v>
      </c>
      <c r="F7723" s="2" t="str">
        <f>HYPERLINK("http://www.12365auto.com/zlts/20200214/447170.shtml","http://www.12365auto.com/zlts/20200214/447170.shtml")</f>
        <v>http://www.12365auto.com/zlts/20200214/447170.shtml</v>
      </c>
      <c r="G7723" s="2"/>
      <c r="H7723" s="2" t="s">
        <v>10608</v>
      </c>
      <c r="I7723" s="2" t="s">
        <v>19</v>
      </c>
      <c r="J7723" s="2" t="s">
        <v>12</v>
      </c>
      <c r="K7723" s="2" t="s">
        <v>10606</v>
      </c>
      <c r="L7723" s="2">
        <f t="shared" si="120"/>
        <v>150</v>
      </c>
    </row>
    <row r="7724" spans="1:12" ht="25" customHeight="1">
      <c r="A7724" s="2" t="s">
        <v>12</v>
      </c>
      <c r="B7724" s="2" t="str">
        <f>HYPERLINK("http://m.12365auto.com/news/20200214/418546.shtml","2020 J.D.Power汽车可靠性排行榜：冠军易主")</f>
        <v>2020 J.D.Power汽车可靠性排行榜：冠军易主</v>
      </c>
      <c r="C7724" s="2" t="s">
        <v>13</v>
      </c>
      <c r="D7724" s="2" t="s">
        <v>12</v>
      </c>
      <c r="E7724" s="2"/>
      <c r="F7724" s="2" t="str">
        <f>HYPERLINK("http://m.12365auto.com/news/20200214/418546.shtml","http://m.12365auto.com/news/20200214/418546.shtml")</f>
        <v>http://m.12365auto.com/news/20200214/418546.shtml</v>
      </c>
      <c r="G7724" s="2"/>
      <c r="H7724" s="2" t="s">
        <v>10609</v>
      </c>
      <c r="I7724" s="2" t="s">
        <v>19</v>
      </c>
      <c r="J7724" s="2" t="s">
        <v>10605</v>
      </c>
      <c r="K7724" s="2" t="s">
        <v>10610</v>
      </c>
      <c r="L7724" s="2">
        <f t="shared" si="120"/>
        <v>150</v>
      </c>
    </row>
    <row r="7725" spans="1:12" ht="25" customHeight="1">
      <c r="A7725" s="2" t="s">
        <v>12</v>
      </c>
      <c r="B7725" s="2" t="str">
        <f>HYPERLINK("http://www.12365auto.com/news/20200214/418546.shtml","2020 J.D.Power汽车可靠性排行榜：冠军易主")</f>
        <v>2020 J.D.Power汽车可靠性排行榜：冠军易主</v>
      </c>
      <c r="C7725" s="2" t="s">
        <v>13</v>
      </c>
      <c r="D7725" s="2" t="s">
        <v>12</v>
      </c>
      <c r="E7725" s="2" t="s">
        <v>276</v>
      </c>
      <c r="F7725" s="2" t="str">
        <f>HYPERLINK("http://www.12365auto.com/news/20200214/418546.shtml","http://www.12365auto.com/news/20200214/418546.shtml")</f>
        <v>http://www.12365auto.com/news/20200214/418546.shtml</v>
      </c>
      <c r="G7725" s="2"/>
      <c r="H7725" s="2" t="s">
        <v>10611</v>
      </c>
      <c r="I7725" s="2" t="s">
        <v>15</v>
      </c>
      <c r="J7725" s="2" t="s">
        <v>12</v>
      </c>
      <c r="K7725" s="2" t="s">
        <v>10610</v>
      </c>
      <c r="L7725" s="2">
        <f t="shared" si="120"/>
        <v>150</v>
      </c>
    </row>
    <row r="7726" spans="1:12" ht="25" customHeight="1">
      <c r="A7726" s="2" t="s">
        <v>12</v>
      </c>
      <c r="B7726" s="2" t="str">
        <f>HYPERLINK("http://www.12365auto.com/parts/20200214/418545.shtml","大疆子公司Livox公布新款传感器工作原理")</f>
        <v>大疆子公司Livox公布新款传感器工作原理</v>
      </c>
      <c r="C7726" s="2" t="s">
        <v>13</v>
      </c>
      <c r="D7726" s="2" t="s">
        <v>12</v>
      </c>
      <c r="E7726" s="2" t="s">
        <v>240</v>
      </c>
      <c r="F7726" s="2" t="str">
        <f>HYPERLINK("http://www.12365auto.com/parts/20200214/418545.shtml","http://www.12365auto.com/parts/20200214/418545.shtml")</f>
        <v>http://www.12365auto.com/parts/20200214/418545.shtml</v>
      </c>
      <c r="G7726" s="2"/>
      <c r="H7726" s="2" t="s">
        <v>10612</v>
      </c>
      <c r="I7726" s="2" t="s">
        <v>15</v>
      </c>
      <c r="J7726" s="2" t="s">
        <v>12</v>
      </c>
      <c r="K7726" s="2" t="s">
        <v>10613</v>
      </c>
      <c r="L7726" s="2">
        <f t="shared" si="120"/>
        <v>150</v>
      </c>
    </row>
    <row r="7727" spans="1:12" ht="25" customHeight="1">
      <c r="A7727" s="2" t="s">
        <v>12</v>
      </c>
      <c r="B7727" s="2" t="str">
        <f>HYPERLINK("http://m.12365auto.com/parts/20200214/418545.shtml","大疆子公司Livox公布新款传感器工作原理")</f>
        <v>大疆子公司Livox公布新款传感器工作原理</v>
      </c>
      <c r="C7727" s="2" t="s">
        <v>13</v>
      </c>
      <c r="D7727" s="2" t="s">
        <v>12</v>
      </c>
      <c r="E7727" s="2"/>
      <c r="F7727" s="2" t="str">
        <f>HYPERLINK("http://m.12365auto.com/parts/20200214/418545.shtml","http://m.12365auto.com/parts/20200214/418545.shtml")</f>
        <v>http://m.12365auto.com/parts/20200214/418545.shtml</v>
      </c>
      <c r="G7727" s="2"/>
      <c r="H7727" s="2" t="s">
        <v>10614</v>
      </c>
      <c r="I7727" s="2" t="s">
        <v>19</v>
      </c>
      <c r="J7727" s="2" t="s">
        <v>1029</v>
      </c>
      <c r="K7727" s="2" t="s">
        <v>10613</v>
      </c>
      <c r="L7727" s="2">
        <f t="shared" si="120"/>
        <v>150</v>
      </c>
    </row>
    <row r="7728" spans="1:12" ht="25" customHeight="1">
      <c r="A7728" s="2" t="s">
        <v>12</v>
      </c>
      <c r="B7728" s="2" t="str">
        <f>HYPERLINK("http://www.12365auto.com/news/20200214/418544.shtml","日产聆风车型配备摇篮曲可“催眠”孩子")</f>
        <v>日产聆风车型配备摇篮曲可“催眠”孩子</v>
      </c>
      <c r="C7728" s="2" t="s">
        <v>13</v>
      </c>
      <c r="D7728" s="2" t="s">
        <v>12</v>
      </c>
      <c r="E7728" s="2" t="s">
        <v>282</v>
      </c>
      <c r="F7728" s="2" t="str">
        <f>HYPERLINK("http://www.12365auto.com/news/20200214/418544.shtml","http://www.12365auto.com/news/20200214/418544.shtml")</f>
        <v>http://www.12365auto.com/news/20200214/418544.shtml</v>
      </c>
      <c r="G7728" s="2"/>
      <c r="H7728" s="2" t="s">
        <v>10615</v>
      </c>
      <c r="I7728" s="2" t="s">
        <v>19</v>
      </c>
      <c r="J7728" s="2" t="s">
        <v>12</v>
      </c>
      <c r="K7728" s="2" t="s">
        <v>10616</v>
      </c>
      <c r="L7728" s="2">
        <f t="shared" si="120"/>
        <v>150</v>
      </c>
    </row>
    <row r="7729" spans="1:12" ht="25" customHeight="1">
      <c r="A7729" s="2" t="s">
        <v>12</v>
      </c>
      <c r="B7729" s="2" t="str">
        <f>HYPERLINK("http://m.12365auto.com/news/20200214/418544.shtml","日产聆风车型配备摇篮曲可“催眠”孩子")</f>
        <v>日产聆风车型配备摇篮曲可“催眠”孩子</v>
      </c>
      <c r="C7729" s="2" t="s">
        <v>13</v>
      </c>
      <c r="D7729" s="2" t="s">
        <v>12</v>
      </c>
      <c r="E7729" s="2"/>
      <c r="F7729" s="2" t="str">
        <f>HYPERLINK("http://m.12365auto.com/news/20200214/418544.shtml","http://m.12365auto.com/news/20200214/418544.shtml")</f>
        <v>http://m.12365auto.com/news/20200214/418544.shtml</v>
      </c>
      <c r="G7729" s="2"/>
      <c r="H7729" s="2" t="s">
        <v>10617</v>
      </c>
      <c r="I7729" s="2" t="s">
        <v>19</v>
      </c>
      <c r="J7729" s="2" t="s">
        <v>1029</v>
      </c>
      <c r="K7729" s="2" t="s">
        <v>10616</v>
      </c>
      <c r="L7729" s="2">
        <f t="shared" si="120"/>
        <v>150</v>
      </c>
    </row>
    <row r="7730" spans="1:12" ht="25" customHeight="1">
      <c r="A7730" s="2" t="s">
        <v>12</v>
      </c>
      <c r="B7730" s="2" t="str">
        <f>HYPERLINK("http://www.12365auto.com/news/20200214/418543.shtml","迪拜成功测试SMFIR无线充电技术 边开边充电")</f>
        <v>迪拜成功测试SMFIR无线充电技术 边开边充电</v>
      </c>
      <c r="C7730" s="2" t="s">
        <v>13</v>
      </c>
      <c r="D7730" s="2" t="s">
        <v>12</v>
      </c>
      <c r="E7730" s="2" t="s">
        <v>276</v>
      </c>
      <c r="F7730" s="2" t="str">
        <f>HYPERLINK("http://www.12365auto.com/news/20200214/418543.shtml","http://www.12365auto.com/news/20200214/418543.shtml")</f>
        <v>http://www.12365auto.com/news/20200214/418543.shtml</v>
      </c>
      <c r="G7730" s="2"/>
      <c r="H7730" s="2" t="s">
        <v>10618</v>
      </c>
      <c r="I7730" s="2" t="s">
        <v>15</v>
      </c>
      <c r="J7730" s="2" t="s">
        <v>12</v>
      </c>
      <c r="K7730" s="2" t="s">
        <v>10619</v>
      </c>
      <c r="L7730" s="2">
        <f t="shared" si="120"/>
        <v>150</v>
      </c>
    </row>
    <row r="7731" spans="1:12" ht="25" customHeight="1">
      <c r="A7731" s="2" t="s">
        <v>12</v>
      </c>
      <c r="B7731" s="2" t="str">
        <f>HYPERLINK("http://m.12365auto.com/news/20200214/418543.shtml","迪拜成功测试SMFIR无线充电技术 边开边充电")</f>
        <v>迪拜成功测试SMFIR无线充电技术 边开边充电</v>
      </c>
      <c r="C7731" s="2" t="s">
        <v>13</v>
      </c>
      <c r="D7731" s="2" t="s">
        <v>12</v>
      </c>
      <c r="E7731" s="2"/>
      <c r="F7731" s="2" t="str">
        <f>HYPERLINK("http://m.12365auto.com/news/20200214/418543.shtml","http://m.12365auto.com/news/20200214/418543.shtml")</f>
        <v>http://m.12365auto.com/news/20200214/418543.shtml</v>
      </c>
      <c r="G7731" s="2"/>
      <c r="H7731" s="2" t="s">
        <v>10620</v>
      </c>
      <c r="I7731" s="2" t="s">
        <v>19</v>
      </c>
      <c r="J7731" s="2" t="s">
        <v>1029</v>
      </c>
      <c r="K7731" s="2" t="s">
        <v>10619</v>
      </c>
      <c r="L7731" s="2">
        <f t="shared" si="120"/>
        <v>150</v>
      </c>
    </row>
    <row r="7732" spans="1:12" ht="25" customHeight="1">
      <c r="A7732" s="2" t="s">
        <v>12</v>
      </c>
      <c r="B7732" s="2" t="str">
        <f>HYPERLINK("http://www.12365auto.com/zlts/20200214/447166.shtml","凯迪拉克ATS-L轮胎严重吃胎影响驾驶安全")</f>
        <v>凯迪拉克ATS-L轮胎严重吃胎影响驾驶安全</v>
      </c>
      <c r="C7732" s="2" t="s">
        <v>13</v>
      </c>
      <c r="D7732" s="2" t="s">
        <v>12</v>
      </c>
      <c r="E7732" s="2"/>
      <c r="F7732" s="2" t="str">
        <f>HYPERLINK("http://www.12365auto.com/zlts/20200214/447166.shtml","http://www.12365auto.com/zlts/20200214/447166.shtml")</f>
        <v>http://www.12365auto.com/zlts/20200214/447166.shtml</v>
      </c>
      <c r="G7732" s="2"/>
      <c r="H7732" s="2" t="s">
        <v>10622</v>
      </c>
      <c r="I7732" s="2" t="s">
        <v>15</v>
      </c>
      <c r="J7732" s="2" t="s">
        <v>12</v>
      </c>
      <c r="K7732" s="2" t="s">
        <v>10621</v>
      </c>
      <c r="L7732" s="2">
        <f t="shared" si="120"/>
        <v>87</v>
      </c>
    </row>
    <row r="7733" spans="1:12" ht="25" customHeight="1">
      <c r="A7733" s="2" t="s">
        <v>12</v>
      </c>
      <c r="B7733" s="2" t="str">
        <f>HYPERLINK("http://m.12365auto.com/xcdg/20200214/418542.shtml","焦点之战 博越PRO对比长安CS75 PLUS")</f>
        <v>焦点之战 博越PRO对比长安CS75 PLUS</v>
      </c>
      <c r="C7733" s="2" t="s">
        <v>13</v>
      </c>
      <c r="D7733" s="2" t="s">
        <v>12</v>
      </c>
      <c r="E7733" s="2"/>
      <c r="F7733" s="2" t="str">
        <f>HYPERLINK("http://m.12365auto.com/xcdg/20200214/418542.shtml","http://m.12365auto.com/xcdg/20200214/418542.shtml")</f>
        <v>http://m.12365auto.com/xcdg/20200214/418542.shtml</v>
      </c>
      <c r="G7733" s="2"/>
      <c r="H7733" s="2" t="s">
        <v>10623</v>
      </c>
      <c r="I7733" s="2" t="s">
        <v>19</v>
      </c>
      <c r="J7733" s="2" t="s">
        <v>10624</v>
      </c>
      <c r="K7733" s="2" t="s">
        <v>10625</v>
      </c>
      <c r="L7733" s="2">
        <f t="shared" si="120"/>
        <v>150</v>
      </c>
    </row>
    <row r="7734" spans="1:12" ht="25" customHeight="1">
      <c r="A7734" s="2" t="s">
        <v>12</v>
      </c>
      <c r="B7734" s="2" t="str">
        <f>HYPERLINK("http://m.12365auto.com/xcdg/20200214/418541.shtml","15万元兼顾实力和颜值 四款中型SUV海选")</f>
        <v>15万元兼顾实力和颜值 四款中型SUV海选</v>
      </c>
      <c r="C7734" s="2" t="s">
        <v>13</v>
      </c>
      <c r="D7734" s="2" t="s">
        <v>12</v>
      </c>
      <c r="E7734" s="2"/>
      <c r="F7734" s="2" t="str">
        <f>HYPERLINK("http://m.12365auto.com/xcdg/20200214/418541.shtml","http://m.12365auto.com/xcdg/20200214/418541.shtml")</f>
        <v>http://m.12365auto.com/xcdg/20200214/418541.shtml</v>
      </c>
      <c r="G7734" s="2"/>
      <c r="H7734" s="2" t="s">
        <v>10626</v>
      </c>
      <c r="I7734" s="2" t="s">
        <v>19</v>
      </c>
      <c r="J7734" s="2" t="s">
        <v>2828</v>
      </c>
      <c r="K7734" s="2" t="s">
        <v>10627</v>
      </c>
      <c r="L7734" s="2">
        <f t="shared" si="120"/>
        <v>150</v>
      </c>
    </row>
    <row r="7735" spans="1:12" ht="25" customHeight="1">
      <c r="A7735" s="2" t="s">
        <v>12</v>
      </c>
      <c r="B7735" s="2" t="str">
        <f>HYPERLINK("http://m.12365auto.com/xcdg/20200214/418540.shtml","解读低配车 实拍最便宜的雷克萨斯UX")</f>
        <v>解读低配车 实拍最便宜的雷克萨斯UX</v>
      </c>
      <c r="C7735" s="2" t="s">
        <v>13</v>
      </c>
      <c r="D7735" s="2" t="s">
        <v>12</v>
      </c>
      <c r="E7735" s="2"/>
      <c r="F7735" s="2" t="str">
        <f>HYPERLINK("http://m.12365auto.com/xcdg/20200214/418540.shtml","http://m.12365auto.com/xcdg/20200214/418540.shtml")</f>
        <v>http://m.12365auto.com/xcdg/20200214/418540.shtml</v>
      </c>
      <c r="G7735" s="2"/>
      <c r="H7735" s="2" t="s">
        <v>10628</v>
      </c>
      <c r="I7735" s="2" t="s">
        <v>19</v>
      </c>
      <c r="J7735" s="2" t="s">
        <v>10629</v>
      </c>
      <c r="K7735" s="2" t="s">
        <v>10630</v>
      </c>
      <c r="L7735" s="2">
        <f t="shared" si="120"/>
        <v>150</v>
      </c>
    </row>
    <row r="7736" spans="1:12" ht="25" customHeight="1">
      <c r="A7736" s="2" t="s">
        <v>12</v>
      </c>
      <c r="B7736" s="2" t="str">
        <f>HYPERLINK("http://www.12365auto.com/news/20200214/418538.shtml","部署600辆 外资雷达企业加速进入中国")</f>
        <v>部署600辆 外资雷达企业加速进入中国</v>
      </c>
      <c r="C7736" s="2" t="s">
        <v>13</v>
      </c>
      <c r="D7736" s="2" t="s">
        <v>12</v>
      </c>
      <c r="E7736" s="2" t="s">
        <v>276</v>
      </c>
      <c r="F7736" s="2" t="str">
        <f>HYPERLINK("http://www.12365auto.com/news/20200214/418538.shtml","http://www.12365auto.com/news/20200214/418538.shtml")</f>
        <v>http://www.12365auto.com/news/20200214/418538.shtml</v>
      </c>
      <c r="G7736" s="2"/>
      <c r="H7736" s="2" t="s">
        <v>10631</v>
      </c>
      <c r="I7736" s="2" t="s">
        <v>15</v>
      </c>
      <c r="J7736" s="2" t="s">
        <v>12</v>
      </c>
      <c r="K7736" s="2" t="s">
        <v>10632</v>
      </c>
      <c r="L7736" s="2">
        <f t="shared" si="120"/>
        <v>150</v>
      </c>
    </row>
    <row r="7737" spans="1:12" ht="25" customHeight="1">
      <c r="A7737" s="2" t="s">
        <v>12</v>
      </c>
      <c r="B7737" s="2" t="str">
        <f>HYPERLINK("http://www.12365auto.com/zlts/20200214/447164.shtml","广汽本田雅阁变速箱有漏油的现象")</f>
        <v>广汽本田雅阁变速箱有漏油的现象</v>
      </c>
      <c r="C7737" s="2" t="s">
        <v>13</v>
      </c>
      <c r="D7737" s="2" t="s">
        <v>12</v>
      </c>
      <c r="E7737" s="2" t="s">
        <v>17</v>
      </c>
      <c r="F7737" s="2" t="str">
        <f>HYPERLINK("http://www.12365auto.com/zlts/20200214/447164.shtml","http://www.12365auto.com/zlts/20200214/447164.shtml")</f>
        <v>http://www.12365auto.com/zlts/20200214/447164.shtml</v>
      </c>
      <c r="G7737" s="2"/>
      <c r="H7737" s="2" t="s">
        <v>10633</v>
      </c>
      <c r="I7737" s="2" t="s">
        <v>19</v>
      </c>
      <c r="J7737" s="2" t="s">
        <v>12</v>
      </c>
      <c r="K7737" s="2" t="s">
        <v>10632</v>
      </c>
      <c r="L7737" s="2">
        <f t="shared" si="120"/>
        <v>150</v>
      </c>
    </row>
    <row r="7738" spans="1:12" ht="25" customHeight="1">
      <c r="A7738" s="2" t="s">
        <v>12</v>
      </c>
      <c r="B7738" s="2" t="str">
        <f>HYPERLINK("http://m.12365auto.com/news/20200214/418538.shtml","部署600辆 外资雷达企业加速进入中国")</f>
        <v>部署600辆 外资雷达企业加速进入中国</v>
      </c>
      <c r="C7738" s="2" t="s">
        <v>13</v>
      </c>
      <c r="D7738" s="2" t="s">
        <v>12</v>
      </c>
      <c r="E7738" s="2"/>
      <c r="F7738" s="2" t="str">
        <f>HYPERLINK("http://m.12365auto.com/news/20200214/418538.shtml","http://m.12365auto.com/news/20200214/418538.shtml")</f>
        <v>http://m.12365auto.com/news/20200214/418538.shtml</v>
      </c>
      <c r="G7738" s="2"/>
      <c r="H7738" s="2" t="s">
        <v>10634</v>
      </c>
      <c r="I7738" s="2" t="s">
        <v>19</v>
      </c>
      <c r="J7738" s="2" t="s">
        <v>1188</v>
      </c>
      <c r="K7738" s="2" t="s">
        <v>10632</v>
      </c>
      <c r="L7738" s="2">
        <f t="shared" si="120"/>
        <v>150</v>
      </c>
    </row>
    <row r="7739" spans="1:12" ht="25" customHeight="1">
      <c r="A7739" s="2" t="s">
        <v>12</v>
      </c>
      <c r="B7739" s="2" t="str">
        <f>HYPERLINK("http://m.12365auto.com/xcdg/20200214/418539.shtml","物美价廉？新车开箱2019款东风雷诺e诺")</f>
        <v>物美价廉？新车开箱2019款东风雷诺e诺</v>
      </c>
      <c r="C7739" s="2" t="s">
        <v>13</v>
      </c>
      <c r="D7739" s="2" t="s">
        <v>12</v>
      </c>
      <c r="E7739" s="2"/>
      <c r="F7739" s="2" t="str">
        <f>HYPERLINK("http://m.12365auto.com/xcdg/20200214/418539.shtml","http://m.12365auto.com/xcdg/20200214/418539.shtml")</f>
        <v>http://m.12365auto.com/xcdg/20200214/418539.shtml</v>
      </c>
      <c r="G7739" s="2"/>
      <c r="H7739" s="2" t="s">
        <v>10635</v>
      </c>
      <c r="I7739" s="2" t="s">
        <v>19</v>
      </c>
      <c r="J7739" s="2" t="s">
        <v>297</v>
      </c>
      <c r="K7739" s="2" t="s">
        <v>10632</v>
      </c>
      <c r="L7739" s="2">
        <f t="shared" si="120"/>
        <v>150</v>
      </c>
    </row>
    <row r="7740" spans="1:12" ht="25" customHeight="1">
      <c r="A7740" s="2" t="s">
        <v>12</v>
      </c>
      <c r="B7740" s="2" t="str">
        <f>HYPERLINK("http://bbs.12365auto.com/postcontent.aspx?tId=194094","2020值得期待新车  Honda Accord 大改款")</f>
        <v>2020值得期待新车  Honda Accord 大改款</v>
      </c>
      <c r="C7740" s="2" t="s">
        <v>13</v>
      </c>
      <c r="D7740" s="2" t="s">
        <v>12</v>
      </c>
      <c r="E7740" s="2" t="s">
        <v>27</v>
      </c>
      <c r="F7740" s="2" t="str">
        <f>HYPERLINK("http://bbs.12365auto.com/postcontent.aspx?tId=194094","http://bbs.12365auto.com/postcontent.aspx?tId=194094")</f>
        <v>http://bbs.12365auto.com/postcontent.aspx?tId=194094</v>
      </c>
      <c r="G7740" s="2"/>
      <c r="H7740" s="2" t="s">
        <v>10636</v>
      </c>
      <c r="I7740" s="2" t="s">
        <v>15</v>
      </c>
      <c r="J7740" s="2" t="s">
        <v>10637</v>
      </c>
      <c r="K7740" s="2" t="s">
        <v>10638</v>
      </c>
      <c r="L7740" s="2">
        <f t="shared" si="120"/>
        <v>150</v>
      </c>
    </row>
    <row r="7741" spans="1:12" ht="25" customHeight="1">
      <c r="A7741" s="2" t="s">
        <v>12</v>
      </c>
      <c r="B7741" s="2" t="str">
        <f>HYPERLINK("http://m.12365auto.com/bbs/postcontent.aspx?tID=194094","2020值得期待新车  Honda Accord 大改款")</f>
        <v>2020值得期待新车  Honda Accord 大改款</v>
      </c>
      <c r="C7741" s="2" t="s">
        <v>13</v>
      </c>
      <c r="D7741" s="2" t="s">
        <v>23</v>
      </c>
      <c r="E7741" s="2"/>
      <c r="F7741" s="2" t="str">
        <f>HYPERLINK("http://m.12365auto.com/bbs/postcontent.aspx?tID=194094","http://m.12365auto.com/bbs/postcontent.aspx?tID=194094")</f>
        <v>http://m.12365auto.com/bbs/postcontent.aspx?tID=194094</v>
      </c>
      <c r="G7741" s="2"/>
      <c r="H7741" s="2" t="s">
        <v>10636</v>
      </c>
      <c r="I7741" s="2" t="s">
        <v>15</v>
      </c>
      <c r="J7741" s="2" t="s">
        <v>10637</v>
      </c>
      <c r="K7741" s="2" t="s">
        <v>10638</v>
      </c>
      <c r="L7741" s="2">
        <f t="shared" si="120"/>
        <v>150</v>
      </c>
    </row>
    <row r="7742" spans="1:12" ht="25" customHeight="1">
      <c r="A7742" s="2" t="s">
        <v>12</v>
      </c>
      <c r="B7742" s="2" t="str">
        <f>HYPERLINK("http://bbs.12365auto.com/postcontent.aspx?tID=194094","2020值得期待新车  Honda Accord 大改款")</f>
        <v>2020值得期待新车  Honda Accord 大改款</v>
      </c>
      <c r="C7742" s="2" t="s">
        <v>13</v>
      </c>
      <c r="D7742" s="2" t="s">
        <v>12</v>
      </c>
      <c r="E7742" s="2" t="s">
        <v>28</v>
      </c>
      <c r="F7742" s="2" t="str">
        <f>HYPERLINK("http://bbs.12365auto.com/postcontent.aspx?tID=194094","http://bbs.12365auto.com/postcontent.aspx?tID=194094")</f>
        <v>http://bbs.12365auto.com/postcontent.aspx?tID=194094</v>
      </c>
      <c r="G7742" s="2"/>
      <c r="H7742" s="2" t="s">
        <v>10639</v>
      </c>
      <c r="I7742" s="2" t="s">
        <v>15</v>
      </c>
      <c r="J7742" s="2" t="s">
        <v>10637</v>
      </c>
      <c r="K7742" s="2" t="s">
        <v>10638</v>
      </c>
      <c r="L7742" s="2">
        <f t="shared" si="120"/>
        <v>150</v>
      </c>
    </row>
    <row r="7743" spans="1:12" ht="25" customHeight="1">
      <c r="A7743" s="2" t="s">
        <v>12</v>
      </c>
      <c r="B7743" s="2" t="str">
        <f>HYPERLINK("http://bbs.12365auto.com/postcontent.aspx?tId=194093","不易察觉的中期改款 雪铁龙推出2020款新C3")</f>
        <v>不易察觉的中期改款 雪铁龙推出2020款新C3</v>
      </c>
      <c r="C7743" s="2" t="s">
        <v>13</v>
      </c>
      <c r="D7743" s="2" t="s">
        <v>12</v>
      </c>
      <c r="E7743" s="2" t="s">
        <v>27</v>
      </c>
      <c r="F7743" s="2" t="str">
        <f>HYPERLINK("http://bbs.12365auto.com/postcontent.aspx?tId=194093","http://bbs.12365auto.com/postcontent.aspx?tId=194093")</f>
        <v>http://bbs.12365auto.com/postcontent.aspx?tId=194093</v>
      </c>
      <c r="G7743" s="2"/>
      <c r="H7743" s="2" t="s">
        <v>10640</v>
      </c>
      <c r="I7743" s="2" t="s">
        <v>15</v>
      </c>
      <c r="J7743" s="2" t="s">
        <v>10637</v>
      </c>
      <c r="K7743" s="2" t="s">
        <v>10641</v>
      </c>
      <c r="L7743" s="2">
        <f t="shared" si="120"/>
        <v>150</v>
      </c>
    </row>
    <row r="7744" spans="1:12" ht="25" customHeight="1">
      <c r="A7744" s="2" t="s">
        <v>12</v>
      </c>
      <c r="B7744" s="2" t="str">
        <f>HYPERLINK("http://m.12365auto.com/bbs/postcontent.aspx?tID=194093","不易察觉的中期改款 雪铁龙推出2020款新C3")</f>
        <v>不易察觉的中期改款 雪铁龙推出2020款新C3</v>
      </c>
      <c r="C7744" s="2" t="s">
        <v>13</v>
      </c>
      <c r="D7744" s="2" t="s">
        <v>23</v>
      </c>
      <c r="E7744" s="2"/>
      <c r="F7744" s="2" t="str">
        <f>HYPERLINK("http://m.12365auto.com/bbs/postcontent.aspx?tID=194093","http://m.12365auto.com/bbs/postcontent.aspx?tID=194093")</f>
        <v>http://m.12365auto.com/bbs/postcontent.aspx?tID=194093</v>
      </c>
      <c r="G7744" s="2"/>
      <c r="H7744" s="2" t="s">
        <v>10640</v>
      </c>
      <c r="I7744" s="2" t="s">
        <v>15</v>
      </c>
      <c r="J7744" s="2" t="s">
        <v>10637</v>
      </c>
      <c r="K7744" s="2" t="s">
        <v>10641</v>
      </c>
      <c r="L7744" s="2">
        <f t="shared" si="120"/>
        <v>150</v>
      </c>
    </row>
    <row r="7745" spans="1:12" ht="25" customHeight="1">
      <c r="A7745" s="2" t="s">
        <v>12</v>
      </c>
      <c r="B7745" s="2" t="str">
        <f>HYPERLINK("http://bbs.12365auto.com/postcontent.aspx?tID=194093","不易察觉的中期改款 雪铁龙推出2020款新C3")</f>
        <v>不易察觉的中期改款 雪铁龙推出2020款新C3</v>
      </c>
      <c r="C7745" s="2" t="s">
        <v>13</v>
      </c>
      <c r="D7745" s="2" t="s">
        <v>12</v>
      </c>
      <c r="E7745" s="2" t="s">
        <v>28</v>
      </c>
      <c r="F7745" s="2" t="str">
        <f>HYPERLINK("http://bbs.12365auto.com/postcontent.aspx?tID=194093","http://bbs.12365auto.com/postcontent.aspx?tID=194093")</f>
        <v>http://bbs.12365auto.com/postcontent.aspx?tID=194093</v>
      </c>
      <c r="G7745" s="2"/>
      <c r="H7745" s="2" t="s">
        <v>10642</v>
      </c>
      <c r="I7745" s="2" t="s">
        <v>15</v>
      </c>
      <c r="J7745" s="2" t="s">
        <v>10637</v>
      </c>
      <c r="K7745" s="2" t="s">
        <v>10641</v>
      </c>
      <c r="L7745" s="2">
        <f t="shared" si="120"/>
        <v>150</v>
      </c>
    </row>
    <row r="7746" spans="1:12" ht="25" customHeight="1">
      <c r="A7746" s="2" t="s">
        <v>12</v>
      </c>
      <c r="B7746" s="2" t="str">
        <f>HYPERLINK("http://bbs.12365auto.com/postcontent.aspx?tId=194092","豪华紧凑级车型的引领者终于换代了")</f>
        <v>豪华紧凑级车型的引领者终于换代了</v>
      </c>
      <c r="C7746" s="2" t="s">
        <v>13</v>
      </c>
      <c r="D7746" s="2" t="s">
        <v>12</v>
      </c>
      <c r="E7746" s="2" t="s">
        <v>27</v>
      </c>
      <c r="F7746" s="2" t="str">
        <f>HYPERLINK("http://bbs.12365auto.com/postcontent.aspx?tId=194092","http://bbs.12365auto.com/postcontent.aspx?tId=194092")</f>
        <v>http://bbs.12365auto.com/postcontent.aspx?tId=194092</v>
      </c>
      <c r="G7746" s="2"/>
      <c r="H7746" s="2" t="s">
        <v>10643</v>
      </c>
      <c r="I7746" s="2" t="s">
        <v>15</v>
      </c>
      <c r="J7746" s="2" t="s">
        <v>10637</v>
      </c>
      <c r="K7746" s="2" t="s">
        <v>10644</v>
      </c>
      <c r="L7746" s="2">
        <f t="shared" si="120"/>
        <v>150</v>
      </c>
    </row>
    <row r="7747" spans="1:12" ht="25" customHeight="1">
      <c r="A7747" s="2" t="s">
        <v>12</v>
      </c>
      <c r="B7747" s="2" t="str">
        <f>HYPERLINK("http://m.12365auto.com/bbs/postcontent.aspx?tID=194092","豪华紧凑级车型的引领者终于换代了")</f>
        <v>豪华紧凑级车型的引领者终于换代了</v>
      </c>
      <c r="C7747" s="2" t="s">
        <v>13</v>
      </c>
      <c r="D7747" s="2" t="s">
        <v>23</v>
      </c>
      <c r="E7747" s="2"/>
      <c r="F7747" s="2" t="str">
        <f>HYPERLINK("http://m.12365auto.com/bbs/postcontent.aspx?tID=194092","http://m.12365auto.com/bbs/postcontent.aspx?tID=194092")</f>
        <v>http://m.12365auto.com/bbs/postcontent.aspx?tID=194092</v>
      </c>
      <c r="G7747" s="2"/>
      <c r="H7747" s="2" t="s">
        <v>10643</v>
      </c>
      <c r="I7747" s="2" t="s">
        <v>15</v>
      </c>
      <c r="J7747" s="2" t="s">
        <v>10637</v>
      </c>
      <c r="K7747" s="2" t="s">
        <v>10644</v>
      </c>
      <c r="L7747" s="2">
        <f t="shared" ref="L7747:L7810" si="121">LEN(H7747)</f>
        <v>150</v>
      </c>
    </row>
    <row r="7748" spans="1:12" ht="25" customHeight="1">
      <c r="A7748" s="2" t="s">
        <v>12</v>
      </c>
      <c r="B7748" s="2" t="str">
        <f>HYPERLINK("http://bbs.12365auto.com/postcontent.aspx?tID=194092","豪华紧凑级车型的引领者终于换代了")</f>
        <v>豪华紧凑级车型的引领者终于换代了</v>
      </c>
      <c r="C7748" s="2" t="s">
        <v>13</v>
      </c>
      <c r="D7748" s="2" t="s">
        <v>12</v>
      </c>
      <c r="E7748" s="2" t="s">
        <v>28</v>
      </c>
      <c r="F7748" s="2" t="str">
        <f>HYPERLINK("http://bbs.12365auto.com/postcontent.aspx?tID=194092","http://bbs.12365auto.com/postcontent.aspx?tID=194092")</f>
        <v>http://bbs.12365auto.com/postcontent.aspx?tID=194092</v>
      </c>
      <c r="G7748" s="2"/>
      <c r="H7748" s="2" t="s">
        <v>10645</v>
      </c>
      <c r="I7748" s="2" t="s">
        <v>15</v>
      </c>
      <c r="J7748" s="2" t="s">
        <v>10637</v>
      </c>
      <c r="K7748" s="2" t="s">
        <v>10644</v>
      </c>
      <c r="L7748" s="2">
        <f t="shared" si="121"/>
        <v>150</v>
      </c>
    </row>
    <row r="7749" spans="1:12" ht="25" customHeight="1">
      <c r="A7749" s="2" t="s">
        <v>12</v>
      </c>
      <c r="B7749" s="2" t="str">
        <f>HYPERLINK("http://bbs.12365auto.com/postcontent.aspx?tId=194091","特斯拉新专利显示将在方向盘加入触摸屏")</f>
        <v>特斯拉新专利显示将在方向盘加入触摸屏</v>
      </c>
      <c r="C7749" s="2" t="s">
        <v>13</v>
      </c>
      <c r="D7749" s="2" t="s">
        <v>12</v>
      </c>
      <c r="E7749" s="2" t="s">
        <v>27</v>
      </c>
      <c r="F7749" s="2" t="str">
        <f>HYPERLINK("http://bbs.12365auto.com/postcontent.aspx?tId=194091","http://bbs.12365auto.com/postcontent.aspx?tId=194091")</f>
        <v>http://bbs.12365auto.com/postcontent.aspx?tId=194091</v>
      </c>
      <c r="G7749" s="2"/>
      <c r="H7749" s="2" t="s">
        <v>10646</v>
      </c>
      <c r="I7749" s="2" t="s">
        <v>15</v>
      </c>
      <c r="J7749" s="2" t="s">
        <v>10637</v>
      </c>
      <c r="K7749" s="2" t="s">
        <v>10647</v>
      </c>
      <c r="L7749" s="2">
        <f t="shared" si="121"/>
        <v>150</v>
      </c>
    </row>
    <row r="7750" spans="1:12" ht="25" customHeight="1">
      <c r="A7750" s="2" t="s">
        <v>12</v>
      </c>
      <c r="B7750" s="2" t="str">
        <f>HYPERLINK("http://bbs.12365auto.com/postcontent.aspx?tId=194090","日系代步王者新车来袭 油耗创新低")</f>
        <v>日系代步王者新车来袭 油耗创新低</v>
      </c>
      <c r="C7750" s="2" t="s">
        <v>13</v>
      </c>
      <c r="D7750" s="2" t="s">
        <v>12</v>
      </c>
      <c r="E7750" s="2" t="s">
        <v>27</v>
      </c>
      <c r="F7750" s="2" t="str">
        <f>HYPERLINK("http://bbs.12365auto.com/postcontent.aspx?tId=194090","http://bbs.12365auto.com/postcontent.aspx?tId=194090")</f>
        <v>http://bbs.12365auto.com/postcontent.aspx?tId=194090</v>
      </c>
      <c r="G7750" s="2"/>
      <c r="H7750" s="2" t="s">
        <v>10648</v>
      </c>
      <c r="I7750" s="2" t="s">
        <v>15</v>
      </c>
      <c r="J7750" s="2" t="s">
        <v>10637</v>
      </c>
      <c r="K7750" s="2" t="s">
        <v>10647</v>
      </c>
      <c r="L7750" s="2">
        <f t="shared" si="121"/>
        <v>150</v>
      </c>
    </row>
    <row r="7751" spans="1:12" ht="25" customHeight="1">
      <c r="A7751" s="2" t="s">
        <v>12</v>
      </c>
      <c r="B7751" s="2" t="str">
        <f>HYPERLINK("http://m.12365auto.com/bbs/postcontent.aspx?tID=194090","日系代步王者新车来袭 油耗创新低")</f>
        <v>日系代步王者新车来袭 油耗创新低</v>
      </c>
      <c r="C7751" s="2" t="s">
        <v>13</v>
      </c>
      <c r="D7751" s="2" t="s">
        <v>23</v>
      </c>
      <c r="E7751" s="2"/>
      <c r="F7751" s="2" t="str">
        <f>HYPERLINK("http://m.12365auto.com/bbs/postcontent.aspx?tID=194090","http://m.12365auto.com/bbs/postcontent.aspx?tID=194090")</f>
        <v>http://m.12365auto.com/bbs/postcontent.aspx?tID=194090</v>
      </c>
      <c r="G7751" s="2"/>
      <c r="H7751" s="2" t="s">
        <v>10648</v>
      </c>
      <c r="I7751" s="2" t="s">
        <v>15</v>
      </c>
      <c r="J7751" s="2" t="s">
        <v>10637</v>
      </c>
      <c r="K7751" s="2" t="s">
        <v>10647</v>
      </c>
      <c r="L7751" s="2">
        <f t="shared" si="121"/>
        <v>150</v>
      </c>
    </row>
    <row r="7752" spans="1:12" ht="25" customHeight="1">
      <c r="A7752" s="2" t="s">
        <v>12</v>
      </c>
      <c r="B7752" s="2" t="str">
        <f>HYPERLINK("http://m.12365auto.com/bbs/postcontent.aspx?tID=194091","特斯拉新专利显示将在方向盘加入触摸屏")</f>
        <v>特斯拉新专利显示将在方向盘加入触摸屏</v>
      </c>
      <c r="C7752" s="2" t="s">
        <v>13</v>
      </c>
      <c r="D7752" s="2" t="s">
        <v>23</v>
      </c>
      <c r="E7752" s="2"/>
      <c r="F7752" s="2" t="str">
        <f>HYPERLINK("http://m.12365auto.com/bbs/postcontent.aspx?tID=194091","http://m.12365auto.com/bbs/postcontent.aspx?tID=194091")</f>
        <v>http://m.12365auto.com/bbs/postcontent.aspx?tID=194091</v>
      </c>
      <c r="G7752" s="2"/>
      <c r="H7752" s="2" t="s">
        <v>10646</v>
      </c>
      <c r="I7752" s="2" t="s">
        <v>15</v>
      </c>
      <c r="J7752" s="2" t="s">
        <v>10637</v>
      </c>
      <c r="K7752" s="2" t="s">
        <v>10647</v>
      </c>
      <c r="L7752" s="2">
        <f t="shared" si="121"/>
        <v>150</v>
      </c>
    </row>
    <row r="7753" spans="1:12" ht="25" customHeight="1">
      <c r="A7753" s="2" t="s">
        <v>12</v>
      </c>
      <c r="B7753" s="2" t="str">
        <f>HYPERLINK("http://bbs.12365auto.com/postcontent.aspx?tID=194090","日系代步王者新车来袭 油耗创新低")</f>
        <v>日系代步王者新车来袭 油耗创新低</v>
      </c>
      <c r="C7753" s="2" t="s">
        <v>13</v>
      </c>
      <c r="D7753" s="2" t="s">
        <v>12</v>
      </c>
      <c r="E7753" s="2" t="s">
        <v>28</v>
      </c>
      <c r="F7753" s="2" t="str">
        <f>HYPERLINK("http://bbs.12365auto.com/postcontent.aspx?tID=194090","http://bbs.12365auto.com/postcontent.aspx?tID=194090")</f>
        <v>http://bbs.12365auto.com/postcontent.aspx?tID=194090</v>
      </c>
      <c r="G7753" s="2"/>
      <c r="H7753" s="2" t="s">
        <v>10649</v>
      </c>
      <c r="I7753" s="2" t="s">
        <v>15</v>
      </c>
      <c r="J7753" s="2" t="s">
        <v>10637</v>
      </c>
      <c r="K7753" s="2" t="s">
        <v>10647</v>
      </c>
      <c r="L7753" s="2">
        <f t="shared" si="121"/>
        <v>150</v>
      </c>
    </row>
    <row r="7754" spans="1:12" ht="25" customHeight="1">
      <c r="A7754" s="2" t="s">
        <v>12</v>
      </c>
      <c r="B7754" s="2" t="str">
        <f>HYPERLINK("http://bbs.12365auto.com/postcontent.aspx?tID=194091","特斯拉新专利显示将在方向盘加入触摸屏")</f>
        <v>特斯拉新专利显示将在方向盘加入触摸屏</v>
      </c>
      <c r="C7754" s="2" t="s">
        <v>13</v>
      </c>
      <c r="D7754" s="2" t="s">
        <v>12</v>
      </c>
      <c r="E7754" s="2" t="s">
        <v>28</v>
      </c>
      <c r="F7754" s="2" t="str">
        <f>HYPERLINK("http://bbs.12365auto.com/postcontent.aspx?tID=194091","http://bbs.12365auto.com/postcontent.aspx?tID=194091")</f>
        <v>http://bbs.12365auto.com/postcontent.aspx?tID=194091</v>
      </c>
      <c r="G7754" s="2"/>
      <c r="H7754" s="2" t="s">
        <v>10650</v>
      </c>
      <c r="I7754" s="2" t="s">
        <v>15</v>
      </c>
      <c r="J7754" s="2" t="s">
        <v>10637</v>
      </c>
      <c r="K7754" s="2" t="s">
        <v>10647</v>
      </c>
      <c r="L7754" s="2">
        <f t="shared" si="121"/>
        <v>150</v>
      </c>
    </row>
    <row r="7755" spans="1:12" ht="25" customHeight="1">
      <c r="A7755" s="2" t="s">
        <v>12</v>
      </c>
      <c r="B7755" s="2" t="str">
        <f>HYPERLINK("http://bbs.12365auto.com/postcontent.aspx?tId=194089","名爵6 20T自动Trophy超级运动互联网版 四种车身颜色选择")</f>
        <v>名爵6 20T自动Trophy超级运动互联网版 四种车身颜色选择</v>
      </c>
      <c r="C7755" s="2" t="s">
        <v>13</v>
      </c>
      <c r="D7755" s="2" t="s">
        <v>12</v>
      </c>
      <c r="E7755" s="2" t="s">
        <v>27</v>
      </c>
      <c r="F7755" s="2" t="str">
        <f>HYPERLINK("http://bbs.12365auto.com/postcontent.aspx?tId=194089","http://bbs.12365auto.com/postcontent.aspx?tId=194089")</f>
        <v>http://bbs.12365auto.com/postcontent.aspx?tId=194089</v>
      </c>
      <c r="G7755" s="2"/>
      <c r="H7755" s="2" t="s">
        <v>2931</v>
      </c>
      <c r="I7755" s="2" t="s">
        <v>15</v>
      </c>
      <c r="J7755" s="2" t="s">
        <v>10637</v>
      </c>
      <c r="K7755" s="2" t="s">
        <v>10651</v>
      </c>
      <c r="L7755" s="2">
        <f t="shared" si="121"/>
        <v>150</v>
      </c>
    </row>
    <row r="7756" spans="1:12" ht="25" customHeight="1">
      <c r="A7756" s="2" t="s">
        <v>12</v>
      </c>
      <c r="B7756" s="2" t="str">
        <f>HYPERLINK("http://m.12365auto.com/bbs/postcontent.aspx?tID=194089","名爵6 20T自动Trophy超级运动互联网版 四种车身颜色选择")</f>
        <v>名爵6 20T自动Trophy超级运动互联网版 四种车身颜色选择</v>
      </c>
      <c r="C7756" s="2" t="s">
        <v>13</v>
      </c>
      <c r="D7756" s="2" t="s">
        <v>23</v>
      </c>
      <c r="E7756" s="2"/>
      <c r="F7756" s="2" t="str">
        <f>HYPERLINK("http://m.12365auto.com/bbs/postcontent.aspx?tID=194089","http://m.12365auto.com/bbs/postcontent.aspx?tID=194089")</f>
        <v>http://m.12365auto.com/bbs/postcontent.aspx?tID=194089</v>
      </c>
      <c r="G7756" s="2"/>
      <c r="H7756" s="2" t="s">
        <v>2931</v>
      </c>
      <c r="I7756" s="2" t="s">
        <v>15</v>
      </c>
      <c r="J7756" s="2" t="s">
        <v>10637</v>
      </c>
      <c r="K7756" s="2" t="s">
        <v>10651</v>
      </c>
      <c r="L7756" s="2">
        <f t="shared" si="121"/>
        <v>150</v>
      </c>
    </row>
    <row r="7757" spans="1:12" ht="25" customHeight="1">
      <c r="A7757" s="2" t="s">
        <v>12</v>
      </c>
      <c r="B7757" s="2" t="str">
        <f>HYPERLINK("http://bbs.12365auto.com/postcontent.aspx?tID=194089","名爵6 20T自动Trophy超级运动互联网版 四种车身颜色选择")</f>
        <v>名爵6 20T自动Trophy超级运动互联网版 四种车身颜色选择</v>
      </c>
      <c r="C7757" s="2" t="s">
        <v>13</v>
      </c>
      <c r="D7757" s="2" t="s">
        <v>12</v>
      </c>
      <c r="E7757" s="2" t="s">
        <v>28</v>
      </c>
      <c r="F7757" s="2" t="str">
        <f>HYPERLINK("http://bbs.12365auto.com/postcontent.aspx?tID=194089","http://bbs.12365auto.com/postcontent.aspx?tID=194089")</f>
        <v>http://bbs.12365auto.com/postcontent.aspx?tID=194089</v>
      </c>
      <c r="G7757" s="2"/>
      <c r="H7757" s="2" t="s">
        <v>10652</v>
      </c>
      <c r="I7757" s="2" t="s">
        <v>15</v>
      </c>
      <c r="J7757" s="2" t="s">
        <v>10637</v>
      </c>
      <c r="K7757" s="2" t="s">
        <v>10651</v>
      </c>
      <c r="L7757" s="2">
        <f t="shared" si="121"/>
        <v>150</v>
      </c>
    </row>
    <row r="7758" spans="1:12" ht="25" customHeight="1">
      <c r="A7758" s="2" t="s">
        <v>12</v>
      </c>
      <c r="B7758" s="2" t="str">
        <f>HYPERLINK("http://bbs.12365auto.com/postcontent.aspx?tId=194088","全新高尔夫轻混动版百公里实测油耗仅4.4升")</f>
        <v>全新高尔夫轻混动版百公里实测油耗仅4.4升</v>
      </c>
      <c r="C7758" s="2" t="s">
        <v>13</v>
      </c>
      <c r="D7758" s="2" t="s">
        <v>12</v>
      </c>
      <c r="E7758" s="2" t="s">
        <v>27</v>
      </c>
      <c r="F7758" s="2" t="str">
        <f>HYPERLINK("http://bbs.12365auto.com/postcontent.aspx?tId=194088","http://bbs.12365auto.com/postcontent.aspx?tId=194088")</f>
        <v>http://bbs.12365auto.com/postcontent.aspx?tId=194088</v>
      </c>
      <c r="G7758" s="2"/>
      <c r="H7758" s="2" t="s">
        <v>10653</v>
      </c>
      <c r="I7758" s="2" t="s">
        <v>15</v>
      </c>
      <c r="J7758" s="2" t="s">
        <v>10637</v>
      </c>
      <c r="K7758" s="2" t="s">
        <v>10654</v>
      </c>
      <c r="L7758" s="2">
        <f t="shared" si="121"/>
        <v>150</v>
      </c>
    </row>
    <row r="7759" spans="1:12" ht="25" customHeight="1">
      <c r="A7759" s="2" t="s">
        <v>12</v>
      </c>
      <c r="B7759" s="2" t="str">
        <f>HYPERLINK("http://bbs.12365auto.com/postcontent.aspx?tId=194087","雅马哈在日本发布20款MT-09售价保持不变")</f>
        <v>雅马哈在日本发布20款MT-09售价保持不变</v>
      </c>
      <c r="C7759" s="2" t="s">
        <v>13</v>
      </c>
      <c r="D7759" s="2" t="s">
        <v>12</v>
      </c>
      <c r="E7759" s="2" t="s">
        <v>27</v>
      </c>
      <c r="F7759" s="2" t="str">
        <f>HYPERLINK("http://bbs.12365auto.com/postcontent.aspx?tId=194087","http://bbs.12365auto.com/postcontent.aspx?tId=194087")</f>
        <v>http://bbs.12365auto.com/postcontent.aspx?tId=194087</v>
      </c>
      <c r="G7759" s="2"/>
      <c r="H7759" s="2" t="s">
        <v>10655</v>
      </c>
      <c r="I7759" s="2" t="s">
        <v>15</v>
      </c>
      <c r="J7759" s="2" t="s">
        <v>10637</v>
      </c>
      <c r="K7759" s="2" t="s">
        <v>10654</v>
      </c>
      <c r="L7759" s="2">
        <f t="shared" si="121"/>
        <v>150</v>
      </c>
    </row>
    <row r="7760" spans="1:12" ht="25" customHeight="1">
      <c r="A7760" s="2" t="s">
        <v>12</v>
      </c>
      <c r="B7760" s="2" t="str">
        <f>HYPERLINK("http://m.12365auto.com/bbs/postcontent.aspx?tID=194088","全新高尔夫轻混动版百公里实测油耗仅4.4升")</f>
        <v>全新高尔夫轻混动版百公里实测油耗仅4.4升</v>
      </c>
      <c r="C7760" s="2" t="s">
        <v>13</v>
      </c>
      <c r="D7760" s="2" t="s">
        <v>23</v>
      </c>
      <c r="E7760" s="2"/>
      <c r="F7760" s="2" t="str">
        <f>HYPERLINK("http://m.12365auto.com/bbs/postcontent.aspx?tID=194088","http://m.12365auto.com/bbs/postcontent.aspx?tID=194088")</f>
        <v>http://m.12365auto.com/bbs/postcontent.aspx?tID=194088</v>
      </c>
      <c r="G7760" s="2"/>
      <c r="H7760" s="2" t="s">
        <v>10653</v>
      </c>
      <c r="I7760" s="2" t="s">
        <v>15</v>
      </c>
      <c r="J7760" s="2" t="s">
        <v>10637</v>
      </c>
      <c r="K7760" s="2" t="s">
        <v>10654</v>
      </c>
      <c r="L7760" s="2">
        <f t="shared" si="121"/>
        <v>150</v>
      </c>
    </row>
    <row r="7761" spans="1:12" ht="25" customHeight="1">
      <c r="A7761" s="2" t="s">
        <v>12</v>
      </c>
      <c r="B7761" s="2" t="str">
        <f>HYPERLINK("http://m.12365auto.com/bbs/postcontent.aspx?tID=194087","雅马哈在日本发布20款MT-09售价保持不变")</f>
        <v>雅马哈在日本发布20款MT-09售价保持不变</v>
      </c>
      <c r="C7761" s="2" t="s">
        <v>13</v>
      </c>
      <c r="D7761" s="2" t="s">
        <v>23</v>
      </c>
      <c r="E7761" s="2"/>
      <c r="F7761" s="2" t="str">
        <f>HYPERLINK("http://m.12365auto.com/bbs/postcontent.aspx?tID=194087","http://m.12365auto.com/bbs/postcontent.aspx?tID=194087")</f>
        <v>http://m.12365auto.com/bbs/postcontent.aspx?tID=194087</v>
      </c>
      <c r="G7761" s="2"/>
      <c r="H7761" s="2" t="s">
        <v>10655</v>
      </c>
      <c r="I7761" s="2" t="s">
        <v>15</v>
      </c>
      <c r="J7761" s="2" t="s">
        <v>10637</v>
      </c>
      <c r="K7761" s="2" t="s">
        <v>10654</v>
      </c>
      <c r="L7761" s="2">
        <f t="shared" si="121"/>
        <v>150</v>
      </c>
    </row>
    <row r="7762" spans="1:12" ht="25" customHeight="1">
      <c r="A7762" s="2" t="s">
        <v>12</v>
      </c>
      <c r="B7762" s="2" t="str">
        <f>HYPERLINK("http://bbs.12365auto.com/postcontent.aspx?tID=194087","雅马哈在日本发布20款MT-09售价保持不变")</f>
        <v>雅马哈在日本发布20款MT-09售价保持不变</v>
      </c>
      <c r="C7762" s="2" t="s">
        <v>13</v>
      </c>
      <c r="D7762" s="2" t="s">
        <v>12</v>
      </c>
      <c r="E7762" s="2" t="s">
        <v>28</v>
      </c>
      <c r="F7762" s="2" t="str">
        <f>HYPERLINK("http://bbs.12365auto.com/postcontent.aspx?tID=194087","http://bbs.12365auto.com/postcontent.aspx?tID=194087")</f>
        <v>http://bbs.12365auto.com/postcontent.aspx?tID=194087</v>
      </c>
      <c r="G7762" s="2"/>
      <c r="H7762" s="2" t="s">
        <v>10656</v>
      </c>
      <c r="I7762" s="2" t="s">
        <v>15</v>
      </c>
      <c r="J7762" s="2" t="s">
        <v>10637</v>
      </c>
      <c r="K7762" s="2" t="s">
        <v>10654</v>
      </c>
      <c r="L7762" s="2">
        <f t="shared" si="121"/>
        <v>150</v>
      </c>
    </row>
    <row r="7763" spans="1:12" ht="25" customHeight="1">
      <c r="A7763" s="2" t="s">
        <v>12</v>
      </c>
      <c r="B7763" s="2" t="str">
        <f>HYPERLINK("http://bbs.12365auto.com/postcontent.aspx?tID=194088","全新高尔夫轻混动版百公里实测油耗仅4.4升")</f>
        <v>全新高尔夫轻混动版百公里实测油耗仅4.4升</v>
      </c>
      <c r="C7763" s="2" t="s">
        <v>13</v>
      </c>
      <c r="D7763" s="2" t="s">
        <v>12</v>
      </c>
      <c r="E7763" s="2" t="s">
        <v>28</v>
      </c>
      <c r="F7763" s="2" t="str">
        <f>HYPERLINK("http://bbs.12365auto.com/postcontent.aspx?tID=194088","http://bbs.12365auto.com/postcontent.aspx?tID=194088")</f>
        <v>http://bbs.12365auto.com/postcontent.aspx?tID=194088</v>
      </c>
      <c r="G7763" s="2"/>
      <c r="H7763" s="2" t="s">
        <v>10657</v>
      </c>
      <c r="I7763" s="2" t="s">
        <v>15</v>
      </c>
      <c r="J7763" s="2" t="s">
        <v>10637</v>
      </c>
      <c r="K7763" s="2" t="s">
        <v>10654</v>
      </c>
      <c r="L7763" s="2">
        <f t="shared" si="121"/>
        <v>150</v>
      </c>
    </row>
    <row r="7764" spans="1:12" ht="25" customHeight="1">
      <c r="A7764" s="2" t="s">
        <v>12</v>
      </c>
      <c r="B7764" s="2" t="str">
        <f>HYPERLINK("http://m.12365auto.com/parts/20200214/418537.shtml","可靠性提升 吉利变速箱应用里卡多技术")</f>
        <v>可靠性提升 吉利变速箱应用里卡多技术</v>
      </c>
      <c r="C7764" s="2" t="s">
        <v>13</v>
      </c>
      <c r="D7764" s="2" t="s">
        <v>12</v>
      </c>
      <c r="E7764" s="2"/>
      <c r="F7764" s="2" t="str">
        <f>HYPERLINK("http://m.12365auto.com/parts/20200214/418537.shtml","http://m.12365auto.com/parts/20200214/418537.shtml")</f>
        <v>http://m.12365auto.com/parts/20200214/418537.shtml</v>
      </c>
      <c r="G7764" s="2"/>
      <c r="H7764" s="2" t="s">
        <v>10658</v>
      </c>
      <c r="I7764" s="2" t="s">
        <v>19</v>
      </c>
      <c r="J7764" s="2" t="s">
        <v>1543</v>
      </c>
      <c r="K7764" s="2" t="s">
        <v>10659</v>
      </c>
      <c r="L7764" s="2">
        <f t="shared" si="121"/>
        <v>150</v>
      </c>
    </row>
    <row r="7765" spans="1:12" ht="25" customHeight="1">
      <c r="A7765" s="2" t="s">
        <v>12</v>
      </c>
      <c r="B7765" s="2" t="str">
        <f>HYPERLINK("http://bbs.12365auto.com/postcontent.aspx?tId=194086","史上最强RAV4 5.8秒破百")</f>
        <v>史上最强RAV4 5.8秒破百</v>
      </c>
      <c r="C7765" s="2" t="s">
        <v>13</v>
      </c>
      <c r="D7765" s="2" t="s">
        <v>12</v>
      </c>
      <c r="E7765" s="2" t="s">
        <v>27</v>
      </c>
      <c r="F7765" s="2" t="str">
        <f>HYPERLINK("http://bbs.12365auto.com/postcontent.aspx?tId=194086","http://bbs.12365auto.com/postcontent.aspx?tId=194086")</f>
        <v>http://bbs.12365auto.com/postcontent.aspx?tId=194086</v>
      </c>
      <c r="G7765" s="2"/>
      <c r="H7765" s="2" t="s">
        <v>10660</v>
      </c>
      <c r="I7765" s="2" t="s">
        <v>15</v>
      </c>
      <c r="J7765" s="2" t="s">
        <v>10637</v>
      </c>
      <c r="K7765" s="2" t="s">
        <v>10659</v>
      </c>
      <c r="L7765" s="2">
        <f t="shared" si="121"/>
        <v>150</v>
      </c>
    </row>
    <row r="7766" spans="1:12" ht="25" customHeight="1">
      <c r="A7766" s="2" t="s">
        <v>12</v>
      </c>
      <c r="B7766" s="2" t="str">
        <f>HYPERLINK("http://www.12365auto.com/parts/20200214/418537.shtml","可靠性提升 吉利变速箱应用里卡多技术")</f>
        <v>可靠性提升 吉利变速箱应用里卡多技术</v>
      </c>
      <c r="C7766" s="2" t="s">
        <v>13</v>
      </c>
      <c r="D7766" s="2" t="s">
        <v>12</v>
      </c>
      <c r="E7766" s="2" t="s">
        <v>240</v>
      </c>
      <c r="F7766" s="2" t="str">
        <f>HYPERLINK("http://www.12365auto.com/parts/20200214/418537.shtml","http://www.12365auto.com/parts/20200214/418537.shtml")</f>
        <v>http://www.12365auto.com/parts/20200214/418537.shtml</v>
      </c>
      <c r="G7766" s="2"/>
      <c r="H7766" s="2" t="s">
        <v>10661</v>
      </c>
      <c r="I7766" s="2" t="s">
        <v>15</v>
      </c>
      <c r="J7766" s="2" t="s">
        <v>12</v>
      </c>
      <c r="K7766" s="2" t="s">
        <v>10659</v>
      </c>
      <c r="L7766" s="2">
        <f t="shared" si="121"/>
        <v>150</v>
      </c>
    </row>
    <row r="7767" spans="1:12" ht="25" customHeight="1">
      <c r="A7767" s="2" t="s">
        <v>12</v>
      </c>
      <c r="B7767" s="2" t="str">
        <f>HYPERLINK("http://m.12365auto.com/bbs/postcontent.aspx?tID=194086","史上最强RAV4 5.8秒破百")</f>
        <v>史上最强RAV4 5.8秒破百</v>
      </c>
      <c r="C7767" s="2" t="s">
        <v>13</v>
      </c>
      <c r="D7767" s="2" t="s">
        <v>23</v>
      </c>
      <c r="E7767" s="2"/>
      <c r="F7767" s="2" t="str">
        <f>HYPERLINK("http://m.12365auto.com/bbs/postcontent.aspx?tID=194086","http://m.12365auto.com/bbs/postcontent.aspx?tID=194086")</f>
        <v>http://m.12365auto.com/bbs/postcontent.aspx?tID=194086</v>
      </c>
      <c r="G7767" s="2"/>
      <c r="H7767" s="2" t="s">
        <v>10660</v>
      </c>
      <c r="I7767" s="2" t="s">
        <v>15</v>
      </c>
      <c r="J7767" s="2" t="s">
        <v>10637</v>
      </c>
      <c r="K7767" s="2" t="s">
        <v>10659</v>
      </c>
      <c r="L7767" s="2">
        <f t="shared" si="121"/>
        <v>150</v>
      </c>
    </row>
    <row r="7768" spans="1:12" ht="25" customHeight="1">
      <c r="A7768" s="2" t="s">
        <v>12</v>
      </c>
      <c r="B7768" s="2" t="str">
        <f>HYPERLINK("http://bbs.12365auto.com/postcontent.aspx?tID=194086","史上最强RAV4 5.8秒破百")</f>
        <v>史上最强RAV4 5.8秒破百</v>
      </c>
      <c r="C7768" s="2" t="s">
        <v>13</v>
      </c>
      <c r="D7768" s="2" t="s">
        <v>12</v>
      </c>
      <c r="E7768" s="2" t="s">
        <v>28</v>
      </c>
      <c r="F7768" s="2" t="str">
        <f>HYPERLINK("http://bbs.12365auto.com/postcontent.aspx?tID=194086","http://bbs.12365auto.com/postcontent.aspx?tID=194086")</f>
        <v>http://bbs.12365auto.com/postcontent.aspx?tID=194086</v>
      </c>
      <c r="G7768" s="2"/>
      <c r="H7768" s="2" t="s">
        <v>10662</v>
      </c>
      <c r="I7768" s="2" t="s">
        <v>15</v>
      </c>
      <c r="J7768" s="2" t="s">
        <v>10637</v>
      </c>
      <c r="K7768" s="2" t="s">
        <v>10659</v>
      </c>
      <c r="L7768" s="2">
        <f t="shared" si="121"/>
        <v>150</v>
      </c>
    </row>
    <row r="7769" spans="1:12" ht="25" customHeight="1">
      <c r="A7769" s="2" t="s">
        <v>12</v>
      </c>
      <c r="B7769" s="2" t="str">
        <f>HYPERLINK("http://m.12365auto.com/xcdg/20200214/418536.shtml","赛车制造商lister发布电动超跑预告图")</f>
        <v>赛车制造商lister发布电动超跑预告图</v>
      </c>
      <c r="C7769" s="2" t="s">
        <v>13</v>
      </c>
      <c r="D7769" s="2" t="s">
        <v>12</v>
      </c>
      <c r="E7769" s="2"/>
      <c r="F7769" s="2" t="str">
        <f>HYPERLINK("http://m.12365auto.com/xcdg/20200214/418536.shtml","http://m.12365auto.com/xcdg/20200214/418536.shtml")</f>
        <v>http://m.12365auto.com/xcdg/20200214/418536.shtml</v>
      </c>
      <c r="G7769" s="2"/>
      <c r="H7769" s="2" t="s">
        <v>10663</v>
      </c>
      <c r="I7769" s="2" t="s">
        <v>19</v>
      </c>
      <c r="J7769" s="2" t="s">
        <v>332</v>
      </c>
      <c r="K7769" s="2" t="s">
        <v>10664</v>
      </c>
      <c r="L7769" s="2">
        <f t="shared" si="121"/>
        <v>150</v>
      </c>
    </row>
    <row r="7770" spans="1:12" ht="25" customHeight="1">
      <c r="A7770" s="2" t="s">
        <v>12</v>
      </c>
      <c r="B7770" s="2" t="str">
        <f>HYPERLINK("http://bbs.12365auto.com/postcontent.aspx?tId=194085","实力颜值兼具 油耗仅4.1L")</f>
        <v>实力颜值兼具 油耗仅4.1L</v>
      </c>
      <c r="C7770" s="2" t="s">
        <v>13</v>
      </c>
      <c r="D7770" s="2" t="s">
        <v>12</v>
      </c>
      <c r="E7770" s="2" t="s">
        <v>27</v>
      </c>
      <c r="F7770" s="2" t="str">
        <f>HYPERLINK("http://bbs.12365auto.com/postcontent.aspx?tId=194085","http://bbs.12365auto.com/postcontent.aspx?tId=194085")</f>
        <v>http://bbs.12365auto.com/postcontent.aspx?tId=194085</v>
      </c>
      <c r="G7770" s="2"/>
      <c r="H7770" s="2" t="s">
        <v>10665</v>
      </c>
      <c r="I7770" s="2" t="s">
        <v>15</v>
      </c>
      <c r="J7770" s="2" t="s">
        <v>10637</v>
      </c>
      <c r="K7770" s="2" t="s">
        <v>10664</v>
      </c>
      <c r="L7770" s="2">
        <f t="shared" si="121"/>
        <v>150</v>
      </c>
    </row>
    <row r="7771" spans="1:12" ht="25" customHeight="1">
      <c r="A7771" s="2" t="s">
        <v>12</v>
      </c>
      <c r="B7771" s="2" t="str">
        <f>HYPERLINK("http://www.12365auto.com/xcdg/20200214/418536.shtml","赛车制造商lister发布电动超跑预告图")</f>
        <v>赛车制造商lister发布电动超跑预告图</v>
      </c>
      <c r="C7771" s="2" t="s">
        <v>13</v>
      </c>
      <c r="D7771" s="2" t="s">
        <v>12</v>
      </c>
      <c r="E7771" s="2" t="s">
        <v>216</v>
      </c>
      <c r="F7771" s="2" t="str">
        <f>HYPERLINK("http://www.12365auto.com/xcdg/20200214/418536.shtml","http://www.12365auto.com/xcdg/20200214/418536.shtml")</f>
        <v>http://www.12365auto.com/xcdg/20200214/418536.shtml</v>
      </c>
      <c r="G7771" s="2"/>
      <c r="H7771" s="2" t="s">
        <v>10666</v>
      </c>
      <c r="I7771" s="2" t="s">
        <v>15</v>
      </c>
      <c r="J7771" s="2" t="s">
        <v>12</v>
      </c>
      <c r="K7771" s="2" t="s">
        <v>10664</v>
      </c>
      <c r="L7771" s="2">
        <f t="shared" si="121"/>
        <v>150</v>
      </c>
    </row>
    <row r="7772" spans="1:12" ht="25" customHeight="1">
      <c r="A7772" s="2" t="s">
        <v>12</v>
      </c>
      <c r="B7772" s="2" t="str">
        <f>HYPERLINK("http://m.12365auto.com/bbs/postcontent.aspx?tID=194085","实力颜值兼具 油耗仅4.1L")</f>
        <v>实力颜值兼具 油耗仅4.1L</v>
      </c>
      <c r="C7772" s="2" t="s">
        <v>13</v>
      </c>
      <c r="D7772" s="2" t="s">
        <v>23</v>
      </c>
      <c r="E7772" s="2"/>
      <c r="F7772" s="2" t="str">
        <f>HYPERLINK("http://m.12365auto.com/bbs/postcontent.aspx?tID=194085","http://m.12365auto.com/bbs/postcontent.aspx?tID=194085")</f>
        <v>http://m.12365auto.com/bbs/postcontent.aspx?tID=194085</v>
      </c>
      <c r="G7772" s="2"/>
      <c r="H7772" s="2" t="s">
        <v>10665</v>
      </c>
      <c r="I7772" s="2" t="s">
        <v>15</v>
      </c>
      <c r="J7772" s="2" t="s">
        <v>10637</v>
      </c>
      <c r="K7772" s="2" t="s">
        <v>10664</v>
      </c>
      <c r="L7772" s="2">
        <f t="shared" si="121"/>
        <v>150</v>
      </c>
    </row>
    <row r="7773" spans="1:12" ht="25" customHeight="1">
      <c r="A7773" s="2" t="s">
        <v>12</v>
      </c>
      <c r="B7773" s="2" t="str">
        <f>HYPERLINK("http://bbs.12365auto.com/postcontent.aspx?tID=194085","实力颜值兼具 油耗仅4.1L")</f>
        <v>实力颜值兼具 油耗仅4.1L</v>
      </c>
      <c r="C7773" s="2" t="s">
        <v>13</v>
      </c>
      <c r="D7773" s="2" t="s">
        <v>12</v>
      </c>
      <c r="E7773" s="2" t="s">
        <v>28</v>
      </c>
      <c r="F7773" s="2" t="str">
        <f>HYPERLINK("http://bbs.12365auto.com/postcontent.aspx?tID=194085","http://bbs.12365auto.com/postcontent.aspx?tID=194085")</f>
        <v>http://bbs.12365auto.com/postcontent.aspx?tID=194085</v>
      </c>
      <c r="G7773" s="2"/>
      <c r="H7773" s="2" t="s">
        <v>10667</v>
      </c>
      <c r="I7773" s="2" t="s">
        <v>15</v>
      </c>
      <c r="J7773" s="2" t="s">
        <v>10637</v>
      </c>
      <c r="K7773" s="2" t="s">
        <v>10664</v>
      </c>
      <c r="L7773" s="2">
        <f t="shared" si="121"/>
        <v>150</v>
      </c>
    </row>
    <row r="7774" spans="1:12" ht="25" customHeight="1">
      <c r="A7774" s="2" t="s">
        <v>12</v>
      </c>
      <c r="B7774" s="2" t="str">
        <f>HYPERLINK("http://m.12365auto.com/news/20200214/418535.shtml","延长保修等 路特斯为用户推出新政策")</f>
        <v>延长保修等 路特斯为用户推出新政策</v>
      </c>
      <c r="C7774" s="2" t="s">
        <v>13</v>
      </c>
      <c r="D7774" s="2" t="s">
        <v>12</v>
      </c>
      <c r="E7774" s="2"/>
      <c r="F7774" s="2" t="str">
        <f>HYPERLINK("http://m.12365auto.com/news/20200214/418535.shtml","http://m.12365auto.com/news/20200214/418535.shtml")</f>
        <v>http://m.12365auto.com/news/20200214/418535.shtml</v>
      </c>
      <c r="G7774" s="2"/>
      <c r="H7774" s="2" t="s">
        <v>10668</v>
      </c>
      <c r="I7774" s="2" t="s">
        <v>19</v>
      </c>
      <c r="J7774" s="2" t="s">
        <v>2560</v>
      </c>
      <c r="K7774" s="2" t="s">
        <v>10669</v>
      </c>
      <c r="L7774" s="2">
        <f t="shared" si="121"/>
        <v>150</v>
      </c>
    </row>
    <row r="7775" spans="1:12" ht="25" customHeight="1">
      <c r="A7775" s="2" t="s">
        <v>12</v>
      </c>
      <c r="B7775" s="2" t="str">
        <f>HYPERLINK("http://www.12365auto.com/news/20200214/418535.shtml","延长保修等 路特斯为用户推出新政策")</f>
        <v>延长保修等 路特斯为用户推出新政策</v>
      </c>
      <c r="C7775" s="2" t="s">
        <v>13</v>
      </c>
      <c r="D7775" s="2" t="s">
        <v>12</v>
      </c>
      <c r="E7775" s="2" t="s">
        <v>276</v>
      </c>
      <c r="F7775" s="2" t="str">
        <f>HYPERLINK("http://www.12365auto.com/news/20200214/418535.shtml","http://www.12365auto.com/news/20200214/418535.shtml")</f>
        <v>http://www.12365auto.com/news/20200214/418535.shtml</v>
      </c>
      <c r="G7775" s="2"/>
      <c r="H7775" s="2" t="s">
        <v>10670</v>
      </c>
      <c r="I7775" s="2" t="s">
        <v>15</v>
      </c>
      <c r="J7775" s="2" t="s">
        <v>12</v>
      </c>
      <c r="K7775" s="2" t="s">
        <v>10669</v>
      </c>
      <c r="L7775" s="2">
        <f t="shared" si="121"/>
        <v>150</v>
      </c>
    </row>
    <row r="7776" spans="1:12" ht="25" customHeight="1">
      <c r="A7776" s="2" t="s">
        <v>12</v>
      </c>
      <c r="B7776" s="2" t="str">
        <f>HYPERLINK("http://m.12365auto.com/news/20200214/418534.shtml","将自产电池 特斯拉建首条电池试点产线")</f>
        <v>将自产电池 特斯拉建首条电池试点产线</v>
      </c>
      <c r="C7776" s="2" t="s">
        <v>13</v>
      </c>
      <c r="D7776" s="2" t="s">
        <v>12</v>
      </c>
      <c r="E7776" s="2"/>
      <c r="F7776" s="2" t="str">
        <f>HYPERLINK("http://m.12365auto.com/news/20200214/418534.shtml","http://m.12365auto.com/news/20200214/418534.shtml")</f>
        <v>http://m.12365auto.com/news/20200214/418534.shtml</v>
      </c>
      <c r="G7776" s="2"/>
      <c r="H7776" s="2" t="s">
        <v>10671</v>
      </c>
      <c r="I7776" s="2" t="s">
        <v>19</v>
      </c>
      <c r="J7776" s="2" t="s">
        <v>274</v>
      </c>
      <c r="K7776" s="2" t="s">
        <v>10672</v>
      </c>
      <c r="L7776" s="2">
        <f t="shared" si="121"/>
        <v>150</v>
      </c>
    </row>
    <row r="7777" spans="1:12" ht="25" customHeight="1">
      <c r="A7777" s="2" t="s">
        <v>12</v>
      </c>
      <c r="B7777" s="2" t="str">
        <f>HYPERLINK("http://www.12365auto.com/news/20200214/418534.shtml","将自产电池 特斯拉建首条电池试点产线")</f>
        <v>将自产电池 特斯拉建首条电池试点产线</v>
      </c>
      <c r="C7777" s="2" t="s">
        <v>13</v>
      </c>
      <c r="D7777" s="2" t="s">
        <v>12</v>
      </c>
      <c r="E7777" s="2" t="s">
        <v>276</v>
      </c>
      <c r="F7777" s="2" t="str">
        <f>HYPERLINK("http://www.12365auto.com/news/20200214/418534.shtml","http://www.12365auto.com/news/20200214/418534.shtml")</f>
        <v>http://www.12365auto.com/news/20200214/418534.shtml</v>
      </c>
      <c r="G7777" s="2"/>
      <c r="H7777" s="2" t="s">
        <v>10673</v>
      </c>
      <c r="I7777" s="2" t="s">
        <v>15</v>
      </c>
      <c r="J7777" s="2" t="s">
        <v>12</v>
      </c>
      <c r="K7777" s="2" t="s">
        <v>10672</v>
      </c>
      <c r="L7777" s="2">
        <f t="shared" si="121"/>
        <v>150</v>
      </c>
    </row>
    <row r="7778" spans="1:12" ht="25" customHeight="1">
      <c r="A7778" s="2" t="s">
        <v>12</v>
      </c>
      <c r="B7778" s="2" t="str">
        <f>HYPERLINK("http://m.12365auto.com/bbs/postcontent.aspx?tID=194084","“上汽奥迪”A7终于来了！可我还是高兴不起来")</f>
        <v>“上汽奥迪”A7终于来了！可我还是高兴不起来</v>
      </c>
      <c r="C7778" s="2" t="s">
        <v>13</v>
      </c>
      <c r="D7778" s="2" t="s">
        <v>23</v>
      </c>
      <c r="E7778" s="2"/>
      <c r="F7778" s="2" t="str">
        <f>HYPERLINK("http://m.12365auto.com/bbs/postcontent.aspx?tID=194084","http://m.12365auto.com/bbs/postcontent.aspx?tID=194084")</f>
        <v>http://m.12365auto.com/bbs/postcontent.aspx?tID=194084</v>
      </c>
      <c r="G7778" s="2"/>
      <c r="H7778" s="2" t="s">
        <v>10674</v>
      </c>
      <c r="I7778" s="2" t="s">
        <v>15</v>
      </c>
      <c r="J7778" s="2" t="s">
        <v>2699</v>
      </c>
      <c r="K7778" s="2" t="s">
        <v>10672</v>
      </c>
      <c r="L7778" s="2">
        <f t="shared" si="121"/>
        <v>150</v>
      </c>
    </row>
    <row r="7779" spans="1:12" ht="25" customHeight="1">
      <c r="A7779" s="2" t="s">
        <v>12</v>
      </c>
      <c r="B7779" s="2" t="str">
        <f>HYPERLINK("http://bbs.12365auto.com/postcontent.aspx?tID=194084","“上汽奥迪”A7终于来了！可我还是高兴不起来")</f>
        <v>“上汽奥迪”A7终于来了！可我还是高兴不起来</v>
      </c>
      <c r="C7779" s="2" t="s">
        <v>13</v>
      </c>
      <c r="D7779" s="2" t="s">
        <v>12</v>
      </c>
      <c r="E7779" s="2" t="s">
        <v>28</v>
      </c>
      <c r="F7779" s="2" t="str">
        <f>HYPERLINK("http://bbs.12365auto.com/postcontent.aspx?tID=194084","http://bbs.12365auto.com/postcontent.aspx?tID=194084")</f>
        <v>http://bbs.12365auto.com/postcontent.aspx?tID=194084</v>
      </c>
      <c r="G7779" s="2"/>
      <c r="H7779" s="2" t="s">
        <v>10675</v>
      </c>
      <c r="I7779" s="2" t="s">
        <v>15</v>
      </c>
      <c r="J7779" s="2" t="s">
        <v>2699</v>
      </c>
      <c r="K7779" s="2" t="s">
        <v>10672</v>
      </c>
      <c r="L7779" s="2">
        <f t="shared" si="121"/>
        <v>150</v>
      </c>
    </row>
    <row r="7780" spans="1:12" ht="25" customHeight="1">
      <c r="A7780" s="2" t="s">
        <v>12</v>
      </c>
      <c r="B7780" s="2" t="str">
        <f>HYPERLINK("http://bbs.12365auto.com/postcontent.aspx?tId=194084","“上汽奥迪”A7终于来了！可我还是高兴不起来")</f>
        <v>“上汽奥迪”A7终于来了！可我还是高兴不起来</v>
      </c>
      <c r="C7780" s="2" t="s">
        <v>13</v>
      </c>
      <c r="D7780" s="2" t="s">
        <v>12</v>
      </c>
      <c r="E7780" s="2" t="s">
        <v>27</v>
      </c>
      <c r="F7780" s="2" t="str">
        <f>HYPERLINK("http://bbs.12365auto.com/postcontent.aspx?tId=194084","http://bbs.12365auto.com/postcontent.aspx?tId=194084")</f>
        <v>http://bbs.12365auto.com/postcontent.aspx?tId=194084</v>
      </c>
      <c r="G7780" s="2"/>
      <c r="H7780" s="2" t="s">
        <v>10674</v>
      </c>
      <c r="I7780" s="2" t="s">
        <v>15</v>
      </c>
      <c r="J7780" s="2" t="s">
        <v>2699</v>
      </c>
      <c r="K7780" s="2" t="s">
        <v>10672</v>
      </c>
      <c r="L7780" s="2">
        <f t="shared" si="121"/>
        <v>150</v>
      </c>
    </row>
    <row r="7781" spans="1:12" ht="25" customHeight="1">
      <c r="A7781" s="2" t="s">
        <v>12</v>
      </c>
      <c r="B7781" s="2" t="str">
        <f>HYPERLINK("http://m.12365auto.com/bbs/postcontent.aspx?tID=194083","购车前记得先算账，年入多少才能负担得起一台奥迪A6L呢？")</f>
        <v>购车前记得先算账，年入多少才能负担得起一台奥迪A6L呢？</v>
      </c>
      <c r="C7781" s="2" t="s">
        <v>13</v>
      </c>
      <c r="D7781" s="2" t="s">
        <v>23</v>
      </c>
      <c r="E7781" s="2"/>
      <c r="F7781" s="2" t="str">
        <f>HYPERLINK("http://m.12365auto.com/bbs/postcontent.aspx?tID=194083","http://m.12365auto.com/bbs/postcontent.aspx?tID=194083")</f>
        <v>http://m.12365auto.com/bbs/postcontent.aspx?tID=194083</v>
      </c>
      <c r="G7781" s="2"/>
      <c r="H7781" s="2" t="s">
        <v>10676</v>
      </c>
      <c r="I7781" s="2" t="s">
        <v>15</v>
      </c>
      <c r="J7781" s="2" t="s">
        <v>2699</v>
      </c>
      <c r="K7781" s="2" t="s">
        <v>10677</v>
      </c>
      <c r="L7781" s="2">
        <f t="shared" si="121"/>
        <v>150</v>
      </c>
    </row>
    <row r="7782" spans="1:12" ht="25" customHeight="1">
      <c r="A7782" s="2" t="s">
        <v>12</v>
      </c>
      <c r="B7782" s="2" t="str">
        <f>HYPERLINK("http://m.12365auto.com/bbs/postcontent.aspx?tID=194082","6万买一辆大众高尔夫值吗？拆开仪表台，这台小钢炮让我一脸懵逼")</f>
        <v>6万买一辆大众高尔夫值吗？拆开仪表台，这台小钢炮让我一脸懵逼</v>
      </c>
      <c r="C7782" s="2" t="s">
        <v>13</v>
      </c>
      <c r="D7782" s="2" t="s">
        <v>23</v>
      </c>
      <c r="E7782" s="2"/>
      <c r="F7782" s="2" t="str">
        <f>HYPERLINK("http://m.12365auto.com/bbs/postcontent.aspx?tID=194082","http://m.12365auto.com/bbs/postcontent.aspx?tID=194082")</f>
        <v>http://m.12365auto.com/bbs/postcontent.aspx?tID=194082</v>
      </c>
      <c r="G7782" s="2"/>
      <c r="H7782" s="2" t="s">
        <v>10678</v>
      </c>
      <c r="I7782" s="2" t="s">
        <v>15</v>
      </c>
      <c r="J7782" s="2" t="s">
        <v>2699</v>
      </c>
      <c r="K7782" s="2" t="s">
        <v>10677</v>
      </c>
      <c r="L7782" s="2">
        <f t="shared" si="121"/>
        <v>150</v>
      </c>
    </row>
    <row r="7783" spans="1:12" ht="25" customHeight="1">
      <c r="A7783" s="2" t="s">
        <v>12</v>
      </c>
      <c r="B7783" s="2" t="str">
        <f>HYPERLINK("http://bbs.12365auto.com/postcontent.aspx?tID=194082","6万买一辆大众高尔夫值吗？拆开仪表台，这台小钢炮让我一脸懵逼")</f>
        <v>6万买一辆大众高尔夫值吗？拆开仪表台，这台小钢炮让我一脸懵逼</v>
      </c>
      <c r="C7783" s="2" t="s">
        <v>13</v>
      </c>
      <c r="D7783" s="2" t="s">
        <v>12</v>
      </c>
      <c r="E7783" s="2" t="s">
        <v>28</v>
      </c>
      <c r="F7783" s="2" t="str">
        <f>HYPERLINK("http://bbs.12365auto.com/postcontent.aspx?tID=194082","http://bbs.12365auto.com/postcontent.aspx?tID=194082")</f>
        <v>http://bbs.12365auto.com/postcontent.aspx?tID=194082</v>
      </c>
      <c r="G7783" s="2"/>
      <c r="H7783" s="2" t="s">
        <v>10679</v>
      </c>
      <c r="I7783" s="2" t="s">
        <v>15</v>
      </c>
      <c r="J7783" s="2" t="s">
        <v>2699</v>
      </c>
      <c r="K7783" s="2" t="s">
        <v>10677</v>
      </c>
      <c r="L7783" s="2">
        <f t="shared" si="121"/>
        <v>150</v>
      </c>
    </row>
    <row r="7784" spans="1:12" ht="25" customHeight="1">
      <c r="A7784" s="2" t="s">
        <v>12</v>
      </c>
      <c r="B7784" s="2" t="str">
        <f>HYPERLINK("http://bbs.12365auto.com/postcontent.aspx?tID=194083","购车前记得先算账，年入多少才能负担得起一台奥迪A6L呢？")</f>
        <v>购车前记得先算账，年入多少才能负担得起一台奥迪A6L呢？</v>
      </c>
      <c r="C7784" s="2" t="s">
        <v>13</v>
      </c>
      <c r="D7784" s="2" t="s">
        <v>12</v>
      </c>
      <c r="E7784" s="2" t="s">
        <v>28</v>
      </c>
      <c r="F7784" s="2" t="str">
        <f>HYPERLINK("http://bbs.12365auto.com/postcontent.aspx?tID=194083","http://bbs.12365auto.com/postcontent.aspx?tID=194083")</f>
        <v>http://bbs.12365auto.com/postcontent.aspx?tID=194083</v>
      </c>
      <c r="G7784" s="2"/>
      <c r="H7784" s="2" t="s">
        <v>10680</v>
      </c>
      <c r="I7784" s="2" t="s">
        <v>15</v>
      </c>
      <c r="J7784" s="2" t="s">
        <v>2699</v>
      </c>
      <c r="K7784" s="2" t="s">
        <v>10677</v>
      </c>
      <c r="L7784" s="2">
        <f t="shared" si="121"/>
        <v>150</v>
      </c>
    </row>
    <row r="7785" spans="1:12" ht="25" customHeight="1">
      <c r="A7785" s="2" t="s">
        <v>12</v>
      </c>
      <c r="B7785" s="2" t="str">
        <f>HYPERLINK("http://bbs.12365auto.com/postcontent.aspx?tId=194083","购车前记得先算账，年入多少才能负担得起一台奥迪A6L呢？")</f>
        <v>购车前记得先算账，年入多少才能负担得起一台奥迪A6L呢？</v>
      </c>
      <c r="C7785" s="2" t="s">
        <v>13</v>
      </c>
      <c r="D7785" s="2" t="s">
        <v>12</v>
      </c>
      <c r="E7785" s="2" t="s">
        <v>27</v>
      </c>
      <c r="F7785" s="2" t="str">
        <f>HYPERLINK("http://bbs.12365auto.com/postcontent.aspx?tId=194083","http://bbs.12365auto.com/postcontent.aspx?tId=194083")</f>
        <v>http://bbs.12365auto.com/postcontent.aspx?tId=194083</v>
      </c>
      <c r="G7785" s="2"/>
      <c r="H7785" s="2" t="s">
        <v>10676</v>
      </c>
      <c r="I7785" s="2" t="s">
        <v>15</v>
      </c>
      <c r="J7785" s="2" t="s">
        <v>2699</v>
      </c>
      <c r="K7785" s="2" t="s">
        <v>10677</v>
      </c>
      <c r="L7785" s="2">
        <f t="shared" si="121"/>
        <v>150</v>
      </c>
    </row>
    <row r="7786" spans="1:12" ht="25" customHeight="1">
      <c r="A7786" s="2" t="s">
        <v>12</v>
      </c>
      <c r="B7786" s="2" t="str">
        <f>HYPERLINK("http://bbs.12365auto.com/postcontent.aspx?tId=194082","6万买一辆大众高尔夫值吗？拆开仪表台，这台小钢炮让我一脸懵逼")</f>
        <v>6万买一辆大众高尔夫值吗？拆开仪表台，这台小钢炮让我一脸懵逼</v>
      </c>
      <c r="C7786" s="2" t="s">
        <v>13</v>
      </c>
      <c r="D7786" s="2" t="s">
        <v>12</v>
      </c>
      <c r="E7786" s="2" t="s">
        <v>27</v>
      </c>
      <c r="F7786" s="2" t="str">
        <f>HYPERLINK("http://bbs.12365auto.com/postcontent.aspx?tId=194082","http://bbs.12365auto.com/postcontent.aspx?tId=194082")</f>
        <v>http://bbs.12365auto.com/postcontent.aspx?tId=194082</v>
      </c>
      <c r="G7786" s="2"/>
      <c r="H7786" s="2" t="s">
        <v>10678</v>
      </c>
      <c r="I7786" s="2" t="s">
        <v>15</v>
      </c>
      <c r="J7786" s="2" t="s">
        <v>2699</v>
      </c>
      <c r="K7786" s="2" t="s">
        <v>10677</v>
      </c>
      <c r="L7786" s="2">
        <f t="shared" si="121"/>
        <v>150</v>
      </c>
    </row>
    <row r="7787" spans="1:12" ht="25" customHeight="1">
      <c r="A7787" s="2" t="s">
        <v>12</v>
      </c>
      <c r="B7787" s="2" t="str">
        <f>HYPERLINK("http://m.12365auto.com/xcdg/20200214/418533.shtml","日内瓦车展亮相 宾利Bacalar预告图发布")</f>
        <v>日内瓦车展亮相 宾利Bacalar预告图发布</v>
      </c>
      <c r="C7787" s="2" t="s">
        <v>13</v>
      </c>
      <c r="D7787" s="2" t="s">
        <v>12</v>
      </c>
      <c r="E7787" s="2"/>
      <c r="F7787" s="2" t="str">
        <f>HYPERLINK("http://m.12365auto.com/xcdg/20200214/418533.shtml","http://m.12365auto.com/xcdg/20200214/418533.shtml")</f>
        <v>http://m.12365auto.com/xcdg/20200214/418533.shtml</v>
      </c>
      <c r="G7787" s="2"/>
      <c r="H7787" s="2" t="s">
        <v>10681</v>
      </c>
      <c r="I7787" s="2" t="s">
        <v>19</v>
      </c>
      <c r="J7787" s="2" t="s">
        <v>836</v>
      </c>
      <c r="K7787" s="2" t="s">
        <v>10682</v>
      </c>
      <c r="L7787" s="2">
        <f t="shared" si="121"/>
        <v>150</v>
      </c>
    </row>
    <row r="7788" spans="1:12" ht="25" customHeight="1">
      <c r="A7788" s="2" t="s">
        <v>12</v>
      </c>
      <c r="B7788" s="2" t="str">
        <f>HYPERLINK("http://www.12365auto.com/xcdg/20200214/418533.shtml","日内瓦车展亮相 宾利Bacalar预告图发布")</f>
        <v>日内瓦车展亮相 宾利Bacalar预告图发布</v>
      </c>
      <c r="C7788" s="2" t="s">
        <v>13</v>
      </c>
      <c r="D7788" s="2" t="s">
        <v>12</v>
      </c>
      <c r="E7788" s="2" t="s">
        <v>216</v>
      </c>
      <c r="F7788" s="2" t="str">
        <f>HYPERLINK("http://www.12365auto.com/xcdg/20200214/418533.shtml","http://www.12365auto.com/xcdg/20200214/418533.shtml")</f>
        <v>http://www.12365auto.com/xcdg/20200214/418533.shtml</v>
      </c>
      <c r="G7788" s="2"/>
      <c r="H7788" s="2" t="s">
        <v>10683</v>
      </c>
      <c r="I7788" s="2" t="s">
        <v>15</v>
      </c>
      <c r="J7788" s="2" t="s">
        <v>12</v>
      </c>
      <c r="K7788" s="2" t="s">
        <v>10682</v>
      </c>
      <c r="L7788" s="2">
        <f t="shared" si="121"/>
        <v>150</v>
      </c>
    </row>
    <row r="7789" spans="1:12" ht="25" customHeight="1">
      <c r="A7789" s="2" t="s">
        <v>12</v>
      </c>
      <c r="B7789" s="2" t="str">
        <f>HYPERLINK("http://m.12365auto.com/bbs/postcontent.aspx?tID=194081","怀念科比，那些年拥有的豪车")</f>
        <v>怀念科比，那些年拥有的豪车</v>
      </c>
      <c r="C7789" s="2" t="s">
        <v>13</v>
      </c>
      <c r="D7789" s="2" t="s">
        <v>23</v>
      </c>
      <c r="E7789" s="2"/>
      <c r="F7789" s="2" t="str">
        <f>HYPERLINK("http://m.12365auto.com/bbs/postcontent.aspx?tID=194081","http://m.12365auto.com/bbs/postcontent.aspx?tID=194081")</f>
        <v>http://m.12365auto.com/bbs/postcontent.aspx?tID=194081</v>
      </c>
      <c r="G7789" s="2"/>
      <c r="H7789" s="2" t="s">
        <v>8410</v>
      </c>
      <c r="I7789" s="2" t="s">
        <v>15</v>
      </c>
      <c r="J7789" s="2" t="s">
        <v>2699</v>
      </c>
      <c r="K7789" s="2" t="s">
        <v>10682</v>
      </c>
      <c r="L7789" s="2">
        <f t="shared" si="121"/>
        <v>150</v>
      </c>
    </row>
    <row r="7790" spans="1:12" ht="25" customHeight="1">
      <c r="A7790" s="2" t="s">
        <v>12</v>
      </c>
      <c r="B7790" s="2" t="str">
        <f>HYPERLINK("http://m.12365auto.com/bbs/postcontent.aspx?tID=194080","富人看不上，穷人买不起！这些车可真尴尬")</f>
        <v>富人看不上，穷人买不起！这些车可真尴尬</v>
      </c>
      <c r="C7790" s="2" t="s">
        <v>13</v>
      </c>
      <c r="D7790" s="2" t="s">
        <v>23</v>
      </c>
      <c r="E7790" s="2"/>
      <c r="F7790" s="2" t="str">
        <f>HYPERLINK("http://m.12365auto.com/bbs/postcontent.aspx?tID=194080","http://m.12365auto.com/bbs/postcontent.aspx?tID=194080")</f>
        <v>http://m.12365auto.com/bbs/postcontent.aspx?tID=194080</v>
      </c>
      <c r="G7790" s="2"/>
      <c r="H7790" s="2" t="s">
        <v>9258</v>
      </c>
      <c r="I7790" s="2" t="s">
        <v>15</v>
      </c>
      <c r="J7790" s="2" t="s">
        <v>2699</v>
      </c>
      <c r="K7790" s="2" t="s">
        <v>10682</v>
      </c>
      <c r="L7790" s="2">
        <f t="shared" si="121"/>
        <v>150</v>
      </c>
    </row>
    <row r="7791" spans="1:12" ht="25" customHeight="1">
      <c r="A7791" s="2" t="s">
        <v>12</v>
      </c>
      <c r="B7791" s="2" t="str">
        <f>HYPERLINK("http://bbs.12365auto.com/postcontent.aspx?tID=194081","怀念科比，那些年拥有的豪车")</f>
        <v>怀念科比，那些年拥有的豪车</v>
      </c>
      <c r="C7791" s="2" t="s">
        <v>13</v>
      </c>
      <c r="D7791" s="2" t="s">
        <v>12</v>
      </c>
      <c r="E7791" s="2" t="s">
        <v>28</v>
      </c>
      <c r="F7791" s="2" t="str">
        <f>HYPERLINK("http://bbs.12365auto.com/postcontent.aspx?tID=194081","http://bbs.12365auto.com/postcontent.aspx?tID=194081")</f>
        <v>http://bbs.12365auto.com/postcontent.aspx?tID=194081</v>
      </c>
      <c r="G7791" s="2"/>
      <c r="H7791" s="2" t="s">
        <v>8408</v>
      </c>
      <c r="I7791" s="2" t="s">
        <v>15</v>
      </c>
      <c r="J7791" s="2" t="s">
        <v>2699</v>
      </c>
      <c r="K7791" s="2" t="s">
        <v>10682</v>
      </c>
      <c r="L7791" s="2">
        <f t="shared" si="121"/>
        <v>150</v>
      </c>
    </row>
    <row r="7792" spans="1:12" ht="25" customHeight="1">
      <c r="A7792" s="2" t="s">
        <v>12</v>
      </c>
      <c r="B7792" s="2" t="str">
        <f>HYPERLINK("http://bbs.12365auto.com/postcontent.aspx?tID=194080","富人看不上，穷人买不起！这些车可真尴尬")</f>
        <v>富人看不上，穷人买不起！这些车可真尴尬</v>
      </c>
      <c r="C7792" s="2" t="s">
        <v>13</v>
      </c>
      <c r="D7792" s="2" t="s">
        <v>12</v>
      </c>
      <c r="E7792" s="2" t="s">
        <v>28</v>
      </c>
      <c r="F7792" s="2" t="str">
        <f>HYPERLINK("http://bbs.12365auto.com/postcontent.aspx?tID=194080","http://bbs.12365auto.com/postcontent.aspx?tID=194080")</f>
        <v>http://bbs.12365auto.com/postcontent.aspx?tID=194080</v>
      </c>
      <c r="G7792" s="2"/>
      <c r="H7792" s="2" t="s">
        <v>9260</v>
      </c>
      <c r="I7792" s="2" t="s">
        <v>15</v>
      </c>
      <c r="J7792" s="2" t="s">
        <v>2699</v>
      </c>
      <c r="K7792" s="2" t="s">
        <v>10682</v>
      </c>
      <c r="L7792" s="2">
        <f t="shared" si="121"/>
        <v>150</v>
      </c>
    </row>
    <row r="7793" spans="1:12" ht="25" customHeight="1">
      <c r="A7793" s="2" t="s">
        <v>12</v>
      </c>
      <c r="B7793" s="2" t="str">
        <f>HYPERLINK("http://bbs.12365auto.com/postcontent.aspx?tId=194081","怀念科比，那些年拥有的豪车")</f>
        <v>怀念科比，那些年拥有的豪车</v>
      </c>
      <c r="C7793" s="2" t="s">
        <v>13</v>
      </c>
      <c r="D7793" s="2" t="s">
        <v>12</v>
      </c>
      <c r="E7793" s="2" t="s">
        <v>27</v>
      </c>
      <c r="F7793" s="2" t="str">
        <f>HYPERLINK("http://bbs.12365auto.com/postcontent.aspx?tId=194081","http://bbs.12365auto.com/postcontent.aspx?tId=194081")</f>
        <v>http://bbs.12365auto.com/postcontent.aspx?tId=194081</v>
      </c>
      <c r="G7793" s="2"/>
      <c r="H7793" s="2" t="s">
        <v>8410</v>
      </c>
      <c r="I7793" s="2" t="s">
        <v>15</v>
      </c>
      <c r="J7793" s="2" t="s">
        <v>2699</v>
      </c>
      <c r="K7793" s="2" t="s">
        <v>10682</v>
      </c>
      <c r="L7793" s="2">
        <f t="shared" si="121"/>
        <v>150</v>
      </c>
    </row>
    <row r="7794" spans="1:12" ht="25" customHeight="1">
      <c r="A7794" s="2" t="s">
        <v>12</v>
      </c>
      <c r="B7794" s="2" t="str">
        <f>HYPERLINK("http://bbs.12365auto.com/postcontent.aspx?tId=194080","富人看不上，穷人买不起！这些车可真尴尬")</f>
        <v>富人看不上，穷人买不起！这些车可真尴尬</v>
      </c>
      <c r="C7794" s="2" t="s">
        <v>13</v>
      </c>
      <c r="D7794" s="2" t="s">
        <v>12</v>
      </c>
      <c r="E7794" s="2" t="s">
        <v>27</v>
      </c>
      <c r="F7794" s="2" t="str">
        <f>HYPERLINK("http://bbs.12365auto.com/postcontent.aspx?tId=194080","http://bbs.12365auto.com/postcontent.aspx?tId=194080")</f>
        <v>http://bbs.12365auto.com/postcontent.aspx?tId=194080</v>
      </c>
      <c r="G7794" s="2"/>
      <c r="H7794" s="2" t="s">
        <v>9258</v>
      </c>
      <c r="I7794" s="2" t="s">
        <v>15</v>
      </c>
      <c r="J7794" s="2" t="s">
        <v>2699</v>
      </c>
      <c r="K7794" s="2" t="s">
        <v>10682</v>
      </c>
      <c r="L7794" s="2">
        <f t="shared" si="121"/>
        <v>150</v>
      </c>
    </row>
    <row r="7795" spans="1:12" ht="25" customHeight="1">
      <c r="A7795" s="2" t="s">
        <v>12</v>
      </c>
      <c r="B7795" s="2" t="str">
        <f>HYPERLINK("http://m.12365auto.com/bbs/postcontent.aspx?tID=194079","二十几万也能买进口奔驰，溜背+无框车门，新款还带双屏内饰")</f>
        <v>二十几万也能买进口奔驰，溜背+无框车门，新款还带双屏内饰</v>
      </c>
      <c r="C7795" s="2" t="s">
        <v>13</v>
      </c>
      <c r="D7795" s="2" t="s">
        <v>23</v>
      </c>
      <c r="E7795" s="2"/>
      <c r="F7795" s="2" t="str">
        <f>HYPERLINK("http://m.12365auto.com/bbs/postcontent.aspx?tID=194079","http://m.12365auto.com/bbs/postcontent.aspx?tID=194079")</f>
        <v>http://m.12365auto.com/bbs/postcontent.aspx?tID=194079</v>
      </c>
      <c r="G7795" s="2"/>
      <c r="H7795" s="2" t="s">
        <v>10684</v>
      </c>
      <c r="I7795" s="2" t="s">
        <v>15</v>
      </c>
      <c r="J7795" s="2" t="s">
        <v>2699</v>
      </c>
      <c r="K7795" s="2" t="s">
        <v>10685</v>
      </c>
      <c r="L7795" s="2">
        <f t="shared" si="121"/>
        <v>150</v>
      </c>
    </row>
    <row r="7796" spans="1:12" ht="25" customHeight="1">
      <c r="A7796" s="2" t="s">
        <v>12</v>
      </c>
      <c r="B7796" s="2" t="str">
        <f>HYPERLINK("http://bbs.12365auto.com/postcontent.aspx?tID=194079","二十几万也能买进口奔驰，溜背+无框车门，新款还带双屏内饰")</f>
        <v>二十几万也能买进口奔驰，溜背+无框车门，新款还带双屏内饰</v>
      </c>
      <c r="C7796" s="2" t="s">
        <v>13</v>
      </c>
      <c r="D7796" s="2" t="s">
        <v>12</v>
      </c>
      <c r="E7796" s="2" t="s">
        <v>28</v>
      </c>
      <c r="F7796" s="2" t="str">
        <f>HYPERLINK("http://bbs.12365auto.com/postcontent.aspx?tID=194079","http://bbs.12365auto.com/postcontent.aspx?tID=194079")</f>
        <v>http://bbs.12365auto.com/postcontent.aspx?tID=194079</v>
      </c>
      <c r="G7796" s="2"/>
      <c r="H7796" s="2" t="s">
        <v>10686</v>
      </c>
      <c r="I7796" s="2" t="s">
        <v>15</v>
      </c>
      <c r="J7796" s="2" t="s">
        <v>2699</v>
      </c>
      <c r="K7796" s="2" t="s">
        <v>10685</v>
      </c>
      <c r="L7796" s="2">
        <f t="shared" si="121"/>
        <v>150</v>
      </c>
    </row>
    <row r="7797" spans="1:12" ht="25" customHeight="1">
      <c r="A7797" s="2" t="s">
        <v>12</v>
      </c>
      <c r="B7797" s="2" t="str">
        <f>HYPERLINK("http://bbs.12365auto.com/postcontent.aspx?tID=194078","X1都已经降至20万出头了，还在买荣放CR-V？")</f>
        <v>X1都已经降至20万出头了，还在买荣放CR-V？</v>
      </c>
      <c r="C7797" s="2" t="s">
        <v>13</v>
      </c>
      <c r="D7797" s="2" t="s">
        <v>12</v>
      </c>
      <c r="E7797" s="2" t="s">
        <v>28</v>
      </c>
      <c r="F7797" s="2" t="str">
        <f>HYPERLINK("http://bbs.12365auto.com/postcontent.aspx?tID=194078","http://bbs.12365auto.com/postcontent.aspx?tID=194078")</f>
        <v>http://bbs.12365auto.com/postcontent.aspx?tID=194078</v>
      </c>
      <c r="G7797" s="2"/>
      <c r="H7797" s="2" t="s">
        <v>10687</v>
      </c>
      <c r="I7797" s="2" t="s">
        <v>15</v>
      </c>
      <c r="J7797" s="2" t="s">
        <v>2699</v>
      </c>
      <c r="K7797" s="2" t="s">
        <v>10685</v>
      </c>
      <c r="L7797" s="2">
        <f t="shared" si="121"/>
        <v>150</v>
      </c>
    </row>
    <row r="7798" spans="1:12" ht="25" customHeight="1">
      <c r="A7798" s="2" t="s">
        <v>12</v>
      </c>
      <c r="B7798" s="2" t="str">
        <f>HYPERLINK("http://bbs.12365auto.com/postcontent.aspx?tId=194079","二十几万也能买进口奔驰，溜背+无框车门，新款还带双屏内饰")</f>
        <v>二十几万也能买进口奔驰，溜背+无框车门，新款还带双屏内饰</v>
      </c>
      <c r="C7798" s="2" t="s">
        <v>13</v>
      </c>
      <c r="D7798" s="2" t="s">
        <v>12</v>
      </c>
      <c r="E7798" s="2" t="s">
        <v>27</v>
      </c>
      <c r="F7798" s="2" t="str">
        <f>HYPERLINK("http://bbs.12365auto.com/postcontent.aspx?tId=194079","http://bbs.12365auto.com/postcontent.aspx?tId=194079")</f>
        <v>http://bbs.12365auto.com/postcontent.aspx?tId=194079</v>
      </c>
      <c r="G7798" s="2"/>
      <c r="H7798" s="2" t="s">
        <v>10684</v>
      </c>
      <c r="I7798" s="2" t="s">
        <v>15</v>
      </c>
      <c r="J7798" s="2" t="s">
        <v>2699</v>
      </c>
      <c r="K7798" s="2" t="s">
        <v>10685</v>
      </c>
      <c r="L7798" s="2">
        <f t="shared" si="121"/>
        <v>150</v>
      </c>
    </row>
    <row r="7799" spans="1:12" ht="25" customHeight="1">
      <c r="A7799" s="2" t="s">
        <v>12</v>
      </c>
      <c r="B7799" s="2" t="str">
        <f>HYPERLINK("http://bbs.12365auto.com/postcontent.aspx?tId=194078","X1都已经降至20万出头了，还在买荣放CR-V？")</f>
        <v>X1都已经降至20万出头了，还在买荣放CR-V？</v>
      </c>
      <c r="C7799" s="2" t="s">
        <v>13</v>
      </c>
      <c r="D7799" s="2" t="s">
        <v>12</v>
      </c>
      <c r="E7799" s="2" t="s">
        <v>27</v>
      </c>
      <c r="F7799" s="2" t="str">
        <f>HYPERLINK("http://bbs.12365auto.com/postcontent.aspx?tId=194078","http://bbs.12365auto.com/postcontent.aspx?tId=194078")</f>
        <v>http://bbs.12365auto.com/postcontent.aspx?tId=194078</v>
      </c>
      <c r="G7799" s="2"/>
      <c r="H7799" s="2" t="s">
        <v>10688</v>
      </c>
      <c r="I7799" s="2" t="s">
        <v>15</v>
      </c>
      <c r="J7799" s="2" t="s">
        <v>2699</v>
      </c>
      <c r="K7799" s="2" t="s">
        <v>10685</v>
      </c>
      <c r="L7799" s="2">
        <f t="shared" si="121"/>
        <v>150</v>
      </c>
    </row>
    <row r="7800" spans="1:12" ht="25" customHeight="1">
      <c r="A7800" s="2" t="s">
        <v>12</v>
      </c>
      <c r="B7800" s="2" t="str">
        <f>HYPERLINK("http://m.12365auto.com/xcdg/20200214/418532.shtml","豪华还是空间 30万左右七座SUV海选")</f>
        <v>豪华还是空间 30万左右七座SUV海选</v>
      </c>
      <c r="C7800" s="2" t="s">
        <v>13</v>
      </c>
      <c r="D7800" s="2" t="s">
        <v>12</v>
      </c>
      <c r="E7800" s="2"/>
      <c r="F7800" s="2" t="str">
        <f>HYPERLINK("http://m.12365auto.com/xcdg/20200214/418532.shtml","http://m.12365auto.com/xcdg/20200214/418532.shtml")</f>
        <v>http://m.12365auto.com/xcdg/20200214/418532.shtml</v>
      </c>
      <c r="G7800" s="2"/>
      <c r="H7800" s="2" t="s">
        <v>10689</v>
      </c>
      <c r="I7800" s="2" t="s">
        <v>19</v>
      </c>
      <c r="J7800" s="2" t="s">
        <v>1179</v>
      </c>
      <c r="K7800" s="2" t="s">
        <v>10690</v>
      </c>
      <c r="L7800" s="2">
        <f t="shared" si="121"/>
        <v>150</v>
      </c>
    </row>
    <row r="7801" spans="1:12" ht="25" customHeight="1">
      <c r="A7801" s="2" t="s">
        <v>12</v>
      </c>
      <c r="B7801" s="2" t="str">
        <f>HYPERLINK("http://bbs.12365auto.com/postcontent.aspx?tID=194077","这才是撩妹车，连跌7万，年轻人都抢着要，开出去比保时捷还拉风")</f>
        <v>这才是撩妹车，连跌7万，年轻人都抢着要，开出去比保时捷还拉风</v>
      </c>
      <c r="C7801" s="2" t="s">
        <v>13</v>
      </c>
      <c r="D7801" s="2" t="s">
        <v>12</v>
      </c>
      <c r="E7801" s="2" t="s">
        <v>28</v>
      </c>
      <c r="F7801" s="2" t="str">
        <f>HYPERLINK("http://bbs.12365auto.com/postcontent.aspx?tID=194077","http://bbs.12365auto.com/postcontent.aspx?tID=194077")</f>
        <v>http://bbs.12365auto.com/postcontent.aspx?tID=194077</v>
      </c>
      <c r="G7801" s="2"/>
      <c r="H7801" s="2" t="s">
        <v>8117</v>
      </c>
      <c r="I7801" s="2" t="s">
        <v>15</v>
      </c>
      <c r="J7801" s="2" t="s">
        <v>2699</v>
      </c>
      <c r="K7801" s="2" t="s">
        <v>10691</v>
      </c>
      <c r="L7801" s="2">
        <f t="shared" si="121"/>
        <v>150</v>
      </c>
    </row>
    <row r="7802" spans="1:12" ht="25" customHeight="1">
      <c r="A7802" s="2" t="s">
        <v>12</v>
      </c>
      <c r="B7802" s="2" t="str">
        <f>HYPERLINK("http://bbs.12365auto.com/postcontent.aspx?tId=194077","这才是撩妹车，连跌7万，年轻人都抢着要，开出去比保时捷还拉风")</f>
        <v>这才是撩妹车，连跌7万，年轻人都抢着要，开出去比保时捷还拉风</v>
      </c>
      <c r="C7802" s="2" t="s">
        <v>13</v>
      </c>
      <c r="D7802" s="2" t="s">
        <v>12</v>
      </c>
      <c r="E7802" s="2" t="s">
        <v>27</v>
      </c>
      <c r="F7802" s="2" t="str">
        <f>HYPERLINK("http://bbs.12365auto.com/postcontent.aspx?tId=194077","http://bbs.12365auto.com/postcontent.aspx?tId=194077")</f>
        <v>http://bbs.12365auto.com/postcontent.aspx?tId=194077</v>
      </c>
      <c r="G7802" s="2"/>
      <c r="H7802" s="2" t="s">
        <v>10692</v>
      </c>
      <c r="I7802" s="2" t="s">
        <v>15</v>
      </c>
      <c r="J7802" s="2" t="s">
        <v>2699</v>
      </c>
      <c r="K7802" s="2" t="s">
        <v>10691</v>
      </c>
      <c r="L7802" s="2">
        <f t="shared" si="121"/>
        <v>150</v>
      </c>
    </row>
    <row r="7803" spans="1:12" ht="25" customHeight="1">
      <c r="A7803" s="2" t="s">
        <v>12</v>
      </c>
      <c r="B7803" s="2" t="str">
        <f>HYPERLINK("http://bbs.12365auto.com/postcontent.aspx?tID=194076","女生眼中的“便宜车”，你知道有哪些吗？")</f>
        <v>女生眼中的“便宜车”，你知道有哪些吗？</v>
      </c>
      <c r="C7803" s="2" t="s">
        <v>13</v>
      </c>
      <c r="D7803" s="2" t="s">
        <v>12</v>
      </c>
      <c r="E7803" s="2" t="s">
        <v>28</v>
      </c>
      <c r="F7803" s="2" t="str">
        <f>HYPERLINK("http://bbs.12365auto.com/postcontent.aspx?tID=194076","http://bbs.12365auto.com/postcontent.aspx?tID=194076")</f>
        <v>http://bbs.12365auto.com/postcontent.aspx?tID=194076</v>
      </c>
      <c r="G7803" s="2"/>
      <c r="H7803" s="2" t="s">
        <v>10693</v>
      </c>
      <c r="I7803" s="2" t="s">
        <v>15</v>
      </c>
      <c r="J7803" s="2" t="s">
        <v>2699</v>
      </c>
      <c r="K7803" s="2" t="s">
        <v>10694</v>
      </c>
      <c r="L7803" s="2">
        <f t="shared" si="121"/>
        <v>150</v>
      </c>
    </row>
    <row r="7804" spans="1:12" ht="25" customHeight="1">
      <c r="A7804" s="2" t="s">
        <v>12</v>
      </c>
      <c r="B7804" s="2" t="str">
        <f>HYPERLINK("http://bbs.12365auto.com/postcontent.aspx?tID=194075","国产车质量太差，千万别买？这3款10多万的SUV，有100万的面子")</f>
        <v>国产车质量太差，千万别买？这3款10多万的SUV，有100万的面子</v>
      </c>
      <c r="C7804" s="2" t="s">
        <v>13</v>
      </c>
      <c r="D7804" s="2" t="s">
        <v>12</v>
      </c>
      <c r="E7804" s="2" t="s">
        <v>28</v>
      </c>
      <c r="F7804" s="2" t="str">
        <f>HYPERLINK("http://bbs.12365auto.com/postcontent.aspx?tID=194075","http://bbs.12365auto.com/postcontent.aspx?tID=194075")</f>
        <v>http://bbs.12365auto.com/postcontent.aspx?tID=194075</v>
      </c>
      <c r="G7804" s="2"/>
      <c r="H7804" s="2" t="s">
        <v>10695</v>
      </c>
      <c r="I7804" s="2" t="s">
        <v>15</v>
      </c>
      <c r="J7804" s="2" t="s">
        <v>2699</v>
      </c>
      <c r="K7804" s="2" t="s">
        <v>10694</v>
      </c>
      <c r="L7804" s="2">
        <f t="shared" si="121"/>
        <v>150</v>
      </c>
    </row>
    <row r="7805" spans="1:12" ht="25" customHeight="1">
      <c r="A7805" s="2" t="s">
        <v>12</v>
      </c>
      <c r="B7805" s="2" t="str">
        <f>HYPERLINK("http://bbs.12365auto.com/postcontent.aspx?tId=194076","女生眼中的“便宜车”，你知道有哪些吗？")</f>
        <v>女生眼中的“便宜车”，你知道有哪些吗？</v>
      </c>
      <c r="C7805" s="2" t="s">
        <v>13</v>
      </c>
      <c r="D7805" s="2" t="s">
        <v>12</v>
      </c>
      <c r="E7805" s="2" t="s">
        <v>27</v>
      </c>
      <c r="F7805" s="2" t="str">
        <f>HYPERLINK("http://bbs.12365auto.com/postcontent.aspx?tId=194076","http://bbs.12365auto.com/postcontent.aspx?tId=194076")</f>
        <v>http://bbs.12365auto.com/postcontent.aspx?tId=194076</v>
      </c>
      <c r="G7805" s="2"/>
      <c r="H7805" s="2" t="s">
        <v>10389</v>
      </c>
      <c r="I7805" s="2" t="s">
        <v>15</v>
      </c>
      <c r="J7805" s="2" t="s">
        <v>2699</v>
      </c>
      <c r="K7805" s="2" t="s">
        <v>10694</v>
      </c>
      <c r="L7805" s="2">
        <f t="shared" si="121"/>
        <v>150</v>
      </c>
    </row>
    <row r="7806" spans="1:12" ht="25" customHeight="1">
      <c r="A7806" s="2" t="s">
        <v>12</v>
      </c>
      <c r="B7806" s="2" t="str">
        <f>HYPERLINK("http://bbs.12365auto.com/postcontent.aspx?tId=194075","国产车质量太差，千万别买？这3款10多万的SUV，有100万的面子")</f>
        <v>国产车质量太差，千万别买？这3款10多万的SUV，有100万的面子</v>
      </c>
      <c r="C7806" s="2" t="s">
        <v>13</v>
      </c>
      <c r="D7806" s="2" t="s">
        <v>12</v>
      </c>
      <c r="E7806" s="2" t="s">
        <v>27</v>
      </c>
      <c r="F7806" s="2" t="str">
        <f>HYPERLINK("http://bbs.12365auto.com/postcontent.aspx?tId=194075","http://bbs.12365auto.com/postcontent.aspx?tId=194075")</f>
        <v>http://bbs.12365auto.com/postcontent.aspx?tId=194075</v>
      </c>
      <c r="G7806" s="2"/>
      <c r="H7806" s="2" t="s">
        <v>10696</v>
      </c>
      <c r="I7806" s="2" t="s">
        <v>15</v>
      </c>
      <c r="J7806" s="2" t="s">
        <v>2699</v>
      </c>
      <c r="K7806" s="2" t="s">
        <v>10694</v>
      </c>
      <c r="L7806" s="2">
        <f t="shared" si="121"/>
        <v>150</v>
      </c>
    </row>
    <row r="7807" spans="1:12" ht="25" customHeight="1">
      <c r="A7807" s="2" t="s">
        <v>12</v>
      </c>
      <c r="B7807" s="2" t="str">
        <f>HYPERLINK("http://m.12365auto.com/news/20200214/418531.shtml","1月份乘用车销量161.4万 同比下降20.2%")</f>
        <v>1月份乘用车销量161.4万 同比下降20.2%</v>
      </c>
      <c r="C7807" s="2" t="s">
        <v>13</v>
      </c>
      <c r="D7807" s="2" t="s">
        <v>12</v>
      </c>
      <c r="E7807" s="2"/>
      <c r="F7807" s="2" t="str">
        <f>HYPERLINK("http://m.12365auto.com/news/20200214/418531.shtml","http://m.12365auto.com/news/20200214/418531.shtml")</f>
        <v>http://m.12365auto.com/news/20200214/418531.shtml</v>
      </c>
      <c r="G7807" s="2"/>
      <c r="H7807" s="2" t="s">
        <v>10697</v>
      </c>
      <c r="I7807" s="2" t="s">
        <v>19</v>
      </c>
      <c r="J7807" s="2" t="s">
        <v>751</v>
      </c>
      <c r="K7807" s="2" t="s">
        <v>10698</v>
      </c>
      <c r="L7807" s="2">
        <f t="shared" si="121"/>
        <v>150</v>
      </c>
    </row>
    <row r="7808" spans="1:12" ht="25" customHeight="1">
      <c r="A7808" s="2" t="s">
        <v>12</v>
      </c>
      <c r="B7808" s="2" t="str">
        <f>HYPERLINK("http://www.12365auto.com/news/20200214/418531.shtml","1月份乘用车销量161.4万 同比下降20.2%")</f>
        <v>1月份乘用车销量161.4万 同比下降20.2%</v>
      </c>
      <c r="C7808" s="2" t="s">
        <v>13</v>
      </c>
      <c r="D7808" s="2" t="s">
        <v>12</v>
      </c>
      <c r="E7808" s="2" t="s">
        <v>276</v>
      </c>
      <c r="F7808" s="2" t="str">
        <f>HYPERLINK("http://www.12365auto.com/news/20200214/418531.shtml","http://www.12365auto.com/news/20200214/418531.shtml")</f>
        <v>http://www.12365auto.com/news/20200214/418531.shtml</v>
      </c>
      <c r="G7808" s="2"/>
      <c r="H7808" s="2" t="s">
        <v>10699</v>
      </c>
      <c r="I7808" s="2" t="s">
        <v>15</v>
      </c>
      <c r="J7808" s="2" t="s">
        <v>12</v>
      </c>
      <c r="K7808" s="2" t="s">
        <v>10698</v>
      </c>
      <c r="L7808" s="2">
        <f t="shared" si="121"/>
        <v>150</v>
      </c>
    </row>
    <row r="7809" spans="1:12" ht="25" customHeight="1">
      <c r="A7809" s="2" t="s">
        <v>12</v>
      </c>
      <c r="B7809" s="2" t="str">
        <f>HYPERLINK("http://m.12365auto.com/news/20200214/418530.shtml","长城汽车1月份总销量超8万辆 稳步前行")</f>
        <v>长城汽车1月份总销量超8万辆 稳步前行</v>
      </c>
      <c r="C7809" s="2" t="s">
        <v>13</v>
      </c>
      <c r="D7809" s="2" t="s">
        <v>12</v>
      </c>
      <c r="E7809" s="2"/>
      <c r="F7809" s="2" t="str">
        <f>HYPERLINK("http://m.12365auto.com/news/20200214/418530.shtml","http://m.12365auto.com/news/20200214/418530.shtml")</f>
        <v>http://m.12365auto.com/news/20200214/418530.shtml</v>
      </c>
      <c r="G7809" s="2"/>
      <c r="H7809" s="2" t="s">
        <v>10700</v>
      </c>
      <c r="I7809" s="2" t="s">
        <v>19</v>
      </c>
      <c r="J7809" s="2" t="s">
        <v>1657</v>
      </c>
      <c r="K7809" s="2" t="s">
        <v>10701</v>
      </c>
      <c r="L7809" s="2">
        <f t="shared" si="121"/>
        <v>150</v>
      </c>
    </row>
    <row r="7810" spans="1:12" ht="25" customHeight="1">
      <c r="A7810" s="2" t="s">
        <v>12</v>
      </c>
      <c r="B7810" s="2" t="str">
        <f>HYPERLINK("http://www.12365auto.com/news/20200214/418530.shtml","长城汽车1月份总销量超8万辆 稳步前行")</f>
        <v>长城汽车1月份总销量超8万辆 稳步前行</v>
      </c>
      <c r="C7810" s="2" t="s">
        <v>13</v>
      </c>
      <c r="D7810" s="2" t="s">
        <v>12</v>
      </c>
      <c r="E7810" s="2" t="s">
        <v>276</v>
      </c>
      <c r="F7810" s="2" t="str">
        <f>HYPERLINK("http://www.12365auto.com/news/20200214/418530.shtml","http://www.12365auto.com/news/20200214/418530.shtml")</f>
        <v>http://www.12365auto.com/news/20200214/418530.shtml</v>
      </c>
      <c r="G7810" s="2"/>
      <c r="H7810" s="2" t="s">
        <v>10702</v>
      </c>
      <c r="I7810" s="2" t="s">
        <v>15</v>
      </c>
      <c r="J7810" s="2" t="s">
        <v>12</v>
      </c>
      <c r="K7810" s="2" t="s">
        <v>10701</v>
      </c>
      <c r="L7810" s="2">
        <f t="shared" si="121"/>
        <v>150</v>
      </c>
    </row>
    <row r="7811" spans="1:12" ht="25" customHeight="1">
      <c r="A7811" s="2" t="s">
        <v>12</v>
      </c>
      <c r="B7811" s="2" t="str">
        <f>HYPERLINK("http://m.12365auto.com/news/20200214/418529.shtml","公安部：提请政府免费开放公共停车场等")</f>
        <v>公安部：提请政府免费开放公共停车场等</v>
      </c>
      <c r="C7811" s="2" t="s">
        <v>13</v>
      </c>
      <c r="D7811" s="2" t="s">
        <v>12</v>
      </c>
      <c r="E7811" s="2"/>
      <c r="F7811" s="2" t="str">
        <f>HYPERLINK("http://m.12365auto.com/news/20200214/418529.shtml","http://m.12365auto.com/news/20200214/418529.shtml")</f>
        <v>http://m.12365auto.com/news/20200214/418529.shtml</v>
      </c>
      <c r="G7811" s="2"/>
      <c r="H7811" s="2" t="s">
        <v>10703</v>
      </c>
      <c r="I7811" s="2" t="s">
        <v>19</v>
      </c>
      <c r="J7811" s="2" t="s">
        <v>1657</v>
      </c>
      <c r="K7811" s="2" t="s">
        <v>10704</v>
      </c>
      <c r="L7811" s="2">
        <f t="shared" ref="L7811:L7874" si="122">LEN(H7811)</f>
        <v>150</v>
      </c>
    </row>
    <row r="7812" spans="1:12" ht="25" customHeight="1">
      <c r="A7812" s="2" t="s">
        <v>12</v>
      </c>
      <c r="B7812" s="2" t="str">
        <f>HYPERLINK("http://www.12365auto.com/news/20200214/418529.shtml","公安部：提请政府免费开放公共停车场等")</f>
        <v>公安部：提请政府免费开放公共停车场等</v>
      </c>
      <c r="C7812" s="2" t="s">
        <v>13</v>
      </c>
      <c r="D7812" s="2" t="s">
        <v>12</v>
      </c>
      <c r="E7812" s="2" t="s">
        <v>276</v>
      </c>
      <c r="F7812" s="2" t="str">
        <f>HYPERLINK("http://www.12365auto.com/news/20200214/418529.shtml","http://www.12365auto.com/news/20200214/418529.shtml")</f>
        <v>http://www.12365auto.com/news/20200214/418529.shtml</v>
      </c>
      <c r="G7812" s="2"/>
      <c r="H7812" s="2" t="s">
        <v>10705</v>
      </c>
      <c r="I7812" s="2" t="s">
        <v>15</v>
      </c>
      <c r="J7812" s="2" t="s">
        <v>12</v>
      </c>
      <c r="K7812" s="2" t="s">
        <v>10704</v>
      </c>
      <c r="L7812" s="2">
        <f t="shared" si="122"/>
        <v>150</v>
      </c>
    </row>
    <row r="7813" spans="1:12" ht="25" customHeight="1">
      <c r="A7813" s="2" t="s">
        <v>12</v>
      </c>
      <c r="B7813" s="2" t="str">
        <f>HYPERLINK("http://m.12365auto.com/xcdg/20200214/418528.shtml","续航440km 它能否成为宝马新能源的翻身之作")</f>
        <v>续航440km 它能否成为宝马新能源的翻身之作</v>
      </c>
      <c r="C7813" s="2" t="s">
        <v>13</v>
      </c>
      <c r="D7813" s="2" t="s">
        <v>12</v>
      </c>
      <c r="E7813" s="2"/>
      <c r="F7813" s="2" t="str">
        <f>HYPERLINK("http://m.12365auto.com/xcdg/20200214/418528.shtml","http://m.12365auto.com/xcdg/20200214/418528.shtml")</f>
        <v>http://m.12365auto.com/xcdg/20200214/418528.shtml</v>
      </c>
      <c r="G7813" s="2"/>
      <c r="H7813" s="2" t="s">
        <v>10706</v>
      </c>
      <c r="I7813" s="2" t="s">
        <v>19</v>
      </c>
      <c r="J7813" s="2" t="s">
        <v>6130</v>
      </c>
      <c r="K7813" s="2" t="s">
        <v>10707</v>
      </c>
      <c r="L7813" s="2">
        <f t="shared" si="122"/>
        <v>150</v>
      </c>
    </row>
    <row r="7814" spans="1:12" ht="25" customHeight="1">
      <c r="A7814" s="2" t="s">
        <v>12</v>
      </c>
      <c r="B7814" s="2" t="str">
        <f>HYPERLINK("http://www.12365auto.com/xcdg/20200214/418528.shtml","续航440km 它能否成为宝马新能源的翻身之作")</f>
        <v>续航440km 它能否成为宝马新能源的翻身之作</v>
      </c>
      <c r="C7814" s="2" t="s">
        <v>13</v>
      </c>
      <c r="D7814" s="2" t="s">
        <v>12</v>
      </c>
      <c r="E7814" s="2" t="s">
        <v>216</v>
      </c>
      <c r="F7814" s="2" t="str">
        <f>HYPERLINK("http://www.12365auto.com/xcdg/20200214/418528.shtml","http://www.12365auto.com/xcdg/20200214/418528.shtml")</f>
        <v>http://www.12365auto.com/xcdg/20200214/418528.shtml</v>
      </c>
      <c r="G7814" s="2"/>
      <c r="H7814" s="2" t="s">
        <v>10708</v>
      </c>
      <c r="I7814" s="2" t="s">
        <v>15</v>
      </c>
      <c r="J7814" s="2" t="s">
        <v>12</v>
      </c>
      <c r="K7814" s="2" t="s">
        <v>10707</v>
      </c>
      <c r="L7814" s="2">
        <f t="shared" si="122"/>
        <v>150</v>
      </c>
    </row>
    <row r="7815" spans="1:12" ht="25" customHeight="1">
      <c r="A7815" s="2" t="s">
        <v>12</v>
      </c>
      <c r="B7815" s="2" t="str">
        <f>HYPERLINK("http://www.12365auto.com/zlts/20200214/447161.shtml","奥迪Q5变速箱故障无倒挡及偶数挡")</f>
        <v>奥迪Q5变速箱故障无倒挡及偶数挡</v>
      </c>
      <c r="C7815" s="2" t="s">
        <v>13</v>
      </c>
      <c r="D7815" s="2" t="s">
        <v>12</v>
      </c>
      <c r="E7815" s="2" t="s">
        <v>17</v>
      </c>
      <c r="F7815" s="2" t="str">
        <f>HYPERLINK("http://www.12365auto.com/zlts/20200214/447161.shtml","http://www.12365auto.com/zlts/20200214/447161.shtml")</f>
        <v>http://www.12365auto.com/zlts/20200214/447161.shtml</v>
      </c>
      <c r="G7815" s="2"/>
      <c r="H7815" s="2" t="s">
        <v>10709</v>
      </c>
      <c r="I7815" s="2" t="s">
        <v>19</v>
      </c>
      <c r="J7815" s="2" t="s">
        <v>12</v>
      </c>
      <c r="K7815" s="2" t="s">
        <v>10710</v>
      </c>
      <c r="L7815" s="2">
        <f t="shared" si="122"/>
        <v>150</v>
      </c>
    </row>
    <row r="7816" spans="1:12" ht="25" customHeight="1">
      <c r="A7816" s="2" t="s">
        <v>12</v>
      </c>
      <c r="B7816" s="2" t="str">
        <f>HYPERLINK("http://m.12365auto.com/news/20200214/418527.shtml","广汽本田1月强势开局 跑赢大盘/皓影近万辆")</f>
        <v>广汽本田1月强势开局 跑赢大盘/皓影近万辆</v>
      </c>
      <c r="C7816" s="2" t="s">
        <v>13</v>
      </c>
      <c r="D7816" s="2" t="s">
        <v>12</v>
      </c>
      <c r="E7816" s="2"/>
      <c r="F7816" s="2" t="str">
        <f>HYPERLINK("http://m.12365auto.com/news/20200214/418527.shtml","http://m.12365auto.com/news/20200214/418527.shtml")</f>
        <v>http://m.12365auto.com/news/20200214/418527.shtml</v>
      </c>
      <c r="G7816" s="2"/>
      <c r="H7816" s="2" t="s">
        <v>10711</v>
      </c>
      <c r="I7816" s="2" t="s">
        <v>19</v>
      </c>
      <c r="J7816" s="2" t="s">
        <v>739</v>
      </c>
      <c r="K7816" s="2" t="s">
        <v>10712</v>
      </c>
      <c r="L7816" s="2">
        <f t="shared" si="122"/>
        <v>150</v>
      </c>
    </row>
    <row r="7817" spans="1:12" ht="25" customHeight="1">
      <c r="A7817" s="2" t="s">
        <v>12</v>
      </c>
      <c r="B7817" s="2" t="str">
        <f>HYPERLINK("http://www.12365auto.com/news/20200214/418527.shtml","广汽本田1月强势开局 跑赢大盘/皓影近万辆")</f>
        <v>广汽本田1月强势开局 跑赢大盘/皓影近万辆</v>
      </c>
      <c r="C7817" s="2" t="s">
        <v>13</v>
      </c>
      <c r="D7817" s="2" t="s">
        <v>12</v>
      </c>
      <c r="E7817" s="2" t="s">
        <v>276</v>
      </c>
      <c r="F7817" s="2" t="str">
        <f>HYPERLINK("http://www.12365auto.com/news/20200214/418527.shtml","http://www.12365auto.com/news/20200214/418527.shtml")</f>
        <v>http://www.12365auto.com/news/20200214/418527.shtml</v>
      </c>
      <c r="G7817" s="2"/>
      <c r="H7817" s="2" t="s">
        <v>10713</v>
      </c>
      <c r="I7817" s="2" t="s">
        <v>15</v>
      </c>
      <c r="J7817" s="2" t="s">
        <v>12</v>
      </c>
      <c r="K7817" s="2" t="s">
        <v>10712</v>
      </c>
      <c r="L7817" s="2">
        <f t="shared" si="122"/>
        <v>150</v>
      </c>
    </row>
    <row r="7818" spans="1:12" ht="25" customHeight="1">
      <c r="A7818" s="2" t="s">
        <v>12</v>
      </c>
      <c r="B7818" s="2" t="str">
        <f>HYPERLINK("http://m.12365auto.com/news/20200214/418526.shtml","东风雪铁龙开年关键字：关心/信心/用心")</f>
        <v>东风雪铁龙开年关键字：关心/信心/用心</v>
      </c>
      <c r="C7818" s="2" t="s">
        <v>13</v>
      </c>
      <c r="D7818" s="2" t="s">
        <v>12</v>
      </c>
      <c r="E7818" s="2"/>
      <c r="F7818" s="2" t="str">
        <f>HYPERLINK("http://m.12365auto.com/news/20200214/418526.shtml","http://m.12365auto.com/news/20200214/418526.shtml")</f>
        <v>http://m.12365auto.com/news/20200214/418526.shtml</v>
      </c>
      <c r="G7818" s="2"/>
      <c r="H7818" s="2" t="s">
        <v>10714</v>
      </c>
      <c r="I7818" s="2" t="s">
        <v>19</v>
      </c>
      <c r="J7818" s="2" t="s">
        <v>2603</v>
      </c>
      <c r="K7818" s="2" t="s">
        <v>10715</v>
      </c>
      <c r="L7818" s="2">
        <f t="shared" si="122"/>
        <v>150</v>
      </c>
    </row>
    <row r="7819" spans="1:12" ht="25" customHeight="1">
      <c r="A7819" s="2" t="s">
        <v>12</v>
      </c>
      <c r="B7819" s="2" t="str">
        <f>HYPERLINK("http://www.12365auto.com/news/20200214/418526.shtml","东风雪铁龙开年关键字：关心/信心/用心")</f>
        <v>东风雪铁龙开年关键字：关心/信心/用心</v>
      </c>
      <c r="C7819" s="2" t="s">
        <v>13</v>
      </c>
      <c r="D7819" s="2" t="s">
        <v>12</v>
      </c>
      <c r="E7819" s="2" t="s">
        <v>276</v>
      </c>
      <c r="F7819" s="2" t="str">
        <f>HYPERLINK("http://www.12365auto.com/news/20200214/418526.shtml","http://www.12365auto.com/news/20200214/418526.shtml")</f>
        <v>http://www.12365auto.com/news/20200214/418526.shtml</v>
      </c>
      <c r="G7819" s="2"/>
      <c r="H7819" s="2" t="s">
        <v>10716</v>
      </c>
      <c r="I7819" s="2" t="s">
        <v>15</v>
      </c>
      <c r="J7819" s="2" t="s">
        <v>12</v>
      </c>
      <c r="K7819" s="2" t="s">
        <v>10715</v>
      </c>
      <c r="L7819" s="2">
        <f t="shared" si="122"/>
        <v>150</v>
      </c>
    </row>
    <row r="7820" spans="1:12" ht="25" customHeight="1">
      <c r="A7820" s="2" t="s">
        <v>12</v>
      </c>
      <c r="B7820" s="2" t="str">
        <f>HYPERLINK("http://m.12365auto.com/news/20200214/418525.shtml","吉利1月终端销量持续增长 市占率再创新高")</f>
        <v>吉利1月终端销量持续增长 市占率再创新高</v>
      </c>
      <c r="C7820" s="2" t="s">
        <v>13</v>
      </c>
      <c r="D7820" s="2" t="s">
        <v>12</v>
      </c>
      <c r="E7820" s="2"/>
      <c r="F7820" s="2" t="str">
        <f>HYPERLINK("http://m.12365auto.com/news/20200214/418525.shtml","http://m.12365auto.com/news/20200214/418525.shtml")</f>
        <v>http://m.12365auto.com/news/20200214/418525.shtml</v>
      </c>
      <c r="G7820" s="2"/>
      <c r="H7820" s="2" t="s">
        <v>10717</v>
      </c>
      <c r="I7820" s="2" t="s">
        <v>19</v>
      </c>
      <c r="J7820" s="2" t="s">
        <v>3053</v>
      </c>
      <c r="K7820" s="2" t="s">
        <v>10718</v>
      </c>
      <c r="L7820" s="2">
        <f t="shared" si="122"/>
        <v>150</v>
      </c>
    </row>
    <row r="7821" spans="1:12" ht="25" customHeight="1">
      <c r="A7821" s="2" t="s">
        <v>12</v>
      </c>
      <c r="B7821" s="2" t="str">
        <f>HYPERLINK("http://www.12365auto.com/news/20200214/418525.shtml","吉利1月终端销量持续增长 市占率再创新高")</f>
        <v>吉利1月终端销量持续增长 市占率再创新高</v>
      </c>
      <c r="C7821" s="2" t="s">
        <v>13</v>
      </c>
      <c r="D7821" s="2" t="s">
        <v>12</v>
      </c>
      <c r="E7821" s="2" t="s">
        <v>276</v>
      </c>
      <c r="F7821" s="2" t="str">
        <f>HYPERLINK("http://www.12365auto.com/news/20200214/418525.shtml","http://www.12365auto.com/news/20200214/418525.shtml")</f>
        <v>http://www.12365auto.com/news/20200214/418525.shtml</v>
      </c>
      <c r="G7821" s="2"/>
      <c r="H7821" s="2" t="s">
        <v>10719</v>
      </c>
      <c r="I7821" s="2" t="s">
        <v>15</v>
      </c>
      <c r="J7821" s="2" t="s">
        <v>12</v>
      </c>
      <c r="K7821" s="2" t="s">
        <v>10718</v>
      </c>
      <c r="L7821" s="2">
        <f t="shared" si="122"/>
        <v>150</v>
      </c>
    </row>
    <row r="7822" spans="1:12" ht="25" customHeight="1">
      <c r="A7822" s="2" t="s">
        <v>12</v>
      </c>
      <c r="B7822" s="2" t="str">
        <f>HYPERLINK("http://m.12365auto.com/news/20200214/418524.shtml","广汽传祺销量逆势增5.29% GS4功不可没")</f>
        <v>广汽传祺销量逆势增5.29% GS4功不可没</v>
      </c>
      <c r="C7822" s="2" t="s">
        <v>13</v>
      </c>
      <c r="D7822" s="2" t="s">
        <v>12</v>
      </c>
      <c r="E7822" s="2"/>
      <c r="F7822" s="2" t="str">
        <f>HYPERLINK("http://m.12365auto.com/news/20200214/418524.shtml","http://m.12365auto.com/news/20200214/418524.shtml")</f>
        <v>http://m.12365auto.com/news/20200214/418524.shtml</v>
      </c>
      <c r="G7822" s="2"/>
      <c r="H7822" s="2" t="s">
        <v>10720</v>
      </c>
      <c r="I7822" s="2" t="s">
        <v>19</v>
      </c>
      <c r="J7822" s="2" t="s">
        <v>6086</v>
      </c>
      <c r="K7822" s="2" t="s">
        <v>10721</v>
      </c>
      <c r="L7822" s="2">
        <f t="shared" si="122"/>
        <v>150</v>
      </c>
    </row>
    <row r="7823" spans="1:12" ht="25" customHeight="1">
      <c r="A7823" s="2" t="s">
        <v>12</v>
      </c>
      <c r="B7823" s="2" t="str">
        <f>HYPERLINK("http://www.12365auto.com/news/20200214/418524.shtml","广汽传祺销量逆势增5.29% GS4功不可没")</f>
        <v>广汽传祺销量逆势增5.29% GS4功不可没</v>
      </c>
      <c r="C7823" s="2" t="s">
        <v>13</v>
      </c>
      <c r="D7823" s="2" t="s">
        <v>12</v>
      </c>
      <c r="E7823" s="2" t="s">
        <v>276</v>
      </c>
      <c r="F7823" s="2" t="str">
        <f>HYPERLINK("http://www.12365auto.com/news/20200214/418524.shtml","http://www.12365auto.com/news/20200214/418524.shtml")</f>
        <v>http://www.12365auto.com/news/20200214/418524.shtml</v>
      </c>
      <c r="G7823" s="2"/>
      <c r="H7823" s="2" t="s">
        <v>10722</v>
      </c>
      <c r="I7823" s="2" t="s">
        <v>15</v>
      </c>
      <c r="J7823" s="2" t="s">
        <v>12</v>
      </c>
      <c r="K7823" s="2" t="s">
        <v>10721</v>
      </c>
      <c r="L7823" s="2">
        <f t="shared" si="122"/>
        <v>150</v>
      </c>
    </row>
    <row r="7824" spans="1:12" ht="25" customHeight="1">
      <c r="A7824" s="2" t="s">
        <v>12</v>
      </c>
      <c r="B7824" s="2" t="str">
        <f>HYPERLINK("http://m.12365auto.com/news/20200214/418523.shtml","哪吒汽车1月销量同比增长 第二款SUV将上市")</f>
        <v>哪吒汽车1月销量同比增长 第二款SUV将上市</v>
      </c>
      <c r="C7824" s="2" t="s">
        <v>13</v>
      </c>
      <c r="D7824" s="2" t="s">
        <v>12</v>
      </c>
      <c r="E7824" s="2"/>
      <c r="F7824" s="2" t="str">
        <f>HYPERLINK("http://m.12365auto.com/news/20200214/418523.shtml","http://m.12365auto.com/news/20200214/418523.shtml")</f>
        <v>http://m.12365auto.com/news/20200214/418523.shtml</v>
      </c>
      <c r="G7824" s="2"/>
      <c r="H7824" s="2" t="s">
        <v>10723</v>
      </c>
      <c r="I7824" s="2" t="s">
        <v>19</v>
      </c>
      <c r="J7824" s="2" t="s">
        <v>257</v>
      </c>
      <c r="K7824" s="2" t="s">
        <v>10724</v>
      </c>
      <c r="L7824" s="2">
        <f t="shared" si="122"/>
        <v>150</v>
      </c>
    </row>
    <row r="7825" spans="1:12" ht="25" customHeight="1">
      <c r="A7825" s="2" t="s">
        <v>12</v>
      </c>
      <c r="B7825" s="2" t="str">
        <f>HYPERLINK("http://www.12365auto.com/zlts/20200214/447160.shtml","上汽荣威RX5 MAX车门异响 销售展车")</f>
        <v>上汽荣威RX5 MAX车门异响 销售展车</v>
      </c>
      <c r="C7825" s="2" t="s">
        <v>13</v>
      </c>
      <c r="D7825" s="2" t="s">
        <v>12</v>
      </c>
      <c r="E7825" s="2" t="s">
        <v>17</v>
      </c>
      <c r="F7825" s="2" t="str">
        <f>HYPERLINK("http://www.12365auto.com/zlts/20200214/447160.shtml","http://www.12365auto.com/zlts/20200214/447160.shtml")</f>
        <v>http://www.12365auto.com/zlts/20200214/447160.shtml</v>
      </c>
      <c r="G7825" s="2"/>
      <c r="H7825" s="2" t="s">
        <v>10725</v>
      </c>
      <c r="I7825" s="2" t="s">
        <v>15</v>
      </c>
      <c r="J7825" s="2" t="s">
        <v>12</v>
      </c>
      <c r="K7825" s="2" t="s">
        <v>10724</v>
      </c>
      <c r="L7825" s="2">
        <f t="shared" si="122"/>
        <v>150</v>
      </c>
    </row>
    <row r="7826" spans="1:12" ht="25" customHeight="1">
      <c r="A7826" s="2" t="s">
        <v>12</v>
      </c>
      <c r="B7826" s="2" t="str">
        <f>HYPERLINK("http://www.12365auto.com/news/20200214/418523.shtml","哪吒汽车1月销量同比增长 第二款SUV将上市")</f>
        <v>哪吒汽车1月销量同比增长 第二款SUV将上市</v>
      </c>
      <c r="C7826" s="2" t="s">
        <v>13</v>
      </c>
      <c r="D7826" s="2" t="s">
        <v>12</v>
      </c>
      <c r="E7826" s="2" t="s">
        <v>276</v>
      </c>
      <c r="F7826" s="2" t="str">
        <f>HYPERLINK("http://www.12365auto.com/news/20200214/418523.shtml","http://www.12365auto.com/news/20200214/418523.shtml")</f>
        <v>http://www.12365auto.com/news/20200214/418523.shtml</v>
      </c>
      <c r="G7826" s="2"/>
      <c r="H7826" s="2" t="s">
        <v>10726</v>
      </c>
      <c r="I7826" s="2" t="s">
        <v>15</v>
      </c>
      <c r="J7826" s="2" t="s">
        <v>12</v>
      </c>
      <c r="K7826" s="2" t="s">
        <v>10724</v>
      </c>
      <c r="L7826" s="2">
        <f t="shared" si="122"/>
        <v>150</v>
      </c>
    </row>
    <row r="7827" spans="1:12" ht="25" customHeight="1">
      <c r="A7827" s="2" t="s">
        <v>12</v>
      </c>
      <c r="B7827" s="2" t="str">
        <f>HYPERLINK("http://m.12365auto.com/xcdg/20200214/418522.shtml","BEIJING新SUV X7 6月上市 搭1.5T配轻混系统")</f>
        <v>BEIJING新SUV X7 6月上市 搭1.5T配轻混系统</v>
      </c>
      <c r="C7827" s="2" t="s">
        <v>13</v>
      </c>
      <c r="D7827" s="2" t="s">
        <v>12</v>
      </c>
      <c r="E7827" s="2"/>
      <c r="F7827" s="2" t="str">
        <f>HYPERLINK("http://m.12365auto.com/xcdg/20200214/418522.shtml","http://m.12365auto.com/xcdg/20200214/418522.shtml")</f>
        <v>http://m.12365auto.com/xcdg/20200214/418522.shtml</v>
      </c>
      <c r="G7827" s="2"/>
      <c r="H7827" s="2" t="s">
        <v>10727</v>
      </c>
      <c r="I7827" s="2" t="s">
        <v>19</v>
      </c>
      <c r="J7827" s="2" t="s">
        <v>732</v>
      </c>
      <c r="K7827" s="2" t="s">
        <v>10728</v>
      </c>
      <c r="L7827" s="2">
        <f t="shared" si="122"/>
        <v>150</v>
      </c>
    </row>
    <row r="7828" spans="1:12" ht="25" customHeight="1">
      <c r="A7828" s="2" t="s">
        <v>12</v>
      </c>
      <c r="B7828" s="2" t="str">
        <f>HYPERLINK("http://www.12365auto.com/xcdg/20200214/418522.shtml","BEIJING新SUV X7 6月上市 搭1.5T配轻混系统")</f>
        <v>BEIJING新SUV X7 6月上市 搭1.5T配轻混系统</v>
      </c>
      <c r="C7828" s="2" t="s">
        <v>13</v>
      </c>
      <c r="D7828" s="2" t="s">
        <v>12</v>
      </c>
      <c r="E7828" s="2" t="s">
        <v>216</v>
      </c>
      <c r="F7828" s="2" t="str">
        <f>HYPERLINK("http://www.12365auto.com/xcdg/20200214/418522.shtml","http://www.12365auto.com/xcdg/20200214/418522.shtml")</f>
        <v>http://www.12365auto.com/xcdg/20200214/418522.shtml</v>
      </c>
      <c r="G7828" s="2"/>
      <c r="H7828" s="2" t="s">
        <v>10729</v>
      </c>
      <c r="I7828" s="2" t="s">
        <v>15</v>
      </c>
      <c r="J7828" s="2" t="s">
        <v>12</v>
      </c>
      <c r="K7828" s="2" t="s">
        <v>10728</v>
      </c>
      <c r="L7828" s="2">
        <f t="shared" si="122"/>
        <v>150</v>
      </c>
    </row>
    <row r="7829" spans="1:12" ht="25" customHeight="1">
      <c r="A7829" s="2" t="s">
        <v>12</v>
      </c>
      <c r="B7829" s="2" t="str">
        <f>HYPERLINK("http://m.12365auto.com/xcdg/20200214/418521.shtml","一汽大众5款新车将开卖 探岳/新高尔夫领衔")</f>
        <v>一汽大众5款新车将开卖 探岳/新高尔夫领衔</v>
      </c>
      <c r="C7829" s="2" t="s">
        <v>13</v>
      </c>
      <c r="D7829" s="2" t="s">
        <v>12</v>
      </c>
      <c r="E7829" s="2"/>
      <c r="F7829" s="2" t="str">
        <f>HYPERLINK("http://m.12365auto.com/xcdg/20200214/418521.shtml","http://m.12365auto.com/xcdg/20200214/418521.shtml")</f>
        <v>http://m.12365auto.com/xcdg/20200214/418521.shtml</v>
      </c>
      <c r="G7829" s="2"/>
      <c r="H7829" s="2" t="s">
        <v>10730</v>
      </c>
      <c r="I7829" s="2" t="s">
        <v>19</v>
      </c>
      <c r="J7829" s="2" t="s">
        <v>6086</v>
      </c>
      <c r="K7829" s="2" t="s">
        <v>10731</v>
      </c>
      <c r="L7829" s="2">
        <f t="shared" si="122"/>
        <v>150</v>
      </c>
    </row>
    <row r="7830" spans="1:12" ht="25" customHeight="1">
      <c r="A7830" s="2" t="s">
        <v>12</v>
      </c>
      <c r="B7830" s="2" t="str">
        <f>HYPERLINK("http://www.12365auto.com/xcdg/20200214/418521.shtml","一汽大众5款新车将开卖 探岳/新高尔夫领衔")</f>
        <v>一汽大众5款新车将开卖 探岳/新高尔夫领衔</v>
      </c>
      <c r="C7830" s="2" t="s">
        <v>13</v>
      </c>
      <c r="D7830" s="2" t="s">
        <v>12</v>
      </c>
      <c r="E7830" s="2" t="s">
        <v>216</v>
      </c>
      <c r="F7830" s="2" t="str">
        <f>HYPERLINK("http://www.12365auto.com/xcdg/20200214/418521.shtml","http://www.12365auto.com/xcdg/20200214/418521.shtml")</f>
        <v>http://www.12365auto.com/xcdg/20200214/418521.shtml</v>
      </c>
      <c r="G7830" s="2"/>
      <c r="H7830" s="2" t="s">
        <v>10732</v>
      </c>
      <c r="I7830" s="2" t="s">
        <v>15</v>
      </c>
      <c r="J7830" s="2" t="s">
        <v>12</v>
      </c>
      <c r="K7830" s="2" t="s">
        <v>10731</v>
      </c>
      <c r="L7830" s="2">
        <f t="shared" si="122"/>
        <v>150</v>
      </c>
    </row>
    <row r="7831" spans="1:12" ht="25" customHeight="1">
      <c r="A7831" s="2" t="s">
        <v>12</v>
      </c>
      <c r="B7831" s="2" t="str">
        <f>HYPERLINK("http://m.12365auto.com/xcdg/20200214/418520.shtml","为95后打造的7座SUV？新汉兰达XSE开箱解读")</f>
        <v>为95后打造的7座SUV？新汉兰达XSE开箱解读</v>
      </c>
      <c r="C7831" s="2" t="s">
        <v>13</v>
      </c>
      <c r="D7831" s="2" t="s">
        <v>12</v>
      </c>
      <c r="E7831" s="2"/>
      <c r="F7831" s="2" t="str">
        <f>HYPERLINK("http://m.12365auto.com/xcdg/20200214/418520.shtml","http://m.12365auto.com/xcdg/20200214/418520.shtml")</f>
        <v>http://m.12365auto.com/xcdg/20200214/418520.shtml</v>
      </c>
      <c r="G7831" s="2"/>
      <c r="H7831" s="2" t="s">
        <v>10733</v>
      </c>
      <c r="I7831" s="2" t="s">
        <v>19</v>
      </c>
      <c r="J7831" s="2" t="s">
        <v>5875</v>
      </c>
      <c r="K7831" s="2" t="s">
        <v>10734</v>
      </c>
      <c r="L7831" s="2">
        <f t="shared" si="122"/>
        <v>150</v>
      </c>
    </row>
    <row r="7832" spans="1:12" ht="25" customHeight="1">
      <c r="A7832" s="2" t="s">
        <v>12</v>
      </c>
      <c r="B7832" s="2" t="str">
        <f>HYPERLINK("http://bbs.12365auto.com/postcontent.aspx?tID=194074","小编侃车第151期：一次说清！各级别买什么车好")</f>
        <v>小编侃车第151期：一次说清！各级别买什么车好</v>
      </c>
      <c r="C7832" s="2" t="s">
        <v>13</v>
      </c>
      <c r="D7832" s="2" t="s">
        <v>12</v>
      </c>
      <c r="E7832" s="2" t="s">
        <v>214</v>
      </c>
      <c r="F7832" s="2" t="str">
        <f>HYPERLINK("http://bbs.12365auto.com/postcontent.aspx?tID=194074","http://bbs.12365auto.com/postcontent.aspx?tID=194074")</f>
        <v>http://bbs.12365auto.com/postcontent.aspx?tID=194074</v>
      </c>
      <c r="G7832" s="2"/>
      <c r="H7832" s="2" t="s">
        <v>10735</v>
      </c>
      <c r="I7832" s="2" t="s">
        <v>15</v>
      </c>
      <c r="J7832" s="2" t="s">
        <v>1900</v>
      </c>
      <c r="K7832" s="2" t="s">
        <v>10736</v>
      </c>
      <c r="L7832" s="2">
        <f t="shared" si="122"/>
        <v>124</v>
      </c>
    </row>
    <row r="7833" spans="1:12" ht="25" customHeight="1">
      <c r="A7833" s="2" t="s">
        <v>12</v>
      </c>
      <c r="B7833" s="2" t="str">
        <f>HYPERLINK("http://bbs.12365auto.com/postcontent.aspx?tId=194074","小编侃车第151期：一次说清！各级别买什么车好")</f>
        <v>小编侃车第151期：一次说清！各级别买什么车好</v>
      </c>
      <c r="C7833" s="2" t="s">
        <v>13</v>
      </c>
      <c r="D7833" s="2" t="s">
        <v>12</v>
      </c>
      <c r="E7833" s="2" t="s">
        <v>210</v>
      </c>
      <c r="F7833" s="2" t="str">
        <f>HYPERLINK("http://bbs.12365auto.com/postcontent.aspx?tId=194074","http://bbs.12365auto.com/postcontent.aspx?tId=194074")</f>
        <v>http://bbs.12365auto.com/postcontent.aspx?tId=194074</v>
      </c>
      <c r="G7833" s="2"/>
      <c r="H7833" s="2" t="s">
        <v>10737</v>
      </c>
      <c r="I7833" s="2" t="s">
        <v>15</v>
      </c>
      <c r="J7833" s="2" t="s">
        <v>1900</v>
      </c>
      <c r="K7833" s="2" t="s">
        <v>10736</v>
      </c>
      <c r="L7833" s="2">
        <f t="shared" si="122"/>
        <v>101</v>
      </c>
    </row>
    <row r="7834" spans="1:12" ht="25" customHeight="1">
      <c r="A7834" s="2" t="s">
        <v>12</v>
      </c>
      <c r="B7834" s="2" t="str">
        <f>HYPERLINK("http://m.12365auto.com/bbs/postcontent.aspx?tID=194074","小编侃车第151期：一次说清！各级别买什么车好")</f>
        <v>小编侃车第151期：一次说清！各级别买什么车好</v>
      </c>
      <c r="C7834" s="2" t="s">
        <v>13</v>
      </c>
      <c r="D7834" s="2" t="s">
        <v>23</v>
      </c>
      <c r="E7834" s="2"/>
      <c r="F7834" s="2" t="str">
        <f>HYPERLINK("http://m.12365auto.com/bbs/postcontent.aspx?tID=194074","http://m.12365auto.com/bbs/postcontent.aspx?tID=194074")</f>
        <v>http://m.12365auto.com/bbs/postcontent.aspx?tID=194074</v>
      </c>
      <c r="G7834" s="2"/>
      <c r="H7834" s="2" t="s">
        <v>10737</v>
      </c>
      <c r="I7834" s="2" t="s">
        <v>15</v>
      </c>
      <c r="J7834" s="2" t="s">
        <v>1900</v>
      </c>
      <c r="K7834" s="2" t="s">
        <v>10736</v>
      </c>
      <c r="L7834" s="2">
        <f t="shared" si="122"/>
        <v>101</v>
      </c>
    </row>
    <row r="7835" spans="1:12" ht="25" customHeight="1">
      <c r="A7835" s="2" t="s">
        <v>12</v>
      </c>
      <c r="B7835" s="2" t="str">
        <f>HYPERLINK("http://www.12365auto.com/xcdg/20200214/418519.shtml","上汽大通T60 4款专项作业车发布申报信息")</f>
        <v>上汽大通T60 4款专项作业车发布申报信息</v>
      </c>
      <c r="C7835" s="2" t="s">
        <v>13</v>
      </c>
      <c r="D7835" s="2" t="s">
        <v>12</v>
      </c>
      <c r="E7835" s="2" t="s">
        <v>216</v>
      </c>
      <c r="F7835" s="2" t="str">
        <f>HYPERLINK("http://www.12365auto.com/xcdg/20200214/418519.shtml","http://www.12365auto.com/xcdg/20200214/418519.shtml")</f>
        <v>http://www.12365auto.com/xcdg/20200214/418519.shtml</v>
      </c>
      <c r="G7835" s="2"/>
      <c r="H7835" s="2" t="s">
        <v>10738</v>
      </c>
      <c r="I7835" s="2" t="s">
        <v>15</v>
      </c>
      <c r="J7835" s="2" t="s">
        <v>12</v>
      </c>
      <c r="K7835" s="2" t="s">
        <v>10736</v>
      </c>
      <c r="L7835" s="2">
        <f t="shared" si="122"/>
        <v>150</v>
      </c>
    </row>
    <row r="7836" spans="1:12" ht="25" customHeight="1">
      <c r="A7836" s="2" t="s">
        <v>12</v>
      </c>
      <c r="B7836" s="2" t="str">
        <f>HYPERLINK("http://m.12365auto.com/xcdg/20200214/418519.shtml","上汽大通T60 4款专项作业车发布申报信息")</f>
        <v>上汽大通T60 4款专项作业车发布申报信息</v>
      </c>
      <c r="C7836" s="2" t="s">
        <v>13</v>
      </c>
      <c r="D7836" s="2" t="s">
        <v>12</v>
      </c>
      <c r="E7836" s="2"/>
      <c r="F7836" s="2" t="str">
        <f>HYPERLINK("http://m.12365auto.com/xcdg/20200214/418519.shtml","http://m.12365auto.com/xcdg/20200214/418519.shtml")</f>
        <v>http://m.12365auto.com/xcdg/20200214/418519.shtml</v>
      </c>
      <c r="G7836" s="2"/>
      <c r="H7836" s="2" t="s">
        <v>10739</v>
      </c>
      <c r="I7836" s="2" t="s">
        <v>19</v>
      </c>
      <c r="J7836" s="2" t="s">
        <v>249</v>
      </c>
      <c r="K7836" s="2" t="s">
        <v>10736</v>
      </c>
      <c r="L7836" s="2">
        <f t="shared" si="122"/>
        <v>150</v>
      </c>
    </row>
    <row r="7837" spans="1:12" ht="25" customHeight="1">
      <c r="A7837" s="2" t="s">
        <v>12</v>
      </c>
      <c r="B7837" s="2" t="str">
        <f>HYPERLINK("http://www.12365auto.com/xcdg/20200214/418518.shtml","比亚迪宋国六版换1.5T发动机 动力超哈弗H4")</f>
        <v>比亚迪宋国六版换1.5T发动机 动力超哈弗H4</v>
      </c>
      <c r="C7837" s="2" t="s">
        <v>13</v>
      </c>
      <c r="D7837" s="2" t="s">
        <v>12</v>
      </c>
      <c r="E7837" s="2" t="s">
        <v>216</v>
      </c>
      <c r="F7837" s="2" t="str">
        <f>HYPERLINK("http://www.12365auto.com/xcdg/20200214/418518.shtml","http://www.12365auto.com/xcdg/20200214/418518.shtml")</f>
        <v>http://www.12365auto.com/xcdg/20200214/418518.shtml</v>
      </c>
      <c r="G7837" s="2"/>
      <c r="H7837" s="2" t="s">
        <v>10740</v>
      </c>
      <c r="I7837" s="2" t="s">
        <v>15</v>
      </c>
      <c r="J7837" s="2" t="s">
        <v>12</v>
      </c>
      <c r="K7837" s="2" t="s">
        <v>10741</v>
      </c>
      <c r="L7837" s="2">
        <f t="shared" si="122"/>
        <v>150</v>
      </c>
    </row>
    <row r="7838" spans="1:12" ht="25" customHeight="1">
      <c r="A7838" s="2" t="s">
        <v>12</v>
      </c>
      <c r="B7838" s="2" t="str">
        <f>HYPERLINK("http://m.12365auto.com/xcdg/20200214/418518.shtml","比亚迪宋国六版换1.5T发动机 动力超哈弗H4")</f>
        <v>比亚迪宋国六版换1.5T发动机 动力超哈弗H4</v>
      </c>
      <c r="C7838" s="2" t="s">
        <v>13</v>
      </c>
      <c r="D7838" s="2" t="s">
        <v>12</v>
      </c>
      <c r="E7838" s="2"/>
      <c r="F7838" s="2" t="str">
        <f>HYPERLINK("http://m.12365auto.com/xcdg/20200214/418518.shtml","http://m.12365auto.com/xcdg/20200214/418518.shtml")</f>
        <v>http://m.12365auto.com/xcdg/20200214/418518.shtml</v>
      </c>
      <c r="G7838" s="2"/>
      <c r="H7838" s="2" t="s">
        <v>10742</v>
      </c>
      <c r="I7838" s="2" t="s">
        <v>19</v>
      </c>
      <c r="J7838" s="2" t="s">
        <v>6086</v>
      </c>
      <c r="K7838" s="2" t="s">
        <v>10741</v>
      </c>
      <c r="L7838" s="2">
        <f t="shared" si="122"/>
        <v>150</v>
      </c>
    </row>
    <row r="7839" spans="1:12" ht="25" customHeight="1">
      <c r="A7839" s="2" t="s">
        <v>12</v>
      </c>
      <c r="B7839" s="2" t="str">
        <f>HYPERLINK("http://www.12365auto.com/news/20200214/418516.shtml","别克1月销量超6.6万辆 抗击疫情推新举措")</f>
        <v>别克1月销量超6.6万辆 抗击疫情推新举措</v>
      </c>
      <c r="C7839" s="2" t="s">
        <v>13</v>
      </c>
      <c r="D7839" s="2" t="s">
        <v>12</v>
      </c>
      <c r="E7839" s="2" t="s">
        <v>276</v>
      </c>
      <c r="F7839" s="2" t="str">
        <f>HYPERLINK("http://www.12365auto.com/news/20200214/418516.shtml","http://www.12365auto.com/news/20200214/418516.shtml")</f>
        <v>http://www.12365auto.com/news/20200214/418516.shtml</v>
      </c>
      <c r="G7839" s="2"/>
      <c r="H7839" s="2" t="s">
        <v>10743</v>
      </c>
      <c r="I7839" s="2" t="s">
        <v>15</v>
      </c>
      <c r="J7839" s="2" t="s">
        <v>12</v>
      </c>
      <c r="K7839" s="2" t="s">
        <v>10744</v>
      </c>
      <c r="L7839" s="2">
        <f t="shared" si="122"/>
        <v>150</v>
      </c>
    </row>
    <row r="7840" spans="1:12" ht="25" customHeight="1">
      <c r="A7840" s="2" t="s">
        <v>12</v>
      </c>
      <c r="B7840" s="2" t="str">
        <f>HYPERLINK("http://m.12365auto.com/news/20200214/418516.shtml","别克1月销量超6.6万辆 抗击疫情推新举措")</f>
        <v>别克1月销量超6.6万辆 抗击疫情推新举措</v>
      </c>
      <c r="C7840" s="2" t="s">
        <v>13</v>
      </c>
      <c r="D7840" s="2" t="s">
        <v>12</v>
      </c>
      <c r="E7840" s="2"/>
      <c r="F7840" s="2" t="str">
        <f>HYPERLINK("http://m.12365auto.com/news/20200214/418516.shtml","http://m.12365auto.com/news/20200214/418516.shtml")</f>
        <v>http://m.12365auto.com/news/20200214/418516.shtml</v>
      </c>
      <c r="G7840" s="2"/>
      <c r="H7840" s="2" t="s">
        <v>10745</v>
      </c>
      <c r="I7840" s="2" t="s">
        <v>19</v>
      </c>
      <c r="J7840" s="2" t="s">
        <v>739</v>
      </c>
      <c r="K7840" s="2" t="s">
        <v>10744</v>
      </c>
      <c r="L7840" s="2">
        <f t="shared" si="122"/>
        <v>150</v>
      </c>
    </row>
    <row r="7841" spans="1:12" ht="25" customHeight="1">
      <c r="A7841" s="2" t="s">
        <v>12</v>
      </c>
      <c r="B7841" s="2" t="str">
        <f>HYPERLINK("http://www.12365auto.com/news/20200214/418515.shtml","福田拓陆者1月市占率提升 推五项无忧政策")</f>
        <v>福田拓陆者1月市占率提升 推五项无忧政策</v>
      </c>
      <c r="C7841" s="2" t="s">
        <v>13</v>
      </c>
      <c r="D7841" s="2" t="s">
        <v>12</v>
      </c>
      <c r="E7841" s="2" t="s">
        <v>276</v>
      </c>
      <c r="F7841" s="2" t="str">
        <f>HYPERLINK("http://www.12365auto.com/news/20200214/418515.shtml","http://www.12365auto.com/news/20200214/418515.shtml")</f>
        <v>http://www.12365auto.com/news/20200214/418515.shtml</v>
      </c>
      <c r="G7841" s="2"/>
      <c r="H7841" s="2" t="s">
        <v>10746</v>
      </c>
      <c r="I7841" s="2" t="s">
        <v>15</v>
      </c>
      <c r="J7841" s="2" t="s">
        <v>12</v>
      </c>
      <c r="K7841" s="2" t="s">
        <v>10747</v>
      </c>
      <c r="L7841" s="2">
        <f t="shared" si="122"/>
        <v>150</v>
      </c>
    </row>
    <row r="7842" spans="1:12" ht="25" customHeight="1">
      <c r="A7842" s="2" t="s">
        <v>12</v>
      </c>
      <c r="B7842" s="2" t="str">
        <f>HYPERLINK("http://m.12365auto.com/news/20200214/418515.shtml","福田拓陆者1月市占率提升 推五项无忧政策")</f>
        <v>福田拓陆者1月市占率提升 推五项无忧政策</v>
      </c>
      <c r="C7842" s="2" t="s">
        <v>13</v>
      </c>
      <c r="D7842" s="2" t="s">
        <v>12</v>
      </c>
      <c r="E7842" s="2"/>
      <c r="F7842" s="2" t="str">
        <f>HYPERLINK("http://m.12365auto.com/news/20200214/418515.shtml","http://m.12365auto.com/news/20200214/418515.shtml")</f>
        <v>http://m.12365auto.com/news/20200214/418515.shtml</v>
      </c>
      <c r="G7842" s="2"/>
      <c r="H7842" s="2" t="s">
        <v>10748</v>
      </c>
      <c r="I7842" s="2" t="s">
        <v>19</v>
      </c>
      <c r="J7842" s="2" t="s">
        <v>1933</v>
      </c>
      <c r="K7842" s="2" t="s">
        <v>10747</v>
      </c>
      <c r="L7842" s="2">
        <f t="shared" si="122"/>
        <v>150</v>
      </c>
    </row>
    <row r="7843" spans="1:12" ht="25" customHeight="1">
      <c r="A7843" s="2" t="s">
        <v>12</v>
      </c>
      <c r="B7843" s="2" t="str">
        <f>HYPERLINK("http://www.12365auto.com/news/20200214/418514.shtml","小鹏汽车1月销量同比大增 P7将于4月上市")</f>
        <v>小鹏汽车1月销量同比大增 P7将于4月上市</v>
      </c>
      <c r="C7843" s="2" t="s">
        <v>13</v>
      </c>
      <c r="D7843" s="2" t="s">
        <v>12</v>
      </c>
      <c r="E7843" s="2" t="s">
        <v>276</v>
      </c>
      <c r="F7843" s="2" t="str">
        <f>HYPERLINK("http://www.12365auto.com/news/20200214/418514.shtml","http://www.12365auto.com/news/20200214/418514.shtml")</f>
        <v>http://www.12365auto.com/news/20200214/418514.shtml</v>
      </c>
      <c r="G7843" s="2"/>
      <c r="H7843" s="2" t="s">
        <v>10749</v>
      </c>
      <c r="I7843" s="2" t="s">
        <v>15</v>
      </c>
      <c r="J7843" s="2" t="s">
        <v>12</v>
      </c>
      <c r="K7843" s="2" t="s">
        <v>10750</v>
      </c>
      <c r="L7843" s="2">
        <f t="shared" si="122"/>
        <v>150</v>
      </c>
    </row>
    <row r="7844" spans="1:12" ht="25" customHeight="1">
      <c r="A7844" s="2" t="s">
        <v>12</v>
      </c>
      <c r="B7844" s="2" t="str">
        <f>HYPERLINK("http://m.12365auto.com/news/20200214/418514.shtml","小鹏汽车1月销量同比大增 P7将于4月上市")</f>
        <v>小鹏汽车1月销量同比大增 P7将于4月上市</v>
      </c>
      <c r="C7844" s="2" t="s">
        <v>13</v>
      </c>
      <c r="D7844" s="2" t="s">
        <v>12</v>
      </c>
      <c r="E7844" s="2"/>
      <c r="F7844" s="2" t="str">
        <f>HYPERLINK("http://m.12365auto.com/news/20200214/418514.shtml","http://m.12365auto.com/news/20200214/418514.shtml")</f>
        <v>http://m.12365auto.com/news/20200214/418514.shtml</v>
      </c>
      <c r="G7844" s="2"/>
      <c r="H7844" s="2" t="s">
        <v>10751</v>
      </c>
      <c r="I7844" s="2" t="s">
        <v>19</v>
      </c>
      <c r="J7844" s="2" t="s">
        <v>257</v>
      </c>
      <c r="K7844" s="2" t="s">
        <v>10750</v>
      </c>
      <c r="L7844" s="2">
        <f t="shared" si="122"/>
        <v>150</v>
      </c>
    </row>
    <row r="7845" spans="1:12" ht="25" customHeight="1">
      <c r="A7845" s="2" t="s">
        <v>12</v>
      </c>
      <c r="B7845" s="2" t="str">
        <f>HYPERLINK("http://www.12365auto.com/news/20200214/418513.shtml","ETC部分车主反映的问题并未解决 新政又来了")</f>
        <v>ETC部分车主反映的问题并未解决 新政又来了</v>
      </c>
      <c r="C7845" s="2" t="s">
        <v>13</v>
      </c>
      <c r="D7845" s="2" t="s">
        <v>12</v>
      </c>
      <c r="E7845" s="2" t="s">
        <v>276</v>
      </c>
      <c r="F7845" s="2" t="str">
        <f>HYPERLINK("http://www.12365auto.com/news/20200214/418513.shtml","http://www.12365auto.com/news/20200214/418513.shtml")</f>
        <v>http://www.12365auto.com/news/20200214/418513.shtml</v>
      </c>
      <c r="G7845" s="2"/>
      <c r="H7845" s="2" t="s">
        <v>10752</v>
      </c>
      <c r="I7845" s="2" t="s">
        <v>15</v>
      </c>
      <c r="J7845" s="2" t="s">
        <v>12</v>
      </c>
      <c r="K7845" s="2" t="s">
        <v>10753</v>
      </c>
      <c r="L7845" s="2">
        <f t="shared" si="122"/>
        <v>150</v>
      </c>
    </row>
    <row r="7846" spans="1:12" ht="25" customHeight="1">
      <c r="A7846" s="2" t="s">
        <v>12</v>
      </c>
      <c r="B7846" s="2" t="str">
        <f>HYPERLINK("http://www.12365auto.com/xcdg/20200214/418512.shtml","2020年6款韩系新车将开卖 索纳塔/K5齐换代")</f>
        <v>2020年6款韩系新车将开卖 索纳塔/K5齐换代</v>
      </c>
      <c r="C7846" s="2" t="s">
        <v>13</v>
      </c>
      <c r="D7846" s="2" t="s">
        <v>12</v>
      </c>
      <c r="E7846" s="2" t="s">
        <v>216</v>
      </c>
      <c r="F7846" s="2" t="str">
        <f>HYPERLINK("http://www.12365auto.com/xcdg/20200214/418512.shtml","http://www.12365auto.com/xcdg/20200214/418512.shtml")</f>
        <v>http://www.12365auto.com/xcdg/20200214/418512.shtml</v>
      </c>
      <c r="G7846" s="2"/>
      <c r="H7846" s="2" t="s">
        <v>10754</v>
      </c>
      <c r="I7846" s="2" t="s">
        <v>15</v>
      </c>
      <c r="J7846" s="2" t="s">
        <v>12</v>
      </c>
      <c r="K7846" s="2" t="s">
        <v>10753</v>
      </c>
      <c r="L7846" s="2">
        <f t="shared" si="122"/>
        <v>150</v>
      </c>
    </row>
    <row r="7847" spans="1:12" ht="25" customHeight="1">
      <c r="A7847" s="2" t="s">
        <v>12</v>
      </c>
      <c r="B7847" s="2" t="str">
        <f>HYPERLINK("http://m.12365auto.com/news/20200214/418513.shtml","ETC部分车主反映的问题并未解决 新政又来了")</f>
        <v>ETC部分车主反映的问题并未解决 新政又来了</v>
      </c>
      <c r="C7847" s="2" t="s">
        <v>13</v>
      </c>
      <c r="D7847" s="2" t="s">
        <v>12</v>
      </c>
      <c r="E7847" s="2"/>
      <c r="F7847" s="2" t="str">
        <f>HYPERLINK("http://m.12365auto.com/news/20200214/418513.shtml","http://m.12365auto.com/news/20200214/418513.shtml")</f>
        <v>http://m.12365auto.com/news/20200214/418513.shtml</v>
      </c>
      <c r="G7847" s="2"/>
      <c r="H7847" s="2" t="s">
        <v>10755</v>
      </c>
      <c r="I7847" s="2" t="s">
        <v>19</v>
      </c>
      <c r="J7847" s="2" t="s">
        <v>222</v>
      </c>
      <c r="K7847" s="2" t="s">
        <v>10753</v>
      </c>
      <c r="L7847" s="2">
        <f t="shared" si="122"/>
        <v>150</v>
      </c>
    </row>
    <row r="7848" spans="1:12" ht="25" customHeight="1">
      <c r="A7848" s="2" t="s">
        <v>12</v>
      </c>
      <c r="B7848" s="2" t="str">
        <f>HYPERLINK("http://m.12365auto.com/xcdg/20200214/418512.shtml","2020年6款韩系新车将开卖 索纳塔/K5齐换代")</f>
        <v>2020年6款韩系新车将开卖 索纳塔/K5齐换代</v>
      </c>
      <c r="C7848" s="2" t="s">
        <v>13</v>
      </c>
      <c r="D7848" s="2" t="s">
        <v>12</v>
      </c>
      <c r="E7848" s="2"/>
      <c r="F7848" s="2" t="str">
        <f>HYPERLINK("http://m.12365auto.com/xcdg/20200214/418512.shtml","http://m.12365auto.com/xcdg/20200214/418512.shtml")</f>
        <v>http://m.12365auto.com/xcdg/20200214/418512.shtml</v>
      </c>
      <c r="G7848" s="2"/>
      <c r="H7848" s="2" t="s">
        <v>10756</v>
      </c>
      <c r="I7848" s="2" t="s">
        <v>19</v>
      </c>
      <c r="J7848" s="2" t="s">
        <v>739</v>
      </c>
      <c r="K7848" s="2" t="s">
        <v>10753</v>
      </c>
      <c r="L7848" s="2">
        <f t="shared" si="122"/>
        <v>150</v>
      </c>
    </row>
    <row r="7849" spans="1:12" ht="25" customHeight="1">
      <c r="A7849" s="2" t="s">
        <v>12</v>
      </c>
      <c r="B7849" s="2" t="str">
        <f>HYPERLINK("http://www.12365auto.com/news/20200214/418510.shtml","广汽菲克：十年磨一剑 有灵魂的品牌更有韧性")</f>
        <v>广汽菲克：十年磨一剑 有灵魂的品牌更有韧性</v>
      </c>
      <c r="C7849" s="2" t="s">
        <v>13</v>
      </c>
      <c r="D7849" s="2" t="s">
        <v>12</v>
      </c>
      <c r="E7849" s="2" t="s">
        <v>276</v>
      </c>
      <c r="F7849" s="2" t="str">
        <f>HYPERLINK("http://www.12365auto.com/news/20200214/418510.shtml","http://www.12365auto.com/news/20200214/418510.shtml")</f>
        <v>http://www.12365auto.com/news/20200214/418510.shtml</v>
      </c>
      <c r="G7849" s="2"/>
      <c r="H7849" s="2" t="s">
        <v>10757</v>
      </c>
      <c r="I7849" s="2" t="s">
        <v>15</v>
      </c>
      <c r="J7849" s="2" t="s">
        <v>12</v>
      </c>
      <c r="K7849" s="2" t="s">
        <v>10758</v>
      </c>
      <c r="L7849" s="2">
        <f t="shared" si="122"/>
        <v>150</v>
      </c>
    </row>
    <row r="7850" spans="1:12" ht="25" customHeight="1">
      <c r="A7850" s="2" t="s">
        <v>12</v>
      </c>
      <c r="B7850" s="2" t="str">
        <f>HYPERLINK("http://m.12365auto.com/news/20200214/418510.shtml","广汽菲克：十年磨一剑 有灵魂的品牌更有韧性")</f>
        <v>广汽菲克：十年磨一剑 有灵魂的品牌更有韧性</v>
      </c>
      <c r="C7850" s="2" t="s">
        <v>13</v>
      </c>
      <c r="D7850" s="2" t="s">
        <v>12</v>
      </c>
      <c r="E7850" s="2"/>
      <c r="F7850" s="2" t="str">
        <f>HYPERLINK("http://m.12365auto.com/news/20200214/418510.shtml","http://m.12365auto.com/news/20200214/418510.shtml")</f>
        <v>http://m.12365auto.com/news/20200214/418510.shtml</v>
      </c>
      <c r="G7850" s="2"/>
      <c r="H7850" s="2" t="s">
        <v>10759</v>
      </c>
      <c r="I7850" s="2" t="s">
        <v>19</v>
      </c>
      <c r="J7850" s="2" t="s">
        <v>10760</v>
      </c>
      <c r="K7850" s="2" t="s">
        <v>10758</v>
      </c>
      <c r="L7850" s="2">
        <f t="shared" si="122"/>
        <v>150</v>
      </c>
    </row>
    <row r="7851" spans="1:12" ht="25" customHeight="1">
      <c r="A7851" s="2" t="s">
        <v>12</v>
      </c>
      <c r="B7851" s="2" t="str">
        <f>HYPERLINK("http://www.12365auto.com/xcdg/20200214/418511.shtml","量产提上日程 现代45概念车路试谍照曝光")</f>
        <v>量产提上日程 现代45概念车路试谍照曝光</v>
      </c>
      <c r="C7851" s="2" t="s">
        <v>13</v>
      </c>
      <c r="D7851" s="2" t="s">
        <v>12</v>
      </c>
      <c r="E7851" s="2" t="s">
        <v>224</v>
      </c>
      <c r="F7851" s="2" t="str">
        <f>HYPERLINK("http://www.12365auto.com/xcdg/20200214/418511.shtml","http://www.12365auto.com/xcdg/20200214/418511.shtml")</f>
        <v>http://www.12365auto.com/xcdg/20200214/418511.shtml</v>
      </c>
      <c r="G7851" s="2"/>
      <c r="H7851" s="2" t="s">
        <v>10761</v>
      </c>
      <c r="I7851" s="2" t="s">
        <v>15</v>
      </c>
      <c r="J7851" s="2" t="s">
        <v>12</v>
      </c>
      <c r="K7851" s="2" t="s">
        <v>10762</v>
      </c>
      <c r="L7851" s="2">
        <f t="shared" si="122"/>
        <v>150</v>
      </c>
    </row>
    <row r="7852" spans="1:12" ht="25" customHeight="1">
      <c r="A7852" s="2" t="s">
        <v>12</v>
      </c>
      <c r="B7852" s="2" t="str">
        <f>HYPERLINK("http://m.12365auto.com/xcdg/20200214/418511.shtml","量产提上日程 现代45概念车路试谍照曝光")</f>
        <v>量产提上日程 现代45概念车路试谍照曝光</v>
      </c>
      <c r="C7852" s="2" t="s">
        <v>13</v>
      </c>
      <c r="D7852" s="2" t="s">
        <v>12</v>
      </c>
      <c r="E7852" s="2"/>
      <c r="F7852" s="2" t="str">
        <f>HYPERLINK("http://m.12365auto.com/xcdg/20200214/418511.shtml","http://m.12365auto.com/xcdg/20200214/418511.shtml")</f>
        <v>http://m.12365auto.com/xcdg/20200214/418511.shtml</v>
      </c>
      <c r="G7852" s="2"/>
      <c r="H7852" s="2" t="s">
        <v>10763</v>
      </c>
      <c r="I7852" s="2" t="s">
        <v>19</v>
      </c>
      <c r="J7852" s="2" t="s">
        <v>369</v>
      </c>
      <c r="K7852" s="2" t="s">
        <v>10762</v>
      </c>
      <c r="L7852" s="2">
        <f t="shared" si="122"/>
        <v>150</v>
      </c>
    </row>
    <row r="7853" spans="1:12" ht="25" customHeight="1">
      <c r="A7853" s="2" t="s">
        <v>12</v>
      </c>
      <c r="B7853" s="2" t="str">
        <f>HYPERLINK("http://www.12365auto.com/xcdg/20200214/418509.shtml","宾尼法利纳Battista电动超跑将于年底交付")</f>
        <v>宾尼法利纳Battista电动超跑将于年底交付</v>
      </c>
      <c r="C7853" s="2" t="s">
        <v>13</v>
      </c>
      <c r="D7853" s="2" t="s">
        <v>12</v>
      </c>
      <c r="E7853" s="2" t="s">
        <v>216</v>
      </c>
      <c r="F7853" s="2" t="str">
        <f>HYPERLINK("http://www.12365auto.com/xcdg/20200214/418509.shtml","http://www.12365auto.com/xcdg/20200214/418509.shtml")</f>
        <v>http://www.12365auto.com/xcdg/20200214/418509.shtml</v>
      </c>
      <c r="G7853" s="2"/>
      <c r="H7853" s="2" t="s">
        <v>10764</v>
      </c>
      <c r="I7853" s="2" t="s">
        <v>15</v>
      </c>
      <c r="J7853" s="2" t="s">
        <v>12</v>
      </c>
      <c r="K7853" s="2" t="s">
        <v>10765</v>
      </c>
      <c r="L7853" s="2">
        <f t="shared" si="122"/>
        <v>150</v>
      </c>
    </row>
    <row r="7854" spans="1:12" ht="25" customHeight="1">
      <c r="A7854" s="2" t="s">
        <v>12</v>
      </c>
      <c r="B7854" s="2" t="str">
        <f>HYPERLINK("http://m.12365auto.com/xcdg/20200214/418509.shtml","宾尼法利纳Battista电动超跑将于年底交付")</f>
        <v>宾尼法利纳Battista电动超跑将于年底交付</v>
      </c>
      <c r="C7854" s="2" t="s">
        <v>13</v>
      </c>
      <c r="D7854" s="2" t="s">
        <v>12</v>
      </c>
      <c r="E7854" s="2"/>
      <c r="F7854" s="2" t="str">
        <f>HYPERLINK("http://m.12365auto.com/xcdg/20200214/418509.shtml","http://m.12365auto.com/xcdg/20200214/418509.shtml")</f>
        <v>http://m.12365auto.com/xcdg/20200214/418509.shtml</v>
      </c>
      <c r="G7854" s="2"/>
      <c r="H7854" s="2" t="s">
        <v>10766</v>
      </c>
      <c r="I7854" s="2" t="s">
        <v>19</v>
      </c>
      <c r="J7854" s="2" t="s">
        <v>3058</v>
      </c>
      <c r="K7854" s="2" t="s">
        <v>10765</v>
      </c>
      <c r="L7854" s="2">
        <f t="shared" si="122"/>
        <v>150</v>
      </c>
    </row>
    <row r="7855" spans="1:12" ht="25" customHeight="1">
      <c r="A7855" s="2" t="s">
        <v>12</v>
      </c>
      <c r="B7855" s="2" t="str">
        <f>HYPERLINK("http://www.12365auto.com/news/20200214/418508.shtml","长安马自达1月销量超1.3万 推安心关怀政策")</f>
        <v>长安马自达1月销量超1.3万 推安心关怀政策</v>
      </c>
      <c r="C7855" s="2" t="s">
        <v>13</v>
      </c>
      <c r="D7855" s="2" t="s">
        <v>12</v>
      </c>
      <c r="E7855" s="2" t="s">
        <v>276</v>
      </c>
      <c r="F7855" s="2" t="str">
        <f>HYPERLINK("http://www.12365auto.com/news/20200214/418508.shtml","http://www.12365auto.com/news/20200214/418508.shtml")</f>
        <v>http://www.12365auto.com/news/20200214/418508.shtml</v>
      </c>
      <c r="G7855" s="2"/>
      <c r="H7855" s="2" t="s">
        <v>10767</v>
      </c>
      <c r="I7855" s="2" t="s">
        <v>15</v>
      </c>
      <c r="J7855" s="2" t="s">
        <v>12</v>
      </c>
      <c r="K7855" s="2" t="s">
        <v>10768</v>
      </c>
      <c r="L7855" s="2">
        <f t="shared" si="122"/>
        <v>150</v>
      </c>
    </row>
    <row r="7856" spans="1:12" ht="25" customHeight="1">
      <c r="A7856" s="2" t="s">
        <v>12</v>
      </c>
      <c r="B7856" s="2" t="str">
        <f>HYPERLINK("http://m.12365auto.com/news/20200214/418508.shtml","长安马自达1月销量超1.3万 推安心关怀政策")</f>
        <v>长安马自达1月销量超1.3万 推安心关怀政策</v>
      </c>
      <c r="C7856" s="2" t="s">
        <v>13</v>
      </c>
      <c r="D7856" s="2" t="s">
        <v>12</v>
      </c>
      <c r="E7856" s="2"/>
      <c r="F7856" s="2" t="str">
        <f>HYPERLINK("http://m.12365auto.com/news/20200214/418508.shtml","http://m.12365auto.com/news/20200214/418508.shtml")</f>
        <v>http://m.12365auto.com/news/20200214/418508.shtml</v>
      </c>
      <c r="G7856" s="2"/>
      <c r="H7856" s="2" t="s">
        <v>10769</v>
      </c>
      <c r="I7856" s="2" t="s">
        <v>19</v>
      </c>
      <c r="J7856" s="2" t="s">
        <v>2603</v>
      </c>
      <c r="K7856" s="2" t="s">
        <v>10768</v>
      </c>
      <c r="L7856" s="2">
        <f t="shared" si="122"/>
        <v>150</v>
      </c>
    </row>
    <row r="7857" spans="1:12" ht="25" customHeight="1">
      <c r="A7857" s="2" t="s">
        <v>12</v>
      </c>
      <c r="B7857" s="2" t="str">
        <f>HYPERLINK("http://m.12365auto.com/xcdg/20200214/418506.shtml","带PLUS的都能成爆款 长安逸动PLUS了解下")</f>
        <v>带PLUS的都能成爆款 长安逸动PLUS了解下</v>
      </c>
      <c r="C7857" s="2" t="s">
        <v>13</v>
      </c>
      <c r="D7857" s="2" t="s">
        <v>12</v>
      </c>
      <c r="E7857" s="2"/>
      <c r="F7857" s="2" t="str">
        <f>HYPERLINK("http://m.12365auto.com/xcdg/20200214/418506.shtml","http://m.12365auto.com/xcdg/20200214/418506.shtml")</f>
        <v>http://m.12365auto.com/xcdg/20200214/418506.shtml</v>
      </c>
      <c r="G7857" s="2"/>
      <c r="H7857" s="2" t="s">
        <v>10770</v>
      </c>
      <c r="I7857" s="2" t="s">
        <v>19</v>
      </c>
      <c r="J7857" s="2" t="s">
        <v>6112</v>
      </c>
      <c r="K7857" s="2" t="s">
        <v>10771</v>
      </c>
      <c r="L7857" s="2">
        <f t="shared" si="122"/>
        <v>150</v>
      </c>
    </row>
    <row r="7858" spans="1:12" ht="25" customHeight="1">
      <c r="A7858" s="2" t="s">
        <v>12</v>
      </c>
      <c r="B7858" s="2" t="str">
        <f>HYPERLINK("http://m.12365auto.com/zjdy/20200214/121254.shtml","荣威RX5的变速箱的质量如何值得购买吗？")</f>
        <v>荣威RX5的变速箱的质量如何值得购买吗？</v>
      </c>
      <c r="C7858" s="2" t="s">
        <v>13</v>
      </c>
      <c r="D7858" s="2" t="s">
        <v>12</v>
      </c>
      <c r="E7858" s="2"/>
      <c r="F7858" s="2" t="str">
        <f>HYPERLINK("http://m.12365auto.com/zjdy/20200214/121254.shtml","http://m.12365auto.com/zjdy/20200214/121254.shtml")</f>
        <v>http://m.12365auto.com/zjdy/20200214/121254.shtml</v>
      </c>
      <c r="G7858" s="2"/>
      <c r="H7858" s="2" t="s">
        <v>10772</v>
      </c>
      <c r="I7858" s="2" t="s">
        <v>19</v>
      </c>
      <c r="J7858" s="2" t="s">
        <v>12</v>
      </c>
      <c r="K7858" s="2" t="s">
        <v>10773</v>
      </c>
      <c r="L7858" s="2">
        <f t="shared" si="122"/>
        <v>15</v>
      </c>
    </row>
    <row r="7859" spans="1:12" ht="25" customHeight="1">
      <c r="A7859" s="2" t="s">
        <v>12</v>
      </c>
      <c r="B7859" s="2" t="str">
        <f>HYPERLINK("http://www.12365auto.com/zlts/20200214/447159.shtml","郑州日产途达停放一段时间后电瓶亏电")</f>
        <v>郑州日产途达停放一段时间后电瓶亏电</v>
      </c>
      <c r="C7859" s="2" t="s">
        <v>13</v>
      </c>
      <c r="D7859" s="2" t="s">
        <v>12</v>
      </c>
      <c r="E7859" s="2" t="s">
        <v>17</v>
      </c>
      <c r="F7859" s="2" t="str">
        <f>HYPERLINK("http://www.12365auto.com/zlts/20200214/447159.shtml","http://www.12365auto.com/zlts/20200214/447159.shtml")</f>
        <v>http://www.12365auto.com/zlts/20200214/447159.shtml</v>
      </c>
      <c r="G7859" s="2"/>
      <c r="H7859" s="2" t="s">
        <v>10774</v>
      </c>
      <c r="I7859" s="2" t="s">
        <v>19</v>
      </c>
      <c r="J7859" s="2" t="s">
        <v>12</v>
      </c>
      <c r="K7859" s="2" t="s">
        <v>10775</v>
      </c>
      <c r="L7859" s="2">
        <f t="shared" si="122"/>
        <v>150</v>
      </c>
    </row>
    <row r="7860" spans="1:12" ht="25" customHeight="1">
      <c r="A7860" s="2" t="s">
        <v>12</v>
      </c>
      <c r="B7860" s="2" t="str">
        <f>HYPERLINK("http://m.12365auto.com/xcdg/20200214/418504.shtml","想赢女神芳心 这几款车帮你营造满分浪漫")</f>
        <v>想赢女神芳心 这几款车帮你营造满分浪漫</v>
      </c>
      <c r="C7860" s="2" t="s">
        <v>13</v>
      </c>
      <c r="D7860" s="2" t="s">
        <v>12</v>
      </c>
      <c r="E7860" s="2"/>
      <c r="F7860" s="2" t="str">
        <f>HYPERLINK("http://m.12365auto.com/xcdg/20200214/418504.shtml","http://m.12365auto.com/xcdg/20200214/418504.shtml")</f>
        <v>http://m.12365auto.com/xcdg/20200214/418504.shtml</v>
      </c>
      <c r="G7860" s="2"/>
      <c r="H7860" s="2" t="s">
        <v>10776</v>
      </c>
      <c r="I7860" s="2" t="s">
        <v>19</v>
      </c>
      <c r="J7860" s="2" t="s">
        <v>3500</v>
      </c>
      <c r="K7860" s="2" t="s">
        <v>10777</v>
      </c>
      <c r="L7860" s="2">
        <f t="shared" si="122"/>
        <v>150</v>
      </c>
    </row>
    <row r="7861" spans="1:12" ht="25" customHeight="1">
      <c r="A7861" s="2" t="s">
        <v>12</v>
      </c>
      <c r="B7861" s="2" t="str">
        <f>HYPERLINK("http://m.12365auto.com/xcdg/20200214/418503.shtml","奔驰新C级谍照曝光 下半年亮相/外观更时尚")</f>
        <v>奔驰新C级谍照曝光 下半年亮相/外观更时尚</v>
      </c>
      <c r="C7861" s="2" t="s">
        <v>13</v>
      </c>
      <c r="D7861" s="2" t="s">
        <v>12</v>
      </c>
      <c r="E7861" s="2"/>
      <c r="F7861" s="2" t="str">
        <f>HYPERLINK("http://m.12365auto.com/xcdg/20200214/418503.shtml","http://m.12365auto.com/xcdg/20200214/418503.shtml")</f>
        <v>http://m.12365auto.com/xcdg/20200214/418503.shtml</v>
      </c>
      <c r="G7861" s="2"/>
      <c r="H7861" s="2" t="s">
        <v>10778</v>
      </c>
      <c r="I7861" s="2" t="s">
        <v>19</v>
      </c>
      <c r="J7861" s="2" t="s">
        <v>220</v>
      </c>
      <c r="K7861" s="2" t="s">
        <v>10779</v>
      </c>
      <c r="L7861" s="2">
        <f t="shared" si="122"/>
        <v>150</v>
      </c>
    </row>
    <row r="7862" spans="1:12" ht="25" customHeight="1">
      <c r="A7862" s="2" t="s">
        <v>12</v>
      </c>
      <c r="B7862" s="2" t="str">
        <f>HYPERLINK("http://www.12365auto.com/xcdg/20200214/418503.shtml","奔驰新C级谍照曝光 下半年亮相/外观更时尚")</f>
        <v>奔驰新C级谍照曝光 下半年亮相/外观更时尚</v>
      </c>
      <c r="C7862" s="2" t="s">
        <v>13</v>
      </c>
      <c r="D7862" s="2" t="s">
        <v>12</v>
      </c>
      <c r="E7862" s="2" t="s">
        <v>224</v>
      </c>
      <c r="F7862" s="2" t="str">
        <f>HYPERLINK("http://www.12365auto.com/xcdg/20200214/418503.shtml","http://www.12365auto.com/xcdg/20200214/418503.shtml")</f>
        <v>http://www.12365auto.com/xcdg/20200214/418503.shtml</v>
      </c>
      <c r="G7862" s="2"/>
      <c r="H7862" s="2" t="s">
        <v>10780</v>
      </c>
      <c r="I7862" s="2" t="s">
        <v>15</v>
      </c>
      <c r="J7862" s="2" t="s">
        <v>12</v>
      </c>
      <c r="K7862" s="2" t="s">
        <v>10779</v>
      </c>
      <c r="L7862" s="2">
        <f t="shared" si="122"/>
        <v>150</v>
      </c>
    </row>
    <row r="7863" spans="1:12" ht="25" customHeight="1">
      <c r="A7863" s="2" t="s">
        <v>12</v>
      </c>
      <c r="B7863" s="2" t="str">
        <f>HYPERLINK("http://bbs.12365auto.com/postcontent.aspx?tID=194073","瞄准年轻人的高颜值车型！汉兰达 VS 本田CR-V")</f>
        <v>瞄准年轻人的高颜值车型！汉兰达 VS 本田CR-V</v>
      </c>
      <c r="C7863" s="2" t="s">
        <v>13</v>
      </c>
      <c r="D7863" s="2" t="s">
        <v>12</v>
      </c>
      <c r="E7863" s="2" t="s">
        <v>28</v>
      </c>
      <c r="F7863" s="2" t="str">
        <f>HYPERLINK("http://bbs.12365auto.com/postcontent.aspx?tID=194073","http://bbs.12365auto.com/postcontent.aspx?tID=194073")</f>
        <v>http://bbs.12365auto.com/postcontent.aspx?tID=194073</v>
      </c>
      <c r="G7863" s="2"/>
      <c r="H7863" s="2" t="s">
        <v>10781</v>
      </c>
      <c r="I7863" s="2" t="s">
        <v>15</v>
      </c>
      <c r="J7863" s="2" t="s">
        <v>3840</v>
      </c>
      <c r="K7863" s="2" t="s">
        <v>10782</v>
      </c>
      <c r="L7863" s="2">
        <f t="shared" si="122"/>
        <v>150</v>
      </c>
    </row>
    <row r="7864" spans="1:12" ht="25" customHeight="1">
      <c r="A7864" s="2" t="s">
        <v>12</v>
      </c>
      <c r="B7864" s="2" t="str">
        <f>HYPERLINK("http://bbs.12365auto.com/postcontent.aspx?tId=194073","瞄准年轻人的高颜值车型！汉兰达 VS 本田CR-V")</f>
        <v>瞄准年轻人的高颜值车型！汉兰达 VS 本田CR-V</v>
      </c>
      <c r="C7864" s="2" t="s">
        <v>13</v>
      </c>
      <c r="D7864" s="2" t="s">
        <v>12</v>
      </c>
      <c r="E7864" s="2" t="s">
        <v>27</v>
      </c>
      <c r="F7864" s="2" t="str">
        <f>HYPERLINK("http://bbs.12365auto.com/postcontent.aspx?tId=194073","http://bbs.12365auto.com/postcontent.aspx?tId=194073")</f>
        <v>http://bbs.12365auto.com/postcontent.aspx?tId=194073</v>
      </c>
      <c r="G7864" s="2"/>
      <c r="H7864" s="2" t="s">
        <v>10783</v>
      </c>
      <c r="I7864" s="2" t="s">
        <v>15</v>
      </c>
      <c r="J7864" s="2" t="s">
        <v>3840</v>
      </c>
      <c r="K7864" s="2" t="s">
        <v>10782</v>
      </c>
      <c r="L7864" s="2">
        <f t="shared" si="122"/>
        <v>150</v>
      </c>
    </row>
    <row r="7865" spans="1:12" ht="25" customHeight="1">
      <c r="A7865" s="2" t="s">
        <v>12</v>
      </c>
      <c r="B7865" s="2" t="str">
        <f>HYPERLINK("http://m.12365auto.com/bbs/postcontent.aspx?tID=194073","瞄准年轻人的高颜值车型！汉兰达 VS 本田CR-V")</f>
        <v>瞄准年轻人的高颜值车型！汉兰达 VS 本田CR-V</v>
      </c>
      <c r="C7865" s="2" t="s">
        <v>13</v>
      </c>
      <c r="D7865" s="2" t="s">
        <v>23</v>
      </c>
      <c r="E7865" s="2"/>
      <c r="F7865" s="2" t="str">
        <f>HYPERLINK("http://m.12365auto.com/bbs/postcontent.aspx?tID=194073","http://m.12365auto.com/bbs/postcontent.aspx?tID=194073")</f>
        <v>http://m.12365auto.com/bbs/postcontent.aspx?tID=194073</v>
      </c>
      <c r="G7865" s="2"/>
      <c r="H7865" s="2" t="s">
        <v>10783</v>
      </c>
      <c r="I7865" s="2" t="s">
        <v>15</v>
      </c>
      <c r="J7865" s="2" t="s">
        <v>3840</v>
      </c>
      <c r="K7865" s="2" t="s">
        <v>10782</v>
      </c>
      <c r="L7865" s="2">
        <f t="shared" si="122"/>
        <v>150</v>
      </c>
    </row>
    <row r="7866" spans="1:12" ht="25" customHeight="1">
      <c r="A7866" s="2" t="s">
        <v>12</v>
      </c>
      <c r="B7866" s="2" t="str">
        <f>HYPERLINK("http://bbs.12365auto.com/postcontent.aspx?tID=194072","年轻族的战场！31万级中型车是看着几款车就够了!")</f>
        <v>年轻族的战场！31万级中型车是看着几款车就够了!</v>
      </c>
      <c r="C7866" s="2" t="s">
        <v>13</v>
      </c>
      <c r="D7866" s="2" t="s">
        <v>12</v>
      </c>
      <c r="E7866" s="2" t="s">
        <v>28</v>
      </c>
      <c r="F7866" s="2" t="str">
        <f>HYPERLINK("http://bbs.12365auto.com/postcontent.aspx?tID=194072","http://bbs.12365auto.com/postcontent.aspx?tID=194072")</f>
        <v>http://bbs.12365auto.com/postcontent.aspx?tID=194072</v>
      </c>
      <c r="G7866" s="2"/>
      <c r="H7866" s="2" t="s">
        <v>10784</v>
      </c>
      <c r="I7866" s="2" t="s">
        <v>15</v>
      </c>
      <c r="J7866" s="2" t="s">
        <v>3840</v>
      </c>
      <c r="K7866" s="2" t="s">
        <v>10785</v>
      </c>
      <c r="L7866" s="2">
        <f t="shared" si="122"/>
        <v>150</v>
      </c>
    </row>
    <row r="7867" spans="1:12" ht="25" customHeight="1">
      <c r="A7867" s="2" t="s">
        <v>12</v>
      </c>
      <c r="B7867" s="2" t="str">
        <f>HYPERLINK("http://m.12365auto.com/xcdg/20200214/418502.shtml","全新保时捷911 Turbo S将于日内瓦车展发布")</f>
        <v>全新保时捷911 Turbo S将于日内瓦车展发布</v>
      </c>
      <c r="C7867" s="2" t="s">
        <v>13</v>
      </c>
      <c r="D7867" s="2" t="s">
        <v>12</v>
      </c>
      <c r="E7867" s="2"/>
      <c r="F7867" s="2" t="str">
        <f>HYPERLINK("http://m.12365auto.com/xcdg/20200214/418502.shtml","http://m.12365auto.com/xcdg/20200214/418502.shtml")</f>
        <v>http://m.12365auto.com/xcdg/20200214/418502.shtml</v>
      </c>
      <c r="G7867" s="2"/>
      <c r="H7867" s="2" t="s">
        <v>10786</v>
      </c>
      <c r="I7867" s="2" t="s">
        <v>19</v>
      </c>
      <c r="J7867" s="2" t="s">
        <v>3058</v>
      </c>
      <c r="K7867" s="2" t="s">
        <v>10785</v>
      </c>
      <c r="L7867" s="2">
        <f t="shared" si="122"/>
        <v>150</v>
      </c>
    </row>
    <row r="7868" spans="1:12" ht="25" customHeight="1">
      <c r="A7868" s="2" t="s">
        <v>12</v>
      </c>
      <c r="B7868" s="2" t="str">
        <f>HYPERLINK("http://www.12365auto.com/xcdg/20200214/418502.shtml","全新保时捷911 Turbo S将于日内瓦车展发布")</f>
        <v>全新保时捷911 Turbo S将于日内瓦车展发布</v>
      </c>
      <c r="C7868" s="2" t="s">
        <v>13</v>
      </c>
      <c r="D7868" s="2" t="s">
        <v>12</v>
      </c>
      <c r="E7868" s="2" t="s">
        <v>216</v>
      </c>
      <c r="F7868" s="2" t="str">
        <f>HYPERLINK("http://www.12365auto.com/xcdg/20200214/418502.shtml","http://www.12365auto.com/xcdg/20200214/418502.shtml")</f>
        <v>http://www.12365auto.com/xcdg/20200214/418502.shtml</v>
      </c>
      <c r="G7868" s="2"/>
      <c r="H7868" s="2" t="s">
        <v>10787</v>
      </c>
      <c r="I7868" s="2" t="s">
        <v>15</v>
      </c>
      <c r="J7868" s="2" t="s">
        <v>12</v>
      </c>
      <c r="K7868" s="2" t="s">
        <v>10785</v>
      </c>
      <c r="L7868" s="2">
        <f t="shared" si="122"/>
        <v>150</v>
      </c>
    </row>
    <row r="7869" spans="1:12" ht="25" customHeight="1">
      <c r="A7869" s="2" t="s">
        <v>12</v>
      </c>
      <c r="B7869" s="2" t="str">
        <f>HYPERLINK("http://bbs.12365auto.com/postcontent.aspx?tId=194072","年轻族的战场！31万级中型车是看着几款车就够了!")</f>
        <v>年轻族的战场！31万级中型车是看着几款车就够了!</v>
      </c>
      <c r="C7869" s="2" t="s">
        <v>13</v>
      </c>
      <c r="D7869" s="2" t="s">
        <v>12</v>
      </c>
      <c r="E7869" s="2" t="s">
        <v>27</v>
      </c>
      <c r="F7869" s="2" t="str">
        <f>HYPERLINK("http://bbs.12365auto.com/postcontent.aspx?tId=194072","http://bbs.12365auto.com/postcontent.aspx?tId=194072")</f>
        <v>http://bbs.12365auto.com/postcontent.aspx?tId=194072</v>
      </c>
      <c r="G7869" s="2"/>
      <c r="H7869" s="2" t="s">
        <v>10788</v>
      </c>
      <c r="I7869" s="2" t="s">
        <v>15</v>
      </c>
      <c r="J7869" s="2" t="s">
        <v>3840</v>
      </c>
      <c r="K7869" s="2" t="s">
        <v>10785</v>
      </c>
      <c r="L7869" s="2">
        <f t="shared" si="122"/>
        <v>150</v>
      </c>
    </row>
    <row r="7870" spans="1:12" ht="25" customHeight="1">
      <c r="A7870" s="2" t="s">
        <v>12</v>
      </c>
      <c r="B7870" s="2" t="str">
        <f>HYPERLINK("http://m.12365auto.com/bbs/postcontent.aspx?tID=194072","年轻族的战场！31万级中型车是看着几款车就够了!")</f>
        <v>年轻族的战场！31万级中型车是看着几款车就够了!</v>
      </c>
      <c r="C7870" s="2" t="s">
        <v>13</v>
      </c>
      <c r="D7870" s="2" t="s">
        <v>23</v>
      </c>
      <c r="E7870" s="2"/>
      <c r="F7870" s="2" t="str">
        <f>HYPERLINK("http://m.12365auto.com/bbs/postcontent.aspx?tID=194072","http://m.12365auto.com/bbs/postcontent.aspx?tID=194072")</f>
        <v>http://m.12365auto.com/bbs/postcontent.aspx?tID=194072</v>
      </c>
      <c r="G7870" s="2"/>
      <c r="H7870" s="2" t="s">
        <v>10788</v>
      </c>
      <c r="I7870" s="2" t="s">
        <v>15</v>
      </c>
      <c r="J7870" s="2" t="s">
        <v>3840</v>
      </c>
      <c r="K7870" s="2" t="s">
        <v>10785</v>
      </c>
      <c r="L7870" s="2">
        <f t="shared" si="122"/>
        <v>150</v>
      </c>
    </row>
    <row r="7871" spans="1:12" ht="25" customHeight="1">
      <c r="A7871" s="2" t="s">
        <v>12</v>
      </c>
      <c r="B7871" s="2" t="str">
        <f>HYPERLINK("http://bbs.12365auto.com/postcontent.aspx?tID=194071","90后最喜欢的几款车！几款主流10万级SUV油耗与舒适性大比拼！")</f>
        <v>90后最喜欢的几款车！几款主流10万级SUV油耗与舒适性大比拼！</v>
      </c>
      <c r="C7871" s="2" t="s">
        <v>13</v>
      </c>
      <c r="D7871" s="2" t="s">
        <v>12</v>
      </c>
      <c r="E7871" s="2" t="s">
        <v>28</v>
      </c>
      <c r="F7871" s="2" t="str">
        <f>HYPERLINK("http://bbs.12365auto.com/postcontent.aspx?tID=194071","http://bbs.12365auto.com/postcontent.aspx?tID=194071")</f>
        <v>http://bbs.12365auto.com/postcontent.aspx?tID=194071</v>
      </c>
      <c r="G7871" s="2"/>
      <c r="H7871" s="2" t="s">
        <v>10789</v>
      </c>
      <c r="I7871" s="2" t="s">
        <v>15</v>
      </c>
      <c r="J7871" s="2" t="s">
        <v>3840</v>
      </c>
      <c r="K7871" s="2" t="s">
        <v>10790</v>
      </c>
      <c r="L7871" s="2">
        <f t="shared" si="122"/>
        <v>150</v>
      </c>
    </row>
    <row r="7872" spans="1:12" ht="25" customHeight="1">
      <c r="A7872" s="2" t="s">
        <v>12</v>
      </c>
      <c r="B7872" s="2" t="str">
        <f>HYPERLINK("http://www.12365auto.com/xcdg/20200214/418501.shtml","大众将推ID.5车型 帕萨特或将被此取代")</f>
        <v>大众将推ID.5车型 帕萨特或将被此取代</v>
      </c>
      <c r="C7872" s="2" t="s">
        <v>13</v>
      </c>
      <c r="D7872" s="2" t="s">
        <v>12</v>
      </c>
      <c r="E7872" s="2" t="s">
        <v>216</v>
      </c>
      <c r="F7872" s="2" t="str">
        <f>HYPERLINK("http://www.12365auto.com/xcdg/20200214/418501.shtml","http://www.12365auto.com/xcdg/20200214/418501.shtml")</f>
        <v>http://www.12365auto.com/xcdg/20200214/418501.shtml</v>
      </c>
      <c r="G7872" s="2"/>
      <c r="H7872" s="2" t="s">
        <v>10791</v>
      </c>
      <c r="I7872" s="2" t="s">
        <v>15</v>
      </c>
      <c r="J7872" s="2" t="s">
        <v>12</v>
      </c>
      <c r="K7872" s="2" t="s">
        <v>10790</v>
      </c>
      <c r="L7872" s="2">
        <f t="shared" si="122"/>
        <v>150</v>
      </c>
    </row>
    <row r="7873" spans="1:12" ht="25" customHeight="1">
      <c r="A7873" s="2" t="s">
        <v>12</v>
      </c>
      <c r="B7873" s="2" t="str">
        <f>HYPERLINK("http://m.12365auto.com/xcdg/20200214/418501.shtml","大众将推ID.5车型 帕萨特或将被此取代")</f>
        <v>大众将推ID.5车型 帕萨特或将被此取代</v>
      </c>
      <c r="C7873" s="2" t="s">
        <v>13</v>
      </c>
      <c r="D7873" s="2" t="s">
        <v>12</v>
      </c>
      <c r="E7873" s="2"/>
      <c r="F7873" s="2" t="str">
        <f>HYPERLINK("http://m.12365auto.com/xcdg/20200214/418501.shtml","http://m.12365auto.com/xcdg/20200214/418501.shtml")</f>
        <v>http://m.12365auto.com/xcdg/20200214/418501.shtml</v>
      </c>
      <c r="G7873" s="2"/>
      <c r="H7873" s="2" t="s">
        <v>10792</v>
      </c>
      <c r="I7873" s="2" t="s">
        <v>19</v>
      </c>
      <c r="J7873" s="2" t="s">
        <v>1205</v>
      </c>
      <c r="K7873" s="2" t="s">
        <v>10790</v>
      </c>
      <c r="L7873" s="2">
        <f t="shared" si="122"/>
        <v>150</v>
      </c>
    </row>
    <row r="7874" spans="1:12" ht="25" customHeight="1">
      <c r="A7874" s="2" t="s">
        <v>12</v>
      </c>
      <c r="B7874" s="2" t="str">
        <f>HYPERLINK("http://bbs.12365auto.com/postcontent.aspx?tId=194071","90后最喜欢的几款车！几款主流10万级SUV油耗与舒适性大比拼！")</f>
        <v>90后最喜欢的几款车！几款主流10万级SUV油耗与舒适性大比拼！</v>
      </c>
      <c r="C7874" s="2" t="s">
        <v>13</v>
      </c>
      <c r="D7874" s="2" t="s">
        <v>12</v>
      </c>
      <c r="E7874" s="2" t="s">
        <v>27</v>
      </c>
      <c r="F7874" s="2" t="str">
        <f>HYPERLINK("http://bbs.12365auto.com/postcontent.aspx?tId=194071","http://bbs.12365auto.com/postcontent.aspx?tId=194071")</f>
        <v>http://bbs.12365auto.com/postcontent.aspx?tId=194071</v>
      </c>
      <c r="G7874" s="2"/>
      <c r="H7874" s="2" t="s">
        <v>10793</v>
      </c>
      <c r="I7874" s="2" t="s">
        <v>15</v>
      </c>
      <c r="J7874" s="2" t="s">
        <v>3840</v>
      </c>
      <c r="K7874" s="2" t="s">
        <v>10790</v>
      </c>
      <c r="L7874" s="2">
        <f t="shared" si="122"/>
        <v>150</v>
      </c>
    </row>
    <row r="7875" spans="1:12" ht="25" customHeight="1">
      <c r="A7875" s="2" t="s">
        <v>12</v>
      </c>
      <c r="B7875" s="2" t="str">
        <f>HYPERLINK("http://m.12365auto.com/bbs/postcontent.aspx?tID=194071","90后最喜欢的几款车！几款主流10万级SUV油耗与舒适性大比拼！")</f>
        <v>90后最喜欢的几款车！几款主流10万级SUV油耗与舒适性大比拼！</v>
      </c>
      <c r="C7875" s="2" t="s">
        <v>13</v>
      </c>
      <c r="D7875" s="2" t="s">
        <v>23</v>
      </c>
      <c r="E7875" s="2"/>
      <c r="F7875" s="2" t="str">
        <f>HYPERLINK("http://m.12365auto.com/bbs/postcontent.aspx?tID=194071","http://m.12365auto.com/bbs/postcontent.aspx?tID=194071")</f>
        <v>http://m.12365auto.com/bbs/postcontent.aspx?tID=194071</v>
      </c>
      <c r="G7875" s="2"/>
      <c r="H7875" s="2" t="s">
        <v>10793</v>
      </c>
      <c r="I7875" s="2" t="s">
        <v>15</v>
      </c>
      <c r="J7875" s="2" t="s">
        <v>3840</v>
      </c>
      <c r="K7875" s="2" t="s">
        <v>10790</v>
      </c>
      <c r="L7875" s="2">
        <f t="shared" ref="L7875:L7938" si="123">LEN(H7875)</f>
        <v>150</v>
      </c>
    </row>
    <row r="7876" spans="1:12" ht="25" customHeight="1">
      <c r="A7876" s="2" t="s">
        <v>12</v>
      </c>
      <c r="B7876" s="2" t="str">
        <f>HYPERLINK("http://bbs.12365auto.com/postcontent.aspx?tID=194070","合资车十多万都没有独立悬挂？自主品牌：我最低五万就能搞定")</f>
        <v>合资车十多万都没有独立悬挂？自主品牌：我最低五万就能搞定</v>
      </c>
      <c r="C7876" s="2" t="s">
        <v>13</v>
      </c>
      <c r="D7876" s="2" t="s">
        <v>12</v>
      </c>
      <c r="E7876" s="2" t="s">
        <v>28</v>
      </c>
      <c r="F7876" s="2" t="str">
        <f>HYPERLINK("http://bbs.12365auto.com/postcontent.aspx?tID=194070","http://bbs.12365auto.com/postcontent.aspx?tID=194070")</f>
        <v>http://bbs.12365auto.com/postcontent.aspx?tID=194070</v>
      </c>
      <c r="G7876" s="2"/>
      <c r="H7876" s="2" t="s">
        <v>10794</v>
      </c>
      <c r="I7876" s="2" t="s">
        <v>15</v>
      </c>
      <c r="J7876" s="2" t="s">
        <v>3840</v>
      </c>
      <c r="K7876" s="2" t="s">
        <v>10795</v>
      </c>
      <c r="L7876" s="2">
        <f t="shared" si="123"/>
        <v>150</v>
      </c>
    </row>
    <row r="7877" spans="1:12" ht="25" customHeight="1">
      <c r="A7877" s="2" t="s">
        <v>12</v>
      </c>
      <c r="B7877" s="2" t="str">
        <f>HYPERLINK("http://bbs.12365auto.com/postcontent.aspx?tId=194070","合资车十多万都没有独立悬挂？自主品牌：我最低五万就能搞定")</f>
        <v>合资车十多万都没有独立悬挂？自主品牌：我最低五万就能搞定</v>
      </c>
      <c r="C7877" s="2" t="s">
        <v>13</v>
      </c>
      <c r="D7877" s="2" t="s">
        <v>12</v>
      </c>
      <c r="E7877" s="2" t="s">
        <v>27</v>
      </c>
      <c r="F7877" s="2" t="str">
        <f>HYPERLINK("http://bbs.12365auto.com/postcontent.aspx?tId=194070","http://bbs.12365auto.com/postcontent.aspx?tId=194070")</f>
        <v>http://bbs.12365auto.com/postcontent.aspx?tId=194070</v>
      </c>
      <c r="G7877" s="2"/>
      <c r="H7877" s="2" t="s">
        <v>10796</v>
      </c>
      <c r="I7877" s="2" t="s">
        <v>15</v>
      </c>
      <c r="J7877" s="2" t="s">
        <v>3840</v>
      </c>
      <c r="K7877" s="2" t="s">
        <v>10795</v>
      </c>
      <c r="L7877" s="2">
        <f t="shared" si="123"/>
        <v>150</v>
      </c>
    </row>
    <row r="7878" spans="1:12" ht="25" customHeight="1">
      <c r="A7878" s="2" t="s">
        <v>12</v>
      </c>
      <c r="B7878" s="2" t="str">
        <f>HYPERLINK("http://m.12365auto.com/bbs/postcontent.aspx?tID=194070","合资车十多万都没有独立悬挂？自主品牌：我最低五万就能搞定")</f>
        <v>合资车十多万都没有独立悬挂？自主品牌：我最低五万就能搞定</v>
      </c>
      <c r="C7878" s="2" t="s">
        <v>13</v>
      </c>
      <c r="D7878" s="2" t="s">
        <v>23</v>
      </c>
      <c r="E7878" s="2"/>
      <c r="F7878" s="2" t="str">
        <f>HYPERLINK("http://m.12365auto.com/bbs/postcontent.aspx?tID=194070","http://m.12365auto.com/bbs/postcontent.aspx?tID=194070")</f>
        <v>http://m.12365auto.com/bbs/postcontent.aspx?tID=194070</v>
      </c>
      <c r="G7878" s="2"/>
      <c r="H7878" s="2" t="s">
        <v>10796</v>
      </c>
      <c r="I7878" s="2" t="s">
        <v>15</v>
      </c>
      <c r="J7878" s="2" t="s">
        <v>3840</v>
      </c>
      <c r="K7878" s="2" t="s">
        <v>10795</v>
      </c>
      <c r="L7878" s="2">
        <f t="shared" si="123"/>
        <v>150</v>
      </c>
    </row>
    <row r="7879" spans="1:12" ht="25" customHeight="1">
      <c r="A7879" s="2" t="s">
        <v>12</v>
      </c>
      <c r="B7879" s="2" t="str">
        <f>HYPERLINK("http://www.12365auto.com/xcdg/20200214/418499.shtml","新款昕锐/昕动将2月17日上市 颜值提升")</f>
        <v>新款昕锐/昕动将2月17日上市 颜值提升</v>
      </c>
      <c r="C7879" s="2" t="s">
        <v>13</v>
      </c>
      <c r="D7879" s="2" t="s">
        <v>12</v>
      </c>
      <c r="E7879" s="2" t="s">
        <v>216</v>
      </c>
      <c r="F7879" s="2" t="str">
        <f>HYPERLINK("http://www.12365auto.com/xcdg/20200214/418499.shtml","http://www.12365auto.com/xcdg/20200214/418499.shtml")</f>
        <v>http://www.12365auto.com/xcdg/20200214/418499.shtml</v>
      </c>
      <c r="G7879" s="2"/>
      <c r="H7879" s="2" t="s">
        <v>10797</v>
      </c>
      <c r="I7879" s="2" t="s">
        <v>15</v>
      </c>
      <c r="J7879" s="2" t="s">
        <v>12</v>
      </c>
      <c r="K7879" s="2" t="s">
        <v>10798</v>
      </c>
      <c r="L7879" s="2">
        <f t="shared" si="123"/>
        <v>150</v>
      </c>
    </row>
    <row r="7880" spans="1:12" ht="25" customHeight="1">
      <c r="A7880" s="2" t="s">
        <v>12</v>
      </c>
      <c r="B7880" s="2" t="str">
        <f>HYPERLINK("http://bbs.12365auto.com/postcontent.aspx?tID=194068","特斯拉能否成为汽车市场的iPhone？")</f>
        <v>特斯拉能否成为汽车市场的iPhone？</v>
      </c>
      <c r="C7880" s="2" t="s">
        <v>13</v>
      </c>
      <c r="D7880" s="2" t="s">
        <v>12</v>
      </c>
      <c r="E7880" s="2" t="s">
        <v>28</v>
      </c>
      <c r="F7880" s="2" t="str">
        <f>HYPERLINK("http://bbs.12365auto.com/postcontent.aspx?tID=194068","http://bbs.12365auto.com/postcontent.aspx?tID=194068")</f>
        <v>http://bbs.12365auto.com/postcontent.aspx?tID=194068</v>
      </c>
      <c r="G7880" s="2"/>
      <c r="H7880" s="2" t="s">
        <v>10799</v>
      </c>
      <c r="I7880" s="2" t="s">
        <v>15</v>
      </c>
      <c r="J7880" s="2" t="s">
        <v>3840</v>
      </c>
      <c r="K7880" s="2" t="s">
        <v>10798</v>
      </c>
      <c r="L7880" s="2">
        <f t="shared" si="123"/>
        <v>150</v>
      </c>
    </row>
    <row r="7881" spans="1:12" ht="25" customHeight="1">
      <c r="A7881" s="2" t="s">
        <v>12</v>
      </c>
      <c r="B7881" s="2" t="str">
        <f>HYPERLINK("http://bbs.12365auto.com/postcontent.aspx?tID=194069","蔚来汽车的质量如何 看完蔚来ES8的生产过程你就明白了")</f>
        <v>蔚来汽车的质量如何 看完蔚来ES8的生产过程你就明白了</v>
      </c>
      <c r="C7881" s="2" t="s">
        <v>13</v>
      </c>
      <c r="D7881" s="2" t="s">
        <v>12</v>
      </c>
      <c r="E7881" s="2" t="s">
        <v>28</v>
      </c>
      <c r="F7881" s="2" t="str">
        <f>HYPERLINK("http://bbs.12365auto.com/postcontent.aspx?tID=194069","http://bbs.12365auto.com/postcontent.aspx?tID=194069")</f>
        <v>http://bbs.12365auto.com/postcontent.aspx?tID=194069</v>
      </c>
      <c r="G7881" s="2"/>
      <c r="H7881" s="2" t="s">
        <v>10800</v>
      </c>
      <c r="I7881" s="2" t="s">
        <v>15</v>
      </c>
      <c r="J7881" s="2" t="s">
        <v>3840</v>
      </c>
      <c r="K7881" s="2" t="s">
        <v>10798</v>
      </c>
      <c r="L7881" s="2">
        <f t="shared" si="123"/>
        <v>150</v>
      </c>
    </row>
    <row r="7882" spans="1:12" ht="25" customHeight="1">
      <c r="A7882" s="2" t="s">
        <v>12</v>
      </c>
      <c r="B7882" s="2" t="str">
        <f>HYPERLINK("http://m.12365auto.com/xcdg/20200214/418499.shtml","新款昕锐/昕动将2月17日上市 颜值提升")</f>
        <v>新款昕锐/昕动将2月17日上市 颜值提升</v>
      </c>
      <c r="C7882" s="2" t="s">
        <v>13</v>
      </c>
      <c r="D7882" s="2" t="s">
        <v>12</v>
      </c>
      <c r="E7882" s="2"/>
      <c r="F7882" s="2" t="str">
        <f>HYPERLINK("http://m.12365auto.com/xcdg/20200214/418499.shtml","http://m.12365auto.com/xcdg/20200214/418499.shtml")</f>
        <v>http://m.12365auto.com/xcdg/20200214/418499.shtml</v>
      </c>
      <c r="G7882" s="2"/>
      <c r="H7882" s="2" t="s">
        <v>10801</v>
      </c>
      <c r="I7882" s="2" t="s">
        <v>19</v>
      </c>
      <c r="J7882" s="2" t="s">
        <v>751</v>
      </c>
      <c r="K7882" s="2" t="s">
        <v>10798</v>
      </c>
      <c r="L7882" s="2">
        <f t="shared" si="123"/>
        <v>150</v>
      </c>
    </row>
    <row r="7883" spans="1:12" ht="25" customHeight="1">
      <c r="A7883" s="2" t="s">
        <v>12</v>
      </c>
      <c r="B7883" s="2" t="str">
        <f>HYPERLINK("http://www.12365auto.com/xcdg/20200214/418507.shtml","续航里程增加 曝新款吉利嘉际PHEV实车谍照")</f>
        <v>续航里程增加 曝新款吉利嘉际PHEV实车谍照</v>
      </c>
      <c r="C7883" s="2" t="s">
        <v>13</v>
      </c>
      <c r="D7883" s="2" t="s">
        <v>12</v>
      </c>
      <c r="E7883" s="2" t="s">
        <v>224</v>
      </c>
      <c r="F7883" s="2" t="str">
        <f>HYPERLINK("http://www.12365auto.com/xcdg/20200214/418507.shtml","http://www.12365auto.com/xcdg/20200214/418507.shtml")</f>
        <v>http://www.12365auto.com/xcdg/20200214/418507.shtml</v>
      </c>
      <c r="G7883" s="2"/>
      <c r="H7883" s="2" t="s">
        <v>10802</v>
      </c>
      <c r="I7883" s="2" t="s">
        <v>15</v>
      </c>
      <c r="J7883" s="2" t="s">
        <v>12</v>
      </c>
      <c r="K7883" s="2" t="s">
        <v>10798</v>
      </c>
      <c r="L7883" s="2">
        <f t="shared" si="123"/>
        <v>150</v>
      </c>
    </row>
    <row r="7884" spans="1:12" ht="25" customHeight="1">
      <c r="A7884" s="2" t="s">
        <v>12</v>
      </c>
      <c r="B7884" s="2" t="str">
        <f>HYPERLINK("http://m.12365auto.com/xcdg/20200214/418507.shtml","续航里程增加 曝新款吉利嘉际PHEV实车谍照")</f>
        <v>续航里程增加 曝新款吉利嘉际PHEV实车谍照</v>
      </c>
      <c r="C7884" s="2" t="s">
        <v>13</v>
      </c>
      <c r="D7884" s="2" t="s">
        <v>12</v>
      </c>
      <c r="E7884" s="2"/>
      <c r="F7884" s="2" t="str">
        <f>HYPERLINK("http://m.12365auto.com/xcdg/20200214/418507.shtml","http://m.12365auto.com/xcdg/20200214/418507.shtml")</f>
        <v>http://m.12365auto.com/xcdg/20200214/418507.shtml</v>
      </c>
      <c r="G7884" s="2"/>
      <c r="H7884" s="2" t="s">
        <v>10803</v>
      </c>
      <c r="I7884" s="2" t="s">
        <v>19</v>
      </c>
      <c r="J7884" s="2" t="s">
        <v>1230</v>
      </c>
      <c r="K7884" s="2" t="s">
        <v>10798</v>
      </c>
      <c r="L7884" s="2">
        <f t="shared" si="123"/>
        <v>150</v>
      </c>
    </row>
    <row r="7885" spans="1:12" ht="25" customHeight="1">
      <c r="A7885" s="2" t="s">
        <v>12</v>
      </c>
      <c r="B7885" s="2" t="str">
        <f>HYPERLINK("http://bbs.12365auto.com/postcontent.aspx?tId=194069","蔚来汽车的质量如何 看完蔚来ES8的生产过程你就明白了")</f>
        <v>蔚来汽车的质量如何 看完蔚来ES8的生产过程你就明白了</v>
      </c>
      <c r="C7885" s="2" t="s">
        <v>13</v>
      </c>
      <c r="D7885" s="2" t="s">
        <v>12</v>
      </c>
      <c r="E7885" s="2" t="s">
        <v>27</v>
      </c>
      <c r="F7885" s="2" t="str">
        <f>HYPERLINK("http://bbs.12365auto.com/postcontent.aspx?tId=194069","http://bbs.12365auto.com/postcontent.aspx?tId=194069")</f>
        <v>http://bbs.12365auto.com/postcontent.aspx?tId=194069</v>
      </c>
      <c r="G7885" s="2"/>
      <c r="H7885" s="2" t="s">
        <v>10804</v>
      </c>
      <c r="I7885" s="2" t="s">
        <v>15</v>
      </c>
      <c r="J7885" s="2" t="s">
        <v>3840</v>
      </c>
      <c r="K7885" s="2" t="s">
        <v>10798</v>
      </c>
      <c r="L7885" s="2">
        <f t="shared" si="123"/>
        <v>150</v>
      </c>
    </row>
    <row r="7886" spans="1:12" ht="25" customHeight="1">
      <c r="A7886" s="2" t="s">
        <v>12</v>
      </c>
      <c r="B7886" s="2" t="str">
        <f>HYPERLINK("http://bbs.12365auto.com/postcontent.aspx?tId=194068","特斯拉能否成为汽车市场的iPhone？")</f>
        <v>特斯拉能否成为汽车市场的iPhone？</v>
      </c>
      <c r="C7886" s="2" t="s">
        <v>13</v>
      </c>
      <c r="D7886" s="2" t="s">
        <v>12</v>
      </c>
      <c r="E7886" s="2" t="s">
        <v>27</v>
      </c>
      <c r="F7886" s="2" t="str">
        <f>HYPERLINK("http://bbs.12365auto.com/postcontent.aspx?tId=194068","http://bbs.12365auto.com/postcontent.aspx?tId=194068")</f>
        <v>http://bbs.12365auto.com/postcontent.aspx?tId=194068</v>
      </c>
      <c r="G7886" s="2"/>
      <c r="H7886" s="2" t="s">
        <v>10805</v>
      </c>
      <c r="I7886" s="2" t="s">
        <v>15</v>
      </c>
      <c r="J7886" s="2" t="s">
        <v>3840</v>
      </c>
      <c r="K7886" s="2" t="s">
        <v>10798</v>
      </c>
      <c r="L7886" s="2">
        <f t="shared" si="123"/>
        <v>150</v>
      </c>
    </row>
    <row r="7887" spans="1:12" ht="25" customHeight="1">
      <c r="A7887" s="2" t="s">
        <v>12</v>
      </c>
      <c r="B7887" s="2" t="str">
        <f>HYPERLINK("http://m.12365auto.com/bbs/postcontent.aspx?tID=194068","特斯拉能否成为汽车市场的iPhone？")</f>
        <v>特斯拉能否成为汽车市场的iPhone？</v>
      </c>
      <c r="C7887" s="2" t="s">
        <v>13</v>
      </c>
      <c r="D7887" s="2" t="s">
        <v>23</v>
      </c>
      <c r="E7887" s="2"/>
      <c r="F7887" s="2" t="str">
        <f>HYPERLINK("http://m.12365auto.com/bbs/postcontent.aspx?tID=194068","http://m.12365auto.com/bbs/postcontent.aspx?tID=194068")</f>
        <v>http://m.12365auto.com/bbs/postcontent.aspx?tID=194068</v>
      </c>
      <c r="G7887" s="2"/>
      <c r="H7887" s="2" t="s">
        <v>10805</v>
      </c>
      <c r="I7887" s="2" t="s">
        <v>15</v>
      </c>
      <c r="J7887" s="2" t="s">
        <v>3840</v>
      </c>
      <c r="K7887" s="2" t="s">
        <v>10798</v>
      </c>
      <c r="L7887" s="2">
        <f t="shared" si="123"/>
        <v>150</v>
      </c>
    </row>
    <row r="7888" spans="1:12" ht="25" customHeight="1">
      <c r="A7888" s="2" t="s">
        <v>12</v>
      </c>
      <c r="B7888" s="2" t="str">
        <f>HYPERLINK("http://m.12365auto.com/bbs/postcontent.aspx?tID=194069","蔚来汽车的质量如何 看完蔚来ES8的生产过程你就明白了")</f>
        <v>蔚来汽车的质量如何 看完蔚来ES8的生产过程你就明白了</v>
      </c>
      <c r="C7888" s="2" t="s">
        <v>13</v>
      </c>
      <c r="D7888" s="2" t="s">
        <v>23</v>
      </c>
      <c r="E7888" s="2"/>
      <c r="F7888" s="2" t="str">
        <f>HYPERLINK("http://m.12365auto.com/bbs/postcontent.aspx?tID=194069","http://m.12365auto.com/bbs/postcontent.aspx?tID=194069")</f>
        <v>http://m.12365auto.com/bbs/postcontent.aspx?tID=194069</v>
      </c>
      <c r="G7888" s="2"/>
      <c r="H7888" s="2" t="s">
        <v>10804</v>
      </c>
      <c r="I7888" s="2" t="s">
        <v>15</v>
      </c>
      <c r="J7888" s="2" t="s">
        <v>3840</v>
      </c>
      <c r="K7888" s="2" t="s">
        <v>10798</v>
      </c>
      <c r="L7888" s="2">
        <f t="shared" si="123"/>
        <v>150</v>
      </c>
    </row>
    <row r="7889" spans="1:12" ht="25" customHeight="1">
      <c r="A7889" s="2" t="s">
        <v>12</v>
      </c>
      <c r="B7889" s="2" t="str">
        <f>HYPERLINK("http://bbs.12365auto.com/postcontent.aspx?tID=194066","配双边四出排气，最大功率333马力，全新高尔夫R谍照曝光")</f>
        <v>配双边四出排气，最大功率333马力，全新高尔夫R谍照曝光</v>
      </c>
      <c r="C7889" s="2" t="s">
        <v>13</v>
      </c>
      <c r="D7889" s="2" t="s">
        <v>12</v>
      </c>
      <c r="E7889" s="2" t="s">
        <v>28</v>
      </c>
      <c r="F7889" s="2" t="str">
        <f>HYPERLINK("http://bbs.12365auto.com/postcontent.aspx?tID=194066","http://bbs.12365auto.com/postcontent.aspx?tID=194066")</f>
        <v>http://bbs.12365auto.com/postcontent.aspx?tID=194066</v>
      </c>
      <c r="G7889" s="2"/>
      <c r="H7889" s="2" t="s">
        <v>10806</v>
      </c>
      <c r="I7889" s="2" t="s">
        <v>15</v>
      </c>
      <c r="J7889" s="2" t="s">
        <v>3840</v>
      </c>
      <c r="K7889" s="2" t="s">
        <v>10807</v>
      </c>
      <c r="L7889" s="2">
        <f t="shared" si="123"/>
        <v>150</v>
      </c>
    </row>
    <row r="7890" spans="1:12" ht="25" customHeight="1">
      <c r="A7890" s="2" t="s">
        <v>12</v>
      </c>
      <c r="B7890" s="2" t="str">
        <f>HYPERLINK("http://bbs.12365auto.com/postcontent.aspx?tID=194067","20万内最好玩的车，这3款被称驾控一流，最后一款竟是国产")</f>
        <v>20万内最好玩的车，这3款被称驾控一流，最后一款竟是国产</v>
      </c>
      <c r="C7890" s="2" t="s">
        <v>13</v>
      </c>
      <c r="D7890" s="2" t="s">
        <v>12</v>
      </c>
      <c r="E7890" s="2" t="s">
        <v>28</v>
      </c>
      <c r="F7890" s="2" t="str">
        <f>HYPERLINK("http://bbs.12365auto.com/postcontent.aspx?tID=194067","http://bbs.12365auto.com/postcontent.aspx?tID=194067")</f>
        <v>http://bbs.12365auto.com/postcontent.aspx?tID=194067</v>
      </c>
      <c r="G7890" s="2"/>
      <c r="H7890" s="2" t="s">
        <v>10808</v>
      </c>
      <c r="I7890" s="2" t="s">
        <v>15</v>
      </c>
      <c r="J7890" s="2" t="s">
        <v>3840</v>
      </c>
      <c r="K7890" s="2" t="s">
        <v>10807</v>
      </c>
      <c r="L7890" s="2">
        <f t="shared" si="123"/>
        <v>150</v>
      </c>
    </row>
    <row r="7891" spans="1:12" ht="25" customHeight="1">
      <c r="A7891" s="2" t="s">
        <v>12</v>
      </c>
      <c r="B7891" s="2" t="str">
        <f>HYPERLINK("http://www.12365auto.com/news/20200214/418505.shtml","即将量产 大众联手E.On推行便捷式充电桩")</f>
        <v>即将量产 大众联手E.On推行便捷式充电桩</v>
      </c>
      <c r="C7891" s="2" t="s">
        <v>13</v>
      </c>
      <c r="D7891" s="2" t="s">
        <v>12</v>
      </c>
      <c r="E7891" s="2" t="s">
        <v>282</v>
      </c>
      <c r="F7891" s="2" t="str">
        <f>HYPERLINK("http://www.12365auto.com/news/20200214/418505.shtml","http://www.12365auto.com/news/20200214/418505.shtml")</f>
        <v>http://www.12365auto.com/news/20200214/418505.shtml</v>
      </c>
      <c r="G7891" s="2"/>
      <c r="H7891" s="2" t="s">
        <v>10809</v>
      </c>
      <c r="I7891" s="2" t="s">
        <v>19</v>
      </c>
      <c r="J7891" s="2" t="s">
        <v>12</v>
      </c>
      <c r="K7891" s="2" t="s">
        <v>10807</v>
      </c>
      <c r="L7891" s="2">
        <f t="shared" si="123"/>
        <v>150</v>
      </c>
    </row>
    <row r="7892" spans="1:12" ht="25" customHeight="1">
      <c r="A7892" s="2" t="s">
        <v>12</v>
      </c>
      <c r="B7892" s="2" t="str">
        <f>HYPERLINK("http://bbs.12365auto.com/postcontent.aspx?tId=194067","20万内最好玩的车，这3款被称驾控一流，最后一款竟是国产")</f>
        <v>20万内最好玩的车，这3款被称驾控一流，最后一款竟是国产</v>
      </c>
      <c r="C7892" s="2" t="s">
        <v>13</v>
      </c>
      <c r="D7892" s="2" t="s">
        <v>12</v>
      </c>
      <c r="E7892" s="2" t="s">
        <v>27</v>
      </c>
      <c r="F7892" s="2" t="str">
        <f>HYPERLINK("http://bbs.12365auto.com/postcontent.aspx?tId=194067","http://bbs.12365auto.com/postcontent.aspx?tId=194067")</f>
        <v>http://bbs.12365auto.com/postcontent.aspx?tId=194067</v>
      </c>
      <c r="G7892" s="2"/>
      <c r="H7892" s="2" t="s">
        <v>10810</v>
      </c>
      <c r="I7892" s="2" t="s">
        <v>15</v>
      </c>
      <c r="J7892" s="2" t="s">
        <v>3840</v>
      </c>
      <c r="K7892" s="2" t="s">
        <v>10807</v>
      </c>
      <c r="L7892" s="2">
        <f t="shared" si="123"/>
        <v>150</v>
      </c>
    </row>
    <row r="7893" spans="1:12" ht="25" customHeight="1">
      <c r="A7893" s="2" t="s">
        <v>12</v>
      </c>
      <c r="B7893" s="2" t="str">
        <f>HYPERLINK("http://m.12365auto.com/news/20200214/418505.shtml","即将量产 大众联手E.On推行便捷式充电桩")</f>
        <v>即将量产 大众联手E.On推行便捷式充电桩</v>
      </c>
      <c r="C7893" s="2" t="s">
        <v>13</v>
      </c>
      <c r="D7893" s="2" t="s">
        <v>12</v>
      </c>
      <c r="E7893" s="2"/>
      <c r="F7893" s="2" t="str">
        <f>HYPERLINK("http://m.12365auto.com/news/20200214/418505.shtml","http://m.12365auto.com/news/20200214/418505.shtml")</f>
        <v>http://m.12365auto.com/news/20200214/418505.shtml</v>
      </c>
      <c r="G7893" s="2"/>
      <c r="H7893" s="2" t="s">
        <v>10811</v>
      </c>
      <c r="I7893" s="2" t="s">
        <v>19</v>
      </c>
      <c r="J7893" s="2" t="s">
        <v>1250</v>
      </c>
      <c r="K7893" s="2" t="s">
        <v>10807</v>
      </c>
      <c r="L7893" s="2">
        <f t="shared" si="123"/>
        <v>150</v>
      </c>
    </row>
    <row r="7894" spans="1:12" ht="25" customHeight="1">
      <c r="A7894" s="2" t="s">
        <v>12</v>
      </c>
      <c r="B7894" s="2" t="str">
        <f>HYPERLINK("http://bbs.12365auto.com/postcontent.aspx?tId=194066","配双边四出排气，最大功率333马力，全新高尔夫R谍照曝光")</f>
        <v>配双边四出排气，最大功率333马力，全新高尔夫R谍照曝光</v>
      </c>
      <c r="C7894" s="2" t="s">
        <v>13</v>
      </c>
      <c r="D7894" s="2" t="s">
        <v>12</v>
      </c>
      <c r="E7894" s="2" t="s">
        <v>27</v>
      </c>
      <c r="F7894" s="2" t="str">
        <f>HYPERLINK("http://bbs.12365auto.com/postcontent.aspx?tId=194066","http://bbs.12365auto.com/postcontent.aspx?tId=194066")</f>
        <v>http://bbs.12365auto.com/postcontent.aspx?tId=194066</v>
      </c>
      <c r="G7894" s="2"/>
      <c r="H7894" s="2" t="s">
        <v>10812</v>
      </c>
      <c r="I7894" s="2" t="s">
        <v>15</v>
      </c>
      <c r="J7894" s="2" t="s">
        <v>3840</v>
      </c>
      <c r="K7894" s="2" t="s">
        <v>10807</v>
      </c>
      <c r="L7894" s="2">
        <f t="shared" si="123"/>
        <v>150</v>
      </c>
    </row>
    <row r="7895" spans="1:12" ht="25" customHeight="1">
      <c r="A7895" s="2" t="s">
        <v>12</v>
      </c>
      <c r="B7895" s="2" t="str">
        <f>HYPERLINK("http://m.12365auto.com/bbs/postcontent.aspx?tID=194067","20万内最好玩的车，这3款被称驾控一流，最后一款竟是国产")</f>
        <v>20万内最好玩的车，这3款被称驾控一流，最后一款竟是国产</v>
      </c>
      <c r="C7895" s="2" t="s">
        <v>13</v>
      </c>
      <c r="D7895" s="2" t="s">
        <v>23</v>
      </c>
      <c r="E7895" s="2"/>
      <c r="F7895" s="2" t="str">
        <f>HYPERLINK("http://m.12365auto.com/bbs/postcontent.aspx?tID=194067","http://m.12365auto.com/bbs/postcontent.aspx?tID=194067")</f>
        <v>http://m.12365auto.com/bbs/postcontent.aspx?tID=194067</v>
      </c>
      <c r="G7895" s="2"/>
      <c r="H7895" s="2" t="s">
        <v>10810</v>
      </c>
      <c r="I7895" s="2" t="s">
        <v>15</v>
      </c>
      <c r="J7895" s="2" t="s">
        <v>3840</v>
      </c>
      <c r="K7895" s="2" t="s">
        <v>10807</v>
      </c>
      <c r="L7895" s="2">
        <f t="shared" si="123"/>
        <v>150</v>
      </c>
    </row>
    <row r="7896" spans="1:12" ht="25" customHeight="1">
      <c r="A7896" s="2" t="s">
        <v>12</v>
      </c>
      <c r="B7896" s="2" t="str">
        <f>HYPERLINK("http://m.12365auto.com/bbs/postcontent.aspx?tID=194066","配双边四出排气，最大功率333马力，全新高尔夫R谍照曝光")</f>
        <v>配双边四出排气，最大功率333马力，全新高尔夫R谍照曝光</v>
      </c>
      <c r="C7896" s="2" t="s">
        <v>13</v>
      </c>
      <c r="D7896" s="2" t="s">
        <v>23</v>
      </c>
      <c r="E7896" s="2"/>
      <c r="F7896" s="2" t="str">
        <f>HYPERLINK("http://m.12365auto.com/bbs/postcontent.aspx?tID=194066","http://m.12365auto.com/bbs/postcontent.aspx?tID=194066")</f>
        <v>http://m.12365auto.com/bbs/postcontent.aspx?tID=194066</v>
      </c>
      <c r="G7896" s="2"/>
      <c r="H7896" s="2" t="s">
        <v>10812</v>
      </c>
      <c r="I7896" s="2" t="s">
        <v>15</v>
      </c>
      <c r="J7896" s="2" t="s">
        <v>3840</v>
      </c>
      <c r="K7896" s="2" t="s">
        <v>10807</v>
      </c>
      <c r="L7896" s="2">
        <f t="shared" si="123"/>
        <v>150</v>
      </c>
    </row>
    <row r="7897" spans="1:12" ht="25" customHeight="1">
      <c r="A7897" s="2" t="s">
        <v>12</v>
      </c>
      <c r="B7897" s="2" t="str">
        <f>HYPERLINK("http://www.12365auto.com/xcdg/20200214/418498.shtml","东风本田2020款XR-V上市 售12.79万元起")</f>
        <v>东风本田2020款XR-V上市 售12.79万元起</v>
      </c>
      <c r="C7897" s="2" t="s">
        <v>13</v>
      </c>
      <c r="D7897" s="2" t="s">
        <v>12</v>
      </c>
      <c r="E7897" s="2" t="s">
        <v>216</v>
      </c>
      <c r="F7897" s="2" t="str">
        <f>HYPERLINK("http://www.12365auto.com/xcdg/20200214/418498.shtml","http://www.12365auto.com/xcdg/20200214/418498.shtml")</f>
        <v>http://www.12365auto.com/xcdg/20200214/418498.shtml</v>
      </c>
      <c r="G7897" s="2"/>
      <c r="H7897" s="2" t="s">
        <v>10813</v>
      </c>
      <c r="I7897" s="2" t="s">
        <v>15</v>
      </c>
      <c r="J7897" s="2" t="s">
        <v>12</v>
      </c>
      <c r="K7897" s="2" t="s">
        <v>10814</v>
      </c>
      <c r="L7897" s="2">
        <f t="shared" si="123"/>
        <v>150</v>
      </c>
    </row>
    <row r="7898" spans="1:12" ht="25" customHeight="1">
      <c r="A7898" s="2" t="s">
        <v>12</v>
      </c>
      <c r="B7898" s="2" t="str">
        <f>HYPERLINK("http://bbs.12365auto.com/postcontent.aspx?tID=194065","阿斯顿·马丁Vantage敞篷版官图发布，将于二季度交付")</f>
        <v>阿斯顿·马丁Vantage敞篷版官图发布，将于二季度交付</v>
      </c>
      <c r="C7898" s="2" t="s">
        <v>13</v>
      </c>
      <c r="D7898" s="2" t="s">
        <v>12</v>
      </c>
      <c r="E7898" s="2" t="s">
        <v>28</v>
      </c>
      <c r="F7898" s="2" t="str">
        <f>HYPERLINK("http://bbs.12365auto.com/postcontent.aspx?tID=194065","http://bbs.12365auto.com/postcontent.aspx?tID=194065")</f>
        <v>http://bbs.12365auto.com/postcontent.aspx?tID=194065</v>
      </c>
      <c r="G7898" s="2"/>
      <c r="H7898" s="2" t="s">
        <v>10815</v>
      </c>
      <c r="I7898" s="2" t="s">
        <v>15</v>
      </c>
      <c r="J7898" s="2" t="s">
        <v>3840</v>
      </c>
      <c r="K7898" s="2" t="s">
        <v>10814</v>
      </c>
      <c r="L7898" s="2">
        <f t="shared" si="123"/>
        <v>150</v>
      </c>
    </row>
    <row r="7899" spans="1:12" ht="25" customHeight="1">
      <c r="A7899" s="2" t="s">
        <v>12</v>
      </c>
      <c r="B7899" s="2" t="str">
        <f>HYPERLINK("http://m.12365auto.com/xcdg/20200214/418498.shtml","东风本田2020款XR-V上市 售12.79万元起")</f>
        <v>东风本田2020款XR-V上市 售12.79万元起</v>
      </c>
      <c r="C7899" s="2" t="s">
        <v>13</v>
      </c>
      <c r="D7899" s="2" t="s">
        <v>12</v>
      </c>
      <c r="E7899" s="2"/>
      <c r="F7899" s="2" t="str">
        <f>HYPERLINK("http://m.12365auto.com/xcdg/20200214/418498.shtml","http://m.12365auto.com/xcdg/20200214/418498.shtml")</f>
        <v>http://m.12365auto.com/xcdg/20200214/418498.shtml</v>
      </c>
      <c r="G7899" s="2"/>
      <c r="H7899" s="2" t="s">
        <v>10816</v>
      </c>
      <c r="I7899" s="2" t="s">
        <v>19</v>
      </c>
      <c r="J7899" s="2" t="s">
        <v>1218</v>
      </c>
      <c r="K7899" s="2" t="s">
        <v>10814</v>
      </c>
      <c r="L7899" s="2">
        <f t="shared" si="123"/>
        <v>150</v>
      </c>
    </row>
    <row r="7900" spans="1:12" ht="25" customHeight="1">
      <c r="A7900" s="2" t="s">
        <v>12</v>
      </c>
      <c r="B7900" s="2" t="str">
        <f>HYPERLINK("http://bbs.12365auto.com/postcontent.aspx?tId=194065","阿斯顿·马丁Vantage敞篷版官图发布，将于二季度交付")</f>
        <v>阿斯顿·马丁Vantage敞篷版官图发布，将于二季度交付</v>
      </c>
      <c r="C7900" s="2" t="s">
        <v>13</v>
      </c>
      <c r="D7900" s="2" t="s">
        <v>12</v>
      </c>
      <c r="E7900" s="2" t="s">
        <v>27</v>
      </c>
      <c r="F7900" s="2" t="str">
        <f>HYPERLINK("http://bbs.12365auto.com/postcontent.aspx?tId=194065","http://bbs.12365auto.com/postcontent.aspx?tId=194065")</f>
        <v>http://bbs.12365auto.com/postcontent.aspx?tId=194065</v>
      </c>
      <c r="G7900" s="2"/>
      <c r="H7900" s="2" t="s">
        <v>10817</v>
      </c>
      <c r="I7900" s="2" t="s">
        <v>15</v>
      </c>
      <c r="J7900" s="2" t="s">
        <v>3840</v>
      </c>
      <c r="K7900" s="2" t="s">
        <v>10814</v>
      </c>
      <c r="L7900" s="2">
        <f t="shared" si="123"/>
        <v>150</v>
      </c>
    </row>
    <row r="7901" spans="1:12" ht="25" customHeight="1">
      <c r="A7901" s="2" t="s">
        <v>12</v>
      </c>
      <c r="B7901" s="2" t="str">
        <f>HYPERLINK("http://m.12365auto.com/bbs/postcontent.aspx?tID=194065","阿斯顿·马丁Vantage敞篷版官图发布，将于二季度交付")</f>
        <v>阿斯顿·马丁Vantage敞篷版官图发布，将于二季度交付</v>
      </c>
      <c r="C7901" s="2" t="s">
        <v>13</v>
      </c>
      <c r="D7901" s="2" t="s">
        <v>23</v>
      </c>
      <c r="E7901" s="2"/>
      <c r="F7901" s="2" t="str">
        <f>HYPERLINK("http://m.12365auto.com/bbs/postcontent.aspx?tID=194065","http://m.12365auto.com/bbs/postcontent.aspx?tID=194065")</f>
        <v>http://m.12365auto.com/bbs/postcontent.aspx?tID=194065</v>
      </c>
      <c r="G7901" s="2"/>
      <c r="H7901" s="2" t="s">
        <v>10817</v>
      </c>
      <c r="I7901" s="2" t="s">
        <v>15</v>
      </c>
      <c r="J7901" s="2" t="s">
        <v>3840</v>
      </c>
      <c r="K7901" s="2" t="s">
        <v>10814</v>
      </c>
      <c r="L7901" s="2">
        <f t="shared" si="123"/>
        <v>150</v>
      </c>
    </row>
    <row r="7902" spans="1:12" ht="25" customHeight="1">
      <c r="A7902" s="2" t="s">
        <v>12</v>
      </c>
      <c r="B7902" s="2" t="str">
        <f>HYPERLINK("http://www.12365auto.com/xcdg/20200214/418500.shtml","Karma电动皮卡预告图泄露 或命名为ALASKA")</f>
        <v>Karma电动皮卡预告图泄露 或命名为ALASKA</v>
      </c>
      <c r="C7902" s="2" t="s">
        <v>13</v>
      </c>
      <c r="D7902" s="2" t="s">
        <v>12</v>
      </c>
      <c r="E7902" s="2" t="s">
        <v>216</v>
      </c>
      <c r="F7902" s="2" t="str">
        <f>HYPERLINK("http://www.12365auto.com/xcdg/20200214/418500.shtml","http://www.12365auto.com/xcdg/20200214/418500.shtml")</f>
        <v>http://www.12365auto.com/xcdg/20200214/418500.shtml</v>
      </c>
      <c r="G7902" s="2"/>
      <c r="H7902" s="2" t="s">
        <v>10818</v>
      </c>
      <c r="I7902" s="2" t="s">
        <v>15</v>
      </c>
      <c r="J7902" s="2" t="s">
        <v>12</v>
      </c>
      <c r="K7902" s="2" t="s">
        <v>10819</v>
      </c>
      <c r="L7902" s="2">
        <f t="shared" si="123"/>
        <v>150</v>
      </c>
    </row>
    <row r="7903" spans="1:12" ht="25" customHeight="1">
      <c r="A7903" s="2" t="s">
        <v>12</v>
      </c>
      <c r="B7903" s="2" t="str">
        <f>HYPERLINK("http://bbs.12365auto.com/postcontent.aspx?tID=194064","丰田全新MPV亮相，商务性不输LM，价格却不到LM一半")</f>
        <v>丰田全新MPV亮相，商务性不输LM，价格却不到LM一半</v>
      </c>
      <c r="C7903" s="2" t="s">
        <v>13</v>
      </c>
      <c r="D7903" s="2" t="s">
        <v>12</v>
      </c>
      <c r="E7903" s="2" t="s">
        <v>28</v>
      </c>
      <c r="F7903" s="2" t="str">
        <f>HYPERLINK("http://bbs.12365auto.com/postcontent.aspx?tID=194064","http://bbs.12365auto.com/postcontent.aspx?tID=194064")</f>
        <v>http://bbs.12365auto.com/postcontent.aspx?tID=194064</v>
      </c>
      <c r="G7903" s="2"/>
      <c r="H7903" s="2" t="s">
        <v>10820</v>
      </c>
      <c r="I7903" s="2" t="s">
        <v>15</v>
      </c>
      <c r="J7903" s="2" t="s">
        <v>3840</v>
      </c>
      <c r="K7903" s="2" t="s">
        <v>10819</v>
      </c>
      <c r="L7903" s="2">
        <f t="shared" si="123"/>
        <v>150</v>
      </c>
    </row>
    <row r="7904" spans="1:12" ht="25" customHeight="1">
      <c r="A7904" s="2" t="s">
        <v>12</v>
      </c>
      <c r="B7904" s="2" t="str">
        <f>HYPERLINK("http://m.12365auto.com/xcdg/20200214/418500.shtml","Karma电动皮卡预告图泄露 或命名为ALASKA")</f>
        <v>Karma电动皮卡预告图泄露 或命名为ALASKA</v>
      </c>
      <c r="C7904" s="2" t="s">
        <v>13</v>
      </c>
      <c r="D7904" s="2" t="s">
        <v>12</v>
      </c>
      <c r="E7904" s="2"/>
      <c r="F7904" s="2" t="str">
        <f>HYPERLINK("http://m.12365auto.com/xcdg/20200214/418500.shtml","http://m.12365auto.com/xcdg/20200214/418500.shtml")</f>
        <v>http://m.12365auto.com/xcdg/20200214/418500.shtml</v>
      </c>
      <c r="G7904" s="2"/>
      <c r="H7904" s="2" t="s">
        <v>10821</v>
      </c>
      <c r="I7904" s="2" t="s">
        <v>19</v>
      </c>
      <c r="J7904" s="2" t="s">
        <v>1241</v>
      </c>
      <c r="K7904" s="2" t="s">
        <v>10819</v>
      </c>
      <c r="L7904" s="2">
        <f t="shared" si="123"/>
        <v>150</v>
      </c>
    </row>
    <row r="7905" spans="1:12" ht="25" customHeight="1">
      <c r="A7905" s="2" t="s">
        <v>12</v>
      </c>
      <c r="B7905" s="2" t="str">
        <f>HYPERLINK("http://bbs.12365auto.com/postcontent.aspx?tId=194064","丰田全新MPV亮相，商务性不输LM，价格却不到LM一半")</f>
        <v>丰田全新MPV亮相，商务性不输LM，价格却不到LM一半</v>
      </c>
      <c r="C7905" s="2" t="s">
        <v>13</v>
      </c>
      <c r="D7905" s="2" t="s">
        <v>12</v>
      </c>
      <c r="E7905" s="2" t="s">
        <v>27</v>
      </c>
      <c r="F7905" s="2" t="str">
        <f>HYPERLINK("http://bbs.12365auto.com/postcontent.aspx?tId=194064","http://bbs.12365auto.com/postcontent.aspx?tId=194064")</f>
        <v>http://bbs.12365auto.com/postcontent.aspx?tId=194064</v>
      </c>
      <c r="G7905" s="2"/>
      <c r="H7905" s="2" t="s">
        <v>10822</v>
      </c>
      <c r="I7905" s="2" t="s">
        <v>15</v>
      </c>
      <c r="J7905" s="2" t="s">
        <v>3840</v>
      </c>
      <c r="K7905" s="2" t="s">
        <v>10819</v>
      </c>
      <c r="L7905" s="2">
        <f t="shared" si="123"/>
        <v>150</v>
      </c>
    </row>
    <row r="7906" spans="1:12" ht="25" customHeight="1">
      <c r="A7906" s="2" t="s">
        <v>12</v>
      </c>
      <c r="B7906" s="2" t="str">
        <f>HYPERLINK("http://m.12365auto.com/bbs/postcontent.aspx?tID=194064","丰田全新MPV亮相，商务性不输LM，价格却不到LM一半")</f>
        <v>丰田全新MPV亮相，商务性不输LM，价格却不到LM一半</v>
      </c>
      <c r="C7906" s="2" t="s">
        <v>13</v>
      </c>
      <c r="D7906" s="2" t="s">
        <v>23</v>
      </c>
      <c r="E7906" s="2"/>
      <c r="F7906" s="2" t="str">
        <f>HYPERLINK("http://m.12365auto.com/bbs/postcontent.aspx?tID=194064","http://m.12365auto.com/bbs/postcontent.aspx?tID=194064")</f>
        <v>http://m.12365auto.com/bbs/postcontent.aspx?tID=194064</v>
      </c>
      <c r="G7906" s="2"/>
      <c r="H7906" s="2" t="s">
        <v>10822</v>
      </c>
      <c r="I7906" s="2" t="s">
        <v>15</v>
      </c>
      <c r="J7906" s="2" t="s">
        <v>3840</v>
      </c>
      <c r="K7906" s="2" t="s">
        <v>10819</v>
      </c>
      <c r="L7906" s="2">
        <f t="shared" si="123"/>
        <v>150</v>
      </c>
    </row>
    <row r="7907" spans="1:12" ht="25" customHeight="1">
      <c r="A7907" s="2" t="s">
        <v>12</v>
      </c>
      <c r="B7907" s="2" t="str">
        <f>HYPERLINK("http://www.12365auto.com/zlts/20200214/447157.shtml","上汽荣威i6变速箱异响 方向卡滞")</f>
        <v>上汽荣威i6变速箱异响 方向卡滞</v>
      </c>
      <c r="C7907" s="2" t="s">
        <v>13</v>
      </c>
      <c r="D7907" s="2" t="s">
        <v>12</v>
      </c>
      <c r="E7907" s="2"/>
      <c r="F7907" s="2" t="str">
        <f>HYPERLINK("http://www.12365auto.com/zlts/20200214/447157.shtml","http://www.12365auto.com/zlts/20200214/447157.shtml")</f>
        <v>http://www.12365auto.com/zlts/20200214/447157.shtml</v>
      </c>
      <c r="G7907" s="2"/>
      <c r="H7907" s="2" t="s">
        <v>10824</v>
      </c>
      <c r="I7907" s="2" t="s">
        <v>15</v>
      </c>
      <c r="J7907" s="2" t="s">
        <v>12</v>
      </c>
      <c r="K7907" s="2" t="s">
        <v>10823</v>
      </c>
      <c r="L7907" s="2">
        <f t="shared" si="123"/>
        <v>84</v>
      </c>
    </row>
    <row r="7908" spans="1:12" ht="25" customHeight="1">
      <c r="A7908" s="2" t="s">
        <v>12</v>
      </c>
      <c r="B7908" s="2" t="str">
        <f>HYPERLINK("http://m.12365auto.com/bbs/postcontent.aspx?tID=194063","名爵的电瓶问题为什么会这么普遍？")</f>
        <v>名爵的电瓶问题为什么会这么普遍？</v>
      </c>
      <c r="C7908" s="2" t="s">
        <v>13</v>
      </c>
      <c r="D7908" s="2" t="s">
        <v>23</v>
      </c>
      <c r="E7908" s="2"/>
      <c r="F7908" s="2" t="str">
        <f>HYPERLINK("http://m.12365auto.com/bbs/postcontent.aspx?tID=194063","http://m.12365auto.com/bbs/postcontent.aspx?tID=194063")</f>
        <v>http://m.12365auto.com/bbs/postcontent.aspx?tID=194063</v>
      </c>
      <c r="G7908" s="2"/>
      <c r="H7908" s="2" t="s">
        <v>10825</v>
      </c>
      <c r="I7908" s="2" t="s">
        <v>15</v>
      </c>
      <c r="J7908" s="2" t="s">
        <v>2092</v>
      </c>
      <c r="K7908" s="2" t="s">
        <v>10826</v>
      </c>
      <c r="L7908" s="2">
        <f t="shared" si="123"/>
        <v>148</v>
      </c>
    </row>
    <row r="7909" spans="1:12" ht="25" customHeight="1">
      <c r="A7909" s="2" t="s">
        <v>12</v>
      </c>
      <c r="B7909" s="2" t="str">
        <f>HYPERLINK("http://bbs.12365auto.com/postcontent.aspx?tID=194063","名爵的电瓶问题为什么会这么普遍？")</f>
        <v>名爵的电瓶问题为什么会这么普遍？</v>
      </c>
      <c r="C7909" s="2" t="s">
        <v>13</v>
      </c>
      <c r="D7909" s="2" t="s">
        <v>12</v>
      </c>
      <c r="E7909" s="2" t="s">
        <v>67</v>
      </c>
      <c r="F7909" s="2" t="str">
        <f>HYPERLINK("http://bbs.12365auto.com/postcontent.aspx?tID=194063","http://bbs.12365auto.com/postcontent.aspx?tID=194063")</f>
        <v>http://bbs.12365auto.com/postcontent.aspx?tID=194063</v>
      </c>
      <c r="G7909" s="2"/>
      <c r="H7909" s="2" t="s">
        <v>10827</v>
      </c>
      <c r="I7909" s="2" t="s">
        <v>15</v>
      </c>
      <c r="J7909" s="2" t="s">
        <v>2092</v>
      </c>
      <c r="K7909" s="2" t="s">
        <v>10826</v>
      </c>
      <c r="L7909" s="2">
        <f t="shared" si="123"/>
        <v>150</v>
      </c>
    </row>
    <row r="7910" spans="1:12" ht="25" customHeight="1">
      <c r="A7910" s="2" t="s">
        <v>12</v>
      </c>
      <c r="B7910" s="2" t="str">
        <f>HYPERLINK("http://bbs.12365auto.com/postcontent.aspx?tId=194063","名爵的电瓶问题为什么会这么普遍？")</f>
        <v>名爵的电瓶问题为什么会这么普遍？</v>
      </c>
      <c r="C7910" s="2" t="s">
        <v>13</v>
      </c>
      <c r="D7910" s="2" t="s">
        <v>12</v>
      </c>
      <c r="E7910" s="2" t="s">
        <v>66</v>
      </c>
      <c r="F7910" s="2" t="str">
        <f>HYPERLINK("http://bbs.12365auto.com/postcontent.aspx?tId=194063","http://bbs.12365auto.com/postcontent.aspx?tId=194063")</f>
        <v>http://bbs.12365auto.com/postcontent.aspx?tId=194063</v>
      </c>
      <c r="G7910" s="2"/>
      <c r="H7910" s="2" t="s">
        <v>10825</v>
      </c>
      <c r="I7910" s="2" t="s">
        <v>15</v>
      </c>
      <c r="J7910" s="2" t="s">
        <v>2092</v>
      </c>
      <c r="K7910" s="2" t="s">
        <v>10826</v>
      </c>
      <c r="L7910" s="2">
        <f t="shared" si="123"/>
        <v>148</v>
      </c>
    </row>
    <row r="7911" spans="1:12" ht="25" customHeight="1">
      <c r="A7911" s="2" t="s">
        <v>12</v>
      </c>
      <c r="B7911" s="2" t="str">
        <f>HYPERLINK("http://m.12365auto.com/bbs/postcontent.aspx?tID=194062","帕萨特自燃怎么去处理？")</f>
        <v>帕萨特自燃怎么去处理？</v>
      </c>
      <c r="C7911" s="2" t="s">
        <v>13</v>
      </c>
      <c r="D7911" s="2" t="s">
        <v>23</v>
      </c>
      <c r="E7911" s="2"/>
      <c r="F7911" s="2" t="str">
        <f>HYPERLINK("http://m.12365auto.com/bbs/postcontent.aspx?tID=194062","http://m.12365auto.com/bbs/postcontent.aspx?tID=194062")</f>
        <v>http://m.12365auto.com/bbs/postcontent.aspx?tID=194062</v>
      </c>
      <c r="G7911" s="2"/>
      <c r="H7911" s="2" t="s">
        <v>10828</v>
      </c>
      <c r="I7911" s="2" t="s">
        <v>15</v>
      </c>
      <c r="J7911" s="2" t="s">
        <v>2096</v>
      </c>
      <c r="K7911" s="2" t="s">
        <v>10829</v>
      </c>
      <c r="L7911" s="2">
        <f t="shared" si="123"/>
        <v>150</v>
      </c>
    </row>
    <row r="7912" spans="1:12" ht="25" customHeight="1">
      <c r="A7912" s="2" t="s">
        <v>12</v>
      </c>
      <c r="B7912" s="2" t="str">
        <f>HYPERLINK("http://bbs.12365auto.com/postcontent.aspx?tID=194062","帕萨特自燃怎么去处理？")</f>
        <v>帕萨特自燃怎么去处理？</v>
      </c>
      <c r="C7912" s="2" t="s">
        <v>13</v>
      </c>
      <c r="D7912" s="2" t="s">
        <v>12</v>
      </c>
      <c r="E7912" s="2" t="s">
        <v>67</v>
      </c>
      <c r="F7912" s="2" t="str">
        <f>HYPERLINK("http://bbs.12365auto.com/postcontent.aspx?tID=194062","http://bbs.12365auto.com/postcontent.aspx?tID=194062")</f>
        <v>http://bbs.12365auto.com/postcontent.aspx?tID=194062</v>
      </c>
      <c r="G7912" s="2"/>
      <c r="H7912" s="2" t="s">
        <v>10830</v>
      </c>
      <c r="I7912" s="2" t="s">
        <v>15</v>
      </c>
      <c r="J7912" s="2" t="s">
        <v>2096</v>
      </c>
      <c r="K7912" s="2" t="s">
        <v>10829</v>
      </c>
      <c r="L7912" s="2">
        <f t="shared" si="123"/>
        <v>150</v>
      </c>
    </row>
    <row r="7913" spans="1:12" ht="25" customHeight="1">
      <c r="A7913" s="2" t="s">
        <v>12</v>
      </c>
      <c r="B7913" s="2" t="str">
        <f>HYPERLINK("http://bbs.12365auto.com/postcontent.aspx?tId=194062","帕萨特自燃怎么去处理？")</f>
        <v>帕萨特自燃怎么去处理？</v>
      </c>
      <c r="C7913" s="2" t="s">
        <v>13</v>
      </c>
      <c r="D7913" s="2" t="s">
        <v>12</v>
      </c>
      <c r="E7913" s="2" t="s">
        <v>66</v>
      </c>
      <c r="F7913" s="2" t="str">
        <f>HYPERLINK("http://bbs.12365auto.com/postcontent.aspx?tId=194062","http://bbs.12365auto.com/postcontent.aspx?tId=194062")</f>
        <v>http://bbs.12365auto.com/postcontent.aspx?tId=194062</v>
      </c>
      <c r="G7913" s="2"/>
      <c r="H7913" s="2" t="s">
        <v>10828</v>
      </c>
      <c r="I7913" s="2" t="s">
        <v>15</v>
      </c>
      <c r="J7913" s="2" t="s">
        <v>2096</v>
      </c>
      <c r="K7913" s="2" t="s">
        <v>10829</v>
      </c>
      <c r="L7913" s="2">
        <f t="shared" si="123"/>
        <v>150</v>
      </c>
    </row>
    <row r="7914" spans="1:12" ht="25" customHeight="1">
      <c r="A7914" s="2" t="s">
        <v>12</v>
      </c>
      <c r="B7914" s="2" t="str">
        <f>HYPERLINK("http://m.12365auto.com/bbs/postcontent.aspx?tID=194060&amp;i=1","途胜升级后问题真的是太多了")</f>
        <v>途胜升级后问题真的是太多了</v>
      </c>
      <c r="C7914" s="2" t="s">
        <v>13</v>
      </c>
      <c r="D7914" s="2" t="s">
        <v>23</v>
      </c>
      <c r="E7914" s="2"/>
      <c r="F7914" s="2" t="str">
        <f>HYPERLINK("http://m.12365auto.com/bbs/postcontent.aspx?tID=194060&amp;i=1","http://m.12365auto.com/bbs/postcontent.aspx?tID=194060&amp;i=1")</f>
        <v>http://m.12365auto.com/bbs/postcontent.aspx?tID=194060&amp;i=1</v>
      </c>
      <c r="G7914" s="2"/>
      <c r="H7914" s="2" t="s">
        <v>10831</v>
      </c>
      <c r="I7914" s="2" t="s">
        <v>15</v>
      </c>
      <c r="J7914" s="2" t="s">
        <v>2100</v>
      </c>
      <c r="K7914" s="2" t="s">
        <v>10832</v>
      </c>
      <c r="L7914" s="2">
        <f t="shared" si="123"/>
        <v>71</v>
      </c>
    </row>
    <row r="7915" spans="1:12" ht="25" customHeight="1">
      <c r="A7915" s="2" t="s">
        <v>12</v>
      </c>
      <c r="B7915" s="2" t="str">
        <f>HYPERLINK("http://m.12365auto.com/bbs/postcontent.aspx?tID=194061","途达的电瓶问题确实是太普遍了")</f>
        <v>途达的电瓶问题确实是太普遍了</v>
      </c>
      <c r="C7915" s="2" t="s">
        <v>13</v>
      </c>
      <c r="D7915" s="2" t="s">
        <v>23</v>
      </c>
      <c r="E7915" s="2"/>
      <c r="F7915" s="2" t="str">
        <f>HYPERLINK("http://m.12365auto.com/bbs/postcontent.aspx?tID=194061","http://m.12365auto.com/bbs/postcontent.aspx?tID=194061")</f>
        <v>http://m.12365auto.com/bbs/postcontent.aspx?tID=194061</v>
      </c>
      <c r="G7915" s="2"/>
      <c r="H7915" s="2" t="s">
        <v>10833</v>
      </c>
      <c r="I7915" s="2" t="s">
        <v>15</v>
      </c>
      <c r="J7915" s="2" t="s">
        <v>2103</v>
      </c>
      <c r="K7915" s="2" t="s">
        <v>10832</v>
      </c>
      <c r="L7915" s="2">
        <f t="shared" si="123"/>
        <v>48</v>
      </c>
    </row>
    <row r="7916" spans="1:12" ht="25" customHeight="1">
      <c r="A7916" s="2" t="s">
        <v>12</v>
      </c>
      <c r="B7916" s="2" t="str">
        <f>HYPERLINK("http://m.12365auto.com/bbs/postcontent.aspx?tID=194060","途胜升级后问题真的是太多了")</f>
        <v>途胜升级后问题真的是太多了</v>
      </c>
      <c r="C7916" s="2" t="s">
        <v>13</v>
      </c>
      <c r="D7916" s="2" t="s">
        <v>23</v>
      </c>
      <c r="E7916" s="2"/>
      <c r="F7916" s="2" t="str">
        <f>HYPERLINK("http://m.12365auto.com/bbs/postcontent.aspx?tID=194060","http://m.12365auto.com/bbs/postcontent.aspx?tID=194060")</f>
        <v>http://m.12365auto.com/bbs/postcontent.aspx?tID=194060</v>
      </c>
      <c r="G7916" s="2"/>
      <c r="H7916" s="2" t="s">
        <v>10831</v>
      </c>
      <c r="I7916" s="2" t="s">
        <v>15</v>
      </c>
      <c r="J7916" s="2" t="s">
        <v>2100</v>
      </c>
      <c r="K7916" s="2" t="s">
        <v>10832</v>
      </c>
      <c r="L7916" s="2">
        <f t="shared" si="123"/>
        <v>71</v>
      </c>
    </row>
    <row r="7917" spans="1:12" ht="25" customHeight="1">
      <c r="A7917" s="2" t="s">
        <v>12</v>
      </c>
      <c r="B7917" s="2" t="str">
        <f>HYPERLINK("http://bbs.12365auto.com/postcontent.aspx?tID=194061","途达的电瓶问题确实是太普遍了")</f>
        <v>途达的电瓶问题确实是太普遍了</v>
      </c>
      <c r="C7917" s="2" t="s">
        <v>13</v>
      </c>
      <c r="D7917" s="2" t="s">
        <v>12</v>
      </c>
      <c r="E7917" s="2" t="s">
        <v>67</v>
      </c>
      <c r="F7917" s="2" t="str">
        <f>HYPERLINK("http://bbs.12365auto.com/postcontent.aspx?tID=194061","http://bbs.12365auto.com/postcontent.aspx?tID=194061")</f>
        <v>http://bbs.12365auto.com/postcontent.aspx?tID=194061</v>
      </c>
      <c r="G7917" s="2"/>
      <c r="H7917" s="2" t="s">
        <v>10834</v>
      </c>
      <c r="I7917" s="2" t="s">
        <v>15</v>
      </c>
      <c r="J7917" s="2" t="s">
        <v>2103</v>
      </c>
      <c r="K7917" s="2" t="s">
        <v>10832</v>
      </c>
      <c r="L7917" s="2">
        <f t="shared" si="123"/>
        <v>62</v>
      </c>
    </row>
    <row r="7918" spans="1:12" ht="25" customHeight="1">
      <c r="A7918" s="2" t="s">
        <v>12</v>
      </c>
      <c r="B7918" s="2" t="str">
        <f>HYPERLINK("http://bbs.12365auto.com/postcontent.aspx?tID=194060","途胜升级后问题真的是太多了")</f>
        <v>途胜升级后问题真的是太多了</v>
      </c>
      <c r="C7918" s="2" t="s">
        <v>13</v>
      </c>
      <c r="D7918" s="2" t="s">
        <v>12</v>
      </c>
      <c r="E7918" s="2" t="s">
        <v>67</v>
      </c>
      <c r="F7918" s="2" t="str">
        <f>HYPERLINK("http://bbs.12365auto.com/postcontent.aspx?tID=194060","http://bbs.12365auto.com/postcontent.aspx?tID=194060")</f>
        <v>http://bbs.12365auto.com/postcontent.aspx?tID=194060</v>
      </c>
      <c r="G7918" s="2"/>
      <c r="H7918" s="2" t="s">
        <v>10835</v>
      </c>
      <c r="I7918" s="2" t="s">
        <v>15</v>
      </c>
      <c r="J7918" s="2" t="s">
        <v>2100</v>
      </c>
      <c r="K7918" s="2" t="s">
        <v>10832</v>
      </c>
      <c r="L7918" s="2">
        <f t="shared" si="123"/>
        <v>84</v>
      </c>
    </row>
    <row r="7919" spans="1:12" ht="25" customHeight="1">
      <c r="A7919" s="2" t="s">
        <v>12</v>
      </c>
      <c r="B7919" s="2" t="str">
        <f>HYPERLINK("http://bbs.12365auto.com/postcontent.aspx?tId=194060","途胜升级后问题真的是太多了")</f>
        <v>途胜升级后问题真的是太多了</v>
      </c>
      <c r="C7919" s="2" t="s">
        <v>13</v>
      </c>
      <c r="D7919" s="2" t="s">
        <v>12</v>
      </c>
      <c r="E7919" s="2" t="s">
        <v>66</v>
      </c>
      <c r="F7919" s="2" t="str">
        <f>HYPERLINK("http://bbs.12365auto.com/postcontent.aspx?tId=194060","http://bbs.12365auto.com/postcontent.aspx?tId=194060")</f>
        <v>http://bbs.12365auto.com/postcontent.aspx?tId=194060</v>
      </c>
      <c r="G7919" s="2"/>
      <c r="H7919" s="2" t="s">
        <v>10831</v>
      </c>
      <c r="I7919" s="2" t="s">
        <v>15</v>
      </c>
      <c r="J7919" s="2" t="s">
        <v>2100</v>
      </c>
      <c r="K7919" s="2" t="s">
        <v>10832</v>
      </c>
      <c r="L7919" s="2">
        <f t="shared" si="123"/>
        <v>71</v>
      </c>
    </row>
    <row r="7920" spans="1:12" ht="25" customHeight="1">
      <c r="A7920" s="2" t="s">
        <v>12</v>
      </c>
      <c r="B7920" s="2" t="str">
        <f>HYPERLINK("http://bbs.12365auto.com/postcontent.aspx?tId=194061","途达的电瓶问题确实是太普遍了")</f>
        <v>途达的电瓶问题确实是太普遍了</v>
      </c>
      <c r="C7920" s="2" t="s">
        <v>13</v>
      </c>
      <c r="D7920" s="2" t="s">
        <v>12</v>
      </c>
      <c r="E7920" s="2" t="s">
        <v>66</v>
      </c>
      <c r="F7920" s="2" t="str">
        <f>HYPERLINK("http://bbs.12365auto.com/postcontent.aspx?tId=194061","http://bbs.12365auto.com/postcontent.aspx?tId=194061")</f>
        <v>http://bbs.12365auto.com/postcontent.aspx?tId=194061</v>
      </c>
      <c r="G7920" s="2"/>
      <c r="H7920" s="2" t="s">
        <v>10833</v>
      </c>
      <c r="I7920" s="2" t="s">
        <v>15</v>
      </c>
      <c r="J7920" s="2" t="s">
        <v>2103</v>
      </c>
      <c r="K7920" s="2" t="s">
        <v>10832</v>
      </c>
      <c r="L7920" s="2">
        <f t="shared" si="123"/>
        <v>48</v>
      </c>
    </row>
    <row r="7921" spans="1:12" ht="25" customHeight="1">
      <c r="A7921" s="2" t="s">
        <v>12</v>
      </c>
      <c r="B7921" s="2" t="str">
        <f>HYPERLINK("http://bbs.12365auto.com/postcontent.aspx?tId=194058","自主造高端车 看完这些车你还想买合资吗？")</f>
        <v>自主造高端车 看完这些车你还想买合资吗？</v>
      </c>
      <c r="C7921" s="2" t="s">
        <v>13</v>
      </c>
      <c r="D7921" s="2" t="s">
        <v>12</v>
      </c>
      <c r="E7921" s="2" t="s">
        <v>27</v>
      </c>
      <c r="F7921" s="2" t="str">
        <f>HYPERLINK("http://bbs.12365auto.com/postcontent.aspx?tId=194058","http://bbs.12365auto.com/postcontent.aspx?tId=194058")</f>
        <v>http://bbs.12365auto.com/postcontent.aspx?tId=194058</v>
      </c>
      <c r="G7921" s="2"/>
      <c r="H7921" s="2" t="s">
        <v>10836</v>
      </c>
      <c r="I7921" s="2" t="s">
        <v>15</v>
      </c>
      <c r="J7921" s="2" t="s">
        <v>683</v>
      </c>
      <c r="K7921" s="2" t="s">
        <v>10837</v>
      </c>
      <c r="L7921" s="2">
        <f t="shared" si="123"/>
        <v>150</v>
      </c>
    </row>
    <row r="7922" spans="1:12" ht="25" customHeight="1">
      <c r="A7922" s="2" t="s">
        <v>12</v>
      </c>
      <c r="B7922" s="2" t="str">
        <f>HYPERLINK("http://bbs.12365auto.com/postcontent.aspx?tId=194057","离合器烧毁质保时间是多久？")</f>
        <v>离合器烧毁质保时间是多久？</v>
      </c>
      <c r="C7922" s="2" t="s">
        <v>13</v>
      </c>
      <c r="D7922" s="2" t="s">
        <v>12</v>
      </c>
      <c r="E7922" s="2" t="s">
        <v>66</v>
      </c>
      <c r="F7922" s="2" t="str">
        <f>HYPERLINK("http://bbs.12365auto.com/postcontent.aspx?tId=194057","http://bbs.12365auto.com/postcontent.aspx?tId=194057")</f>
        <v>http://bbs.12365auto.com/postcontent.aspx?tId=194057</v>
      </c>
      <c r="G7922" s="2"/>
      <c r="H7922" s="2" t="s">
        <v>10838</v>
      </c>
      <c r="I7922" s="2" t="s">
        <v>15</v>
      </c>
      <c r="J7922" s="2" t="s">
        <v>2113</v>
      </c>
      <c r="K7922" s="2" t="s">
        <v>10837</v>
      </c>
      <c r="L7922" s="2">
        <f t="shared" si="123"/>
        <v>80</v>
      </c>
    </row>
    <row r="7923" spans="1:12" ht="25" customHeight="1">
      <c r="A7923" s="2" t="s">
        <v>12</v>
      </c>
      <c r="B7923" s="2" t="str">
        <f>HYPERLINK("http://m.12365auto.com/bbs/postcontent.aspx?tID=194059","电瓶亏电质保时间应该是多久？")</f>
        <v>电瓶亏电质保时间应该是多久？</v>
      </c>
      <c r="C7923" s="2" t="s">
        <v>13</v>
      </c>
      <c r="D7923" s="2" t="s">
        <v>23</v>
      </c>
      <c r="E7923" s="2"/>
      <c r="F7923" s="2" t="str">
        <f>HYPERLINK("http://m.12365auto.com/bbs/postcontent.aspx?tID=194059","http://m.12365auto.com/bbs/postcontent.aspx?tID=194059")</f>
        <v>http://m.12365auto.com/bbs/postcontent.aspx?tID=194059</v>
      </c>
      <c r="G7923" s="2"/>
      <c r="H7923" s="2" t="s">
        <v>10839</v>
      </c>
      <c r="I7923" s="2" t="s">
        <v>15</v>
      </c>
      <c r="J7923" s="2" t="s">
        <v>2107</v>
      </c>
      <c r="K7923" s="2" t="s">
        <v>10837</v>
      </c>
      <c r="L7923" s="2">
        <f t="shared" si="123"/>
        <v>150</v>
      </c>
    </row>
    <row r="7924" spans="1:12" ht="25" customHeight="1">
      <c r="A7924" s="2" t="s">
        <v>12</v>
      </c>
      <c r="B7924" s="2" t="str">
        <f>HYPERLINK("http://m.12365auto.com/bbs/postcontent.aspx?tID=194057","离合器烧毁质保时间是多久？")</f>
        <v>离合器烧毁质保时间是多久？</v>
      </c>
      <c r="C7924" s="2" t="s">
        <v>13</v>
      </c>
      <c r="D7924" s="2" t="s">
        <v>23</v>
      </c>
      <c r="E7924" s="2"/>
      <c r="F7924" s="2" t="str">
        <f>HYPERLINK("http://m.12365auto.com/bbs/postcontent.aspx?tID=194057","http://m.12365auto.com/bbs/postcontent.aspx?tID=194057")</f>
        <v>http://m.12365auto.com/bbs/postcontent.aspx?tID=194057</v>
      </c>
      <c r="G7924" s="2"/>
      <c r="H7924" s="2" t="s">
        <v>10838</v>
      </c>
      <c r="I7924" s="2" t="s">
        <v>15</v>
      </c>
      <c r="J7924" s="2" t="s">
        <v>2113</v>
      </c>
      <c r="K7924" s="2" t="s">
        <v>10837</v>
      </c>
      <c r="L7924" s="2">
        <f t="shared" si="123"/>
        <v>80</v>
      </c>
    </row>
    <row r="7925" spans="1:12" ht="25" customHeight="1">
      <c r="A7925" s="2" t="s">
        <v>12</v>
      </c>
      <c r="B7925" s="2" t="str">
        <f>HYPERLINK("http://m.12365auto.com/bbs/postcontent.aspx?tID=194058","自主造高端车 看完这些车你还想买合资吗？")</f>
        <v>自主造高端车 看完这些车你还想买合资吗？</v>
      </c>
      <c r="C7925" s="2" t="s">
        <v>13</v>
      </c>
      <c r="D7925" s="2" t="s">
        <v>23</v>
      </c>
      <c r="E7925" s="2"/>
      <c r="F7925" s="2" t="str">
        <f>HYPERLINK("http://m.12365auto.com/bbs/postcontent.aspx?tID=194058","http://m.12365auto.com/bbs/postcontent.aspx?tID=194058")</f>
        <v>http://m.12365auto.com/bbs/postcontent.aspx?tID=194058</v>
      </c>
      <c r="G7925" s="2"/>
      <c r="H7925" s="2" t="s">
        <v>10836</v>
      </c>
      <c r="I7925" s="2" t="s">
        <v>15</v>
      </c>
      <c r="J7925" s="2" t="s">
        <v>683</v>
      </c>
      <c r="K7925" s="2" t="s">
        <v>10837</v>
      </c>
      <c r="L7925" s="2">
        <f t="shared" si="123"/>
        <v>150</v>
      </c>
    </row>
    <row r="7926" spans="1:12" ht="25" customHeight="1">
      <c r="A7926" s="2" t="s">
        <v>12</v>
      </c>
      <c r="B7926" s="2" t="str">
        <f>HYPERLINK("http://bbs.12365auto.com/postcontent.aspx?tID=194057","离合器烧毁质保时间是多久？")</f>
        <v>离合器烧毁质保时间是多久？</v>
      </c>
      <c r="C7926" s="2" t="s">
        <v>13</v>
      </c>
      <c r="D7926" s="2" t="s">
        <v>12</v>
      </c>
      <c r="E7926" s="2" t="s">
        <v>67</v>
      </c>
      <c r="F7926" s="2" t="str">
        <f>HYPERLINK("http://bbs.12365auto.com/postcontent.aspx?tID=194057","http://bbs.12365auto.com/postcontent.aspx?tID=194057")</f>
        <v>http://bbs.12365auto.com/postcontent.aspx?tID=194057</v>
      </c>
      <c r="G7926" s="2"/>
      <c r="H7926" s="2" t="s">
        <v>10840</v>
      </c>
      <c r="I7926" s="2" t="s">
        <v>15</v>
      </c>
      <c r="J7926" s="2" t="s">
        <v>2113</v>
      </c>
      <c r="K7926" s="2" t="s">
        <v>10837</v>
      </c>
      <c r="L7926" s="2">
        <f t="shared" si="123"/>
        <v>93</v>
      </c>
    </row>
    <row r="7927" spans="1:12" ht="25" customHeight="1">
      <c r="A7927" s="2" t="s">
        <v>12</v>
      </c>
      <c r="B7927" s="2" t="str">
        <f>HYPERLINK("http://bbs.12365auto.com/postcontent.aspx?tID=194058","自主造高端车 看完这些车你还想买合资吗？")</f>
        <v>自主造高端车 看完这些车你还想买合资吗？</v>
      </c>
      <c r="C7927" s="2" t="s">
        <v>13</v>
      </c>
      <c r="D7927" s="2" t="s">
        <v>12</v>
      </c>
      <c r="E7927" s="2" t="s">
        <v>28</v>
      </c>
      <c r="F7927" s="2" t="str">
        <f>HYPERLINK("http://bbs.12365auto.com/postcontent.aspx?tID=194058","http://bbs.12365auto.com/postcontent.aspx?tID=194058")</f>
        <v>http://bbs.12365auto.com/postcontent.aspx?tID=194058</v>
      </c>
      <c r="G7927" s="2"/>
      <c r="H7927" s="2" t="s">
        <v>10841</v>
      </c>
      <c r="I7927" s="2" t="s">
        <v>15</v>
      </c>
      <c r="J7927" s="2" t="s">
        <v>683</v>
      </c>
      <c r="K7927" s="2" t="s">
        <v>10837</v>
      </c>
      <c r="L7927" s="2">
        <f t="shared" si="123"/>
        <v>150</v>
      </c>
    </row>
    <row r="7928" spans="1:12" ht="25" customHeight="1">
      <c r="A7928" s="2" t="s">
        <v>12</v>
      </c>
      <c r="B7928" s="2" t="str">
        <f>HYPERLINK("http://m.12365auto.com/xcdg/20200214/418517.shtml","搭载电子挡把 日产全新奇骏内饰曝光")</f>
        <v>搭载电子挡把 日产全新奇骏内饰曝光</v>
      </c>
      <c r="C7928" s="2" t="s">
        <v>13</v>
      </c>
      <c r="D7928" s="2" t="s">
        <v>12</v>
      </c>
      <c r="E7928" s="2"/>
      <c r="F7928" s="2" t="str">
        <f>HYPERLINK("http://m.12365auto.com/xcdg/20200214/418517.shtml","http://m.12365auto.com/xcdg/20200214/418517.shtml")</f>
        <v>http://m.12365auto.com/xcdg/20200214/418517.shtml</v>
      </c>
      <c r="G7928" s="2"/>
      <c r="H7928" s="2" t="s">
        <v>10842</v>
      </c>
      <c r="I7928" s="2" t="s">
        <v>19</v>
      </c>
      <c r="J7928" s="2" t="s">
        <v>1326</v>
      </c>
      <c r="K7928" s="2" t="s">
        <v>10837</v>
      </c>
      <c r="L7928" s="2">
        <f t="shared" si="123"/>
        <v>150</v>
      </c>
    </row>
    <row r="7929" spans="1:12" ht="25" customHeight="1">
      <c r="A7929" s="2" t="s">
        <v>12</v>
      </c>
      <c r="B7929" s="2" t="str">
        <f>HYPERLINK("http://www.12365auto.com/xcdg/20200214/418517.shtml","搭载电子挡把 日产全新奇骏内饰曝光")</f>
        <v>搭载电子挡把 日产全新奇骏内饰曝光</v>
      </c>
      <c r="C7929" s="2" t="s">
        <v>13</v>
      </c>
      <c r="D7929" s="2" t="s">
        <v>12</v>
      </c>
      <c r="E7929" s="2" t="s">
        <v>216</v>
      </c>
      <c r="F7929" s="2" t="str">
        <f>HYPERLINK("http://www.12365auto.com/xcdg/20200214/418517.shtml","http://www.12365auto.com/xcdg/20200214/418517.shtml")</f>
        <v>http://www.12365auto.com/xcdg/20200214/418517.shtml</v>
      </c>
      <c r="G7929" s="2"/>
      <c r="H7929" s="2" t="s">
        <v>10843</v>
      </c>
      <c r="I7929" s="2" t="s">
        <v>15</v>
      </c>
      <c r="J7929" s="2" t="s">
        <v>12</v>
      </c>
      <c r="K7929" s="2" t="s">
        <v>10837</v>
      </c>
      <c r="L7929" s="2">
        <f t="shared" si="123"/>
        <v>150</v>
      </c>
    </row>
    <row r="7930" spans="1:12" ht="25" customHeight="1">
      <c r="A7930" s="2" t="s">
        <v>12</v>
      </c>
      <c r="B7930" s="2" t="str">
        <f>HYPERLINK("http://bbs.12365auto.com/postcontent.aspx?tID=194059","电瓶亏电质保时间应该是多久？")</f>
        <v>电瓶亏电质保时间应该是多久？</v>
      </c>
      <c r="C7930" s="2" t="s">
        <v>13</v>
      </c>
      <c r="D7930" s="2" t="s">
        <v>12</v>
      </c>
      <c r="E7930" s="2" t="s">
        <v>67</v>
      </c>
      <c r="F7930" s="2" t="str">
        <f>HYPERLINK("http://bbs.12365auto.com/postcontent.aspx?tID=194059","http://bbs.12365auto.com/postcontent.aspx?tID=194059")</f>
        <v>http://bbs.12365auto.com/postcontent.aspx?tID=194059</v>
      </c>
      <c r="G7930" s="2"/>
      <c r="H7930" s="2" t="s">
        <v>10844</v>
      </c>
      <c r="I7930" s="2" t="s">
        <v>15</v>
      </c>
      <c r="J7930" s="2" t="s">
        <v>2107</v>
      </c>
      <c r="K7930" s="2" t="s">
        <v>10837</v>
      </c>
      <c r="L7930" s="2">
        <f t="shared" si="123"/>
        <v>150</v>
      </c>
    </row>
    <row r="7931" spans="1:12" ht="25" customHeight="1">
      <c r="A7931" s="2" t="s">
        <v>12</v>
      </c>
      <c r="B7931" s="2" t="str">
        <f>HYPERLINK("http://bbs.12365auto.com/postcontent.aspx?tId=194059","电瓶亏电质保时间应该是多久？")</f>
        <v>电瓶亏电质保时间应该是多久？</v>
      </c>
      <c r="C7931" s="2" t="s">
        <v>13</v>
      </c>
      <c r="D7931" s="2" t="s">
        <v>12</v>
      </c>
      <c r="E7931" s="2" t="s">
        <v>66</v>
      </c>
      <c r="F7931" s="2" t="str">
        <f>HYPERLINK("http://bbs.12365auto.com/postcontent.aspx?tId=194059","http://bbs.12365auto.com/postcontent.aspx?tId=194059")</f>
        <v>http://bbs.12365auto.com/postcontent.aspx?tId=194059</v>
      </c>
      <c r="G7931" s="2"/>
      <c r="H7931" s="2" t="s">
        <v>10839</v>
      </c>
      <c r="I7931" s="2" t="s">
        <v>15</v>
      </c>
      <c r="J7931" s="2" t="s">
        <v>2107</v>
      </c>
      <c r="K7931" s="2" t="s">
        <v>10837</v>
      </c>
      <c r="L7931" s="2">
        <f t="shared" si="123"/>
        <v>150</v>
      </c>
    </row>
    <row r="7932" spans="1:12" ht="25" customHeight="1">
      <c r="A7932" s="2" t="s">
        <v>12</v>
      </c>
      <c r="B7932" s="2" t="str">
        <f>HYPERLINK("http://bbs.12365auto.com/postcontent.aspx?tId=194056","离合器漏油可以质保吗")</f>
        <v>离合器漏油可以质保吗</v>
      </c>
      <c r="C7932" s="2" t="s">
        <v>13</v>
      </c>
      <c r="D7932" s="2" t="s">
        <v>12</v>
      </c>
      <c r="E7932" s="2" t="s">
        <v>66</v>
      </c>
      <c r="F7932" s="2" t="str">
        <f>HYPERLINK("http://bbs.12365auto.com/postcontent.aspx?tId=194056","http://bbs.12365auto.com/postcontent.aspx?tId=194056")</f>
        <v>http://bbs.12365auto.com/postcontent.aspx?tId=194056</v>
      </c>
      <c r="G7932" s="2"/>
      <c r="H7932" s="2" t="s">
        <v>10845</v>
      </c>
      <c r="I7932" s="2" t="s">
        <v>15</v>
      </c>
      <c r="J7932" s="2" t="s">
        <v>2116</v>
      </c>
      <c r="K7932" s="2" t="s">
        <v>10846</v>
      </c>
      <c r="L7932" s="2">
        <f t="shared" si="123"/>
        <v>36</v>
      </c>
    </row>
    <row r="7933" spans="1:12" ht="25" customHeight="1">
      <c r="A7933" s="2" t="s">
        <v>12</v>
      </c>
      <c r="B7933" s="2" t="str">
        <f>HYPERLINK("http://m.12365auto.com/bbs/postcontent.aspx?tID=194056","离合器漏油可以质保吗")</f>
        <v>离合器漏油可以质保吗</v>
      </c>
      <c r="C7933" s="2" t="s">
        <v>13</v>
      </c>
      <c r="D7933" s="2" t="s">
        <v>23</v>
      </c>
      <c r="E7933" s="2"/>
      <c r="F7933" s="2" t="str">
        <f>HYPERLINK("http://m.12365auto.com/bbs/postcontent.aspx?tID=194056","http://m.12365auto.com/bbs/postcontent.aspx?tID=194056")</f>
        <v>http://m.12365auto.com/bbs/postcontent.aspx?tID=194056</v>
      </c>
      <c r="G7933" s="2"/>
      <c r="H7933" s="2" t="s">
        <v>10845</v>
      </c>
      <c r="I7933" s="2" t="s">
        <v>15</v>
      </c>
      <c r="J7933" s="2" t="s">
        <v>2116</v>
      </c>
      <c r="K7933" s="2" t="s">
        <v>10846</v>
      </c>
      <c r="L7933" s="2">
        <f t="shared" si="123"/>
        <v>36</v>
      </c>
    </row>
    <row r="7934" spans="1:12" ht="25" customHeight="1">
      <c r="A7934" s="2" t="s">
        <v>12</v>
      </c>
      <c r="B7934" s="2" t="str">
        <f>HYPERLINK("http://bbs.12365auto.com/postcontent.aspx?tID=194056","离合器漏油可以质保吗")</f>
        <v>离合器漏油可以质保吗</v>
      </c>
      <c r="C7934" s="2" t="s">
        <v>13</v>
      </c>
      <c r="D7934" s="2" t="s">
        <v>12</v>
      </c>
      <c r="E7934" s="2" t="s">
        <v>67</v>
      </c>
      <c r="F7934" s="2" t="str">
        <f>HYPERLINK("http://bbs.12365auto.com/postcontent.aspx?tID=194056","http://bbs.12365auto.com/postcontent.aspx?tID=194056")</f>
        <v>http://bbs.12365auto.com/postcontent.aspx?tID=194056</v>
      </c>
      <c r="G7934" s="2"/>
      <c r="H7934" s="2" t="s">
        <v>10847</v>
      </c>
      <c r="I7934" s="2" t="s">
        <v>15</v>
      </c>
      <c r="J7934" s="2" t="s">
        <v>2116</v>
      </c>
      <c r="K7934" s="2" t="s">
        <v>10846</v>
      </c>
      <c r="L7934" s="2">
        <f t="shared" si="123"/>
        <v>46</v>
      </c>
    </row>
    <row r="7935" spans="1:12" ht="25" customHeight="1">
      <c r="A7935" s="2" t="s">
        <v>12</v>
      </c>
      <c r="B7935" s="2" t="str">
        <f>HYPERLINK("http://bbs.12365auto.com/postcontent.aspx?tId=194054","千万别和这四款车比油耗 就算是混动车也未必斗得过")</f>
        <v>千万别和这四款车比油耗 就算是混动车也未必斗得过</v>
      </c>
      <c r="C7935" s="2" t="s">
        <v>13</v>
      </c>
      <c r="D7935" s="2" t="s">
        <v>12</v>
      </c>
      <c r="E7935" s="2" t="s">
        <v>27</v>
      </c>
      <c r="F7935" s="2" t="str">
        <f>HYPERLINK("http://bbs.12365auto.com/postcontent.aspx?tId=194054","http://bbs.12365auto.com/postcontent.aspx?tId=194054")</f>
        <v>http://bbs.12365auto.com/postcontent.aspx?tId=194054</v>
      </c>
      <c r="G7935" s="2"/>
      <c r="H7935" s="2" t="s">
        <v>10848</v>
      </c>
      <c r="I7935" s="2" t="s">
        <v>15</v>
      </c>
      <c r="J7935" s="2" t="s">
        <v>683</v>
      </c>
      <c r="K7935" s="2" t="s">
        <v>10849</v>
      </c>
      <c r="L7935" s="2">
        <f t="shared" si="123"/>
        <v>150</v>
      </c>
    </row>
    <row r="7936" spans="1:12" ht="25" customHeight="1">
      <c r="A7936" s="2" t="s">
        <v>12</v>
      </c>
      <c r="B7936" s="2" t="str">
        <f>HYPERLINK("http://bbs.12365auto.com/postcontent.aspx?tId=194055","凌渡变速箱异响问题可以解决吗")</f>
        <v>凌渡变速箱异响问题可以解决吗</v>
      </c>
      <c r="C7936" s="2" t="s">
        <v>13</v>
      </c>
      <c r="D7936" s="2" t="s">
        <v>12</v>
      </c>
      <c r="E7936" s="2" t="s">
        <v>66</v>
      </c>
      <c r="F7936" s="2" t="str">
        <f>HYPERLINK("http://bbs.12365auto.com/postcontent.aspx?tId=194055","http://bbs.12365auto.com/postcontent.aspx?tId=194055")</f>
        <v>http://bbs.12365auto.com/postcontent.aspx?tId=194055</v>
      </c>
      <c r="G7936" s="2"/>
      <c r="H7936" s="2" t="s">
        <v>10850</v>
      </c>
      <c r="I7936" s="2" t="s">
        <v>15</v>
      </c>
      <c r="J7936" s="2" t="s">
        <v>2120</v>
      </c>
      <c r="K7936" s="2" t="s">
        <v>10849</v>
      </c>
      <c r="L7936" s="2">
        <f t="shared" si="123"/>
        <v>45</v>
      </c>
    </row>
    <row r="7937" spans="1:12" ht="25" customHeight="1">
      <c r="A7937" s="2" t="s">
        <v>12</v>
      </c>
      <c r="B7937" s="2" t="str">
        <f>HYPERLINK("http://m.12365auto.com/bbs/postcontent.aspx?tID=194055","凌渡变速箱异响问题可以解决吗")</f>
        <v>凌渡变速箱异响问题可以解决吗</v>
      </c>
      <c r="C7937" s="2" t="s">
        <v>13</v>
      </c>
      <c r="D7937" s="2" t="s">
        <v>23</v>
      </c>
      <c r="E7937" s="2"/>
      <c r="F7937" s="2" t="str">
        <f>HYPERLINK("http://m.12365auto.com/bbs/postcontent.aspx?tID=194055","http://m.12365auto.com/bbs/postcontent.aspx?tID=194055")</f>
        <v>http://m.12365auto.com/bbs/postcontent.aspx?tID=194055</v>
      </c>
      <c r="G7937" s="2"/>
      <c r="H7937" s="2" t="s">
        <v>10850</v>
      </c>
      <c r="I7937" s="2" t="s">
        <v>15</v>
      </c>
      <c r="J7937" s="2" t="s">
        <v>2120</v>
      </c>
      <c r="K7937" s="2" t="s">
        <v>10849</v>
      </c>
      <c r="L7937" s="2">
        <f t="shared" si="123"/>
        <v>45</v>
      </c>
    </row>
    <row r="7938" spans="1:12" ht="25" customHeight="1">
      <c r="A7938" s="2" t="s">
        <v>12</v>
      </c>
      <c r="B7938" s="2" t="str">
        <f>HYPERLINK("http://m.12365auto.com/bbs/postcontent.aspx?tID=194054","千万别和这四款车比油耗 就算是混动车也未必斗得过")</f>
        <v>千万别和这四款车比油耗 就算是混动车也未必斗得过</v>
      </c>
      <c r="C7938" s="2" t="s">
        <v>13</v>
      </c>
      <c r="D7938" s="2" t="s">
        <v>23</v>
      </c>
      <c r="E7938" s="2"/>
      <c r="F7938" s="2" t="str">
        <f>HYPERLINK("http://m.12365auto.com/bbs/postcontent.aspx?tID=194054","http://m.12365auto.com/bbs/postcontent.aspx?tID=194054")</f>
        <v>http://m.12365auto.com/bbs/postcontent.aspx?tID=194054</v>
      </c>
      <c r="G7938" s="2"/>
      <c r="H7938" s="2" t="s">
        <v>10848</v>
      </c>
      <c r="I7938" s="2" t="s">
        <v>15</v>
      </c>
      <c r="J7938" s="2" t="s">
        <v>683</v>
      </c>
      <c r="K7938" s="2" t="s">
        <v>10849</v>
      </c>
      <c r="L7938" s="2">
        <f t="shared" si="123"/>
        <v>150</v>
      </c>
    </row>
    <row r="7939" spans="1:12" ht="25" customHeight="1">
      <c r="A7939" s="2" t="s">
        <v>12</v>
      </c>
      <c r="B7939" s="2" t="str">
        <f>HYPERLINK("http://bbs.12365auto.com/postcontent.aspx?tID=194054","千万别和这四款车比油耗 就算是混动车也未必斗得过")</f>
        <v>千万别和这四款车比油耗 就算是混动车也未必斗得过</v>
      </c>
      <c r="C7939" s="2" t="s">
        <v>13</v>
      </c>
      <c r="D7939" s="2" t="s">
        <v>12</v>
      </c>
      <c r="E7939" s="2" t="s">
        <v>28</v>
      </c>
      <c r="F7939" s="2" t="str">
        <f>HYPERLINK("http://bbs.12365auto.com/postcontent.aspx?tID=194054","http://bbs.12365auto.com/postcontent.aspx?tID=194054")</f>
        <v>http://bbs.12365auto.com/postcontent.aspx?tID=194054</v>
      </c>
      <c r="G7939" s="2"/>
      <c r="H7939" s="2" t="s">
        <v>10851</v>
      </c>
      <c r="I7939" s="2" t="s">
        <v>15</v>
      </c>
      <c r="J7939" s="2" t="s">
        <v>683</v>
      </c>
      <c r="K7939" s="2" t="s">
        <v>10849</v>
      </c>
      <c r="L7939" s="2">
        <f t="shared" ref="L7939:L8002" si="124">LEN(H7939)</f>
        <v>150</v>
      </c>
    </row>
    <row r="7940" spans="1:12" ht="25" customHeight="1">
      <c r="A7940" s="2" t="s">
        <v>12</v>
      </c>
      <c r="B7940" s="2" t="str">
        <f>HYPERLINK("http://bbs.12365auto.com/postcontent.aspx?tID=194055","凌渡变速箱异响问题可以解决吗")</f>
        <v>凌渡变速箱异响问题可以解决吗</v>
      </c>
      <c r="C7940" s="2" t="s">
        <v>13</v>
      </c>
      <c r="D7940" s="2" t="s">
        <v>12</v>
      </c>
      <c r="E7940" s="2" t="s">
        <v>67</v>
      </c>
      <c r="F7940" s="2" t="str">
        <f>HYPERLINK("http://bbs.12365auto.com/postcontent.aspx?tID=194055","http://bbs.12365auto.com/postcontent.aspx?tID=194055")</f>
        <v>http://bbs.12365auto.com/postcontent.aspx?tID=194055</v>
      </c>
      <c r="G7940" s="2"/>
      <c r="H7940" s="2" t="s">
        <v>10852</v>
      </c>
      <c r="I7940" s="2" t="s">
        <v>15</v>
      </c>
      <c r="J7940" s="2" t="s">
        <v>2120</v>
      </c>
      <c r="K7940" s="2" t="s">
        <v>10849</v>
      </c>
      <c r="L7940" s="2">
        <f t="shared" si="124"/>
        <v>59</v>
      </c>
    </row>
    <row r="7941" spans="1:12" ht="25" customHeight="1">
      <c r="A7941" s="2" t="s">
        <v>12</v>
      </c>
      <c r="B7941" s="2" t="str">
        <f>HYPERLINK("http://bbs.12365auto.com/postcontent.aspx?tId=194053","雷凌异味问题可以解决吗？")</f>
        <v>雷凌异味问题可以解决吗？</v>
      </c>
      <c r="C7941" s="2" t="s">
        <v>13</v>
      </c>
      <c r="D7941" s="2" t="s">
        <v>12</v>
      </c>
      <c r="E7941" s="2" t="s">
        <v>66</v>
      </c>
      <c r="F7941" s="2" t="str">
        <f>HYPERLINK("http://bbs.12365auto.com/postcontent.aspx?tId=194053","http://bbs.12365auto.com/postcontent.aspx?tId=194053")</f>
        <v>http://bbs.12365auto.com/postcontent.aspx?tId=194053</v>
      </c>
      <c r="G7941" s="2"/>
      <c r="H7941" s="2" t="s">
        <v>591</v>
      </c>
      <c r="I7941" s="2" t="s">
        <v>15</v>
      </c>
      <c r="J7941" s="2" t="s">
        <v>2124</v>
      </c>
      <c r="K7941" s="2" t="s">
        <v>10853</v>
      </c>
      <c r="L7941" s="2">
        <f t="shared" si="124"/>
        <v>150</v>
      </c>
    </row>
    <row r="7942" spans="1:12" ht="25" customHeight="1">
      <c r="A7942" s="2" t="s">
        <v>12</v>
      </c>
      <c r="B7942" s="2" t="str">
        <f>HYPERLINK("http://bbs.12365auto.com/postcontent.aspx?tId=194052","加速时发动机舱异响")</f>
        <v>加速时发动机舱异响</v>
      </c>
      <c r="C7942" s="2" t="s">
        <v>13</v>
      </c>
      <c r="D7942" s="2" t="s">
        <v>12</v>
      </c>
      <c r="E7942" s="2" t="s">
        <v>66</v>
      </c>
      <c r="F7942" s="2" t="str">
        <f>HYPERLINK("http://bbs.12365auto.com/postcontent.aspx?tId=194052","http://bbs.12365auto.com/postcontent.aspx?tId=194052")</f>
        <v>http://bbs.12365auto.com/postcontent.aspx?tId=194052</v>
      </c>
      <c r="G7942" s="2"/>
      <c r="H7942" s="2" t="s">
        <v>10854</v>
      </c>
      <c r="I7942" s="2" t="s">
        <v>15</v>
      </c>
      <c r="J7942" s="2" t="s">
        <v>2128</v>
      </c>
      <c r="K7942" s="2" t="s">
        <v>10853</v>
      </c>
      <c r="L7942" s="2">
        <f t="shared" si="124"/>
        <v>150</v>
      </c>
    </row>
    <row r="7943" spans="1:12" ht="25" customHeight="1">
      <c r="A7943" s="2" t="s">
        <v>12</v>
      </c>
      <c r="B7943" s="2" t="str">
        <f>HYPERLINK("http://bbs.12365auto.com/postcontent.aspx?tId=194051","预算只有10万还想要运动？推荐四款高性价比车型")</f>
        <v>预算只有10万还想要运动？推荐四款高性价比车型</v>
      </c>
      <c r="C7943" s="2" t="s">
        <v>13</v>
      </c>
      <c r="D7943" s="2" t="s">
        <v>12</v>
      </c>
      <c r="E7943" s="2" t="s">
        <v>27</v>
      </c>
      <c r="F7943" s="2" t="str">
        <f>HYPERLINK("http://bbs.12365auto.com/postcontent.aspx?tId=194051","http://bbs.12365auto.com/postcontent.aspx?tId=194051")</f>
        <v>http://bbs.12365auto.com/postcontent.aspx?tId=194051</v>
      </c>
      <c r="G7943" s="2"/>
      <c r="H7943" s="2" t="s">
        <v>10855</v>
      </c>
      <c r="I7943" s="2" t="s">
        <v>15</v>
      </c>
      <c r="J7943" s="2" t="s">
        <v>1276</v>
      </c>
      <c r="K7943" s="2" t="s">
        <v>10853</v>
      </c>
      <c r="L7943" s="2">
        <f t="shared" si="124"/>
        <v>150</v>
      </c>
    </row>
    <row r="7944" spans="1:12" ht="25" customHeight="1">
      <c r="A7944" s="2" t="s">
        <v>12</v>
      </c>
      <c r="B7944" s="2" t="str">
        <f>HYPERLINK("http://bbs.12365auto.com/postcontent.aspx?tID=194052","加速时发动机舱异响")</f>
        <v>加速时发动机舱异响</v>
      </c>
      <c r="C7944" s="2" t="s">
        <v>13</v>
      </c>
      <c r="D7944" s="2" t="s">
        <v>12</v>
      </c>
      <c r="E7944" s="2" t="s">
        <v>67</v>
      </c>
      <c r="F7944" s="2" t="str">
        <f>HYPERLINK("http://bbs.12365auto.com/postcontent.aspx?tID=194052","http://bbs.12365auto.com/postcontent.aspx?tID=194052")</f>
        <v>http://bbs.12365auto.com/postcontent.aspx?tID=194052</v>
      </c>
      <c r="G7944" s="2"/>
      <c r="H7944" s="2" t="s">
        <v>10856</v>
      </c>
      <c r="I7944" s="2" t="s">
        <v>15</v>
      </c>
      <c r="J7944" s="2" t="s">
        <v>2128</v>
      </c>
      <c r="K7944" s="2" t="s">
        <v>10853</v>
      </c>
      <c r="L7944" s="2">
        <f t="shared" si="124"/>
        <v>150</v>
      </c>
    </row>
    <row r="7945" spans="1:12" ht="25" customHeight="1">
      <c r="A7945" s="2" t="s">
        <v>12</v>
      </c>
      <c r="B7945" s="2" t="str">
        <f>HYPERLINK("http://bbs.12365auto.com/postcontent.aspx?tID=194053","雷凌异味问题可以解决吗？")</f>
        <v>雷凌异味问题可以解决吗？</v>
      </c>
      <c r="C7945" s="2" t="s">
        <v>13</v>
      </c>
      <c r="D7945" s="2" t="s">
        <v>12</v>
      </c>
      <c r="E7945" s="2" t="s">
        <v>67</v>
      </c>
      <c r="F7945" s="2" t="str">
        <f>HYPERLINK("http://bbs.12365auto.com/postcontent.aspx?tID=194053","http://bbs.12365auto.com/postcontent.aspx?tID=194053")</f>
        <v>http://bbs.12365auto.com/postcontent.aspx?tID=194053</v>
      </c>
      <c r="G7945" s="2"/>
      <c r="H7945" s="2" t="s">
        <v>10857</v>
      </c>
      <c r="I7945" s="2" t="s">
        <v>15</v>
      </c>
      <c r="J7945" s="2" t="s">
        <v>2124</v>
      </c>
      <c r="K7945" s="2" t="s">
        <v>10853</v>
      </c>
      <c r="L7945" s="2">
        <f t="shared" si="124"/>
        <v>150</v>
      </c>
    </row>
    <row r="7946" spans="1:12" ht="25" customHeight="1">
      <c r="A7946" s="2" t="s">
        <v>12</v>
      </c>
      <c r="B7946" s="2" t="str">
        <f>HYPERLINK("http://bbs.12365auto.com/postcontent.aspx?tID=194051","预算只有10万还想要运动？推荐四款高性价比车型")</f>
        <v>预算只有10万还想要运动？推荐四款高性价比车型</v>
      </c>
      <c r="C7946" s="2" t="s">
        <v>13</v>
      </c>
      <c r="D7946" s="2" t="s">
        <v>12</v>
      </c>
      <c r="E7946" s="2" t="s">
        <v>28</v>
      </c>
      <c r="F7946" s="2" t="str">
        <f>HYPERLINK("http://bbs.12365auto.com/postcontent.aspx?tID=194051","http://bbs.12365auto.com/postcontent.aspx?tID=194051")</f>
        <v>http://bbs.12365auto.com/postcontent.aspx?tID=194051</v>
      </c>
      <c r="G7946" s="2"/>
      <c r="H7946" s="2" t="s">
        <v>10858</v>
      </c>
      <c r="I7946" s="2" t="s">
        <v>15</v>
      </c>
      <c r="J7946" s="2" t="s">
        <v>1276</v>
      </c>
      <c r="K7946" s="2" t="s">
        <v>10853</v>
      </c>
      <c r="L7946" s="2">
        <f t="shared" si="124"/>
        <v>150</v>
      </c>
    </row>
    <row r="7947" spans="1:12" ht="25" customHeight="1">
      <c r="A7947" s="2" t="s">
        <v>12</v>
      </c>
      <c r="B7947" s="2" t="str">
        <f>HYPERLINK("http://bbs.12365auto.com/postcontent.aspx?tId=194050","十万级SUV就选这四款 性价比高之余还显有品位")</f>
        <v>十万级SUV就选这四款 性价比高之余还显有品位</v>
      </c>
      <c r="C7947" s="2" t="s">
        <v>13</v>
      </c>
      <c r="D7947" s="2" t="s">
        <v>12</v>
      </c>
      <c r="E7947" s="2" t="s">
        <v>27</v>
      </c>
      <c r="F7947" s="2" t="str">
        <f>HYPERLINK("http://bbs.12365auto.com/postcontent.aspx?tId=194050","http://bbs.12365auto.com/postcontent.aspx?tId=194050")</f>
        <v>http://bbs.12365auto.com/postcontent.aspx?tId=194050</v>
      </c>
      <c r="G7947" s="2"/>
      <c r="H7947" s="2" t="s">
        <v>10859</v>
      </c>
      <c r="I7947" s="2" t="s">
        <v>15</v>
      </c>
      <c r="J7947" s="2" t="s">
        <v>1276</v>
      </c>
      <c r="K7947" s="2" t="s">
        <v>10860</v>
      </c>
      <c r="L7947" s="2">
        <f t="shared" si="124"/>
        <v>150</v>
      </c>
    </row>
    <row r="7948" spans="1:12" ht="25" customHeight="1">
      <c r="A7948" s="2" t="s">
        <v>12</v>
      </c>
      <c r="B7948" s="2" t="str">
        <f>HYPERLINK("http://www.12365auto.com/xcdg/20200214/418496.shtml","NEDC续航或将401km 宝沃全新BXi5谍照曝光")</f>
        <v>NEDC续航或将401km 宝沃全新BXi5谍照曝光</v>
      </c>
      <c r="C7948" s="2" t="s">
        <v>13</v>
      </c>
      <c r="D7948" s="2" t="s">
        <v>12</v>
      </c>
      <c r="E7948" s="2" t="s">
        <v>224</v>
      </c>
      <c r="F7948" s="2" t="str">
        <f>HYPERLINK("http://www.12365auto.com/xcdg/20200214/418496.shtml","http://www.12365auto.com/xcdg/20200214/418496.shtml")</f>
        <v>http://www.12365auto.com/xcdg/20200214/418496.shtml</v>
      </c>
      <c r="G7948" s="2"/>
      <c r="H7948" s="2" t="s">
        <v>10861</v>
      </c>
      <c r="I7948" s="2" t="s">
        <v>15</v>
      </c>
      <c r="J7948" s="2" t="s">
        <v>12</v>
      </c>
      <c r="K7948" s="2" t="s">
        <v>10860</v>
      </c>
      <c r="L7948" s="2">
        <f t="shared" si="124"/>
        <v>150</v>
      </c>
    </row>
    <row r="7949" spans="1:12" ht="25" customHeight="1">
      <c r="A7949" s="2" t="s">
        <v>12</v>
      </c>
      <c r="B7949" s="2" t="str">
        <f>HYPERLINK("http://m.12365auto.com/xcdg/20200214/418496.shtml","NEDC续航或将401km 宝沃全新BXi5谍照曝光")</f>
        <v>NEDC续航或将401km 宝沃全新BXi5谍照曝光</v>
      </c>
      <c r="C7949" s="2" t="s">
        <v>13</v>
      </c>
      <c r="D7949" s="2" t="s">
        <v>12</v>
      </c>
      <c r="E7949" s="2"/>
      <c r="F7949" s="2" t="str">
        <f>HYPERLINK("http://m.12365auto.com/xcdg/20200214/418496.shtml","http://m.12365auto.com/xcdg/20200214/418496.shtml")</f>
        <v>http://m.12365auto.com/xcdg/20200214/418496.shtml</v>
      </c>
      <c r="G7949" s="2"/>
      <c r="H7949" s="2" t="s">
        <v>10862</v>
      </c>
      <c r="I7949" s="2" t="s">
        <v>19</v>
      </c>
      <c r="J7949" s="2" t="s">
        <v>371</v>
      </c>
      <c r="K7949" s="2" t="s">
        <v>10860</v>
      </c>
      <c r="L7949" s="2">
        <f t="shared" si="124"/>
        <v>150</v>
      </c>
    </row>
    <row r="7950" spans="1:12" ht="25" customHeight="1">
      <c r="A7950" s="2" t="s">
        <v>12</v>
      </c>
      <c r="B7950" s="2" t="str">
        <f>HYPERLINK("http://bbs.12365auto.com/postcontent.aspx?tID=194050","十万级SUV就选这四款 性价比高之余还显有品位")</f>
        <v>十万级SUV就选这四款 性价比高之余还显有品位</v>
      </c>
      <c r="C7950" s="2" t="s">
        <v>13</v>
      </c>
      <c r="D7950" s="2" t="s">
        <v>12</v>
      </c>
      <c r="E7950" s="2" t="s">
        <v>28</v>
      </c>
      <c r="F7950" s="2" t="str">
        <f>HYPERLINK("http://bbs.12365auto.com/postcontent.aspx?tID=194050","http://bbs.12365auto.com/postcontent.aspx?tID=194050")</f>
        <v>http://bbs.12365auto.com/postcontent.aspx?tID=194050</v>
      </c>
      <c r="G7950" s="2"/>
      <c r="H7950" s="2" t="s">
        <v>10863</v>
      </c>
      <c r="I7950" s="2" t="s">
        <v>15</v>
      </c>
      <c r="J7950" s="2" t="s">
        <v>1276</v>
      </c>
      <c r="K7950" s="2" t="s">
        <v>10860</v>
      </c>
      <c r="L7950" s="2">
        <f t="shared" si="124"/>
        <v>150</v>
      </c>
    </row>
    <row r="7951" spans="1:12" ht="25" customHeight="1">
      <c r="A7951" s="2" t="s">
        <v>12</v>
      </c>
      <c r="B7951" s="2" t="str">
        <f>HYPERLINK("http://www.12365auto.com/zlts/20200214/447158.shtml","东风本田CR-V发动机机油增多要求延保")</f>
        <v>东风本田CR-V发动机机油增多要求延保</v>
      </c>
      <c r="C7951" s="2" t="s">
        <v>13</v>
      </c>
      <c r="D7951" s="2" t="s">
        <v>12</v>
      </c>
      <c r="E7951" s="2" t="s">
        <v>17</v>
      </c>
      <c r="F7951" s="2" t="str">
        <f>HYPERLINK("http://www.12365auto.com/zlts/20200214/447158.shtml","http://www.12365auto.com/zlts/20200214/447158.shtml")</f>
        <v>http://www.12365auto.com/zlts/20200214/447158.shtml</v>
      </c>
      <c r="G7951" s="2"/>
      <c r="H7951" s="2" t="s">
        <v>10864</v>
      </c>
      <c r="I7951" s="2" t="s">
        <v>15</v>
      </c>
      <c r="J7951" s="2" t="s">
        <v>12</v>
      </c>
      <c r="K7951" s="2" t="s">
        <v>10865</v>
      </c>
      <c r="L7951" s="2">
        <f t="shared" si="124"/>
        <v>150</v>
      </c>
    </row>
    <row r="7952" spans="1:12" ht="25" customHeight="1">
      <c r="A7952" s="2" t="s">
        <v>12</v>
      </c>
      <c r="B7952" s="2" t="str">
        <f>HYPERLINK("http://m.12365auto.com/zjdy/20200213/121247.shtml","奥迪S3换完绞牙避震之后有异响怎么办？")</f>
        <v>奥迪S3换完绞牙避震之后有异响怎么办？</v>
      </c>
      <c r="C7952" s="2" t="s">
        <v>13</v>
      </c>
      <c r="D7952" s="2" t="s">
        <v>12</v>
      </c>
      <c r="E7952" s="2"/>
      <c r="F7952" s="2" t="str">
        <f>HYPERLINK("http://m.12365auto.com/zjdy/20200213/121247.shtml","http://m.12365auto.com/zjdy/20200213/121247.shtml")</f>
        <v>http://m.12365auto.com/zjdy/20200213/121247.shtml</v>
      </c>
      <c r="G7952" s="2"/>
      <c r="H7952" s="2" t="s">
        <v>10866</v>
      </c>
      <c r="I7952" s="2" t="s">
        <v>19</v>
      </c>
      <c r="J7952" s="2" t="s">
        <v>12</v>
      </c>
      <c r="K7952" s="2" t="s">
        <v>10867</v>
      </c>
      <c r="L7952" s="2">
        <f t="shared" si="124"/>
        <v>23</v>
      </c>
    </row>
    <row r="7953" spans="1:12" ht="25" customHeight="1">
      <c r="A7953" s="2" t="s">
        <v>12</v>
      </c>
      <c r="B7953" s="2" t="str">
        <f>HYPERLINK("http://m.12365auto.com/zjdy/20200213/121248.shtml","东风日产劲客整体的性价比及质量如何？")</f>
        <v>东风日产劲客整体的性价比及质量如何？</v>
      </c>
      <c r="C7953" s="2" t="s">
        <v>13</v>
      </c>
      <c r="D7953" s="2" t="s">
        <v>12</v>
      </c>
      <c r="E7953" s="2"/>
      <c r="F7953" s="2" t="str">
        <f>HYPERLINK("http://m.12365auto.com/zjdy/20200213/121248.shtml","http://m.12365auto.com/zjdy/20200213/121248.shtml")</f>
        <v>http://m.12365auto.com/zjdy/20200213/121248.shtml</v>
      </c>
      <c r="G7953" s="2"/>
      <c r="H7953" s="2" t="s">
        <v>10868</v>
      </c>
      <c r="I7953" s="2" t="s">
        <v>19</v>
      </c>
      <c r="J7953" s="2" t="s">
        <v>12</v>
      </c>
      <c r="K7953" s="2" t="s">
        <v>10869</v>
      </c>
      <c r="L7953" s="2">
        <f t="shared" si="124"/>
        <v>18</v>
      </c>
    </row>
    <row r="7954" spans="1:12" ht="25" customHeight="1">
      <c r="A7954" s="2" t="s">
        <v>12</v>
      </c>
      <c r="B7954" s="2" t="str">
        <f>HYPERLINK("http://m.12365auto.com/zjdy/20200213/121249.shtml","广汽传祺GS3机油乳化是什么原因？")</f>
        <v>广汽传祺GS3机油乳化是什么原因？</v>
      </c>
      <c r="C7954" s="2" t="s">
        <v>13</v>
      </c>
      <c r="D7954" s="2" t="s">
        <v>12</v>
      </c>
      <c r="E7954" s="2"/>
      <c r="F7954" s="2" t="str">
        <f>HYPERLINK("http://m.12365auto.com/zjdy/20200213/121249.shtml","http://m.12365auto.com/zjdy/20200213/121249.shtml")</f>
        <v>http://m.12365auto.com/zjdy/20200213/121249.shtml</v>
      </c>
      <c r="G7954" s="2"/>
      <c r="H7954" s="2" t="s">
        <v>10870</v>
      </c>
      <c r="I7954" s="2" t="s">
        <v>19</v>
      </c>
      <c r="J7954" s="2" t="s">
        <v>12</v>
      </c>
      <c r="K7954" s="2" t="s">
        <v>10871</v>
      </c>
      <c r="L7954" s="2">
        <f t="shared" si="124"/>
        <v>88</v>
      </c>
    </row>
    <row r="7955" spans="1:12" ht="25" customHeight="1">
      <c r="A7955" s="2" t="s">
        <v>12</v>
      </c>
      <c r="B7955" s="2" t="str">
        <f>HYPERLINK("http://m.12365auto.com/zjdy/20200213/121246.shtml","奇瑞和长城的双离合变速箱哪款更稳定？")</f>
        <v>奇瑞和长城的双离合变速箱哪款更稳定？</v>
      </c>
      <c r="C7955" s="2" t="s">
        <v>13</v>
      </c>
      <c r="D7955" s="2" t="s">
        <v>12</v>
      </c>
      <c r="E7955" s="2"/>
      <c r="F7955" s="2" t="str">
        <f>HYPERLINK("http://m.12365auto.com/zjdy/20200213/121246.shtml","http://m.12365auto.com/zjdy/20200213/121246.shtml")</f>
        <v>http://m.12365auto.com/zjdy/20200213/121246.shtml</v>
      </c>
      <c r="G7955" s="2"/>
      <c r="H7955" s="2" t="s">
        <v>10872</v>
      </c>
      <c r="I7955" s="2" t="s">
        <v>19</v>
      </c>
      <c r="J7955" s="2" t="s">
        <v>12</v>
      </c>
      <c r="K7955" s="2" t="s">
        <v>10871</v>
      </c>
      <c r="L7955" s="2">
        <f t="shared" si="124"/>
        <v>23</v>
      </c>
    </row>
    <row r="7956" spans="1:12" ht="25" customHeight="1">
      <c r="A7956" s="2" t="s">
        <v>12</v>
      </c>
      <c r="B7956" s="2" t="str">
        <f>HYPERLINK("http://m.12365auto.com/zjdy/20200213/121245.shtml","宝马1系三缸发动机的质量到底怎么样？")</f>
        <v>宝马1系三缸发动机的质量到底怎么样？</v>
      </c>
      <c r="C7956" s="2" t="s">
        <v>13</v>
      </c>
      <c r="D7956" s="2" t="s">
        <v>12</v>
      </c>
      <c r="E7956" s="2"/>
      <c r="F7956" s="2" t="str">
        <f>HYPERLINK("http://m.12365auto.com/zjdy/20200213/121245.shtml","http://m.12365auto.com/zjdy/20200213/121245.shtml")</f>
        <v>http://m.12365auto.com/zjdy/20200213/121245.shtml</v>
      </c>
      <c r="G7956" s="2"/>
      <c r="H7956" s="2" t="s">
        <v>10873</v>
      </c>
      <c r="I7956" s="2" t="s">
        <v>19</v>
      </c>
      <c r="J7956" s="2" t="s">
        <v>12</v>
      </c>
      <c r="K7956" s="2" t="s">
        <v>10874</v>
      </c>
      <c r="L7956" s="2">
        <f t="shared" si="124"/>
        <v>115</v>
      </c>
    </row>
    <row r="7957" spans="1:12" ht="25" customHeight="1">
      <c r="A7957" s="2" t="s">
        <v>12</v>
      </c>
      <c r="B7957" s="2" t="str">
        <f>HYPERLINK("http://m.12365auto.com/zjdy/20200213/121243.shtml","丰田致炫吉利帝豪GS这两款车怎么选择？")</f>
        <v>丰田致炫吉利帝豪GS这两款车怎么选择？</v>
      </c>
      <c r="C7957" s="2" t="s">
        <v>13</v>
      </c>
      <c r="D7957" s="2" t="s">
        <v>12</v>
      </c>
      <c r="E7957" s="2"/>
      <c r="F7957" s="2" t="str">
        <f>HYPERLINK("http://m.12365auto.com/zjdy/20200213/121243.shtml","http://m.12365auto.com/zjdy/20200213/121243.shtml")</f>
        <v>http://m.12365auto.com/zjdy/20200213/121243.shtml</v>
      </c>
      <c r="G7957" s="2"/>
      <c r="H7957" s="2" t="s">
        <v>10875</v>
      </c>
      <c r="I7957" s="2" t="s">
        <v>19</v>
      </c>
      <c r="J7957" s="2" t="s">
        <v>12</v>
      </c>
      <c r="K7957" s="2" t="s">
        <v>10876</v>
      </c>
      <c r="L7957" s="2">
        <f t="shared" si="124"/>
        <v>52</v>
      </c>
    </row>
    <row r="7958" spans="1:12" ht="25" customHeight="1">
      <c r="A7958" s="2" t="s">
        <v>12</v>
      </c>
      <c r="B7958" s="2" t="str">
        <f>HYPERLINK("http://m.12365auto.com/zjdy/20200213/121251.shtml","猎豹CS10天窗异响还可以免费更换吗？")</f>
        <v>猎豹CS10天窗异响还可以免费更换吗？</v>
      </c>
      <c r="C7958" s="2" t="s">
        <v>13</v>
      </c>
      <c r="D7958" s="2" t="s">
        <v>12</v>
      </c>
      <c r="E7958" s="2"/>
      <c r="F7958" s="2" t="str">
        <f>HYPERLINK("http://m.12365auto.com/zjdy/20200213/121251.shtml","http://m.12365auto.com/zjdy/20200213/121251.shtml")</f>
        <v>http://m.12365auto.com/zjdy/20200213/121251.shtml</v>
      </c>
      <c r="G7958" s="2"/>
      <c r="H7958" s="2" t="s">
        <v>10877</v>
      </c>
      <c r="I7958" s="2" t="s">
        <v>19</v>
      </c>
      <c r="J7958" s="2" t="s">
        <v>12</v>
      </c>
      <c r="K7958" s="2" t="s">
        <v>10878</v>
      </c>
      <c r="L7958" s="2">
        <f t="shared" si="124"/>
        <v>34</v>
      </c>
    </row>
    <row r="7959" spans="1:12" ht="25" customHeight="1">
      <c r="A7959" s="2" t="s">
        <v>12</v>
      </c>
      <c r="B7959" s="2" t="str">
        <f>HYPERLINK("http://m.12365auto.com/zjdy/20200213/121250.shtml","购买新车玻璃的生产时间不同正常吗？")</f>
        <v>购买新车玻璃的生产时间不同正常吗？</v>
      </c>
      <c r="C7959" s="2" t="s">
        <v>13</v>
      </c>
      <c r="D7959" s="2" t="s">
        <v>12</v>
      </c>
      <c r="E7959" s="2"/>
      <c r="F7959" s="2" t="str">
        <f>HYPERLINK("http://m.12365auto.com/zjdy/20200213/121250.shtml","http://m.12365auto.com/zjdy/20200213/121250.shtml")</f>
        <v>http://m.12365auto.com/zjdy/20200213/121250.shtml</v>
      </c>
      <c r="G7959" s="2"/>
      <c r="H7959" s="2" t="s">
        <v>10879</v>
      </c>
      <c r="I7959" s="2" t="s">
        <v>19</v>
      </c>
      <c r="J7959" s="2" t="s">
        <v>12</v>
      </c>
      <c r="K7959" s="2" t="s">
        <v>10878</v>
      </c>
      <c r="L7959" s="2">
        <f t="shared" si="124"/>
        <v>21</v>
      </c>
    </row>
    <row r="7960" spans="1:12" ht="25" customHeight="1">
      <c r="A7960" s="2" t="s">
        <v>12</v>
      </c>
      <c r="B7960" s="2" t="str">
        <f>HYPERLINK("http://m.12365auto.com/zjdy/20200214/121252.shtml","比亚迪秦和长安逸动哪款值得购买？")</f>
        <v>比亚迪秦和长安逸动哪款值得购买？</v>
      </c>
      <c r="C7960" s="2" t="s">
        <v>13</v>
      </c>
      <c r="D7960" s="2" t="s">
        <v>12</v>
      </c>
      <c r="E7960" s="2"/>
      <c r="F7960" s="2" t="str">
        <f>HYPERLINK("http://m.12365auto.com/zjdy/20200214/121252.shtml","http://m.12365auto.com/zjdy/20200214/121252.shtml")</f>
        <v>http://m.12365auto.com/zjdy/20200214/121252.shtml</v>
      </c>
      <c r="G7960" s="2"/>
      <c r="H7960" s="2" t="s">
        <v>10880</v>
      </c>
      <c r="I7960" s="2" t="s">
        <v>19</v>
      </c>
      <c r="J7960" s="2" t="s">
        <v>12</v>
      </c>
      <c r="K7960" s="2" t="s">
        <v>10881</v>
      </c>
      <c r="L7960" s="2">
        <f t="shared" si="124"/>
        <v>50</v>
      </c>
    </row>
    <row r="7961" spans="1:12" ht="25" customHeight="1">
      <c r="A7961" s="2" t="s">
        <v>12</v>
      </c>
      <c r="B7961" s="2" t="str">
        <f>HYPERLINK("http://m.12365auto.com/zjdy/20200214/121253.shtml","江铃新能源E200无法启动是什么原因？")</f>
        <v>江铃新能源E200无法启动是什么原因？</v>
      </c>
      <c r="C7961" s="2" t="s">
        <v>13</v>
      </c>
      <c r="D7961" s="2" t="s">
        <v>12</v>
      </c>
      <c r="E7961" s="2"/>
      <c r="F7961" s="2" t="str">
        <f>HYPERLINK("http://m.12365auto.com/zjdy/20200214/121253.shtml","http://m.12365auto.com/zjdy/20200214/121253.shtml")</f>
        <v>http://m.12365auto.com/zjdy/20200214/121253.shtml</v>
      </c>
      <c r="G7961" s="2"/>
      <c r="H7961" s="2" t="s">
        <v>10882</v>
      </c>
      <c r="I7961" s="2" t="s">
        <v>19</v>
      </c>
      <c r="J7961" s="2" t="s">
        <v>12</v>
      </c>
      <c r="K7961" s="2" t="s">
        <v>10883</v>
      </c>
      <c r="L7961" s="2">
        <f t="shared" si="124"/>
        <v>127</v>
      </c>
    </row>
    <row r="7962" spans="1:12" ht="25" customHeight="1">
      <c r="A7962" s="2" t="s">
        <v>12</v>
      </c>
      <c r="B7962" s="2" t="str">
        <f>HYPERLINK("http://m.12365auto.com/xcdg/20200214/418497.shtml","与Rivian联手 全新林肯纯电动SUV渲染图曝光")</f>
        <v>与Rivian联手 全新林肯纯电动SUV渲染图曝光</v>
      </c>
      <c r="C7962" s="2" t="s">
        <v>13</v>
      </c>
      <c r="D7962" s="2" t="s">
        <v>12</v>
      </c>
      <c r="E7962" s="2"/>
      <c r="F7962" s="2" t="str">
        <f>HYPERLINK("http://m.12365auto.com/xcdg/20200214/418497.shtml","http://m.12365auto.com/xcdg/20200214/418497.shtml")</f>
        <v>http://m.12365auto.com/xcdg/20200214/418497.shtml</v>
      </c>
      <c r="G7962" s="2"/>
      <c r="H7962" s="2" t="s">
        <v>10884</v>
      </c>
      <c r="I7962" s="2" t="s">
        <v>19</v>
      </c>
      <c r="J7962" s="2" t="s">
        <v>1305</v>
      </c>
      <c r="K7962" s="2" t="s">
        <v>10885</v>
      </c>
      <c r="L7962" s="2">
        <f t="shared" si="124"/>
        <v>150</v>
      </c>
    </row>
    <row r="7963" spans="1:12" ht="25" customHeight="1">
      <c r="A7963" s="2" t="s">
        <v>12</v>
      </c>
      <c r="B7963" s="2" t="str">
        <f>HYPERLINK("http://www.12365auto.com/xcdg/20200214/418497.shtml","与Rivian联手 全新林肯纯电动SUV渲染图曝光")</f>
        <v>与Rivian联手 全新林肯纯电动SUV渲染图曝光</v>
      </c>
      <c r="C7963" s="2" t="s">
        <v>13</v>
      </c>
      <c r="D7963" s="2" t="s">
        <v>12</v>
      </c>
      <c r="E7963" s="2" t="s">
        <v>216</v>
      </c>
      <c r="F7963" s="2" t="str">
        <f>HYPERLINK("http://www.12365auto.com/xcdg/20200214/418497.shtml","http://www.12365auto.com/xcdg/20200214/418497.shtml")</f>
        <v>http://www.12365auto.com/xcdg/20200214/418497.shtml</v>
      </c>
      <c r="G7963" s="2"/>
      <c r="H7963" s="2" t="s">
        <v>10886</v>
      </c>
      <c r="I7963" s="2" t="s">
        <v>15</v>
      </c>
      <c r="J7963" s="2" t="s">
        <v>12</v>
      </c>
      <c r="K7963" s="2" t="s">
        <v>10885</v>
      </c>
      <c r="L7963" s="2">
        <f t="shared" si="124"/>
        <v>150</v>
      </c>
    </row>
    <row r="7964" spans="1:12" ht="25" customHeight="1">
      <c r="A7964" s="2" t="s">
        <v>12</v>
      </c>
      <c r="B7964" s="2" t="str">
        <f>HYPERLINK("http://m.12365auto.com/xcdg/20200214/418494.shtml","续航超500km 四款自主品牌热销纯电轿车推荐")</f>
        <v>续航超500km 四款自主品牌热销纯电轿车推荐</v>
      </c>
      <c r="C7964" s="2" t="s">
        <v>13</v>
      </c>
      <c r="D7964" s="2" t="s">
        <v>12</v>
      </c>
      <c r="E7964" s="2"/>
      <c r="F7964" s="2" t="str">
        <f>HYPERLINK("http://m.12365auto.com/xcdg/20200214/418494.shtml","http://m.12365auto.com/xcdg/20200214/418494.shtml")</f>
        <v>http://m.12365auto.com/xcdg/20200214/418494.shtml</v>
      </c>
      <c r="G7964" s="2"/>
      <c r="H7964" s="2" t="s">
        <v>10887</v>
      </c>
      <c r="I7964" s="2" t="s">
        <v>19</v>
      </c>
      <c r="J7964" s="2" t="s">
        <v>1230</v>
      </c>
      <c r="K7964" s="2" t="s">
        <v>10888</v>
      </c>
      <c r="L7964" s="2">
        <f t="shared" si="124"/>
        <v>150</v>
      </c>
    </row>
    <row r="7965" spans="1:12" ht="25" customHeight="1">
      <c r="A7965" s="2" t="s">
        <v>12</v>
      </c>
      <c r="B7965" s="2" t="str">
        <f>HYPERLINK("http://m.12365auto.com/xcdg/20200214/418495.shtml","完美演绎运动基因 新款捷豹F-TYPE新车图解")</f>
        <v>完美演绎运动基因 新款捷豹F-TYPE新车图解</v>
      </c>
      <c r="C7965" s="2" t="s">
        <v>13</v>
      </c>
      <c r="D7965" s="2" t="s">
        <v>12</v>
      </c>
      <c r="E7965" s="2"/>
      <c r="F7965" s="2" t="str">
        <f>HYPERLINK("http://m.12365auto.com/xcdg/20200214/418495.shtml","http://m.12365auto.com/xcdg/20200214/418495.shtml")</f>
        <v>http://m.12365auto.com/xcdg/20200214/418495.shtml</v>
      </c>
      <c r="G7965" s="2"/>
      <c r="H7965" s="2" t="s">
        <v>10889</v>
      </c>
      <c r="I7965" s="2" t="s">
        <v>19</v>
      </c>
      <c r="J7965" s="2" t="s">
        <v>1250</v>
      </c>
      <c r="K7965" s="2" t="s">
        <v>10888</v>
      </c>
      <c r="L7965" s="2">
        <f t="shared" si="124"/>
        <v>150</v>
      </c>
    </row>
    <row r="7966" spans="1:12" ht="25" customHeight="1">
      <c r="A7966" s="2" t="s">
        <v>12</v>
      </c>
      <c r="B7966" s="2" t="str">
        <f>HYPERLINK("http://www.12365auto.com/xcdg/20200214/418495.shtml","完美演绎运动基因 新款捷豹F-TYPE新车图解")</f>
        <v>完美演绎运动基因 新款捷豹F-TYPE新车图解</v>
      </c>
      <c r="C7966" s="2" t="s">
        <v>13</v>
      </c>
      <c r="D7966" s="2" t="s">
        <v>12</v>
      </c>
      <c r="E7966" s="2" t="s">
        <v>216</v>
      </c>
      <c r="F7966" s="2" t="str">
        <f>HYPERLINK("http://www.12365auto.com/xcdg/20200214/418495.shtml","http://www.12365auto.com/xcdg/20200214/418495.shtml")</f>
        <v>http://www.12365auto.com/xcdg/20200214/418495.shtml</v>
      </c>
      <c r="G7966" s="2"/>
      <c r="H7966" s="2" t="s">
        <v>10890</v>
      </c>
      <c r="I7966" s="2" t="s">
        <v>15</v>
      </c>
      <c r="J7966" s="2" t="s">
        <v>12</v>
      </c>
      <c r="K7966" s="2" t="s">
        <v>10888</v>
      </c>
      <c r="L7966" s="2">
        <f t="shared" si="124"/>
        <v>150</v>
      </c>
    </row>
    <row r="7967" spans="1:12" ht="25" customHeight="1">
      <c r="A7967" s="2" t="s">
        <v>12</v>
      </c>
      <c r="B7967" s="2" t="str">
        <f>HYPERLINK("http://www.12365auto.com/zlts/20200214/447156.shtml","车身异响")</f>
        <v>车身异响</v>
      </c>
      <c r="C7967" s="2" t="s">
        <v>13</v>
      </c>
      <c r="D7967" s="2" t="s">
        <v>12</v>
      </c>
      <c r="E7967" s="2"/>
      <c r="F7967" s="2" t="str">
        <f>HYPERLINK("http://www.12365auto.com/zlts/20200214/447156.shtml","http://www.12365auto.com/zlts/20200214/447156.shtml")</f>
        <v>http://www.12365auto.com/zlts/20200214/447156.shtml</v>
      </c>
      <c r="G7967" s="2"/>
      <c r="H7967" s="2" t="s">
        <v>10892</v>
      </c>
      <c r="I7967" s="2" t="s">
        <v>15</v>
      </c>
      <c r="J7967" s="2" t="s">
        <v>12</v>
      </c>
      <c r="K7967" s="2" t="s">
        <v>10891</v>
      </c>
      <c r="L7967" s="2">
        <f t="shared" si="124"/>
        <v>90</v>
      </c>
    </row>
    <row r="7968" spans="1:12" ht="25" customHeight="1">
      <c r="A7968" s="2" t="s">
        <v>12</v>
      </c>
      <c r="B7968" s="2" t="str">
        <f>HYPERLINK("http://www.12365auto.com/zlts/20200214/447155.shtml","上汽名爵6发生事故后安全气囊未弹出")</f>
        <v>上汽名爵6发生事故后安全气囊未弹出</v>
      </c>
      <c r="C7968" s="2" t="s">
        <v>13</v>
      </c>
      <c r="D7968" s="2" t="s">
        <v>12</v>
      </c>
      <c r="E7968" s="2" t="s">
        <v>17</v>
      </c>
      <c r="F7968" s="2" t="str">
        <f>HYPERLINK("http://www.12365auto.com/zlts/20200214/447155.shtml","http://www.12365auto.com/zlts/20200214/447155.shtml")</f>
        <v>http://www.12365auto.com/zlts/20200214/447155.shtml</v>
      </c>
      <c r="G7968" s="2"/>
      <c r="H7968" s="2" t="s">
        <v>10893</v>
      </c>
      <c r="I7968" s="2" t="s">
        <v>19</v>
      </c>
      <c r="J7968" s="2" t="s">
        <v>12</v>
      </c>
      <c r="K7968" s="2" t="s">
        <v>10894</v>
      </c>
      <c r="L7968" s="2">
        <f t="shared" si="124"/>
        <v>150</v>
      </c>
    </row>
    <row r="7969" spans="1:12" ht="25" customHeight="1">
      <c r="A7969" s="2" t="s">
        <v>12</v>
      </c>
      <c r="B7969" s="2" t="str">
        <f>HYPERLINK("http://www.12365auto.com/zlts/20200214/447154.shtml","后避震漏油")</f>
        <v>后避震漏油</v>
      </c>
      <c r="C7969" s="2" t="s">
        <v>13</v>
      </c>
      <c r="D7969" s="2" t="s">
        <v>12</v>
      </c>
      <c r="E7969" s="2"/>
      <c r="F7969" s="2" t="str">
        <f>HYPERLINK("http://www.12365auto.com/zlts/20200214/447154.shtml","http://www.12365auto.com/zlts/20200214/447154.shtml")</f>
        <v>http://www.12365auto.com/zlts/20200214/447154.shtml</v>
      </c>
      <c r="G7969" s="2"/>
      <c r="H7969" s="2" t="s">
        <v>10896</v>
      </c>
      <c r="I7969" s="2" t="s">
        <v>15</v>
      </c>
      <c r="J7969" s="2" t="s">
        <v>12</v>
      </c>
      <c r="K7969" s="2" t="s">
        <v>10895</v>
      </c>
      <c r="L7969" s="2">
        <f t="shared" si="124"/>
        <v>84</v>
      </c>
    </row>
    <row r="7970" spans="1:12" ht="25" customHeight="1">
      <c r="A7970" s="2" t="s">
        <v>12</v>
      </c>
      <c r="B7970" s="2" t="str">
        <f>HYPERLINK("http://www.12365auto.com/zlts/20200213/447152.shtml","发动机油封漏油")</f>
        <v>发动机油封漏油</v>
      </c>
      <c r="C7970" s="2" t="s">
        <v>13</v>
      </c>
      <c r="D7970" s="2" t="s">
        <v>12</v>
      </c>
      <c r="E7970" s="2"/>
      <c r="F7970" s="2" t="str">
        <f>HYPERLINK("http://www.12365auto.com/zlts/20200213/447152.shtml","http://www.12365auto.com/zlts/20200213/447152.shtml")</f>
        <v>http://www.12365auto.com/zlts/20200213/447152.shtml</v>
      </c>
      <c r="G7970" s="2"/>
      <c r="H7970" s="2" t="s">
        <v>10898</v>
      </c>
      <c r="I7970" s="2" t="s">
        <v>15</v>
      </c>
      <c r="J7970" s="2" t="s">
        <v>12</v>
      </c>
      <c r="K7970" s="2" t="s">
        <v>10897</v>
      </c>
      <c r="L7970" s="2">
        <f t="shared" si="124"/>
        <v>84</v>
      </c>
    </row>
    <row r="7971" spans="1:12" ht="25" customHeight="1">
      <c r="A7971" s="2" t="s">
        <v>12</v>
      </c>
      <c r="B7971" s="2" t="str">
        <f>HYPERLINK("http://www.12365auto.com/zlts/20200213/447151.shtml","江淮瑞风S3驾驶位玻璃升降器开关总成损坏")</f>
        <v>江淮瑞风S3驾驶位玻璃升降器开关总成损坏</v>
      </c>
      <c r="C7971" s="2" t="s">
        <v>13</v>
      </c>
      <c r="D7971" s="2" t="s">
        <v>12</v>
      </c>
      <c r="E7971" s="2" t="s">
        <v>17</v>
      </c>
      <c r="F7971" s="2" t="str">
        <f>HYPERLINK("http://www.12365auto.com/zlts/20200213/447151.shtml","http://www.12365auto.com/zlts/20200213/447151.shtml")</f>
        <v>http://www.12365auto.com/zlts/20200213/447151.shtml</v>
      </c>
      <c r="G7971" s="2"/>
      <c r="H7971" s="2" t="s">
        <v>10899</v>
      </c>
      <c r="I7971" s="2" t="s">
        <v>19</v>
      </c>
      <c r="J7971" s="2" t="s">
        <v>12</v>
      </c>
      <c r="K7971" s="2" t="s">
        <v>10900</v>
      </c>
      <c r="L7971" s="2">
        <f t="shared" si="124"/>
        <v>150</v>
      </c>
    </row>
    <row r="7972" spans="1:12" ht="25" customHeight="1">
      <c r="A7972" s="2" t="s">
        <v>12</v>
      </c>
      <c r="B7972" s="2" t="str">
        <f>HYPERLINK("http://www.12365auto.com/zlts/20200213/447150.shtml","比亚迪F0中低速行驶时动力中断挂挡无反应")</f>
        <v>比亚迪F0中低速行驶时动力中断挂挡无反应</v>
      </c>
      <c r="C7972" s="2" t="s">
        <v>13</v>
      </c>
      <c r="D7972" s="2" t="s">
        <v>12</v>
      </c>
      <c r="E7972" s="2" t="s">
        <v>17</v>
      </c>
      <c r="F7972" s="2" t="str">
        <f>HYPERLINK("http://www.12365auto.com/zlts/20200213/447150.shtml","http://www.12365auto.com/zlts/20200213/447150.shtml")</f>
        <v>http://www.12365auto.com/zlts/20200213/447150.shtml</v>
      </c>
      <c r="G7972" s="2"/>
      <c r="H7972" s="2" t="s">
        <v>10901</v>
      </c>
      <c r="I7972" s="2" t="s">
        <v>19</v>
      </c>
      <c r="J7972" s="2" t="s">
        <v>12</v>
      </c>
      <c r="K7972" s="2" t="s">
        <v>10902</v>
      </c>
      <c r="L7972" s="2">
        <f t="shared" si="124"/>
        <v>150</v>
      </c>
    </row>
    <row r="7973" spans="1:12" ht="25" customHeight="1">
      <c r="A7973" s="2" t="s">
        <v>12</v>
      </c>
      <c r="B7973" s="2" t="str">
        <f>HYPERLINK("http://www.12365auto.com/zlts/20200213/447148.shtml","广汽丰田雷凌隔音棉材质极差导致车内异味")</f>
        <v>广汽丰田雷凌隔音棉材质极差导致车内异味</v>
      </c>
      <c r="C7973" s="2" t="s">
        <v>13</v>
      </c>
      <c r="D7973" s="2" t="s">
        <v>12</v>
      </c>
      <c r="E7973" s="2" t="s">
        <v>17</v>
      </c>
      <c r="F7973" s="2" t="str">
        <f>HYPERLINK("http://www.12365auto.com/zlts/20200213/447148.shtml","http://www.12365auto.com/zlts/20200213/447148.shtml")</f>
        <v>http://www.12365auto.com/zlts/20200213/447148.shtml</v>
      </c>
      <c r="G7973" s="2"/>
      <c r="H7973" s="2" t="s">
        <v>10903</v>
      </c>
      <c r="I7973" s="2" t="s">
        <v>19</v>
      </c>
      <c r="J7973" s="2" t="s">
        <v>12</v>
      </c>
      <c r="K7973" s="2" t="s">
        <v>10904</v>
      </c>
      <c r="L7973" s="2">
        <f t="shared" si="124"/>
        <v>150</v>
      </c>
    </row>
    <row r="7974" spans="1:12" ht="25" customHeight="1">
      <c r="A7974" s="2" t="s">
        <v>12</v>
      </c>
      <c r="B7974" s="2" t="str">
        <f>HYPERLINK("http://www.12365auto.com/zlts/20200213/447147.shtml","领克03电池电量低导致发动机无法启动")</f>
        <v>领克03电池电量低导致发动机无法启动</v>
      </c>
      <c r="C7974" s="2" t="s">
        <v>13</v>
      </c>
      <c r="D7974" s="2" t="s">
        <v>12</v>
      </c>
      <c r="E7974" s="2" t="s">
        <v>17</v>
      </c>
      <c r="F7974" s="2" t="str">
        <f>HYPERLINK("http://www.12365auto.com/zlts/20200213/447147.shtml","http://www.12365auto.com/zlts/20200213/447147.shtml")</f>
        <v>http://www.12365auto.com/zlts/20200213/447147.shtml</v>
      </c>
      <c r="G7974" s="2"/>
      <c r="H7974" s="2" t="s">
        <v>10905</v>
      </c>
      <c r="I7974" s="2" t="s">
        <v>19</v>
      </c>
      <c r="J7974" s="2" t="s">
        <v>12</v>
      </c>
      <c r="K7974" s="2" t="s">
        <v>10906</v>
      </c>
      <c r="L7974" s="2">
        <f t="shared" si="124"/>
        <v>150</v>
      </c>
    </row>
    <row r="7975" spans="1:12" ht="25" customHeight="1">
      <c r="A7975" s="2" t="s">
        <v>12</v>
      </c>
      <c r="B7975" s="2" t="str">
        <f>HYPERLINK("http://www.12365auto.com/zlts/20200213/447145.shtml","无法提速")</f>
        <v>无法提速</v>
      </c>
      <c r="C7975" s="2" t="s">
        <v>13</v>
      </c>
      <c r="D7975" s="2" t="s">
        <v>12</v>
      </c>
      <c r="E7975" s="2"/>
      <c r="F7975" s="2" t="str">
        <f>HYPERLINK("http://www.12365auto.com/zlts/20200213/447145.shtml","http://www.12365auto.com/zlts/20200213/447145.shtml")</f>
        <v>http://www.12365auto.com/zlts/20200213/447145.shtml</v>
      </c>
      <c r="G7975" s="2"/>
      <c r="H7975" s="2" t="s">
        <v>10908</v>
      </c>
      <c r="I7975" s="2" t="s">
        <v>15</v>
      </c>
      <c r="J7975" s="2" t="s">
        <v>12</v>
      </c>
      <c r="K7975" s="2" t="s">
        <v>10907</v>
      </c>
      <c r="L7975" s="2">
        <f t="shared" si="124"/>
        <v>86</v>
      </c>
    </row>
    <row r="7976" spans="1:12" ht="25" customHeight="1">
      <c r="A7976" s="2" t="s">
        <v>12</v>
      </c>
      <c r="B7976" s="2" t="str">
        <f>HYPERLINK("http://www.12365auto.com/zlts/20200213/447146.shtml","上汽大众凌渡变速箱异响 一挡及二挡拖挡")</f>
        <v>上汽大众凌渡变速箱异响 一挡及二挡拖挡</v>
      </c>
      <c r="C7976" s="2" t="s">
        <v>13</v>
      </c>
      <c r="D7976" s="2" t="s">
        <v>12</v>
      </c>
      <c r="E7976" s="2" t="s">
        <v>17</v>
      </c>
      <c r="F7976" s="2" t="str">
        <f>HYPERLINK("http://www.12365auto.com/zlts/20200213/447146.shtml","http://www.12365auto.com/zlts/20200213/447146.shtml")</f>
        <v>http://www.12365auto.com/zlts/20200213/447146.shtml</v>
      </c>
      <c r="G7976" s="2"/>
      <c r="H7976" s="2" t="s">
        <v>10909</v>
      </c>
      <c r="I7976" s="2" t="s">
        <v>19</v>
      </c>
      <c r="J7976" s="2" t="s">
        <v>12</v>
      </c>
      <c r="K7976" s="2" t="s">
        <v>10910</v>
      </c>
      <c r="L7976" s="2">
        <f t="shared" si="124"/>
        <v>150</v>
      </c>
    </row>
    <row r="7977" spans="1:12" ht="25" customHeight="1">
      <c r="A7977" s="2" t="s">
        <v>12</v>
      </c>
      <c r="B7977" s="2" t="str">
        <f>HYPERLINK("http://www.12365auto.com/zlts/20200213/447142.shtml","郑州日产途达车身漏电 发动机无法启动")</f>
        <v>郑州日产途达车身漏电 发动机无法启动</v>
      </c>
      <c r="C7977" s="2" t="s">
        <v>13</v>
      </c>
      <c r="D7977" s="2" t="s">
        <v>12</v>
      </c>
      <c r="E7977" s="2" t="s">
        <v>17</v>
      </c>
      <c r="F7977" s="2" t="str">
        <f>HYPERLINK("http://www.12365auto.com/zlts/20200213/447142.shtml","http://www.12365auto.com/zlts/20200213/447142.shtml")</f>
        <v>http://www.12365auto.com/zlts/20200213/447142.shtml</v>
      </c>
      <c r="G7977" s="2"/>
      <c r="H7977" s="2" t="s">
        <v>10911</v>
      </c>
      <c r="I7977" s="2" t="s">
        <v>19</v>
      </c>
      <c r="J7977" s="2" t="s">
        <v>12</v>
      </c>
      <c r="K7977" s="2" t="s">
        <v>10912</v>
      </c>
      <c r="L7977" s="2">
        <f t="shared" si="124"/>
        <v>150</v>
      </c>
    </row>
    <row r="7978" spans="1:12" ht="25" customHeight="1">
      <c r="A7978" s="2" t="s">
        <v>12</v>
      </c>
      <c r="B7978" s="2" t="str">
        <f>HYPERLINK("http://www.12365auto.com/zlts/20200213/447141.shtml","吉利帝豪刹车异响 刹车回位慢 一直未解决")</f>
        <v>吉利帝豪刹车异响 刹车回位慢 一直未解决</v>
      </c>
      <c r="C7978" s="2" t="s">
        <v>13</v>
      </c>
      <c r="D7978" s="2" t="s">
        <v>12</v>
      </c>
      <c r="E7978" s="2" t="s">
        <v>17</v>
      </c>
      <c r="F7978" s="2" t="str">
        <f>HYPERLINK("http://www.12365auto.com/zlts/20200213/447141.shtml","http://www.12365auto.com/zlts/20200213/447141.shtml")</f>
        <v>http://www.12365auto.com/zlts/20200213/447141.shtml</v>
      </c>
      <c r="G7978" s="2"/>
      <c r="H7978" s="2" t="s">
        <v>10913</v>
      </c>
      <c r="I7978" s="2" t="s">
        <v>19</v>
      </c>
      <c r="J7978" s="2" t="s">
        <v>12</v>
      </c>
      <c r="K7978" s="2" t="s">
        <v>10914</v>
      </c>
      <c r="L7978" s="2">
        <f t="shared" si="124"/>
        <v>150</v>
      </c>
    </row>
    <row r="7979" spans="1:12" ht="25" customHeight="1">
      <c r="A7979" s="2" t="s">
        <v>12</v>
      </c>
      <c r="B7979" s="2" t="str">
        <f>HYPERLINK("http://www.12365auto.com/zlts/20200213/447140.shtml","发动机启动不了")</f>
        <v>发动机启动不了</v>
      </c>
      <c r="C7979" s="2" t="s">
        <v>13</v>
      </c>
      <c r="D7979" s="2" t="s">
        <v>12</v>
      </c>
      <c r="E7979" s="2"/>
      <c r="F7979" s="2" t="str">
        <f>HYPERLINK("http://www.12365auto.com/zlts/20200213/447140.shtml","http://www.12365auto.com/zlts/20200213/447140.shtml")</f>
        <v>http://www.12365auto.com/zlts/20200213/447140.shtml</v>
      </c>
      <c r="G7979" s="2"/>
      <c r="H7979" s="2" t="s">
        <v>10916</v>
      </c>
      <c r="I7979" s="2" t="s">
        <v>15</v>
      </c>
      <c r="J7979" s="2" t="s">
        <v>12</v>
      </c>
      <c r="K7979" s="2" t="s">
        <v>10915</v>
      </c>
      <c r="L7979" s="2">
        <f t="shared" si="124"/>
        <v>83</v>
      </c>
    </row>
    <row r="7980" spans="1:12" ht="25" customHeight="1">
      <c r="A7980" s="2" t="s">
        <v>12</v>
      </c>
      <c r="B7980" s="2" t="str">
        <f>HYPERLINK("http://bbs.12365auto.com/postcontent.aspx?tId=194049","大众17款朗逸脚垫处有明显积水")</f>
        <v>大众17款朗逸脚垫处有明显积水</v>
      </c>
      <c r="C7980" s="2" t="s">
        <v>13</v>
      </c>
      <c r="D7980" s="2" t="s">
        <v>12</v>
      </c>
      <c r="E7980" s="2" t="s">
        <v>66</v>
      </c>
      <c r="F7980" s="2" t="str">
        <f>HYPERLINK("http://bbs.12365auto.com/postcontent.aspx?tId=194049","http://bbs.12365auto.com/postcontent.aspx?tId=194049")</f>
        <v>http://bbs.12365auto.com/postcontent.aspx?tId=194049</v>
      </c>
      <c r="G7980" s="2"/>
      <c r="H7980" s="2" t="s">
        <v>10917</v>
      </c>
      <c r="I7980" s="2" t="s">
        <v>15</v>
      </c>
      <c r="J7980" s="2" t="s">
        <v>10918</v>
      </c>
      <c r="K7980" s="2" t="s">
        <v>10919</v>
      </c>
      <c r="L7980" s="2">
        <f t="shared" si="124"/>
        <v>108</v>
      </c>
    </row>
    <row r="7981" spans="1:12" ht="25" customHeight="1">
      <c r="A7981" s="2" t="s">
        <v>12</v>
      </c>
      <c r="B7981" s="2" t="str">
        <f>HYPERLINK("http://m.12365auto.com/bbs/postcontent.aspx?tID=194049","大众17款朗逸脚垫处有明显积水")</f>
        <v>大众17款朗逸脚垫处有明显积水</v>
      </c>
      <c r="C7981" s="2" t="s">
        <v>13</v>
      </c>
      <c r="D7981" s="2" t="s">
        <v>23</v>
      </c>
      <c r="E7981" s="2"/>
      <c r="F7981" s="2" t="str">
        <f>HYPERLINK("http://m.12365auto.com/bbs/postcontent.aspx?tID=194049","http://m.12365auto.com/bbs/postcontent.aspx?tID=194049")</f>
        <v>http://m.12365auto.com/bbs/postcontent.aspx?tID=194049</v>
      </c>
      <c r="G7981" s="2"/>
      <c r="H7981" s="2" t="s">
        <v>10917</v>
      </c>
      <c r="I7981" s="2" t="s">
        <v>15</v>
      </c>
      <c r="J7981" s="2" t="s">
        <v>10918</v>
      </c>
      <c r="K7981" s="2" t="s">
        <v>10919</v>
      </c>
      <c r="L7981" s="2">
        <f t="shared" si="124"/>
        <v>108</v>
      </c>
    </row>
    <row r="7982" spans="1:12" ht="25" customHeight="1">
      <c r="A7982" s="2" t="s">
        <v>12</v>
      </c>
      <c r="B7982" s="2" t="str">
        <f>HYPERLINK("http://bbs.12365auto.com/postcontent.aspx?tID=194049","大众17款朗逸脚垫处有明显积水")</f>
        <v>大众17款朗逸脚垫处有明显积水</v>
      </c>
      <c r="C7982" s="2" t="s">
        <v>13</v>
      </c>
      <c r="D7982" s="2" t="s">
        <v>12</v>
      </c>
      <c r="E7982" s="2" t="s">
        <v>67</v>
      </c>
      <c r="F7982" s="2" t="str">
        <f>HYPERLINK("http://bbs.12365auto.com/postcontent.aspx?tID=194049","http://bbs.12365auto.com/postcontent.aspx?tID=194049")</f>
        <v>http://bbs.12365auto.com/postcontent.aspx?tID=194049</v>
      </c>
      <c r="G7982" s="2"/>
      <c r="H7982" s="2" t="s">
        <v>10920</v>
      </c>
      <c r="I7982" s="2" t="s">
        <v>15</v>
      </c>
      <c r="J7982" s="2" t="s">
        <v>10918</v>
      </c>
      <c r="K7982" s="2" t="s">
        <v>10919</v>
      </c>
      <c r="L7982" s="2">
        <f t="shared" si="124"/>
        <v>150</v>
      </c>
    </row>
    <row r="7983" spans="1:12" ht="25" customHeight="1">
      <c r="A7983" s="2" t="s">
        <v>12</v>
      </c>
      <c r="B7983" s="2" t="str">
        <f>HYPERLINK("http://www.12365auto.com/zlts/20200213/447136.shtml","北京现代领动变速箱加速无力故障灯亮")</f>
        <v>北京现代领动变速箱加速无力故障灯亮</v>
      </c>
      <c r="C7983" s="2" t="s">
        <v>13</v>
      </c>
      <c r="D7983" s="2" t="s">
        <v>12</v>
      </c>
      <c r="E7983" s="2"/>
      <c r="F7983" s="2" t="str">
        <f>HYPERLINK("http://www.12365auto.com/zlts/20200213/447136.shtml","http://www.12365auto.com/zlts/20200213/447136.shtml")</f>
        <v>http://www.12365auto.com/zlts/20200213/447136.shtml</v>
      </c>
      <c r="G7983" s="2"/>
      <c r="H7983" s="2" t="s">
        <v>10922</v>
      </c>
      <c r="I7983" s="2" t="s">
        <v>15</v>
      </c>
      <c r="J7983" s="2" t="s">
        <v>12</v>
      </c>
      <c r="K7983" s="2" t="s">
        <v>10921</v>
      </c>
      <c r="L7983" s="2">
        <f t="shared" si="124"/>
        <v>84</v>
      </c>
    </row>
    <row r="7984" spans="1:12" ht="25" customHeight="1">
      <c r="A7984" s="2" t="s">
        <v>12</v>
      </c>
      <c r="B7984" s="2" t="str">
        <f>HYPERLINK("http://www.12365auto.com/zlts/20200213/447137.shtml","车速达到80码以上方向发生像胶粘严重影响行车安全")</f>
        <v>车速达到80码以上方向发生像胶粘严重影响行车安全</v>
      </c>
      <c r="C7984" s="2" t="s">
        <v>13</v>
      </c>
      <c r="D7984" s="2" t="s">
        <v>12</v>
      </c>
      <c r="E7984" s="2"/>
      <c r="F7984" s="2" t="str">
        <f>HYPERLINK("http://www.12365auto.com/zlts/20200213/447137.shtml","http://www.12365auto.com/zlts/20200213/447137.shtml")</f>
        <v>http://www.12365auto.com/zlts/20200213/447137.shtml</v>
      </c>
      <c r="G7984" s="2"/>
      <c r="H7984" s="2" t="s">
        <v>10924</v>
      </c>
      <c r="I7984" s="2" t="s">
        <v>15</v>
      </c>
      <c r="J7984" s="2" t="s">
        <v>12</v>
      </c>
      <c r="K7984" s="2" t="s">
        <v>10923</v>
      </c>
      <c r="L7984" s="2">
        <f t="shared" si="124"/>
        <v>83</v>
      </c>
    </row>
    <row r="7985" spans="1:12" ht="25" customHeight="1">
      <c r="A7985" s="2" t="s">
        <v>12</v>
      </c>
      <c r="B7985" s="2" t="str">
        <f>HYPERLINK("http://www.12365auto.com/zlts/20200213/447134.shtml","上汽荣威Ei5遥控器无法解锁 整车电量低")</f>
        <v>上汽荣威Ei5遥控器无法解锁 整车电量低</v>
      </c>
      <c r="C7985" s="2" t="s">
        <v>13</v>
      </c>
      <c r="D7985" s="2" t="s">
        <v>12</v>
      </c>
      <c r="E7985" s="2" t="s">
        <v>17</v>
      </c>
      <c r="F7985" s="2" t="str">
        <f>HYPERLINK("http://www.12365auto.com/zlts/20200213/447134.shtml","http://www.12365auto.com/zlts/20200213/447134.shtml")</f>
        <v>http://www.12365auto.com/zlts/20200213/447134.shtml</v>
      </c>
      <c r="G7985" s="2"/>
      <c r="H7985" s="2" t="s">
        <v>10925</v>
      </c>
      <c r="I7985" s="2" t="s">
        <v>19</v>
      </c>
      <c r="J7985" s="2" t="s">
        <v>12</v>
      </c>
      <c r="K7985" s="2" t="s">
        <v>10926</v>
      </c>
      <c r="L7985" s="2">
        <f t="shared" si="124"/>
        <v>150</v>
      </c>
    </row>
    <row r="7986" spans="1:12" ht="25" customHeight="1">
      <c r="A7986" s="2" t="s">
        <v>12</v>
      </c>
      <c r="B7986" s="2" t="str">
        <f>HYPERLINK("http://www.12365auto.com/zlts/20200213/447132.shtml","每次下雨车顶会有水印")</f>
        <v>每次下雨车顶会有水印</v>
      </c>
      <c r="C7986" s="2" t="s">
        <v>13</v>
      </c>
      <c r="D7986" s="2" t="s">
        <v>12</v>
      </c>
      <c r="E7986" s="2"/>
      <c r="F7986" s="2" t="str">
        <f>HYPERLINK("http://www.12365auto.com/zlts/20200213/447132.shtml","http://www.12365auto.com/zlts/20200213/447132.shtml")</f>
        <v>http://www.12365auto.com/zlts/20200213/447132.shtml</v>
      </c>
      <c r="G7986" s="2"/>
      <c r="H7986" s="2" t="s">
        <v>10928</v>
      </c>
      <c r="I7986" s="2" t="s">
        <v>15</v>
      </c>
      <c r="J7986" s="2" t="s">
        <v>12</v>
      </c>
      <c r="K7986" s="2" t="s">
        <v>10927</v>
      </c>
      <c r="L7986" s="2">
        <f t="shared" si="124"/>
        <v>84</v>
      </c>
    </row>
    <row r="7987" spans="1:12" ht="25" customHeight="1">
      <c r="A7987" s="2" t="s">
        <v>12</v>
      </c>
      <c r="B7987" s="2" t="str">
        <f>HYPERLINK("http://www.12365auto.com/zlts/20200213/447130.shtml","猎豹CS10变速箱漏油发动机故障灯亮")</f>
        <v>猎豹CS10变速箱漏油发动机故障灯亮</v>
      </c>
      <c r="C7987" s="2" t="s">
        <v>13</v>
      </c>
      <c r="D7987" s="2" t="s">
        <v>12</v>
      </c>
      <c r="E7987" s="2"/>
      <c r="F7987" s="2" t="str">
        <f>HYPERLINK("http://www.12365auto.com/zlts/20200213/447130.shtml","http://www.12365auto.com/zlts/20200213/447130.shtml")</f>
        <v>http://www.12365auto.com/zlts/20200213/447130.shtml</v>
      </c>
      <c r="G7987" s="2"/>
      <c r="H7987" s="2" t="s">
        <v>10930</v>
      </c>
      <c r="I7987" s="2" t="s">
        <v>15</v>
      </c>
      <c r="J7987" s="2" t="s">
        <v>12</v>
      </c>
      <c r="K7987" s="2" t="s">
        <v>10929</v>
      </c>
      <c r="L7987" s="2">
        <f t="shared" si="124"/>
        <v>84</v>
      </c>
    </row>
    <row r="7988" spans="1:12" ht="25" customHeight="1">
      <c r="A7988" s="2" t="s">
        <v>12</v>
      </c>
      <c r="B7988" s="2" t="str">
        <f>HYPERLINK("http://bbs.12365auto.com/postcontent.aspx?tId=194048","奥迪A7变速箱故障无倒档")</f>
        <v>奥迪A7变速箱故障无倒档</v>
      </c>
      <c r="C7988" s="2" t="s">
        <v>13</v>
      </c>
      <c r="D7988" s="2" t="s">
        <v>12</v>
      </c>
      <c r="E7988" s="2" t="s">
        <v>66</v>
      </c>
      <c r="F7988" s="2" t="str">
        <f>HYPERLINK("http://bbs.12365auto.com/postcontent.aspx?tId=194048","http://bbs.12365auto.com/postcontent.aspx?tId=194048")</f>
        <v>http://bbs.12365auto.com/postcontent.aspx?tId=194048</v>
      </c>
      <c r="G7988" s="2"/>
      <c r="H7988" s="2" t="s">
        <v>10931</v>
      </c>
      <c r="I7988" s="2" t="s">
        <v>15</v>
      </c>
      <c r="J7988" s="2" t="s">
        <v>10932</v>
      </c>
      <c r="K7988" s="2" t="s">
        <v>10933</v>
      </c>
      <c r="L7988" s="2">
        <f t="shared" si="124"/>
        <v>150</v>
      </c>
    </row>
    <row r="7989" spans="1:12" ht="25" customHeight="1">
      <c r="A7989" s="2" t="s">
        <v>12</v>
      </c>
      <c r="B7989" s="2" t="str">
        <f>HYPERLINK("http://m.12365auto.com/bbs/postcontent.aspx?tID=194048","奥迪A7变速箱故障无倒档")</f>
        <v>奥迪A7变速箱故障无倒档</v>
      </c>
      <c r="C7989" s="2" t="s">
        <v>13</v>
      </c>
      <c r="D7989" s="2" t="s">
        <v>23</v>
      </c>
      <c r="E7989" s="2"/>
      <c r="F7989" s="2" t="str">
        <f>HYPERLINK("http://m.12365auto.com/bbs/postcontent.aspx?tID=194048","http://m.12365auto.com/bbs/postcontent.aspx?tID=194048")</f>
        <v>http://m.12365auto.com/bbs/postcontent.aspx?tID=194048</v>
      </c>
      <c r="G7989" s="2"/>
      <c r="H7989" s="2" t="s">
        <v>10931</v>
      </c>
      <c r="I7989" s="2" t="s">
        <v>15</v>
      </c>
      <c r="J7989" s="2" t="s">
        <v>10932</v>
      </c>
      <c r="K7989" s="2" t="s">
        <v>10933</v>
      </c>
      <c r="L7989" s="2">
        <f t="shared" si="124"/>
        <v>150</v>
      </c>
    </row>
    <row r="7990" spans="1:12" ht="25" customHeight="1">
      <c r="A7990" s="2" t="s">
        <v>12</v>
      </c>
      <c r="B7990" s="2" t="str">
        <f>HYPERLINK("http://bbs.12365auto.com/postcontent.aspx?tID=194048","奥迪A7变速箱故障无倒档")</f>
        <v>奥迪A7变速箱故障无倒档</v>
      </c>
      <c r="C7990" s="2" t="s">
        <v>13</v>
      </c>
      <c r="D7990" s="2" t="s">
        <v>12</v>
      </c>
      <c r="E7990" s="2" t="s">
        <v>67</v>
      </c>
      <c r="F7990" s="2" t="str">
        <f>HYPERLINK("http://bbs.12365auto.com/postcontent.aspx?tID=194048","http://bbs.12365auto.com/postcontent.aspx?tID=194048")</f>
        <v>http://bbs.12365auto.com/postcontent.aspx?tID=194048</v>
      </c>
      <c r="G7990" s="2"/>
      <c r="H7990" s="2" t="s">
        <v>10934</v>
      </c>
      <c r="I7990" s="2" t="s">
        <v>15</v>
      </c>
      <c r="J7990" s="2" t="s">
        <v>10932</v>
      </c>
      <c r="K7990" s="2" t="s">
        <v>10933</v>
      </c>
      <c r="L7990" s="2">
        <f t="shared" si="124"/>
        <v>150</v>
      </c>
    </row>
    <row r="7991" spans="1:12" ht="25" customHeight="1">
      <c r="A7991" s="2" t="s">
        <v>12</v>
      </c>
      <c r="B7991" s="2" t="str">
        <f>HYPERLINK("http://m.12365auto.com/zjdy/20200213/121242.shtml","逍客ESP及TCS故障灯常亮是什么原因？")</f>
        <v>逍客ESP及TCS故障灯常亮是什么原因？</v>
      </c>
      <c r="C7991" s="2" t="s">
        <v>13</v>
      </c>
      <c r="D7991" s="2" t="s">
        <v>12</v>
      </c>
      <c r="E7991" s="2"/>
      <c r="F7991" s="2" t="str">
        <f>HYPERLINK("http://m.12365auto.com/zjdy/20200213/121242.shtml","http://m.12365auto.com/zjdy/20200213/121242.shtml")</f>
        <v>http://m.12365auto.com/zjdy/20200213/121242.shtml</v>
      </c>
      <c r="G7991" s="2"/>
      <c r="H7991" s="2" t="s">
        <v>10935</v>
      </c>
      <c r="I7991" s="2" t="s">
        <v>19</v>
      </c>
      <c r="J7991" s="2" t="s">
        <v>12</v>
      </c>
      <c r="K7991" s="2" t="s">
        <v>10936</v>
      </c>
      <c r="L7991" s="2">
        <f t="shared" si="124"/>
        <v>39</v>
      </c>
    </row>
    <row r="7992" spans="1:12" ht="25" customHeight="1">
      <c r="A7992" s="2" t="s">
        <v>12</v>
      </c>
      <c r="B7992" s="2" t="str">
        <f>HYPERLINK("http://bbs.12365auto.com/postcontent.aspx?tId=194047","长途驾驶您需要遵守这些车辆保养手册")</f>
        <v>长途驾驶您需要遵守这些车辆保养手册</v>
      </c>
      <c r="C7992" s="2" t="s">
        <v>13</v>
      </c>
      <c r="D7992" s="2" t="s">
        <v>12</v>
      </c>
      <c r="E7992" s="2" t="s">
        <v>27</v>
      </c>
      <c r="F7992" s="2" t="str">
        <f>HYPERLINK("http://bbs.12365auto.com/postcontent.aspx?tId=194047","http://bbs.12365auto.com/postcontent.aspx?tId=194047")</f>
        <v>http://bbs.12365auto.com/postcontent.aspx?tId=194047</v>
      </c>
      <c r="G7992" s="2"/>
      <c r="H7992" s="2" t="s">
        <v>10937</v>
      </c>
      <c r="I7992" s="2" t="s">
        <v>15</v>
      </c>
      <c r="J7992" s="2" t="s">
        <v>1446</v>
      </c>
      <c r="K7992" s="2" t="s">
        <v>10938</v>
      </c>
      <c r="L7992" s="2">
        <f t="shared" si="124"/>
        <v>150</v>
      </c>
    </row>
    <row r="7993" spans="1:12" ht="25" customHeight="1">
      <c r="A7993" s="2" t="s">
        <v>12</v>
      </c>
      <c r="B7993" s="2" t="str">
        <f>HYPERLINK("http://m.12365auto.com/bbs/postcontent.aspx?tID=194047","长途驾驶您需要遵守这些车辆保养手册")</f>
        <v>长途驾驶您需要遵守这些车辆保养手册</v>
      </c>
      <c r="C7993" s="2" t="s">
        <v>13</v>
      </c>
      <c r="D7993" s="2" t="s">
        <v>23</v>
      </c>
      <c r="E7993" s="2"/>
      <c r="F7993" s="2" t="str">
        <f>HYPERLINK("http://m.12365auto.com/bbs/postcontent.aspx?tID=194047","http://m.12365auto.com/bbs/postcontent.aspx?tID=194047")</f>
        <v>http://m.12365auto.com/bbs/postcontent.aspx?tID=194047</v>
      </c>
      <c r="G7993" s="2"/>
      <c r="H7993" s="2" t="s">
        <v>10937</v>
      </c>
      <c r="I7993" s="2" t="s">
        <v>15</v>
      </c>
      <c r="J7993" s="2" t="s">
        <v>1446</v>
      </c>
      <c r="K7993" s="2" t="s">
        <v>10938</v>
      </c>
      <c r="L7993" s="2">
        <f t="shared" si="124"/>
        <v>150</v>
      </c>
    </row>
    <row r="7994" spans="1:12" ht="25" customHeight="1">
      <c r="A7994" s="2" t="s">
        <v>12</v>
      </c>
      <c r="B7994" s="2" t="str">
        <f>HYPERLINK("http://bbs.12365auto.com/postcontent.aspx?tID=194047","长途驾驶您需要遵守这些车辆保养手册")</f>
        <v>长途驾驶您需要遵守这些车辆保养手册</v>
      </c>
      <c r="C7994" s="2" t="s">
        <v>13</v>
      </c>
      <c r="D7994" s="2" t="s">
        <v>12</v>
      </c>
      <c r="E7994" s="2" t="s">
        <v>28</v>
      </c>
      <c r="F7994" s="2" t="str">
        <f>HYPERLINK("http://bbs.12365auto.com/postcontent.aspx?tID=194047","http://bbs.12365auto.com/postcontent.aspx?tID=194047")</f>
        <v>http://bbs.12365auto.com/postcontent.aspx?tID=194047</v>
      </c>
      <c r="G7994" s="2"/>
      <c r="H7994" s="2" t="s">
        <v>10939</v>
      </c>
      <c r="I7994" s="2" t="s">
        <v>15</v>
      </c>
      <c r="J7994" s="2" t="s">
        <v>1446</v>
      </c>
      <c r="K7994" s="2" t="s">
        <v>10938</v>
      </c>
      <c r="L7994" s="2">
        <f t="shared" si="124"/>
        <v>150</v>
      </c>
    </row>
    <row r="7995" spans="1:12" ht="25" customHeight="1">
      <c r="A7995" s="2" t="s">
        <v>12</v>
      </c>
      <c r="B7995" s="2" t="str">
        <f>HYPERLINK("http://m.12365auto.com/zjdy/20200213/121241.shtml","吉利缤瑞哪里有最新的车机软件？")</f>
        <v>吉利缤瑞哪里有最新的车机软件？</v>
      </c>
      <c r="C7995" s="2" t="s">
        <v>13</v>
      </c>
      <c r="D7995" s="2" t="s">
        <v>12</v>
      </c>
      <c r="E7995" s="2"/>
      <c r="F7995" s="2" t="str">
        <f>HYPERLINK("http://m.12365auto.com/zjdy/20200213/121241.shtml","http://m.12365auto.com/zjdy/20200213/121241.shtml")</f>
        <v>http://m.12365auto.com/zjdy/20200213/121241.shtml</v>
      </c>
      <c r="G7995" s="2"/>
      <c r="H7995" s="2" t="s">
        <v>10940</v>
      </c>
      <c r="I7995" s="2" t="s">
        <v>19</v>
      </c>
      <c r="J7995" s="2" t="s">
        <v>12</v>
      </c>
      <c r="K7995" s="2" t="s">
        <v>10941</v>
      </c>
      <c r="L7995" s="2">
        <f t="shared" si="124"/>
        <v>46</v>
      </c>
    </row>
    <row r="7996" spans="1:12" ht="25" customHeight="1">
      <c r="A7996" s="2" t="s">
        <v>12</v>
      </c>
      <c r="B7996" s="2" t="str">
        <f>HYPERLINK("http://www.12365auto.com/zlts/20200213/447127.shtml","车内异味严重")</f>
        <v>车内异味严重</v>
      </c>
      <c r="C7996" s="2" t="s">
        <v>13</v>
      </c>
      <c r="D7996" s="2" t="s">
        <v>12</v>
      </c>
      <c r="E7996" s="2"/>
      <c r="F7996" s="2" t="str">
        <f>HYPERLINK("http://www.12365auto.com/zlts/20200213/447127.shtml","http://www.12365auto.com/zlts/20200213/447127.shtml")</f>
        <v>http://www.12365auto.com/zlts/20200213/447127.shtml</v>
      </c>
      <c r="G7996" s="2"/>
      <c r="H7996" s="2" t="s">
        <v>10943</v>
      </c>
      <c r="I7996" s="2" t="s">
        <v>15</v>
      </c>
      <c r="J7996" s="2" t="s">
        <v>12</v>
      </c>
      <c r="K7996" s="2" t="s">
        <v>10942</v>
      </c>
      <c r="L7996" s="2">
        <f t="shared" si="124"/>
        <v>80</v>
      </c>
    </row>
    <row r="7997" spans="1:12" ht="25" customHeight="1">
      <c r="A7997" s="2" t="s">
        <v>12</v>
      </c>
      <c r="B7997" s="2" t="str">
        <f>HYPERLINK("http://www.12365auto.com/zlts/20200213/447125.shtml","东风悦达起亚焕驰离合器漏油无解决方案")</f>
        <v>东风悦达起亚焕驰离合器漏油无解决方案</v>
      </c>
      <c r="C7997" s="2" t="s">
        <v>13</v>
      </c>
      <c r="D7997" s="2" t="s">
        <v>12</v>
      </c>
      <c r="E7997" s="2"/>
      <c r="F7997" s="2" t="str">
        <f>HYPERLINK("http://www.12365auto.com/zlts/20200213/447125.shtml","http://www.12365auto.com/zlts/20200213/447125.shtml")</f>
        <v>http://www.12365auto.com/zlts/20200213/447125.shtml</v>
      </c>
      <c r="G7997" s="2"/>
      <c r="H7997" s="2" t="s">
        <v>10945</v>
      </c>
      <c r="I7997" s="2" t="s">
        <v>15</v>
      </c>
      <c r="J7997" s="2" t="s">
        <v>12</v>
      </c>
      <c r="K7997" s="2" t="s">
        <v>10944</v>
      </c>
      <c r="L7997" s="2">
        <f t="shared" si="124"/>
        <v>88</v>
      </c>
    </row>
    <row r="7998" spans="1:12" ht="25" customHeight="1">
      <c r="A7998" s="2" t="s">
        <v>12</v>
      </c>
      <c r="B7998" s="2" t="str">
        <f>HYPERLINK("http://m.12365auto.com/zjdy/20200213/121240.shtml","质保期之内变速箱漏油可以换总成吗？")</f>
        <v>质保期之内变速箱漏油可以换总成吗？</v>
      </c>
      <c r="C7998" s="2" t="s">
        <v>13</v>
      </c>
      <c r="D7998" s="2" t="s">
        <v>12</v>
      </c>
      <c r="E7998" s="2"/>
      <c r="F7998" s="2" t="str">
        <f>HYPERLINK("http://m.12365auto.com/zjdy/20200213/121240.shtml","http://m.12365auto.com/zjdy/20200213/121240.shtml")</f>
        <v>http://m.12365auto.com/zjdy/20200213/121240.shtml</v>
      </c>
      <c r="G7998" s="2"/>
      <c r="H7998" s="2" t="s">
        <v>10946</v>
      </c>
      <c r="I7998" s="2" t="s">
        <v>19</v>
      </c>
      <c r="J7998" s="2" t="s">
        <v>12</v>
      </c>
      <c r="K7998" s="2" t="s">
        <v>10947</v>
      </c>
      <c r="L7998" s="2">
        <f t="shared" si="124"/>
        <v>48</v>
      </c>
    </row>
    <row r="7999" spans="1:12" ht="25" customHeight="1">
      <c r="A7999" s="2" t="s">
        <v>12</v>
      </c>
      <c r="B7999" s="2" t="str">
        <f>HYPERLINK("http://m.12365auto.com/zjdy/20200213/121237.shtml","猎豹CS10全景天窗的质保时间是多久？")</f>
        <v>猎豹CS10全景天窗的质保时间是多久？</v>
      </c>
      <c r="C7999" s="2" t="s">
        <v>13</v>
      </c>
      <c r="D7999" s="2" t="s">
        <v>12</v>
      </c>
      <c r="E7999" s="2"/>
      <c r="F7999" s="2" t="str">
        <f>HYPERLINK("http://m.12365auto.com/zjdy/20200213/121237.shtml","http://m.12365auto.com/zjdy/20200213/121237.shtml")</f>
        <v>http://m.12365auto.com/zjdy/20200213/121237.shtml</v>
      </c>
      <c r="G7999" s="2"/>
      <c r="H7999" s="2" t="s">
        <v>10948</v>
      </c>
      <c r="I7999" s="2" t="s">
        <v>19</v>
      </c>
      <c r="J7999" s="2" t="s">
        <v>12</v>
      </c>
      <c r="K7999" s="2" t="s">
        <v>10949</v>
      </c>
      <c r="L7999" s="2">
        <f t="shared" si="124"/>
        <v>19</v>
      </c>
    </row>
    <row r="8000" spans="1:12" ht="25" customHeight="1">
      <c r="A8000" s="2" t="s">
        <v>12</v>
      </c>
      <c r="B8000" s="2" t="str">
        <f>HYPERLINK("http://m.12365auto.com/zjdy/20200213/121238.shtml","落地30万的轿车有什么是值得购买的吗？")</f>
        <v>落地30万的轿车有什么是值得购买的吗？</v>
      </c>
      <c r="C8000" s="2" t="s">
        <v>13</v>
      </c>
      <c r="D8000" s="2" t="s">
        <v>12</v>
      </c>
      <c r="E8000" s="2"/>
      <c r="F8000" s="2" t="str">
        <f>HYPERLINK("http://m.12365auto.com/zjdy/20200213/121238.shtml","http://m.12365auto.com/zjdy/20200213/121238.shtml")</f>
        <v>http://m.12365auto.com/zjdy/20200213/121238.shtml</v>
      </c>
      <c r="G8000" s="2"/>
      <c r="H8000" s="2" t="s">
        <v>10950</v>
      </c>
      <c r="I8000" s="2" t="s">
        <v>19</v>
      </c>
      <c r="J8000" s="2" t="s">
        <v>12</v>
      </c>
      <c r="K8000" s="2" t="s">
        <v>10949</v>
      </c>
      <c r="L8000" s="2">
        <f t="shared" si="124"/>
        <v>45</v>
      </c>
    </row>
    <row r="8001" spans="1:12" ht="25" customHeight="1">
      <c r="A8001" s="2" t="s">
        <v>12</v>
      </c>
      <c r="B8001" s="2" t="str">
        <f>HYPERLINK("http://m.12365auto.com/zjdy/20200213/121236.shtml","吉利帝豪GL投诉多不多油耗如何？")</f>
        <v>吉利帝豪GL投诉多不多油耗如何？</v>
      </c>
      <c r="C8001" s="2" t="s">
        <v>13</v>
      </c>
      <c r="D8001" s="2" t="s">
        <v>12</v>
      </c>
      <c r="E8001" s="2"/>
      <c r="F8001" s="2" t="str">
        <f>HYPERLINK("http://m.12365auto.com/zjdy/20200213/121236.shtml","http://m.12365auto.com/zjdy/20200213/121236.shtml")</f>
        <v>http://m.12365auto.com/zjdy/20200213/121236.shtml</v>
      </c>
      <c r="G8001" s="2"/>
      <c r="H8001" s="2" t="s">
        <v>10951</v>
      </c>
      <c r="I8001" s="2" t="s">
        <v>19</v>
      </c>
      <c r="J8001" s="2" t="s">
        <v>12</v>
      </c>
      <c r="K8001" s="2" t="s">
        <v>10949</v>
      </c>
      <c r="L8001" s="2">
        <f t="shared" si="124"/>
        <v>16</v>
      </c>
    </row>
    <row r="8002" spans="1:12" ht="25" customHeight="1">
      <c r="A8002" s="2" t="s">
        <v>12</v>
      </c>
      <c r="B8002" s="2" t="str">
        <f>HYPERLINK("http://www.12365auto.com/zlts/20200213/447124.shtml","奇瑞艾瑞泽GX离合器烧毁不予质保")</f>
        <v>奇瑞艾瑞泽GX离合器烧毁不予质保</v>
      </c>
      <c r="C8002" s="2" t="s">
        <v>13</v>
      </c>
      <c r="D8002" s="2" t="s">
        <v>12</v>
      </c>
      <c r="E8002" s="2" t="s">
        <v>17</v>
      </c>
      <c r="F8002" s="2" t="str">
        <f>HYPERLINK("http://www.12365auto.com/zlts/20200213/447124.shtml","http://www.12365auto.com/zlts/20200213/447124.shtml")</f>
        <v>http://www.12365auto.com/zlts/20200213/447124.shtml</v>
      </c>
      <c r="G8002" s="2"/>
      <c r="H8002" s="2" t="s">
        <v>10952</v>
      </c>
      <c r="I8002" s="2" t="s">
        <v>19</v>
      </c>
      <c r="J8002" s="2" t="s">
        <v>12</v>
      </c>
      <c r="K8002" s="2" t="s">
        <v>10953</v>
      </c>
      <c r="L8002" s="2">
        <f t="shared" si="124"/>
        <v>150</v>
      </c>
    </row>
    <row r="8003" spans="1:12" ht="25" customHeight="1">
      <c r="A8003" s="2" t="s">
        <v>12</v>
      </c>
      <c r="B8003" s="2" t="str">
        <f>HYPERLINK("http://m.12365auto.com/zjdy/20200213/121235.shtml","阿特兹冷车启动水温灯不亮什么原因？")</f>
        <v>阿特兹冷车启动水温灯不亮什么原因？</v>
      </c>
      <c r="C8003" s="2" t="s">
        <v>13</v>
      </c>
      <c r="D8003" s="2" t="s">
        <v>12</v>
      </c>
      <c r="E8003" s="2"/>
      <c r="F8003" s="2" t="str">
        <f>HYPERLINK("http://m.12365auto.com/zjdy/20200213/121235.shtml","http://m.12365auto.com/zjdy/20200213/121235.shtml")</f>
        <v>http://m.12365auto.com/zjdy/20200213/121235.shtml</v>
      </c>
      <c r="G8003" s="2"/>
      <c r="H8003" s="2" t="s">
        <v>10954</v>
      </c>
      <c r="I8003" s="2" t="s">
        <v>19</v>
      </c>
      <c r="J8003" s="2" t="s">
        <v>12</v>
      </c>
      <c r="K8003" s="2" t="s">
        <v>10955</v>
      </c>
      <c r="L8003" s="2">
        <f t="shared" ref="L8003:L8066" si="125">LEN(H8003)</f>
        <v>51</v>
      </c>
    </row>
    <row r="8004" spans="1:12" ht="25" customHeight="1">
      <c r="A8004" s="2" t="s">
        <v>12</v>
      </c>
      <c r="B8004" s="2" t="str">
        <f>HYPERLINK("http://m.12365auto.com/zjdy/20200213/121239.shtml","19款哈弗H7在使用中油耗表现怎么样？")</f>
        <v>19款哈弗H7在使用中油耗表现怎么样？</v>
      </c>
      <c r="C8004" s="2" t="s">
        <v>13</v>
      </c>
      <c r="D8004" s="2" t="s">
        <v>12</v>
      </c>
      <c r="E8004" s="2"/>
      <c r="F8004" s="2" t="str">
        <f>HYPERLINK("http://m.12365auto.com/zjdy/20200213/121239.shtml","http://m.12365auto.com/zjdy/20200213/121239.shtml")</f>
        <v>http://m.12365auto.com/zjdy/20200213/121239.shtml</v>
      </c>
      <c r="G8004" s="2"/>
      <c r="H8004" s="2" t="s">
        <v>10956</v>
      </c>
      <c r="I8004" s="2" t="s">
        <v>19</v>
      </c>
      <c r="J8004" s="2" t="s">
        <v>12</v>
      </c>
      <c r="K8004" s="2" t="s">
        <v>10955</v>
      </c>
      <c r="L8004" s="2">
        <f t="shared" si="125"/>
        <v>19</v>
      </c>
    </row>
    <row r="8005" spans="1:12" ht="25" customHeight="1">
      <c r="A8005" s="2" t="s">
        <v>12</v>
      </c>
      <c r="B8005" s="2" t="str">
        <f>HYPERLINK("http://www.12365auto.com/zlts/20200213/447123.shtml","广汽三菱奕歌电瓶亏电影响正常使用")</f>
        <v>广汽三菱奕歌电瓶亏电影响正常使用</v>
      </c>
      <c r="C8005" s="2" t="s">
        <v>13</v>
      </c>
      <c r="D8005" s="2" t="s">
        <v>12</v>
      </c>
      <c r="E8005" s="2" t="s">
        <v>17</v>
      </c>
      <c r="F8005" s="2" t="str">
        <f>HYPERLINK("http://www.12365auto.com/zlts/20200213/447123.shtml","http://www.12365auto.com/zlts/20200213/447123.shtml")</f>
        <v>http://www.12365auto.com/zlts/20200213/447123.shtml</v>
      </c>
      <c r="G8005" s="2"/>
      <c r="H8005" s="2" t="s">
        <v>10957</v>
      </c>
      <c r="I8005" s="2" t="s">
        <v>19</v>
      </c>
      <c r="J8005" s="2" t="s">
        <v>12</v>
      </c>
      <c r="K8005" s="2" t="s">
        <v>10958</v>
      </c>
      <c r="L8005" s="2">
        <f t="shared" si="125"/>
        <v>150</v>
      </c>
    </row>
    <row r="8006" spans="1:12" ht="25" customHeight="1">
      <c r="A8006" s="2" t="s">
        <v>12</v>
      </c>
      <c r="B8006" s="2" t="str">
        <f>HYPERLINK("http://m.12365auto.com/zjdy/20200213/121234.shtml","瑞虎8湿式双离合质量稳定性和耐用性如何？")</f>
        <v>瑞虎8湿式双离合质量稳定性和耐用性如何？</v>
      </c>
      <c r="C8006" s="2" t="s">
        <v>13</v>
      </c>
      <c r="D8006" s="2" t="s">
        <v>12</v>
      </c>
      <c r="E8006" s="2"/>
      <c r="F8006" s="2" t="str">
        <f>HYPERLINK("http://m.12365auto.com/zjdy/20200213/121234.shtml","http://m.12365auto.com/zjdy/20200213/121234.shtml")</f>
        <v>http://m.12365auto.com/zjdy/20200213/121234.shtml</v>
      </c>
      <c r="G8006" s="2"/>
      <c r="H8006" s="2" t="s">
        <v>10959</v>
      </c>
      <c r="I8006" s="2" t="s">
        <v>19</v>
      </c>
      <c r="J8006" s="2" t="s">
        <v>12</v>
      </c>
      <c r="K8006" s="2" t="s">
        <v>10960</v>
      </c>
      <c r="L8006" s="2">
        <f t="shared" si="125"/>
        <v>21</v>
      </c>
    </row>
    <row r="8007" spans="1:12" ht="25" customHeight="1">
      <c r="A8007" s="2" t="s">
        <v>12</v>
      </c>
      <c r="B8007" s="2" t="str">
        <f>HYPERLINK("http://www.12365auto.com/zlts/20200213/447120.shtml","哈弗F7车机系统落后与宣传严重不符")</f>
        <v>哈弗F7车机系统落后与宣传严重不符</v>
      </c>
      <c r="C8007" s="2" t="s">
        <v>13</v>
      </c>
      <c r="D8007" s="2" t="s">
        <v>12</v>
      </c>
      <c r="E8007" s="2"/>
      <c r="F8007" s="2" t="str">
        <f>HYPERLINK("http://www.12365auto.com/zlts/20200213/447120.shtml","http://www.12365auto.com/zlts/20200213/447120.shtml")</f>
        <v>http://www.12365auto.com/zlts/20200213/447120.shtml</v>
      </c>
      <c r="G8007" s="2"/>
      <c r="H8007" s="2" t="s">
        <v>10962</v>
      </c>
      <c r="I8007" s="2" t="s">
        <v>15</v>
      </c>
      <c r="J8007" s="2" t="s">
        <v>12</v>
      </c>
      <c r="K8007" s="2" t="s">
        <v>10961</v>
      </c>
      <c r="L8007" s="2">
        <f t="shared" si="125"/>
        <v>81</v>
      </c>
    </row>
    <row r="8008" spans="1:12" ht="25" customHeight="1">
      <c r="A8008" s="2" t="s">
        <v>12</v>
      </c>
      <c r="B8008" s="2" t="str">
        <f>HYPERLINK("http://m.12365auto.com/zjdy/20200213/121231.shtml","2020款VV6后保险杠掉漆应该如何处理？")</f>
        <v>2020款VV6后保险杠掉漆应该如何处理？</v>
      </c>
      <c r="C8008" s="2" t="s">
        <v>13</v>
      </c>
      <c r="D8008" s="2" t="s">
        <v>12</v>
      </c>
      <c r="E8008" s="2"/>
      <c r="F8008" s="2" t="str">
        <f>HYPERLINK("http://m.12365auto.com/zjdy/20200213/121231.shtml","http://m.12365auto.com/zjdy/20200213/121231.shtml")</f>
        <v>http://m.12365auto.com/zjdy/20200213/121231.shtml</v>
      </c>
      <c r="G8008" s="2"/>
      <c r="H8008" s="2" t="s">
        <v>10963</v>
      </c>
      <c r="I8008" s="2" t="s">
        <v>19</v>
      </c>
      <c r="J8008" s="2" t="s">
        <v>12</v>
      </c>
      <c r="K8008" s="2" t="s">
        <v>10964</v>
      </c>
      <c r="L8008" s="2">
        <f t="shared" si="125"/>
        <v>27</v>
      </c>
    </row>
    <row r="8009" spans="1:12" ht="25" customHeight="1">
      <c r="A8009" s="2" t="s">
        <v>12</v>
      </c>
      <c r="B8009" s="2" t="str">
        <f>HYPERLINK("http://m.12365auto.com/zjdy/20200213/121233.shtml","冷车启动困难且转速不回位是什么原因？")</f>
        <v>冷车启动困难且转速不回位是什么原因？</v>
      </c>
      <c r="C8009" s="2" t="s">
        <v>13</v>
      </c>
      <c r="D8009" s="2" t="s">
        <v>12</v>
      </c>
      <c r="E8009" s="2"/>
      <c r="F8009" s="2" t="str">
        <f>HYPERLINK("http://m.12365auto.com/zjdy/20200213/121233.shtml","http://m.12365auto.com/zjdy/20200213/121233.shtml")</f>
        <v>http://m.12365auto.com/zjdy/20200213/121233.shtml</v>
      </c>
      <c r="G8009" s="2"/>
      <c r="H8009" s="2" t="s">
        <v>10965</v>
      </c>
      <c r="I8009" s="2" t="s">
        <v>19</v>
      </c>
      <c r="J8009" s="2" t="s">
        <v>12</v>
      </c>
      <c r="K8009" s="2" t="s">
        <v>10966</v>
      </c>
      <c r="L8009" s="2">
        <f t="shared" si="125"/>
        <v>54</v>
      </c>
    </row>
    <row r="8010" spans="1:12" ht="25" customHeight="1">
      <c r="A8010" s="2" t="s">
        <v>12</v>
      </c>
      <c r="B8010" s="2" t="str">
        <f>HYPERLINK("http://m.12365auto.com/zjdy/20200213/121230.shtml","哈弗H9涡轮增压发动机使用寿命如何？")</f>
        <v>哈弗H9涡轮增压发动机使用寿命如何？</v>
      </c>
      <c r="C8010" s="2" t="s">
        <v>13</v>
      </c>
      <c r="D8010" s="2" t="s">
        <v>12</v>
      </c>
      <c r="E8010" s="2"/>
      <c r="F8010" s="2" t="str">
        <f>HYPERLINK("http://m.12365auto.com/zjdy/20200213/121230.shtml","http://m.12365auto.com/zjdy/20200213/121230.shtml")</f>
        <v>http://m.12365auto.com/zjdy/20200213/121230.shtml</v>
      </c>
      <c r="G8010" s="2"/>
      <c r="H8010" s="2" t="s">
        <v>10967</v>
      </c>
      <c r="I8010" s="2" t="s">
        <v>19</v>
      </c>
      <c r="J8010" s="2" t="s">
        <v>12</v>
      </c>
      <c r="K8010" s="2" t="s">
        <v>10968</v>
      </c>
      <c r="L8010" s="2">
        <f t="shared" si="125"/>
        <v>150</v>
      </c>
    </row>
    <row r="8011" spans="1:12" ht="25" customHeight="1">
      <c r="A8011" s="2" t="s">
        <v>12</v>
      </c>
      <c r="B8011" s="2" t="str">
        <f>HYPERLINK("http://bbs.12365auto.com/postcontent.aspx?tID=194046","2019年全年中大型轿车销量排名 奔驰E级夺冠")</f>
        <v>2019年全年中大型轿车销量排名 奔驰E级夺冠</v>
      </c>
      <c r="C8011" s="2" t="s">
        <v>13</v>
      </c>
      <c r="D8011" s="2" t="s">
        <v>12</v>
      </c>
      <c r="E8011" s="2" t="s">
        <v>214</v>
      </c>
      <c r="F8011" s="2" t="str">
        <f>HYPERLINK("http://bbs.12365auto.com/postcontent.aspx?tID=194046","http://bbs.12365auto.com/postcontent.aspx?tID=194046")</f>
        <v>http://bbs.12365auto.com/postcontent.aspx?tID=194046</v>
      </c>
      <c r="G8011" s="2"/>
      <c r="H8011" s="2" t="s">
        <v>10969</v>
      </c>
      <c r="I8011" s="2" t="s">
        <v>15</v>
      </c>
      <c r="J8011" s="2" t="s">
        <v>949</v>
      </c>
      <c r="K8011" s="2" t="s">
        <v>10970</v>
      </c>
      <c r="L8011" s="2">
        <f t="shared" si="125"/>
        <v>150</v>
      </c>
    </row>
    <row r="8012" spans="1:12" ht="25" customHeight="1">
      <c r="A8012" s="2" t="s">
        <v>12</v>
      </c>
      <c r="B8012" s="2" t="str">
        <f>HYPERLINK("http://m.12365auto.com/bbs/postcontent.aspx?tID=194046","2019年全年中大型轿车销量排名 奔驰E级夺冠")</f>
        <v>2019年全年中大型轿车销量排名 奔驰E级夺冠</v>
      </c>
      <c r="C8012" s="2" t="s">
        <v>13</v>
      </c>
      <c r="D8012" s="2" t="s">
        <v>23</v>
      </c>
      <c r="E8012" s="2"/>
      <c r="F8012" s="2" t="str">
        <f>HYPERLINK("http://m.12365auto.com/bbs/postcontent.aspx?tID=194046","http://m.12365auto.com/bbs/postcontent.aspx?tID=194046")</f>
        <v>http://m.12365auto.com/bbs/postcontent.aspx?tID=194046</v>
      </c>
      <c r="G8012" s="2"/>
      <c r="H8012" s="2" t="s">
        <v>10971</v>
      </c>
      <c r="I8012" s="2" t="s">
        <v>15</v>
      </c>
      <c r="J8012" s="2" t="s">
        <v>949</v>
      </c>
      <c r="K8012" s="2" t="s">
        <v>10970</v>
      </c>
      <c r="L8012" s="2">
        <f t="shared" si="125"/>
        <v>150</v>
      </c>
    </row>
    <row r="8013" spans="1:12" ht="25" customHeight="1">
      <c r="A8013" s="2" t="s">
        <v>12</v>
      </c>
      <c r="B8013" s="2" t="str">
        <f>HYPERLINK("http://bbs.12365auto.com/postcontent.aspx?tId=194046","2019年全年中大型轿车销量排名 奔驰E级夺冠")</f>
        <v>2019年全年中大型轿车销量排名 奔驰E级夺冠</v>
      </c>
      <c r="C8013" s="2" t="s">
        <v>13</v>
      </c>
      <c r="D8013" s="2" t="s">
        <v>12</v>
      </c>
      <c r="E8013" s="2" t="s">
        <v>210</v>
      </c>
      <c r="F8013" s="2" t="str">
        <f>HYPERLINK("http://bbs.12365auto.com/postcontent.aspx?tId=194046","http://bbs.12365auto.com/postcontent.aspx?tId=194046")</f>
        <v>http://bbs.12365auto.com/postcontent.aspx?tId=194046</v>
      </c>
      <c r="G8013" s="2"/>
      <c r="H8013" s="2" t="s">
        <v>10971</v>
      </c>
      <c r="I8013" s="2" t="s">
        <v>15</v>
      </c>
      <c r="J8013" s="2" t="s">
        <v>949</v>
      </c>
      <c r="K8013" s="2" t="s">
        <v>10970</v>
      </c>
      <c r="L8013" s="2">
        <f t="shared" si="125"/>
        <v>150</v>
      </c>
    </row>
    <row r="8014" spans="1:12" ht="25" customHeight="1">
      <c r="A8014" s="2" t="s">
        <v>12</v>
      </c>
      <c r="B8014" s="2" t="str">
        <f>HYPERLINK("http://m.12365auto.com/zjdy/20200213/121229.shtml","别克君越加速无力4S店无法解决怎么办？")</f>
        <v>别克君越加速无力4S店无法解决怎么办？</v>
      </c>
      <c r="C8014" s="2" t="s">
        <v>13</v>
      </c>
      <c r="D8014" s="2" t="s">
        <v>12</v>
      </c>
      <c r="E8014" s="2"/>
      <c r="F8014" s="2" t="str">
        <f>HYPERLINK("http://m.12365auto.com/zjdy/20200213/121229.shtml","http://m.12365auto.com/zjdy/20200213/121229.shtml")</f>
        <v>http://m.12365auto.com/zjdy/20200213/121229.shtml</v>
      </c>
      <c r="G8014" s="2"/>
      <c r="H8014" s="2" t="s">
        <v>10972</v>
      </c>
      <c r="I8014" s="2" t="s">
        <v>19</v>
      </c>
      <c r="J8014" s="2" t="s">
        <v>12</v>
      </c>
      <c r="K8014" s="2" t="s">
        <v>10973</v>
      </c>
      <c r="L8014" s="2">
        <f t="shared" si="125"/>
        <v>142</v>
      </c>
    </row>
    <row r="8015" spans="1:12" ht="25" customHeight="1">
      <c r="A8015" s="2" t="s">
        <v>12</v>
      </c>
      <c r="B8015" s="2" t="str">
        <f>HYPERLINK("http://bbs.12365auto.com/postcontent.aspx?tID=194045","六年磨一剑 丰田汉兰达全面升级归来")</f>
        <v>六年磨一剑 丰田汉兰达全面升级归来</v>
      </c>
      <c r="C8015" s="2" t="s">
        <v>13</v>
      </c>
      <c r="D8015" s="2" t="s">
        <v>12</v>
      </c>
      <c r="E8015" s="2" t="s">
        <v>214</v>
      </c>
      <c r="F8015" s="2" t="str">
        <f>HYPERLINK("http://bbs.12365auto.com/postcontent.aspx?tID=194045","http://bbs.12365auto.com/postcontent.aspx?tID=194045")</f>
        <v>http://bbs.12365auto.com/postcontent.aspx?tID=194045</v>
      </c>
      <c r="G8015" s="2"/>
      <c r="H8015" s="2" t="s">
        <v>10974</v>
      </c>
      <c r="I8015" s="2" t="s">
        <v>15</v>
      </c>
      <c r="J8015" s="2" t="s">
        <v>949</v>
      </c>
      <c r="K8015" s="2" t="s">
        <v>10975</v>
      </c>
      <c r="L8015" s="2">
        <f t="shared" si="125"/>
        <v>150</v>
      </c>
    </row>
    <row r="8016" spans="1:12" ht="25" customHeight="1">
      <c r="A8016" s="2" t="s">
        <v>12</v>
      </c>
      <c r="B8016" s="2" t="str">
        <f>HYPERLINK("http://m.12365auto.com/bbs/postcontent.aspx?tID=194045","六年磨一剑 丰田汉兰达全面升级归来")</f>
        <v>六年磨一剑 丰田汉兰达全面升级归来</v>
      </c>
      <c r="C8016" s="2" t="s">
        <v>13</v>
      </c>
      <c r="D8016" s="2" t="s">
        <v>23</v>
      </c>
      <c r="E8016" s="2"/>
      <c r="F8016" s="2" t="str">
        <f>HYPERLINK("http://m.12365auto.com/bbs/postcontent.aspx?tID=194045","http://m.12365auto.com/bbs/postcontent.aspx?tID=194045")</f>
        <v>http://m.12365auto.com/bbs/postcontent.aspx?tID=194045</v>
      </c>
      <c r="G8016" s="2"/>
      <c r="H8016" s="2" t="s">
        <v>10976</v>
      </c>
      <c r="I8016" s="2" t="s">
        <v>15</v>
      </c>
      <c r="J8016" s="2" t="s">
        <v>949</v>
      </c>
      <c r="K8016" s="2" t="s">
        <v>10975</v>
      </c>
      <c r="L8016" s="2">
        <f t="shared" si="125"/>
        <v>150</v>
      </c>
    </row>
    <row r="8017" spans="1:12" ht="25" customHeight="1">
      <c r="A8017" s="2" t="s">
        <v>12</v>
      </c>
      <c r="B8017" s="2" t="str">
        <f>HYPERLINK("http://bbs.12365auto.com/postcontent.aspx?tId=194045","六年磨一剑 丰田汉兰达全面升级归来")</f>
        <v>六年磨一剑 丰田汉兰达全面升级归来</v>
      </c>
      <c r="C8017" s="2" t="s">
        <v>13</v>
      </c>
      <c r="D8017" s="2" t="s">
        <v>12</v>
      </c>
      <c r="E8017" s="2" t="s">
        <v>210</v>
      </c>
      <c r="F8017" s="2" t="str">
        <f>HYPERLINK("http://bbs.12365auto.com/postcontent.aspx?tId=194045","http://bbs.12365auto.com/postcontent.aspx?tId=194045")</f>
        <v>http://bbs.12365auto.com/postcontent.aspx?tId=194045</v>
      </c>
      <c r="G8017" s="2"/>
      <c r="H8017" s="2" t="s">
        <v>10976</v>
      </c>
      <c r="I8017" s="2" t="s">
        <v>15</v>
      </c>
      <c r="J8017" s="2" t="s">
        <v>949</v>
      </c>
      <c r="K8017" s="2" t="s">
        <v>10975</v>
      </c>
      <c r="L8017" s="2">
        <f t="shared" si="125"/>
        <v>150</v>
      </c>
    </row>
    <row r="8018" spans="1:12" ht="25" customHeight="1">
      <c r="A8018" s="2" t="s">
        <v>12</v>
      </c>
      <c r="B8018" s="2" t="str">
        <f>HYPERLINK("http://bbs.12365auto.com/postcontent.aspx?tID=194044","2019年乘用车销量榜单")</f>
        <v>2019年乘用车销量榜单</v>
      </c>
      <c r="C8018" s="2" t="s">
        <v>13</v>
      </c>
      <c r="D8018" s="2" t="s">
        <v>12</v>
      </c>
      <c r="E8018" s="2" t="s">
        <v>214</v>
      </c>
      <c r="F8018" s="2" t="str">
        <f>HYPERLINK("http://bbs.12365auto.com/postcontent.aspx?tID=194044","http://bbs.12365auto.com/postcontent.aspx?tID=194044")</f>
        <v>http://bbs.12365auto.com/postcontent.aspx?tID=194044</v>
      </c>
      <c r="G8018" s="2"/>
      <c r="H8018" s="2" t="s">
        <v>10977</v>
      </c>
      <c r="I8018" s="2" t="s">
        <v>15</v>
      </c>
      <c r="J8018" s="2" t="s">
        <v>949</v>
      </c>
      <c r="K8018" s="2" t="s">
        <v>10978</v>
      </c>
      <c r="L8018" s="2">
        <f t="shared" si="125"/>
        <v>150</v>
      </c>
    </row>
    <row r="8019" spans="1:12" ht="25" customHeight="1">
      <c r="A8019" s="2" t="s">
        <v>12</v>
      </c>
      <c r="B8019" s="2" t="str">
        <f>HYPERLINK("http://m.12365auto.com/bbs/postcontent.aspx?tID=194044","2019年乘用车销量榜单")</f>
        <v>2019年乘用车销量榜单</v>
      </c>
      <c r="C8019" s="2" t="s">
        <v>13</v>
      </c>
      <c r="D8019" s="2" t="s">
        <v>23</v>
      </c>
      <c r="E8019" s="2"/>
      <c r="F8019" s="2" t="str">
        <f>HYPERLINK("http://m.12365auto.com/bbs/postcontent.aspx?tID=194044","http://m.12365auto.com/bbs/postcontent.aspx?tID=194044")</f>
        <v>http://m.12365auto.com/bbs/postcontent.aspx?tID=194044</v>
      </c>
      <c r="G8019" s="2"/>
      <c r="H8019" s="2" t="s">
        <v>10979</v>
      </c>
      <c r="I8019" s="2" t="s">
        <v>15</v>
      </c>
      <c r="J8019" s="2" t="s">
        <v>949</v>
      </c>
      <c r="K8019" s="2" t="s">
        <v>10978</v>
      </c>
      <c r="L8019" s="2">
        <f t="shared" si="125"/>
        <v>150</v>
      </c>
    </row>
    <row r="8020" spans="1:12" ht="25" customHeight="1">
      <c r="A8020" s="2" t="s">
        <v>12</v>
      </c>
      <c r="B8020" s="2" t="str">
        <f>HYPERLINK("http://bbs.12365auto.com/postcontent.aspx?tId=194044","2019年乘用车销量榜单")</f>
        <v>2019年乘用车销量榜单</v>
      </c>
      <c r="C8020" s="2" t="s">
        <v>13</v>
      </c>
      <c r="D8020" s="2" t="s">
        <v>12</v>
      </c>
      <c r="E8020" s="2" t="s">
        <v>210</v>
      </c>
      <c r="F8020" s="2" t="str">
        <f>HYPERLINK("http://bbs.12365auto.com/postcontent.aspx?tId=194044","http://bbs.12365auto.com/postcontent.aspx?tId=194044")</f>
        <v>http://bbs.12365auto.com/postcontent.aspx?tId=194044</v>
      </c>
      <c r="G8020" s="2"/>
      <c r="H8020" s="2" t="s">
        <v>10979</v>
      </c>
      <c r="I8020" s="2" t="s">
        <v>15</v>
      </c>
      <c r="J8020" s="2" t="s">
        <v>949</v>
      </c>
      <c r="K8020" s="2" t="s">
        <v>10978</v>
      </c>
      <c r="L8020" s="2">
        <f t="shared" si="125"/>
        <v>150</v>
      </c>
    </row>
    <row r="8021" spans="1:12" ht="25" customHeight="1">
      <c r="A8021" s="2" t="s">
        <v>12</v>
      </c>
      <c r="B8021" s="2" t="str">
        <f>HYPERLINK("http://bbs.12365auto.com/postcontent.aspx?tID=194043","4年前花80万买的特斯拉 现在续航多少？")</f>
        <v>4年前花80万买的特斯拉 现在续航多少？</v>
      </c>
      <c r="C8021" s="2" t="s">
        <v>13</v>
      </c>
      <c r="D8021" s="2" t="s">
        <v>12</v>
      </c>
      <c r="E8021" s="2" t="s">
        <v>214</v>
      </c>
      <c r="F8021" s="2" t="str">
        <f>HYPERLINK("http://bbs.12365auto.com/postcontent.aspx?tID=194043","http://bbs.12365auto.com/postcontent.aspx?tID=194043")</f>
        <v>http://bbs.12365auto.com/postcontent.aspx?tID=194043</v>
      </c>
      <c r="G8021" s="2"/>
      <c r="H8021" s="2" t="s">
        <v>978</v>
      </c>
      <c r="I8021" s="2" t="s">
        <v>15</v>
      </c>
      <c r="J8021" s="2" t="s">
        <v>949</v>
      </c>
      <c r="K8021" s="2" t="s">
        <v>10980</v>
      </c>
      <c r="L8021" s="2">
        <f t="shared" si="125"/>
        <v>150</v>
      </c>
    </row>
    <row r="8022" spans="1:12" ht="25" customHeight="1">
      <c r="A8022" s="2" t="s">
        <v>12</v>
      </c>
      <c r="B8022" s="2" t="str">
        <f>HYPERLINK("http://m.12365auto.com/bbs/postcontent.aspx?tID=194043","4年前花80万买的特斯拉 现在续航多少？")</f>
        <v>4年前花80万买的特斯拉 现在续航多少？</v>
      </c>
      <c r="C8022" s="2" t="s">
        <v>13</v>
      </c>
      <c r="D8022" s="2" t="s">
        <v>23</v>
      </c>
      <c r="E8022" s="2"/>
      <c r="F8022" s="2" t="str">
        <f>HYPERLINK("http://m.12365auto.com/bbs/postcontent.aspx?tID=194043","http://m.12365auto.com/bbs/postcontent.aspx?tID=194043")</f>
        <v>http://m.12365auto.com/bbs/postcontent.aspx?tID=194043</v>
      </c>
      <c r="G8022" s="2"/>
      <c r="H8022" s="2" t="s">
        <v>977</v>
      </c>
      <c r="I8022" s="2" t="s">
        <v>15</v>
      </c>
      <c r="J8022" s="2" t="s">
        <v>949</v>
      </c>
      <c r="K8022" s="2" t="s">
        <v>10980</v>
      </c>
      <c r="L8022" s="2">
        <f t="shared" si="125"/>
        <v>150</v>
      </c>
    </row>
    <row r="8023" spans="1:12" ht="25" customHeight="1">
      <c r="A8023" s="2" t="s">
        <v>12</v>
      </c>
      <c r="B8023" s="2" t="str">
        <f>HYPERLINK("http://bbs.12365auto.com/postcontent.aspx?tId=194043","4年前花80万买的特斯拉 现在续航多少？")</f>
        <v>4年前花80万买的特斯拉 现在续航多少？</v>
      </c>
      <c r="C8023" s="2" t="s">
        <v>13</v>
      </c>
      <c r="D8023" s="2" t="s">
        <v>12</v>
      </c>
      <c r="E8023" s="2" t="s">
        <v>210</v>
      </c>
      <c r="F8023" s="2" t="str">
        <f>HYPERLINK("http://bbs.12365auto.com/postcontent.aspx?tId=194043","http://bbs.12365auto.com/postcontent.aspx?tId=194043")</f>
        <v>http://bbs.12365auto.com/postcontent.aspx?tId=194043</v>
      </c>
      <c r="G8023" s="2"/>
      <c r="H8023" s="2" t="s">
        <v>977</v>
      </c>
      <c r="I8023" s="2" t="s">
        <v>15</v>
      </c>
      <c r="J8023" s="2" t="s">
        <v>949</v>
      </c>
      <c r="K8023" s="2" t="s">
        <v>10980</v>
      </c>
      <c r="L8023" s="2">
        <f t="shared" si="125"/>
        <v>150</v>
      </c>
    </row>
    <row r="8024" spans="1:12" ht="25" customHeight="1">
      <c r="A8024" s="2" t="s">
        <v>12</v>
      </c>
      <c r="B8024" s="2" t="str">
        <f>HYPERLINK("http://bbs.12365auto.com/postcontent.aspx?tID=194042","吉利换回四缸机 是醒悟还是迷失？")</f>
        <v>吉利换回四缸机 是醒悟还是迷失？</v>
      </c>
      <c r="C8024" s="2" t="s">
        <v>13</v>
      </c>
      <c r="D8024" s="2" t="s">
        <v>12</v>
      </c>
      <c r="E8024" s="2" t="s">
        <v>214</v>
      </c>
      <c r="F8024" s="2" t="str">
        <f>HYPERLINK("http://bbs.12365auto.com/postcontent.aspx?tID=194042","http://bbs.12365auto.com/postcontent.aspx?tID=194042")</f>
        <v>http://bbs.12365auto.com/postcontent.aspx?tID=194042</v>
      </c>
      <c r="G8024" s="2"/>
      <c r="H8024" s="2" t="s">
        <v>1926</v>
      </c>
      <c r="I8024" s="2" t="s">
        <v>15</v>
      </c>
      <c r="J8024" s="2" t="s">
        <v>949</v>
      </c>
      <c r="K8024" s="2" t="s">
        <v>10981</v>
      </c>
      <c r="L8024" s="2">
        <f t="shared" si="125"/>
        <v>150</v>
      </c>
    </row>
    <row r="8025" spans="1:12" ht="25" customHeight="1">
      <c r="A8025" s="2" t="s">
        <v>12</v>
      </c>
      <c r="B8025" s="2" t="str">
        <f>HYPERLINK("http://m.12365auto.com/bbs/postcontent.aspx?tID=194042","吉利换回四缸机 是醒悟还是迷失？")</f>
        <v>吉利换回四缸机 是醒悟还是迷失？</v>
      </c>
      <c r="C8025" s="2" t="s">
        <v>13</v>
      </c>
      <c r="D8025" s="2" t="s">
        <v>23</v>
      </c>
      <c r="E8025" s="2"/>
      <c r="F8025" s="2" t="str">
        <f>HYPERLINK("http://m.12365auto.com/bbs/postcontent.aspx?tID=194042","http://m.12365auto.com/bbs/postcontent.aspx?tID=194042")</f>
        <v>http://m.12365auto.com/bbs/postcontent.aspx?tID=194042</v>
      </c>
      <c r="G8025" s="2"/>
      <c r="H8025" s="2" t="s">
        <v>1924</v>
      </c>
      <c r="I8025" s="2" t="s">
        <v>15</v>
      </c>
      <c r="J8025" s="2" t="s">
        <v>949</v>
      </c>
      <c r="K8025" s="2" t="s">
        <v>10981</v>
      </c>
      <c r="L8025" s="2">
        <f t="shared" si="125"/>
        <v>150</v>
      </c>
    </row>
    <row r="8026" spans="1:12" ht="25" customHeight="1">
      <c r="A8026" s="2" t="s">
        <v>12</v>
      </c>
      <c r="B8026" s="2" t="str">
        <f>HYPERLINK("http://bbs.12365auto.com/postcontent.aspx?tId=194042","吉利换回四缸机 是醒悟还是迷失？")</f>
        <v>吉利换回四缸机 是醒悟还是迷失？</v>
      </c>
      <c r="C8026" s="2" t="s">
        <v>13</v>
      </c>
      <c r="D8026" s="2" t="s">
        <v>12</v>
      </c>
      <c r="E8026" s="2" t="s">
        <v>210</v>
      </c>
      <c r="F8026" s="2" t="str">
        <f>HYPERLINK("http://bbs.12365auto.com/postcontent.aspx?tId=194042","http://bbs.12365auto.com/postcontent.aspx?tId=194042")</f>
        <v>http://bbs.12365auto.com/postcontent.aspx?tId=194042</v>
      </c>
      <c r="G8026" s="2"/>
      <c r="H8026" s="2" t="s">
        <v>1924</v>
      </c>
      <c r="I8026" s="2" t="s">
        <v>15</v>
      </c>
      <c r="J8026" s="2" t="s">
        <v>949</v>
      </c>
      <c r="K8026" s="2" t="s">
        <v>10981</v>
      </c>
      <c r="L8026" s="2">
        <f t="shared" si="125"/>
        <v>150</v>
      </c>
    </row>
    <row r="8027" spans="1:12" ht="25" customHeight="1">
      <c r="A8027" s="2" t="s">
        <v>12</v>
      </c>
      <c r="B8027" s="2" t="str">
        <f>HYPERLINK("http://m.12365auto.com/zjdy/20200213/121227.shtml","普拉多手动挡状态下可以挂入空挡吗？")</f>
        <v>普拉多手动挡状态下可以挂入空挡吗？</v>
      </c>
      <c r="C8027" s="2" t="s">
        <v>13</v>
      </c>
      <c r="D8027" s="2" t="s">
        <v>12</v>
      </c>
      <c r="E8027" s="2"/>
      <c r="F8027" s="2" t="str">
        <f>HYPERLINK("http://m.12365auto.com/zjdy/20200213/121227.shtml","http://m.12365auto.com/zjdy/20200213/121227.shtml")</f>
        <v>http://m.12365auto.com/zjdy/20200213/121227.shtml</v>
      </c>
      <c r="G8027" s="2"/>
      <c r="H8027" s="2" t="s">
        <v>10982</v>
      </c>
      <c r="I8027" s="2" t="s">
        <v>19</v>
      </c>
      <c r="J8027" s="2" t="s">
        <v>12</v>
      </c>
      <c r="K8027" s="2" t="s">
        <v>10983</v>
      </c>
      <c r="L8027" s="2">
        <f t="shared" si="125"/>
        <v>84</v>
      </c>
    </row>
    <row r="8028" spans="1:12" ht="25" customHeight="1">
      <c r="A8028" s="2" t="s">
        <v>12</v>
      </c>
      <c r="B8028" s="2" t="str">
        <f>HYPERLINK("http://www.12365auto.com/zlts/20200213/447119.shtml","宝骏730空调异味售后维修未解决问题")</f>
        <v>宝骏730空调异味售后维修未解决问题</v>
      </c>
      <c r="C8028" s="2" t="s">
        <v>13</v>
      </c>
      <c r="D8028" s="2" t="s">
        <v>12</v>
      </c>
      <c r="E8028" s="2" t="s">
        <v>17</v>
      </c>
      <c r="F8028" s="2" t="str">
        <f>HYPERLINK("http://www.12365auto.com/zlts/20200213/447119.shtml","http://www.12365auto.com/zlts/20200213/447119.shtml")</f>
        <v>http://www.12365auto.com/zlts/20200213/447119.shtml</v>
      </c>
      <c r="G8028" s="2"/>
      <c r="H8028" s="2" t="s">
        <v>10984</v>
      </c>
      <c r="I8028" s="2" t="s">
        <v>15</v>
      </c>
      <c r="J8028" s="2" t="s">
        <v>12</v>
      </c>
      <c r="K8028" s="2" t="s">
        <v>10985</v>
      </c>
      <c r="L8028" s="2">
        <f t="shared" si="125"/>
        <v>150</v>
      </c>
    </row>
    <row r="8029" spans="1:12" ht="25" customHeight="1">
      <c r="A8029" s="2" t="s">
        <v>12</v>
      </c>
      <c r="B8029" s="2" t="str">
        <f>HYPERLINK("http://bbs.12365auto.com/postcontent.aspx?tID=194041","富人看不上 穷人买不起 这些车可真尴尬")</f>
        <v>富人看不上 穷人买不起 这些车可真尴尬</v>
      </c>
      <c r="C8029" s="2" t="s">
        <v>13</v>
      </c>
      <c r="D8029" s="2" t="s">
        <v>12</v>
      </c>
      <c r="E8029" s="2" t="s">
        <v>214</v>
      </c>
      <c r="F8029" s="2" t="str">
        <f>HYPERLINK("http://bbs.12365auto.com/postcontent.aspx?tID=194041","http://bbs.12365auto.com/postcontent.aspx?tID=194041")</f>
        <v>http://bbs.12365auto.com/postcontent.aspx?tID=194041</v>
      </c>
      <c r="G8029" s="2"/>
      <c r="H8029" s="2" t="s">
        <v>10986</v>
      </c>
      <c r="I8029" s="2" t="s">
        <v>15</v>
      </c>
      <c r="J8029" s="2" t="s">
        <v>949</v>
      </c>
      <c r="K8029" s="2" t="s">
        <v>10987</v>
      </c>
      <c r="L8029" s="2">
        <f t="shared" si="125"/>
        <v>150</v>
      </c>
    </row>
    <row r="8030" spans="1:12" ht="25" customHeight="1">
      <c r="A8030" s="2" t="s">
        <v>12</v>
      </c>
      <c r="B8030" s="2" t="str">
        <f>HYPERLINK("http://m.12365auto.com/bbs/postcontent.aspx?tID=194041","富人看不上 穷人买不起 这些车可真尴尬")</f>
        <v>富人看不上 穷人买不起 这些车可真尴尬</v>
      </c>
      <c r="C8030" s="2" t="s">
        <v>13</v>
      </c>
      <c r="D8030" s="2" t="s">
        <v>23</v>
      </c>
      <c r="E8030" s="2"/>
      <c r="F8030" s="2" t="str">
        <f>HYPERLINK("http://m.12365auto.com/bbs/postcontent.aspx?tID=194041","http://m.12365auto.com/bbs/postcontent.aspx?tID=194041")</f>
        <v>http://m.12365auto.com/bbs/postcontent.aspx?tID=194041</v>
      </c>
      <c r="G8030" s="2"/>
      <c r="H8030" s="2" t="s">
        <v>9258</v>
      </c>
      <c r="I8030" s="2" t="s">
        <v>15</v>
      </c>
      <c r="J8030" s="2" t="s">
        <v>949</v>
      </c>
      <c r="K8030" s="2" t="s">
        <v>10987</v>
      </c>
      <c r="L8030" s="2">
        <f t="shared" si="125"/>
        <v>150</v>
      </c>
    </row>
    <row r="8031" spans="1:12" ht="25" customHeight="1">
      <c r="A8031" s="2" t="s">
        <v>12</v>
      </c>
      <c r="B8031" s="2" t="str">
        <f>HYPERLINK("http://bbs.12365auto.com/postcontent.aspx?tId=194041","富人看不上 穷人买不起 这些车可真尴尬")</f>
        <v>富人看不上 穷人买不起 这些车可真尴尬</v>
      </c>
      <c r="C8031" s="2" t="s">
        <v>13</v>
      </c>
      <c r="D8031" s="2" t="s">
        <v>12</v>
      </c>
      <c r="E8031" s="2" t="s">
        <v>210</v>
      </c>
      <c r="F8031" s="2" t="str">
        <f>HYPERLINK("http://bbs.12365auto.com/postcontent.aspx?tId=194041","http://bbs.12365auto.com/postcontent.aspx?tId=194041")</f>
        <v>http://bbs.12365auto.com/postcontent.aspx?tId=194041</v>
      </c>
      <c r="G8031" s="2"/>
      <c r="H8031" s="2" t="s">
        <v>9258</v>
      </c>
      <c r="I8031" s="2" t="s">
        <v>15</v>
      </c>
      <c r="J8031" s="2" t="s">
        <v>949</v>
      </c>
      <c r="K8031" s="2" t="s">
        <v>10987</v>
      </c>
      <c r="L8031" s="2">
        <f t="shared" si="125"/>
        <v>150</v>
      </c>
    </row>
    <row r="8032" spans="1:12" ht="25" customHeight="1">
      <c r="A8032" s="2" t="s">
        <v>12</v>
      </c>
      <c r="B8032" s="2" t="str">
        <f>HYPERLINK("http://bbs.12365auto.com/postcontent.aspx?tID=194040","马自达直6引擎+8AT专利曝光 网友：这下真变宝马了​")</f>
        <v>马自达直6引擎+8AT专利曝光 网友：这下真变宝马了​</v>
      </c>
      <c r="C8032" s="2" t="s">
        <v>13</v>
      </c>
      <c r="D8032" s="2" t="s">
        <v>12</v>
      </c>
      <c r="E8032" s="2" t="s">
        <v>214</v>
      </c>
      <c r="F8032" s="2" t="str">
        <f>HYPERLINK("http://bbs.12365auto.com/postcontent.aspx?tID=194040","http://bbs.12365auto.com/postcontent.aspx?tID=194040")</f>
        <v>http://bbs.12365auto.com/postcontent.aspx?tID=194040</v>
      </c>
      <c r="G8032" s="2"/>
      <c r="H8032" s="2" t="s">
        <v>10988</v>
      </c>
      <c r="I8032" s="2" t="s">
        <v>15</v>
      </c>
      <c r="J8032" s="2" t="s">
        <v>949</v>
      </c>
      <c r="K8032" s="2" t="s">
        <v>10989</v>
      </c>
      <c r="L8032" s="2">
        <f t="shared" si="125"/>
        <v>150</v>
      </c>
    </row>
    <row r="8033" spans="1:12" ht="25" customHeight="1">
      <c r="A8033" s="2" t="s">
        <v>12</v>
      </c>
      <c r="B8033" s="2" t="str">
        <f>HYPERLINK("http://m.12365auto.com/bbs/postcontent.aspx?tID=194040","马自达直6引擎+8AT专利曝光 网友：这下真变宝马了")</f>
        <v>马自达直6引擎+8AT专利曝光 网友：这下真变宝马了</v>
      </c>
      <c r="C8033" s="2" t="s">
        <v>13</v>
      </c>
      <c r="D8033" s="2" t="s">
        <v>23</v>
      </c>
      <c r="E8033" s="2"/>
      <c r="F8033" s="2" t="str">
        <f>HYPERLINK("http://m.12365auto.com/bbs/postcontent.aspx?tID=194040","http://m.12365auto.com/bbs/postcontent.aspx?tID=194040")</f>
        <v>http://m.12365auto.com/bbs/postcontent.aspx?tID=194040</v>
      </c>
      <c r="G8033" s="2"/>
      <c r="H8033" s="2" t="s">
        <v>10990</v>
      </c>
      <c r="I8033" s="2" t="s">
        <v>15</v>
      </c>
      <c r="J8033" s="2" t="s">
        <v>949</v>
      </c>
      <c r="K8033" s="2" t="s">
        <v>10989</v>
      </c>
      <c r="L8033" s="2">
        <f t="shared" si="125"/>
        <v>150</v>
      </c>
    </row>
    <row r="8034" spans="1:12" ht="25" customHeight="1">
      <c r="A8034" s="2" t="s">
        <v>12</v>
      </c>
      <c r="B8034" s="2" t="str">
        <f>HYPERLINK("http://m.12365auto.com/bbs/postcontent.aspx?tID=194039","这才是撩妹车 连跌7万 年轻人都抢着要")</f>
        <v>这才是撩妹车 连跌7万 年轻人都抢着要</v>
      </c>
      <c r="C8034" s="2" t="s">
        <v>13</v>
      </c>
      <c r="D8034" s="2" t="s">
        <v>23</v>
      </c>
      <c r="E8034" s="2"/>
      <c r="F8034" s="2" t="str">
        <f>HYPERLINK("http://m.12365auto.com/bbs/postcontent.aspx?tID=194039","http://m.12365auto.com/bbs/postcontent.aspx?tID=194039")</f>
        <v>http://m.12365auto.com/bbs/postcontent.aspx?tID=194039</v>
      </c>
      <c r="G8034" s="2"/>
      <c r="H8034" s="2" t="s">
        <v>10991</v>
      </c>
      <c r="I8034" s="2" t="s">
        <v>15</v>
      </c>
      <c r="J8034" s="2" t="s">
        <v>949</v>
      </c>
      <c r="K8034" s="2" t="s">
        <v>10989</v>
      </c>
      <c r="L8034" s="2">
        <f t="shared" si="125"/>
        <v>150</v>
      </c>
    </row>
    <row r="8035" spans="1:12" ht="25" customHeight="1">
      <c r="A8035" s="2" t="s">
        <v>12</v>
      </c>
      <c r="B8035" s="2" t="str">
        <f>HYPERLINK("http://bbs.12365auto.com/postcontent.aspx?tId=194039","这才是撩妹车 连跌7万 年轻人都抢着要")</f>
        <v>这才是撩妹车 连跌7万 年轻人都抢着要</v>
      </c>
      <c r="C8035" s="2" t="s">
        <v>13</v>
      </c>
      <c r="D8035" s="2" t="s">
        <v>12</v>
      </c>
      <c r="E8035" s="2" t="s">
        <v>210</v>
      </c>
      <c r="F8035" s="2" t="str">
        <f>HYPERLINK("http://bbs.12365auto.com/postcontent.aspx?tId=194039","http://bbs.12365auto.com/postcontent.aspx?tId=194039")</f>
        <v>http://bbs.12365auto.com/postcontent.aspx?tId=194039</v>
      </c>
      <c r="G8035" s="2"/>
      <c r="H8035" s="2" t="s">
        <v>10991</v>
      </c>
      <c r="I8035" s="2" t="s">
        <v>15</v>
      </c>
      <c r="J8035" s="2" t="s">
        <v>949</v>
      </c>
      <c r="K8035" s="2" t="s">
        <v>10989</v>
      </c>
      <c r="L8035" s="2">
        <f t="shared" si="125"/>
        <v>150</v>
      </c>
    </row>
    <row r="8036" spans="1:12" ht="25" customHeight="1">
      <c r="A8036" s="2" t="s">
        <v>12</v>
      </c>
      <c r="B8036" s="2" t="str">
        <f>HYPERLINK("http://bbs.12365auto.com/postcontent.aspx?tId=194040","马自达直6引擎+8AT专利曝光 网友：这下真变宝马了​")</f>
        <v>马自达直6引擎+8AT专利曝光 网友：这下真变宝马了​</v>
      </c>
      <c r="C8036" s="2" t="s">
        <v>13</v>
      </c>
      <c r="D8036" s="2" t="s">
        <v>12</v>
      </c>
      <c r="E8036" s="2" t="s">
        <v>210</v>
      </c>
      <c r="F8036" s="2" t="str">
        <f>HYPERLINK("http://bbs.12365auto.com/postcontent.aspx?tId=194040","http://bbs.12365auto.com/postcontent.aspx?tId=194040")</f>
        <v>http://bbs.12365auto.com/postcontent.aspx?tId=194040</v>
      </c>
      <c r="G8036" s="2"/>
      <c r="H8036" s="2" t="s">
        <v>10990</v>
      </c>
      <c r="I8036" s="2" t="s">
        <v>15</v>
      </c>
      <c r="J8036" s="2" t="s">
        <v>949</v>
      </c>
      <c r="K8036" s="2" t="s">
        <v>10989</v>
      </c>
      <c r="L8036" s="2">
        <f t="shared" si="125"/>
        <v>150</v>
      </c>
    </row>
    <row r="8037" spans="1:12" ht="25" customHeight="1">
      <c r="A8037" s="2" t="s">
        <v>12</v>
      </c>
      <c r="B8037" s="2" t="str">
        <f>HYPERLINK("http://bbs.12365auto.com/postcontent.aspx?tID=194039","这才是撩妹车 连跌7万 年轻人都抢着要")</f>
        <v>这才是撩妹车 连跌7万 年轻人都抢着要</v>
      </c>
      <c r="C8037" s="2" t="s">
        <v>13</v>
      </c>
      <c r="D8037" s="2" t="s">
        <v>12</v>
      </c>
      <c r="E8037" s="2" t="s">
        <v>214</v>
      </c>
      <c r="F8037" s="2" t="str">
        <f>HYPERLINK("http://bbs.12365auto.com/postcontent.aspx?tID=194039","http://bbs.12365auto.com/postcontent.aspx?tID=194039")</f>
        <v>http://bbs.12365auto.com/postcontent.aspx?tID=194039</v>
      </c>
      <c r="G8037" s="2"/>
      <c r="H8037" s="2" t="s">
        <v>10992</v>
      </c>
      <c r="I8037" s="2" t="s">
        <v>15</v>
      </c>
      <c r="J8037" s="2" t="s">
        <v>949</v>
      </c>
      <c r="K8037" s="2" t="s">
        <v>10989</v>
      </c>
      <c r="L8037" s="2">
        <f t="shared" si="125"/>
        <v>150</v>
      </c>
    </row>
    <row r="8038" spans="1:12" ht="25" customHeight="1">
      <c r="A8038" s="2" t="s">
        <v>12</v>
      </c>
      <c r="B8038" s="2" t="str">
        <f>HYPERLINK("http://bbs.12365auto.com/postcontent.aspx?tID=194038","目前优惠甚大的奥迪A4L 体验40TFSI的进取型")</f>
        <v>目前优惠甚大的奥迪A4L 体验40TFSI的进取型</v>
      </c>
      <c r="C8038" s="2" t="s">
        <v>13</v>
      </c>
      <c r="D8038" s="2" t="s">
        <v>12</v>
      </c>
      <c r="E8038" s="2" t="s">
        <v>214</v>
      </c>
      <c r="F8038" s="2" t="str">
        <f>HYPERLINK("http://bbs.12365auto.com/postcontent.aspx?tID=194038","http://bbs.12365auto.com/postcontent.aspx?tID=194038")</f>
        <v>http://bbs.12365auto.com/postcontent.aspx?tID=194038</v>
      </c>
      <c r="G8038" s="2"/>
      <c r="H8038" s="2" t="s">
        <v>10993</v>
      </c>
      <c r="I8038" s="2" t="s">
        <v>15</v>
      </c>
      <c r="J8038" s="2" t="s">
        <v>949</v>
      </c>
      <c r="K8038" s="2" t="s">
        <v>10994</v>
      </c>
      <c r="L8038" s="2">
        <f t="shared" si="125"/>
        <v>150</v>
      </c>
    </row>
    <row r="8039" spans="1:12" ht="25" customHeight="1">
      <c r="A8039" s="2" t="s">
        <v>12</v>
      </c>
      <c r="B8039" s="2" t="str">
        <f>HYPERLINK("http://m.12365auto.com/bbs/postcontent.aspx?tID=194038","目前优惠甚大的奥迪A4L 体验40TFSI的进取型")</f>
        <v>目前优惠甚大的奥迪A4L 体验40TFSI的进取型</v>
      </c>
      <c r="C8039" s="2" t="s">
        <v>13</v>
      </c>
      <c r="D8039" s="2" t="s">
        <v>23</v>
      </c>
      <c r="E8039" s="2"/>
      <c r="F8039" s="2" t="str">
        <f>HYPERLINK("http://m.12365auto.com/bbs/postcontent.aspx?tID=194038","http://m.12365auto.com/bbs/postcontent.aspx?tID=194038")</f>
        <v>http://m.12365auto.com/bbs/postcontent.aspx?tID=194038</v>
      </c>
      <c r="G8039" s="2"/>
      <c r="H8039" s="2" t="s">
        <v>10995</v>
      </c>
      <c r="I8039" s="2" t="s">
        <v>15</v>
      </c>
      <c r="J8039" s="2" t="s">
        <v>949</v>
      </c>
      <c r="K8039" s="2" t="s">
        <v>10994</v>
      </c>
      <c r="L8039" s="2">
        <f t="shared" si="125"/>
        <v>150</v>
      </c>
    </row>
    <row r="8040" spans="1:12" ht="25" customHeight="1">
      <c r="A8040" s="2" t="s">
        <v>12</v>
      </c>
      <c r="B8040" s="2" t="str">
        <f>HYPERLINK("http://bbs.12365auto.com/postcontent.aspx?tId=194038","目前优惠甚大的奥迪A4L 体验40TFSI的进取型")</f>
        <v>目前优惠甚大的奥迪A4L 体验40TFSI的进取型</v>
      </c>
      <c r="C8040" s="2" t="s">
        <v>13</v>
      </c>
      <c r="D8040" s="2" t="s">
        <v>12</v>
      </c>
      <c r="E8040" s="2" t="s">
        <v>210</v>
      </c>
      <c r="F8040" s="2" t="str">
        <f>HYPERLINK("http://bbs.12365auto.com/postcontent.aspx?tId=194038","http://bbs.12365auto.com/postcontent.aspx?tId=194038")</f>
        <v>http://bbs.12365auto.com/postcontent.aspx?tId=194038</v>
      </c>
      <c r="G8040" s="2"/>
      <c r="H8040" s="2" t="s">
        <v>10995</v>
      </c>
      <c r="I8040" s="2" t="s">
        <v>15</v>
      </c>
      <c r="J8040" s="2" t="s">
        <v>949</v>
      </c>
      <c r="K8040" s="2" t="s">
        <v>10994</v>
      </c>
      <c r="L8040" s="2">
        <f t="shared" si="125"/>
        <v>150</v>
      </c>
    </row>
    <row r="8041" spans="1:12" ht="25" customHeight="1">
      <c r="A8041" s="2" t="s">
        <v>12</v>
      </c>
      <c r="B8041" s="2" t="str">
        <f>HYPERLINK("http://m.12365auto.com/bbs/postcontent.aspx?tID=194037","宝马全新一代4系实车曝光 不料众人受不了了")</f>
        <v>宝马全新一代4系实车曝光 不料众人受不了了</v>
      </c>
      <c r="C8041" s="2" t="s">
        <v>13</v>
      </c>
      <c r="D8041" s="2" t="s">
        <v>23</v>
      </c>
      <c r="E8041" s="2"/>
      <c r="F8041" s="2" t="str">
        <f>HYPERLINK("http://m.12365auto.com/bbs/postcontent.aspx?tID=194037","http://m.12365auto.com/bbs/postcontent.aspx?tID=194037")</f>
        <v>http://m.12365auto.com/bbs/postcontent.aspx?tID=194037</v>
      </c>
      <c r="G8041" s="2"/>
      <c r="H8041" s="2" t="s">
        <v>10996</v>
      </c>
      <c r="I8041" s="2" t="s">
        <v>15</v>
      </c>
      <c r="J8041" s="2" t="s">
        <v>949</v>
      </c>
      <c r="K8041" s="2" t="s">
        <v>10997</v>
      </c>
      <c r="L8041" s="2">
        <f t="shared" si="125"/>
        <v>150</v>
      </c>
    </row>
    <row r="8042" spans="1:12" ht="25" customHeight="1">
      <c r="A8042" s="2" t="s">
        <v>12</v>
      </c>
      <c r="B8042" s="2" t="str">
        <f>HYPERLINK("http://bbs.12365auto.com/postcontent.aspx?tId=194037","宝马全新一代4系实车曝光 不料众人受不了了")</f>
        <v>宝马全新一代4系实车曝光 不料众人受不了了</v>
      </c>
      <c r="C8042" s="2" t="s">
        <v>13</v>
      </c>
      <c r="D8042" s="2" t="s">
        <v>12</v>
      </c>
      <c r="E8042" s="2" t="s">
        <v>210</v>
      </c>
      <c r="F8042" s="2" t="str">
        <f>HYPERLINK("http://bbs.12365auto.com/postcontent.aspx?tId=194037","http://bbs.12365auto.com/postcontent.aspx?tId=194037")</f>
        <v>http://bbs.12365auto.com/postcontent.aspx?tId=194037</v>
      </c>
      <c r="G8042" s="2"/>
      <c r="H8042" s="2" t="s">
        <v>10996</v>
      </c>
      <c r="I8042" s="2" t="s">
        <v>15</v>
      </c>
      <c r="J8042" s="2" t="s">
        <v>949</v>
      </c>
      <c r="K8042" s="2" t="s">
        <v>10997</v>
      </c>
      <c r="L8042" s="2">
        <f t="shared" si="125"/>
        <v>150</v>
      </c>
    </row>
    <row r="8043" spans="1:12" ht="25" customHeight="1">
      <c r="A8043" s="2" t="s">
        <v>12</v>
      </c>
      <c r="B8043" s="2" t="str">
        <f>HYPERLINK("http://bbs.12365auto.com/postcontent.aspx?tID=194037","宝马全新一代4系实车曝光 不料众人受不了了")</f>
        <v>宝马全新一代4系实车曝光 不料众人受不了了</v>
      </c>
      <c r="C8043" s="2" t="s">
        <v>13</v>
      </c>
      <c r="D8043" s="2" t="s">
        <v>12</v>
      </c>
      <c r="E8043" s="2" t="s">
        <v>214</v>
      </c>
      <c r="F8043" s="2" t="str">
        <f>HYPERLINK("http://bbs.12365auto.com/postcontent.aspx?tID=194037","http://bbs.12365auto.com/postcontent.aspx?tID=194037")</f>
        <v>http://bbs.12365auto.com/postcontent.aspx?tID=194037</v>
      </c>
      <c r="G8043" s="2"/>
      <c r="H8043" s="2" t="s">
        <v>10998</v>
      </c>
      <c r="I8043" s="2" t="s">
        <v>15</v>
      </c>
      <c r="J8043" s="2" t="s">
        <v>949</v>
      </c>
      <c r="K8043" s="2" t="s">
        <v>10997</v>
      </c>
      <c r="L8043" s="2">
        <f t="shared" si="125"/>
        <v>150</v>
      </c>
    </row>
    <row r="8044" spans="1:12" ht="25" customHeight="1">
      <c r="A8044" s="2" t="s">
        <v>12</v>
      </c>
      <c r="B8044" s="2" t="str">
        <f>HYPERLINK("http://www.12365auto.com/zlts/20200213/447113.shtml","奇瑞艾瑞泽5发动机爆震有异响油耗偏高")</f>
        <v>奇瑞艾瑞泽5发动机爆震有异响油耗偏高</v>
      </c>
      <c r="C8044" s="2" t="s">
        <v>13</v>
      </c>
      <c r="D8044" s="2" t="s">
        <v>12</v>
      </c>
      <c r="E8044" s="2"/>
      <c r="F8044" s="2" t="str">
        <f>HYPERLINK("http://www.12365auto.com/zlts/20200213/447113.shtml","http://www.12365auto.com/zlts/20200213/447113.shtml")</f>
        <v>http://www.12365auto.com/zlts/20200213/447113.shtml</v>
      </c>
      <c r="G8044" s="2"/>
      <c r="H8044" s="2" t="s">
        <v>11000</v>
      </c>
      <c r="I8044" s="2" t="s">
        <v>15</v>
      </c>
      <c r="J8044" s="2" t="s">
        <v>12</v>
      </c>
      <c r="K8044" s="2" t="s">
        <v>10999</v>
      </c>
      <c r="L8044" s="2">
        <f t="shared" si="125"/>
        <v>83</v>
      </c>
    </row>
    <row r="8045" spans="1:12" ht="25" customHeight="1">
      <c r="A8045" s="2" t="s">
        <v>12</v>
      </c>
      <c r="B8045" s="2" t="str">
        <f>HYPERLINK("http://bbs.12365auto.com/postcontent.aspx?tID=194036","全新K5上市 轿跑造型内饰升级")</f>
        <v>全新K5上市 轿跑造型内饰升级</v>
      </c>
      <c r="C8045" s="2" t="s">
        <v>13</v>
      </c>
      <c r="D8045" s="2" t="s">
        <v>12</v>
      </c>
      <c r="E8045" s="2" t="s">
        <v>214</v>
      </c>
      <c r="F8045" s="2" t="str">
        <f>HYPERLINK("http://bbs.12365auto.com/postcontent.aspx?tID=194036","http://bbs.12365auto.com/postcontent.aspx?tID=194036")</f>
        <v>http://bbs.12365auto.com/postcontent.aspx?tID=194036</v>
      </c>
      <c r="G8045" s="2"/>
      <c r="H8045" s="2" t="s">
        <v>11001</v>
      </c>
      <c r="I8045" s="2" t="s">
        <v>15</v>
      </c>
      <c r="J8045" s="2" t="s">
        <v>949</v>
      </c>
      <c r="K8045" s="2" t="s">
        <v>11002</v>
      </c>
      <c r="L8045" s="2">
        <f t="shared" si="125"/>
        <v>150</v>
      </c>
    </row>
    <row r="8046" spans="1:12" ht="25" customHeight="1">
      <c r="A8046" s="2" t="s">
        <v>12</v>
      </c>
      <c r="B8046" s="2" t="str">
        <f>HYPERLINK("http://bbs.12365auto.com/postcontent.aspx?tId=194036","全新K5上市 轿跑造型内饰升级")</f>
        <v>全新K5上市 轿跑造型内饰升级</v>
      </c>
      <c r="C8046" s="2" t="s">
        <v>13</v>
      </c>
      <c r="D8046" s="2" t="s">
        <v>12</v>
      </c>
      <c r="E8046" s="2" t="s">
        <v>210</v>
      </c>
      <c r="F8046" s="2" t="str">
        <f>HYPERLINK("http://bbs.12365auto.com/postcontent.aspx?tId=194036","http://bbs.12365auto.com/postcontent.aspx?tId=194036")</f>
        <v>http://bbs.12365auto.com/postcontent.aspx?tId=194036</v>
      </c>
      <c r="G8046" s="2"/>
      <c r="H8046" s="2" t="s">
        <v>11003</v>
      </c>
      <c r="I8046" s="2" t="s">
        <v>15</v>
      </c>
      <c r="J8046" s="2" t="s">
        <v>949</v>
      </c>
      <c r="K8046" s="2" t="s">
        <v>11002</v>
      </c>
      <c r="L8046" s="2">
        <f t="shared" si="125"/>
        <v>150</v>
      </c>
    </row>
    <row r="8047" spans="1:12" ht="25" customHeight="1">
      <c r="A8047" s="2" t="s">
        <v>12</v>
      </c>
      <c r="B8047" s="2" t="str">
        <f>HYPERLINK("http://www.12365auto.com/zlts/20200213/447118.shtml","一汽大众速腾副驾驶处漏水天窗关闭异常")</f>
        <v>一汽大众速腾副驾驶处漏水天窗关闭异常</v>
      </c>
      <c r="C8047" s="2" t="s">
        <v>13</v>
      </c>
      <c r="D8047" s="2" t="s">
        <v>12</v>
      </c>
      <c r="E8047" s="2" t="s">
        <v>17</v>
      </c>
      <c r="F8047" s="2" t="str">
        <f>HYPERLINK("http://www.12365auto.com/zlts/20200213/447118.shtml","http://www.12365auto.com/zlts/20200213/447118.shtml")</f>
        <v>http://www.12365auto.com/zlts/20200213/447118.shtml</v>
      </c>
      <c r="G8047" s="2"/>
      <c r="H8047" s="2" t="s">
        <v>11004</v>
      </c>
      <c r="I8047" s="2" t="s">
        <v>15</v>
      </c>
      <c r="J8047" s="2" t="s">
        <v>12</v>
      </c>
      <c r="K8047" s="2" t="s">
        <v>11005</v>
      </c>
      <c r="L8047" s="2">
        <f t="shared" si="125"/>
        <v>150</v>
      </c>
    </row>
    <row r="8048" spans="1:12" ht="25" customHeight="1">
      <c r="A8048" s="2" t="s">
        <v>12</v>
      </c>
      <c r="B8048" s="2" t="str">
        <f>HYPERLINK("http://www.12365auto.com/zlts/20200213/447115.shtml","一汽吉林森雅R7发动机启动困难存在质量问题")</f>
        <v>一汽吉林森雅R7发动机启动困难存在质量问题</v>
      </c>
      <c r="C8048" s="2" t="s">
        <v>13</v>
      </c>
      <c r="D8048" s="2" t="s">
        <v>12</v>
      </c>
      <c r="E8048" s="2" t="s">
        <v>17</v>
      </c>
      <c r="F8048" s="2" t="str">
        <f>HYPERLINK("http://www.12365auto.com/zlts/20200213/447115.shtml","http://www.12365auto.com/zlts/20200213/447115.shtml")</f>
        <v>http://www.12365auto.com/zlts/20200213/447115.shtml</v>
      </c>
      <c r="G8048" s="2"/>
      <c r="H8048" s="2" t="s">
        <v>11006</v>
      </c>
      <c r="I8048" s="2" t="s">
        <v>19</v>
      </c>
      <c r="J8048" s="2" t="s">
        <v>12</v>
      </c>
      <c r="K8048" s="2" t="s">
        <v>11007</v>
      </c>
      <c r="L8048" s="2">
        <f t="shared" si="125"/>
        <v>150</v>
      </c>
    </row>
    <row r="8049" spans="1:12" ht="25" customHeight="1">
      <c r="A8049" s="2" t="s">
        <v>12</v>
      </c>
      <c r="B8049" s="2" t="str">
        <f>HYPERLINK("http://www.12365auto.com/zlts/20200213/447114.shtml","上汽名爵6电瓶亏电导致发动机无法启动")</f>
        <v>上汽名爵6电瓶亏电导致发动机无法启动</v>
      </c>
      <c r="C8049" s="2" t="s">
        <v>13</v>
      </c>
      <c r="D8049" s="2" t="s">
        <v>12</v>
      </c>
      <c r="E8049" s="2" t="s">
        <v>17</v>
      </c>
      <c r="F8049" s="2" t="str">
        <f>HYPERLINK("http://www.12365auto.com/zlts/20200213/447114.shtml","http://www.12365auto.com/zlts/20200213/447114.shtml")</f>
        <v>http://www.12365auto.com/zlts/20200213/447114.shtml</v>
      </c>
      <c r="G8049" s="2"/>
      <c r="H8049" s="2" t="s">
        <v>11008</v>
      </c>
      <c r="I8049" s="2" t="s">
        <v>19</v>
      </c>
      <c r="J8049" s="2" t="s">
        <v>12</v>
      </c>
      <c r="K8049" s="2" t="s">
        <v>11009</v>
      </c>
      <c r="L8049" s="2">
        <f t="shared" si="125"/>
        <v>150</v>
      </c>
    </row>
    <row r="8050" spans="1:12" ht="25" customHeight="1">
      <c r="A8050" s="2" t="s">
        <v>12</v>
      </c>
      <c r="B8050" s="2" t="str">
        <f>HYPERLINK("http://www.12365auto.com/zlts/20200213/447111.shtml","猎豹CS10转向机故障导致异响问题严重")</f>
        <v>猎豹CS10转向机故障导致异响问题严重</v>
      </c>
      <c r="C8050" s="2" t="s">
        <v>13</v>
      </c>
      <c r="D8050" s="2" t="s">
        <v>12</v>
      </c>
      <c r="E8050" s="2" t="s">
        <v>17</v>
      </c>
      <c r="F8050" s="2" t="str">
        <f>HYPERLINK("http://www.12365auto.com/zlts/20200213/447111.shtml","http://www.12365auto.com/zlts/20200213/447111.shtml")</f>
        <v>http://www.12365auto.com/zlts/20200213/447111.shtml</v>
      </c>
      <c r="G8050" s="2"/>
      <c r="H8050" s="2" t="s">
        <v>11010</v>
      </c>
      <c r="I8050" s="2" t="s">
        <v>15</v>
      </c>
      <c r="J8050" s="2" t="s">
        <v>12</v>
      </c>
      <c r="K8050" s="2" t="s">
        <v>11011</v>
      </c>
      <c r="L8050" s="2">
        <f t="shared" si="125"/>
        <v>150</v>
      </c>
    </row>
    <row r="8051" spans="1:12" ht="25" customHeight="1">
      <c r="A8051" s="2" t="s">
        <v>12</v>
      </c>
      <c r="B8051" s="2" t="str">
        <f>HYPERLINK("http://www.12365auto.com/zlts/20200213/447109.shtml","现代途胜升级后发动机抖动噪音大动力下降")</f>
        <v>现代途胜升级后发动机抖动噪音大动力下降</v>
      </c>
      <c r="C8051" s="2" t="s">
        <v>13</v>
      </c>
      <c r="D8051" s="2" t="s">
        <v>12</v>
      </c>
      <c r="E8051" s="2" t="s">
        <v>17</v>
      </c>
      <c r="F8051" s="2" t="str">
        <f>HYPERLINK("http://www.12365auto.com/zlts/20200213/447109.shtml","http://www.12365auto.com/zlts/20200213/447109.shtml")</f>
        <v>http://www.12365auto.com/zlts/20200213/447109.shtml</v>
      </c>
      <c r="G8051" s="2"/>
      <c r="H8051" s="2" t="s">
        <v>11012</v>
      </c>
      <c r="I8051" s="2" t="s">
        <v>19</v>
      </c>
      <c r="J8051" s="2" t="s">
        <v>12</v>
      </c>
      <c r="K8051" s="2" t="s">
        <v>11013</v>
      </c>
      <c r="L8051" s="2">
        <f t="shared" si="125"/>
        <v>150</v>
      </c>
    </row>
    <row r="8052" spans="1:12" ht="25" customHeight="1">
      <c r="A8052" s="2" t="s">
        <v>12</v>
      </c>
      <c r="B8052" s="2" t="str">
        <f>HYPERLINK("http://www.12365auto.com/zlts/20200213/447108.shtml","郑州日产途达停放三天后电池亏电无法打火")</f>
        <v>郑州日产途达停放三天后电池亏电无法打火</v>
      </c>
      <c r="C8052" s="2" t="s">
        <v>13</v>
      </c>
      <c r="D8052" s="2" t="s">
        <v>12</v>
      </c>
      <c r="E8052" s="2" t="s">
        <v>17</v>
      </c>
      <c r="F8052" s="2" t="str">
        <f>HYPERLINK("http://www.12365auto.com/zlts/20200213/447108.shtml","http://www.12365auto.com/zlts/20200213/447108.shtml")</f>
        <v>http://www.12365auto.com/zlts/20200213/447108.shtml</v>
      </c>
      <c r="G8052" s="2"/>
      <c r="H8052" s="2" t="s">
        <v>11014</v>
      </c>
      <c r="I8052" s="2" t="s">
        <v>19</v>
      </c>
      <c r="J8052" s="2" t="s">
        <v>12</v>
      </c>
      <c r="K8052" s="2" t="s">
        <v>11015</v>
      </c>
      <c r="L8052" s="2">
        <f t="shared" si="125"/>
        <v>150</v>
      </c>
    </row>
    <row r="8053" spans="1:12" ht="25" customHeight="1">
      <c r="A8053" s="2" t="s">
        <v>12</v>
      </c>
      <c r="B8053" s="2" t="str">
        <f>HYPERLINK("http://www.12365auto.com/zlts/20200213/447107.shtml","上汽大众帕萨特质保期内突然自燃")</f>
        <v>上汽大众帕萨特质保期内突然自燃</v>
      </c>
      <c r="C8053" s="2" t="s">
        <v>13</v>
      </c>
      <c r="D8053" s="2" t="s">
        <v>12</v>
      </c>
      <c r="E8053" s="2" t="s">
        <v>17</v>
      </c>
      <c r="F8053" s="2" t="str">
        <f>HYPERLINK("http://www.12365auto.com/zlts/20200213/447107.shtml","http://www.12365auto.com/zlts/20200213/447107.shtml")</f>
        <v>http://www.12365auto.com/zlts/20200213/447107.shtml</v>
      </c>
      <c r="G8053" s="2"/>
      <c r="H8053" s="2" t="s">
        <v>11016</v>
      </c>
      <c r="I8053" s="2" t="s">
        <v>19</v>
      </c>
      <c r="J8053" s="2" t="s">
        <v>12</v>
      </c>
      <c r="K8053" s="2" t="s">
        <v>11017</v>
      </c>
      <c r="L8053" s="2">
        <f t="shared" si="125"/>
        <v>150</v>
      </c>
    </row>
    <row r="8054" spans="1:12" ht="25" customHeight="1">
      <c r="A8054" s="2" t="s">
        <v>12</v>
      </c>
      <c r="B8054" s="2" t="str">
        <f>HYPERLINK("http://www.12365auto.com/zlts/20200213/447106.shtml","上汽名爵6停放一段时间发动机无法启动")</f>
        <v>上汽名爵6停放一段时间发动机无法启动</v>
      </c>
      <c r="C8054" s="2" t="s">
        <v>13</v>
      </c>
      <c r="D8054" s="2" t="s">
        <v>12</v>
      </c>
      <c r="E8054" s="2" t="s">
        <v>17</v>
      </c>
      <c r="F8054" s="2" t="str">
        <f>HYPERLINK("http://www.12365auto.com/zlts/20200213/447106.shtml","http://www.12365auto.com/zlts/20200213/447106.shtml")</f>
        <v>http://www.12365auto.com/zlts/20200213/447106.shtml</v>
      </c>
      <c r="G8054" s="2"/>
      <c r="H8054" s="2" t="s">
        <v>11018</v>
      </c>
      <c r="I8054" s="2" t="s">
        <v>19</v>
      </c>
      <c r="J8054" s="2" t="s">
        <v>12</v>
      </c>
      <c r="K8054" s="2" t="s">
        <v>11019</v>
      </c>
      <c r="L8054" s="2">
        <f t="shared" si="125"/>
        <v>150</v>
      </c>
    </row>
    <row r="8055" spans="1:12" ht="25" customHeight="1">
      <c r="A8055" s="2" t="s">
        <v>12</v>
      </c>
      <c r="B8055" s="2" t="str">
        <f>HYPERLINK("http://www.12365auto.com/zlts/20200213/447105.shtml","东风日产轩逸热车启动后发动机异响")</f>
        <v>东风日产轩逸热车启动后发动机异响</v>
      </c>
      <c r="C8055" s="2" t="s">
        <v>13</v>
      </c>
      <c r="D8055" s="2" t="s">
        <v>12</v>
      </c>
      <c r="E8055" s="2"/>
      <c r="F8055" s="2" t="str">
        <f>HYPERLINK("http://www.12365auto.com/zlts/20200213/447105.shtml","http://www.12365auto.com/zlts/20200213/447105.shtml")</f>
        <v>http://www.12365auto.com/zlts/20200213/447105.shtml</v>
      </c>
      <c r="G8055" s="2"/>
      <c r="H8055" s="2" t="s">
        <v>11021</v>
      </c>
      <c r="I8055" s="2" t="s">
        <v>15</v>
      </c>
      <c r="J8055" s="2" t="s">
        <v>12</v>
      </c>
      <c r="K8055" s="2" t="s">
        <v>11020</v>
      </c>
      <c r="L8055" s="2">
        <f t="shared" si="125"/>
        <v>86</v>
      </c>
    </row>
    <row r="8056" spans="1:12" ht="25" customHeight="1">
      <c r="A8056" s="2" t="s">
        <v>12</v>
      </c>
      <c r="B8056" s="2" t="str">
        <f>HYPERLINK("http://bbs.12365auto.com/postcontent.aspx?tId=194034","吉利4S店拿探星者冒充驭星者欺骗消费者")</f>
        <v>吉利4S店拿探星者冒充驭星者欺骗消费者</v>
      </c>
      <c r="C8056" s="2" t="s">
        <v>13</v>
      </c>
      <c r="D8056" s="2" t="s">
        <v>12</v>
      </c>
      <c r="E8056" s="2" t="s">
        <v>27</v>
      </c>
      <c r="F8056" s="2" t="str">
        <f>HYPERLINK("http://bbs.12365auto.com/postcontent.aspx?tId=194034","http://bbs.12365auto.com/postcontent.aspx?tId=194034")</f>
        <v>http://bbs.12365auto.com/postcontent.aspx?tId=194034</v>
      </c>
      <c r="G8056" s="2"/>
      <c r="H8056" s="2" t="s">
        <v>11022</v>
      </c>
      <c r="I8056" s="2" t="s">
        <v>15</v>
      </c>
      <c r="J8056" s="2" t="s">
        <v>11023</v>
      </c>
      <c r="K8056" s="2" t="s">
        <v>11024</v>
      </c>
      <c r="L8056" s="2">
        <f t="shared" si="125"/>
        <v>150</v>
      </c>
    </row>
    <row r="8057" spans="1:12" ht="25" customHeight="1">
      <c r="A8057" s="2" t="s">
        <v>12</v>
      </c>
      <c r="B8057" s="2" t="str">
        <f>HYPERLINK("http://m.12365auto.com/bbs/postcontent.aspx?tID=194034","吉利4S店拿探星者冒充驭星者欺骗消费者")</f>
        <v>吉利4S店拿探星者冒充驭星者欺骗消费者</v>
      </c>
      <c r="C8057" s="2" t="s">
        <v>13</v>
      </c>
      <c r="D8057" s="2" t="s">
        <v>23</v>
      </c>
      <c r="E8057" s="2"/>
      <c r="F8057" s="2" t="str">
        <f>HYPERLINK("http://m.12365auto.com/bbs/postcontent.aspx?tID=194034","http://m.12365auto.com/bbs/postcontent.aspx?tID=194034")</f>
        <v>http://m.12365auto.com/bbs/postcontent.aspx?tID=194034</v>
      </c>
      <c r="G8057" s="2"/>
      <c r="H8057" s="2" t="s">
        <v>11022</v>
      </c>
      <c r="I8057" s="2" t="s">
        <v>15</v>
      </c>
      <c r="J8057" s="2" t="s">
        <v>11023</v>
      </c>
      <c r="K8057" s="2" t="s">
        <v>11024</v>
      </c>
      <c r="L8057" s="2">
        <f t="shared" si="125"/>
        <v>150</v>
      </c>
    </row>
    <row r="8058" spans="1:12" ht="25" customHeight="1">
      <c r="A8058" s="2" t="s">
        <v>12</v>
      </c>
      <c r="B8058" s="2" t="str">
        <f>HYPERLINK("http://bbs.12365auto.com/postcontent.aspx?tID=194034","吉利4S店拿探星者冒充驭星者欺骗消费者")</f>
        <v>吉利4S店拿探星者冒充驭星者欺骗消费者</v>
      </c>
      <c r="C8058" s="2" t="s">
        <v>13</v>
      </c>
      <c r="D8058" s="2" t="s">
        <v>12</v>
      </c>
      <c r="E8058" s="2" t="s">
        <v>28</v>
      </c>
      <c r="F8058" s="2" t="str">
        <f>HYPERLINK("http://bbs.12365auto.com/postcontent.aspx?tID=194034","http://bbs.12365auto.com/postcontent.aspx?tID=194034")</f>
        <v>http://bbs.12365auto.com/postcontent.aspx?tID=194034</v>
      </c>
      <c r="G8058" s="2"/>
      <c r="H8058" s="2" t="s">
        <v>11025</v>
      </c>
      <c r="I8058" s="2" t="s">
        <v>15</v>
      </c>
      <c r="J8058" s="2" t="s">
        <v>11023</v>
      </c>
      <c r="K8058" s="2" t="s">
        <v>11024</v>
      </c>
      <c r="L8058" s="2">
        <f t="shared" si="125"/>
        <v>150</v>
      </c>
    </row>
    <row r="8059" spans="1:12" ht="25" customHeight="1">
      <c r="A8059" s="2" t="s">
        <v>12</v>
      </c>
      <c r="B8059" s="2" t="str">
        <f>HYPERLINK("http://bbs.12365auto.com/postcontent.aspx?tId=194032","2020款WEY VV6后保险杠无故掉漆是什么原因？")</f>
        <v>2020款WEY VV6后保险杠无故掉漆是什么原因？</v>
      </c>
      <c r="C8059" s="2" t="s">
        <v>13</v>
      </c>
      <c r="D8059" s="2" t="s">
        <v>12</v>
      </c>
      <c r="E8059" s="2" t="s">
        <v>66</v>
      </c>
      <c r="F8059" s="2" t="str">
        <f>HYPERLINK("http://bbs.12365auto.com/postcontent.aspx?tId=194032","http://bbs.12365auto.com/postcontent.aspx?tId=194032")</f>
        <v>http://bbs.12365auto.com/postcontent.aspx?tId=194032</v>
      </c>
      <c r="G8059" s="2"/>
      <c r="H8059" s="2" t="s">
        <v>11026</v>
      </c>
      <c r="I8059" s="2" t="s">
        <v>15</v>
      </c>
      <c r="J8059" s="2" t="s">
        <v>11027</v>
      </c>
      <c r="K8059" s="2" t="s">
        <v>11028</v>
      </c>
      <c r="L8059" s="2">
        <f t="shared" si="125"/>
        <v>78</v>
      </c>
    </row>
    <row r="8060" spans="1:12" ht="25" customHeight="1">
      <c r="A8060" s="2" t="s">
        <v>12</v>
      </c>
      <c r="B8060" s="2" t="str">
        <f>HYPERLINK("http://m.12365auto.com/bbs/postcontent.aspx?tID=194032","2020款WEY VV6后保险杠无故掉漆是什么原因？")</f>
        <v>2020款WEY VV6后保险杠无故掉漆是什么原因？</v>
      </c>
      <c r="C8060" s="2" t="s">
        <v>13</v>
      </c>
      <c r="D8060" s="2" t="s">
        <v>23</v>
      </c>
      <c r="E8060" s="2"/>
      <c r="F8060" s="2" t="str">
        <f>HYPERLINK("http://m.12365auto.com/bbs/postcontent.aspx?tID=194032","http://m.12365auto.com/bbs/postcontent.aspx?tID=194032")</f>
        <v>http://m.12365auto.com/bbs/postcontent.aspx?tID=194032</v>
      </c>
      <c r="G8060" s="2"/>
      <c r="H8060" s="2" t="s">
        <v>11026</v>
      </c>
      <c r="I8060" s="2" t="s">
        <v>15</v>
      </c>
      <c r="J8060" s="2" t="s">
        <v>11027</v>
      </c>
      <c r="K8060" s="2" t="s">
        <v>11028</v>
      </c>
      <c r="L8060" s="2">
        <f t="shared" si="125"/>
        <v>78</v>
      </c>
    </row>
    <row r="8061" spans="1:12" ht="25" customHeight="1">
      <c r="A8061" s="2" t="s">
        <v>12</v>
      </c>
      <c r="B8061" s="2" t="str">
        <f>HYPERLINK("http://bbs.12365auto.com/postcontent.aspx?tID=194032","2020款WEY VV6后保险杠无故掉漆是什么原因？")</f>
        <v>2020款WEY VV6后保险杠无故掉漆是什么原因？</v>
      </c>
      <c r="C8061" s="2" t="s">
        <v>13</v>
      </c>
      <c r="D8061" s="2" t="s">
        <v>12</v>
      </c>
      <c r="E8061" s="2" t="s">
        <v>67</v>
      </c>
      <c r="F8061" s="2" t="str">
        <f>HYPERLINK("http://bbs.12365auto.com/postcontent.aspx?tID=194032","http://bbs.12365auto.com/postcontent.aspx?tID=194032")</f>
        <v>http://bbs.12365auto.com/postcontent.aspx?tID=194032</v>
      </c>
      <c r="G8061" s="2"/>
      <c r="H8061" s="2" t="s">
        <v>11029</v>
      </c>
      <c r="I8061" s="2" t="s">
        <v>15</v>
      </c>
      <c r="J8061" s="2" t="s">
        <v>11027</v>
      </c>
      <c r="K8061" s="2" t="s">
        <v>11028</v>
      </c>
      <c r="L8061" s="2">
        <f t="shared" si="125"/>
        <v>104</v>
      </c>
    </row>
    <row r="8062" spans="1:12" ht="25" customHeight="1">
      <c r="A8062" s="2" t="s">
        <v>12</v>
      </c>
      <c r="B8062" s="2" t="str">
        <f>HYPERLINK("http://www.12365auto.com/zlts/20200213/447102.shtml","长安福特福睿斯左前门玻璃升降故障")</f>
        <v>长安福特福睿斯左前门玻璃升降故障</v>
      </c>
      <c r="C8062" s="2" t="s">
        <v>13</v>
      </c>
      <c r="D8062" s="2" t="s">
        <v>12</v>
      </c>
      <c r="E8062" s="2"/>
      <c r="F8062" s="2" t="str">
        <f>HYPERLINK("http://www.12365auto.com/zlts/20200213/447102.shtml","http://www.12365auto.com/zlts/20200213/447102.shtml")</f>
        <v>http://www.12365auto.com/zlts/20200213/447102.shtml</v>
      </c>
      <c r="G8062" s="2"/>
      <c r="H8062" s="2" t="s">
        <v>11031</v>
      </c>
      <c r="I8062" s="2" t="s">
        <v>15</v>
      </c>
      <c r="J8062" s="2" t="s">
        <v>12</v>
      </c>
      <c r="K8062" s="2" t="s">
        <v>11030</v>
      </c>
      <c r="L8062" s="2">
        <f t="shared" si="125"/>
        <v>81</v>
      </c>
    </row>
    <row r="8063" spans="1:12" ht="25" customHeight="1">
      <c r="A8063" s="2" t="s">
        <v>12</v>
      </c>
      <c r="B8063" s="2" t="str">
        <f>HYPERLINK("http://www.12365auto.com/zlts/20200213/447101.shtml","车辆放置三天就没电了，两次了，全车没电，门都打不")</f>
        <v>车辆放置三天就没电了，两次了，全车没电，门都打不</v>
      </c>
      <c r="C8063" s="2" t="s">
        <v>13</v>
      </c>
      <c r="D8063" s="2" t="s">
        <v>12</v>
      </c>
      <c r="E8063" s="2"/>
      <c r="F8063" s="2" t="str">
        <f>HYPERLINK("http://www.12365auto.com/zlts/20200213/447101.shtml","http://www.12365auto.com/zlts/20200213/447101.shtml")</f>
        <v>http://www.12365auto.com/zlts/20200213/447101.shtml</v>
      </c>
      <c r="G8063" s="2"/>
      <c r="H8063" s="2" t="s">
        <v>11033</v>
      </c>
      <c r="I8063" s="2" t="s">
        <v>15</v>
      </c>
      <c r="J8063" s="2" t="s">
        <v>12</v>
      </c>
      <c r="K8063" s="2" t="s">
        <v>11032</v>
      </c>
      <c r="L8063" s="2">
        <f t="shared" si="125"/>
        <v>83</v>
      </c>
    </row>
    <row r="8064" spans="1:12" ht="25" customHeight="1">
      <c r="A8064" s="2" t="s">
        <v>12</v>
      </c>
      <c r="B8064" s="2" t="str">
        <f>HYPERLINK("http://www.12365auto.com/zlts/20200213/447104.shtml","一汽红旗H5发动机无法启动希望厂家处理")</f>
        <v>一汽红旗H5发动机无法启动希望厂家处理</v>
      </c>
      <c r="C8064" s="2" t="s">
        <v>13</v>
      </c>
      <c r="D8064" s="2" t="s">
        <v>12</v>
      </c>
      <c r="E8064" s="2" t="s">
        <v>17</v>
      </c>
      <c r="F8064" s="2" t="str">
        <f>HYPERLINK("http://www.12365auto.com/zlts/20200213/447104.shtml","http://www.12365auto.com/zlts/20200213/447104.shtml")</f>
        <v>http://www.12365auto.com/zlts/20200213/447104.shtml</v>
      </c>
      <c r="G8064" s="2"/>
      <c r="H8064" s="2" t="s">
        <v>11034</v>
      </c>
      <c r="I8064" s="2" t="s">
        <v>19</v>
      </c>
      <c r="J8064" s="2" t="s">
        <v>12</v>
      </c>
      <c r="K8064" s="2" t="s">
        <v>11035</v>
      </c>
      <c r="L8064" s="2">
        <f t="shared" si="125"/>
        <v>150</v>
      </c>
    </row>
    <row r="8065" spans="1:12" ht="25" customHeight="1">
      <c r="A8065" s="2" t="s">
        <v>12</v>
      </c>
      <c r="B8065" s="2" t="str">
        <f>HYPERLINK("http://bbs.12365auto.com/postcontent.aspx?tID=194031","老爷车中的极品 但贵滴让人头晕")</f>
        <v>老爷车中的极品 但贵滴让人头晕</v>
      </c>
      <c r="C8065" s="2" t="s">
        <v>13</v>
      </c>
      <c r="D8065" s="2" t="s">
        <v>12</v>
      </c>
      <c r="E8065" s="2" t="s">
        <v>28</v>
      </c>
      <c r="F8065" s="2" t="str">
        <f>HYPERLINK("http://bbs.12365auto.com/postcontent.aspx?tID=194031","http://bbs.12365auto.com/postcontent.aspx?tID=194031")</f>
        <v>http://bbs.12365auto.com/postcontent.aspx?tID=194031</v>
      </c>
      <c r="G8065" s="2"/>
      <c r="H8065" s="2" t="s">
        <v>11036</v>
      </c>
      <c r="I8065" s="2" t="s">
        <v>15</v>
      </c>
      <c r="J8065" s="2" t="s">
        <v>1276</v>
      </c>
      <c r="K8065" s="2" t="s">
        <v>11037</v>
      </c>
      <c r="L8065" s="2">
        <f t="shared" si="125"/>
        <v>150</v>
      </c>
    </row>
    <row r="8066" spans="1:12" ht="25" customHeight="1">
      <c r="A8066" s="2" t="s">
        <v>12</v>
      </c>
      <c r="B8066" s="2" t="str">
        <f>HYPERLINK("http://bbs.12365auto.com/postcontent.aspx?tID=194030","说到心坎里了 据说中国人买车最讨厌​这10件事")</f>
        <v>说到心坎里了 据说中国人买车最讨厌​这10件事</v>
      </c>
      <c r="C8066" s="2" t="s">
        <v>13</v>
      </c>
      <c r="D8066" s="2" t="s">
        <v>12</v>
      </c>
      <c r="E8066" s="2" t="s">
        <v>28</v>
      </c>
      <c r="F8066" s="2" t="str">
        <f>HYPERLINK("http://bbs.12365auto.com/postcontent.aspx?tID=194030","http://bbs.12365auto.com/postcontent.aspx?tID=194030")</f>
        <v>http://bbs.12365auto.com/postcontent.aspx?tID=194030</v>
      </c>
      <c r="G8066" s="2"/>
      <c r="H8066" s="2" t="s">
        <v>11038</v>
      </c>
      <c r="I8066" s="2" t="s">
        <v>15</v>
      </c>
      <c r="J8066" s="2" t="s">
        <v>1276</v>
      </c>
      <c r="K8066" s="2" t="s">
        <v>11037</v>
      </c>
      <c r="L8066" s="2">
        <f t="shared" si="125"/>
        <v>150</v>
      </c>
    </row>
    <row r="8067" spans="1:12" ht="25" customHeight="1">
      <c r="A8067" s="2" t="s">
        <v>12</v>
      </c>
      <c r="B8067" s="2" t="str">
        <f>HYPERLINK("http://bbs.12365auto.com/postcontent.aspx?tId=194031","老爷车中的极品 但贵滴让人头晕")</f>
        <v>老爷车中的极品 但贵滴让人头晕</v>
      </c>
      <c r="C8067" s="2" t="s">
        <v>13</v>
      </c>
      <c r="D8067" s="2" t="s">
        <v>12</v>
      </c>
      <c r="E8067" s="2" t="s">
        <v>27</v>
      </c>
      <c r="F8067" s="2" t="str">
        <f>HYPERLINK("http://bbs.12365auto.com/postcontent.aspx?tId=194031","http://bbs.12365auto.com/postcontent.aspx?tId=194031")</f>
        <v>http://bbs.12365auto.com/postcontent.aspx?tId=194031</v>
      </c>
      <c r="G8067" s="2"/>
      <c r="H8067" s="2" t="s">
        <v>11039</v>
      </c>
      <c r="I8067" s="2" t="s">
        <v>15</v>
      </c>
      <c r="J8067" s="2" t="s">
        <v>1276</v>
      </c>
      <c r="K8067" s="2" t="s">
        <v>11037</v>
      </c>
      <c r="L8067" s="2">
        <f t="shared" ref="L8067:L8130" si="126">LEN(H8067)</f>
        <v>150</v>
      </c>
    </row>
    <row r="8068" spans="1:12" ht="25" customHeight="1">
      <c r="A8068" s="2" t="s">
        <v>12</v>
      </c>
      <c r="B8068" s="2" t="str">
        <f>HYPERLINK("http://bbs.12365auto.com/postcontent.aspx?tId=194030","说到心坎里了 据说中国人买车最讨厌​这10件事")</f>
        <v>说到心坎里了 据说中国人买车最讨厌​这10件事</v>
      </c>
      <c r="C8068" s="2" t="s">
        <v>13</v>
      </c>
      <c r="D8068" s="2" t="s">
        <v>12</v>
      </c>
      <c r="E8068" s="2" t="s">
        <v>27</v>
      </c>
      <c r="F8068" s="2" t="str">
        <f>HYPERLINK("http://bbs.12365auto.com/postcontent.aspx?tId=194030","http://bbs.12365auto.com/postcontent.aspx?tId=194030")</f>
        <v>http://bbs.12365auto.com/postcontent.aspx?tId=194030</v>
      </c>
      <c r="G8068" s="2"/>
      <c r="H8068" s="2" t="s">
        <v>11040</v>
      </c>
      <c r="I8068" s="2" t="s">
        <v>15</v>
      </c>
      <c r="J8068" s="2" t="s">
        <v>1276</v>
      </c>
      <c r="K8068" s="2" t="s">
        <v>11037</v>
      </c>
      <c r="L8068" s="2">
        <f t="shared" si="126"/>
        <v>150</v>
      </c>
    </row>
    <row r="8069" spans="1:12" ht="25" customHeight="1">
      <c r="A8069" s="2" t="s">
        <v>12</v>
      </c>
      <c r="B8069" s="2" t="str">
        <f>HYPERLINK("http://m.12365auto.com/bbs/postcontent.aspx?tID=194030","说到心坎里了 据说中国人买车最讨厌​这10件事")</f>
        <v>说到心坎里了 据说中国人买车最讨厌​这10件事</v>
      </c>
      <c r="C8069" s="2" t="s">
        <v>13</v>
      </c>
      <c r="D8069" s="2" t="s">
        <v>23</v>
      </c>
      <c r="E8069" s="2"/>
      <c r="F8069" s="2" t="str">
        <f>HYPERLINK("http://m.12365auto.com/bbs/postcontent.aspx?tID=194030","http://m.12365auto.com/bbs/postcontent.aspx?tID=194030")</f>
        <v>http://m.12365auto.com/bbs/postcontent.aspx?tID=194030</v>
      </c>
      <c r="G8069" s="2"/>
      <c r="H8069" s="2" t="s">
        <v>11040</v>
      </c>
      <c r="I8069" s="2" t="s">
        <v>15</v>
      </c>
      <c r="J8069" s="2" t="s">
        <v>1276</v>
      </c>
      <c r="K8069" s="2" t="s">
        <v>11037</v>
      </c>
      <c r="L8069" s="2">
        <f t="shared" si="126"/>
        <v>150</v>
      </c>
    </row>
    <row r="8070" spans="1:12" ht="25" customHeight="1">
      <c r="A8070" s="2" t="s">
        <v>12</v>
      </c>
      <c r="B8070" s="2" t="str">
        <f>HYPERLINK("http://m.12365auto.com/bbs/postcontent.aspx?tID=194031","老爷车中的极品 但贵滴让人头晕")</f>
        <v>老爷车中的极品 但贵滴让人头晕</v>
      </c>
      <c r="C8070" s="2" t="s">
        <v>13</v>
      </c>
      <c r="D8070" s="2" t="s">
        <v>23</v>
      </c>
      <c r="E8070" s="2"/>
      <c r="F8070" s="2" t="str">
        <f>HYPERLINK("http://m.12365auto.com/bbs/postcontent.aspx?tID=194031","http://m.12365auto.com/bbs/postcontent.aspx?tID=194031")</f>
        <v>http://m.12365auto.com/bbs/postcontent.aspx?tID=194031</v>
      </c>
      <c r="G8070" s="2"/>
      <c r="H8070" s="2" t="s">
        <v>11039</v>
      </c>
      <c r="I8070" s="2" t="s">
        <v>15</v>
      </c>
      <c r="J8070" s="2" t="s">
        <v>1276</v>
      </c>
      <c r="K8070" s="2" t="s">
        <v>11037</v>
      </c>
      <c r="L8070" s="2">
        <f t="shared" si="126"/>
        <v>150</v>
      </c>
    </row>
    <row r="8071" spans="1:12" ht="25" customHeight="1">
      <c r="A8071" s="2" t="s">
        <v>12</v>
      </c>
      <c r="B8071" s="2" t="str">
        <f>HYPERLINK("http://bbs.12365auto.com/postcontent.aspx?tID=194029","在百余年发展历程中 汽车内饰材料都有哪些？")</f>
        <v>在百余年发展历程中 汽车内饰材料都有哪些？</v>
      </c>
      <c r="C8071" s="2" t="s">
        <v>13</v>
      </c>
      <c r="D8071" s="2" t="s">
        <v>12</v>
      </c>
      <c r="E8071" s="2" t="s">
        <v>28</v>
      </c>
      <c r="F8071" s="2" t="str">
        <f>HYPERLINK("http://bbs.12365auto.com/postcontent.aspx?tID=194029","http://bbs.12365auto.com/postcontent.aspx?tID=194029")</f>
        <v>http://bbs.12365auto.com/postcontent.aspx?tID=194029</v>
      </c>
      <c r="G8071" s="2"/>
      <c r="H8071" s="2" t="s">
        <v>11041</v>
      </c>
      <c r="I8071" s="2" t="s">
        <v>15</v>
      </c>
      <c r="J8071" s="2" t="s">
        <v>1276</v>
      </c>
      <c r="K8071" s="2" t="s">
        <v>11042</v>
      </c>
      <c r="L8071" s="2">
        <f t="shared" si="126"/>
        <v>150</v>
      </c>
    </row>
    <row r="8072" spans="1:12" ht="25" customHeight="1">
      <c r="A8072" s="2" t="s">
        <v>12</v>
      </c>
      <c r="B8072" s="2" t="str">
        <f>HYPERLINK("http://bbs.12365auto.com/postcontent.aspx?tId=194029","在百余年发展历程中 汽车内饰材料都有哪些？")</f>
        <v>在百余年发展历程中 汽车内饰材料都有哪些？</v>
      </c>
      <c r="C8072" s="2" t="s">
        <v>13</v>
      </c>
      <c r="D8072" s="2" t="s">
        <v>12</v>
      </c>
      <c r="E8072" s="2" t="s">
        <v>27</v>
      </c>
      <c r="F8072" s="2" t="str">
        <f>HYPERLINK("http://bbs.12365auto.com/postcontent.aspx?tId=194029","http://bbs.12365auto.com/postcontent.aspx?tId=194029")</f>
        <v>http://bbs.12365auto.com/postcontent.aspx?tId=194029</v>
      </c>
      <c r="G8072" s="2"/>
      <c r="H8072" s="2" t="s">
        <v>11043</v>
      </c>
      <c r="I8072" s="2" t="s">
        <v>15</v>
      </c>
      <c r="J8072" s="2" t="s">
        <v>1276</v>
      </c>
      <c r="K8072" s="2" t="s">
        <v>11042</v>
      </c>
      <c r="L8072" s="2">
        <f t="shared" si="126"/>
        <v>150</v>
      </c>
    </row>
    <row r="8073" spans="1:12" ht="25" customHeight="1">
      <c r="A8073" s="2" t="s">
        <v>12</v>
      </c>
      <c r="B8073" s="2" t="str">
        <f>HYPERLINK("http://m.12365auto.com/bbs/postcontent.aspx?tID=194029","在百余年发展历程中 汽车内饰材料都有哪些？")</f>
        <v>在百余年发展历程中 汽车内饰材料都有哪些？</v>
      </c>
      <c r="C8073" s="2" t="s">
        <v>13</v>
      </c>
      <c r="D8073" s="2" t="s">
        <v>23</v>
      </c>
      <c r="E8073" s="2"/>
      <c r="F8073" s="2" t="str">
        <f>HYPERLINK("http://m.12365auto.com/bbs/postcontent.aspx?tID=194029","http://m.12365auto.com/bbs/postcontent.aspx?tID=194029")</f>
        <v>http://m.12365auto.com/bbs/postcontent.aspx?tID=194029</v>
      </c>
      <c r="G8073" s="2"/>
      <c r="H8073" s="2" t="s">
        <v>11043</v>
      </c>
      <c r="I8073" s="2" t="s">
        <v>15</v>
      </c>
      <c r="J8073" s="2" t="s">
        <v>1276</v>
      </c>
      <c r="K8073" s="2" t="s">
        <v>11042</v>
      </c>
      <c r="L8073" s="2">
        <f t="shared" si="126"/>
        <v>150</v>
      </c>
    </row>
    <row r="8074" spans="1:12" ht="25" customHeight="1">
      <c r="A8074" s="2" t="s">
        <v>12</v>
      </c>
      <c r="B8074" s="2" t="str">
        <f>HYPERLINK("http://bbs.12365auto.com/postcontent.aspx?tID=194027","从GT86到GR86 希望属于我们的那个世界依在")</f>
        <v>从GT86到GR86 希望属于我们的那个世界依在</v>
      </c>
      <c r="C8074" s="2" t="s">
        <v>13</v>
      </c>
      <c r="D8074" s="2" t="s">
        <v>12</v>
      </c>
      <c r="E8074" s="2" t="s">
        <v>28</v>
      </c>
      <c r="F8074" s="2" t="str">
        <f>HYPERLINK("http://bbs.12365auto.com/postcontent.aspx?tID=194027","http://bbs.12365auto.com/postcontent.aspx?tID=194027")</f>
        <v>http://bbs.12365auto.com/postcontent.aspx?tID=194027</v>
      </c>
      <c r="G8074" s="2"/>
      <c r="H8074" s="2" t="s">
        <v>11044</v>
      </c>
      <c r="I8074" s="2" t="s">
        <v>15</v>
      </c>
      <c r="J8074" s="2" t="s">
        <v>683</v>
      </c>
      <c r="K8074" s="2" t="s">
        <v>11045</v>
      </c>
      <c r="L8074" s="2">
        <f t="shared" si="126"/>
        <v>150</v>
      </c>
    </row>
    <row r="8075" spans="1:12" ht="25" customHeight="1">
      <c r="A8075" s="2" t="s">
        <v>12</v>
      </c>
      <c r="B8075" s="2" t="str">
        <f>HYPERLINK("http://bbs.12365auto.com/postcontent.aspx?tID=194028","面对疫情如何用车？专家给你一次说清楚")</f>
        <v>面对疫情如何用车？专家给你一次说清楚</v>
      </c>
      <c r="C8075" s="2" t="s">
        <v>13</v>
      </c>
      <c r="D8075" s="2" t="s">
        <v>12</v>
      </c>
      <c r="E8075" s="2" t="s">
        <v>214</v>
      </c>
      <c r="F8075" s="2" t="str">
        <f>HYPERLINK("http://bbs.12365auto.com/postcontent.aspx?tID=194028","http://bbs.12365auto.com/postcontent.aspx?tID=194028")</f>
        <v>http://bbs.12365auto.com/postcontent.aspx?tID=194028</v>
      </c>
      <c r="G8075" s="2"/>
      <c r="H8075" s="2" t="s">
        <v>11046</v>
      </c>
      <c r="I8075" s="2" t="s">
        <v>15</v>
      </c>
      <c r="J8075" s="2" t="s">
        <v>683</v>
      </c>
      <c r="K8075" s="2" t="s">
        <v>11045</v>
      </c>
      <c r="L8075" s="2">
        <f t="shared" si="126"/>
        <v>150</v>
      </c>
    </row>
    <row r="8076" spans="1:12" ht="25" customHeight="1">
      <c r="A8076" s="2" t="s">
        <v>12</v>
      </c>
      <c r="B8076" s="2" t="str">
        <f>HYPERLINK("http://bbs.12365auto.com/postcontent.aspx?tId=194027","从GT86到GR86 希望属于我们的那个世界依在")</f>
        <v>从GT86到GR86 希望属于我们的那个世界依在</v>
      </c>
      <c r="C8076" s="2" t="s">
        <v>13</v>
      </c>
      <c r="D8076" s="2" t="s">
        <v>12</v>
      </c>
      <c r="E8076" s="2" t="s">
        <v>27</v>
      </c>
      <c r="F8076" s="2" t="str">
        <f>HYPERLINK("http://bbs.12365auto.com/postcontent.aspx?tId=194027","http://bbs.12365auto.com/postcontent.aspx?tId=194027")</f>
        <v>http://bbs.12365auto.com/postcontent.aspx?tId=194027</v>
      </c>
      <c r="G8076" s="2"/>
      <c r="H8076" s="2" t="s">
        <v>11047</v>
      </c>
      <c r="I8076" s="2" t="s">
        <v>15</v>
      </c>
      <c r="J8076" s="2" t="s">
        <v>683</v>
      </c>
      <c r="K8076" s="2" t="s">
        <v>11045</v>
      </c>
      <c r="L8076" s="2">
        <f t="shared" si="126"/>
        <v>150</v>
      </c>
    </row>
    <row r="8077" spans="1:12" ht="25" customHeight="1">
      <c r="A8077" s="2" t="s">
        <v>12</v>
      </c>
      <c r="B8077" s="2" t="str">
        <f>HYPERLINK("http://bbs.12365auto.com/postcontent.aspx?tId=194028","面对疫情如何用车？专家给你一次说清楚")</f>
        <v>面对疫情如何用车？专家给你一次说清楚</v>
      </c>
      <c r="C8077" s="2" t="s">
        <v>13</v>
      </c>
      <c r="D8077" s="2" t="s">
        <v>12</v>
      </c>
      <c r="E8077" s="2" t="s">
        <v>210</v>
      </c>
      <c r="F8077" s="2" t="str">
        <f>HYPERLINK("http://bbs.12365auto.com/postcontent.aspx?tId=194028","http://bbs.12365auto.com/postcontent.aspx?tId=194028")</f>
        <v>http://bbs.12365auto.com/postcontent.aspx?tId=194028</v>
      </c>
      <c r="G8077" s="2"/>
      <c r="H8077" s="2" t="s">
        <v>11048</v>
      </c>
      <c r="I8077" s="2" t="s">
        <v>15</v>
      </c>
      <c r="J8077" s="2" t="s">
        <v>683</v>
      </c>
      <c r="K8077" s="2" t="s">
        <v>11045</v>
      </c>
      <c r="L8077" s="2">
        <f t="shared" si="126"/>
        <v>150</v>
      </c>
    </row>
    <row r="8078" spans="1:12" ht="25" customHeight="1">
      <c r="A8078" s="2" t="s">
        <v>12</v>
      </c>
      <c r="B8078" s="2" t="str">
        <f>HYPERLINK("http://m.12365auto.com/bbs/postcontent.aspx?tID=194027","从GT86到GR86 希望属于我们的那个世界依在")</f>
        <v>从GT86到GR86 希望属于我们的那个世界依在</v>
      </c>
      <c r="C8078" s="2" t="s">
        <v>13</v>
      </c>
      <c r="D8078" s="2" t="s">
        <v>23</v>
      </c>
      <c r="E8078" s="2"/>
      <c r="F8078" s="2" t="str">
        <f>HYPERLINK("http://m.12365auto.com/bbs/postcontent.aspx?tID=194027","http://m.12365auto.com/bbs/postcontent.aspx?tID=194027")</f>
        <v>http://m.12365auto.com/bbs/postcontent.aspx?tID=194027</v>
      </c>
      <c r="G8078" s="2"/>
      <c r="H8078" s="2" t="s">
        <v>11047</v>
      </c>
      <c r="I8078" s="2" t="s">
        <v>15</v>
      </c>
      <c r="J8078" s="2" t="s">
        <v>683</v>
      </c>
      <c r="K8078" s="2" t="s">
        <v>11045</v>
      </c>
      <c r="L8078" s="2">
        <f t="shared" si="126"/>
        <v>150</v>
      </c>
    </row>
    <row r="8079" spans="1:12" ht="25" customHeight="1">
      <c r="A8079" s="2" t="s">
        <v>12</v>
      </c>
      <c r="B8079" s="2" t="str">
        <f>HYPERLINK("http://m.12365auto.com/bbs/postcontent.aspx?tID=194028","面对疫情如何用车？专家给你一次说清楚")</f>
        <v>面对疫情如何用车？专家给你一次说清楚</v>
      </c>
      <c r="C8079" s="2" t="s">
        <v>13</v>
      </c>
      <c r="D8079" s="2" t="s">
        <v>23</v>
      </c>
      <c r="E8079" s="2"/>
      <c r="F8079" s="2" t="str">
        <f>HYPERLINK("http://m.12365auto.com/bbs/postcontent.aspx?tID=194028","http://m.12365auto.com/bbs/postcontent.aspx?tID=194028")</f>
        <v>http://m.12365auto.com/bbs/postcontent.aspx?tID=194028</v>
      </c>
      <c r="G8079" s="2"/>
      <c r="H8079" s="2" t="s">
        <v>11048</v>
      </c>
      <c r="I8079" s="2" t="s">
        <v>15</v>
      </c>
      <c r="J8079" s="2" t="s">
        <v>683</v>
      </c>
      <c r="K8079" s="2" t="s">
        <v>11045</v>
      </c>
      <c r="L8079" s="2">
        <f t="shared" si="126"/>
        <v>150</v>
      </c>
    </row>
    <row r="8080" spans="1:12" ht="25" customHeight="1">
      <c r="A8080" s="2" t="s">
        <v>12</v>
      </c>
      <c r="B8080" s="2" t="str">
        <f>HYPERLINK("http://bbs.12365auto.com/postcontent.aspx?tID=194025","作死的办法千千万 养成哪些习惯才不损耗车辆？")</f>
        <v>作死的办法千千万 养成哪些习惯才不损耗车辆？</v>
      </c>
      <c r="C8080" s="2" t="s">
        <v>13</v>
      </c>
      <c r="D8080" s="2" t="s">
        <v>12</v>
      </c>
      <c r="E8080" s="2" t="s">
        <v>214</v>
      </c>
      <c r="F8080" s="2" t="str">
        <f>HYPERLINK("http://bbs.12365auto.com/postcontent.aspx?tID=194025","http://bbs.12365auto.com/postcontent.aspx?tID=194025")</f>
        <v>http://bbs.12365auto.com/postcontent.aspx?tID=194025</v>
      </c>
      <c r="G8080" s="2"/>
      <c r="H8080" s="2" t="s">
        <v>11049</v>
      </c>
      <c r="I8080" s="2" t="s">
        <v>15</v>
      </c>
      <c r="J8080" s="2" t="s">
        <v>683</v>
      </c>
      <c r="K8080" s="2" t="s">
        <v>11050</v>
      </c>
      <c r="L8080" s="2">
        <f t="shared" si="126"/>
        <v>150</v>
      </c>
    </row>
    <row r="8081" spans="1:12" ht="25" customHeight="1">
      <c r="A8081" s="2" t="s">
        <v>12</v>
      </c>
      <c r="B8081" s="2" t="str">
        <f>HYPERLINK("http://bbs.12365auto.com/postcontent.aspx?tID=194026","猛兽中的佼佼者 奔驰C63 AMG 507")</f>
        <v>猛兽中的佼佼者 奔驰C63 AMG 507</v>
      </c>
      <c r="C8081" s="2" t="s">
        <v>13</v>
      </c>
      <c r="D8081" s="2" t="s">
        <v>12</v>
      </c>
      <c r="E8081" s="2" t="s">
        <v>28</v>
      </c>
      <c r="F8081" s="2" t="str">
        <f>HYPERLINK("http://bbs.12365auto.com/postcontent.aspx?tID=194026","http://bbs.12365auto.com/postcontent.aspx?tID=194026")</f>
        <v>http://bbs.12365auto.com/postcontent.aspx?tID=194026</v>
      </c>
      <c r="G8081" s="2"/>
      <c r="H8081" s="2" t="s">
        <v>11051</v>
      </c>
      <c r="I8081" s="2" t="s">
        <v>15</v>
      </c>
      <c r="J8081" s="2" t="s">
        <v>683</v>
      </c>
      <c r="K8081" s="2" t="s">
        <v>11050</v>
      </c>
      <c r="L8081" s="2">
        <f t="shared" si="126"/>
        <v>150</v>
      </c>
    </row>
    <row r="8082" spans="1:12" ht="25" customHeight="1">
      <c r="A8082" s="2" t="s">
        <v>12</v>
      </c>
      <c r="B8082" s="2" t="str">
        <f>HYPERLINK("http://bbs.12365auto.com/postcontent.aspx?tId=194026","猛兽中的佼佼者 奔驰C63 AMG 507")</f>
        <v>猛兽中的佼佼者 奔驰C63 AMG 507</v>
      </c>
      <c r="C8082" s="2" t="s">
        <v>13</v>
      </c>
      <c r="D8082" s="2" t="s">
        <v>12</v>
      </c>
      <c r="E8082" s="2" t="s">
        <v>27</v>
      </c>
      <c r="F8082" s="2" t="str">
        <f>HYPERLINK("http://bbs.12365auto.com/postcontent.aspx?tId=194026","http://bbs.12365auto.com/postcontent.aspx?tId=194026")</f>
        <v>http://bbs.12365auto.com/postcontent.aspx?tId=194026</v>
      </c>
      <c r="G8082" s="2"/>
      <c r="H8082" s="2" t="s">
        <v>11052</v>
      </c>
      <c r="I8082" s="2" t="s">
        <v>15</v>
      </c>
      <c r="J8082" s="2" t="s">
        <v>683</v>
      </c>
      <c r="K8082" s="2" t="s">
        <v>11050</v>
      </c>
      <c r="L8082" s="2">
        <f t="shared" si="126"/>
        <v>150</v>
      </c>
    </row>
    <row r="8083" spans="1:12" ht="25" customHeight="1">
      <c r="A8083" s="2" t="s">
        <v>12</v>
      </c>
      <c r="B8083" s="2" t="str">
        <f>HYPERLINK("http://bbs.12365auto.com/postcontent.aspx?tId=194025","作死的办法千千万 养成哪些习惯才不损耗车辆？")</f>
        <v>作死的办法千千万 养成哪些习惯才不损耗车辆？</v>
      </c>
      <c r="C8083" s="2" t="s">
        <v>13</v>
      </c>
      <c r="D8083" s="2" t="s">
        <v>12</v>
      </c>
      <c r="E8083" s="2" t="s">
        <v>210</v>
      </c>
      <c r="F8083" s="2" t="str">
        <f>HYPERLINK("http://bbs.12365auto.com/postcontent.aspx?tId=194025","http://bbs.12365auto.com/postcontent.aspx?tId=194025")</f>
        <v>http://bbs.12365auto.com/postcontent.aspx?tId=194025</v>
      </c>
      <c r="G8083" s="2"/>
      <c r="H8083" s="2" t="s">
        <v>11053</v>
      </c>
      <c r="I8083" s="2" t="s">
        <v>15</v>
      </c>
      <c r="J8083" s="2" t="s">
        <v>683</v>
      </c>
      <c r="K8083" s="2" t="s">
        <v>11050</v>
      </c>
      <c r="L8083" s="2">
        <f t="shared" si="126"/>
        <v>150</v>
      </c>
    </row>
    <row r="8084" spans="1:12" ht="25" customHeight="1">
      <c r="A8084" s="2" t="s">
        <v>12</v>
      </c>
      <c r="B8084" s="2" t="str">
        <f>HYPERLINK("http://m.12365auto.com/bbs/postcontent.aspx?tID=194025","作死的办法千千万 养成哪些习惯才不损耗车辆？")</f>
        <v>作死的办法千千万 养成哪些习惯才不损耗车辆？</v>
      </c>
      <c r="C8084" s="2" t="s">
        <v>13</v>
      </c>
      <c r="D8084" s="2" t="s">
        <v>23</v>
      </c>
      <c r="E8084" s="2"/>
      <c r="F8084" s="2" t="str">
        <f>HYPERLINK("http://m.12365auto.com/bbs/postcontent.aspx?tID=194025","http://m.12365auto.com/bbs/postcontent.aspx?tID=194025")</f>
        <v>http://m.12365auto.com/bbs/postcontent.aspx?tID=194025</v>
      </c>
      <c r="G8084" s="2"/>
      <c r="H8084" s="2" t="s">
        <v>11053</v>
      </c>
      <c r="I8084" s="2" t="s">
        <v>15</v>
      </c>
      <c r="J8084" s="2" t="s">
        <v>683</v>
      </c>
      <c r="K8084" s="2" t="s">
        <v>11050</v>
      </c>
      <c r="L8084" s="2">
        <f t="shared" si="126"/>
        <v>150</v>
      </c>
    </row>
    <row r="8085" spans="1:12" ht="25" customHeight="1">
      <c r="A8085" s="2" t="s">
        <v>12</v>
      </c>
      <c r="B8085" s="2" t="str">
        <f>HYPERLINK("http://m.12365auto.com/bbs/postcontent.aspx?tID=194026","猛兽中的佼佼者 奔驰C63 AMG 507")</f>
        <v>猛兽中的佼佼者 奔驰C63 AMG 507</v>
      </c>
      <c r="C8085" s="2" t="s">
        <v>13</v>
      </c>
      <c r="D8085" s="2" t="s">
        <v>23</v>
      </c>
      <c r="E8085" s="2"/>
      <c r="F8085" s="2" t="str">
        <f>HYPERLINK("http://m.12365auto.com/bbs/postcontent.aspx?tID=194026","http://m.12365auto.com/bbs/postcontent.aspx?tID=194026")</f>
        <v>http://m.12365auto.com/bbs/postcontent.aspx?tID=194026</v>
      </c>
      <c r="G8085" s="2"/>
      <c r="H8085" s="2" t="s">
        <v>11052</v>
      </c>
      <c r="I8085" s="2" t="s">
        <v>15</v>
      </c>
      <c r="J8085" s="2" t="s">
        <v>683</v>
      </c>
      <c r="K8085" s="2" t="s">
        <v>11050</v>
      </c>
      <c r="L8085" s="2">
        <f t="shared" si="126"/>
        <v>150</v>
      </c>
    </row>
    <row r="8086" spans="1:12" ht="25" customHeight="1">
      <c r="A8086" s="2" t="s">
        <v>12</v>
      </c>
      <c r="B8086" s="2" t="str">
        <f>HYPERLINK("http://www.12365auto.com/zlts/20200213/447099.shtml","一汽奔腾X40转向柱生锈有异响希望厂家处理")</f>
        <v>一汽奔腾X40转向柱生锈有异响希望厂家处理</v>
      </c>
      <c r="C8086" s="2" t="s">
        <v>13</v>
      </c>
      <c r="D8086" s="2" t="s">
        <v>12</v>
      </c>
      <c r="E8086" s="2" t="s">
        <v>17</v>
      </c>
      <c r="F8086" s="2" t="str">
        <f>HYPERLINK("http://www.12365auto.com/zlts/20200213/447099.shtml","http://www.12365auto.com/zlts/20200213/447099.shtml")</f>
        <v>http://www.12365auto.com/zlts/20200213/447099.shtml</v>
      </c>
      <c r="G8086" s="2"/>
      <c r="H8086" s="2" t="s">
        <v>11054</v>
      </c>
      <c r="I8086" s="2" t="s">
        <v>15</v>
      </c>
      <c r="J8086" s="2" t="s">
        <v>12</v>
      </c>
      <c r="K8086" s="2" t="s">
        <v>11055</v>
      </c>
      <c r="L8086" s="2">
        <f t="shared" si="126"/>
        <v>150</v>
      </c>
    </row>
    <row r="8087" spans="1:12" ht="25" customHeight="1">
      <c r="A8087" s="2" t="s">
        <v>12</v>
      </c>
      <c r="B8087" s="2" t="str">
        <f>HYPERLINK("http://www.12365auto.com/zlts/20200213/447098.shtml","一汽丰田RAV4荣放怠速时发动机有异响")</f>
        <v>一汽丰田RAV4荣放怠速时发动机有异响</v>
      </c>
      <c r="C8087" s="2" t="s">
        <v>13</v>
      </c>
      <c r="D8087" s="2" t="s">
        <v>12</v>
      </c>
      <c r="E8087" s="2" t="s">
        <v>17</v>
      </c>
      <c r="F8087" s="2" t="str">
        <f>HYPERLINK("http://www.12365auto.com/zlts/20200213/447098.shtml","http://www.12365auto.com/zlts/20200213/447098.shtml")</f>
        <v>http://www.12365auto.com/zlts/20200213/447098.shtml</v>
      </c>
      <c r="G8087" s="2"/>
      <c r="H8087" s="2" t="s">
        <v>11056</v>
      </c>
      <c r="I8087" s="2" t="s">
        <v>19</v>
      </c>
      <c r="J8087" s="2" t="s">
        <v>12</v>
      </c>
      <c r="K8087" s="2" t="s">
        <v>11057</v>
      </c>
      <c r="L8087" s="2">
        <f t="shared" si="126"/>
        <v>150</v>
      </c>
    </row>
    <row r="8088" spans="1:12" ht="25" customHeight="1">
      <c r="A8088" s="2" t="s">
        <v>12</v>
      </c>
      <c r="B8088" s="2" t="str">
        <f>HYPERLINK("http://www.12365auto.com/zlts/20200213/447097.shtml","海马S5青春版发动机和防侧滑故障灯亮")</f>
        <v>海马S5青春版发动机和防侧滑故障灯亮</v>
      </c>
      <c r="C8088" s="2" t="s">
        <v>13</v>
      </c>
      <c r="D8088" s="2" t="s">
        <v>12</v>
      </c>
      <c r="E8088" s="2" t="s">
        <v>17</v>
      </c>
      <c r="F8088" s="2" t="str">
        <f>HYPERLINK("http://www.12365auto.com/zlts/20200213/447097.shtml","http://www.12365auto.com/zlts/20200213/447097.shtml")</f>
        <v>http://www.12365auto.com/zlts/20200213/447097.shtml</v>
      </c>
      <c r="G8088" s="2"/>
      <c r="H8088" s="2" t="s">
        <v>11058</v>
      </c>
      <c r="I8088" s="2" t="s">
        <v>19</v>
      </c>
      <c r="J8088" s="2" t="s">
        <v>12</v>
      </c>
      <c r="K8088" s="2" t="s">
        <v>11059</v>
      </c>
      <c r="L8088" s="2">
        <f t="shared" si="126"/>
        <v>150</v>
      </c>
    </row>
    <row r="8089" spans="1:12" ht="25" customHeight="1">
      <c r="A8089" s="2" t="s">
        <v>12</v>
      </c>
      <c r="B8089" s="2" t="str">
        <f>HYPERLINK("http://www.12365auto.com/xcdg/20200213/418492.shtml","大众全新Tiguan实车街拍 前脸设计酷似途昂")</f>
        <v>大众全新Tiguan实车街拍 前脸设计酷似途昂</v>
      </c>
      <c r="C8089" s="2" t="s">
        <v>13</v>
      </c>
      <c r="D8089" s="2" t="s">
        <v>12</v>
      </c>
      <c r="E8089" s="2" t="s">
        <v>224</v>
      </c>
      <c r="F8089" s="2" t="str">
        <f>HYPERLINK("http://www.12365auto.com/xcdg/20200213/418492.shtml","http://www.12365auto.com/xcdg/20200213/418492.shtml")</f>
        <v>http://www.12365auto.com/xcdg/20200213/418492.shtml</v>
      </c>
      <c r="G8089" s="2"/>
      <c r="H8089" s="2" t="s">
        <v>11060</v>
      </c>
      <c r="I8089" s="2" t="s">
        <v>15</v>
      </c>
      <c r="J8089" s="2" t="s">
        <v>12</v>
      </c>
      <c r="K8089" s="2" t="s">
        <v>11061</v>
      </c>
      <c r="L8089" s="2">
        <f t="shared" si="126"/>
        <v>150</v>
      </c>
    </row>
    <row r="8090" spans="1:12" ht="25" customHeight="1">
      <c r="A8090" s="2" t="s">
        <v>12</v>
      </c>
      <c r="B8090" s="2" t="str">
        <f>HYPERLINK("http://m.12365auto.com/xcdg/20200213/418492.shtml","大众全新Tiguan实车街拍 前脸设计酷似途昂")</f>
        <v>大众全新Tiguan实车街拍 前脸设计酷似途昂</v>
      </c>
      <c r="C8090" s="2" t="s">
        <v>13</v>
      </c>
      <c r="D8090" s="2" t="s">
        <v>12</v>
      </c>
      <c r="E8090" s="2"/>
      <c r="F8090" s="2" t="str">
        <f>HYPERLINK("http://m.12365auto.com/xcdg/20200213/418492.shtml","http://m.12365auto.com/xcdg/20200213/418492.shtml")</f>
        <v>http://m.12365auto.com/xcdg/20200213/418492.shtml</v>
      </c>
      <c r="G8090" s="2"/>
      <c r="H8090" s="2" t="s">
        <v>11062</v>
      </c>
      <c r="I8090" s="2" t="s">
        <v>19</v>
      </c>
      <c r="J8090" s="2" t="s">
        <v>220</v>
      </c>
      <c r="K8090" s="2" t="s">
        <v>11061</v>
      </c>
      <c r="L8090" s="2">
        <f t="shared" si="126"/>
        <v>150</v>
      </c>
    </row>
    <row r="8091" spans="1:12" ht="25" customHeight="1">
      <c r="A8091" s="2" t="s">
        <v>12</v>
      </c>
      <c r="B8091" s="2" t="str">
        <f>HYPERLINK("http://m.12365auto.com/xcdg/20200213/418491.shtml","奥迪ABT RS Q8实拍曝光 搭V8引擎/动力升级")</f>
        <v>奥迪ABT RS Q8实拍曝光 搭V8引擎/动力升级</v>
      </c>
      <c r="C8091" s="2" t="s">
        <v>13</v>
      </c>
      <c r="D8091" s="2" t="s">
        <v>12</v>
      </c>
      <c r="E8091" s="2"/>
      <c r="F8091" s="2" t="str">
        <f>HYPERLINK("http://m.12365auto.com/xcdg/20200213/418491.shtml","http://m.12365auto.com/xcdg/20200213/418491.shtml")</f>
        <v>http://m.12365auto.com/xcdg/20200213/418491.shtml</v>
      </c>
      <c r="G8091" s="2"/>
      <c r="H8091" s="2" t="s">
        <v>11063</v>
      </c>
      <c r="I8091" s="2" t="s">
        <v>19</v>
      </c>
      <c r="J8091" s="2" t="s">
        <v>220</v>
      </c>
      <c r="K8091" s="2" t="s">
        <v>11064</v>
      </c>
      <c r="L8091" s="2">
        <f t="shared" si="126"/>
        <v>150</v>
      </c>
    </row>
    <row r="8092" spans="1:12" ht="25" customHeight="1">
      <c r="A8092" s="2" t="s">
        <v>12</v>
      </c>
      <c r="B8092" s="2" t="str">
        <f>HYPERLINK("http://www.12365auto.com/xcdg/20200213/418491.shtml","奥迪ABT RS Q8实拍曝光 搭V8引擎/动力升级")</f>
        <v>奥迪ABT RS Q8实拍曝光 搭V8引擎/动力升级</v>
      </c>
      <c r="C8092" s="2" t="s">
        <v>13</v>
      </c>
      <c r="D8092" s="2" t="s">
        <v>12</v>
      </c>
      <c r="E8092" s="2" t="s">
        <v>216</v>
      </c>
      <c r="F8092" s="2" t="str">
        <f>HYPERLINK("http://www.12365auto.com/xcdg/20200213/418491.shtml","http://www.12365auto.com/xcdg/20200213/418491.shtml")</f>
        <v>http://www.12365auto.com/xcdg/20200213/418491.shtml</v>
      </c>
      <c r="G8092" s="2"/>
      <c r="H8092" s="2" t="s">
        <v>11065</v>
      </c>
      <c r="I8092" s="2" t="s">
        <v>15</v>
      </c>
      <c r="J8092" s="2" t="s">
        <v>12</v>
      </c>
      <c r="K8092" s="2" t="s">
        <v>11064</v>
      </c>
      <c r="L8092" s="2">
        <f t="shared" si="126"/>
        <v>150</v>
      </c>
    </row>
    <row r="8093" spans="1:12" ht="25" customHeight="1">
      <c r="A8093" s="2" t="s">
        <v>12</v>
      </c>
      <c r="B8093" s="2" t="str">
        <f>HYPERLINK("http://m.12365auto.com/xcdg/20200213/418490.shtml","福特全新PUMA ST实车曝光 搭1.5T/年内亮相")</f>
        <v>福特全新PUMA ST实车曝光 搭1.5T/年内亮相</v>
      </c>
      <c r="C8093" s="2" t="s">
        <v>13</v>
      </c>
      <c r="D8093" s="2" t="s">
        <v>12</v>
      </c>
      <c r="E8093" s="2"/>
      <c r="F8093" s="2" t="str">
        <f>HYPERLINK("http://m.12365auto.com/xcdg/20200213/418490.shtml","http://m.12365auto.com/xcdg/20200213/418490.shtml")</f>
        <v>http://m.12365auto.com/xcdg/20200213/418490.shtml</v>
      </c>
      <c r="G8093" s="2"/>
      <c r="H8093" s="2" t="s">
        <v>11066</v>
      </c>
      <c r="I8093" s="2" t="s">
        <v>19</v>
      </c>
      <c r="J8093" s="2" t="s">
        <v>220</v>
      </c>
      <c r="K8093" s="2" t="s">
        <v>11067</v>
      </c>
      <c r="L8093" s="2">
        <f t="shared" si="126"/>
        <v>150</v>
      </c>
    </row>
    <row r="8094" spans="1:12" ht="25" customHeight="1">
      <c r="A8094" s="2" t="s">
        <v>12</v>
      </c>
      <c r="B8094" s="2" t="str">
        <f>HYPERLINK("http://www.12365auto.com/xcdg/20200213/418490.shtml","福特全新PUMA ST实车曝光 搭1.5T/年内亮相")</f>
        <v>福特全新PUMA ST实车曝光 搭1.5T/年内亮相</v>
      </c>
      <c r="C8094" s="2" t="s">
        <v>13</v>
      </c>
      <c r="D8094" s="2" t="s">
        <v>12</v>
      </c>
      <c r="E8094" s="2" t="s">
        <v>216</v>
      </c>
      <c r="F8094" s="2" t="str">
        <f>HYPERLINK("http://www.12365auto.com/xcdg/20200213/418490.shtml","http://www.12365auto.com/xcdg/20200213/418490.shtml")</f>
        <v>http://www.12365auto.com/xcdg/20200213/418490.shtml</v>
      </c>
      <c r="G8094" s="2"/>
      <c r="H8094" s="2" t="s">
        <v>11068</v>
      </c>
      <c r="I8094" s="2" t="s">
        <v>15</v>
      </c>
      <c r="J8094" s="2" t="s">
        <v>12</v>
      </c>
      <c r="K8094" s="2" t="s">
        <v>11067</v>
      </c>
      <c r="L8094" s="2">
        <f t="shared" si="126"/>
        <v>150</v>
      </c>
    </row>
    <row r="8095" spans="1:12" ht="25" customHeight="1">
      <c r="A8095" s="2" t="s">
        <v>12</v>
      </c>
      <c r="B8095" s="2" t="str">
        <f>HYPERLINK("http://m.12365auto.com/xcdg/20200213/418489.shtml","现代全新跨界电动SUV曝光 明年下半年将亮相")</f>
        <v>现代全新跨界电动SUV曝光 明年下半年将亮相</v>
      </c>
      <c r="C8095" s="2" t="s">
        <v>13</v>
      </c>
      <c r="D8095" s="2" t="s">
        <v>12</v>
      </c>
      <c r="E8095" s="2"/>
      <c r="F8095" s="2" t="str">
        <f>HYPERLINK("http://m.12365auto.com/xcdg/20200213/418489.shtml","http://m.12365auto.com/xcdg/20200213/418489.shtml")</f>
        <v>http://m.12365auto.com/xcdg/20200213/418489.shtml</v>
      </c>
      <c r="G8095" s="2"/>
      <c r="H8095" s="2" t="s">
        <v>11069</v>
      </c>
      <c r="I8095" s="2" t="s">
        <v>19</v>
      </c>
      <c r="J8095" s="2" t="s">
        <v>220</v>
      </c>
      <c r="K8095" s="2" t="s">
        <v>11070</v>
      </c>
      <c r="L8095" s="2">
        <f t="shared" si="126"/>
        <v>150</v>
      </c>
    </row>
    <row r="8096" spans="1:12" ht="25" customHeight="1">
      <c r="A8096" s="2" t="s">
        <v>12</v>
      </c>
      <c r="B8096" s="2" t="str">
        <f>HYPERLINK("http://www.12365auto.com/xcdg/20200213/418489.shtml","现代全新跨界电动SUV曝光 明年下半年将亮相")</f>
        <v>现代全新跨界电动SUV曝光 明年下半年将亮相</v>
      </c>
      <c r="C8096" s="2" t="s">
        <v>13</v>
      </c>
      <c r="D8096" s="2" t="s">
        <v>12</v>
      </c>
      <c r="E8096" s="2" t="s">
        <v>224</v>
      </c>
      <c r="F8096" s="2" t="str">
        <f>HYPERLINK("http://www.12365auto.com/xcdg/20200213/418489.shtml","http://www.12365auto.com/xcdg/20200213/418489.shtml")</f>
        <v>http://www.12365auto.com/xcdg/20200213/418489.shtml</v>
      </c>
      <c r="G8096" s="2"/>
      <c r="H8096" s="2" t="s">
        <v>11071</v>
      </c>
      <c r="I8096" s="2" t="s">
        <v>15</v>
      </c>
      <c r="J8096" s="2" t="s">
        <v>12</v>
      </c>
      <c r="K8096" s="2" t="s">
        <v>11070</v>
      </c>
      <c r="L8096" s="2">
        <f t="shared" si="126"/>
        <v>150</v>
      </c>
    </row>
    <row r="8097" spans="1:12" ht="25" customHeight="1">
      <c r="A8097" s="2" t="s">
        <v>12</v>
      </c>
      <c r="B8097" s="2" t="str">
        <f>HYPERLINK("http://m.12365auto.com/xcdg/20200213/418488.shtml","天际汽车拟推7款新车 新SUV与宋Pro同级")</f>
        <v>天际汽车拟推7款新车 新SUV与宋Pro同级</v>
      </c>
      <c r="C8097" s="2" t="s">
        <v>13</v>
      </c>
      <c r="D8097" s="2" t="s">
        <v>12</v>
      </c>
      <c r="E8097" s="2"/>
      <c r="F8097" s="2" t="str">
        <f>HYPERLINK("http://m.12365auto.com/xcdg/20200213/418488.shtml","http://m.12365auto.com/xcdg/20200213/418488.shtml")</f>
        <v>http://m.12365auto.com/xcdg/20200213/418488.shtml</v>
      </c>
      <c r="G8097" s="2"/>
      <c r="H8097" s="2" t="s">
        <v>11072</v>
      </c>
      <c r="I8097" s="2" t="s">
        <v>19</v>
      </c>
      <c r="J8097" s="2" t="s">
        <v>257</v>
      </c>
      <c r="K8097" s="2" t="s">
        <v>11073</v>
      </c>
      <c r="L8097" s="2">
        <f t="shared" si="126"/>
        <v>150</v>
      </c>
    </row>
    <row r="8098" spans="1:12" ht="25" customHeight="1">
      <c r="A8098" s="2" t="s">
        <v>12</v>
      </c>
      <c r="B8098" s="2" t="str">
        <f>HYPERLINK("http://www.12365auto.com/xcdg/20200213/418488.shtml","天际汽车拟推7款新车 新SUV与宋Pro同级")</f>
        <v>天际汽车拟推7款新车 新SUV与宋Pro同级</v>
      </c>
      <c r="C8098" s="2" t="s">
        <v>13</v>
      </c>
      <c r="D8098" s="2" t="s">
        <v>12</v>
      </c>
      <c r="E8098" s="2" t="s">
        <v>216</v>
      </c>
      <c r="F8098" s="2" t="str">
        <f>HYPERLINK("http://www.12365auto.com/xcdg/20200213/418488.shtml","http://www.12365auto.com/xcdg/20200213/418488.shtml")</f>
        <v>http://www.12365auto.com/xcdg/20200213/418488.shtml</v>
      </c>
      <c r="G8098" s="2"/>
      <c r="H8098" s="2" t="s">
        <v>11074</v>
      </c>
      <c r="I8098" s="2" t="s">
        <v>15</v>
      </c>
      <c r="J8098" s="2" t="s">
        <v>12</v>
      </c>
      <c r="K8098" s="2" t="s">
        <v>11073</v>
      </c>
      <c r="L8098" s="2">
        <f t="shared" si="126"/>
        <v>150</v>
      </c>
    </row>
    <row r="8099" spans="1:12" ht="25" customHeight="1">
      <c r="A8099" s="2" t="s">
        <v>12</v>
      </c>
      <c r="B8099" s="2" t="str">
        <f>HYPERLINK("http://m.12365auto.com/xcdg/20200213/418487.shtml","大众CC猎装版并非中国独有 将年内上市")</f>
        <v>大众CC猎装版并非中国独有 将年内上市</v>
      </c>
      <c r="C8099" s="2" t="s">
        <v>13</v>
      </c>
      <c r="D8099" s="2" t="s">
        <v>12</v>
      </c>
      <c r="E8099" s="2"/>
      <c r="F8099" s="2" t="str">
        <f>HYPERLINK("http://m.12365auto.com/xcdg/20200213/418487.shtml","http://m.12365auto.com/xcdg/20200213/418487.shtml")</f>
        <v>http://m.12365auto.com/xcdg/20200213/418487.shtml</v>
      </c>
      <c r="G8099" s="2"/>
      <c r="H8099" s="2" t="s">
        <v>11075</v>
      </c>
      <c r="I8099" s="2" t="s">
        <v>19</v>
      </c>
      <c r="J8099" s="2" t="s">
        <v>1105</v>
      </c>
      <c r="K8099" s="2" t="s">
        <v>11076</v>
      </c>
      <c r="L8099" s="2">
        <f t="shared" si="126"/>
        <v>150</v>
      </c>
    </row>
    <row r="8100" spans="1:12" ht="25" customHeight="1">
      <c r="A8100" s="2" t="s">
        <v>12</v>
      </c>
      <c r="B8100" s="2" t="str">
        <f>HYPERLINK("http://www.12365auto.com/xcdg/20200213/418487.shtml","大众CC猎装版并非中国独有 将年内上市")</f>
        <v>大众CC猎装版并非中国独有 将年内上市</v>
      </c>
      <c r="C8100" s="2" t="s">
        <v>13</v>
      </c>
      <c r="D8100" s="2" t="s">
        <v>12</v>
      </c>
      <c r="E8100" s="2" t="s">
        <v>224</v>
      </c>
      <c r="F8100" s="2" t="str">
        <f>HYPERLINK("http://www.12365auto.com/xcdg/20200213/418487.shtml","http://www.12365auto.com/xcdg/20200213/418487.shtml")</f>
        <v>http://www.12365auto.com/xcdg/20200213/418487.shtml</v>
      </c>
      <c r="G8100" s="2"/>
      <c r="H8100" s="2" t="s">
        <v>11077</v>
      </c>
      <c r="I8100" s="2" t="s">
        <v>15</v>
      </c>
      <c r="J8100" s="2" t="s">
        <v>12</v>
      </c>
      <c r="K8100" s="2" t="s">
        <v>11076</v>
      </c>
      <c r="L8100" s="2">
        <f t="shared" si="126"/>
        <v>150</v>
      </c>
    </row>
    <row r="8101" spans="1:12" ht="25" customHeight="1">
      <c r="A8101" s="2" t="s">
        <v>12</v>
      </c>
      <c r="B8101" s="2" t="str">
        <f>HYPERLINK("http://www.12365auto.com/xcdg/20200213/418486.shtml","宾利Mulliner打造全新车型 日内瓦车展亮相")</f>
        <v>宾利Mulliner打造全新车型 日内瓦车展亮相</v>
      </c>
      <c r="C8101" s="2" t="s">
        <v>13</v>
      </c>
      <c r="D8101" s="2" t="s">
        <v>12</v>
      </c>
      <c r="E8101" s="2" t="s">
        <v>216</v>
      </c>
      <c r="F8101" s="2" t="str">
        <f>HYPERLINK("http://www.12365auto.com/xcdg/20200213/418486.shtml","http://www.12365auto.com/xcdg/20200213/418486.shtml")</f>
        <v>http://www.12365auto.com/xcdg/20200213/418486.shtml</v>
      </c>
      <c r="G8101" s="2"/>
      <c r="H8101" s="2" t="s">
        <v>11078</v>
      </c>
      <c r="I8101" s="2" t="s">
        <v>15</v>
      </c>
      <c r="J8101" s="2" t="s">
        <v>12</v>
      </c>
      <c r="K8101" s="2" t="s">
        <v>11079</v>
      </c>
      <c r="L8101" s="2">
        <f t="shared" si="126"/>
        <v>150</v>
      </c>
    </row>
    <row r="8102" spans="1:12" ht="25" customHeight="1">
      <c r="A8102" s="2" t="s">
        <v>12</v>
      </c>
      <c r="B8102" s="2" t="str">
        <f>HYPERLINK("http://m.12365auto.com/xcdg/20200213/418486.shtml","宾利Mulliner打造全新车型 日内瓦车展亮相")</f>
        <v>宾利Mulliner打造全新车型 日内瓦车展亮相</v>
      </c>
      <c r="C8102" s="2" t="s">
        <v>13</v>
      </c>
      <c r="D8102" s="2" t="s">
        <v>12</v>
      </c>
      <c r="E8102" s="2"/>
      <c r="F8102" s="2" t="str">
        <f>HYPERLINK("http://m.12365auto.com/xcdg/20200213/418486.shtml","http://m.12365auto.com/xcdg/20200213/418486.shtml")</f>
        <v>http://m.12365auto.com/xcdg/20200213/418486.shtml</v>
      </c>
      <c r="G8102" s="2"/>
      <c r="H8102" s="2" t="s">
        <v>11080</v>
      </c>
      <c r="I8102" s="2" t="s">
        <v>19</v>
      </c>
      <c r="J8102" s="2" t="s">
        <v>2660</v>
      </c>
      <c r="K8102" s="2" t="s">
        <v>11079</v>
      </c>
      <c r="L8102" s="2">
        <f t="shared" si="126"/>
        <v>150</v>
      </c>
    </row>
    <row r="8103" spans="1:12" ht="25" customHeight="1">
      <c r="A8103" s="2" t="s">
        <v>12</v>
      </c>
      <c r="B8103" s="2" t="str">
        <f>HYPERLINK("http://www.12365auto.com/xcdg/20200213/418485.shtml","黑化运动风更动感 日产劲客推多种选装配件")</f>
        <v>黑化运动风更动感 日产劲客推多种选装配件</v>
      </c>
      <c r="C8103" s="2" t="s">
        <v>13</v>
      </c>
      <c r="D8103" s="2" t="s">
        <v>12</v>
      </c>
      <c r="E8103" s="2" t="s">
        <v>216</v>
      </c>
      <c r="F8103" s="2" t="str">
        <f>HYPERLINK("http://www.12365auto.com/xcdg/20200213/418485.shtml","http://www.12365auto.com/xcdg/20200213/418485.shtml")</f>
        <v>http://www.12365auto.com/xcdg/20200213/418485.shtml</v>
      </c>
      <c r="G8103" s="2"/>
      <c r="H8103" s="2" t="s">
        <v>11081</v>
      </c>
      <c r="I8103" s="2" t="s">
        <v>15</v>
      </c>
      <c r="J8103" s="2" t="s">
        <v>12</v>
      </c>
      <c r="K8103" s="2" t="s">
        <v>11082</v>
      </c>
      <c r="L8103" s="2">
        <f t="shared" si="126"/>
        <v>150</v>
      </c>
    </row>
    <row r="8104" spans="1:12" ht="25" customHeight="1">
      <c r="A8104" s="2" t="s">
        <v>12</v>
      </c>
      <c r="B8104" s="2" t="str">
        <f>HYPERLINK("http://m.12365auto.com/xcdg/20200213/418485.shtml","黑化运动风更动感 日产劲客推多种选装配件")</f>
        <v>黑化运动风更动感 日产劲客推多种选装配件</v>
      </c>
      <c r="C8104" s="2" t="s">
        <v>13</v>
      </c>
      <c r="D8104" s="2" t="s">
        <v>12</v>
      </c>
      <c r="E8104" s="2"/>
      <c r="F8104" s="2" t="str">
        <f>HYPERLINK("http://m.12365auto.com/xcdg/20200213/418485.shtml","http://m.12365auto.com/xcdg/20200213/418485.shtml")</f>
        <v>http://m.12365auto.com/xcdg/20200213/418485.shtml</v>
      </c>
      <c r="G8104" s="2"/>
      <c r="H8104" s="2" t="s">
        <v>11083</v>
      </c>
      <c r="I8104" s="2" t="s">
        <v>19</v>
      </c>
      <c r="J8104" s="2" t="s">
        <v>1623</v>
      </c>
      <c r="K8104" s="2" t="s">
        <v>11082</v>
      </c>
      <c r="L8104" s="2">
        <f t="shared" si="126"/>
        <v>150</v>
      </c>
    </row>
    <row r="8105" spans="1:12" ht="25" customHeight="1">
      <c r="A8105" s="2" t="s">
        <v>12</v>
      </c>
      <c r="B8105" s="2" t="str">
        <f>HYPERLINK("http://www.12365auto.com/xcdg/20200213/418484.shtml","全新路虎发现运动版明日上市 预售35.98万起")</f>
        <v>全新路虎发现运动版明日上市 预售35.98万起</v>
      </c>
      <c r="C8105" s="2" t="s">
        <v>13</v>
      </c>
      <c r="D8105" s="2" t="s">
        <v>12</v>
      </c>
      <c r="E8105" s="2" t="s">
        <v>216</v>
      </c>
      <c r="F8105" s="2" t="str">
        <f>HYPERLINK("http://www.12365auto.com/xcdg/20200213/418484.shtml","http://www.12365auto.com/xcdg/20200213/418484.shtml")</f>
        <v>http://www.12365auto.com/xcdg/20200213/418484.shtml</v>
      </c>
      <c r="G8105" s="2"/>
      <c r="H8105" s="2" t="s">
        <v>11084</v>
      </c>
      <c r="I8105" s="2" t="s">
        <v>15</v>
      </c>
      <c r="J8105" s="2" t="s">
        <v>12</v>
      </c>
      <c r="K8105" s="2" t="s">
        <v>11085</v>
      </c>
      <c r="L8105" s="2">
        <f t="shared" si="126"/>
        <v>150</v>
      </c>
    </row>
    <row r="8106" spans="1:12" ht="25" customHeight="1">
      <c r="A8106" s="2" t="s">
        <v>12</v>
      </c>
      <c r="B8106" s="2" t="str">
        <f>HYPERLINK("http://m.12365auto.com/xcdg/20200213/418484.shtml","全新路虎发现运动版明日上市 预售35.98万起")</f>
        <v>全新路虎发现运动版明日上市 预售35.98万起</v>
      </c>
      <c r="C8106" s="2" t="s">
        <v>13</v>
      </c>
      <c r="D8106" s="2" t="s">
        <v>12</v>
      </c>
      <c r="E8106" s="2"/>
      <c r="F8106" s="2" t="str">
        <f>HYPERLINK("http://m.12365auto.com/xcdg/20200213/418484.shtml","http://m.12365auto.com/xcdg/20200213/418484.shtml")</f>
        <v>http://m.12365auto.com/xcdg/20200213/418484.shtml</v>
      </c>
      <c r="G8106" s="2"/>
      <c r="H8106" s="2" t="s">
        <v>11086</v>
      </c>
      <c r="I8106" s="2" t="s">
        <v>19</v>
      </c>
      <c r="J8106" s="2" t="s">
        <v>11087</v>
      </c>
      <c r="K8106" s="2" t="s">
        <v>11085</v>
      </c>
      <c r="L8106" s="2">
        <f t="shared" si="126"/>
        <v>150</v>
      </c>
    </row>
    <row r="8107" spans="1:12" ht="25" customHeight="1">
      <c r="A8107" s="2" t="s">
        <v>12</v>
      </c>
      <c r="B8107" s="2" t="str">
        <f>HYPERLINK("http://m.12365auto.com/zjdy/20200213/121226.shtml","18款逸动车窗一键升降故障该如何如处理？")</f>
        <v>18款逸动车窗一键升降故障该如何如处理？</v>
      </c>
      <c r="C8107" s="2" t="s">
        <v>13</v>
      </c>
      <c r="D8107" s="2" t="s">
        <v>12</v>
      </c>
      <c r="E8107" s="2"/>
      <c r="F8107" s="2" t="str">
        <f>HYPERLINK("http://m.12365auto.com/zjdy/20200213/121226.shtml","http://m.12365auto.com/zjdy/20200213/121226.shtml")</f>
        <v>http://m.12365auto.com/zjdy/20200213/121226.shtml</v>
      </c>
      <c r="G8107" s="2"/>
      <c r="H8107" s="2" t="s">
        <v>11088</v>
      </c>
      <c r="I8107" s="2" t="s">
        <v>19</v>
      </c>
      <c r="J8107" s="2" t="s">
        <v>12</v>
      </c>
      <c r="K8107" s="2" t="s">
        <v>11089</v>
      </c>
      <c r="L8107" s="2">
        <f t="shared" si="126"/>
        <v>23</v>
      </c>
    </row>
    <row r="8108" spans="1:12" ht="25" customHeight="1">
      <c r="A8108" s="2" t="s">
        <v>12</v>
      </c>
      <c r="B8108" s="2" t="str">
        <f>HYPERLINK("http://m.12365auto.com/zjdy/20200213/121225.shtml","本田缤智这款车质量如何值得购买吗？")</f>
        <v>本田缤智这款车质量如何值得购买吗？</v>
      </c>
      <c r="C8108" s="2" t="s">
        <v>13</v>
      </c>
      <c r="D8108" s="2" t="s">
        <v>12</v>
      </c>
      <c r="E8108" s="2"/>
      <c r="F8108" s="2" t="str">
        <f>HYPERLINK("http://m.12365auto.com/zjdy/20200213/121225.shtml","http://m.12365auto.com/zjdy/20200213/121225.shtml")</f>
        <v>http://m.12365auto.com/zjdy/20200213/121225.shtml</v>
      </c>
      <c r="G8108" s="2"/>
      <c r="H8108" s="2" t="s">
        <v>11090</v>
      </c>
      <c r="I8108" s="2" t="s">
        <v>19</v>
      </c>
      <c r="J8108" s="2" t="s">
        <v>12</v>
      </c>
      <c r="K8108" s="2" t="s">
        <v>11089</v>
      </c>
      <c r="L8108" s="2">
        <f t="shared" si="126"/>
        <v>19</v>
      </c>
    </row>
    <row r="8109" spans="1:12" ht="25" customHeight="1">
      <c r="A8109" s="2" t="s">
        <v>12</v>
      </c>
      <c r="B8109" s="2" t="str">
        <f>HYPERLINK("http://m.12365auto.com/xcdg/20200213/418483.shtml","可选电子后视镜 雷克萨斯ES 300h获得许可")</f>
        <v>可选电子后视镜 雷克萨斯ES 300h获得许可</v>
      </c>
      <c r="C8109" s="2" t="s">
        <v>13</v>
      </c>
      <c r="D8109" s="2" t="s">
        <v>12</v>
      </c>
      <c r="E8109" s="2"/>
      <c r="F8109" s="2" t="str">
        <f>HYPERLINK("http://m.12365auto.com/xcdg/20200213/418483.shtml","http://m.12365auto.com/xcdg/20200213/418483.shtml")</f>
        <v>http://m.12365auto.com/xcdg/20200213/418483.shtml</v>
      </c>
      <c r="G8109" s="2"/>
      <c r="H8109" s="2" t="s">
        <v>11091</v>
      </c>
      <c r="I8109" s="2" t="s">
        <v>19</v>
      </c>
      <c r="J8109" s="2" t="s">
        <v>760</v>
      </c>
      <c r="K8109" s="2" t="s">
        <v>11092</v>
      </c>
      <c r="L8109" s="2">
        <f t="shared" si="126"/>
        <v>150</v>
      </c>
    </row>
    <row r="8110" spans="1:12" ht="25" customHeight="1">
      <c r="A8110" s="2" t="s">
        <v>12</v>
      </c>
      <c r="B8110" s="2" t="str">
        <f>HYPERLINK("http://www.12365auto.com/xcdg/20200213/418483.shtml","可选电子后视镜 雷克萨斯ES 300h获得许可")</f>
        <v>可选电子后视镜 雷克萨斯ES 300h获得许可</v>
      </c>
      <c r="C8110" s="2" t="s">
        <v>13</v>
      </c>
      <c r="D8110" s="2" t="s">
        <v>12</v>
      </c>
      <c r="E8110" s="2" t="s">
        <v>216</v>
      </c>
      <c r="F8110" s="2" t="str">
        <f>HYPERLINK("http://www.12365auto.com/xcdg/20200213/418483.shtml","http://www.12365auto.com/xcdg/20200213/418483.shtml")</f>
        <v>http://www.12365auto.com/xcdg/20200213/418483.shtml</v>
      </c>
      <c r="G8110" s="2"/>
      <c r="H8110" s="2" t="s">
        <v>11093</v>
      </c>
      <c r="I8110" s="2" t="s">
        <v>15</v>
      </c>
      <c r="J8110" s="2" t="s">
        <v>12</v>
      </c>
      <c r="K8110" s="2" t="s">
        <v>11092</v>
      </c>
      <c r="L8110" s="2">
        <f t="shared" si="126"/>
        <v>150</v>
      </c>
    </row>
    <row r="8111" spans="1:12" ht="25" customHeight="1">
      <c r="A8111" s="2" t="s">
        <v>12</v>
      </c>
      <c r="B8111" s="2" t="str">
        <f>HYPERLINK("http://m.12365auto.com/xcdg/20200213/418482.shtml","原厂合法改装性能SUV 丰田有望推C-HR性能版")</f>
        <v>原厂合法改装性能SUV 丰田有望推C-HR性能版</v>
      </c>
      <c r="C8111" s="2" t="s">
        <v>13</v>
      </c>
      <c r="D8111" s="2" t="s">
        <v>12</v>
      </c>
      <c r="E8111" s="2"/>
      <c r="F8111" s="2" t="str">
        <f>HYPERLINK("http://m.12365auto.com/xcdg/20200213/418482.shtml","http://m.12365auto.com/xcdg/20200213/418482.shtml")</f>
        <v>http://m.12365auto.com/xcdg/20200213/418482.shtml</v>
      </c>
      <c r="G8111" s="2"/>
      <c r="H8111" s="2" t="s">
        <v>11094</v>
      </c>
      <c r="I8111" s="2" t="s">
        <v>19</v>
      </c>
      <c r="J8111" s="2" t="s">
        <v>2572</v>
      </c>
      <c r="K8111" s="2" t="s">
        <v>11095</v>
      </c>
      <c r="L8111" s="2">
        <f t="shared" si="126"/>
        <v>150</v>
      </c>
    </row>
    <row r="8112" spans="1:12" ht="25" customHeight="1">
      <c r="A8112" s="2" t="s">
        <v>12</v>
      </c>
      <c r="B8112" s="2" t="str">
        <f>HYPERLINK("http://www.12365auto.com/xcdg/20200213/418482.shtml","原厂合法改装性能SUV 丰田有望推C-HR性能版")</f>
        <v>原厂合法改装性能SUV 丰田有望推C-HR性能版</v>
      </c>
      <c r="C8112" s="2" t="s">
        <v>13</v>
      </c>
      <c r="D8112" s="2" t="s">
        <v>12</v>
      </c>
      <c r="E8112" s="2" t="s">
        <v>216</v>
      </c>
      <c r="F8112" s="2" t="str">
        <f>HYPERLINK("http://www.12365auto.com/xcdg/20200213/418482.shtml","http://www.12365auto.com/xcdg/20200213/418482.shtml")</f>
        <v>http://www.12365auto.com/xcdg/20200213/418482.shtml</v>
      </c>
      <c r="G8112" s="2"/>
      <c r="H8112" s="2" t="s">
        <v>11096</v>
      </c>
      <c r="I8112" s="2" t="s">
        <v>15</v>
      </c>
      <c r="J8112" s="2" t="s">
        <v>12</v>
      </c>
      <c r="K8112" s="2" t="s">
        <v>11095</v>
      </c>
      <c r="L8112" s="2">
        <f t="shared" si="126"/>
        <v>150</v>
      </c>
    </row>
    <row r="8113" spans="1:12" ht="25" customHeight="1">
      <c r="A8113" s="2" t="s">
        <v>12</v>
      </c>
      <c r="B8113" s="2" t="str">
        <f>HYPERLINK("http://m.12365auto.com/xcdg/20200213/418481.shtml","可放置轮椅 江铃福特全顺福祉车申报图曝光")</f>
        <v>可放置轮椅 江铃福特全顺福祉车申报图曝光</v>
      </c>
      <c r="C8113" s="2" t="s">
        <v>13</v>
      </c>
      <c r="D8113" s="2" t="s">
        <v>12</v>
      </c>
      <c r="E8113" s="2"/>
      <c r="F8113" s="2" t="str">
        <f>HYPERLINK("http://m.12365auto.com/xcdg/20200213/418481.shtml","http://m.12365auto.com/xcdg/20200213/418481.shtml")</f>
        <v>http://m.12365auto.com/xcdg/20200213/418481.shtml</v>
      </c>
      <c r="G8113" s="2"/>
      <c r="H8113" s="2" t="s">
        <v>11097</v>
      </c>
      <c r="I8113" s="2" t="s">
        <v>19</v>
      </c>
      <c r="J8113" s="2" t="s">
        <v>2589</v>
      </c>
      <c r="K8113" s="2" t="s">
        <v>11098</v>
      </c>
      <c r="L8113" s="2">
        <f t="shared" si="126"/>
        <v>150</v>
      </c>
    </row>
    <row r="8114" spans="1:12" ht="25" customHeight="1">
      <c r="A8114" s="2" t="s">
        <v>12</v>
      </c>
      <c r="B8114" s="2" t="str">
        <f>HYPERLINK("http://www.12365auto.com/xcdg/20200213/418481.shtml","可放置轮椅 江铃福特全顺福祉车申报图曝光")</f>
        <v>可放置轮椅 江铃福特全顺福祉车申报图曝光</v>
      </c>
      <c r="C8114" s="2" t="s">
        <v>13</v>
      </c>
      <c r="D8114" s="2" t="s">
        <v>12</v>
      </c>
      <c r="E8114" s="2" t="s">
        <v>216</v>
      </c>
      <c r="F8114" s="2" t="str">
        <f>HYPERLINK("http://www.12365auto.com/xcdg/20200213/418481.shtml","http://www.12365auto.com/xcdg/20200213/418481.shtml")</f>
        <v>http://www.12365auto.com/xcdg/20200213/418481.shtml</v>
      </c>
      <c r="G8114" s="2"/>
      <c r="H8114" s="2" t="s">
        <v>11099</v>
      </c>
      <c r="I8114" s="2" t="s">
        <v>15</v>
      </c>
      <c r="J8114" s="2" t="s">
        <v>12</v>
      </c>
      <c r="K8114" s="2" t="s">
        <v>11098</v>
      </c>
      <c r="L8114" s="2">
        <f t="shared" si="126"/>
        <v>150</v>
      </c>
    </row>
    <row r="8115" spans="1:12" ht="25" customHeight="1">
      <c r="A8115" s="2" t="s">
        <v>12</v>
      </c>
      <c r="B8115" s="2" t="str">
        <f>HYPERLINK("http://m.12365auto.com/xcdg/20200213/418480.shtml","动力上调/供多种选装配件 斯威X7国六新车型")</f>
        <v>动力上调/供多种选装配件 斯威X7国六新车型</v>
      </c>
      <c r="C8115" s="2" t="s">
        <v>13</v>
      </c>
      <c r="D8115" s="2" t="s">
        <v>12</v>
      </c>
      <c r="E8115" s="2"/>
      <c r="F8115" s="2" t="str">
        <f>HYPERLINK("http://m.12365auto.com/xcdg/20200213/418480.shtml","http://m.12365auto.com/xcdg/20200213/418480.shtml")</f>
        <v>http://m.12365auto.com/xcdg/20200213/418480.shtml</v>
      </c>
      <c r="G8115" s="2"/>
      <c r="H8115" s="2" t="s">
        <v>11100</v>
      </c>
      <c r="I8115" s="2" t="s">
        <v>19</v>
      </c>
      <c r="J8115" s="2" t="s">
        <v>9165</v>
      </c>
      <c r="K8115" s="2" t="s">
        <v>11101</v>
      </c>
      <c r="L8115" s="2">
        <f t="shared" si="126"/>
        <v>150</v>
      </c>
    </row>
    <row r="8116" spans="1:12" ht="25" customHeight="1">
      <c r="A8116" s="2" t="s">
        <v>12</v>
      </c>
      <c r="B8116" s="2" t="str">
        <f>HYPERLINK("http://www.12365auto.com/xcdg/20200213/418480.shtml","动力上调/供多种选装配件 斯威X7国六新车型")</f>
        <v>动力上调/供多种选装配件 斯威X7国六新车型</v>
      </c>
      <c r="C8116" s="2" t="s">
        <v>13</v>
      </c>
      <c r="D8116" s="2" t="s">
        <v>12</v>
      </c>
      <c r="E8116" s="2" t="s">
        <v>216</v>
      </c>
      <c r="F8116" s="2" t="str">
        <f>HYPERLINK("http://www.12365auto.com/xcdg/20200213/418480.shtml","http://www.12365auto.com/xcdg/20200213/418480.shtml")</f>
        <v>http://www.12365auto.com/xcdg/20200213/418480.shtml</v>
      </c>
      <c r="G8116" s="2"/>
      <c r="H8116" s="2" t="s">
        <v>11102</v>
      </c>
      <c r="I8116" s="2" t="s">
        <v>15</v>
      </c>
      <c r="J8116" s="2" t="s">
        <v>12</v>
      </c>
      <c r="K8116" s="2" t="s">
        <v>11101</v>
      </c>
      <c r="L8116" s="2">
        <f t="shared" si="126"/>
        <v>150</v>
      </c>
    </row>
    <row r="8117" spans="1:12" ht="25" customHeight="1">
      <c r="A8117" s="2" t="s">
        <v>12</v>
      </c>
      <c r="B8117" s="2" t="str">
        <f>HYPERLINK("http://www.12365auto.com/xcdg/20200213/418479.shtml","斯柯达首款电动SUV命名Enyaq 续航500公里")</f>
        <v>斯柯达首款电动SUV命名Enyaq 续航500公里</v>
      </c>
      <c r="C8117" s="2" t="s">
        <v>13</v>
      </c>
      <c r="D8117" s="2" t="s">
        <v>12</v>
      </c>
      <c r="E8117" s="2" t="s">
        <v>245</v>
      </c>
      <c r="F8117" s="2" t="str">
        <f>HYPERLINK("http://www.12365auto.com/xcdg/20200213/418479.shtml","http://www.12365auto.com/xcdg/20200213/418479.shtml")</f>
        <v>http://www.12365auto.com/xcdg/20200213/418479.shtml</v>
      </c>
      <c r="G8117" s="2"/>
      <c r="H8117" s="2" t="s">
        <v>11103</v>
      </c>
      <c r="I8117" s="2" t="s">
        <v>19</v>
      </c>
      <c r="J8117" s="2" t="s">
        <v>12</v>
      </c>
      <c r="K8117" s="2" t="s">
        <v>11104</v>
      </c>
      <c r="L8117" s="2">
        <f t="shared" si="126"/>
        <v>150</v>
      </c>
    </row>
    <row r="8118" spans="1:12" ht="25" customHeight="1">
      <c r="A8118" s="2" t="s">
        <v>12</v>
      </c>
      <c r="B8118" s="2" t="str">
        <f>HYPERLINK("http://m.12365auto.com/xcdg/20200213/418479.shtml","斯柯达首款电动SUV命名Enyaq 续航500公里")</f>
        <v>斯柯达首款电动SUV命名Enyaq 续航500公里</v>
      </c>
      <c r="C8118" s="2" t="s">
        <v>13</v>
      </c>
      <c r="D8118" s="2" t="s">
        <v>12</v>
      </c>
      <c r="E8118" s="2"/>
      <c r="F8118" s="2" t="str">
        <f>HYPERLINK("http://m.12365auto.com/xcdg/20200213/418479.shtml","http://m.12365auto.com/xcdg/20200213/418479.shtml")</f>
        <v>http://m.12365auto.com/xcdg/20200213/418479.shtml</v>
      </c>
      <c r="G8118" s="2"/>
      <c r="H8118" s="2" t="s">
        <v>11105</v>
      </c>
      <c r="I8118" s="2" t="s">
        <v>19</v>
      </c>
      <c r="J8118" s="2" t="s">
        <v>12</v>
      </c>
      <c r="K8118" s="2" t="s">
        <v>11104</v>
      </c>
      <c r="L8118" s="2">
        <f t="shared" si="126"/>
        <v>150</v>
      </c>
    </row>
    <row r="8119" spans="1:12" ht="25" customHeight="1">
      <c r="A8119" s="2" t="s">
        <v>12</v>
      </c>
      <c r="B8119" s="2" t="str">
        <f>HYPERLINK("http://m.12365auto.com/xcdg/20200213/418478.shtml","雪铁龙C4 Cactus谍照曝光 将在巴黎车展亮相")</f>
        <v>雪铁龙C4 Cactus谍照曝光 将在巴黎车展亮相</v>
      </c>
      <c r="C8119" s="2" t="s">
        <v>13</v>
      </c>
      <c r="D8119" s="2" t="s">
        <v>12</v>
      </c>
      <c r="E8119" s="2"/>
      <c r="F8119" s="2" t="str">
        <f>HYPERLINK("http://m.12365auto.com/xcdg/20200213/418478.shtml","http://m.12365auto.com/xcdg/20200213/418478.shtml")</f>
        <v>http://m.12365auto.com/xcdg/20200213/418478.shtml</v>
      </c>
      <c r="G8119" s="2"/>
      <c r="H8119" s="2" t="s">
        <v>11106</v>
      </c>
      <c r="I8119" s="2" t="s">
        <v>19</v>
      </c>
      <c r="J8119" s="2" t="s">
        <v>12</v>
      </c>
      <c r="K8119" s="2" t="s">
        <v>11107</v>
      </c>
      <c r="L8119" s="2">
        <f t="shared" si="126"/>
        <v>150</v>
      </c>
    </row>
    <row r="8120" spans="1:12" ht="25" customHeight="1">
      <c r="A8120" s="2" t="s">
        <v>12</v>
      </c>
      <c r="B8120" s="2" t="str">
        <f>HYPERLINK("http://www.12365auto.com/xcdg/20200213/418478.shtml","雪铁龙C4 Cactus谍照曝光 将在巴黎车展亮相")</f>
        <v>雪铁龙C4 Cactus谍照曝光 将在巴黎车展亮相</v>
      </c>
      <c r="C8120" s="2" t="s">
        <v>13</v>
      </c>
      <c r="D8120" s="2" t="s">
        <v>12</v>
      </c>
      <c r="E8120" s="2" t="s">
        <v>224</v>
      </c>
      <c r="F8120" s="2" t="str">
        <f>HYPERLINK("http://www.12365auto.com/xcdg/20200213/418478.shtml","http://www.12365auto.com/xcdg/20200213/418478.shtml")</f>
        <v>http://www.12365auto.com/xcdg/20200213/418478.shtml</v>
      </c>
      <c r="G8120" s="2"/>
      <c r="H8120" s="2" t="s">
        <v>11108</v>
      </c>
      <c r="I8120" s="2" t="s">
        <v>15</v>
      </c>
      <c r="J8120" s="2" t="s">
        <v>12</v>
      </c>
      <c r="K8120" s="2" t="s">
        <v>11107</v>
      </c>
      <c r="L8120" s="2">
        <f t="shared" si="126"/>
        <v>150</v>
      </c>
    </row>
    <row r="8121" spans="1:12" ht="25" customHeight="1">
      <c r="A8121" s="2" t="s">
        <v>12</v>
      </c>
      <c r="B8121" s="2" t="str">
        <f>HYPERLINK("http://www.12365auto.com/xcdg/20200213/418477.shtml","曝保时捷911 Targa GTS谍照 预计亮相日内瓦")</f>
        <v>曝保时捷911 Targa GTS谍照 预计亮相日内瓦</v>
      </c>
      <c r="C8121" s="2" t="s">
        <v>13</v>
      </c>
      <c r="D8121" s="2" t="s">
        <v>12</v>
      </c>
      <c r="E8121" s="2" t="s">
        <v>224</v>
      </c>
      <c r="F8121" s="2" t="str">
        <f>HYPERLINK("http://www.12365auto.com/xcdg/20200213/418477.shtml","http://www.12365auto.com/xcdg/20200213/418477.shtml")</f>
        <v>http://www.12365auto.com/xcdg/20200213/418477.shtml</v>
      </c>
      <c r="G8121" s="2"/>
      <c r="H8121" s="2" t="s">
        <v>11109</v>
      </c>
      <c r="I8121" s="2" t="s">
        <v>15</v>
      </c>
      <c r="J8121" s="2" t="s">
        <v>12</v>
      </c>
      <c r="K8121" s="2" t="s">
        <v>11110</v>
      </c>
      <c r="L8121" s="2">
        <f t="shared" si="126"/>
        <v>150</v>
      </c>
    </row>
    <row r="8122" spans="1:12" ht="25" customHeight="1">
      <c r="A8122" s="2" t="s">
        <v>12</v>
      </c>
      <c r="B8122" s="2" t="str">
        <f>HYPERLINK("http://m.12365auto.com/xcdg/20200213/418477.shtml","曝保时捷911 Targa GTS谍照 预计亮相日内瓦")</f>
        <v>曝保时捷911 Targa GTS谍照 预计亮相日内瓦</v>
      </c>
      <c r="C8122" s="2" t="s">
        <v>13</v>
      </c>
      <c r="D8122" s="2" t="s">
        <v>12</v>
      </c>
      <c r="E8122" s="2"/>
      <c r="F8122" s="2" t="str">
        <f>HYPERLINK("http://m.12365auto.com/xcdg/20200213/418477.shtml","http://m.12365auto.com/xcdg/20200213/418477.shtml")</f>
        <v>http://m.12365auto.com/xcdg/20200213/418477.shtml</v>
      </c>
      <c r="G8122" s="2"/>
      <c r="H8122" s="2" t="s">
        <v>11111</v>
      </c>
      <c r="I8122" s="2" t="s">
        <v>19</v>
      </c>
      <c r="J8122" s="2" t="s">
        <v>12</v>
      </c>
      <c r="K8122" s="2" t="s">
        <v>11110</v>
      </c>
      <c r="L8122" s="2">
        <f t="shared" si="126"/>
        <v>150</v>
      </c>
    </row>
    <row r="8123" spans="1:12" ht="25" customHeight="1">
      <c r="A8123" s="2" t="s">
        <v>12</v>
      </c>
      <c r="B8123" s="2" t="str">
        <f>HYPERLINK("http://m.12365auto.com/news/20200213/418476.shtml","全新飞度/两厢思域领衔 本田2020年新车前瞻")</f>
        <v>全新飞度/两厢思域领衔 本田2020年新车前瞻</v>
      </c>
      <c r="C8123" s="2" t="s">
        <v>13</v>
      </c>
      <c r="D8123" s="2" t="s">
        <v>12</v>
      </c>
      <c r="E8123" s="2"/>
      <c r="F8123" s="2" t="str">
        <f>HYPERLINK("http://m.12365auto.com/news/20200213/418476.shtml","http://m.12365auto.com/news/20200213/418476.shtml")</f>
        <v>http://m.12365auto.com/news/20200213/418476.shtml</v>
      </c>
      <c r="G8123" s="2"/>
      <c r="H8123" s="2" t="s">
        <v>11112</v>
      </c>
      <c r="I8123" s="2" t="s">
        <v>19</v>
      </c>
      <c r="J8123" s="2" t="s">
        <v>11113</v>
      </c>
      <c r="K8123" s="2" t="s">
        <v>11114</v>
      </c>
      <c r="L8123" s="2">
        <f t="shared" si="126"/>
        <v>150</v>
      </c>
    </row>
    <row r="8124" spans="1:12" ht="25" customHeight="1">
      <c r="A8124" s="2" t="s">
        <v>12</v>
      </c>
      <c r="B8124" s="2" t="str">
        <f>HYPERLINK("http://www.12365auto.com/news/20200213/418476.shtml","全新飞度/两厢思域领衔 本田2020年新车前瞻")</f>
        <v>全新飞度/两厢思域领衔 本田2020年新车前瞻</v>
      </c>
      <c r="C8124" s="2" t="s">
        <v>13</v>
      </c>
      <c r="D8124" s="2" t="s">
        <v>12</v>
      </c>
      <c r="E8124" s="2" t="s">
        <v>276</v>
      </c>
      <c r="F8124" s="2" t="str">
        <f>HYPERLINK("http://www.12365auto.com/news/20200213/418476.shtml","http://www.12365auto.com/news/20200213/418476.shtml")</f>
        <v>http://www.12365auto.com/news/20200213/418476.shtml</v>
      </c>
      <c r="G8124" s="2"/>
      <c r="H8124" s="2" t="s">
        <v>11115</v>
      </c>
      <c r="I8124" s="2" t="s">
        <v>15</v>
      </c>
      <c r="J8124" s="2" t="s">
        <v>12</v>
      </c>
      <c r="K8124" s="2" t="s">
        <v>11114</v>
      </c>
      <c r="L8124" s="2">
        <f t="shared" si="126"/>
        <v>150</v>
      </c>
    </row>
    <row r="8125" spans="1:12" ht="25" customHeight="1">
      <c r="A8125" s="2" t="s">
        <v>12</v>
      </c>
      <c r="B8125" s="2" t="str">
        <f>HYPERLINK("http://m.12365auto.com/xcdg/20200213/418475.shtml","吉利ICON于2月14日上市不变 改为线上直播")</f>
        <v>吉利ICON于2月14日上市不变 改为线上直播</v>
      </c>
      <c r="C8125" s="2" t="s">
        <v>13</v>
      </c>
      <c r="D8125" s="2" t="s">
        <v>12</v>
      </c>
      <c r="E8125" s="2"/>
      <c r="F8125" s="2" t="str">
        <f>HYPERLINK("http://m.12365auto.com/xcdg/20200213/418475.shtml","http://m.12365auto.com/xcdg/20200213/418475.shtml")</f>
        <v>http://m.12365auto.com/xcdg/20200213/418475.shtml</v>
      </c>
      <c r="G8125" s="2"/>
      <c r="H8125" s="2" t="s">
        <v>11116</v>
      </c>
      <c r="I8125" s="2" t="s">
        <v>19</v>
      </c>
      <c r="J8125" s="2" t="s">
        <v>11117</v>
      </c>
      <c r="K8125" s="2" t="s">
        <v>11118</v>
      </c>
      <c r="L8125" s="2">
        <f t="shared" si="126"/>
        <v>150</v>
      </c>
    </row>
    <row r="8126" spans="1:12" ht="25" customHeight="1">
      <c r="A8126" s="2" t="s">
        <v>12</v>
      </c>
      <c r="B8126" s="2" t="str">
        <f>HYPERLINK("http://www.12365auto.com/xcdg/20200213/418475.shtml","吉利ICON于2月14日上市不变 改为线上直播")</f>
        <v>吉利ICON于2月14日上市不变 改为线上直播</v>
      </c>
      <c r="C8126" s="2" t="s">
        <v>13</v>
      </c>
      <c r="D8126" s="2" t="s">
        <v>12</v>
      </c>
      <c r="E8126" s="2" t="s">
        <v>216</v>
      </c>
      <c r="F8126" s="2" t="str">
        <f>HYPERLINK("http://www.12365auto.com/xcdg/20200213/418475.shtml","http://www.12365auto.com/xcdg/20200213/418475.shtml")</f>
        <v>http://www.12365auto.com/xcdg/20200213/418475.shtml</v>
      </c>
      <c r="G8126" s="2"/>
      <c r="H8126" s="2" t="s">
        <v>11119</v>
      </c>
      <c r="I8126" s="2" t="s">
        <v>15</v>
      </c>
      <c r="J8126" s="2" t="s">
        <v>12</v>
      </c>
      <c r="K8126" s="2" t="s">
        <v>11118</v>
      </c>
      <c r="L8126" s="2">
        <f t="shared" si="126"/>
        <v>150</v>
      </c>
    </row>
    <row r="8127" spans="1:12" ht="25" customHeight="1">
      <c r="A8127" s="2" t="s">
        <v>12</v>
      </c>
      <c r="B8127" s="2" t="str">
        <f>HYPERLINK("http://www.12365auto.com/zlts/20200213/447095.shtml","广汽丰田凯美瑞半轴防尘套漏油不予质保")</f>
        <v>广汽丰田凯美瑞半轴防尘套漏油不予质保</v>
      </c>
      <c r="C8127" s="2" t="s">
        <v>13</v>
      </c>
      <c r="D8127" s="2" t="s">
        <v>12</v>
      </c>
      <c r="E8127" s="2" t="s">
        <v>17</v>
      </c>
      <c r="F8127" s="2" t="str">
        <f>HYPERLINK("http://www.12365auto.com/zlts/20200213/447095.shtml","http://www.12365auto.com/zlts/20200213/447095.shtml")</f>
        <v>http://www.12365auto.com/zlts/20200213/447095.shtml</v>
      </c>
      <c r="G8127" s="2"/>
      <c r="H8127" s="2" t="s">
        <v>11120</v>
      </c>
      <c r="I8127" s="2" t="s">
        <v>19</v>
      </c>
      <c r="J8127" s="2" t="s">
        <v>12</v>
      </c>
      <c r="K8127" s="2" t="s">
        <v>11121</v>
      </c>
      <c r="L8127" s="2">
        <f t="shared" si="126"/>
        <v>150</v>
      </c>
    </row>
    <row r="8128" spans="1:12" ht="25" customHeight="1">
      <c r="A8128" s="2" t="s">
        <v>12</v>
      </c>
      <c r="B8128" s="2" t="str">
        <f>HYPERLINK("http://www.12365auto.com/zlts/20200213/447092.shtml","上汽荣威RX3行驶中不能保持直线行驶")</f>
        <v>上汽荣威RX3行驶中不能保持直线行驶</v>
      </c>
      <c r="C8128" s="2" t="s">
        <v>13</v>
      </c>
      <c r="D8128" s="2" t="s">
        <v>12</v>
      </c>
      <c r="E8128" s="2" t="s">
        <v>17</v>
      </c>
      <c r="F8128" s="2" t="str">
        <f>HYPERLINK("http://www.12365auto.com/zlts/20200213/447092.shtml","http://www.12365auto.com/zlts/20200213/447092.shtml")</f>
        <v>http://www.12365auto.com/zlts/20200213/447092.shtml</v>
      </c>
      <c r="G8128" s="2"/>
      <c r="H8128" s="2" t="s">
        <v>11122</v>
      </c>
      <c r="I8128" s="2" t="s">
        <v>15</v>
      </c>
      <c r="J8128" s="2" t="s">
        <v>12</v>
      </c>
      <c r="K8128" s="2" t="s">
        <v>11123</v>
      </c>
      <c r="L8128" s="2">
        <f t="shared" si="126"/>
        <v>150</v>
      </c>
    </row>
    <row r="8129" spans="1:12" ht="25" customHeight="1">
      <c r="A8129" s="2" t="s">
        <v>12</v>
      </c>
      <c r="B8129" s="2" t="str">
        <f>HYPERLINK("http://m.12365auto.com/bbs/postcontent.aspx?tID=194024","本田雅阁后尾灯进水")</f>
        <v>本田雅阁后尾灯进水</v>
      </c>
      <c r="C8129" s="2" t="s">
        <v>13</v>
      </c>
      <c r="D8129" s="2" t="s">
        <v>23</v>
      </c>
      <c r="E8129" s="2"/>
      <c r="F8129" s="2" t="str">
        <f>HYPERLINK("http://m.12365auto.com/bbs/postcontent.aspx?tID=194024","http://m.12365auto.com/bbs/postcontent.aspx?tID=194024")</f>
        <v>http://m.12365auto.com/bbs/postcontent.aspx?tID=194024</v>
      </c>
      <c r="G8129" s="2"/>
      <c r="H8129" s="2" t="s">
        <v>11124</v>
      </c>
      <c r="I8129" s="2" t="s">
        <v>15</v>
      </c>
      <c r="J8129" s="2" t="s">
        <v>11125</v>
      </c>
      <c r="K8129" s="2" t="s">
        <v>11126</v>
      </c>
      <c r="L8129" s="2">
        <f t="shared" si="126"/>
        <v>105</v>
      </c>
    </row>
    <row r="8130" spans="1:12" ht="25" customHeight="1">
      <c r="A8130" s="2" t="s">
        <v>12</v>
      </c>
      <c r="B8130" s="2" t="str">
        <f>HYPERLINK("http://bbs.12365auto.com/postcontent.aspx?tID=194024","本田雅阁后尾灯进水")</f>
        <v>本田雅阁后尾灯进水</v>
      </c>
      <c r="C8130" s="2" t="s">
        <v>13</v>
      </c>
      <c r="D8130" s="2" t="s">
        <v>12</v>
      </c>
      <c r="E8130" s="2" t="s">
        <v>67</v>
      </c>
      <c r="F8130" s="2" t="str">
        <f>HYPERLINK("http://bbs.12365auto.com/postcontent.aspx?tID=194024","http://bbs.12365auto.com/postcontent.aspx?tID=194024")</f>
        <v>http://bbs.12365auto.com/postcontent.aspx?tID=194024</v>
      </c>
      <c r="G8130" s="2"/>
      <c r="H8130" s="2" t="s">
        <v>11127</v>
      </c>
      <c r="I8130" s="2" t="s">
        <v>15</v>
      </c>
      <c r="J8130" s="2" t="s">
        <v>11125</v>
      </c>
      <c r="K8130" s="2" t="s">
        <v>11126</v>
      </c>
      <c r="L8130" s="2">
        <f t="shared" si="126"/>
        <v>114</v>
      </c>
    </row>
    <row r="8131" spans="1:12" ht="25" customHeight="1">
      <c r="A8131" s="2" t="s">
        <v>12</v>
      </c>
      <c r="B8131" s="2" t="str">
        <f>HYPERLINK("http://bbs.12365auto.com/postcontent.aspx?tId=194024","本田雅阁后尾灯进水")</f>
        <v>本田雅阁后尾灯进水</v>
      </c>
      <c r="C8131" s="2" t="s">
        <v>13</v>
      </c>
      <c r="D8131" s="2" t="s">
        <v>12</v>
      </c>
      <c r="E8131" s="2" t="s">
        <v>66</v>
      </c>
      <c r="F8131" s="2" t="str">
        <f>HYPERLINK("http://bbs.12365auto.com/postcontent.aspx?tId=194024","http://bbs.12365auto.com/postcontent.aspx?tId=194024")</f>
        <v>http://bbs.12365auto.com/postcontent.aspx?tId=194024</v>
      </c>
      <c r="G8131" s="2"/>
      <c r="H8131" s="2" t="s">
        <v>11124</v>
      </c>
      <c r="I8131" s="2" t="s">
        <v>15</v>
      </c>
      <c r="J8131" s="2" t="s">
        <v>11125</v>
      </c>
      <c r="K8131" s="2" t="s">
        <v>11126</v>
      </c>
      <c r="L8131" s="2">
        <f t="shared" ref="L8131:L8194" si="127">LEN(H8131)</f>
        <v>105</v>
      </c>
    </row>
    <row r="8132" spans="1:12" ht="25" customHeight="1">
      <c r="A8132" s="2" t="s">
        <v>12</v>
      </c>
      <c r="B8132" s="2" t="str">
        <f>HYPERLINK("http://m.12365auto.com/bbs/postcontent.aspx?tID=194023","雪铁龙C4L冷却液水管损坏")</f>
        <v>雪铁龙C4L冷却液水管损坏</v>
      </c>
      <c r="C8132" s="2" t="s">
        <v>13</v>
      </c>
      <c r="D8132" s="2" t="s">
        <v>23</v>
      </c>
      <c r="E8132" s="2"/>
      <c r="F8132" s="2" t="str">
        <f>HYPERLINK("http://m.12365auto.com/bbs/postcontent.aspx?tID=194023","http://m.12365auto.com/bbs/postcontent.aspx?tID=194023")</f>
        <v>http://m.12365auto.com/bbs/postcontent.aspx?tID=194023</v>
      </c>
      <c r="G8132" s="2"/>
      <c r="H8132" s="2" t="s">
        <v>11128</v>
      </c>
      <c r="I8132" s="2" t="s">
        <v>15</v>
      </c>
      <c r="J8132" s="2" t="s">
        <v>11129</v>
      </c>
      <c r="K8132" s="2" t="s">
        <v>11130</v>
      </c>
      <c r="L8132" s="2">
        <f t="shared" si="127"/>
        <v>150</v>
      </c>
    </row>
    <row r="8133" spans="1:12" ht="25" customHeight="1">
      <c r="A8133" s="2" t="s">
        <v>12</v>
      </c>
      <c r="B8133" s="2" t="str">
        <f>HYPERLINK("http://bbs.12365auto.com/postcontent.aspx?tID=194023","雪铁龙C4L冷却液水管损坏")</f>
        <v>雪铁龙C4L冷却液水管损坏</v>
      </c>
      <c r="C8133" s="2" t="s">
        <v>13</v>
      </c>
      <c r="D8133" s="2" t="s">
        <v>12</v>
      </c>
      <c r="E8133" s="2" t="s">
        <v>67</v>
      </c>
      <c r="F8133" s="2" t="str">
        <f>HYPERLINK("http://bbs.12365auto.com/postcontent.aspx?tID=194023","http://bbs.12365auto.com/postcontent.aspx?tID=194023")</f>
        <v>http://bbs.12365auto.com/postcontent.aspx?tID=194023</v>
      </c>
      <c r="G8133" s="2"/>
      <c r="H8133" s="2" t="s">
        <v>11131</v>
      </c>
      <c r="I8133" s="2" t="s">
        <v>15</v>
      </c>
      <c r="J8133" s="2" t="s">
        <v>11129</v>
      </c>
      <c r="K8133" s="2" t="s">
        <v>11130</v>
      </c>
      <c r="L8133" s="2">
        <f t="shared" si="127"/>
        <v>150</v>
      </c>
    </row>
    <row r="8134" spans="1:12" ht="25" customHeight="1">
      <c r="A8134" s="2" t="s">
        <v>12</v>
      </c>
      <c r="B8134" s="2" t="str">
        <f>HYPERLINK("http://bbs.12365auto.com/postcontent.aspx?tId=194023","雪铁龙C4L冷却液水管损坏")</f>
        <v>雪铁龙C4L冷却液水管损坏</v>
      </c>
      <c r="C8134" s="2" t="s">
        <v>13</v>
      </c>
      <c r="D8134" s="2" t="s">
        <v>12</v>
      </c>
      <c r="E8134" s="2" t="s">
        <v>66</v>
      </c>
      <c r="F8134" s="2" t="str">
        <f>HYPERLINK("http://bbs.12365auto.com/postcontent.aspx?tId=194023","http://bbs.12365auto.com/postcontent.aspx?tId=194023")</f>
        <v>http://bbs.12365auto.com/postcontent.aspx?tId=194023</v>
      </c>
      <c r="G8134" s="2"/>
      <c r="H8134" s="2" t="s">
        <v>11128</v>
      </c>
      <c r="I8134" s="2" t="s">
        <v>15</v>
      </c>
      <c r="J8134" s="2" t="s">
        <v>11129</v>
      </c>
      <c r="K8134" s="2" t="s">
        <v>11130</v>
      </c>
      <c r="L8134" s="2">
        <f t="shared" si="127"/>
        <v>150</v>
      </c>
    </row>
    <row r="8135" spans="1:12" ht="25" customHeight="1">
      <c r="A8135" s="2" t="s">
        <v>12</v>
      </c>
      <c r="B8135" s="2" t="str">
        <f>HYPERLINK("http://m.12365auto.com/bbs/postcontent.aspx?tID=194021","众泰SR9变速器打滑无法行驶")</f>
        <v>众泰SR9变速器打滑无法行驶</v>
      </c>
      <c r="C8135" s="2" t="s">
        <v>13</v>
      </c>
      <c r="D8135" s="2" t="s">
        <v>23</v>
      </c>
      <c r="E8135" s="2"/>
      <c r="F8135" s="2" t="str">
        <f>HYPERLINK("http://m.12365auto.com/bbs/postcontent.aspx?tID=194021","http://m.12365auto.com/bbs/postcontent.aspx?tID=194021")</f>
        <v>http://m.12365auto.com/bbs/postcontent.aspx?tID=194021</v>
      </c>
      <c r="G8135" s="2"/>
      <c r="H8135" s="2" t="s">
        <v>11132</v>
      </c>
      <c r="I8135" s="2" t="s">
        <v>15</v>
      </c>
      <c r="J8135" s="2" t="s">
        <v>11133</v>
      </c>
      <c r="K8135" s="2" t="s">
        <v>11134</v>
      </c>
      <c r="L8135" s="2">
        <f t="shared" si="127"/>
        <v>150</v>
      </c>
    </row>
    <row r="8136" spans="1:12" ht="25" customHeight="1">
      <c r="A8136" s="2" t="s">
        <v>12</v>
      </c>
      <c r="B8136" s="2" t="str">
        <f>HYPERLINK("http://bbs.12365auto.com/postcontent.aspx?tID=194021","众泰SR9变速器打滑无法行驶")</f>
        <v>众泰SR9变速器打滑无法行驶</v>
      </c>
      <c r="C8136" s="2" t="s">
        <v>13</v>
      </c>
      <c r="D8136" s="2" t="s">
        <v>12</v>
      </c>
      <c r="E8136" s="2" t="s">
        <v>67</v>
      </c>
      <c r="F8136" s="2" t="str">
        <f>HYPERLINK("http://bbs.12365auto.com/postcontent.aspx?tID=194021","http://bbs.12365auto.com/postcontent.aspx?tID=194021")</f>
        <v>http://bbs.12365auto.com/postcontent.aspx?tID=194021</v>
      </c>
      <c r="G8136" s="2"/>
      <c r="H8136" s="2" t="s">
        <v>11135</v>
      </c>
      <c r="I8136" s="2" t="s">
        <v>15</v>
      </c>
      <c r="J8136" s="2" t="s">
        <v>11133</v>
      </c>
      <c r="K8136" s="2" t="s">
        <v>11134</v>
      </c>
      <c r="L8136" s="2">
        <f t="shared" si="127"/>
        <v>150</v>
      </c>
    </row>
    <row r="8137" spans="1:12" ht="25" customHeight="1">
      <c r="A8137" s="2" t="s">
        <v>12</v>
      </c>
      <c r="B8137" s="2" t="str">
        <f>HYPERLINK("http://bbs.12365auto.com/postcontent.aspx?tId=194021","众泰SR9变速器打滑无法行驶")</f>
        <v>众泰SR9变速器打滑无法行驶</v>
      </c>
      <c r="C8137" s="2" t="s">
        <v>13</v>
      </c>
      <c r="D8137" s="2" t="s">
        <v>12</v>
      </c>
      <c r="E8137" s="2" t="s">
        <v>66</v>
      </c>
      <c r="F8137" s="2" t="str">
        <f>HYPERLINK("http://bbs.12365auto.com/postcontent.aspx?tId=194021","http://bbs.12365auto.com/postcontent.aspx?tId=194021")</f>
        <v>http://bbs.12365auto.com/postcontent.aspx?tId=194021</v>
      </c>
      <c r="G8137" s="2"/>
      <c r="H8137" s="2" t="s">
        <v>11132</v>
      </c>
      <c r="I8137" s="2" t="s">
        <v>15</v>
      </c>
      <c r="J8137" s="2" t="s">
        <v>11133</v>
      </c>
      <c r="K8137" s="2" t="s">
        <v>11134</v>
      </c>
      <c r="L8137" s="2">
        <f t="shared" si="127"/>
        <v>150</v>
      </c>
    </row>
    <row r="8138" spans="1:12" ht="25" customHeight="1">
      <c r="A8138" s="2" t="s">
        <v>12</v>
      </c>
      <c r="B8138" s="2" t="str">
        <f>HYPERLINK("http://m.12365auto.com/bbs/postcontent.aspx?tID=194020","本田飞度冷车启动时发动机异响")</f>
        <v>本田飞度冷车启动时发动机异响</v>
      </c>
      <c r="C8138" s="2" t="s">
        <v>13</v>
      </c>
      <c r="D8138" s="2" t="s">
        <v>23</v>
      </c>
      <c r="E8138" s="2"/>
      <c r="F8138" s="2" t="str">
        <f>HYPERLINK("http://m.12365auto.com/bbs/postcontent.aspx?tID=194020","http://m.12365auto.com/bbs/postcontent.aspx?tID=194020")</f>
        <v>http://m.12365auto.com/bbs/postcontent.aspx?tID=194020</v>
      </c>
      <c r="G8138" s="2"/>
      <c r="H8138" s="2" t="s">
        <v>11136</v>
      </c>
      <c r="I8138" s="2" t="s">
        <v>15</v>
      </c>
      <c r="J8138" s="2" t="s">
        <v>11137</v>
      </c>
      <c r="K8138" s="2" t="s">
        <v>11138</v>
      </c>
      <c r="L8138" s="2">
        <f t="shared" si="127"/>
        <v>150</v>
      </c>
    </row>
    <row r="8139" spans="1:12" ht="25" customHeight="1">
      <c r="A8139" s="2" t="s">
        <v>12</v>
      </c>
      <c r="B8139" s="2" t="str">
        <f>HYPERLINK("http://bbs.12365auto.com/postcontent.aspx?tID=194020","本田飞度冷车启动时发动机异响")</f>
        <v>本田飞度冷车启动时发动机异响</v>
      </c>
      <c r="C8139" s="2" t="s">
        <v>13</v>
      </c>
      <c r="D8139" s="2" t="s">
        <v>12</v>
      </c>
      <c r="E8139" s="2" t="s">
        <v>67</v>
      </c>
      <c r="F8139" s="2" t="str">
        <f>HYPERLINK("http://bbs.12365auto.com/postcontent.aspx?tID=194020","http://bbs.12365auto.com/postcontent.aspx?tID=194020")</f>
        <v>http://bbs.12365auto.com/postcontent.aspx?tID=194020</v>
      </c>
      <c r="G8139" s="2"/>
      <c r="H8139" s="2" t="s">
        <v>11139</v>
      </c>
      <c r="I8139" s="2" t="s">
        <v>15</v>
      </c>
      <c r="J8139" s="2" t="s">
        <v>11137</v>
      </c>
      <c r="K8139" s="2" t="s">
        <v>11138</v>
      </c>
      <c r="L8139" s="2">
        <f t="shared" si="127"/>
        <v>150</v>
      </c>
    </row>
    <row r="8140" spans="1:12" ht="25" customHeight="1">
      <c r="A8140" s="2" t="s">
        <v>12</v>
      </c>
      <c r="B8140" s="2" t="str">
        <f>HYPERLINK("http://bbs.12365auto.com/postcontent.aspx?tId=194020","本田飞度冷车启动时发动机异响")</f>
        <v>本田飞度冷车启动时发动机异响</v>
      </c>
      <c r="C8140" s="2" t="s">
        <v>13</v>
      </c>
      <c r="D8140" s="2" t="s">
        <v>12</v>
      </c>
      <c r="E8140" s="2" t="s">
        <v>66</v>
      </c>
      <c r="F8140" s="2" t="str">
        <f>HYPERLINK("http://bbs.12365auto.com/postcontent.aspx?tId=194020","http://bbs.12365auto.com/postcontent.aspx?tId=194020")</f>
        <v>http://bbs.12365auto.com/postcontent.aspx?tId=194020</v>
      </c>
      <c r="G8140" s="2"/>
      <c r="H8140" s="2" t="s">
        <v>11136</v>
      </c>
      <c r="I8140" s="2" t="s">
        <v>15</v>
      </c>
      <c r="J8140" s="2" t="s">
        <v>11137</v>
      </c>
      <c r="K8140" s="2" t="s">
        <v>11138</v>
      </c>
      <c r="L8140" s="2">
        <f t="shared" si="127"/>
        <v>150</v>
      </c>
    </row>
    <row r="8141" spans="1:12" ht="25" customHeight="1">
      <c r="A8141" s="2" t="s">
        <v>12</v>
      </c>
      <c r="B8141" s="2" t="str">
        <f>HYPERLINK("http://m.12365auto.com/bbs/postcontent.aspx?tID=194019","北汽幻速H3F电脑板损坏")</f>
        <v>北汽幻速H3F电脑板损坏</v>
      </c>
      <c r="C8141" s="2" t="s">
        <v>13</v>
      </c>
      <c r="D8141" s="2" t="s">
        <v>23</v>
      </c>
      <c r="E8141" s="2"/>
      <c r="F8141" s="2" t="str">
        <f>HYPERLINK("http://m.12365auto.com/bbs/postcontent.aspx?tID=194019","http://m.12365auto.com/bbs/postcontent.aspx?tID=194019")</f>
        <v>http://m.12365auto.com/bbs/postcontent.aspx?tID=194019</v>
      </c>
      <c r="G8141" s="2"/>
      <c r="H8141" s="2" t="s">
        <v>11140</v>
      </c>
      <c r="I8141" s="2" t="s">
        <v>15</v>
      </c>
      <c r="J8141" s="2" t="s">
        <v>11141</v>
      </c>
      <c r="K8141" s="2" t="s">
        <v>11142</v>
      </c>
      <c r="L8141" s="2">
        <f t="shared" si="127"/>
        <v>57</v>
      </c>
    </row>
    <row r="8142" spans="1:12" ht="25" customHeight="1">
      <c r="A8142" s="2" t="s">
        <v>12</v>
      </c>
      <c r="B8142" s="2" t="str">
        <f>HYPERLINK("http://m.12365auto.com/bbs/postcontent.aspx?tID=194018","东南DX7进行事故维修售后未更换翼子板")</f>
        <v>东南DX7进行事故维修售后未更换翼子板</v>
      </c>
      <c r="C8142" s="2" t="s">
        <v>13</v>
      </c>
      <c r="D8142" s="2" t="s">
        <v>23</v>
      </c>
      <c r="E8142" s="2"/>
      <c r="F8142" s="2" t="str">
        <f>HYPERLINK("http://m.12365auto.com/bbs/postcontent.aspx?tID=194018","http://m.12365auto.com/bbs/postcontent.aspx?tID=194018")</f>
        <v>http://m.12365auto.com/bbs/postcontent.aspx?tID=194018</v>
      </c>
      <c r="G8142" s="2"/>
      <c r="H8142" s="2" t="s">
        <v>11143</v>
      </c>
      <c r="I8142" s="2" t="s">
        <v>15</v>
      </c>
      <c r="J8142" s="2" t="s">
        <v>11144</v>
      </c>
      <c r="K8142" s="2" t="s">
        <v>11142</v>
      </c>
      <c r="L8142" s="2">
        <f t="shared" si="127"/>
        <v>150</v>
      </c>
    </row>
    <row r="8143" spans="1:12" ht="25" customHeight="1">
      <c r="A8143" s="2" t="s">
        <v>12</v>
      </c>
      <c r="B8143" s="2" t="str">
        <f>HYPERLINK("http://bbs.12365auto.com/postcontent.aspx?tID=194019","北汽幻速H3F电脑板损坏")</f>
        <v>北汽幻速H3F电脑板损坏</v>
      </c>
      <c r="C8143" s="2" t="s">
        <v>13</v>
      </c>
      <c r="D8143" s="2" t="s">
        <v>12</v>
      </c>
      <c r="E8143" s="2" t="s">
        <v>67</v>
      </c>
      <c r="F8143" s="2" t="str">
        <f>HYPERLINK("http://bbs.12365auto.com/postcontent.aspx?tID=194019","http://bbs.12365auto.com/postcontent.aspx?tID=194019")</f>
        <v>http://bbs.12365auto.com/postcontent.aspx?tID=194019</v>
      </c>
      <c r="G8143" s="2"/>
      <c r="H8143" s="2" t="s">
        <v>11145</v>
      </c>
      <c r="I8143" s="2" t="s">
        <v>15</v>
      </c>
      <c r="J8143" s="2" t="s">
        <v>11141</v>
      </c>
      <c r="K8143" s="2" t="s">
        <v>11142</v>
      </c>
      <c r="L8143" s="2">
        <f t="shared" si="127"/>
        <v>69</v>
      </c>
    </row>
    <row r="8144" spans="1:12" ht="25" customHeight="1">
      <c r="A8144" s="2" t="s">
        <v>12</v>
      </c>
      <c r="B8144" s="2" t="str">
        <f>HYPERLINK("http://bbs.12365auto.com/postcontent.aspx?tID=194018","东南DX7进行事故维修售后未更换翼子板")</f>
        <v>东南DX7进行事故维修售后未更换翼子板</v>
      </c>
      <c r="C8144" s="2" t="s">
        <v>13</v>
      </c>
      <c r="D8144" s="2" t="s">
        <v>12</v>
      </c>
      <c r="E8144" s="2" t="s">
        <v>67</v>
      </c>
      <c r="F8144" s="2" t="str">
        <f>HYPERLINK("http://bbs.12365auto.com/postcontent.aspx?tID=194018","http://bbs.12365auto.com/postcontent.aspx?tID=194018")</f>
        <v>http://bbs.12365auto.com/postcontent.aspx?tID=194018</v>
      </c>
      <c r="G8144" s="2"/>
      <c r="H8144" s="2" t="s">
        <v>11146</v>
      </c>
      <c r="I8144" s="2" t="s">
        <v>15</v>
      </c>
      <c r="J8144" s="2" t="s">
        <v>11144</v>
      </c>
      <c r="K8144" s="2" t="s">
        <v>11142</v>
      </c>
      <c r="L8144" s="2">
        <f t="shared" si="127"/>
        <v>150</v>
      </c>
    </row>
    <row r="8145" spans="1:12" ht="25" customHeight="1">
      <c r="A8145" s="2" t="s">
        <v>12</v>
      </c>
      <c r="B8145" s="2" t="str">
        <f>HYPERLINK("http://bbs.12365auto.com/postcontent.aspx?tId=194019","北汽幻速H3F电脑板损坏")</f>
        <v>北汽幻速H3F电脑板损坏</v>
      </c>
      <c r="C8145" s="2" t="s">
        <v>13</v>
      </c>
      <c r="D8145" s="2" t="s">
        <v>12</v>
      </c>
      <c r="E8145" s="2" t="s">
        <v>66</v>
      </c>
      <c r="F8145" s="2" t="str">
        <f>HYPERLINK("http://bbs.12365auto.com/postcontent.aspx?tId=194019","http://bbs.12365auto.com/postcontent.aspx?tId=194019")</f>
        <v>http://bbs.12365auto.com/postcontent.aspx?tId=194019</v>
      </c>
      <c r="G8145" s="2"/>
      <c r="H8145" s="2" t="s">
        <v>11140</v>
      </c>
      <c r="I8145" s="2" t="s">
        <v>15</v>
      </c>
      <c r="J8145" s="2" t="s">
        <v>11141</v>
      </c>
      <c r="K8145" s="2" t="s">
        <v>11142</v>
      </c>
      <c r="L8145" s="2">
        <f t="shared" si="127"/>
        <v>57</v>
      </c>
    </row>
    <row r="8146" spans="1:12" ht="25" customHeight="1">
      <c r="A8146" s="2" t="s">
        <v>12</v>
      </c>
      <c r="B8146" s="2" t="str">
        <f>HYPERLINK("http://bbs.12365auto.com/postcontent.aspx?tId=194018","东南DX7进行事故维修售后未更换翼子板")</f>
        <v>东南DX7进行事故维修售后未更换翼子板</v>
      </c>
      <c r="C8146" s="2" t="s">
        <v>13</v>
      </c>
      <c r="D8146" s="2" t="s">
        <v>12</v>
      </c>
      <c r="E8146" s="2" t="s">
        <v>66</v>
      </c>
      <c r="F8146" s="2" t="str">
        <f>HYPERLINK("http://bbs.12365auto.com/postcontent.aspx?tId=194018","http://bbs.12365auto.com/postcontent.aspx?tId=194018")</f>
        <v>http://bbs.12365auto.com/postcontent.aspx?tId=194018</v>
      </c>
      <c r="G8146" s="2"/>
      <c r="H8146" s="2" t="s">
        <v>11143</v>
      </c>
      <c r="I8146" s="2" t="s">
        <v>15</v>
      </c>
      <c r="J8146" s="2" t="s">
        <v>11144</v>
      </c>
      <c r="K8146" s="2" t="s">
        <v>11142</v>
      </c>
      <c r="L8146" s="2">
        <f t="shared" si="127"/>
        <v>150</v>
      </c>
    </row>
    <row r="8147" spans="1:12" ht="25" customHeight="1">
      <c r="A8147" s="2" t="s">
        <v>12</v>
      </c>
      <c r="B8147" s="2" t="str">
        <f>HYPERLINK("http://m.12365auto.com/bbs/postcontent.aspx?tID=194016","大众高尔夫发动机烧机油")</f>
        <v>大众高尔夫发动机烧机油</v>
      </c>
      <c r="C8147" s="2" t="s">
        <v>13</v>
      </c>
      <c r="D8147" s="2" t="s">
        <v>23</v>
      </c>
      <c r="E8147" s="2"/>
      <c r="F8147" s="2" t="str">
        <f>HYPERLINK("http://m.12365auto.com/bbs/postcontent.aspx?tID=194016","http://m.12365auto.com/bbs/postcontent.aspx?tID=194016")</f>
        <v>http://m.12365auto.com/bbs/postcontent.aspx?tID=194016</v>
      </c>
      <c r="G8147" s="2"/>
      <c r="H8147" s="2" t="s">
        <v>11147</v>
      </c>
      <c r="I8147" s="2" t="s">
        <v>15</v>
      </c>
      <c r="J8147" s="2" t="s">
        <v>11148</v>
      </c>
      <c r="K8147" s="2" t="s">
        <v>11149</v>
      </c>
      <c r="L8147" s="2">
        <f t="shared" si="127"/>
        <v>150</v>
      </c>
    </row>
    <row r="8148" spans="1:12" ht="25" customHeight="1">
      <c r="A8148" s="2" t="s">
        <v>12</v>
      </c>
      <c r="B8148" s="2" t="str">
        <f>HYPERLINK("http://m.12365auto.com/bbs/postcontent.aspx?tID=194017","郑州日产途达电瓶漏电")</f>
        <v>郑州日产途达电瓶漏电</v>
      </c>
      <c r="C8148" s="2" t="s">
        <v>13</v>
      </c>
      <c r="D8148" s="2" t="s">
        <v>23</v>
      </c>
      <c r="E8148" s="2"/>
      <c r="F8148" s="2" t="str">
        <f>HYPERLINK("http://m.12365auto.com/bbs/postcontent.aspx?tID=194017","http://m.12365auto.com/bbs/postcontent.aspx?tID=194017")</f>
        <v>http://m.12365auto.com/bbs/postcontent.aspx?tID=194017</v>
      </c>
      <c r="G8148" s="2"/>
      <c r="H8148" s="2" t="s">
        <v>11150</v>
      </c>
      <c r="I8148" s="2" t="s">
        <v>15</v>
      </c>
      <c r="J8148" s="2" t="s">
        <v>11151</v>
      </c>
      <c r="K8148" s="2" t="s">
        <v>11149</v>
      </c>
      <c r="L8148" s="2">
        <f t="shared" si="127"/>
        <v>150</v>
      </c>
    </row>
    <row r="8149" spans="1:12" ht="25" customHeight="1">
      <c r="A8149" s="2" t="s">
        <v>12</v>
      </c>
      <c r="B8149" s="2" t="str">
        <f>HYPERLINK("http://bbs.12365auto.com/postcontent.aspx?tID=194017","郑州日产途达电瓶漏电")</f>
        <v>郑州日产途达电瓶漏电</v>
      </c>
      <c r="C8149" s="2" t="s">
        <v>13</v>
      </c>
      <c r="D8149" s="2" t="s">
        <v>12</v>
      </c>
      <c r="E8149" s="2" t="s">
        <v>67</v>
      </c>
      <c r="F8149" s="2" t="str">
        <f>HYPERLINK("http://bbs.12365auto.com/postcontent.aspx?tID=194017","http://bbs.12365auto.com/postcontent.aspx?tID=194017")</f>
        <v>http://bbs.12365auto.com/postcontent.aspx?tID=194017</v>
      </c>
      <c r="G8149" s="2"/>
      <c r="H8149" s="2" t="s">
        <v>11152</v>
      </c>
      <c r="I8149" s="2" t="s">
        <v>15</v>
      </c>
      <c r="J8149" s="2" t="s">
        <v>11151</v>
      </c>
      <c r="K8149" s="2" t="s">
        <v>11149</v>
      </c>
      <c r="L8149" s="2">
        <f t="shared" si="127"/>
        <v>150</v>
      </c>
    </row>
    <row r="8150" spans="1:12" ht="25" customHeight="1">
      <c r="A8150" s="2" t="s">
        <v>12</v>
      </c>
      <c r="B8150" s="2" t="str">
        <f>HYPERLINK("http://bbs.12365auto.com/postcontent.aspx?tID=194016","大众高尔夫发动机烧机油")</f>
        <v>大众高尔夫发动机烧机油</v>
      </c>
      <c r="C8150" s="2" t="s">
        <v>13</v>
      </c>
      <c r="D8150" s="2" t="s">
        <v>12</v>
      </c>
      <c r="E8150" s="2" t="s">
        <v>67</v>
      </c>
      <c r="F8150" s="2" t="str">
        <f>HYPERLINK("http://bbs.12365auto.com/postcontent.aspx?tID=194016","http://bbs.12365auto.com/postcontent.aspx?tID=194016")</f>
        <v>http://bbs.12365auto.com/postcontent.aspx?tID=194016</v>
      </c>
      <c r="G8150" s="2"/>
      <c r="H8150" s="2" t="s">
        <v>11153</v>
      </c>
      <c r="I8150" s="2" t="s">
        <v>15</v>
      </c>
      <c r="J8150" s="2" t="s">
        <v>11148</v>
      </c>
      <c r="K8150" s="2" t="s">
        <v>11149</v>
      </c>
      <c r="L8150" s="2">
        <f t="shared" si="127"/>
        <v>150</v>
      </c>
    </row>
    <row r="8151" spans="1:12" ht="25" customHeight="1">
      <c r="A8151" s="2" t="s">
        <v>12</v>
      </c>
      <c r="B8151" s="2" t="str">
        <f>HYPERLINK("http://bbs.12365auto.com/postcontent.aspx?tId=194017","郑州日产途达电瓶漏电")</f>
        <v>郑州日产途达电瓶漏电</v>
      </c>
      <c r="C8151" s="2" t="s">
        <v>13</v>
      </c>
      <c r="D8151" s="2" t="s">
        <v>12</v>
      </c>
      <c r="E8151" s="2" t="s">
        <v>66</v>
      </c>
      <c r="F8151" s="2" t="str">
        <f>HYPERLINK("http://bbs.12365auto.com/postcontent.aspx?tId=194017","http://bbs.12365auto.com/postcontent.aspx?tId=194017")</f>
        <v>http://bbs.12365auto.com/postcontent.aspx?tId=194017</v>
      </c>
      <c r="G8151" s="2"/>
      <c r="H8151" s="2" t="s">
        <v>11150</v>
      </c>
      <c r="I8151" s="2" t="s">
        <v>15</v>
      </c>
      <c r="J8151" s="2" t="s">
        <v>11151</v>
      </c>
      <c r="K8151" s="2" t="s">
        <v>11149</v>
      </c>
      <c r="L8151" s="2">
        <f t="shared" si="127"/>
        <v>150</v>
      </c>
    </row>
    <row r="8152" spans="1:12" ht="25" customHeight="1">
      <c r="A8152" s="2" t="s">
        <v>12</v>
      </c>
      <c r="B8152" s="2" t="str">
        <f>HYPERLINK("http://bbs.12365auto.com/postcontent.aspx?tId=194016","大众高尔夫发动机烧机油")</f>
        <v>大众高尔夫发动机烧机油</v>
      </c>
      <c r="C8152" s="2" t="s">
        <v>13</v>
      </c>
      <c r="D8152" s="2" t="s">
        <v>12</v>
      </c>
      <c r="E8152" s="2" t="s">
        <v>66</v>
      </c>
      <c r="F8152" s="2" t="str">
        <f>HYPERLINK("http://bbs.12365auto.com/postcontent.aspx?tId=194016","http://bbs.12365auto.com/postcontent.aspx?tId=194016")</f>
        <v>http://bbs.12365auto.com/postcontent.aspx?tId=194016</v>
      </c>
      <c r="G8152" s="2"/>
      <c r="H8152" s="2" t="s">
        <v>11147</v>
      </c>
      <c r="I8152" s="2" t="s">
        <v>15</v>
      </c>
      <c r="J8152" s="2" t="s">
        <v>11148</v>
      </c>
      <c r="K8152" s="2" t="s">
        <v>11149</v>
      </c>
      <c r="L8152" s="2">
        <f t="shared" si="127"/>
        <v>150</v>
      </c>
    </row>
    <row r="8153" spans="1:12" ht="25" customHeight="1">
      <c r="A8153" s="2" t="s">
        <v>12</v>
      </c>
      <c r="B8153" s="2" t="str">
        <f>HYPERLINK("http://m.12365auto.com/bbs/postcontent.aspx?tID=194015","三菱翼神行车电脑提示ASC故障灯亮")</f>
        <v>三菱翼神行车电脑提示ASC故障灯亮</v>
      </c>
      <c r="C8153" s="2" t="s">
        <v>13</v>
      </c>
      <c r="D8153" s="2" t="s">
        <v>23</v>
      </c>
      <c r="E8153" s="2"/>
      <c r="F8153" s="2" t="str">
        <f>HYPERLINK("http://m.12365auto.com/bbs/postcontent.aspx?tID=194015","http://m.12365auto.com/bbs/postcontent.aspx?tID=194015")</f>
        <v>http://m.12365auto.com/bbs/postcontent.aspx?tID=194015</v>
      </c>
      <c r="G8153" s="2"/>
      <c r="H8153" s="2" t="s">
        <v>11154</v>
      </c>
      <c r="I8153" s="2" t="s">
        <v>15</v>
      </c>
      <c r="J8153" s="2" t="s">
        <v>11155</v>
      </c>
      <c r="K8153" s="2" t="s">
        <v>11156</v>
      </c>
      <c r="L8153" s="2">
        <f t="shared" si="127"/>
        <v>150</v>
      </c>
    </row>
    <row r="8154" spans="1:12" ht="25" customHeight="1">
      <c r="A8154" s="2" t="s">
        <v>12</v>
      </c>
      <c r="B8154" s="2" t="str">
        <f>HYPERLINK("http://bbs.12365auto.com/postcontent.aspx?tID=194015","三菱翼神行车电脑提示ASC故障灯亮")</f>
        <v>三菱翼神行车电脑提示ASC故障灯亮</v>
      </c>
      <c r="C8154" s="2" t="s">
        <v>13</v>
      </c>
      <c r="D8154" s="2" t="s">
        <v>12</v>
      </c>
      <c r="E8154" s="2" t="s">
        <v>67</v>
      </c>
      <c r="F8154" s="2" t="str">
        <f>HYPERLINK("http://bbs.12365auto.com/postcontent.aspx?tID=194015","http://bbs.12365auto.com/postcontent.aspx?tID=194015")</f>
        <v>http://bbs.12365auto.com/postcontent.aspx?tID=194015</v>
      </c>
      <c r="G8154" s="2"/>
      <c r="H8154" s="2" t="s">
        <v>11157</v>
      </c>
      <c r="I8154" s="2" t="s">
        <v>15</v>
      </c>
      <c r="J8154" s="2" t="s">
        <v>11155</v>
      </c>
      <c r="K8154" s="2" t="s">
        <v>11156</v>
      </c>
      <c r="L8154" s="2">
        <f t="shared" si="127"/>
        <v>150</v>
      </c>
    </row>
    <row r="8155" spans="1:12" ht="25" customHeight="1">
      <c r="A8155" s="2" t="s">
        <v>12</v>
      </c>
      <c r="B8155" s="2" t="str">
        <f>HYPERLINK("http://bbs.12365auto.com/postcontent.aspx?tId=194015","三菱翼神行车电脑提示ASC故障灯亮")</f>
        <v>三菱翼神行车电脑提示ASC故障灯亮</v>
      </c>
      <c r="C8155" s="2" t="s">
        <v>13</v>
      </c>
      <c r="D8155" s="2" t="s">
        <v>12</v>
      </c>
      <c r="E8155" s="2" t="s">
        <v>66</v>
      </c>
      <c r="F8155" s="2" t="str">
        <f>HYPERLINK("http://bbs.12365auto.com/postcontent.aspx?tId=194015","http://bbs.12365auto.com/postcontent.aspx?tId=194015")</f>
        <v>http://bbs.12365auto.com/postcontent.aspx?tId=194015</v>
      </c>
      <c r="G8155" s="2"/>
      <c r="H8155" s="2" t="s">
        <v>11154</v>
      </c>
      <c r="I8155" s="2" t="s">
        <v>15</v>
      </c>
      <c r="J8155" s="2" t="s">
        <v>11155</v>
      </c>
      <c r="K8155" s="2" t="s">
        <v>11156</v>
      </c>
      <c r="L8155" s="2">
        <f t="shared" si="127"/>
        <v>150</v>
      </c>
    </row>
    <row r="8156" spans="1:12" ht="25" customHeight="1">
      <c r="A8156" s="2" t="s">
        <v>12</v>
      </c>
      <c r="B8156" s="2" t="str">
        <f>HYPERLINK("http://m.12365auto.com/bbs/postcontent.aspx?tID=194013","如图，长安悦翔V7车门生锈严重")</f>
        <v>如图，长安悦翔V7车门生锈严重</v>
      </c>
      <c r="C8156" s="2" t="s">
        <v>13</v>
      </c>
      <c r="D8156" s="2" t="s">
        <v>23</v>
      </c>
      <c r="E8156" s="2"/>
      <c r="F8156" s="2" t="str">
        <f>HYPERLINK("http://m.12365auto.com/bbs/postcontent.aspx?tID=194013","http://m.12365auto.com/bbs/postcontent.aspx?tID=194013")</f>
        <v>http://m.12365auto.com/bbs/postcontent.aspx?tID=194013</v>
      </c>
      <c r="G8156" s="2"/>
      <c r="H8156" s="2" t="s">
        <v>11158</v>
      </c>
      <c r="I8156" s="2" t="s">
        <v>15</v>
      </c>
      <c r="J8156" s="2" t="s">
        <v>2136</v>
      </c>
      <c r="K8156" s="2" t="s">
        <v>11159</v>
      </c>
      <c r="L8156" s="2">
        <f t="shared" si="127"/>
        <v>41</v>
      </c>
    </row>
    <row r="8157" spans="1:12" ht="25" customHeight="1">
      <c r="A8157" s="2" t="s">
        <v>12</v>
      </c>
      <c r="B8157" s="2" t="str">
        <f>HYPERLINK("http://bbs.12365auto.com/postcontent.aspx?tID=194013","如图，长安悦翔V7车门生锈严重")</f>
        <v>如图，长安悦翔V7车门生锈严重</v>
      </c>
      <c r="C8157" s="2" t="s">
        <v>13</v>
      </c>
      <c r="D8157" s="2" t="s">
        <v>12</v>
      </c>
      <c r="E8157" s="2" t="s">
        <v>67</v>
      </c>
      <c r="F8157" s="2" t="str">
        <f>HYPERLINK("http://bbs.12365auto.com/postcontent.aspx?tID=194013","http://bbs.12365auto.com/postcontent.aspx?tID=194013")</f>
        <v>http://bbs.12365auto.com/postcontent.aspx?tID=194013</v>
      </c>
      <c r="G8157" s="2"/>
      <c r="H8157" s="2" t="s">
        <v>11160</v>
      </c>
      <c r="I8157" s="2" t="s">
        <v>15</v>
      </c>
      <c r="J8157" s="2" t="s">
        <v>2136</v>
      </c>
      <c r="K8157" s="2" t="s">
        <v>11159</v>
      </c>
      <c r="L8157" s="2">
        <f t="shared" si="127"/>
        <v>56</v>
      </c>
    </row>
    <row r="8158" spans="1:12" ht="25" customHeight="1">
      <c r="A8158" s="2" t="s">
        <v>12</v>
      </c>
      <c r="B8158" s="2" t="str">
        <f>HYPERLINK("http://bbs.12365auto.com/postcontent.aspx?tId=194013","如图，长安悦翔V7车门生锈严重")</f>
        <v>如图，长安悦翔V7车门生锈严重</v>
      </c>
      <c r="C8158" s="2" t="s">
        <v>13</v>
      </c>
      <c r="D8158" s="2" t="s">
        <v>12</v>
      </c>
      <c r="E8158" s="2" t="s">
        <v>66</v>
      </c>
      <c r="F8158" s="2" t="str">
        <f>HYPERLINK("http://bbs.12365auto.com/postcontent.aspx?tId=194013","http://bbs.12365auto.com/postcontent.aspx?tId=194013")</f>
        <v>http://bbs.12365auto.com/postcontent.aspx?tId=194013</v>
      </c>
      <c r="G8158" s="2"/>
      <c r="H8158" s="2" t="s">
        <v>11158</v>
      </c>
      <c r="I8158" s="2" t="s">
        <v>15</v>
      </c>
      <c r="J8158" s="2" t="s">
        <v>2136</v>
      </c>
      <c r="K8158" s="2" t="s">
        <v>11159</v>
      </c>
      <c r="L8158" s="2">
        <f t="shared" si="127"/>
        <v>41</v>
      </c>
    </row>
    <row r="8159" spans="1:12" ht="25" customHeight="1">
      <c r="A8159" s="2" t="s">
        <v>12</v>
      </c>
      <c r="B8159" s="2" t="str">
        <f>HYPERLINK("http://m.12365auto.com/xcdg/20200213/418474.shtml","海外媒体：新福克斯RS或将搭载2.5L发动机")</f>
        <v>海外媒体：新福克斯RS或将搭载2.5L发动机</v>
      </c>
      <c r="C8159" s="2" t="s">
        <v>13</v>
      </c>
      <c r="D8159" s="2" t="s">
        <v>12</v>
      </c>
      <c r="E8159" s="2"/>
      <c r="F8159" s="2" t="str">
        <f>HYPERLINK("http://m.12365auto.com/xcdg/20200213/418474.shtml","http://m.12365auto.com/xcdg/20200213/418474.shtml")</f>
        <v>http://m.12365auto.com/xcdg/20200213/418474.shtml</v>
      </c>
      <c r="G8159" s="2"/>
      <c r="H8159" s="2" t="s">
        <v>11161</v>
      </c>
      <c r="I8159" s="2" t="s">
        <v>19</v>
      </c>
      <c r="J8159" s="2" t="s">
        <v>992</v>
      </c>
      <c r="K8159" s="2" t="s">
        <v>11162</v>
      </c>
      <c r="L8159" s="2">
        <f t="shared" si="127"/>
        <v>150</v>
      </c>
    </row>
    <row r="8160" spans="1:12" ht="25" customHeight="1">
      <c r="A8160" s="2" t="s">
        <v>12</v>
      </c>
      <c r="B8160" s="2" t="str">
        <f>HYPERLINK("http://www.12365auto.com/xcdg/20200213/418474.shtml","海外媒体：新福克斯RS或将搭载2.5L发动机")</f>
        <v>海外媒体：新福克斯RS或将搭载2.5L发动机</v>
      </c>
      <c r="C8160" s="2" t="s">
        <v>13</v>
      </c>
      <c r="D8160" s="2" t="s">
        <v>12</v>
      </c>
      <c r="E8160" s="2" t="s">
        <v>216</v>
      </c>
      <c r="F8160" s="2" t="str">
        <f>HYPERLINK("http://www.12365auto.com/xcdg/20200213/418474.shtml","http://www.12365auto.com/xcdg/20200213/418474.shtml")</f>
        <v>http://www.12365auto.com/xcdg/20200213/418474.shtml</v>
      </c>
      <c r="G8160" s="2"/>
      <c r="H8160" s="2" t="s">
        <v>11163</v>
      </c>
      <c r="I8160" s="2" t="s">
        <v>15</v>
      </c>
      <c r="J8160" s="2" t="s">
        <v>12</v>
      </c>
      <c r="K8160" s="2" t="s">
        <v>11162</v>
      </c>
      <c r="L8160" s="2">
        <f t="shared" si="127"/>
        <v>150</v>
      </c>
    </row>
    <row r="8161" spans="1:12" ht="25" customHeight="1">
      <c r="A8161" s="2" t="s">
        <v>12</v>
      </c>
      <c r="B8161" s="2" t="str">
        <f>HYPERLINK("http://m.12365auto.com/news/20200213/418473.shtml","奔驰新能源车规划：推出20多款插混车型")</f>
        <v>奔驰新能源车规划：推出20多款插混车型</v>
      </c>
      <c r="C8161" s="2" t="s">
        <v>13</v>
      </c>
      <c r="D8161" s="2" t="s">
        <v>12</v>
      </c>
      <c r="E8161" s="2"/>
      <c r="F8161" s="2" t="str">
        <f>HYPERLINK("http://m.12365auto.com/news/20200213/418473.shtml","http://m.12365auto.com/news/20200213/418473.shtml")</f>
        <v>http://m.12365auto.com/news/20200213/418473.shtml</v>
      </c>
      <c r="G8161" s="2"/>
      <c r="H8161" s="2" t="s">
        <v>11164</v>
      </c>
      <c r="I8161" s="2" t="s">
        <v>19</v>
      </c>
      <c r="J8161" s="2" t="s">
        <v>1827</v>
      </c>
      <c r="K8161" s="2" t="s">
        <v>11165</v>
      </c>
      <c r="L8161" s="2">
        <f t="shared" si="127"/>
        <v>150</v>
      </c>
    </row>
    <row r="8162" spans="1:12" ht="25" customHeight="1">
      <c r="A8162" s="2" t="s">
        <v>12</v>
      </c>
      <c r="B8162" s="2" t="str">
        <f>HYPERLINK("http://www.12365auto.com/news/20200213/418473.shtml","奔驰新能源车规划：推出20多款插混车型")</f>
        <v>奔驰新能源车规划：推出20多款插混车型</v>
      </c>
      <c r="C8162" s="2" t="s">
        <v>13</v>
      </c>
      <c r="D8162" s="2" t="s">
        <v>12</v>
      </c>
      <c r="E8162" s="2" t="s">
        <v>276</v>
      </c>
      <c r="F8162" s="2" t="str">
        <f>HYPERLINK("http://www.12365auto.com/news/20200213/418473.shtml","http://www.12365auto.com/news/20200213/418473.shtml")</f>
        <v>http://www.12365auto.com/news/20200213/418473.shtml</v>
      </c>
      <c r="G8162" s="2"/>
      <c r="H8162" s="2" t="s">
        <v>11166</v>
      </c>
      <c r="I8162" s="2" t="s">
        <v>15</v>
      </c>
      <c r="J8162" s="2" t="s">
        <v>12</v>
      </c>
      <c r="K8162" s="2" t="s">
        <v>11165</v>
      </c>
      <c r="L8162" s="2">
        <f t="shared" si="127"/>
        <v>150</v>
      </c>
    </row>
    <row r="8163" spans="1:12" ht="25" customHeight="1">
      <c r="A8163" s="2" t="s">
        <v>12</v>
      </c>
      <c r="B8163" s="2" t="str">
        <f>HYPERLINK("http://www.12365auto.com/zlts/20200213/447091.shtml","车辆八千多公里点火线圈损坏，现在车辆大灯嗡嗡响，")</f>
        <v>车辆八千多公里点火线圈损坏，现在车辆大灯嗡嗡响，</v>
      </c>
      <c r="C8163" s="2" t="s">
        <v>13</v>
      </c>
      <c r="D8163" s="2" t="s">
        <v>12</v>
      </c>
      <c r="E8163" s="2"/>
      <c r="F8163" s="2" t="str">
        <f>HYPERLINK("http://www.12365auto.com/zlts/20200213/447091.shtml","http://www.12365auto.com/zlts/20200213/447091.shtml")</f>
        <v>http://www.12365auto.com/zlts/20200213/447091.shtml</v>
      </c>
      <c r="G8163" s="2"/>
      <c r="H8163" s="2" t="s">
        <v>11168</v>
      </c>
      <c r="I8163" s="2" t="s">
        <v>15</v>
      </c>
      <c r="J8163" s="2" t="s">
        <v>12</v>
      </c>
      <c r="K8163" s="2" t="s">
        <v>11167</v>
      </c>
      <c r="L8163" s="2">
        <f t="shared" si="127"/>
        <v>84</v>
      </c>
    </row>
    <row r="8164" spans="1:12" ht="25" customHeight="1">
      <c r="A8164" s="2" t="s">
        <v>12</v>
      </c>
      <c r="B8164" s="2" t="str">
        <f>HYPERLINK("http://m.12365auto.com/xcdg/20200213/418472.shtml","法拉利发布全新F1赛车 命名“SF1000”")</f>
        <v>法拉利发布全新F1赛车 命名“SF1000”</v>
      </c>
      <c r="C8164" s="2" t="s">
        <v>13</v>
      </c>
      <c r="D8164" s="2" t="s">
        <v>12</v>
      </c>
      <c r="E8164" s="2"/>
      <c r="F8164" s="2" t="str">
        <f>HYPERLINK("http://m.12365auto.com/xcdg/20200213/418472.shtml","http://m.12365auto.com/xcdg/20200213/418472.shtml")</f>
        <v>http://m.12365auto.com/xcdg/20200213/418472.shtml</v>
      </c>
      <c r="G8164" s="2"/>
      <c r="H8164" s="2" t="s">
        <v>11169</v>
      </c>
      <c r="I8164" s="2" t="s">
        <v>19</v>
      </c>
      <c r="J8164" s="2" t="s">
        <v>11170</v>
      </c>
      <c r="K8164" s="2" t="s">
        <v>11171</v>
      </c>
      <c r="L8164" s="2">
        <f t="shared" si="127"/>
        <v>150</v>
      </c>
    </row>
    <row r="8165" spans="1:12" ht="25" customHeight="1">
      <c r="A8165" s="2" t="s">
        <v>12</v>
      </c>
      <c r="B8165" s="2" t="str">
        <f>HYPERLINK("http://www.12365auto.com/xcdg/20200213/418472.shtml","法拉利发布全新F1赛车 命名“SF1000”")</f>
        <v>法拉利发布全新F1赛车 命名“SF1000”</v>
      </c>
      <c r="C8165" s="2" t="s">
        <v>13</v>
      </c>
      <c r="D8165" s="2" t="s">
        <v>12</v>
      </c>
      <c r="E8165" s="2" t="s">
        <v>216</v>
      </c>
      <c r="F8165" s="2" t="str">
        <f>HYPERLINK("http://www.12365auto.com/xcdg/20200213/418472.shtml","http://www.12365auto.com/xcdg/20200213/418472.shtml")</f>
        <v>http://www.12365auto.com/xcdg/20200213/418472.shtml</v>
      </c>
      <c r="G8165" s="2"/>
      <c r="H8165" s="2" t="s">
        <v>11172</v>
      </c>
      <c r="I8165" s="2" t="s">
        <v>15</v>
      </c>
      <c r="J8165" s="2" t="s">
        <v>12</v>
      </c>
      <c r="K8165" s="2" t="s">
        <v>11171</v>
      </c>
      <c r="L8165" s="2">
        <f t="shared" si="127"/>
        <v>150</v>
      </c>
    </row>
    <row r="8166" spans="1:12" ht="25" customHeight="1">
      <c r="A8166" s="2" t="s">
        <v>12</v>
      </c>
      <c r="B8166" s="2" t="str">
        <f>HYPERLINK("http://www.12365auto.com/zlts/20200213/447090.shtml","一汽大众速腾韩泰轮胎开裂希望厂家处理")</f>
        <v>一汽大众速腾韩泰轮胎开裂希望厂家处理</v>
      </c>
      <c r="C8166" s="2" t="s">
        <v>13</v>
      </c>
      <c r="D8166" s="2" t="s">
        <v>12</v>
      </c>
      <c r="E8166" s="2" t="s">
        <v>17</v>
      </c>
      <c r="F8166" s="2" t="str">
        <f>HYPERLINK("http://www.12365auto.com/zlts/20200213/447090.shtml","http://www.12365auto.com/zlts/20200213/447090.shtml")</f>
        <v>http://www.12365auto.com/zlts/20200213/447090.shtml</v>
      </c>
      <c r="G8166" s="2"/>
      <c r="H8166" s="2" t="s">
        <v>11173</v>
      </c>
      <c r="I8166" s="2" t="s">
        <v>19</v>
      </c>
      <c r="J8166" s="2" t="s">
        <v>12</v>
      </c>
      <c r="K8166" s="2" t="s">
        <v>11174</v>
      </c>
      <c r="L8166" s="2">
        <f t="shared" si="127"/>
        <v>150</v>
      </c>
    </row>
    <row r="8167" spans="1:12" ht="25" customHeight="1">
      <c r="A8167" s="2" t="s">
        <v>12</v>
      </c>
      <c r="B8167" s="2" t="str">
        <f>HYPERLINK("http://bbs.12365auto.com/postcontent.aspx?tID=194011","适合全家出游车型 这四款MPV最值得推荐")</f>
        <v>适合全家出游车型 这四款MPV最值得推荐</v>
      </c>
      <c r="C8167" s="2" t="s">
        <v>13</v>
      </c>
      <c r="D8167" s="2" t="s">
        <v>12</v>
      </c>
      <c r="E8167" s="2" t="s">
        <v>214</v>
      </c>
      <c r="F8167" s="2" t="str">
        <f>HYPERLINK("http://bbs.12365auto.com/postcontent.aspx?tID=194011","http://bbs.12365auto.com/postcontent.aspx?tID=194011")</f>
        <v>http://bbs.12365auto.com/postcontent.aspx?tID=194011</v>
      </c>
      <c r="G8167" s="2"/>
      <c r="H8167" s="2" t="s">
        <v>11175</v>
      </c>
      <c r="I8167" s="2" t="s">
        <v>15</v>
      </c>
      <c r="J8167" s="2" t="s">
        <v>10567</v>
      </c>
      <c r="K8167" s="2" t="s">
        <v>11176</v>
      </c>
      <c r="L8167" s="2">
        <f t="shared" si="127"/>
        <v>150</v>
      </c>
    </row>
    <row r="8168" spans="1:12" ht="25" customHeight="1">
      <c r="A8168" s="2" t="s">
        <v>12</v>
      </c>
      <c r="B8168" s="2" t="str">
        <f>HYPERLINK("http://bbs.12365auto.com/postcontent.aspx?tID=194012","马自达：降价是不可能的 饿死也不会降价")</f>
        <v>马自达：降价是不可能的 饿死也不会降价</v>
      </c>
      <c r="C8168" s="2" t="s">
        <v>13</v>
      </c>
      <c r="D8168" s="2" t="s">
        <v>12</v>
      </c>
      <c r="E8168" s="2" t="s">
        <v>214</v>
      </c>
      <c r="F8168" s="2" t="str">
        <f>HYPERLINK("http://bbs.12365auto.com/postcontent.aspx?tID=194012","http://bbs.12365auto.com/postcontent.aspx?tID=194012")</f>
        <v>http://bbs.12365auto.com/postcontent.aspx?tID=194012</v>
      </c>
      <c r="G8168" s="2"/>
      <c r="H8168" s="2" t="s">
        <v>1929</v>
      </c>
      <c r="I8168" s="2" t="s">
        <v>15</v>
      </c>
      <c r="J8168" s="2" t="s">
        <v>10567</v>
      </c>
      <c r="K8168" s="2" t="s">
        <v>11176</v>
      </c>
      <c r="L8168" s="2">
        <f t="shared" si="127"/>
        <v>150</v>
      </c>
    </row>
    <row r="8169" spans="1:12" ht="25" customHeight="1">
      <c r="A8169" s="2" t="s">
        <v>12</v>
      </c>
      <c r="B8169" s="2" t="str">
        <f>HYPERLINK("http://bbs.12365auto.com/postcontent.aspx?tId=194012","马自达：降价是不可能的，饿死也不会降价")</f>
        <v>马自达：降价是不可能的，饿死也不会降价</v>
      </c>
      <c r="C8169" s="2" t="s">
        <v>13</v>
      </c>
      <c r="D8169" s="2" t="s">
        <v>12</v>
      </c>
      <c r="E8169" s="2" t="s">
        <v>210</v>
      </c>
      <c r="F8169" s="2" t="str">
        <f>HYPERLINK("http://bbs.12365auto.com/postcontent.aspx?tId=194012","http://bbs.12365auto.com/postcontent.aspx?tId=194012")</f>
        <v>http://bbs.12365auto.com/postcontent.aspx?tId=194012</v>
      </c>
      <c r="G8169" s="2"/>
      <c r="H8169" s="2" t="s">
        <v>1927</v>
      </c>
      <c r="I8169" s="2" t="s">
        <v>15</v>
      </c>
      <c r="J8169" s="2" t="s">
        <v>10567</v>
      </c>
      <c r="K8169" s="2" t="s">
        <v>11176</v>
      </c>
      <c r="L8169" s="2">
        <f t="shared" si="127"/>
        <v>150</v>
      </c>
    </row>
    <row r="8170" spans="1:12" ht="25" customHeight="1">
      <c r="A8170" s="2" t="s">
        <v>12</v>
      </c>
      <c r="B8170" s="2" t="str">
        <f>HYPERLINK("http://bbs.12365auto.com/postcontent.aspx?tId=194011","适合全家出游车型，这四款MPV最值得推荐")</f>
        <v>适合全家出游车型，这四款MPV最值得推荐</v>
      </c>
      <c r="C8170" s="2" t="s">
        <v>13</v>
      </c>
      <c r="D8170" s="2" t="s">
        <v>12</v>
      </c>
      <c r="E8170" s="2" t="s">
        <v>210</v>
      </c>
      <c r="F8170" s="2" t="str">
        <f>HYPERLINK("http://bbs.12365auto.com/postcontent.aspx?tId=194011","http://bbs.12365auto.com/postcontent.aspx?tId=194011")</f>
        <v>http://bbs.12365auto.com/postcontent.aspx?tId=194011</v>
      </c>
      <c r="G8170" s="2"/>
      <c r="H8170" s="2" t="s">
        <v>11177</v>
      </c>
      <c r="I8170" s="2" t="s">
        <v>15</v>
      </c>
      <c r="J8170" s="2" t="s">
        <v>10567</v>
      </c>
      <c r="K8170" s="2" t="s">
        <v>11176</v>
      </c>
      <c r="L8170" s="2">
        <f t="shared" si="127"/>
        <v>150</v>
      </c>
    </row>
    <row r="8171" spans="1:12" ht="25" customHeight="1">
      <c r="A8171" s="2" t="s">
        <v>12</v>
      </c>
      <c r="B8171" s="2" t="str">
        <f>HYPERLINK("http://m.12365auto.com/bbs/postcontent.aspx?tID=194012","马自达：降价是不可能的，饿死也不会降价")</f>
        <v>马自达：降价是不可能的，饿死也不会降价</v>
      </c>
      <c r="C8171" s="2" t="s">
        <v>13</v>
      </c>
      <c r="D8171" s="2" t="s">
        <v>23</v>
      </c>
      <c r="E8171" s="2"/>
      <c r="F8171" s="2" t="str">
        <f>HYPERLINK("http://m.12365auto.com/bbs/postcontent.aspx?tID=194012","http://m.12365auto.com/bbs/postcontent.aspx?tID=194012")</f>
        <v>http://m.12365auto.com/bbs/postcontent.aspx?tID=194012</v>
      </c>
      <c r="G8171" s="2"/>
      <c r="H8171" s="2" t="s">
        <v>1927</v>
      </c>
      <c r="I8171" s="2" t="s">
        <v>15</v>
      </c>
      <c r="J8171" s="2" t="s">
        <v>10567</v>
      </c>
      <c r="K8171" s="2" t="s">
        <v>11176</v>
      </c>
      <c r="L8171" s="2">
        <f t="shared" si="127"/>
        <v>150</v>
      </c>
    </row>
    <row r="8172" spans="1:12" ht="25" customHeight="1">
      <c r="A8172" s="2" t="s">
        <v>12</v>
      </c>
      <c r="B8172" s="2" t="str">
        <f>HYPERLINK("http://m.12365auto.com/bbs/postcontent.aspx?tID=194011","适合全家出游车型，这四款MPV最值得推荐")</f>
        <v>适合全家出游车型，这四款MPV最值得推荐</v>
      </c>
      <c r="C8172" s="2" t="s">
        <v>13</v>
      </c>
      <c r="D8172" s="2" t="s">
        <v>23</v>
      </c>
      <c r="E8172" s="2"/>
      <c r="F8172" s="2" t="str">
        <f>HYPERLINK("http://m.12365auto.com/bbs/postcontent.aspx?tID=194011","http://m.12365auto.com/bbs/postcontent.aspx?tID=194011")</f>
        <v>http://m.12365auto.com/bbs/postcontent.aspx?tID=194011</v>
      </c>
      <c r="G8172" s="2"/>
      <c r="H8172" s="2" t="s">
        <v>11177</v>
      </c>
      <c r="I8172" s="2" t="s">
        <v>15</v>
      </c>
      <c r="J8172" s="2" t="s">
        <v>10567</v>
      </c>
      <c r="K8172" s="2" t="s">
        <v>11176</v>
      </c>
      <c r="L8172" s="2">
        <f t="shared" si="127"/>
        <v>150</v>
      </c>
    </row>
    <row r="8173" spans="1:12" ht="25" customHeight="1">
      <c r="A8173" s="2" t="s">
        <v>12</v>
      </c>
      <c r="B8173" s="2" t="str">
        <f>HYPERLINK("http://bbs.12365auto.com/postcontent.aspx?tID=194010","2020最值得期待的十款全新轿车")</f>
        <v>2020最值得期待的十款全新轿车</v>
      </c>
      <c r="C8173" s="2" t="s">
        <v>13</v>
      </c>
      <c r="D8173" s="2" t="s">
        <v>12</v>
      </c>
      <c r="E8173" s="2" t="s">
        <v>214</v>
      </c>
      <c r="F8173" s="2" t="str">
        <f>HYPERLINK("http://bbs.12365auto.com/postcontent.aspx?tID=194010","http://bbs.12365auto.com/postcontent.aspx?tID=194010")</f>
        <v>http://bbs.12365auto.com/postcontent.aspx?tID=194010</v>
      </c>
      <c r="G8173" s="2"/>
      <c r="H8173" s="2" t="s">
        <v>11178</v>
      </c>
      <c r="I8173" s="2" t="s">
        <v>15</v>
      </c>
      <c r="J8173" s="2" t="s">
        <v>10567</v>
      </c>
      <c r="K8173" s="2" t="s">
        <v>11179</v>
      </c>
      <c r="L8173" s="2">
        <f t="shared" si="127"/>
        <v>150</v>
      </c>
    </row>
    <row r="8174" spans="1:12" ht="25" customHeight="1">
      <c r="A8174" s="2" t="s">
        <v>12</v>
      </c>
      <c r="B8174" s="2" t="str">
        <f>HYPERLINK("http://m.12365auto.com/news/20200213/418471.shtml","受疫情影响 名爵部分车型延长质保期")</f>
        <v>受疫情影响 名爵部分车型延长质保期</v>
      </c>
      <c r="C8174" s="2" t="s">
        <v>13</v>
      </c>
      <c r="D8174" s="2" t="s">
        <v>12</v>
      </c>
      <c r="E8174" s="2"/>
      <c r="F8174" s="2" t="str">
        <f>HYPERLINK("http://m.12365auto.com/news/20200213/418471.shtml","http://m.12365auto.com/news/20200213/418471.shtml")</f>
        <v>http://m.12365auto.com/news/20200213/418471.shtml</v>
      </c>
      <c r="G8174" s="2"/>
      <c r="H8174" s="2" t="s">
        <v>11180</v>
      </c>
      <c r="I8174" s="2" t="s">
        <v>19</v>
      </c>
      <c r="J8174" s="2" t="s">
        <v>11181</v>
      </c>
      <c r="K8174" s="2" t="s">
        <v>11179</v>
      </c>
      <c r="L8174" s="2">
        <f t="shared" si="127"/>
        <v>71</v>
      </c>
    </row>
    <row r="8175" spans="1:12" ht="25" customHeight="1">
      <c r="A8175" s="2" t="s">
        <v>12</v>
      </c>
      <c r="B8175" s="2" t="str">
        <f>HYPERLINK("http://bbs.12365auto.com/postcontent.aspx?tId=194010","2020最值得期待的十款全新轿车")</f>
        <v>2020最值得期待的十款全新轿车</v>
      </c>
      <c r="C8175" s="2" t="s">
        <v>13</v>
      </c>
      <c r="D8175" s="2" t="s">
        <v>12</v>
      </c>
      <c r="E8175" s="2" t="s">
        <v>210</v>
      </c>
      <c r="F8175" s="2" t="str">
        <f>HYPERLINK("http://bbs.12365auto.com/postcontent.aspx?tId=194010","http://bbs.12365auto.com/postcontent.aspx?tId=194010")</f>
        <v>http://bbs.12365auto.com/postcontent.aspx?tId=194010</v>
      </c>
      <c r="G8175" s="2"/>
      <c r="H8175" s="2" t="s">
        <v>11182</v>
      </c>
      <c r="I8175" s="2" t="s">
        <v>15</v>
      </c>
      <c r="J8175" s="2" t="s">
        <v>10567</v>
      </c>
      <c r="K8175" s="2" t="s">
        <v>11179</v>
      </c>
      <c r="L8175" s="2">
        <f t="shared" si="127"/>
        <v>150</v>
      </c>
    </row>
    <row r="8176" spans="1:12" ht="25" customHeight="1">
      <c r="A8176" s="2" t="s">
        <v>12</v>
      </c>
      <c r="B8176" s="2" t="str">
        <f>HYPERLINK("http://www.12365auto.com/news/20200213/418471.shtml","受疫情影响 名爵部分车型延长质保期")</f>
        <v>受疫情影响 名爵部分车型延长质保期</v>
      </c>
      <c r="C8176" s="2" t="s">
        <v>13</v>
      </c>
      <c r="D8176" s="2" t="s">
        <v>12</v>
      </c>
      <c r="E8176" s="2" t="s">
        <v>276</v>
      </c>
      <c r="F8176" s="2" t="str">
        <f>HYPERLINK("http://www.12365auto.com/news/20200213/418471.shtml","http://www.12365auto.com/news/20200213/418471.shtml")</f>
        <v>http://www.12365auto.com/news/20200213/418471.shtml</v>
      </c>
      <c r="G8176" s="2"/>
      <c r="H8176" s="2" t="s">
        <v>11183</v>
      </c>
      <c r="I8176" s="2" t="s">
        <v>15</v>
      </c>
      <c r="J8176" s="2" t="s">
        <v>12</v>
      </c>
      <c r="K8176" s="2" t="s">
        <v>11179</v>
      </c>
      <c r="L8176" s="2">
        <f t="shared" si="127"/>
        <v>69</v>
      </c>
    </row>
    <row r="8177" spans="1:12" ht="25" customHeight="1">
      <c r="A8177" s="2" t="s">
        <v>12</v>
      </c>
      <c r="B8177" s="2" t="str">
        <f>HYPERLINK("http://m.12365auto.com/bbs/postcontent.aspx?tID=194010","2020最值得期待的十款全新轿车")</f>
        <v>2020最值得期待的十款全新轿车</v>
      </c>
      <c r="C8177" s="2" t="s">
        <v>13</v>
      </c>
      <c r="D8177" s="2" t="s">
        <v>23</v>
      </c>
      <c r="E8177" s="2"/>
      <c r="F8177" s="2" t="str">
        <f>HYPERLINK("http://m.12365auto.com/bbs/postcontent.aspx?tID=194010","http://m.12365auto.com/bbs/postcontent.aspx?tID=194010")</f>
        <v>http://m.12365auto.com/bbs/postcontent.aspx?tID=194010</v>
      </c>
      <c r="G8177" s="2"/>
      <c r="H8177" s="2" t="s">
        <v>11182</v>
      </c>
      <c r="I8177" s="2" t="s">
        <v>15</v>
      </c>
      <c r="J8177" s="2" t="s">
        <v>10567</v>
      </c>
      <c r="K8177" s="2" t="s">
        <v>11179</v>
      </c>
      <c r="L8177" s="2">
        <f t="shared" si="127"/>
        <v>150</v>
      </c>
    </row>
    <row r="8178" spans="1:12" ht="25" customHeight="1">
      <c r="A8178" s="2" t="s">
        <v>12</v>
      </c>
      <c r="B8178" s="2" t="str">
        <f>HYPERLINK("http://m.12365auto.com/bbs/postcontent.aspx?tID=194009","2019年中国最热销的轿车，全是合资")</f>
        <v>2019年中国最热销的轿车，全是合资</v>
      </c>
      <c r="C8178" s="2" t="s">
        <v>13</v>
      </c>
      <c r="D8178" s="2" t="s">
        <v>23</v>
      </c>
      <c r="E8178" s="2"/>
      <c r="F8178" s="2" t="str">
        <f>HYPERLINK("http://m.12365auto.com/bbs/postcontent.aspx?tID=194009","http://m.12365auto.com/bbs/postcontent.aspx?tID=194009")</f>
        <v>http://m.12365auto.com/bbs/postcontent.aspx?tID=194009</v>
      </c>
      <c r="G8178" s="2"/>
      <c r="H8178" s="2" t="s">
        <v>11184</v>
      </c>
      <c r="I8178" s="2" t="s">
        <v>15</v>
      </c>
      <c r="J8178" s="2" t="s">
        <v>10567</v>
      </c>
      <c r="K8178" s="2" t="s">
        <v>11185</v>
      </c>
      <c r="L8178" s="2">
        <f t="shared" si="127"/>
        <v>150</v>
      </c>
    </row>
    <row r="8179" spans="1:12" ht="25" customHeight="1">
      <c r="A8179" s="2" t="s">
        <v>12</v>
      </c>
      <c r="B8179" s="2" t="str">
        <f>HYPERLINK("http://m.12365auto.com/bbs/postcontent.aspx?tID=194008","2019全球卖最好的10款车，国内都有卖")</f>
        <v>2019全球卖最好的10款车，国内都有卖</v>
      </c>
      <c r="C8179" s="2" t="s">
        <v>13</v>
      </c>
      <c r="D8179" s="2" t="s">
        <v>23</v>
      </c>
      <c r="E8179" s="2"/>
      <c r="F8179" s="2" t="str">
        <f>HYPERLINK("http://m.12365auto.com/bbs/postcontent.aspx?tID=194008","http://m.12365auto.com/bbs/postcontent.aspx?tID=194008")</f>
        <v>http://m.12365auto.com/bbs/postcontent.aspx?tID=194008</v>
      </c>
      <c r="G8179" s="2"/>
      <c r="H8179" s="2" t="s">
        <v>8640</v>
      </c>
      <c r="I8179" s="2" t="s">
        <v>15</v>
      </c>
      <c r="J8179" s="2" t="s">
        <v>10567</v>
      </c>
      <c r="K8179" s="2" t="s">
        <v>11185</v>
      </c>
      <c r="L8179" s="2">
        <f t="shared" si="127"/>
        <v>150</v>
      </c>
    </row>
    <row r="8180" spans="1:12" ht="25" customHeight="1">
      <c r="A8180" s="2" t="s">
        <v>12</v>
      </c>
      <c r="B8180" s="2" t="str">
        <f>HYPERLINK("http://bbs.12365auto.com/postcontent.aspx?tID=194009","2019年中国最热销的轿车，全是合资")</f>
        <v>2019年中国最热销的轿车，全是合资</v>
      </c>
      <c r="C8180" s="2" t="s">
        <v>13</v>
      </c>
      <c r="D8180" s="2" t="s">
        <v>12</v>
      </c>
      <c r="E8180" s="2" t="s">
        <v>214</v>
      </c>
      <c r="F8180" s="2" t="str">
        <f>HYPERLINK("http://bbs.12365auto.com/postcontent.aspx?tID=194009","http://bbs.12365auto.com/postcontent.aspx?tID=194009")</f>
        <v>http://bbs.12365auto.com/postcontent.aspx?tID=194009</v>
      </c>
      <c r="G8180" s="2"/>
      <c r="H8180" s="2" t="s">
        <v>11186</v>
      </c>
      <c r="I8180" s="2" t="s">
        <v>15</v>
      </c>
      <c r="J8180" s="2" t="s">
        <v>10567</v>
      </c>
      <c r="K8180" s="2" t="s">
        <v>11185</v>
      </c>
      <c r="L8180" s="2">
        <f t="shared" si="127"/>
        <v>150</v>
      </c>
    </row>
    <row r="8181" spans="1:12" ht="25" customHeight="1">
      <c r="A8181" s="2" t="s">
        <v>12</v>
      </c>
      <c r="B8181" s="2" t="str">
        <f>HYPERLINK("http://bbs.12365auto.com/postcontent.aspx?tID=194008","2019全球卖最好的10款车 国内都有卖")</f>
        <v>2019全球卖最好的10款车 国内都有卖</v>
      </c>
      <c r="C8181" s="2" t="s">
        <v>13</v>
      </c>
      <c r="D8181" s="2" t="s">
        <v>12</v>
      </c>
      <c r="E8181" s="2" t="s">
        <v>214</v>
      </c>
      <c r="F8181" s="2" t="str">
        <f>HYPERLINK("http://bbs.12365auto.com/postcontent.aspx?tID=194008","http://bbs.12365auto.com/postcontent.aspx?tID=194008")</f>
        <v>http://bbs.12365auto.com/postcontent.aspx?tID=194008</v>
      </c>
      <c r="G8181" s="2"/>
      <c r="H8181" s="2" t="s">
        <v>8637</v>
      </c>
      <c r="I8181" s="2" t="s">
        <v>15</v>
      </c>
      <c r="J8181" s="2" t="s">
        <v>10567</v>
      </c>
      <c r="K8181" s="2" t="s">
        <v>11185</v>
      </c>
      <c r="L8181" s="2">
        <f t="shared" si="127"/>
        <v>150</v>
      </c>
    </row>
    <row r="8182" spans="1:12" ht="25" customHeight="1">
      <c r="A8182" s="2" t="s">
        <v>12</v>
      </c>
      <c r="B8182" s="2" t="str">
        <f>HYPERLINK("http://bbs.12365auto.com/postcontent.aspx?tId=194009","2019年中国最热销的轿车，全是合资")</f>
        <v>2019年中国最热销的轿车，全是合资</v>
      </c>
      <c r="C8182" s="2" t="s">
        <v>13</v>
      </c>
      <c r="D8182" s="2" t="s">
        <v>12</v>
      </c>
      <c r="E8182" s="2" t="s">
        <v>210</v>
      </c>
      <c r="F8182" s="2" t="str">
        <f>HYPERLINK("http://bbs.12365auto.com/postcontent.aspx?tId=194009","http://bbs.12365auto.com/postcontent.aspx?tId=194009")</f>
        <v>http://bbs.12365auto.com/postcontent.aspx?tId=194009</v>
      </c>
      <c r="G8182" s="2"/>
      <c r="H8182" s="2" t="s">
        <v>11184</v>
      </c>
      <c r="I8182" s="2" t="s">
        <v>15</v>
      </c>
      <c r="J8182" s="2" t="s">
        <v>10567</v>
      </c>
      <c r="K8182" s="2" t="s">
        <v>11185</v>
      </c>
      <c r="L8182" s="2">
        <f t="shared" si="127"/>
        <v>150</v>
      </c>
    </row>
    <row r="8183" spans="1:12" ht="25" customHeight="1">
      <c r="A8183" s="2" t="s">
        <v>12</v>
      </c>
      <c r="B8183" s="2" t="str">
        <f>HYPERLINK("http://bbs.12365auto.com/postcontent.aspx?tId=194008","2019全球卖最好的10款车，国内都有卖")</f>
        <v>2019全球卖最好的10款车，国内都有卖</v>
      </c>
      <c r="C8183" s="2" t="s">
        <v>13</v>
      </c>
      <c r="D8183" s="2" t="s">
        <v>12</v>
      </c>
      <c r="E8183" s="2" t="s">
        <v>210</v>
      </c>
      <c r="F8183" s="2" t="str">
        <f>HYPERLINK("http://bbs.12365auto.com/postcontent.aspx?tId=194008","http://bbs.12365auto.com/postcontent.aspx?tId=194008")</f>
        <v>http://bbs.12365auto.com/postcontent.aspx?tId=194008</v>
      </c>
      <c r="G8183" s="2"/>
      <c r="H8183" s="2" t="s">
        <v>8640</v>
      </c>
      <c r="I8183" s="2" t="s">
        <v>15</v>
      </c>
      <c r="J8183" s="2" t="s">
        <v>10567</v>
      </c>
      <c r="K8183" s="2" t="s">
        <v>11185</v>
      </c>
      <c r="L8183" s="2">
        <f t="shared" si="127"/>
        <v>150</v>
      </c>
    </row>
    <row r="8184" spans="1:12" ht="25" customHeight="1">
      <c r="A8184" s="2" t="s">
        <v>12</v>
      </c>
      <c r="B8184" s="2" t="str">
        <f>HYPERLINK("http://m.12365auto.com/bbs/postcontent.aspx?tID=194006","便宜又好开的5款二手车！")</f>
        <v>便宜又好开的5款二手车！</v>
      </c>
      <c r="C8184" s="2" t="s">
        <v>13</v>
      </c>
      <c r="D8184" s="2" t="s">
        <v>23</v>
      </c>
      <c r="E8184" s="2"/>
      <c r="F8184" s="2" t="str">
        <f>HYPERLINK("http://m.12365auto.com/bbs/postcontent.aspx?tID=194006","http://m.12365auto.com/bbs/postcontent.aspx?tID=194006")</f>
        <v>http://m.12365auto.com/bbs/postcontent.aspx?tID=194006</v>
      </c>
      <c r="G8184" s="2"/>
      <c r="H8184" s="2" t="s">
        <v>11187</v>
      </c>
      <c r="I8184" s="2" t="s">
        <v>15</v>
      </c>
      <c r="J8184" s="2" t="s">
        <v>10567</v>
      </c>
      <c r="K8184" s="2" t="s">
        <v>11188</v>
      </c>
      <c r="L8184" s="2">
        <f t="shared" si="127"/>
        <v>150</v>
      </c>
    </row>
    <row r="8185" spans="1:12" ht="25" customHeight="1">
      <c r="A8185" s="2" t="s">
        <v>12</v>
      </c>
      <c r="B8185" s="2" t="str">
        <f>HYPERLINK("http://m.12365auto.com/bbs/postcontent.aspx?tID=194007","实在卖不动了，这两款车改用四缸发动机")</f>
        <v>实在卖不动了，这两款车改用四缸发动机</v>
      </c>
      <c r="C8185" s="2" t="s">
        <v>13</v>
      </c>
      <c r="D8185" s="2" t="s">
        <v>23</v>
      </c>
      <c r="E8185" s="2"/>
      <c r="F8185" s="2" t="str">
        <f>HYPERLINK("http://m.12365auto.com/bbs/postcontent.aspx?tID=194007","http://m.12365auto.com/bbs/postcontent.aspx?tID=194007")</f>
        <v>http://m.12365auto.com/bbs/postcontent.aspx?tID=194007</v>
      </c>
      <c r="G8185" s="2"/>
      <c r="H8185" s="2" t="s">
        <v>11189</v>
      </c>
      <c r="I8185" s="2" t="s">
        <v>15</v>
      </c>
      <c r="J8185" s="2" t="s">
        <v>10567</v>
      </c>
      <c r="K8185" s="2" t="s">
        <v>11188</v>
      </c>
      <c r="L8185" s="2">
        <f t="shared" si="127"/>
        <v>150</v>
      </c>
    </row>
    <row r="8186" spans="1:12" ht="25" customHeight="1">
      <c r="A8186" s="2" t="s">
        <v>12</v>
      </c>
      <c r="B8186" s="2" t="str">
        <f>HYPERLINK("http://bbs.12365auto.com/postcontent.aspx?tID=194006","便宜又好开的5款二手车！")</f>
        <v>便宜又好开的5款二手车！</v>
      </c>
      <c r="C8186" s="2" t="s">
        <v>13</v>
      </c>
      <c r="D8186" s="2" t="s">
        <v>12</v>
      </c>
      <c r="E8186" s="2" t="s">
        <v>214</v>
      </c>
      <c r="F8186" s="2" t="str">
        <f>HYPERLINK("http://bbs.12365auto.com/postcontent.aspx?tID=194006","http://bbs.12365auto.com/postcontent.aspx?tID=194006")</f>
        <v>http://bbs.12365auto.com/postcontent.aspx?tID=194006</v>
      </c>
      <c r="G8186" s="2"/>
      <c r="H8186" s="2" t="s">
        <v>11190</v>
      </c>
      <c r="I8186" s="2" t="s">
        <v>15</v>
      </c>
      <c r="J8186" s="2" t="s">
        <v>10567</v>
      </c>
      <c r="K8186" s="2" t="s">
        <v>11188</v>
      </c>
      <c r="L8186" s="2">
        <f t="shared" si="127"/>
        <v>150</v>
      </c>
    </row>
    <row r="8187" spans="1:12" ht="25" customHeight="1">
      <c r="A8187" s="2" t="s">
        <v>12</v>
      </c>
      <c r="B8187" s="2" t="str">
        <f>HYPERLINK("http://bbs.12365auto.com/postcontent.aspx?tID=194007","实在卖不动了 这两款车改用四缸发动机")</f>
        <v>实在卖不动了 这两款车改用四缸发动机</v>
      </c>
      <c r="C8187" s="2" t="s">
        <v>13</v>
      </c>
      <c r="D8187" s="2" t="s">
        <v>12</v>
      </c>
      <c r="E8187" s="2" t="s">
        <v>214</v>
      </c>
      <c r="F8187" s="2" t="str">
        <f>HYPERLINK("http://bbs.12365auto.com/postcontent.aspx?tID=194007","http://bbs.12365auto.com/postcontent.aspx?tID=194007")</f>
        <v>http://bbs.12365auto.com/postcontent.aspx?tID=194007</v>
      </c>
      <c r="G8187" s="2"/>
      <c r="H8187" s="2" t="s">
        <v>11191</v>
      </c>
      <c r="I8187" s="2" t="s">
        <v>15</v>
      </c>
      <c r="J8187" s="2" t="s">
        <v>10567</v>
      </c>
      <c r="K8187" s="2" t="s">
        <v>11188</v>
      </c>
      <c r="L8187" s="2">
        <f t="shared" si="127"/>
        <v>150</v>
      </c>
    </row>
    <row r="8188" spans="1:12" ht="25" customHeight="1">
      <c r="A8188" s="2" t="s">
        <v>12</v>
      </c>
      <c r="B8188" s="2" t="str">
        <f>HYPERLINK("http://m.12365auto.com/bbs/postcontent.aspx?tID=194006&amp;i=1","便宜又好开的5款二手车")</f>
        <v>便宜又好开的5款二手车</v>
      </c>
      <c r="C8188" s="2" t="s">
        <v>13</v>
      </c>
      <c r="D8188" s="2" t="s">
        <v>23</v>
      </c>
      <c r="E8188" s="2"/>
      <c r="F8188" s="2" t="str">
        <f>HYPERLINK("http://m.12365auto.com/bbs/postcontent.aspx?tID=194006&amp;i=1","http://m.12365auto.com/bbs/postcontent.aspx?tID=194006&amp;i=1")</f>
        <v>http://m.12365auto.com/bbs/postcontent.aspx?tID=194006&amp;i=1</v>
      </c>
      <c r="G8188" s="2"/>
      <c r="H8188" s="2" t="s">
        <v>11187</v>
      </c>
      <c r="I8188" s="2" t="s">
        <v>15</v>
      </c>
      <c r="J8188" s="2" t="s">
        <v>10567</v>
      </c>
      <c r="K8188" s="2" t="s">
        <v>11188</v>
      </c>
      <c r="L8188" s="2">
        <f t="shared" si="127"/>
        <v>150</v>
      </c>
    </row>
    <row r="8189" spans="1:12" ht="25" customHeight="1">
      <c r="A8189" s="2" t="s">
        <v>12</v>
      </c>
      <c r="B8189" s="2" t="str">
        <f>HYPERLINK("http://m.12365auto.com/xcdg/20200213/418470.shtml","20万合资中型车 个性兼顾实用的居家首选")</f>
        <v>20万合资中型车 个性兼顾实用的居家首选</v>
      </c>
      <c r="C8189" s="2" t="s">
        <v>13</v>
      </c>
      <c r="D8189" s="2" t="s">
        <v>12</v>
      </c>
      <c r="E8189" s="2"/>
      <c r="F8189" s="2" t="str">
        <f>HYPERLINK("http://m.12365auto.com/xcdg/20200213/418470.shtml","http://m.12365auto.com/xcdg/20200213/418470.shtml")</f>
        <v>http://m.12365auto.com/xcdg/20200213/418470.shtml</v>
      </c>
      <c r="G8189" s="2"/>
      <c r="H8189" s="2" t="s">
        <v>11192</v>
      </c>
      <c r="I8189" s="2" t="s">
        <v>19</v>
      </c>
      <c r="J8189" s="2" t="s">
        <v>11193</v>
      </c>
      <c r="K8189" s="2" t="s">
        <v>11188</v>
      </c>
      <c r="L8189" s="2">
        <f t="shared" si="127"/>
        <v>150</v>
      </c>
    </row>
    <row r="8190" spans="1:12" ht="25" customHeight="1">
      <c r="A8190" s="2" t="s">
        <v>12</v>
      </c>
      <c r="B8190" s="2" t="str">
        <f>HYPERLINK("http://bbs.12365auto.com/postcontent.aspx?tId=194007","实在卖不动了，这两款车改用四缸发动机")</f>
        <v>实在卖不动了，这两款车改用四缸发动机</v>
      </c>
      <c r="C8190" s="2" t="s">
        <v>13</v>
      </c>
      <c r="D8190" s="2" t="s">
        <v>12</v>
      </c>
      <c r="E8190" s="2" t="s">
        <v>210</v>
      </c>
      <c r="F8190" s="2" t="str">
        <f>HYPERLINK("http://bbs.12365auto.com/postcontent.aspx?tId=194007","http://bbs.12365auto.com/postcontent.aspx?tId=194007")</f>
        <v>http://bbs.12365auto.com/postcontent.aspx?tId=194007</v>
      </c>
      <c r="G8190" s="2"/>
      <c r="H8190" s="2" t="s">
        <v>11189</v>
      </c>
      <c r="I8190" s="2" t="s">
        <v>15</v>
      </c>
      <c r="J8190" s="2" t="s">
        <v>10567</v>
      </c>
      <c r="K8190" s="2" t="s">
        <v>11188</v>
      </c>
      <c r="L8190" s="2">
        <f t="shared" si="127"/>
        <v>150</v>
      </c>
    </row>
    <row r="8191" spans="1:12" ht="25" customHeight="1">
      <c r="A8191" s="2" t="s">
        <v>12</v>
      </c>
      <c r="B8191" s="2" t="str">
        <f>HYPERLINK("http://bbs.12365auto.com/postcontent.aspx?tId=194006","便宜又好开的5款二手车！")</f>
        <v>便宜又好开的5款二手车！</v>
      </c>
      <c r="C8191" s="2" t="s">
        <v>13</v>
      </c>
      <c r="D8191" s="2" t="s">
        <v>12</v>
      </c>
      <c r="E8191" s="2" t="s">
        <v>210</v>
      </c>
      <c r="F8191" s="2" t="str">
        <f>HYPERLINK("http://bbs.12365auto.com/postcontent.aspx?tId=194006","http://bbs.12365auto.com/postcontent.aspx?tId=194006")</f>
        <v>http://bbs.12365auto.com/postcontent.aspx?tId=194006</v>
      </c>
      <c r="G8191" s="2"/>
      <c r="H8191" s="2" t="s">
        <v>11187</v>
      </c>
      <c r="I8191" s="2" t="s">
        <v>15</v>
      </c>
      <c r="J8191" s="2" t="s">
        <v>10567</v>
      </c>
      <c r="K8191" s="2" t="s">
        <v>11188</v>
      </c>
      <c r="L8191" s="2">
        <f t="shared" si="127"/>
        <v>150</v>
      </c>
    </row>
    <row r="8192" spans="1:12" ht="25" customHeight="1">
      <c r="A8192" s="2" t="s">
        <v>12</v>
      </c>
      <c r="B8192" s="2" t="str">
        <f>HYPERLINK("http://m.12365auto.com/bbs/postcontent.aspx?tID=194005","盘点2019年上市即热卖的SUV车型！")</f>
        <v>盘点2019年上市即热卖的SUV车型！</v>
      </c>
      <c r="C8192" s="2" t="s">
        <v>13</v>
      </c>
      <c r="D8192" s="2" t="s">
        <v>23</v>
      </c>
      <c r="E8192" s="2"/>
      <c r="F8192" s="2" t="str">
        <f>HYPERLINK("http://m.12365auto.com/bbs/postcontent.aspx?tID=194005","http://m.12365auto.com/bbs/postcontent.aspx?tID=194005")</f>
        <v>http://m.12365auto.com/bbs/postcontent.aspx?tID=194005</v>
      </c>
      <c r="G8192" s="2"/>
      <c r="H8192" s="2" t="s">
        <v>11194</v>
      </c>
      <c r="I8192" s="2" t="s">
        <v>15</v>
      </c>
      <c r="J8192" s="2" t="s">
        <v>10567</v>
      </c>
      <c r="K8192" s="2" t="s">
        <v>11195</v>
      </c>
      <c r="L8192" s="2">
        <f t="shared" si="127"/>
        <v>150</v>
      </c>
    </row>
    <row r="8193" spans="1:12" ht="25" customHeight="1">
      <c r="A8193" s="2" t="s">
        <v>12</v>
      </c>
      <c r="B8193" s="2" t="str">
        <f>HYPERLINK("http://m.12365auto.com/bbs/postcontent.aspx?tID=194004","本以为是“爆款”SUV，结果成了昙花一现？")</f>
        <v>本以为是“爆款”SUV，结果成了昙花一现？</v>
      </c>
      <c r="C8193" s="2" t="s">
        <v>13</v>
      </c>
      <c r="D8193" s="2" t="s">
        <v>23</v>
      </c>
      <c r="E8193" s="2"/>
      <c r="F8193" s="2" t="str">
        <f>HYPERLINK("http://m.12365auto.com/bbs/postcontent.aspx?tID=194004","http://m.12365auto.com/bbs/postcontent.aspx?tID=194004")</f>
        <v>http://m.12365auto.com/bbs/postcontent.aspx?tID=194004</v>
      </c>
      <c r="G8193" s="2"/>
      <c r="H8193" s="2" t="s">
        <v>11196</v>
      </c>
      <c r="I8193" s="2" t="s">
        <v>15</v>
      </c>
      <c r="J8193" s="2" t="s">
        <v>10567</v>
      </c>
      <c r="K8193" s="2" t="s">
        <v>11195</v>
      </c>
      <c r="L8193" s="2">
        <f t="shared" si="127"/>
        <v>150</v>
      </c>
    </row>
    <row r="8194" spans="1:12" ht="25" customHeight="1">
      <c r="A8194" s="2" t="s">
        <v>12</v>
      </c>
      <c r="B8194" s="2" t="str">
        <f>HYPERLINK("http://bbs.12365auto.com/postcontent.aspx?tID=194004","本以为是“爆款”SUV，结果成了昙花一现？")</f>
        <v>本以为是“爆款”SUV，结果成了昙花一现？</v>
      </c>
      <c r="C8194" s="2" t="s">
        <v>13</v>
      </c>
      <c r="D8194" s="2" t="s">
        <v>12</v>
      </c>
      <c r="E8194" s="2" t="s">
        <v>214</v>
      </c>
      <c r="F8194" s="2" t="str">
        <f>HYPERLINK("http://bbs.12365auto.com/postcontent.aspx?tID=194004","http://bbs.12365auto.com/postcontent.aspx?tID=194004")</f>
        <v>http://bbs.12365auto.com/postcontent.aspx?tID=194004</v>
      </c>
      <c r="G8194" s="2"/>
      <c r="H8194" s="2" t="s">
        <v>11197</v>
      </c>
      <c r="I8194" s="2" t="s">
        <v>15</v>
      </c>
      <c r="J8194" s="2" t="s">
        <v>10567</v>
      </c>
      <c r="K8194" s="2" t="s">
        <v>11195</v>
      </c>
      <c r="L8194" s="2">
        <f t="shared" si="127"/>
        <v>150</v>
      </c>
    </row>
    <row r="8195" spans="1:12" ht="25" customHeight="1">
      <c r="A8195" s="2" t="s">
        <v>12</v>
      </c>
      <c r="B8195" s="2" t="str">
        <f>HYPERLINK("http://bbs.12365auto.com/postcontent.aspx?tId=194005","盘点2019年上市即热卖的SUV车型！")</f>
        <v>盘点2019年上市即热卖的SUV车型！</v>
      </c>
      <c r="C8195" s="2" t="s">
        <v>13</v>
      </c>
      <c r="D8195" s="2" t="s">
        <v>12</v>
      </c>
      <c r="E8195" s="2" t="s">
        <v>210</v>
      </c>
      <c r="F8195" s="2" t="str">
        <f>HYPERLINK("http://bbs.12365auto.com/postcontent.aspx?tId=194005","http://bbs.12365auto.com/postcontent.aspx?tId=194005")</f>
        <v>http://bbs.12365auto.com/postcontent.aspx?tId=194005</v>
      </c>
      <c r="G8195" s="2"/>
      <c r="H8195" s="2" t="s">
        <v>11194</v>
      </c>
      <c r="I8195" s="2" t="s">
        <v>15</v>
      </c>
      <c r="J8195" s="2" t="s">
        <v>10567</v>
      </c>
      <c r="K8195" s="2" t="s">
        <v>11195</v>
      </c>
      <c r="L8195" s="2">
        <f t="shared" ref="L8195:L8258" si="128">LEN(H8195)</f>
        <v>150</v>
      </c>
    </row>
    <row r="8196" spans="1:12" ht="25" customHeight="1">
      <c r="A8196" s="2" t="s">
        <v>12</v>
      </c>
      <c r="B8196" s="2" t="str">
        <f>HYPERLINK("http://bbs.12365auto.com/postcontent.aspx?tID=194005","盘点2019年上市即热卖的SUV车型")</f>
        <v>盘点2019年上市即热卖的SUV车型</v>
      </c>
      <c r="C8196" s="2" t="s">
        <v>13</v>
      </c>
      <c r="D8196" s="2" t="s">
        <v>12</v>
      </c>
      <c r="E8196" s="2" t="s">
        <v>214</v>
      </c>
      <c r="F8196" s="2" t="str">
        <f>HYPERLINK("http://bbs.12365auto.com/postcontent.aspx?tID=194005","http://bbs.12365auto.com/postcontent.aspx?tID=194005")</f>
        <v>http://bbs.12365auto.com/postcontent.aspx?tID=194005</v>
      </c>
      <c r="G8196" s="2"/>
      <c r="H8196" s="2" t="s">
        <v>11198</v>
      </c>
      <c r="I8196" s="2" t="s">
        <v>15</v>
      </c>
      <c r="J8196" s="2" t="s">
        <v>10567</v>
      </c>
      <c r="K8196" s="2" t="s">
        <v>11195</v>
      </c>
      <c r="L8196" s="2">
        <f t="shared" si="128"/>
        <v>150</v>
      </c>
    </row>
    <row r="8197" spans="1:12" ht="25" customHeight="1">
      <c r="A8197" s="2" t="s">
        <v>12</v>
      </c>
      <c r="B8197" s="2" t="str">
        <f>HYPERLINK("http://bbs.12365auto.com/postcontent.aspx?tId=194004","本以为是“爆款”SUV，结果成了昙花一现？")</f>
        <v>本以为是“爆款”SUV，结果成了昙花一现？</v>
      </c>
      <c r="C8197" s="2" t="s">
        <v>13</v>
      </c>
      <c r="D8197" s="2" t="s">
        <v>12</v>
      </c>
      <c r="E8197" s="2" t="s">
        <v>210</v>
      </c>
      <c r="F8197" s="2" t="str">
        <f>HYPERLINK("http://bbs.12365auto.com/postcontent.aspx?tId=194004","http://bbs.12365auto.com/postcontent.aspx?tId=194004")</f>
        <v>http://bbs.12365auto.com/postcontent.aspx?tId=194004</v>
      </c>
      <c r="G8197" s="2"/>
      <c r="H8197" s="2" t="s">
        <v>11196</v>
      </c>
      <c r="I8197" s="2" t="s">
        <v>15</v>
      </c>
      <c r="J8197" s="2" t="s">
        <v>10567</v>
      </c>
      <c r="K8197" s="2" t="s">
        <v>11195</v>
      </c>
      <c r="L8197" s="2">
        <f t="shared" si="128"/>
        <v>150</v>
      </c>
    </row>
    <row r="8198" spans="1:12" ht="25" customHeight="1">
      <c r="A8198" s="2" t="s">
        <v>12</v>
      </c>
      <c r="B8198" s="2" t="str">
        <f>HYPERLINK("http://m.12365auto.com/bbs/postcontent.aspx?tID=194003","二手必看！这10款“不保值好车”买就完事了")</f>
        <v>二手必看！这10款“不保值好车”买就完事了</v>
      </c>
      <c r="C8198" s="2" t="s">
        <v>13</v>
      </c>
      <c r="D8198" s="2" t="s">
        <v>23</v>
      </c>
      <c r="E8198" s="2"/>
      <c r="F8198" s="2" t="str">
        <f>HYPERLINK("http://m.12365auto.com/bbs/postcontent.aspx?tID=194003","http://m.12365auto.com/bbs/postcontent.aspx?tID=194003")</f>
        <v>http://m.12365auto.com/bbs/postcontent.aspx?tID=194003</v>
      </c>
      <c r="G8198" s="2"/>
      <c r="H8198" s="2" t="s">
        <v>11199</v>
      </c>
      <c r="I8198" s="2" t="s">
        <v>15</v>
      </c>
      <c r="J8198" s="2" t="s">
        <v>10567</v>
      </c>
      <c r="K8198" s="2" t="s">
        <v>11200</v>
      </c>
      <c r="L8198" s="2">
        <f t="shared" si="128"/>
        <v>150</v>
      </c>
    </row>
    <row r="8199" spans="1:12" ht="25" customHeight="1">
      <c r="A8199" s="2" t="s">
        <v>12</v>
      </c>
      <c r="B8199" s="2" t="str">
        <f>HYPERLINK("http://bbs.12365auto.com/postcontent.aspx?tID=194003","二手必看 这10款“不保值好车”买就完事了")</f>
        <v>二手必看 这10款“不保值好车”买就完事了</v>
      </c>
      <c r="C8199" s="2" t="s">
        <v>13</v>
      </c>
      <c r="D8199" s="2" t="s">
        <v>12</v>
      </c>
      <c r="E8199" s="2" t="s">
        <v>214</v>
      </c>
      <c r="F8199" s="2" t="str">
        <f>HYPERLINK("http://bbs.12365auto.com/postcontent.aspx?tID=194003","http://bbs.12365auto.com/postcontent.aspx?tID=194003")</f>
        <v>http://bbs.12365auto.com/postcontent.aspx?tID=194003</v>
      </c>
      <c r="G8199" s="2"/>
      <c r="H8199" s="2" t="s">
        <v>11201</v>
      </c>
      <c r="I8199" s="2" t="s">
        <v>15</v>
      </c>
      <c r="J8199" s="2" t="s">
        <v>10567</v>
      </c>
      <c r="K8199" s="2" t="s">
        <v>11200</v>
      </c>
      <c r="L8199" s="2">
        <f t="shared" si="128"/>
        <v>150</v>
      </c>
    </row>
    <row r="8200" spans="1:12" ht="25" customHeight="1">
      <c r="A8200" s="2" t="s">
        <v>12</v>
      </c>
      <c r="B8200" s="2" t="str">
        <f>HYPERLINK("http://bbs.12365auto.com/postcontent.aspx?tId=194003","二手必看！这10款“不保值好车”买就完事了")</f>
        <v>二手必看！这10款“不保值好车”买就完事了</v>
      </c>
      <c r="C8200" s="2" t="s">
        <v>13</v>
      </c>
      <c r="D8200" s="2" t="s">
        <v>12</v>
      </c>
      <c r="E8200" s="2" t="s">
        <v>210</v>
      </c>
      <c r="F8200" s="2" t="str">
        <f>HYPERLINK("http://bbs.12365auto.com/postcontent.aspx?tId=194003","http://bbs.12365auto.com/postcontent.aspx?tId=194003")</f>
        <v>http://bbs.12365auto.com/postcontent.aspx?tId=194003</v>
      </c>
      <c r="G8200" s="2"/>
      <c r="H8200" s="2" t="s">
        <v>11199</v>
      </c>
      <c r="I8200" s="2" t="s">
        <v>15</v>
      </c>
      <c r="J8200" s="2" t="s">
        <v>10567</v>
      </c>
      <c r="K8200" s="2" t="s">
        <v>11200</v>
      </c>
      <c r="L8200" s="2">
        <f t="shared" si="128"/>
        <v>150</v>
      </c>
    </row>
    <row r="8201" spans="1:12" ht="25" customHeight="1">
      <c r="A8201" s="2" t="s">
        <v>12</v>
      </c>
      <c r="B8201" s="2" t="str">
        <f>HYPERLINK("http://bbs.12365auto.com/postcontent.aspx?tID=194002","这些经典SUV要彻底和中国说再见")</f>
        <v>这些经典SUV要彻底和中国说再见</v>
      </c>
      <c r="C8201" s="2" t="s">
        <v>13</v>
      </c>
      <c r="D8201" s="2" t="s">
        <v>12</v>
      </c>
      <c r="E8201" s="2" t="s">
        <v>214</v>
      </c>
      <c r="F8201" s="2" t="str">
        <f>HYPERLINK("http://bbs.12365auto.com/postcontent.aspx?tID=194002","http://bbs.12365auto.com/postcontent.aspx?tID=194002")</f>
        <v>http://bbs.12365auto.com/postcontent.aspx?tID=194002</v>
      </c>
      <c r="G8201" s="2"/>
      <c r="H8201" s="2" t="s">
        <v>11202</v>
      </c>
      <c r="I8201" s="2" t="s">
        <v>15</v>
      </c>
      <c r="J8201" s="2" t="s">
        <v>10567</v>
      </c>
      <c r="K8201" s="2" t="s">
        <v>11200</v>
      </c>
      <c r="L8201" s="2">
        <f t="shared" si="128"/>
        <v>150</v>
      </c>
    </row>
    <row r="8202" spans="1:12" ht="25" customHeight="1">
      <c r="A8202" s="2" t="s">
        <v>12</v>
      </c>
      <c r="B8202" s="2" t="str">
        <f>HYPERLINK("http://bbs.12365auto.com/postcontent.aspx?tId=194002","这些经典SUV要彻底和中国说再见")</f>
        <v>这些经典SUV要彻底和中国说再见</v>
      </c>
      <c r="C8202" s="2" t="s">
        <v>13</v>
      </c>
      <c r="D8202" s="2" t="s">
        <v>12</v>
      </c>
      <c r="E8202" s="2" t="s">
        <v>210</v>
      </c>
      <c r="F8202" s="2" t="str">
        <f>HYPERLINK("http://bbs.12365auto.com/postcontent.aspx?tId=194002","http://bbs.12365auto.com/postcontent.aspx?tId=194002")</f>
        <v>http://bbs.12365auto.com/postcontent.aspx?tId=194002</v>
      </c>
      <c r="G8202" s="2"/>
      <c r="H8202" s="2" t="s">
        <v>11203</v>
      </c>
      <c r="I8202" s="2" t="s">
        <v>15</v>
      </c>
      <c r="J8202" s="2" t="s">
        <v>10567</v>
      </c>
      <c r="K8202" s="2" t="s">
        <v>11200</v>
      </c>
      <c r="L8202" s="2">
        <f t="shared" si="128"/>
        <v>150</v>
      </c>
    </row>
    <row r="8203" spans="1:12" ht="25" customHeight="1">
      <c r="A8203" s="2" t="s">
        <v>12</v>
      </c>
      <c r="B8203" s="2" t="str">
        <f>HYPERLINK("http://www.12365auto.com/zlts/20200213/447088.shtml","车门锈")</f>
        <v>车门锈</v>
      </c>
      <c r="C8203" s="2" t="s">
        <v>13</v>
      </c>
      <c r="D8203" s="2" t="s">
        <v>12</v>
      </c>
      <c r="E8203" s="2"/>
      <c r="F8203" s="2" t="str">
        <f>HYPERLINK("http://www.12365auto.com/zlts/20200213/447088.shtml","http://www.12365auto.com/zlts/20200213/447088.shtml")</f>
        <v>http://www.12365auto.com/zlts/20200213/447088.shtml</v>
      </c>
      <c r="G8203" s="2"/>
      <c r="H8203" s="2" t="s">
        <v>11205</v>
      </c>
      <c r="I8203" s="2" t="s">
        <v>15</v>
      </c>
      <c r="J8203" s="2" t="s">
        <v>12</v>
      </c>
      <c r="K8203" s="2" t="s">
        <v>11204</v>
      </c>
      <c r="L8203" s="2">
        <f t="shared" si="128"/>
        <v>86</v>
      </c>
    </row>
    <row r="8204" spans="1:12" ht="25" customHeight="1">
      <c r="A8204" s="2" t="s">
        <v>12</v>
      </c>
      <c r="B8204" s="2" t="str">
        <f>HYPERLINK("http://m.12365auto.com/xcdg/20200213/418469.shtml","为疫情出行更自由 15万黄金价位购车如何选")</f>
        <v>为疫情出行更自由 15万黄金价位购车如何选</v>
      </c>
      <c r="C8204" s="2" t="s">
        <v>13</v>
      </c>
      <c r="D8204" s="2" t="s">
        <v>12</v>
      </c>
      <c r="E8204" s="2"/>
      <c r="F8204" s="2" t="str">
        <f>HYPERLINK("http://m.12365auto.com/xcdg/20200213/418469.shtml","http://m.12365auto.com/xcdg/20200213/418469.shtml")</f>
        <v>http://m.12365auto.com/xcdg/20200213/418469.shtml</v>
      </c>
      <c r="G8204" s="2"/>
      <c r="H8204" s="2" t="s">
        <v>11206</v>
      </c>
      <c r="I8204" s="2" t="s">
        <v>19</v>
      </c>
      <c r="J8204" s="2" t="s">
        <v>2754</v>
      </c>
      <c r="K8204" s="2" t="s">
        <v>11207</v>
      </c>
      <c r="L8204" s="2">
        <f t="shared" si="128"/>
        <v>150</v>
      </c>
    </row>
    <row r="8205" spans="1:12" ht="25" customHeight="1">
      <c r="A8205" s="2" t="s">
        <v>12</v>
      </c>
      <c r="B8205" s="2" t="str">
        <f>HYPERLINK("http://www.12365auto.com/news/20200213/418468.shtml","欧宝Ampera-e即将退市 欧洲大幅降价")</f>
        <v>欧宝Ampera-e即将退市 欧洲大幅降价</v>
      </c>
      <c r="C8205" s="2" t="s">
        <v>13</v>
      </c>
      <c r="D8205" s="2" t="s">
        <v>12</v>
      </c>
      <c r="E8205" s="2" t="s">
        <v>276</v>
      </c>
      <c r="F8205" s="2" t="str">
        <f>HYPERLINK("http://www.12365auto.com/news/20200213/418468.shtml","http://www.12365auto.com/news/20200213/418468.shtml")</f>
        <v>http://www.12365auto.com/news/20200213/418468.shtml</v>
      </c>
      <c r="G8205" s="2"/>
      <c r="H8205" s="2" t="s">
        <v>11208</v>
      </c>
      <c r="I8205" s="2" t="s">
        <v>15</v>
      </c>
      <c r="J8205" s="2" t="s">
        <v>12</v>
      </c>
      <c r="K8205" s="2" t="s">
        <v>11209</v>
      </c>
      <c r="L8205" s="2">
        <f t="shared" si="128"/>
        <v>150</v>
      </c>
    </row>
    <row r="8206" spans="1:12" ht="25" customHeight="1">
      <c r="A8206" s="2" t="s">
        <v>12</v>
      </c>
      <c r="B8206" s="2" t="str">
        <f>HYPERLINK("http://m.12365auto.com/news/20200213/418468.shtml","欧宝Ampera-e即将退市 欧洲大幅降价")</f>
        <v>欧宝Ampera-e即将退市 欧洲大幅降价</v>
      </c>
      <c r="C8206" s="2" t="s">
        <v>13</v>
      </c>
      <c r="D8206" s="2" t="s">
        <v>12</v>
      </c>
      <c r="E8206" s="2"/>
      <c r="F8206" s="2" t="str">
        <f>HYPERLINK("http://m.12365auto.com/news/20200213/418468.shtml","http://m.12365auto.com/news/20200213/418468.shtml")</f>
        <v>http://m.12365auto.com/news/20200213/418468.shtml</v>
      </c>
      <c r="G8206" s="2"/>
      <c r="H8206" s="2" t="s">
        <v>11210</v>
      </c>
      <c r="I8206" s="2" t="s">
        <v>19</v>
      </c>
      <c r="J8206" s="2" t="s">
        <v>332</v>
      </c>
      <c r="K8206" s="2" t="s">
        <v>11209</v>
      </c>
      <c r="L8206" s="2">
        <f t="shared" si="128"/>
        <v>150</v>
      </c>
    </row>
    <row r="8207" spans="1:12" ht="25" customHeight="1">
      <c r="A8207" s="2" t="s">
        <v>12</v>
      </c>
      <c r="B8207" s="2" t="str">
        <f>HYPERLINK("http://www.12365auto.com/news/20200213/418467.shtml","下降31% 本田第三财季净利润约74亿元")</f>
        <v>下降31% 本田第三财季净利润约74亿元</v>
      </c>
      <c r="C8207" s="2" t="s">
        <v>13</v>
      </c>
      <c r="D8207" s="2" t="s">
        <v>12</v>
      </c>
      <c r="E8207" s="2" t="s">
        <v>276</v>
      </c>
      <c r="F8207" s="2" t="str">
        <f>HYPERLINK("http://www.12365auto.com/news/20200213/418467.shtml","http://www.12365auto.com/news/20200213/418467.shtml")</f>
        <v>http://www.12365auto.com/news/20200213/418467.shtml</v>
      </c>
      <c r="G8207" s="2"/>
      <c r="H8207" s="2" t="s">
        <v>11211</v>
      </c>
      <c r="I8207" s="2" t="s">
        <v>15</v>
      </c>
      <c r="J8207" s="2" t="s">
        <v>12</v>
      </c>
      <c r="K8207" s="2" t="s">
        <v>11212</v>
      </c>
      <c r="L8207" s="2">
        <f t="shared" si="128"/>
        <v>150</v>
      </c>
    </row>
    <row r="8208" spans="1:12" ht="25" customHeight="1">
      <c r="A8208" s="2" t="s">
        <v>12</v>
      </c>
      <c r="B8208" s="2" t="str">
        <f>HYPERLINK("http://m.12365auto.com/news/20200213/418467.shtml","下降31% 本田第三财季净利润约74亿元")</f>
        <v>下降31% 本田第三财季净利润约74亿元</v>
      </c>
      <c r="C8208" s="2" t="s">
        <v>13</v>
      </c>
      <c r="D8208" s="2" t="s">
        <v>12</v>
      </c>
      <c r="E8208" s="2"/>
      <c r="F8208" s="2" t="str">
        <f>HYPERLINK("http://m.12365auto.com/news/20200213/418467.shtml","http://m.12365auto.com/news/20200213/418467.shtml")</f>
        <v>http://m.12365auto.com/news/20200213/418467.shtml</v>
      </c>
      <c r="G8208" s="2"/>
      <c r="H8208" s="2" t="s">
        <v>11213</v>
      </c>
      <c r="I8208" s="2" t="s">
        <v>19</v>
      </c>
      <c r="J8208" s="2" t="s">
        <v>274</v>
      </c>
      <c r="K8208" s="2" t="s">
        <v>11212</v>
      </c>
      <c r="L8208" s="2">
        <f t="shared" si="128"/>
        <v>150</v>
      </c>
    </row>
    <row r="8209" spans="1:12" ht="25" customHeight="1">
      <c r="A8209" s="2" t="s">
        <v>12</v>
      </c>
      <c r="B8209" s="2" t="str">
        <f>HYPERLINK("http://bbs.12365auto.com/postcontent.aspx?tID=194001","10万块钱之内的女生代步车怎么选")</f>
        <v>10万块钱之内的女生代步车怎么选</v>
      </c>
      <c r="C8209" s="2" t="s">
        <v>13</v>
      </c>
      <c r="D8209" s="2" t="s">
        <v>12</v>
      </c>
      <c r="E8209" s="2" t="s">
        <v>28</v>
      </c>
      <c r="F8209" s="2" t="str">
        <f>HYPERLINK("http://bbs.12365auto.com/postcontent.aspx?tID=194001","http://bbs.12365auto.com/postcontent.aspx?tID=194001")</f>
        <v>http://bbs.12365auto.com/postcontent.aspx?tID=194001</v>
      </c>
      <c r="G8209" s="2"/>
      <c r="H8209" s="2" t="s">
        <v>11214</v>
      </c>
      <c r="I8209" s="2" t="s">
        <v>15</v>
      </c>
      <c r="J8209" s="2" t="s">
        <v>1840</v>
      </c>
      <c r="K8209" s="2" t="s">
        <v>11215</v>
      </c>
      <c r="L8209" s="2">
        <f t="shared" si="128"/>
        <v>150</v>
      </c>
    </row>
    <row r="8210" spans="1:12" ht="25" customHeight="1">
      <c r="A8210" s="2" t="s">
        <v>12</v>
      </c>
      <c r="B8210" s="2" t="str">
        <f>HYPERLINK("http://bbs.12365auto.com/postcontent.aspx?tId=194001","10万块钱之内的女生代步车怎么选")</f>
        <v>10万块钱之内的女生代步车怎么选</v>
      </c>
      <c r="C8210" s="2" t="s">
        <v>13</v>
      </c>
      <c r="D8210" s="2" t="s">
        <v>12</v>
      </c>
      <c r="E8210" s="2" t="s">
        <v>27</v>
      </c>
      <c r="F8210" s="2" t="str">
        <f>HYPERLINK("http://bbs.12365auto.com/postcontent.aspx?tId=194001","http://bbs.12365auto.com/postcontent.aspx?tId=194001")</f>
        <v>http://bbs.12365auto.com/postcontent.aspx?tId=194001</v>
      </c>
      <c r="G8210" s="2"/>
      <c r="H8210" s="2" t="s">
        <v>11216</v>
      </c>
      <c r="I8210" s="2" t="s">
        <v>15</v>
      </c>
      <c r="J8210" s="2" t="s">
        <v>1840</v>
      </c>
      <c r="K8210" s="2" t="s">
        <v>11215</v>
      </c>
      <c r="L8210" s="2">
        <f t="shared" si="128"/>
        <v>150</v>
      </c>
    </row>
    <row r="8211" spans="1:12" ht="25" customHeight="1">
      <c r="A8211" s="2" t="s">
        <v>12</v>
      </c>
      <c r="B8211" s="2" t="str">
        <f>HYPERLINK("http://m.12365auto.com/bbs/postcontent.aspx?tID=194001","10万块钱之内的女生代步车怎么选")</f>
        <v>10万块钱之内的女生代步车怎么选</v>
      </c>
      <c r="C8211" s="2" t="s">
        <v>13</v>
      </c>
      <c r="D8211" s="2" t="s">
        <v>23</v>
      </c>
      <c r="E8211" s="2"/>
      <c r="F8211" s="2" t="str">
        <f>HYPERLINK("http://m.12365auto.com/bbs/postcontent.aspx?tID=194001","http://m.12365auto.com/bbs/postcontent.aspx?tID=194001")</f>
        <v>http://m.12365auto.com/bbs/postcontent.aspx?tID=194001</v>
      </c>
      <c r="G8211" s="2"/>
      <c r="H8211" s="2" t="s">
        <v>11216</v>
      </c>
      <c r="I8211" s="2" t="s">
        <v>15</v>
      </c>
      <c r="J8211" s="2" t="s">
        <v>1840</v>
      </c>
      <c r="K8211" s="2" t="s">
        <v>11215</v>
      </c>
      <c r="L8211" s="2">
        <f t="shared" si="128"/>
        <v>150</v>
      </c>
    </row>
    <row r="8212" spans="1:12" ht="25" customHeight="1">
      <c r="A8212" s="2" t="s">
        <v>12</v>
      </c>
      <c r="B8212" s="2" t="str">
        <f>HYPERLINK("http://www.12365auto.com/news/20200213/418466.shtml","Envision公司获专利 通过路灯为电动车充电")</f>
        <v>Envision公司获专利 通过路灯为电动车充电</v>
      </c>
      <c r="C8212" s="2" t="s">
        <v>13</v>
      </c>
      <c r="D8212" s="2" t="s">
        <v>12</v>
      </c>
      <c r="E8212" s="2" t="s">
        <v>276</v>
      </c>
      <c r="F8212" s="2" t="str">
        <f>HYPERLINK("http://www.12365auto.com/news/20200213/418466.shtml","http://www.12365auto.com/news/20200213/418466.shtml")</f>
        <v>http://www.12365auto.com/news/20200213/418466.shtml</v>
      </c>
      <c r="G8212" s="2"/>
      <c r="H8212" s="2" t="s">
        <v>11217</v>
      </c>
      <c r="I8212" s="2" t="s">
        <v>15</v>
      </c>
      <c r="J8212" s="2" t="s">
        <v>12</v>
      </c>
      <c r="K8212" s="2" t="s">
        <v>11218</v>
      </c>
      <c r="L8212" s="2">
        <f t="shared" si="128"/>
        <v>150</v>
      </c>
    </row>
    <row r="8213" spans="1:12" ht="25" customHeight="1">
      <c r="A8213" s="2" t="s">
        <v>12</v>
      </c>
      <c r="B8213" s="2" t="str">
        <f>HYPERLINK("http://m.12365auto.com/news/20200213/418466.shtml","Envision公司获专利 通过路灯为电动车充电")</f>
        <v>Envision公司获专利 通过路灯为电动车充电</v>
      </c>
      <c r="C8213" s="2" t="s">
        <v>13</v>
      </c>
      <c r="D8213" s="2" t="s">
        <v>12</v>
      </c>
      <c r="E8213" s="2"/>
      <c r="F8213" s="2" t="str">
        <f>HYPERLINK("http://m.12365auto.com/news/20200213/418466.shtml","http://m.12365auto.com/news/20200213/418466.shtml")</f>
        <v>http://m.12365auto.com/news/20200213/418466.shtml</v>
      </c>
      <c r="G8213" s="2"/>
      <c r="H8213" s="2" t="s">
        <v>11219</v>
      </c>
      <c r="I8213" s="2" t="s">
        <v>19</v>
      </c>
      <c r="J8213" s="2" t="s">
        <v>1036</v>
      </c>
      <c r="K8213" s="2" t="s">
        <v>11218</v>
      </c>
      <c r="L8213" s="2">
        <f t="shared" si="128"/>
        <v>150</v>
      </c>
    </row>
    <row r="8214" spans="1:12" ht="25" customHeight="1">
      <c r="A8214" s="2" t="s">
        <v>12</v>
      </c>
      <c r="B8214" s="2" t="str">
        <f>HYPERLINK("http://bbs.12365auto.com/postcontent.aspx?tID=193999","新买的车没有重新喷漆 为什么会有色差")</f>
        <v>新买的车没有重新喷漆 为什么会有色差</v>
      </c>
      <c r="C8214" s="2" t="s">
        <v>13</v>
      </c>
      <c r="D8214" s="2" t="s">
        <v>12</v>
      </c>
      <c r="E8214" s="2" t="s">
        <v>28</v>
      </c>
      <c r="F8214" s="2" t="str">
        <f>HYPERLINK("http://bbs.12365auto.com/postcontent.aspx?tID=193999","http://bbs.12365auto.com/postcontent.aspx?tID=193999")</f>
        <v>http://bbs.12365auto.com/postcontent.aspx?tID=193999</v>
      </c>
      <c r="G8214" s="2"/>
      <c r="H8214" s="2" t="s">
        <v>11220</v>
      </c>
      <c r="I8214" s="2" t="s">
        <v>15</v>
      </c>
      <c r="J8214" s="2" t="s">
        <v>1840</v>
      </c>
      <c r="K8214" s="2" t="s">
        <v>11218</v>
      </c>
      <c r="L8214" s="2">
        <f t="shared" si="128"/>
        <v>150</v>
      </c>
    </row>
    <row r="8215" spans="1:12" ht="25" customHeight="1">
      <c r="A8215" s="2" t="s">
        <v>12</v>
      </c>
      <c r="B8215" s="2" t="str">
        <f>HYPERLINK("http://bbs.12365auto.com/postcontent.aspx?tId=194000","发动机功率单位千瓦和马力有什么区别")</f>
        <v>发动机功率单位千瓦和马力有什么区别</v>
      </c>
      <c r="C8215" s="2" t="s">
        <v>13</v>
      </c>
      <c r="D8215" s="2" t="s">
        <v>12</v>
      </c>
      <c r="E8215" s="2" t="s">
        <v>27</v>
      </c>
      <c r="F8215" s="2" t="str">
        <f>HYPERLINK("http://bbs.12365auto.com/postcontent.aspx?tId=194000","http://bbs.12365auto.com/postcontent.aspx?tId=194000")</f>
        <v>http://bbs.12365auto.com/postcontent.aspx?tId=194000</v>
      </c>
      <c r="G8215" s="2"/>
      <c r="H8215" s="2" t="s">
        <v>11221</v>
      </c>
      <c r="I8215" s="2" t="s">
        <v>15</v>
      </c>
      <c r="J8215" s="2" t="s">
        <v>1840</v>
      </c>
      <c r="K8215" s="2" t="s">
        <v>11218</v>
      </c>
      <c r="L8215" s="2">
        <f t="shared" si="128"/>
        <v>150</v>
      </c>
    </row>
    <row r="8216" spans="1:12" ht="25" customHeight="1">
      <c r="A8216" s="2" t="s">
        <v>12</v>
      </c>
      <c r="B8216" s="2" t="str">
        <f>HYPERLINK("http://bbs.12365auto.com/postcontent.aspx?tId=193999","新买的车没有重新喷漆 为什么会有色差")</f>
        <v>新买的车没有重新喷漆 为什么会有色差</v>
      </c>
      <c r="C8216" s="2" t="s">
        <v>13</v>
      </c>
      <c r="D8216" s="2" t="s">
        <v>12</v>
      </c>
      <c r="E8216" s="2" t="s">
        <v>27</v>
      </c>
      <c r="F8216" s="2" t="str">
        <f>HYPERLINK("http://bbs.12365auto.com/postcontent.aspx?tId=193999","http://bbs.12365auto.com/postcontent.aspx?tId=193999")</f>
        <v>http://bbs.12365auto.com/postcontent.aspx?tId=193999</v>
      </c>
      <c r="G8216" s="2"/>
      <c r="H8216" s="2" t="s">
        <v>11222</v>
      </c>
      <c r="I8216" s="2" t="s">
        <v>15</v>
      </c>
      <c r="J8216" s="2" t="s">
        <v>1840</v>
      </c>
      <c r="K8216" s="2" t="s">
        <v>11218</v>
      </c>
      <c r="L8216" s="2">
        <f t="shared" si="128"/>
        <v>150</v>
      </c>
    </row>
    <row r="8217" spans="1:12" ht="25" customHeight="1">
      <c r="A8217" s="2" t="s">
        <v>12</v>
      </c>
      <c r="B8217" s="2" t="str">
        <f>HYPERLINK("http://m.12365auto.com/bbs/postcontent.aspx?tID=194000","发动机功率单位千瓦和马力有什么区别")</f>
        <v>发动机功率单位千瓦和马力有什么区别</v>
      </c>
      <c r="C8217" s="2" t="s">
        <v>13</v>
      </c>
      <c r="D8217" s="2" t="s">
        <v>23</v>
      </c>
      <c r="E8217" s="2"/>
      <c r="F8217" s="2" t="str">
        <f>HYPERLINK("http://m.12365auto.com/bbs/postcontent.aspx?tID=194000","http://m.12365auto.com/bbs/postcontent.aspx?tID=194000")</f>
        <v>http://m.12365auto.com/bbs/postcontent.aspx?tID=194000</v>
      </c>
      <c r="G8217" s="2"/>
      <c r="H8217" s="2" t="s">
        <v>11221</v>
      </c>
      <c r="I8217" s="2" t="s">
        <v>15</v>
      </c>
      <c r="J8217" s="2" t="s">
        <v>1840</v>
      </c>
      <c r="K8217" s="2" t="s">
        <v>11218</v>
      </c>
      <c r="L8217" s="2">
        <f t="shared" si="128"/>
        <v>150</v>
      </c>
    </row>
    <row r="8218" spans="1:12" ht="25" customHeight="1">
      <c r="A8218" s="2" t="s">
        <v>12</v>
      </c>
      <c r="B8218" s="2" t="str">
        <f>HYPERLINK("http://m.12365auto.com/bbs/postcontent.aspx?tID=193999","新买的车没有重新喷漆 为什么会有色差")</f>
        <v>新买的车没有重新喷漆 为什么会有色差</v>
      </c>
      <c r="C8218" s="2" t="s">
        <v>13</v>
      </c>
      <c r="D8218" s="2" t="s">
        <v>23</v>
      </c>
      <c r="E8218" s="2"/>
      <c r="F8218" s="2" t="str">
        <f>HYPERLINK("http://m.12365auto.com/bbs/postcontent.aspx?tID=193999","http://m.12365auto.com/bbs/postcontent.aspx?tID=193999")</f>
        <v>http://m.12365auto.com/bbs/postcontent.aspx?tID=193999</v>
      </c>
      <c r="G8218" s="2"/>
      <c r="H8218" s="2" t="s">
        <v>11222</v>
      </c>
      <c r="I8218" s="2" t="s">
        <v>15</v>
      </c>
      <c r="J8218" s="2" t="s">
        <v>1840</v>
      </c>
      <c r="K8218" s="2" t="s">
        <v>11218</v>
      </c>
      <c r="L8218" s="2">
        <f t="shared" si="128"/>
        <v>150</v>
      </c>
    </row>
    <row r="8219" spans="1:12" ht="25" customHeight="1">
      <c r="A8219" s="2" t="s">
        <v>12</v>
      </c>
      <c r="B8219" s="2" t="str">
        <f>HYPERLINK("http://bbs.12365auto.com/postcontent.aspx?tID=194000","发动机功率单位千瓦和马力有什么区别")</f>
        <v>发动机功率单位千瓦和马力有什么区别</v>
      </c>
      <c r="C8219" s="2" t="s">
        <v>13</v>
      </c>
      <c r="D8219" s="2" t="s">
        <v>12</v>
      </c>
      <c r="E8219" s="2" t="s">
        <v>28</v>
      </c>
      <c r="F8219" s="2" t="str">
        <f>HYPERLINK("http://bbs.12365auto.com/postcontent.aspx?tID=194000","http://bbs.12365auto.com/postcontent.aspx?tID=194000")</f>
        <v>http://bbs.12365auto.com/postcontent.aspx?tID=194000</v>
      </c>
      <c r="G8219" s="2"/>
      <c r="H8219" s="2" t="s">
        <v>11223</v>
      </c>
      <c r="I8219" s="2" t="s">
        <v>15</v>
      </c>
      <c r="J8219" s="2" t="s">
        <v>1840</v>
      </c>
      <c r="K8219" s="2" t="s">
        <v>11218</v>
      </c>
      <c r="L8219" s="2">
        <f t="shared" si="128"/>
        <v>150</v>
      </c>
    </row>
    <row r="8220" spans="1:12" ht="25" customHeight="1">
      <c r="A8220" s="2" t="s">
        <v>12</v>
      </c>
      <c r="B8220" s="2" t="str">
        <f>HYPERLINK("http://m.12365auto.com/xcdg/20200213/418464.shtml","让用户得到切实好处 TNGA架构的威兰达了解吗")</f>
        <v>让用户得到切实好处 TNGA架构的威兰达了解吗</v>
      </c>
      <c r="C8220" s="2" t="s">
        <v>13</v>
      </c>
      <c r="D8220" s="2" t="s">
        <v>12</v>
      </c>
      <c r="E8220" s="2"/>
      <c r="F8220" s="2" t="str">
        <f>HYPERLINK("http://m.12365auto.com/xcdg/20200213/418464.shtml","http://m.12365auto.com/xcdg/20200213/418464.shtml")</f>
        <v>http://m.12365auto.com/xcdg/20200213/418464.shtml</v>
      </c>
      <c r="G8220" s="2"/>
      <c r="H8220" s="2" t="s">
        <v>11224</v>
      </c>
      <c r="I8220" s="2" t="s">
        <v>19</v>
      </c>
      <c r="J8220" s="2" t="s">
        <v>1074</v>
      </c>
      <c r="K8220" s="2" t="s">
        <v>11225</v>
      </c>
      <c r="L8220" s="2">
        <f t="shared" si="128"/>
        <v>150</v>
      </c>
    </row>
    <row r="8221" spans="1:12" ht="25" customHeight="1">
      <c r="A8221" s="2" t="s">
        <v>12</v>
      </c>
      <c r="B8221" s="2" t="str">
        <f>HYPERLINK("http://www.12365auto.com/news/20200213/418465.shtml","Enevate全新硅主导电池技术 可大规模商业化")</f>
        <v>Enevate全新硅主导电池技术 可大规模商业化</v>
      </c>
      <c r="C8221" s="2" t="s">
        <v>13</v>
      </c>
      <c r="D8221" s="2" t="s">
        <v>12</v>
      </c>
      <c r="E8221" s="2" t="s">
        <v>276</v>
      </c>
      <c r="F8221" s="2" t="str">
        <f>HYPERLINK("http://www.12365auto.com/news/20200213/418465.shtml","http://www.12365auto.com/news/20200213/418465.shtml")</f>
        <v>http://www.12365auto.com/news/20200213/418465.shtml</v>
      </c>
      <c r="G8221" s="2"/>
      <c r="H8221" s="2" t="s">
        <v>11226</v>
      </c>
      <c r="I8221" s="2" t="s">
        <v>15</v>
      </c>
      <c r="J8221" s="2" t="s">
        <v>12</v>
      </c>
      <c r="K8221" s="2" t="s">
        <v>11225</v>
      </c>
      <c r="L8221" s="2">
        <f t="shared" si="128"/>
        <v>150</v>
      </c>
    </row>
    <row r="8222" spans="1:12" ht="25" customHeight="1">
      <c r="A8222" s="2" t="s">
        <v>12</v>
      </c>
      <c r="B8222" s="2" t="str">
        <f>HYPERLINK("http://m.12365auto.com/news/20200213/418465.shtml","Enevate全新硅主导电池技术 可大规模商业化")</f>
        <v>Enevate全新硅主导电池技术 可大规模商业化</v>
      </c>
      <c r="C8222" s="2" t="s">
        <v>13</v>
      </c>
      <c r="D8222" s="2" t="s">
        <v>12</v>
      </c>
      <c r="E8222" s="2"/>
      <c r="F8222" s="2" t="str">
        <f>HYPERLINK("http://m.12365auto.com/news/20200213/418465.shtml","http://m.12365auto.com/news/20200213/418465.shtml")</f>
        <v>http://m.12365auto.com/news/20200213/418465.shtml</v>
      </c>
      <c r="G8222" s="2"/>
      <c r="H8222" s="2" t="s">
        <v>11227</v>
      </c>
      <c r="I8222" s="2" t="s">
        <v>19</v>
      </c>
      <c r="J8222" s="2" t="s">
        <v>1036</v>
      </c>
      <c r="K8222" s="2" t="s">
        <v>11225</v>
      </c>
      <c r="L8222" s="2">
        <f t="shared" si="128"/>
        <v>150</v>
      </c>
    </row>
    <row r="8223" spans="1:12" ht="25" customHeight="1">
      <c r="A8223" s="2" t="s">
        <v>12</v>
      </c>
      <c r="B8223" s="2" t="str">
        <f>HYPERLINK("http://bbs.12365auto.com/postcontent.aspx?tID=193998","汽车水泵叶片破损的原因是什么")</f>
        <v>汽车水泵叶片破损的原因是什么</v>
      </c>
      <c r="C8223" s="2" t="s">
        <v>13</v>
      </c>
      <c r="D8223" s="2" t="s">
        <v>12</v>
      </c>
      <c r="E8223" s="2" t="s">
        <v>28</v>
      </c>
      <c r="F8223" s="2" t="str">
        <f>HYPERLINK("http://bbs.12365auto.com/postcontent.aspx?tID=193998","http://bbs.12365auto.com/postcontent.aspx?tID=193998")</f>
        <v>http://bbs.12365auto.com/postcontent.aspx?tID=193998</v>
      </c>
      <c r="G8223" s="2"/>
      <c r="H8223" s="2" t="s">
        <v>11228</v>
      </c>
      <c r="I8223" s="2" t="s">
        <v>15</v>
      </c>
      <c r="J8223" s="2" t="s">
        <v>1840</v>
      </c>
      <c r="K8223" s="2" t="s">
        <v>11225</v>
      </c>
      <c r="L8223" s="2">
        <f t="shared" si="128"/>
        <v>150</v>
      </c>
    </row>
    <row r="8224" spans="1:12" ht="25" customHeight="1">
      <c r="A8224" s="2" t="s">
        <v>12</v>
      </c>
      <c r="B8224" s="2" t="str">
        <f>HYPERLINK("http://bbs.12365auto.com/postcontent.aspx?tId=193997","都说搪塑工艺高档 什么是搪塑工艺")</f>
        <v>都说搪塑工艺高档 什么是搪塑工艺</v>
      </c>
      <c r="C8224" s="2" t="s">
        <v>13</v>
      </c>
      <c r="D8224" s="2" t="s">
        <v>12</v>
      </c>
      <c r="E8224" s="2" t="s">
        <v>27</v>
      </c>
      <c r="F8224" s="2" t="str">
        <f>HYPERLINK("http://bbs.12365auto.com/postcontent.aspx?tId=193997","http://bbs.12365auto.com/postcontent.aspx?tId=193997")</f>
        <v>http://bbs.12365auto.com/postcontent.aspx?tId=193997</v>
      </c>
      <c r="G8224" s="2"/>
      <c r="H8224" s="2" t="s">
        <v>11229</v>
      </c>
      <c r="I8224" s="2" t="s">
        <v>15</v>
      </c>
      <c r="J8224" s="2" t="s">
        <v>1840</v>
      </c>
      <c r="K8224" s="2" t="s">
        <v>11225</v>
      </c>
      <c r="L8224" s="2">
        <f t="shared" si="128"/>
        <v>150</v>
      </c>
    </row>
    <row r="8225" spans="1:12" ht="25" customHeight="1">
      <c r="A8225" s="2" t="s">
        <v>12</v>
      </c>
      <c r="B8225" s="2" t="str">
        <f>HYPERLINK("http://bbs.12365auto.com/postcontent.aspx?tId=193998","汽车水泵叶片破损的原因是什么")</f>
        <v>汽车水泵叶片破损的原因是什么</v>
      </c>
      <c r="C8225" s="2" t="s">
        <v>13</v>
      </c>
      <c r="D8225" s="2" t="s">
        <v>12</v>
      </c>
      <c r="E8225" s="2" t="s">
        <v>27</v>
      </c>
      <c r="F8225" s="2" t="str">
        <f>HYPERLINK("http://bbs.12365auto.com/postcontent.aspx?tId=193998","http://bbs.12365auto.com/postcontent.aspx?tId=193998")</f>
        <v>http://bbs.12365auto.com/postcontent.aspx?tId=193998</v>
      </c>
      <c r="G8225" s="2"/>
      <c r="H8225" s="2" t="s">
        <v>11230</v>
      </c>
      <c r="I8225" s="2" t="s">
        <v>15</v>
      </c>
      <c r="J8225" s="2" t="s">
        <v>1840</v>
      </c>
      <c r="K8225" s="2" t="s">
        <v>11225</v>
      </c>
      <c r="L8225" s="2">
        <f t="shared" si="128"/>
        <v>150</v>
      </c>
    </row>
    <row r="8226" spans="1:12" ht="25" customHeight="1">
      <c r="A8226" s="2" t="s">
        <v>12</v>
      </c>
      <c r="B8226" s="2" t="str">
        <f>HYPERLINK("http://m.12365auto.com/bbs/postcontent.aspx?tID=193998","汽车水泵叶片破损的原因是什么")</f>
        <v>汽车水泵叶片破损的原因是什么</v>
      </c>
      <c r="C8226" s="2" t="s">
        <v>13</v>
      </c>
      <c r="D8226" s="2" t="s">
        <v>23</v>
      </c>
      <c r="E8226" s="2"/>
      <c r="F8226" s="2" t="str">
        <f>HYPERLINK("http://m.12365auto.com/bbs/postcontent.aspx?tID=193998","http://m.12365auto.com/bbs/postcontent.aspx?tID=193998")</f>
        <v>http://m.12365auto.com/bbs/postcontent.aspx?tID=193998</v>
      </c>
      <c r="G8226" s="2"/>
      <c r="H8226" s="2" t="s">
        <v>11230</v>
      </c>
      <c r="I8226" s="2" t="s">
        <v>15</v>
      </c>
      <c r="J8226" s="2" t="s">
        <v>1840</v>
      </c>
      <c r="K8226" s="2" t="s">
        <v>11225</v>
      </c>
      <c r="L8226" s="2">
        <f t="shared" si="128"/>
        <v>150</v>
      </c>
    </row>
    <row r="8227" spans="1:12" ht="25" customHeight="1">
      <c r="A8227" s="2" t="s">
        <v>12</v>
      </c>
      <c r="B8227" s="2" t="str">
        <f>HYPERLINK("http://m.12365auto.com/bbs/postcontent.aspx?tID=193997","都说搪塑工艺高档 什么是搪塑工艺")</f>
        <v>都说搪塑工艺高档 什么是搪塑工艺</v>
      </c>
      <c r="C8227" s="2" t="s">
        <v>13</v>
      </c>
      <c r="D8227" s="2" t="s">
        <v>23</v>
      </c>
      <c r="E8227" s="2"/>
      <c r="F8227" s="2" t="str">
        <f>HYPERLINK("http://m.12365auto.com/bbs/postcontent.aspx?tID=193997","http://m.12365auto.com/bbs/postcontent.aspx?tID=193997")</f>
        <v>http://m.12365auto.com/bbs/postcontent.aspx?tID=193997</v>
      </c>
      <c r="G8227" s="2"/>
      <c r="H8227" s="2" t="s">
        <v>11229</v>
      </c>
      <c r="I8227" s="2" t="s">
        <v>15</v>
      </c>
      <c r="J8227" s="2" t="s">
        <v>1840</v>
      </c>
      <c r="K8227" s="2" t="s">
        <v>11225</v>
      </c>
      <c r="L8227" s="2">
        <f t="shared" si="128"/>
        <v>150</v>
      </c>
    </row>
    <row r="8228" spans="1:12" ht="25" customHeight="1">
      <c r="A8228" s="2" t="s">
        <v>12</v>
      </c>
      <c r="B8228" s="2" t="str">
        <f>HYPERLINK("http://bbs.12365auto.com/postcontent.aspx?tID=193997","都说搪塑工艺高档 什么是搪塑工艺")</f>
        <v>都说搪塑工艺高档 什么是搪塑工艺</v>
      </c>
      <c r="C8228" s="2" t="s">
        <v>13</v>
      </c>
      <c r="D8228" s="2" t="s">
        <v>12</v>
      </c>
      <c r="E8228" s="2" t="s">
        <v>28</v>
      </c>
      <c r="F8228" s="2" t="str">
        <f>HYPERLINK("http://bbs.12365auto.com/postcontent.aspx?tID=193997","http://bbs.12365auto.com/postcontent.aspx?tID=193997")</f>
        <v>http://bbs.12365auto.com/postcontent.aspx?tID=193997</v>
      </c>
      <c r="G8228" s="2"/>
      <c r="H8228" s="2" t="s">
        <v>11231</v>
      </c>
      <c r="I8228" s="2" t="s">
        <v>15</v>
      </c>
      <c r="J8228" s="2" t="s">
        <v>1840</v>
      </c>
      <c r="K8228" s="2" t="s">
        <v>11225</v>
      </c>
      <c r="L8228" s="2">
        <f t="shared" si="128"/>
        <v>150</v>
      </c>
    </row>
    <row r="8229" spans="1:12" ht="25" customHeight="1">
      <c r="A8229" s="2" t="s">
        <v>12</v>
      </c>
      <c r="B8229" s="2" t="str">
        <f>HYPERLINK("http://bbs.12365auto.com/postcontent.aspx?tID=193995","电动四驱技术与传统的四驱有何区别")</f>
        <v>电动四驱技术与传统的四驱有何区别</v>
      </c>
      <c r="C8229" s="2" t="s">
        <v>13</v>
      </c>
      <c r="D8229" s="2" t="s">
        <v>12</v>
      </c>
      <c r="E8229" s="2" t="s">
        <v>28</v>
      </c>
      <c r="F8229" s="2" t="str">
        <f>HYPERLINK("http://bbs.12365auto.com/postcontent.aspx?tID=193995","http://bbs.12365auto.com/postcontent.aspx?tID=193995")</f>
        <v>http://bbs.12365auto.com/postcontent.aspx?tID=193995</v>
      </c>
      <c r="G8229" s="2"/>
      <c r="H8229" s="2" t="s">
        <v>11232</v>
      </c>
      <c r="I8229" s="2" t="s">
        <v>15</v>
      </c>
      <c r="J8229" s="2" t="s">
        <v>1840</v>
      </c>
      <c r="K8229" s="2" t="s">
        <v>11233</v>
      </c>
      <c r="L8229" s="2">
        <f t="shared" si="128"/>
        <v>150</v>
      </c>
    </row>
    <row r="8230" spans="1:12" ht="25" customHeight="1">
      <c r="A8230" s="2" t="s">
        <v>12</v>
      </c>
      <c r="B8230" s="2" t="str">
        <f>HYPERLINK("http://bbs.12365auto.com/postcontent.aspx?tId=193996","买纯电动汽车 多长续航适合自己")</f>
        <v>买纯电动汽车 多长续航适合自己</v>
      </c>
      <c r="C8230" s="2" t="s">
        <v>13</v>
      </c>
      <c r="D8230" s="2" t="s">
        <v>12</v>
      </c>
      <c r="E8230" s="2" t="s">
        <v>27</v>
      </c>
      <c r="F8230" s="2" t="str">
        <f>HYPERLINK("http://bbs.12365auto.com/postcontent.aspx?tId=193996","http://bbs.12365auto.com/postcontent.aspx?tId=193996")</f>
        <v>http://bbs.12365auto.com/postcontent.aspx?tId=193996</v>
      </c>
      <c r="G8230" s="2"/>
      <c r="H8230" s="2" t="s">
        <v>11234</v>
      </c>
      <c r="I8230" s="2" t="s">
        <v>15</v>
      </c>
      <c r="J8230" s="2" t="s">
        <v>1840</v>
      </c>
      <c r="K8230" s="2" t="s">
        <v>11233</v>
      </c>
      <c r="L8230" s="2">
        <f t="shared" si="128"/>
        <v>150</v>
      </c>
    </row>
    <row r="8231" spans="1:12" ht="25" customHeight="1">
      <c r="A8231" s="2" t="s">
        <v>12</v>
      </c>
      <c r="B8231" s="2" t="str">
        <f>HYPERLINK("http://bbs.12365auto.com/postcontent.aspx?tId=193995","电动四驱技术与传统的四驱有何区别")</f>
        <v>电动四驱技术与传统的四驱有何区别</v>
      </c>
      <c r="C8231" s="2" t="s">
        <v>13</v>
      </c>
      <c r="D8231" s="2" t="s">
        <v>12</v>
      </c>
      <c r="E8231" s="2" t="s">
        <v>27</v>
      </c>
      <c r="F8231" s="2" t="str">
        <f>HYPERLINK("http://bbs.12365auto.com/postcontent.aspx?tId=193995","http://bbs.12365auto.com/postcontent.aspx?tId=193995")</f>
        <v>http://bbs.12365auto.com/postcontent.aspx?tId=193995</v>
      </c>
      <c r="G8231" s="2"/>
      <c r="H8231" s="2" t="s">
        <v>11235</v>
      </c>
      <c r="I8231" s="2" t="s">
        <v>15</v>
      </c>
      <c r="J8231" s="2" t="s">
        <v>1840</v>
      </c>
      <c r="K8231" s="2" t="s">
        <v>11233</v>
      </c>
      <c r="L8231" s="2">
        <f t="shared" si="128"/>
        <v>150</v>
      </c>
    </row>
    <row r="8232" spans="1:12" ht="25" customHeight="1">
      <c r="A8232" s="2" t="s">
        <v>12</v>
      </c>
      <c r="B8232" s="2" t="str">
        <f>HYPERLINK("http://m.12365auto.com/bbs/postcontent.aspx?tID=193995","电动四驱技术与传统的四驱有何区别")</f>
        <v>电动四驱技术与传统的四驱有何区别</v>
      </c>
      <c r="C8232" s="2" t="s">
        <v>13</v>
      </c>
      <c r="D8232" s="2" t="s">
        <v>23</v>
      </c>
      <c r="E8232" s="2"/>
      <c r="F8232" s="2" t="str">
        <f>HYPERLINK("http://m.12365auto.com/bbs/postcontent.aspx?tID=193995","http://m.12365auto.com/bbs/postcontent.aspx?tID=193995")</f>
        <v>http://m.12365auto.com/bbs/postcontent.aspx?tID=193995</v>
      </c>
      <c r="G8232" s="2"/>
      <c r="H8232" s="2" t="s">
        <v>11235</v>
      </c>
      <c r="I8232" s="2" t="s">
        <v>15</v>
      </c>
      <c r="J8232" s="2" t="s">
        <v>1840</v>
      </c>
      <c r="K8232" s="2" t="s">
        <v>11233</v>
      </c>
      <c r="L8232" s="2">
        <f t="shared" si="128"/>
        <v>150</v>
      </c>
    </row>
    <row r="8233" spans="1:12" ht="25" customHeight="1">
      <c r="A8233" s="2" t="s">
        <v>12</v>
      </c>
      <c r="B8233" s="2" t="str">
        <f>HYPERLINK("http://m.12365auto.com/bbs/postcontent.aspx?tID=193996","买纯电动汽车 多长续航适合自己")</f>
        <v>买纯电动汽车 多长续航适合自己</v>
      </c>
      <c r="C8233" s="2" t="s">
        <v>13</v>
      </c>
      <c r="D8233" s="2" t="s">
        <v>23</v>
      </c>
      <c r="E8233" s="2"/>
      <c r="F8233" s="2" t="str">
        <f>HYPERLINK("http://m.12365auto.com/bbs/postcontent.aspx?tID=193996","http://m.12365auto.com/bbs/postcontent.aspx?tID=193996")</f>
        <v>http://m.12365auto.com/bbs/postcontent.aspx?tID=193996</v>
      </c>
      <c r="G8233" s="2"/>
      <c r="H8233" s="2" t="s">
        <v>11234</v>
      </c>
      <c r="I8233" s="2" t="s">
        <v>15</v>
      </c>
      <c r="J8233" s="2" t="s">
        <v>1840</v>
      </c>
      <c r="K8233" s="2" t="s">
        <v>11233</v>
      </c>
      <c r="L8233" s="2">
        <f t="shared" si="128"/>
        <v>150</v>
      </c>
    </row>
    <row r="8234" spans="1:12" ht="25" customHeight="1">
      <c r="A8234" s="2" t="s">
        <v>12</v>
      </c>
      <c r="B8234" s="2" t="str">
        <f>HYPERLINK("http://bbs.12365auto.com/postcontent.aspx?tID=193996","买纯电动汽车 多长续航适合自己")</f>
        <v>买纯电动汽车 多长续航适合自己</v>
      </c>
      <c r="C8234" s="2" t="s">
        <v>13</v>
      </c>
      <c r="D8234" s="2" t="s">
        <v>12</v>
      </c>
      <c r="E8234" s="2" t="s">
        <v>28</v>
      </c>
      <c r="F8234" s="2" t="str">
        <f>HYPERLINK("http://bbs.12365auto.com/postcontent.aspx?tID=193996","http://bbs.12365auto.com/postcontent.aspx?tID=193996")</f>
        <v>http://bbs.12365auto.com/postcontent.aspx?tID=193996</v>
      </c>
      <c r="G8234" s="2"/>
      <c r="H8234" s="2" t="s">
        <v>11236</v>
      </c>
      <c r="I8234" s="2" t="s">
        <v>15</v>
      </c>
      <c r="J8234" s="2" t="s">
        <v>1840</v>
      </c>
      <c r="K8234" s="2" t="s">
        <v>11233</v>
      </c>
      <c r="L8234" s="2">
        <f t="shared" si="128"/>
        <v>150</v>
      </c>
    </row>
    <row r="8235" spans="1:12" ht="25" customHeight="1">
      <c r="A8235" s="2" t="s">
        <v>12</v>
      </c>
      <c r="B8235" s="2" t="str">
        <f>HYPERLINK("http://m.12365auto.com/xcdg/20200213/418463.shtml","意料之中 连冠销量王 五菱宏光到底好在哪儿")</f>
        <v>意料之中 连冠销量王 五菱宏光到底好在哪儿</v>
      </c>
      <c r="C8235" s="2" t="s">
        <v>13</v>
      </c>
      <c r="D8235" s="2" t="s">
        <v>12</v>
      </c>
      <c r="E8235" s="2"/>
      <c r="F8235" s="2" t="str">
        <f>HYPERLINK("http://m.12365auto.com/xcdg/20200213/418463.shtml","http://m.12365auto.com/xcdg/20200213/418463.shtml")</f>
        <v>http://m.12365auto.com/xcdg/20200213/418463.shtml</v>
      </c>
      <c r="G8235" s="2"/>
      <c r="H8235" s="2" t="s">
        <v>11237</v>
      </c>
      <c r="I8235" s="2" t="s">
        <v>19</v>
      </c>
      <c r="J8235" s="2" t="s">
        <v>1117</v>
      </c>
      <c r="K8235" s="2" t="s">
        <v>11238</v>
      </c>
      <c r="L8235" s="2">
        <f t="shared" si="128"/>
        <v>150</v>
      </c>
    </row>
    <row r="8236" spans="1:12" ht="25" customHeight="1">
      <c r="A8236" s="2" t="s">
        <v>12</v>
      </c>
      <c r="B8236" s="2" t="str">
        <f>HYPERLINK("http://bbs.12365auto.com/postcontent.aspx?tID=193993","“立扫把挑战”你试了吗 来看看那些汽车真相")</f>
        <v>“立扫把挑战”你试了吗 来看看那些汽车真相</v>
      </c>
      <c r="C8236" s="2" t="s">
        <v>13</v>
      </c>
      <c r="D8236" s="2" t="s">
        <v>12</v>
      </c>
      <c r="E8236" s="2" t="s">
        <v>28</v>
      </c>
      <c r="F8236" s="2" t="str">
        <f>HYPERLINK("http://bbs.12365auto.com/postcontent.aspx?tID=193993","http://bbs.12365auto.com/postcontent.aspx?tID=193993")</f>
        <v>http://bbs.12365auto.com/postcontent.aspx?tID=193993</v>
      </c>
      <c r="G8236" s="2"/>
      <c r="H8236" s="2" t="s">
        <v>11239</v>
      </c>
      <c r="I8236" s="2" t="s">
        <v>15</v>
      </c>
      <c r="J8236" s="2" t="s">
        <v>1840</v>
      </c>
      <c r="K8236" s="2" t="s">
        <v>11238</v>
      </c>
      <c r="L8236" s="2">
        <f t="shared" si="128"/>
        <v>150</v>
      </c>
    </row>
    <row r="8237" spans="1:12" ht="25" customHeight="1">
      <c r="A8237" s="2" t="s">
        <v>12</v>
      </c>
      <c r="B8237" s="2" t="str">
        <f>HYPERLINK("http://bbs.12365auto.com/postcontent.aspx?tId=193993","“立扫把挑战”你试了吗 来看看那些汽车真相")</f>
        <v>“立扫把挑战”你试了吗 来看看那些汽车真相</v>
      </c>
      <c r="C8237" s="2" t="s">
        <v>13</v>
      </c>
      <c r="D8237" s="2" t="s">
        <v>12</v>
      </c>
      <c r="E8237" s="2" t="s">
        <v>27</v>
      </c>
      <c r="F8237" s="2" t="str">
        <f>HYPERLINK("http://bbs.12365auto.com/postcontent.aspx?tId=193993","http://bbs.12365auto.com/postcontent.aspx?tId=193993")</f>
        <v>http://bbs.12365auto.com/postcontent.aspx?tId=193993</v>
      </c>
      <c r="G8237" s="2"/>
      <c r="H8237" s="2" t="s">
        <v>11240</v>
      </c>
      <c r="I8237" s="2" t="s">
        <v>15</v>
      </c>
      <c r="J8237" s="2" t="s">
        <v>1840</v>
      </c>
      <c r="K8237" s="2" t="s">
        <v>11238</v>
      </c>
      <c r="L8237" s="2">
        <f t="shared" si="128"/>
        <v>150</v>
      </c>
    </row>
    <row r="8238" spans="1:12" ht="25" customHeight="1">
      <c r="A8238" s="2" t="s">
        <v>12</v>
      </c>
      <c r="B8238" s="2" t="str">
        <f>HYPERLINK("http://bbs.12365auto.com/postcontent.aspx?tId=193994","电池进步到底有多难 还有哪些突破空间")</f>
        <v>电池进步到底有多难 还有哪些突破空间</v>
      </c>
      <c r="C8238" s="2" t="s">
        <v>13</v>
      </c>
      <c r="D8238" s="2" t="s">
        <v>12</v>
      </c>
      <c r="E8238" s="2" t="s">
        <v>27</v>
      </c>
      <c r="F8238" s="2" t="str">
        <f>HYPERLINK("http://bbs.12365auto.com/postcontent.aspx?tId=193994","http://bbs.12365auto.com/postcontent.aspx?tId=193994")</f>
        <v>http://bbs.12365auto.com/postcontent.aspx?tId=193994</v>
      </c>
      <c r="G8238" s="2"/>
      <c r="H8238" s="2" t="s">
        <v>11241</v>
      </c>
      <c r="I8238" s="2" t="s">
        <v>15</v>
      </c>
      <c r="J8238" s="2" t="s">
        <v>1840</v>
      </c>
      <c r="K8238" s="2" t="s">
        <v>11238</v>
      </c>
      <c r="L8238" s="2">
        <f t="shared" si="128"/>
        <v>150</v>
      </c>
    </row>
    <row r="8239" spans="1:12" ht="25" customHeight="1">
      <c r="A8239" s="2" t="s">
        <v>12</v>
      </c>
      <c r="B8239" s="2" t="str">
        <f>HYPERLINK("http://m.12365auto.com/bbs/postcontent.aspx?tID=193994","电池进步到底有多难 还有哪些突破空间")</f>
        <v>电池进步到底有多难 还有哪些突破空间</v>
      </c>
      <c r="C8239" s="2" t="s">
        <v>13</v>
      </c>
      <c r="D8239" s="2" t="s">
        <v>23</v>
      </c>
      <c r="E8239" s="2"/>
      <c r="F8239" s="2" t="str">
        <f>HYPERLINK("http://m.12365auto.com/bbs/postcontent.aspx?tID=193994","http://m.12365auto.com/bbs/postcontent.aspx?tID=193994")</f>
        <v>http://m.12365auto.com/bbs/postcontent.aspx?tID=193994</v>
      </c>
      <c r="G8239" s="2"/>
      <c r="H8239" s="2" t="s">
        <v>11241</v>
      </c>
      <c r="I8239" s="2" t="s">
        <v>15</v>
      </c>
      <c r="J8239" s="2" t="s">
        <v>1840</v>
      </c>
      <c r="K8239" s="2" t="s">
        <v>11238</v>
      </c>
      <c r="L8239" s="2">
        <f t="shared" si="128"/>
        <v>150</v>
      </c>
    </row>
    <row r="8240" spans="1:12" ht="25" customHeight="1">
      <c r="A8240" s="2" t="s">
        <v>12</v>
      </c>
      <c r="B8240" s="2" t="str">
        <f>HYPERLINK("http://m.12365auto.com/bbs/postcontent.aspx?tID=193993","“立扫把挑战”你试了吗 来看看那些汽车真相")</f>
        <v>“立扫把挑战”你试了吗 来看看那些汽车真相</v>
      </c>
      <c r="C8240" s="2" t="s">
        <v>13</v>
      </c>
      <c r="D8240" s="2" t="s">
        <v>23</v>
      </c>
      <c r="E8240" s="2"/>
      <c r="F8240" s="2" t="str">
        <f>HYPERLINK("http://m.12365auto.com/bbs/postcontent.aspx?tID=193993","http://m.12365auto.com/bbs/postcontent.aspx?tID=193993")</f>
        <v>http://m.12365auto.com/bbs/postcontent.aspx?tID=193993</v>
      </c>
      <c r="G8240" s="2"/>
      <c r="H8240" s="2" t="s">
        <v>11240</v>
      </c>
      <c r="I8240" s="2" t="s">
        <v>15</v>
      </c>
      <c r="J8240" s="2" t="s">
        <v>1840</v>
      </c>
      <c r="K8240" s="2" t="s">
        <v>11238</v>
      </c>
      <c r="L8240" s="2">
        <f t="shared" si="128"/>
        <v>150</v>
      </c>
    </row>
    <row r="8241" spans="1:12" ht="25" customHeight="1">
      <c r="A8241" s="2" t="s">
        <v>12</v>
      </c>
      <c r="B8241" s="2" t="str">
        <f>HYPERLINK("http://bbs.12365auto.com/postcontent.aspx?tID=193994","电池进步到底有多难 还有哪些突破空间")</f>
        <v>电池进步到底有多难 还有哪些突破空间</v>
      </c>
      <c r="C8241" s="2" t="s">
        <v>13</v>
      </c>
      <c r="D8241" s="2" t="s">
        <v>12</v>
      </c>
      <c r="E8241" s="2" t="s">
        <v>28</v>
      </c>
      <c r="F8241" s="2" t="str">
        <f>HYPERLINK("http://bbs.12365auto.com/postcontent.aspx?tID=193994","http://bbs.12365auto.com/postcontent.aspx?tID=193994")</f>
        <v>http://bbs.12365auto.com/postcontent.aspx?tID=193994</v>
      </c>
      <c r="G8241" s="2"/>
      <c r="H8241" s="2" t="s">
        <v>11242</v>
      </c>
      <c r="I8241" s="2" t="s">
        <v>15</v>
      </c>
      <c r="J8241" s="2" t="s">
        <v>1840</v>
      </c>
      <c r="K8241" s="2" t="s">
        <v>11238</v>
      </c>
      <c r="L8241" s="2">
        <f t="shared" si="128"/>
        <v>150</v>
      </c>
    </row>
    <row r="8242" spans="1:12" ht="25" customHeight="1">
      <c r="A8242" s="2" t="s">
        <v>12</v>
      </c>
      <c r="B8242" s="2" t="str">
        <f>HYPERLINK("http://bbs.12365auto.com/postcontent.aspx?tId=193992","汽车轮毂日常该怎么保养")</f>
        <v>汽车轮毂日常该怎么保养</v>
      </c>
      <c r="C8242" s="2" t="s">
        <v>13</v>
      </c>
      <c r="D8242" s="2" t="s">
        <v>12</v>
      </c>
      <c r="E8242" s="2" t="s">
        <v>27</v>
      </c>
      <c r="F8242" s="2" t="str">
        <f>HYPERLINK("http://bbs.12365auto.com/postcontent.aspx?tId=193992","http://bbs.12365auto.com/postcontent.aspx?tId=193992")</f>
        <v>http://bbs.12365auto.com/postcontent.aspx?tId=193992</v>
      </c>
      <c r="G8242" s="2"/>
      <c r="H8242" s="2" t="s">
        <v>11243</v>
      </c>
      <c r="I8242" s="2" t="s">
        <v>15</v>
      </c>
      <c r="J8242" s="2" t="s">
        <v>1840</v>
      </c>
      <c r="K8242" s="2" t="s">
        <v>11244</v>
      </c>
      <c r="L8242" s="2">
        <f t="shared" si="128"/>
        <v>150</v>
      </c>
    </row>
    <row r="8243" spans="1:12" ht="25" customHeight="1">
      <c r="A8243" s="2" t="s">
        <v>12</v>
      </c>
      <c r="B8243" s="2" t="str">
        <f>HYPERLINK("http://m.12365auto.com/bbs/postcontent.aspx?tID=193992","汽车轮毂日常该怎么保养")</f>
        <v>汽车轮毂日常该怎么保养</v>
      </c>
      <c r="C8243" s="2" t="s">
        <v>13</v>
      </c>
      <c r="D8243" s="2" t="s">
        <v>23</v>
      </c>
      <c r="E8243" s="2"/>
      <c r="F8243" s="2" t="str">
        <f>HYPERLINK("http://m.12365auto.com/bbs/postcontent.aspx?tID=193992","http://m.12365auto.com/bbs/postcontent.aspx?tID=193992")</f>
        <v>http://m.12365auto.com/bbs/postcontent.aspx?tID=193992</v>
      </c>
      <c r="G8243" s="2"/>
      <c r="H8243" s="2" t="s">
        <v>11243</v>
      </c>
      <c r="I8243" s="2" t="s">
        <v>15</v>
      </c>
      <c r="J8243" s="2" t="s">
        <v>1840</v>
      </c>
      <c r="K8243" s="2" t="s">
        <v>11244</v>
      </c>
      <c r="L8243" s="2">
        <f t="shared" si="128"/>
        <v>150</v>
      </c>
    </row>
    <row r="8244" spans="1:12" ht="25" customHeight="1">
      <c r="A8244" s="2" t="s">
        <v>12</v>
      </c>
      <c r="B8244" s="2" t="str">
        <f>HYPERLINK("http://bbs.12365auto.com/postcontent.aspx?tID=193992","汽车轮毂日常该怎么保养")</f>
        <v>汽车轮毂日常该怎么保养</v>
      </c>
      <c r="C8244" s="2" t="s">
        <v>13</v>
      </c>
      <c r="D8244" s="2" t="s">
        <v>12</v>
      </c>
      <c r="E8244" s="2" t="s">
        <v>28</v>
      </c>
      <c r="F8244" s="2" t="str">
        <f>HYPERLINK("http://bbs.12365auto.com/postcontent.aspx?tID=193992","http://bbs.12365auto.com/postcontent.aspx?tID=193992")</f>
        <v>http://bbs.12365auto.com/postcontent.aspx?tID=193992</v>
      </c>
      <c r="G8244" s="2"/>
      <c r="H8244" s="2" t="s">
        <v>11245</v>
      </c>
      <c r="I8244" s="2" t="s">
        <v>15</v>
      </c>
      <c r="J8244" s="2" t="s">
        <v>1840</v>
      </c>
      <c r="K8244" s="2" t="s">
        <v>11244</v>
      </c>
      <c r="L8244" s="2">
        <f t="shared" si="128"/>
        <v>150</v>
      </c>
    </row>
    <row r="8245" spans="1:12" ht="25" customHeight="1">
      <c r="A8245" s="2" t="s">
        <v>12</v>
      </c>
      <c r="B8245" s="2" t="str">
        <f>HYPERLINK("http://m.12365auto.com/xcdg/20200213/418462.shtml","布加迪Chiron推新限量版 将于3月3日发布")</f>
        <v>布加迪Chiron推新限量版 将于3月3日发布</v>
      </c>
      <c r="C8245" s="2" t="s">
        <v>13</v>
      </c>
      <c r="D8245" s="2" t="s">
        <v>12</v>
      </c>
      <c r="E8245" s="2"/>
      <c r="F8245" s="2" t="str">
        <f>HYPERLINK("http://m.12365auto.com/xcdg/20200213/418462.shtml","http://m.12365auto.com/xcdg/20200213/418462.shtml")</f>
        <v>http://m.12365auto.com/xcdg/20200213/418462.shtml</v>
      </c>
      <c r="G8245" s="2"/>
      <c r="H8245" s="2" t="s">
        <v>11246</v>
      </c>
      <c r="I8245" s="2" t="s">
        <v>19</v>
      </c>
      <c r="J8245" s="2" t="s">
        <v>1105</v>
      </c>
      <c r="K8245" s="2" t="s">
        <v>11247</v>
      </c>
      <c r="L8245" s="2">
        <f t="shared" si="128"/>
        <v>150</v>
      </c>
    </row>
    <row r="8246" spans="1:12" ht="25" customHeight="1">
      <c r="A8246" s="2" t="s">
        <v>12</v>
      </c>
      <c r="B8246" s="2" t="str">
        <f>HYPERLINK("http://www.12365auto.com/zlts/20200213/447086.shtml","奇瑞瑞虎8大灯照射盲区大影响行车安全")</f>
        <v>奇瑞瑞虎8大灯照射盲区大影响行车安全</v>
      </c>
      <c r="C8246" s="2" t="s">
        <v>13</v>
      </c>
      <c r="D8246" s="2" t="s">
        <v>12</v>
      </c>
      <c r="E8246" s="2" t="s">
        <v>17</v>
      </c>
      <c r="F8246" s="2" t="str">
        <f>HYPERLINK("http://www.12365auto.com/zlts/20200213/447086.shtml","http://www.12365auto.com/zlts/20200213/447086.shtml")</f>
        <v>http://www.12365auto.com/zlts/20200213/447086.shtml</v>
      </c>
      <c r="G8246" s="2"/>
      <c r="H8246" s="2" t="s">
        <v>11248</v>
      </c>
      <c r="I8246" s="2" t="s">
        <v>15</v>
      </c>
      <c r="J8246" s="2" t="s">
        <v>12</v>
      </c>
      <c r="K8246" s="2" t="s">
        <v>11247</v>
      </c>
      <c r="L8246" s="2">
        <f t="shared" si="128"/>
        <v>150</v>
      </c>
    </row>
    <row r="8247" spans="1:12" ht="25" customHeight="1">
      <c r="A8247" s="2" t="s">
        <v>12</v>
      </c>
      <c r="B8247" s="2" t="str">
        <f>HYPERLINK("http://www.12365auto.com/xcdg/20200213/418462.shtml","布加迪Chiron推新限量版 将于3月3日发布")</f>
        <v>布加迪Chiron推新限量版 将于3月3日发布</v>
      </c>
      <c r="C8247" s="2" t="s">
        <v>13</v>
      </c>
      <c r="D8247" s="2" t="s">
        <v>12</v>
      </c>
      <c r="E8247" s="2" t="s">
        <v>216</v>
      </c>
      <c r="F8247" s="2" t="str">
        <f>HYPERLINK("http://www.12365auto.com/xcdg/20200213/418462.shtml","http://www.12365auto.com/xcdg/20200213/418462.shtml")</f>
        <v>http://www.12365auto.com/xcdg/20200213/418462.shtml</v>
      </c>
      <c r="G8247" s="2"/>
      <c r="H8247" s="2" t="s">
        <v>11249</v>
      </c>
      <c r="I8247" s="2" t="s">
        <v>15</v>
      </c>
      <c r="J8247" s="2" t="s">
        <v>12</v>
      </c>
      <c r="K8247" s="2" t="s">
        <v>11247</v>
      </c>
      <c r="L8247" s="2">
        <f t="shared" si="128"/>
        <v>150</v>
      </c>
    </row>
    <row r="8248" spans="1:12" ht="25" customHeight="1">
      <c r="A8248" s="2" t="s">
        <v>12</v>
      </c>
      <c r="B8248" s="2" t="str">
        <f>HYPERLINK("http://www.12365auto.com/zlts/20200213/447087.shtml","北京现代索纳塔八发动机拉缸售后不予解决")</f>
        <v>北京现代索纳塔八发动机拉缸售后不予解决</v>
      </c>
      <c r="C8248" s="2" t="s">
        <v>13</v>
      </c>
      <c r="D8248" s="2" t="s">
        <v>12</v>
      </c>
      <c r="E8248" s="2" t="s">
        <v>17</v>
      </c>
      <c r="F8248" s="2" t="str">
        <f>HYPERLINK("http://www.12365auto.com/zlts/20200213/447087.shtml","http://www.12365auto.com/zlts/20200213/447087.shtml")</f>
        <v>http://www.12365auto.com/zlts/20200213/447087.shtml</v>
      </c>
      <c r="G8248" s="2"/>
      <c r="H8248" s="2" t="s">
        <v>11250</v>
      </c>
      <c r="I8248" s="2" t="s">
        <v>19</v>
      </c>
      <c r="J8248" s="2" t="s">
        <v>12</v>
      </c>
      <c r="K8248" s="2" t="s">
        <v>11247</v>
      </c>
      <c r="L8248" s="2">
        <f t="shared" si="128"/>
        <v>150</v>
      </c>
    </row>
    <row r="8249" spans="1:12" ht="25" customHeight="1">
      <c r="A8249" s="2" t="s">
        <v>12</v>
      </c>
      <c r="B8249" s="2" t="str">
        <f>HYPERLINK("http://m.12365auto.com/xcdg/20200213/418461.shtml","多种动力总成可选 名爵Hector Plus印度首发")</f>
        <v>多种动力总成可选 名爵Hector Plus印度首发</v>
      </c>
      <c r="C8249" s="2" t="s">
        <v>13</v>
      </c>
      <c r="D8249" s="2" t="s">
        <v>12</v>
      </c>
      <c r="E8249" s="2"/>
      <c r="F8249" s="2" t="str">
        <f>HYPERLINK("http://m.12365auto.com/xcdg/20200213/418461.shtml","http://m.12365auto.com/xcdg/20200213/418461.shtml")</f>
        <v>http://m.12365auto.com/xcdg/20200213/418461.shtml</v>
      </c>
      <c r="G8249" s="2"/>
      <c r="H8249" s="2" t="s">
        <v>11251</v>
      </c>
      <c r="I8249" s="2" t="s">
        <v>19</v>
      </c>
      <c r="J8249" s="2" t="s">
        <v>238</v>
      </c>
      <c r="K8249" s="2" t="s">
        <v>11252</v>
      </c>
      <c r="L8249" s="2">
        <f t="shared" si="128"/>
        <v>150</v>
      </c>
    </row>
    <row r="8250" spans="1:12" ht="25" customHeight="1">
      <c r="A8250" s="2" t="s">
        <v>12</v>
      </c>
      <c r="B8250" s="2" t="str">
        <f>HYPERLINK("http://www.12365auto.com/xcdg/20200213/418461.shtml","多种动力总成可选 名爵Hector Plus印度首发")</f>
        <v>多种动力总成可选 名爵Hector Plus印度首发</v>
      </c>
      <c r="C8250" s="2" t="s">
        <v>13</v>
      </c>
      <c r="D8250" s="2" t="s">
        <v>12</v>
      </c>
      <c r="E8250" s="2" t="s">
        <v>216</v>
      </c>
      <c r="F8250" s="2" t="str">
        <f>HYPERLINK("http://www.12365auto.com/xcdg/20200213/418461.shtml","http://www.12365auto.com/xcdg/20200213/418461.shtml")</f>
        <v>http://www.12365auto.com/xcdg/20200213/418461.shtml</v>
      </c>
      <c r="G8250" s="2"/>
      <c r="H8250" s="2" t="s">
        <v>11253</v>
      </c>
      <c r="I8250" s="2" t="s">
        <v>15</v>
      </c>
      <c r="J8250" s="2" t="s">
        <v>12</v>
      </c>
      <c r="K8250" s="2" t="s">
        <v>11252</v>
      </c>
      <c r="L8250" s="2">
        <f t="shared" si="128"/>
        <v>150</v>
      </c>
    </row>
    <row r="8251" spans="1:12" ht="25" customHeight="1">
      <c r="A8251" s="2" t="s">
        <v>12</v>
      </c>
      <c r="B8251" s="2" t="str">
        <f>HYPERLINK("http://www.12365auto.com/zlts/20200213/447077.shtml","别克英朗热车行驶时发动机哒哒异响")</f>
        <v>别克英朗热车行驶时发动机哒哒异响</v>
      </c>
      <c r="C8251" s="2" t="s">
        <v>13</v>
      </c>
      <c r="D8251" s="2" t="s">
        <v>12</v>
      </c>
      <c r="E8251" s="2"/>
      <c r="F8251" s="2" t="str">
        <f>HYPERLINK("http://www.12365auto.com/zlts/20200213/447077.shtml","http://www.12365auto.com/zlts/20200213/447077.shtml")</f>
        <v>http://www.12365auto.com/zlts/20200213/447077.shtml</v>
      </c>
      <c r="G8251" s="2"/>
      <c r="H8251" s="2" t="s">
        <v>11255</v>
      </c>
      <c r="I8251" s="2" t="s">
        <v>15</v>
      </c>
      <c r="J8251" s="2" t="s">
        <v>12</v>
      </c>
      <c r="K8251" s="2" t="s">
        <v>11254</v>
      </c>
      <c r="L8251" s="2">
        <f t="shared" si="128"/>
        <v>87</v>
      </c>
    </row>
    <row r="8252" spans="1:12" ht="25" customHeight="1">
      <c r="A8252" s="2" t="s">
        <v>12</v>
      </c>
      <c r="B8252" s="2" t="str">
        <f>HYPERLINK("http://www.12365auto.com/zlts/20200213/447085.shtml","一汽大众奥迪Q5L发动机异响无配件提供")</f>
        <v>一汽大众奥迪Q5L发动机异响无配件提供</v>
      </c>
      <c r="C8252" s="2" t="s">
        <v>13</v>
      </c>
      <c r="D8252" s="2" t="s">
        <v>12</v>
      </c>
      <c r="E8252" s="2" t="s">
        <v>17</v>
      </c>
      <c r="F8252" s="2" t="str">
        <f>HYPERLINK("http://www.12365auto.com/zlts/20200213/447085.shtml","http://www.12365auto.com/zlts/20200213/447085.shtml")</f>
        <v>http://www.12365auto.com/zlts/20200213/447085.shtml</v>
      </c>
      <c r="G8252" s="2"/>
      <c r="H8252" s="2" t="s">
        <v>11256</v>
      </c>
      <c r="I8252" s="2" t="s">
        <v>19</v>
      </c>
      <c r="J8252" s="2" t="s">
        <v>12</v>
      </c>
      <c r="K8252" s="2" t="s">
        <v>11257</v>
      </c>
      <c r="L8252" s="2">
        <f t="shared" si="128"/>
        <v>150</v>
      </c>
    </row>
    <row r="8253" spans="1:12" ht="25" customHeight="1">
      <c r="A8253" s="2" t="s">
        <v>12</v>
      </c>
      <c r="B8253" s="2" t="str">
        <f>HYPERLINK("http://www.12365auto.com/zlts/20200213/447084.shtml","长安奔奔MIN行驶时转向卡滞 打方向沉重")</f>
        <v>长安奔奔MIN行驶时转向卡滞 打方向沉重</v>
      </c>
      <c r="C8253" s="2" t="s">
        <v>13</v>
      </c>
      <c r="D8253" s="2" t="s">
        <v>12</v>
      </c>
      <c r="E8253" s="2" t="s">
        <v>17</v>
      </c>
      <c r="F8253" s="2" t="str">
        <f>HYPERLINK("http://www.12365auto.com/zlts/20200213/447084.shtml","http://www.12365auto.com/zlts/20200213/447084.shtml")</f>
        <v>http://www.12365auto.com/zlts/20200213/447084.shtml</v>
      </c>
      <c r="G8253" s="2"/>
      <c r="H8253" s="2" t="s">
        <v>11258</v>
      </c>
      <c r="I8253" s="2" t="s">
        <v>19</v>
      </c>
      <c r="J8253" s="2" t="s">
        <v>12</v>
      </c>
      <c r="K8253" s="2" t="s">
        <v>11257</v>
      </c>
      <c r="L8253" s="2">
        <f t="shared" si="128"/>
        <v>150</v>
      </c>
    </row>
    <row r="8254" spans="1:12" ht="25" customHeight="1">
      <c r="A8254" s="2" t="s">
        <v>12</v>
      </c>
      <c r="B8254" s="2" t="str">
        <f>HYPERLINK("http://m.12365auto.com/xcdg/20200213/418460.shtml","跟Model 3比谁好看？小鹏P7量产实车曝光")</f>
        <v>跟Model 3比谁好看？小鹏P7量产实车曝光</v>
      </c>
      <c r="C8254" s="2" t="s">
        <v>13</v>
      </c>
      <c r="D8254" s="2" t="s">
        <v>12</v>
      </c>
      <c r="E8254" s="2"/>
      <c r="F8254" s="2" t="str">
        <f>HYPERLINK("http://m.12365auto.com/xcdg/20200213/418460.shtml","http://m.12365auto.com/xcdg/20200213/418460.shtml")</f>
        <v>http://m.12365auto.com/xcdg/20200213/418460.shtml</v>
      </c>
      <c r="G8254" s="2"/>
      <c r="H8254" s="2" t="s">
        <v>11259</v>
      </c>
      <c r="I8254" s="2" t="s">
        <v>19</v>
      </c>
      <c r="J8254" s="2" t="s">
        <v>1094</v>
      </c>
      <c r="K8254" s="2" t="s">
        <v>11260</v>
      </c>
      <c r="L8254" s="2">
        <f t="shared" si="128"/>
        <v>150</v>
      </c>
    </row>
    <row r="8255" spans="1:12" ht="25" customHeight="1">
      <c r="A8255" s="2" t="s">
        <v>12</v>
      </c>
      <c r="B8255" s="2" t="str">
        <f>HYPERLINK("http://www.12365auto.com/xcdg/20200213/418460.shtml","跟Model 3比谁好看？小鹏P7量产实车曝光")</f>
        <v>跟Model 3比谁好看？小鹏P7量产实车曝光</v>
      </c>
      <c r="C8255" s="2" t="s">
        <v>13</v>
      </c>
      <c r="D8255" s="2" t="s">
        <v>12</v>
      </c>
      <c r="E8255" s="2" t="s">
        <v>216</v>
      </c>
      <c r="F8255" s="2" t="str">
        <f>HYPERLINK("http://www.12365auto.com/xcdg/20200213/418460.shtml","http://www.12365auto.com/xcdg/20200213/418460.shtml")</f>
        <v>http://www.12365auto.com/xcdg/20200213/418460.shtml</v>
      </c>
      <c r="G8255" s="2"/>
      <c r="H8255" s="2" t="s">
        <v>11261</v>
      </c>
      <c r="I8255" s="2" t="s">
        <v>15</v>
      </c>
      <c r="J8255" s="2" t="s">
        <v>12</v>
      </c>
      <c r="K8255" s="2" t="s">
        <v>11260</v>
      </c>
      <c r="L8255" s="2">
        <f t="shared" si="128"/>
        <v>150</v>
      </c>
    </row>
    <row r="8256" spans="1:12" ht="25" customHeight="1">
      <c r="A8256" s="2" t="s">
        <v>12</v>
      </c>
      <c r="B8256" s="2" t="str">
        <f>HYPERLINK("http://m.12365auto.com/xcdg/20200213/418459.shtml","先下手为强 瑞虎7/7PRO预售买哪个更值？")</f>
        <v>先下手为强 瑞虎7/7PRO预售买哪个更值？</v>
      </c>
      <c r="C8256" s="2" t="s">
        <v>13</v>
      </c>
      <c r="D8256" s="2" t="s">
        <v>12</v>
      </c>
      <c r="E8256" s="2"/>
      <c r="F8256" s="2" t="str">
        <f>HYPERLINK("http://m.12365auto.com/xcdg/20200213/418459.shtml","http://m.12365auto.com/xcdg/20200213/418459.shtml")</f>
        <v>http://m.12365auto.com/xcdg/20200213/418459.shtml</v>
      </c>
      <c r="G8256" s="2"/>
      <c r="H8256" s="2" t="s">
        <v>11262</v>
      </c>
      <c r="I8256" s="2" t="s">
        <v>19</v>
      </c>
      <c r="J8256" s="2" t="s">
        <v>5854</v>
      </c>
      <c r="K8256" s="2" t="s">
        <v>11263</v>
      </c>
      <c r="L8256" s="2">
        <f t="shared" si="128"/>
        <v>150</v>
      </c>
    </row>
    <row r="8257" spans="1:12" ht="25" customHeight="1">
      <c r="A8257" s="2" t="s">
        <v>12</v>
      </c>
      <c r="B8257" s="2" t="str">
        <f>HYPERLINK("http://www.12365auto.com/zlts/20200213/447083.shtml","行车电脑长亮ASC强制关闭的故障灯")</f>
        <v>行车电脑长亮ASC强制关闭的故障灯</v>
      </c>
      <c r="C8257" s="2" t="s">
        <v>13</v>
      </c>
      <c r="D8257" s="2" t="s">
        <v>12</v>
      </c>
      <c r="E8257" s="2"/>
      <c r="F8257" s="2" t="str">
        <f>HYPERLINK("http://www.12365auto.com/zlts/20200213/447083.shtml","http://www.12365auto.com/zlts/20200213/447083.shtml")</f>
        <v>http://www.12365auto.com/zlts/20200213/447083.shtml</v>
      </c>
      <c r="G8257" s="2"/>
      <c r="H8257" s="2" t="s">
        <v>11265</v>
      </c>
      <c r="I8257" s="2" t="s">
        <v>15</v>
      </c>
      <c r="J8257" s="2" t="s">
        <v>12</v>
      </c>
      <c r="K8257" s="2" t="s">
        <v>11264</v>
      </c>
      <c r="L8257" s="2">
        <f t="shared" si="128"/>
        <v>82</v>
      </c>
    </row>
    <row r="8258" spans="1:12" ht="25" customHeight="1">
      <c r="A8258" s="2" t="s">
        <v>12</v>
      </c>
      <c r="B8258" s="2" t="str">
        <f>HYPERLINK("http://www.12365auto.com/news/20200213/418458.shtml","现代利用Canoo滑板式架构研发纯电动平台")</f>
        <v>现代利用Canoo滑板式架构研发纯电动平台</v>
      </c>
      <c r="C8258" s="2" t="s">
        <v>13</v>
      </c>
      <c r="D8258" s="2" t="s">
        <v>12</v>
      </c>
      <c r="E8258" s="2" t="s">
        <v>282</v>
      </c>
      <c r="F8258" s="2" t="str">
        <f>HYPERLINK("http://www.12365auto.com/news/20200213/418458.shtml","http://www.12365auto.com/news/20200213/418458.shtml")</f>
        <v>http://www.12365auto.com/news/20200213/418458.shtml</v>
      </c>
      <c r="G8258" s="2"/>
      <c r="H8258" s="2" t="s">
        <v>11266</v>
      </c>
      <c r="I8258" s="2" t="s">
        <v>19</v>
      </c>
      <c r="J8258" s="2" t="s">
        <v>12</v>
      </c>
      <c r="K8258" s="2" t="s">
        <v>11267</v>
      </c>
      <c r="L8258" s="2">
        <f t="shared" si="128"/>
        <v>150</v>
      </c>
    </row>
    <row r="8259" spans="1:12" ht="25" customHeight="1">
      <c r="A8259" s="2" t="s">
        <v>12</v>
      </c>
      <c r="B8259" s="2" t="str">
        <f>HYPERLINK("http://m.12365auto.com/news/20200213/418458.shtml","现代利用Canoo滑板式架构研发纯电动平台")</f>
        <v>现代利用Canoo滑板式架构研发纯电动平台</v>
      </c>
      <c r="C8259" s="2" t="s">
        <v>13</v>
      </c>
      <c r="D8259" s="2" t="s">
        <v>12</v>
      </c>
      <c r="E8259" s="2"/>
      <c r="F8259" s="2" t="str">
        <f>HYPERLINK("http://m.12365auto.com/news/20200213/418458.shtml","http://m.12365auto.com/news/20200213/418458.shtml")</f>
        <v>http://m.12365auto.com/news/20200213/418458.shtml</v>
      </c>
      <c r="G8259" s="2"/>
      <c r="H8259" s="2" t="s">
        <v>11268</v>
      </c>
      <c r="I8259" s="2" t="s">
        <v>19</v>
      </c>
      <c r="J8259" s="2" t="s">
        <v>1029</v>
      </c>
      <c r="K8259" s="2" t="s">
        <v>11267</v>
      </c>
      <c r="L8259" s="2">
        <f t="shared" ref="L8259:L8322" si="129">LEN(H8259)</f>
        <v>150</v>
      </c>
    </row>
    <row r="8260" spans="1:12" ht="25" customHeight="1">
      <c r="A8260" s="2" t="s">
        <v>12</v>
      </c>
      <c r="B8260" s="2" t="str">
        <f>HYPERLINK("http://www.12365auto.com/news/20200213/418457.shtml","大众零部件公司与意昂合作快速充电站")</f>
        <v>大众零部件公司与意昂合作快速充电站</v>
      </c>
      <c r="C8260" s="2" t="s">
        <v>13</v>
      </c>
      <c r="D8260" s="2" t="s">
        <v>12</v>
      </c>
      <c r="E8260" s="2" t="s">
        <v>282</v>
      </c>
      <c r="F8260" s="2" t="str">
        <f>HYPERLINK("http://www.12365auto.com/news/20200213/418457.shtml","http://www.12365auto.com/news/20200213/418457.shtml")</f>
        <v>http://www.12365auto.com/news/20200213/418457.shtml</v>
      </c>
      <c r="G8260" s="2"/>
      <c r="H8260" s="2" t="s">
        <v>11269</v>
      </c>
      <c r="I8260" s="2" t="s">
        <v>19</v>
      </c>
      <c r="J8260" s="2" t="s">
        <v>12</v>
      </c>
      <c r="K8260" s="2" t="s">
        <v>11270</v>
      </c>
      <c r="L8260" s="2">
        <f t="shared" si="129"/>
        <v>150</v>
      </c>
    </row>
    <row r="8261" spans="1:12" ht="25" customHeight="1">
      <c r="A8261" s="2" t="s">
        <v>12</v>
      </c>
      <c r="B8261" s="2" t="str">
        <f>HYPERLINK("http://m.12365auto.com/news/20200213/418457.shtml","大众零部件公司与意昂合作快速充电站")</f>
        <v>大众零部件公司与意昂合作快速充电站</v>
      </c>
      <c r="C8261" s="2" t="s">
        <v>13</v>
      </c>
      <c r="D8261" s="2" t="s">
        <v>12</v>
      </c>
      <c r="E8261" s="2"/>
      <c r="F8261" s="2" t="str">
        <f>HYPERLINK("http://m.12365auto.com/news/20200213/418457.shtml","http://m.12365auto.com/news/20200213/418457.shtml")</f>
        <v>http://m.12365auto.com/news/20200213/418457.shtml</v>
      </c>
      <c r="G8261" s="2"/>
      <c r="H8261" s="2" t="s">
        <v>11271</v>
      </c>
      <c r="I8261" s="2" t="s">
        <v>19</v>
      </c>
      <c r="J8261" s="2" t="s">
        <v>1029</v>
      </c>
      <c r="K8261" s="2" t="s">
        <v>11270</v>
      </c>
      <c r="L8261" s="2">
        <f t="shared" si="129"/>
        <v>150</v>
      </c>
    </row>
    <row r="8262" spans="1:12" ht="25" customHeight="1">
      <c r="A8262" s="2" t="s">
        <v>12</v>
      </c>
      <c r="B8262" s="2" t="str">
        <f>HYPERLINK("http://www.12365auto.com/news/20200213/418456.shtml","大众与戴姆勒推动智利锂金属“可持续”开采")</f>
        <v>大众与戴姆勒推动智利锂金属“可持续”开采</v>
      </c>
      <c r="C8262" s="2" t="s">
        <v>13</v>
      </c>
      <c r="D8262" s="2" t="s">
        <v>12</v>
      </c>
      <c r="E8262" s="2" t="s">
        <v>276</v>
      </c>
      <c r="F8262" s="2" t="str">
        <f>HYPERLINK("http://www.12365auto.com/news/20200213/418456.shtml","http://www.12365auto.com/news/20200213/418456.shtml")</f>
        <v>http://www.12365auto.com/news/20200213/418456.shtml</v>
      </c>
      <c r="G8262" s="2"/>
      <c r="H8262" s="2" t="s">
        <v>11272</v>
      </c>
      <c r="I8262" s="2" t="s">
        <v>15</v>
      </c>
      <c r="J8262" s="2" t="s">
        <v>12</v>
      </c>
      <c r="K8262" s="2" t="s">
        <v>11273</v>
      </c>
      <c r="L8262" s="2">
        <f t="shared" si="129"/>
        <v>150</v>
      </c>
    </row>
    <row r="8263" spans="1:12" ht="25" customHeight="1">
      <c r="A8263" s="2" t="s">
        <v>12</v>
      </c>
      <c r="B8263" s="2" t="str">
        <f>HYPERLINK("http://m.12365auto.com/news/20200213/418456.shtml","大众与戴姆勒推动智利锂金属“可持续”开采")</f>
        <v>大众与戴姆勒推动智利锂金属“可持续”开采</v>
      </c>
      <c r="C8263" s="2" t="s">
        <v>13</v>
      </c>
      <c r="D8263" s="2" t="s">
        <v>12</v>
      </c>
      <c r="E8263" s="2"/>
      <c r="F8263" s="2" t="str">
        <f>HYPERLINK("http://m.12365auto.com/news/20200213/418456.shtml","http://m.12365auto.com/news/20200213/418456.shtml")</f>
        <v>http://m.12365auto.com/news/20200213/418456.shtml</v>
      </c>
      <c r="G8263" s="2"/>
      <c r="H8263" s="2" t="s">
        <v>11274</v>
      </c>
      <c r="I8263" s="2" t="s">
        <v>19</v>
      </c>
      <c r="J8263" s="2" t="s">
        <v>1041</v>
      </c>
      <c r="K8263" s="2" t="s">
        <v>11273</v>
      </c>
      <c r="L8263" s="2">
        <f t="shared" si="129"/>
        <v>150</v>
      </c>
    </row>
    <row r="8264" spans="1:12" ht="25" customHeight="1">
      <c r="A8264" s="2" t="s">
        <v>12</v>
      </c>
      <c r="B8264" s="2" t="str">
        <f>HYPERLINK("http://m.12365auto.com/news/20200213/418455.shtml","传特斯拉在弗里蒙特工厂建电芯生产线")</f>
        <v>传特斯拉在弗里蒙特工厂建电芯生产线</v>
      </c>
      <c r="C8264" s="2" t="s">
        <v>13</v>
      </c>
      <c r="D8264" s="2" t="s">
        <v>12</v>
      </c>
      <c r="E8264" s="2"/>
      <c r="F8264" s="2" t="str">
        <f>HYPERLINK("http://m.12365auto.com/news/20200213/418455.shtml","http://m.12365auto.com/news/20200213/418455.shtml")</f>
        <v>http://m.12365auto.com/news/20200213/418455.shtml</v>
      </c>
      <c r="G8264" s="2"/>
      <c r="H8264" s="2" t="s">
        <v>11275</v>
      </c>
      <c r="I8264" s="2" t="s">
        <v>19</v>
      </c>
      <c r="J8264" s="2" t="s">
        <v>1041</v>
      </c>
      <c r="K8264" s="2" t="s">
        <v>11276</v>
      </c>
      <c r="L8264" s="2">
        <f t="shared" si="129"/>
        <v>150</v>
      </c>
    </row>
    <row r="8265" spans="1:12" ht="25" customHeight="1">
      <c r="A8265" s="2" t="s">
        <v>12</v>
      </c>
      <c r="B8265" s="2" t="str">
        <f>HYPERLINK("http://www.12365auto.com/news/20200213/418455.shtml","传特斯拉在弗里蒙特工厂建电芯生产线")</f>
        <v>传特斯拉在弗里蒙特工厂建电芯生产线</v>
      </c>
      <c r="C8265" s="2" t="s">
        <v>13</v>
      </c>
      <c r="D8265" s="2" t="s">
        <v>12</v>
      </c>
      <c r="E8265" s="2" t="s">
        <v>276</v>
      </c>
      <c r="F8265" s="2" t="str">
        <f>HYPERLINK("http://www.12365auto.com/news/20200213/418455.shtml","http://www.12365auto.com/news/20200213/418455.shtml")</f>
        <v>http://www.12365auto.com/news/20200213/418455.shtml</v>
      </c>
      <c r="G8265" s="2"/>
      <c r="H8265" s="2" t="s">
        <v>11277</v>
      </c>
      <c r="I8265" s="2" t="s">
        <v>15</v>
      </c>
      <c r="J8265" s="2" t="s">
        <v>12</v>
      </c>
      <c r="K8265" s="2" t="s">
        <v>11276</v>
      </c>
      <c r="L8265" s="2">
        <f t="shared" si="129"/>
        <v>150</v>
      </c>
    </row>
    <row r="8266" spans="1:12" ht="25" customHeight="1">
      <c r="A8266" s="2" t="s">
        <v>12</v>
      </c>
      <c r="B8266" s="2" t="str">
        <f>HYPERLINK("http://www.12365auto.com/zlts/20200213/447082.shtml","一汽大众高尔夫发动机烧机油希望厂家处理")</f>
        <v>一汽大众高尔夫发动机烧机油希望厂家处理</v>
      </c>
      <c r="C8266" s="2" t="s">
        <v>13</v>
      </c>
      <c r="D8266" s="2" t="s">
        <v>12</v>
      </c>
      <c r="E8266" s="2" t="s">
        <v>17</v>
      </c>
      <c r="F8266" s="2" t="str">
        <f>HYPERLINK("http://www.12365auto.com/zlts/20200213/447082.shtml","http://www.12365auto.com/zlts/20200213/447082.shtml")</f>
        <v>http://www.12365auto.com/zlts/20200213/447082.shtml</v>
      </c>
      <c r="G8266" s="2"/>
      <c r="H8266" s="2" t="s">
        <v>11278</v>
      </c>
      <c r="I8266" s="2" t="s">
        <v>15</v>
      </c>
      <c r="J8266" s="2" t="s">
        <v>12</v>
      </c>
      <c r="K8266" s="2" t="s">
        <v>11279</v>
      </c>
      <c r="L8266" s="2">
        <f t="shared" si="129"/>
        <v>150</v>
      </c>
    </row>
    <row r="8267" spans="1:12" ht="25" customHeight="1">
      <c r="A8267" s="2" t="s">
        <v>12</v>
      </c>
      <c r="B8267" s="2" t="str">
        <f>HYPERLINK("http://m.12365auto.com/news/20200213/418454.shtml","HELLA与初创公司合作开发高性能雷达软件")</f>
        <v>HELLA与初创公司合作开发高性能雷达软件</v>
      </c>
      <c r="C8267" s="2" t="s">
        <v>13</v>
      </c>
      <c r="D8267" s="2" t="s">
        <v>12</v>
      </c>
      <c r="E8267" s="2"/>
      <c r="F8267" s="2" t="str">
        <f>HYPERLINK("http://m.12365auto.com/news/20200213/418454.shtml","http://m.12365auto.com/news/20200213/418454.shtml")</f>
        <v>http://m.12365auto.com/news/20200213/418454.shtml</v>
      </c>
      <c r="G8267" s="2"/>
      <c r="H8267" s="2" t="s">
        <v>11280</v>
      </c>
      <c r="I8267" s="2" t="s">
        <v>19</v>
      </c>
      <c r="J8267" s="2" t="s">
        <v>1050</v>
      </c>
      <c r="K8267" s="2" t="s">
        <v>11279</v>
      </c>
      <c r="L8267" s="2">
        <f t="shared" si="129"/>
        <v>150</v>
      </c>
    </row>
    <row r="8268" spans="1:12" ht="25" customHeight="1">
      <c r="A8268" s="2" t="s">
        <v>12</v>
      </c>
      <c r="B8268" s="2" t="str">
        <f>HYPERLINK("http://www.12365auto.com/news/20200213/418454.shtml","HELLA与初创公司合作开发高性能雷达软件")</f>
        <v>HELLA与初创公司合作开发高性能雷达软件</v>
      </c>
      <c r="C8268" s="2" t="s">
        <v>13</v>
      </c>
      <c r="D8268" s="2" t="s">
        <v>12</v>
      </c>
      <c r="E8268" s="2" t="s">
        <v>276</v>
      </c>
      <c r="F8268" s="2" t="str">
        <f>HYPERLINK("http://www.12365auto.com/news/20200213/418454.shtml","http://www.12365auto.com/news/20200213/418454.shtml")</f>
        <v>http://www.12365auto.com/news/20200213/418454.shtml</v>
      </c>
      <c r="G8268" s="2"/>
      <c r="H8268" s="2" t="s">
        <v>11281</v>
      </c>
      <c r="I8268" s="2" t="s">
        <v>15</v>
      </c>
      <c r="J8268" s="2" t="s">
        <v>12</v>
      </c>
      <c r="K8268" s="2" t="s">
        <v>11279</v>
      </c>
      <c r="L8268" s="2">
        <f t="shared" si="129"/>
        <v>150</v>
      </c>
    </row>
    <row r="8269" spans="1:12" ht="25" customHeight="1">
      <c r="A8269" s="2" t="s">
        <v>12</v>
      </c>
      <c r="B8269" s="2" t="str">
        <f>HYPERLINK("http://www.12365auto.com/news/20200213/418453.shtml","陕汽重卡与Innoviz在中国部署自动驾驶卡车")</f>
        <v>陕汽重卡与Innoviz在中国部署自动驾驶卡车</v>
      </c>
      <c r="C8269" s="2" t="s">
        <v>13</v>
      </c>
      <c r="D8269" s="2" t="s">
        <v>12</v>
      </c>
      <c r="E8269" s="2" t="s">
        <v>276</v>
      </c>
      <c r="F8269" s="2" t="str">
        <f>HYPERLINK("http://www.12365auto.com/news/20200213/418453.shtml","http://www.12365auto.com/news/20200213/418453.shtml")</f>
        <v>http://www.12365auto.com/news/20200213/418453.shtml</v>
      </c>
      <c r="G8269" s="2"/>
      <c r="H8269" s="2" t="s">
        <v>11282</v>
      </c>
      <c r="I8269" s="2" t="s">
        <v>15</v>
      </c>
      <c r="J8269" s="2" t="s">
        <v>12</v>
      </c>
      <c r="K8269" s="2" t="s">
        <v>11283</v>
      </c>
      <c r="L8269" s="2">
        <f t="shared" si="129"/>
        <v>150</v>
      </c>
    </row>
    <row r="8270" spans="1:12" ht="25" customHeight="1">
      <c r="A8270" s="2" t="s">
        <v>12</v>
      </c>
      <c r="B8270" s="2" t="str">
        <f>HYPERLINK("http://m.12365auto.com/news/20200213/418453.shtml","陕汽重卡与Innoviz在中国部署自动驾驶卡车")</f>
        <v>陕汽重卡与Innoviz在中国部署自动驾驶卡车</v>
      </c>
      <c r="C8270" s="2" t="s">
        <v>13</v>
      </c>
      <c r="D8270" s="2" t="s">
        <v>12</v>
      </c>
      <c r="E8270" s="2"/>
      <c r="F8270" s="2" t="str">
        <f>HYPERLINK("http://m.12365auto.com/news/20200213/418453.shtml","http://m.12365auto.com/news/20200213/418453.shtml")</f>
        <v>http://m.12365auto.com/news/20200213/418453.shtml</v>
      </c>
      <c r="G8270" s="2"/>
      <c r="H8270" s="2" t="s">
        <v>11284</v>
      </c>
      <c r="I8270" s="2" t="s">
        <v>19</v>
      </c>
      <c r="J8270" s="2" t="s">
        <v>1029</v>
      </c>
      <c r="K8270" s="2" t="s">
        <v>11283</v>
      </c>
      <c r="L8270" s="2">
        <f t="shared" si="129"/>
        <v>150</v>
      </c>
    </row>
    <row r="8271" spans="1:12" ht="25" customHeight="1">
      <c r="A8271" s="2" t="s">
        <v>12</v>
      </c>
      <c r="B8271" s="2" t="str">
        <f>HYPERLINK("http://www.12365auto.com/parts/20200213/418452.shtml","上汽大众智能空气净化系统硬核守卫健康出行")</f>
        <v>上汽大众智能空气净化系统硬核守卫健康出行</v>
      </c>
      <c r="C8271" s="2" t="s">
        <v>13</v>
      </c>
      <c r="D8271" s="2" t="s">
        <v>12</v>
      </c>
      <c r="E8271" s="2" t="s">
        <v>240</v>
      </c>
      <c r="F8271" s="2" t="str">
        <f>HYPERLINK("http://www.12365auto.com/parts/20200213/418452.shtml","http://www.12365auto.com/parts/20200213/418452.shtml")</f>
        <v>http://www.12365auto.com/parts/20200213/418452.shtml</v>
      </c>
      <c r="G8271" s="2"/>
      <c r="H8271" s="2" t="s">
        <v>11285</v>
      </c>
      <c r="I8271" s="2" t="s">
        <v>15</v>
      </c>
      <c r="J8271" s="2" t="s">
        <v>12</v>
      </c>
      <c r="K8271" s="2" t="s">
        <v>11286</v>
      </c>
      <c r="L8271" s="2">
        <f t="shared" si="129"/>
        <v>150</v>
      </c>
    </row>
    <row r="8272" spans="1:12" ht="25" customHeight="1">
      <c r="A8272" s="2" t="s">
        <v>12</v>
      </c>
      <c r="B8272" s="2" t="str">
        <f>HYPERLINK("http://m.12365auto.com/parts/20200213/418452.shtml","上汽大众智能空气净化系统硬核守卫健康出行")</f>
        <v>上汽大众智能空气净化系统硬核守卫健康出行</v>
      </c>
      <c r="C8272" s="2" t="s">
        <v>13</v>
      </c>
      <c r="D8272" s="2" t="s">
        <v>12</v>
      </c>
      <c r="E8272" s="2"/>
      <c r="F8272" s="2" t="str">
        <f>HYPERLINK("http://m.12365auto.com/parts/20200213/418452.shtml","http://m.12365auto.com/parts/20200213/418452.shtml")</f>
        <v>http://m.12365auto.com/parts/20200213/418452.shtml</v>
      </c>
      <c r="G8272" s="2"/>
      <c r="H8272" s="2" t="s">
        <v>11287</v>
      </c>
      <c r="I8272" s="2" t="s">
        <v>19</v>
      </c>
      <c r="J8272" s="2" t="s">
        <v>1054</v>
      </c>
      <c r="K8272" s="2" t="s">
        <v>11286</v>
      </c>
      <c r="L8272" s="2">
        <f t="shared" si="129"/>
        <v>150</v>
      </c>
    </row>
    <row r="8273" spans="1:12" ht="25" customHeight="1">
      <c r="A8273" s="2" t="s">
        <v>12</v>
      </c>
      <c r="B8273" s="2" t="str">
        <f>HYPERLINK("http://m.12365auto.com/news/20200213/418451.shtml","Fraunhofer IIS研发定位技术 帮卡车自动并道")</f>
        <v>Fraunhofer IIS研发定位技术 帮卡车自动并道</v>
      </c>
      <c r="C8273" s="2" t="s">
        <v>13</v>
      </c>
      <c r="D8273" s="2" t="s">
        <v>12</v>
      </c>
      <c r="E8273" s="2"/>
      <c r="F8273" s="2" t="str">
        <f>HYPERLINK("http://m.12365auto.com/news/20200213/418451.shtml","http://m.12365auto.com/news/20200213/418451.shtml")</f>
        <v>http://m.12365auto.com/news/20200213/418451.shtml</v>
      </c>
      <c r="G8273" s="2"/>
      <c r="H8273" s="2" t="s">
        <v>11288</v>
      </c>
      <c r="I8273" s="2" t="s">
        <v>19</v>
      </c>
      <c r="J8273" s="2" t="s">
        <v>9218</v>
      </c>
      <c r="K8273" s="2" t="s">
        <v>11289</v>
      </c>
      <c r="L8273" s="2">
        <f t="shared" si="129"/>
        <v>150</v>
      </c>
    </row>
    <row r="8274" spans="1:12" ht="25" customHeight="1">
      <c r="A8274" s="2" t="s">
        <v>12</v>
      </c>
      <c r="B8274" s="2" t="str">
        <f>HYPERLINK("http://www.12365auto.com/news/20200213/418451.shtml","Fraunhofer IIS研发定位技术 帮卡车自动并道")</f>
        <v>Fraunhofer IIS研发定位技术 帮卡车自动并道</v>
      </c>
      <c r="C8274" s="2" t="s">
        <v>13</v>
      </c>
      <c r="D8274" s="2" t="s">
        <v>12</v>
      </c>
      <c r="E8274" s="2" t="s">
        <v>282</v>
      </c>
      <c r="F8274" s="2" t="str">
        <f>HYPERLINK("http://www.12365auto.com/news/20200213/418451.shtml","http://www.12365auto.com/news/20200213/418451.shtml")</f>
        <v>http://www.12365auto.com/news/20200213/418451.shtml</v>
      </c>
      <c r="G8274" s="2"/>
      <c r="H8274" s="2" t="s">
        <v>11290</v>
      </c>
      <c r="I8274" s="2" t="s">
        <v>19</v>
      </c>
      <c r="J8274" s="2" t="s">
        <v>12</v>
      </c>
      <c r="K8274" s="2" t="s">
        <v>11289</v>
      </c>
      <c r="L8274" s="2">
        <f t="shared" si="129"/>
        <v>150</v>
      </c>
    </row>
    <row r="8275" spans="1:12" ht="25" customHeight="1">
      <c r="A8275" s="2" t="s">
        <v>12</v>
      </c>
      <c r="B8275" s="2" t="str">
        <f>HYPERLINK("http://www.12365auto.com/news/20200213/418450.shtml","Analog与Jungo合作开发座舱监控技术")</f>
        <v>Analog与Jungo合作开发座舱监控技术</v>
      </c>
      <c r="C8275" s="2" t="s">
        <v>13</v>
      </c>
      <c r="D8275" s="2" t="s">
        <v>12</v>
      </c>
      <c r="E8275" s="2" t="s">
        <v>276</v>
      </c>
      <c r="F8275" s="2" t="str">
        <f>HYPERLINK("http://www.12365auto.com/news/20200213/418450.shtml","http://www.12365auto.com/news/20200213/418450.shtml")</f>
        <v>http://www.12365auto.com/news/20200213/418450.shtml</v>
      </c>
      <c r="G8275" s="2"/>
      <c r="H8275" s="2" t="s">
        <v>11291</v>
      </c>
      <c r="I8275" s="2" t="s">
        <v>15</v>
      </c>
      <c r="J8275" s="2" t="s">
        <v>12</v>
      </c>
      <c r="K8275" s="2" t="s">
        <v>11292</v>
      </c>
      <c r="L8275" s="2">
        <f t="shared" si="129"/>
        <v>150</v>
      </c>
    </row>
    <row r="8276" spans="1:12" ht="25" customHeight="1">
      <c r="A8276" s="2" t="s">
        <v>12</v>
      </c>
      <c r="B8276" s="2" t="str">
        <f>HYPERLINK("http://m.12365auto.com/news/20200213/418450.shtml","Analog与Jungo合作开发座舱监控技术")</f>
        <v>Analog与Jungo合作开发座舱监控技术</v>
      </c>
      <c r="C8276" s="2" t="s">
        <v>13</v>
      </c>
      <c r="D8276" s="2" t="s">
        <v>12</v>
      </c>
      <c r="E8276" s="2"/>
      <c r="F8276" s="2" t="str">
        <f>HYPERLINK("http://m.12365auto.com/news/20200213/418450.shtml","http://m.12365auto.com/news/20200213/418450.shtml")</f>
        <v>http://m.12365auto.com/news/20200213/418450.shtml</v>
      </c>
      <c r="G8276" s="2"/>
      <c r="H8276" s="2" t="s">
        <v>11293</v>
      </c>
      <c r="I8276" s="2" t="s">
        <v>19</v>
      </c>
      <c r="J8276" s="2" t="s">
        <v>9218</v>
      </c>
      <c r="K8276" s="2" t="s">
        <v>11292</v>
      </c>
      <c r="L8276" s="2">
        <f t="shared" si="129"/>
        <v>150</v>
      </c>
    </row>
    <row r="8277" spans="1:12" ht="25" customHeight="1">
      <c r="A8277" s="2" t="s">
        <v>12</v>
      </c>
      <c r="B8277" s="2" t="str">
        <f>HYPERLINK("http://m.12365auto.com/zjdy/20200213/121224.shtml","更换电瓶后应该如何激活启停功能？")</f>
        <v>更换电瓶后应该如何激活启停功能？</v>
      </c>
      <c r="C8277" s="2" t="s">
        <v>13</v>
      </c>
      <c r="D8277" s="2" t="s">
        <v>12</v>
      </c>
      <c r="E8277" s="2"/>
      <c r="F8277" s="2" t="str">
        <f>HYPERLINK("http://m.12365auto.com/zjdy/20200213/121224.shtml","http://m.12365auto.com/zjdy/20200213/121224.shtml")</f>
        <v>http://m.12365auto.com/zjdy/20200213/121224.shtml</v>
      </c>
      <c r="G8277" s="2"/>
      <c r="H8277" s="2" t="s">
        <v>11294</v>
      </c>
      <c r="I8277" s="2" t="s">
        <v>19</v>
      </c>
      <c r="J8277" s="2" t="s">
        <v>12</v>
      </c>
      <c r="K8277" s="2" t="s">
        <v>11295</v>
      </c>
      <c r="L8277" s="2">
        <f t="shared" si="129"/>
        <v>19</v>
      </c>
    </row>
    <row r="8278" spans="1:12" ht="25" customHeight="1">
      <c r="A8278" s="2" t="s">
        <v>12</v>
      </c>
      <c r="B8278" s="2" t="str">
        <f>HYPERLINK("http://m.12365auto.com/news/20200213/418449.shtml","Polestar打造纯素内饰 天然材料取代塑料面板")</f>
        <v>Polestar打造纯素内饰 天然材料取代塑料面板</v>
      </c>
      <c r="C8278" s="2" t="s">
        <v>13</v>
      </c>
      <c r="D8278" s="2" t="s">
        <v>12</v>
      </c>
      <c r="E8278" s="2"/>
      <c r="F8278" s="2" t="str">
        <f>HYPERLINK("http://m.12365auto.com/news/20200213/418449.shtml","http://m.12365auto.com/news/20200213/418449.shtml")</f>
        <v>http://m.12365auto.com/news/20200213/418449.shtml</v>
      </c>
      <c r="G8278" s="2"/>
      <c r="H8278" s="2" t="s">
        <v>11296</v>
      </c>
      <c r="I8278" s="2" t="s">
        <v>19</v>
      </c>
      <c r="J8278" s="2" t="s">
        <v>1029</v>
      </c>
      <c r="K8278" s="2" t="s">
        <v>11297</v>
      </c>
      <c r="L8278" s="2">
        <f t="shared" si="129"/>
        <v>150</v>
      </c>
    </row>
    <row r="8279" spans="1:12" ht="25" customHeight="1">
      <c r="A8279" s="2" t="s">
        <v>12</v>
      </c>
      <c r="B8279" s="2" t="str">
        <f>HYPERLINK("http://www.12365auto.com/news/20200213/418449.shtml","Polestar打造纯素内饰 天然材料取代塑料面板")</f>
        <v>Polestar打造纯素内饰 天然材料取代塑料面板</v>
      </c>
      <c r="C8279" s="2" t="s">
        <v>13</v>
      </c>
      <c r="D8279" s="2" t="s">
        <v>12</v>
      </c>
      <c r="E8279" s="2" t="s">
        <v>276</v>
      </c>
      <c r="F8279" s="2" t="str">
        <f>HYPERLINK("http://www.12365auto.com/news/20200213/418449.shtml","http://www.12365auto.com/news/20200213/418449.shtml")</f>
        <v>http://www.12365auto.com/news/20200213/418449.shtml</v>
      </c>
      <c r="G8279" s="2"/>
      <c r="H8279" s="2" t="s">
        <v>11298</v>
      </c>
      <c r="I8279" s="2" t="s">
        <v>15</v>
      </c>
      <c r="J8279" s="2" t="s">
        <v>12</v>
      </c>
      <c r="K8279" s="2" t="s">
        <v>11297</v>
      </c>
      <c r="L8279" s="2">
        <f t="shared" si="129"/>
        <v>150</v>
      </c>
    </row>
    <row r="8280" spans="1:12" ht="25" customHeight="1">
      <c r="A8280" s="2" t="s">
        <v>12</v>
      </c>
      <c r="B8280" s="2" t="str">
        <f>HYPERLINK("http://m.12365auto.com/news/20200213/418448.shtml","AFC能源公司推出氢动力充电器 可为汽车充电")</f>
        <v>AFC能源公司推出氢动力充电器 可为汽车充电</v>
      </c>
      <c r="C8280" s="2" t="s">
        <v>13</v>
      </c>
      <c r="D8280" s="2" t="s">
        <v>12</v>
      </c>
      <c r="E8280" s="2"/>
      <c r="F8280" s="2" t="str">
        <f>HYPERLINK("http://m.12365auto.com/news/20200213/418448.shtml","http://m.12365auto.com/news/20200213/418448.shtml")</f>
        <v>http://m.12365auto.com/news/20200213/418448.shtml</v>
      </c>
      <c r="G8280" s="2"/>
      <c r="H8280" s="2" t="s">
        <v>11299</v>
      </c>
      <c r="I8280" s="2" t="s">
        <v>19</v>
      </c>
      <c r="J8280" s="2" t="s">
        <v>1036</v>
      </c>
      <c r="K8280" s="2" t="s">
        <v>11300</v>
      </c>
      <c r="L8280" s="2">
        <f t="shared" si="129"/>
        <v>150</v>
      </c>
    </row>
    <row r="8281" spans="1:12" ht="25" customHeight="1">
      <c r="A8281" s="2" t="s">
        <v>12</v>
      </c>
      <c r="B8281" s="2" t="str">
        <f>HYPERLINK("http://www.12365auto.com/zlts/20200213/447080.shtml","郑州日产途达电瓶漏电影响正常使用")</f>
        <v>郑州日产途达电瓶漏电影响正常使用</v>
      </c>
      <c r="C8281" s="2" t="s">
        <v>13</v>
      </c>
      <c r="D8281" s="2" t="s">
        <v>12</v>
      </c>
      <c r="E8281" s="2" t="s">
        <v>17</v>
      </c>
      <c r="F8281" s="2" t="str">
        <f>HYPERLINK("http://www.12365auto.com/zlts/20200213/447080.shtml","http://www.12365auto.com/zlts/20200213/447080.shtml")</f>
        <v>http://www.12365auto.com/zlts/20200213/447080.shtml</v>
      </c>
      <c r="G8281" s="2"/>
      <c r="H8281" s="2" t="s">
        <v>11301</v>
      </c>
      <c r="I8281" s="2" t="s">
        <v>15</v>
      </c>
      <c r="J8281" s="2" t="s">
        <v>12</v>
      </c>
      <c r="K8281" s="2" t="s">
        <v>11300</v>
      </c>
      <c r="L8281" s="2">
        <f t="shared" si="129"/>
        <v>150</v>
      </c>
    </row>
    <row r="8282" spans="1:12" ht="25" customHeight="1">
      <c r="A8282" s="2" t="s">
        <v>12</v>
      </c>
      <c r="B8282" s="2" t="str">
        <f>HYPERLINK("http://www.12365auto.com/news/20200213/418448.shtml","AFC能源公司推出氢动力充电器 可为汽车充电")</f>
        <v>AFC能源公司推出氢动力充电器 可为汽车充电</v>
      </c>
      <c r="C8282" s="2" t="s">
        <v>13</v>
      </c>
      <c r="D8282" s="2" t="s">
        <v>12</v>
      </c>
      <c r="E8282" s="2" t="s">
        <v>276</v>
      </c>
      <c r="F8282" s="2" t="str">
        <f>HYPERLINK("http://www.12365auto.com/news/20200213/418448.shtml","http://www.12365auto.com/news/20200213/418448.shtml")</f>
        <v>http://www.12365auto.com/news/20200213/418448.shtml</v>
      </c>
      <c r="G8282" s="2"/>
      <c r="H8282" s="2" t="s">
        <v>11302</v>
      </c>
      <c r="I8282" s="2" t="s">
        <v>15</v>
      </c>
      <c r="J8282" s="2" t="s">
        <v>12</v>
      </c>
      <c r="K8282" s="2" t="s">
        <v>11300</v>
      </c>
      <c r="L8282" s="2">
        <f t="shared" si="129"/>
        <v>150</v>
      </c>
    </row>
    <row r="8283" spans="1:12" ht="25" customHeight="1">
      <c r="A8283" s="2" t="s">
        <v>12</v>
      </c>
      <c r="B8283" s="2" t="str">
        <f>HYPERLINK("http://m.12365auto.com/zhgg/20200213/418447.shtml","因动力转向问题 特斯拉在北美召回Model X")</f>
        <v>因动力转向问题 特斯拉在北美召回Model X</v>
      </c>
      <c r="C8283" s="2" t="s">
        <v>13</v>
      </c>
      <c r="D8283" s="2" t="s">
        <v>12</v>
      </c>
      <c r="E8283" s="2"/>
      <c r="F8283" s="2" t="str">
        <f>HYPERLINK("http://m.12365auto.com/zhgg/20200213/418447.shtml","http://m.12365auto.com/zhgg/20200213/418447.shtml")</f>
        <v>http://m.12365auto.com/zhgg/20200213/418447.shtml</v>
      </c>
      <c r="G8283" s="2"/>
      <c r="H8283" s="2" t="s">
        <v>11303</v>
      </c>
      <c r="I8283" s="2" t="s">
        <v>19</v>
      </c>
      <c r="J8283" s="2" t="s">
        <v>1041</v>
      </c>
      <c r="K8283" s="2" t="s">
        <v>11304</v>
      </c>
      <c r="L8283" s="2">
        <f t="shared" si="129"/>
        <v>150</v>
      </c>
    </row>
    <row r="8284" spans="1:12" ht="25" customHeight="1">
      <c r="A8284" s="2" t="s">
        <v>12</v>
      </c>
      <c r="B8284" s="2" t="str">
        <f>HYPERLINK("http://www.12365auto.com/zhgg/20200213/418447.shtml","因动力转向问题 特斯拉在北美召回Model X")</f>
        <v>因动力转向问题 特斯拉在北美召回Model X</v>
      </c>
      <c r="C8284" s="2" t="s">
        <v>13</v>
      </c>
      <c r="D8284" s="2" t="s">
        <v>12</v>
      </c>
      <c r="E8284" s="2" t="s">
        <v>1460</v>
      </c>
      <c r="F8284" s="2" t="str">
        <f>HYPERLINK("http://www.12365auto.com/zhgg/20200213/418447.shtml","http://www.12365auto.com/zhgg/20200213/418447.shtml")</f>
        <v>http://www.12365auto.com/zhgg/20200213/418447.shtml</v>
      </c>
      <c r="G8284" s="2"/>
      <c r="H8284" s="2" t="s">
        <v>11305</v>
      </c>
      <c r="I8284" s="2" t="s">
        <v>15</v>
      </c>
      <c r="J8284" s="2" t="s">
        <v>12</v>
      </c>
      <c r="K8284" s="2" t="s">
        <v>11304</v>
      </c>
      <c r="L8284" s="2">
        <f t="shared" si="129"/>
        <v>150</v>
      </c>
    </row>
    <row r="8285" spans="1:12" ht="25" customHeight="1">
      <c r="A8285" s="2" t="s">
        <v>12</v>
      </c>
      <c r="B8285" s="2" t="str">
        <f>HYPERLINK("http://m.12365auto.com/zjdy/20200213/121223.shtml","长安逸动主驾驶为什么不能一键降窗？")</f>
        <v>长安逸动主驾驶为什么不能一键降窗？</v>
      </c>
      <c r="C8285" s="2" t="s">
        <v>13</v>
      </c>
      <c r="D8285" s="2" t="s">
        <v>12</v>
      </c>
      <c r="E8285" s="2"/>
      <c r="F8285" s="2" t="str">
        <f>HYPERLINK("http://m.12365auto.com/zjdy/20200213/121223.shtml","http://m.12365auto.com/zjdy/20200213/121223.shtml")</f>
        <v>http://m.12365auto.com/zjdy/20200213/121223.shtml</v>
      </c>
      <c r="G8285" s="2"/>
      <c r="H8285" s="2" t="s">
        <v>11306</v>
      </c>
      <c r="I8285" s="2" t="s">
        <v>19</v>
      </c>
      <c r="J8285" s="2" t="s">
        <v>12</v>
      </c>
      <c r="K8285" s="2" t="s">
        <v>11307</v>
      </c>
      <c r="L8285" s="2">
        <f t="shared" si="129"/>
        <v>23</v>
      </c>
    </row>
    <row r="8286" spans="1:12" ht="25" customHeight="1">
      <c r="A8286" s="2" t="s">
        <v>12</v>
      </c>
      <c r="B8286" s="2" t="str">
        <f>HYPERLINK("http://m.12365auto.com/news/20200213/418446.shtml","巴斯夫将在德国新建电池材料工厂 厂址已定")</f>
        <v>巴斯夫将在德国新建电池材料工厂 厂址已定</v>
      </c>
      <c r="C8286" s="2" t="s">
        <v>13</v>
      </c>
      <c r="D8286" s="2" t="s">
        <v>12</v>
      </c>
      <c r="E8286" s="2"/>
      <c r="F8286" s="2" t="str">
        <f>HYPERLINK("http://m.12365auto.com/news/20200213/418446.shtml","http://m.12365auto.com/news/20200213/418446.shtml")</f>
        <v>http://m.12365auto.com/news/20200213/418446.shtml</v>
      </c>
      <c r="G8286" s="2"/>
      <c r="H8286" s="2" t="s">
        <v>11308</v>
      </c>
      <c r="I8286" s="2" t="s">
        <v>19</v>
      </c>
      <c r="J8286" s="2" t="s">
        <v>1041</v>
      </c>
      <c r="K8286" s="2" t="s">
        <v>11309</v>
      </c>
      <c r="L8286" s="2">
        <f t="shared" si="129"/>
        <v>150</v>
      </c>
    </row>
    <row r="8287" spans="1:12" ht="25" customHeight="1">
      <c r="A8287" s="2" t="s">
        <v>12</v>
      </c>
      <c r="B8287" s="2" t="str">
        <f>HYPERLINK("http://m.12365auto.com/xcdg/20200213/418445.shtml","20万入手的豪华SUV 你买不买？详解奥迪Q2L")</f>
        <v>20万入手的豪华SUV 你买不买？详解奥迪Q2L</v>
      </c>
      <c r="C8287" s="2" t="s">
        <v>13</v>
      </c>
      <c r="D8287" s="2" t="s">
        <v>12</v>
      </c>
      <c r="E8287" s="2"/>
      <c r="F8287" s="2" t="str">
        <f>HYPERLINK("http://m.12365auto.com/xcdg/20200213/418445.shtml","http://m.12365auto.com/xcdg/20200213/418445.shtml")</f>
        <v>http://m.12365auto.com/xcdg/20200213/418445.shtml</v>
      </c>
      <c r="G8287" s="2"/>
      <c r="H8287" s="2" t="s">
        <v>11310</v>
      </c>
      <c r="I8287" s="2" t="s">
        <v>19</v>
      </c>
      <c r="J8287" s="2" t="s">
        <v>1117</v>
      </c>
      <c r="K8287" s="2" t="s">
        <v>11309</v>
      </c>
      <c r="L8287" s="2">
        <f t="shared" si="129"/>
        <v>150</v>
      </c>
    </row>
    <row r="8288" spans="1:12" ht="25" customHeight="1">
      <c r="A8288" s="2" t="s">
        <v>12</v>
      </c>
      <c r="B8288" s="2" t="str">
        <f>HYPERLINK("http://www.12365auto.com/news/20200213/418446.shtml","巴斯夫将在德国新建电池材料工厂 厂址已定")</f>
        <v>巴斯夫将在德国新建电池材料工厂 厂址已定</v>
      </c>
      <c r="C8288" s="2" t="s">
        <v>13</v>
      </c>
      <c r="D8288" s="2" t="s">
        <v>12</v>
      </c>
      <c r="E8288" s="2" t="s">
        <v>276</v>
      </c>
      <c r="F8288" s="2" t="str">
        <f>HYPERLINK("http://www.12365auto.com/news/20200213/418446.shtml","http://www.12365auto.com/news/20200213/418446.shtml")</f>
        <v>http://www.12365auto.com/news/20200213/418446.shtml</v>
      </c>
      <c r="G8288" s="2"/>
      <c r="H8288" s="2" t="s">
        <v>11311</v>
      </c>
      <c r="I8288" s="2" t="s">
        <v>15</v>
      </c>
      <c r="J8288" s="2" t="s">
        <v>12</v>
      </c>
      <c r="K8288" s="2" t="s">
        <v>11309</v>
      </c>
      <c r="L8288" s="2">
        <f t="shared" si="129"/>
        <v>150</v>
      </c>
    </row>
    <row r="8289" spans="1:12" ht="25" customHeight="1">
      <c r="A8289" s="2" t="s">
        <v>12</v>
      </c>
      <c r="B8289" s="2" t="str">
        <f>HYPERLINK("http://m.12365auto.com/zjdy/20200213/121222.shtml","奥迪Q5L冷车启动异响是什么原因？")</f>
        <v>奥迪Q5L冷车启动异响是什么原因？</v>
      </c>
      <c r="C8289" s="2" t="s">
        <v>13</v>
      </c>
      <c r="D8289" s="2" t="s">
        <v>12</v>
      </c>
      <c r="E8289" s="2"/>
      <c r="F8289" s="2" t="str">
        <f>HYPERLINK("http://m.12365auto.com/zjdy/20200213/121222.shtml","http://m.12365auto.com/zjdy/20200213/121222.shtml")</f>
        <v>http://m.12365auto.com/zjdy/20200213/121222.shtml</v>
      </c>
      <c r="G8289" s="2"/>
      <c r="H8289" s="2" t="s">
        <v>11312</v>
      </c>
      <c r="I8289" s="2" t="s">
        <v>19</v>
      </c>
      <c r="J8289" s="2" t="s">
        <v>12</v>
      </c>
      <c r="K8289" s="2" t="s">
        <v>11313</v>
      </c>
      <c r="L8289" s="2">
        <f t="shared" si="129"/>
        <v>128</v>
      </c>
    </row>
    <row r="8290" spans="1:12" ht="25" customHeight="1">
      <c r="A8290" s="2" t="s">
        <v>12</v>
      </c>
      <c r="B8290" s="2" t="str">
        <f>HYPERLINK("http://m.12365auto.com/zjdy/20200213/121221.shtml","本田缤智和丰田奕泽哪款值得购买？")</f>
        <v>本田缤智和丰田奕泽哪款值得购买？</v>
      </c>
      <c r="C8290" s="2" t="s">
        <v>13</v>
      </c>
      <c r="D8290" s="2" t="s">
        <v>12</v>
      </c>
      <c r="E8290" s="2"/>
      <c r="F8290" s="2" t="str">
        <f>HYPERLINK("http://m.12365auto.com/zjdy/20200213/121221.shtml","http://m.12365auto.com/zjdy/20200213/121221.shtml")</f>
        <v>http://m.12365auto.com/zjdy/20200213/121221.shtml</v>
      </c>
      <c r="G8290" s="2"/>
      <c r="H8290" s="2" t="s">
        <v>11314</v>
      </c>
      <c r="I8290" s="2" t="s">
        <v>19</v>
      </c>
      <c r="J8290" s="2" t="s">
        <v>12</v>
      </c>
      <c r="K8290" s="2" t="s">
        <v>11313</v>
      </c>
      <c r="L8290" s="2">
        <f t="shared" si="129"/>
        <v>32</v>
      </c>
    </row>
    <row r="8291" spans="1:12" ht="25" customHeight="1">
      <c r="A8291" s="2" t="s">
        <v>12</v>
      </c>
      <c r="B8291" s="2" t="str">
        <f>HYPERLINK("http://m.12365auto.com/xcdg/20200213/418444.shtml","用颜值为个性代言 宝马X2亮点解析")</f>
        <v>用颜值为个性代言 宝马X2亮点解析</v>
      </c>
      <c r="C8291" s="2" t="s">
        <v>13</v>
      </c>
      <c r="D8291" s="2" t="s">
        <v>12</v>
      </c>
      <c r="E8291" s="2"/>
      <c r="F8291" s="2" t="str">
        <f>HYPERLINK("http://m.12365auto.com/xcdg/20200213/418444.shtml","http://m.12365auto.com/xcdg/20200213/418444.shtml")</f>
        <v>http://m.12365auto.com/xcdg/20200213/418444.shtml</v>
      </c>
      <c r="G8291" s="2"/>
      <c r="H8291" s="2" t="s">
        <v>11315</v>
      </c>
      <c r="I8291" s="2" t="s">
        <v>19</v>
      </c>
      <c r="J8291" s="2" t="s">
        <v>1923</v>
      </c>
      <c r="K8291" s="2" t="s">
        <v>11316</v>
      </c>
      <c r="L8291" s="2">
        <f t="shared" si="129"/>
        <v>150</v>
      </c>
    </row>
    <row r="8292" spans="1:12" ht="25" customHeight="1">
      <c r="A8292" s="2" t="s">
        <v>12</v>
      </c>
      <c r="B8292" s="2" t="str">
        <f>HYPERLINK("http://www.12365auto.com/xcdg/20200213/418443.shtml","系统功率180kW 西雅特Cupra Leon预告图")</f>
        <v>系统功率180kW 西雅特Cupra Leon预告图</v>
      </c>
      <c r="C8292" s="2" t="s">
        <v>13</v>
      </c>
      <c r="D8292" s="2" t="s">
        <v>12</v>
      </c>
      <c r="E8292" s="2" t="s">
        <v>216</v>
      </c>
      <c r="F8292" s="2" t="str">
        <f>HYPERLINK("http://www.12365auto.com/xcdg/20200213/418443.shtml","http://www.12365auto.com/xcdg/20200213/418443.shtml")</f>
        <v>http://www.12365auto.com/xcdg/20200213/418443.shtml</v>
      </c>
      <c r="G8292" s="2"/>
      <c r="H8292" s="2" t="s">
        <v>11317</v>
      </c>
      <c r="I8292" s="2" t="s">
        <v>15</v>
      </c>
      <c r="J8292" s="2" t="s">
        <v>12</v>
      </c>
      <c r="K8292" s="2" t="s">
        <v>11318</v>
      </c>
      <c r="L8292" s="2">
        <f t="shared" si="129"/>
        <v>150</v>
      </c>
    </row>
    <row r="8293" spans="1:12" ht="25" customHeight="1">
      <c r="A8293" s="2" t="s">
        <v>12</v>
      </c>
      <c r="B8293" s="2" t="str">
        <f>HYPERLINK("http://m.12365auto.com/xcdg/20200213/418443.shtml","系统功率180kW 西雅特Cupra Leon预告图")</f>
        <v>系统功率180kW 西雅特Cupra Leon预告图</v>
      </c>
      <c r="C8293" s="2" t="s">
        <v>13</v>
      </c>
      <c r="D8293" s="2" t="s">
        <v>12</v>
      </c>
      <c r="E8293" s="2"/>
      <c r="F8293" s="2" t="str">
        <f>HYPERLINK("http://m.12365auto.com/xcdg/20200213/418443.shtml","http://m.12365auto.com/xcdg/20200213/418443.shtml")</f>
        <v>http://m.12365auto.com/xcdg/20200213/418443.shtml</v>
      </c>
      <c r="G8293" s="2"/>
      <c r="H8293" s="2" t="s">
        <v>11319</v>
      </c>
      <c r="I8293" s="2" t="s">
        <v>19</v>
      </c>
      <c r="J8293" s="2" t="s">
        <v>297</v>
      </c>
      <c r="K8293" s="2" t="s">
        <v>11318</v>
      </c>
      <c r="L8293" s="2">
        <f t="shared" si="129"/>
        <v>150</v>
      </c>
    </row>
    <row r="8294" spans="1:12" ht="25" customHeight="1">
      <c r="A8294" s="2" t="s">
        <v>12</v>
      </c>
      <c r="B8294" s="2" t="str">
        <f>HYPERLINK("http://www.12365auto.com/scbg/20200213/418442.shtml","事实胜于雄辩 别克昂科旗对比大众途昂")</f>
        <v>事实胜于雄辩 别克昂科旗对比大众途昂</v>
      </c>
      <c r="C8294" s="2" t="s">
        <v>13</v>
      </c>
      <c r="D8294" s="2" t="s">
        <v>12</v>
      </c>
      <c r="E8294" s="2" t="s">
        <v>1548</v>
      </c>
      <c r="F8294" s="2" t="str">
        <f>HYPERLINK("http://www.12365auto.com/scbg/20200213/418442.shtml","http://www.12365auto.com/scbg/20200213/418442.shtml")</f>
        <v>http://www.12365auto.com/scbg/20200213/418442.shtml</v>
      </c>
      <c r="G8294" s="2"/>
      <c r="H8294" s="2" t="s">
        <v>11320</v>
      </c>
      <c r="I8294" s="2" t="s">
        <v>15</v>
      </c>
      <c r="J8294" s="2" t="s">
        <v>12</v>
      </c>
      <c r="K8294" s="2" t="s">
        <v>11321</v>
      </c>
      <c r="L8294" s="2">
        <f t="shared" si="129"/>
        <v>150</v>
      </c>
    </row>
    <row r="8295" spans="1:12" ht="25" customHeight="1">
      <c r="A8295" s="2" t="s">
        <v>12</v>
      </c>
      <c r="B8295" s="2" t="str">
        <f>HYPERLINK("http://m.12365auto.com/scbg/20200213/418442.shtml","事实胜于雄辩 别克昂科旗对比大众途昂")</f>
        <v>事实胜于雄辩 别克昂科旗对比大众途昂</v>
      </c>
      <c r="C8295" s="2" t="s">
        <v>13</v>
      </c>
      <c r="D8295" s="2" t="s">
        <v>12</v>
      </c>
      <c r="E8295" s="2"/>
      <c r="F8295" s="2" t="str">
        <f>HYPERLINK("http://m.12365auto.com/scbg/20200213/418442.shtml","http://m.12365auto.com/scbg/20200213/418442.shtml")</f>
        <v>http://m.12365auto.com/scbg/20200213/418442.shtml</v>
      </c>
      <c r="G8295" s="2"/>
      <c r="H8295" s="2" t="s">
        <v>11322</v>
      </c>
      <c r="I8295" s="2" t="s">
        <v>19</v>
      </c>
      <c r="J8295" s="2" t="s">
        <v>11323</v>
      </c>
      <c r="K8295" s="2" t="s">
        <v>11321</v>
      </c>
      <c r="L8295" s="2">
        <f t="shared" si="129"/>
        <v>150</v>
      </c>
    </row>
    <row r="8296" spans="1:12" ht="25" customHeight="1">
      <c r="A8296" s="2" t="s">
        <v>12</v>
      </c>
      <c r="B8296" s="2" t="str">
        <f>HYPERLINK("http://www.12365auto.com/zlts/20200213/447079.shtml","东南DX7进行事故维修售后未更换翼子板")</f>
        <v>东南DX7进行事故维修售后未更换翼子板</v>
      </c>
      <c r="C8296" s="2" t="s">
        <v>13</v>
      </c>
      <c r="D8296" s="2" t="s">
        <v>12</v>
      </c>
      <c r="E8296" s="2" t="s">
        <v>17</v>
      </c>
      <c r="F8296" s="2" t="str">
        <f>HYPERLINK("http://www.12365auto.com/zlts/20200213/447079.shtml","http://www.12365auto.com/zlts/20200213/447079.shtml")</f>
        <v>http://www.12365auto.com/zlts/20200213/447079.shtml</v>
      </c>
      <c r="G8296" s="2"/>
      <c r="H8296" s="2" t="s">
        <v>11324</v>
      </c>
      <c r="I8296" s="2" t="s">
        <v>19</v>
      </c>
      <c r="J8296" s="2" t="s">
        <v>12</v>
      </c>
      <c r="K8296" s="2" t="s">
        <v>11325</v>
      </c>
      <c r="L8296" s="2">
        <f t="shared" si="129"/>
        <v>150</v>
      </c>
    </row>
    <row r="8297" spans="1:12" ht="25" customHeight="1">
      <c r="A8297" s="2" t="s">
        <v>12</v>
      </c>
      <c r="B8297" s="2" t="str">
        <f>HYPERLINK("http://www.12365auto.com/news/20200213/418441.shtml","续航400km 零跑T03正在进行高寒测试")</f>
        <v>续航400km 零跑T03正在进行高寒测试</v>
      </c>
      <c r="C8297" s="2" t="s">
        <v>13</v>
      </c>
      <c r="D8297" s="2" t="s">
        <v>12</v>
      </c>
      <c r="E8297" s="2" t="s">
        <v>282</v>
      </c>
      <c r="F8297" s="2" t="str">
        <f>HYPERLINK("http://www.12365auto.com/news/20200213/418441.shtml","http://www.12365auto.com/news/20200213/418441.shtml")</f>
        <v>http://www.12365auto.com/news/20200213/418441.shtml</v>
      </c>
      <c r="G8297" s="2"/>
      <c r="H8297" s="2" t="s">
        <v>11326</v>
      </c>
      <c r="I8297" s="2" t="s">
        <v>19</v>
      </c>
      <c r="J8297" s="2" t="s">
        <v>12</v>
      </c>
      <c r="K8297" s="2" t="s">
        <v>11327</v>
      </c>
      <c r="L8297" s="2">
        <f t="shared" si="129"/>
        <v>150</v>
      </c>
    </row>
    <row r="8298" spans="1:12" ht="25" customHeight="1">
      <c r="A8298" s="2" t="s">
        <v>12</v>
      </c>
      <c r="B8298" s="2" t="str">
        <f>HYPERLINK("http://m.12365auto.com/news/20200213/418441.shtml","续航400km 零跑T03正在进行高寒测试")</f>
        <v>续航400km 零跑T03正在进行高寒测试</v>
      </c>
      <c r="C8298" s="2" t="s">
        <v>13</v>
      </c>
      <c r="D8298" s="2" t="s">
        <v>12</v>
      </c>
      <c r="E8298" s="2"/>
      <c r="F8298" s="2" t="str">
        <f>HYPERLINK("http://m.12365auto.com/news/20200213/418441.shtml","http://m.12365auto.com/news/20200213/418441.shtml")</f>
        <v>http://m.12365auto.com/news/20200213/418441.shtml</v>
      </c>
      <c r="G8298" s="2"/>
      <c r="H8298" s="2" t="s">
        <v>11328</v>
      </c>
      <c r="I8298" s="2" t="s">
        <v>19</v>
      </c>
      <c r="J8298" s="2" t="s">
        <v>330</v>
      </c>
      <c r="K8298" s="2" t="s">
        <v>11327</v>
      </c>
      <c r="L8298" s="2">
        <f t="shared" si="129"/>
        <v>150</v>
      </c>
    </row>
    <row r="8299" spans="1:12" ht="25" customHeight="1">
      <c r="A8299" s="2" t="s">
        <v>12</v>
      </c>
      <c r="B8299" s="2" t="str">
        <f>HYPERLINK("http://www.12365auto.com/xcdg/20200213/418440.shtml","7月上市 曝全新奥迪S8长轴距版国内谍照")</f>
        <v>7月上市 曝全新奥迪S8长轴距版国内谍照</v>
      </c>
      <c r="C8299" s="2" t="s">
        <v>13</v>
      </c>
      <c r="D8299" s="2" t="s">
        <v>12</v>
      </c>
      <c r="E8299" s="2" t="s">
        <v>224</v>
      </c>
      <c r="F8299" s="2" t="str">
        <f>HYPERLINK("http://www.12365auto.com/xcdg/20200213/418440.shtml","http://www.12365auto.com/xcdg/20200213/418440.shtml")</f>
        <v>http://www.12365auto.com/xcdg/20200213/418440.shtml</v>
      </c>
      <c r="G8299" s="2"/>
      <c r="H8299" s="2" t="s">
        <v>11329</v>
      </c>
      <c r="I8299" s="2" t="s">
        <v>15</v>
      </c>
      <c r="J8299" s="2" t="s">
        <v>12</v>
      </c>
      <c r="K8299" s="2" t="s">
        <v>11330</v>
      </c>
      <c r="L8299" s="2">
        <f t="shared" si="129"/>
        <v>150</v>
      </c>
    </row>
    <row r="8300" spans="1:12" ht="25" customHeight="1">
      <c r="A8300" s="2" t="s">
        <v>12</v>
      </c>
      <c r="B8300" s="2" t="str">
        <f>HYPERLINK("http://m.12365auto.com/xcdg/20200213/418440.shtml","7月上市 曝全新奥迪S8长轴距版国内谍照")</f>
        <v>7月上市 曝全新奥迪S8长轴距版国内谍照</v>
      </c>
      <c r="C8300" s="2" t="s">
        <v>13</v>
      </c>
      <c r="D8300" s="2" t="s">
        <v>12</v>
      </c>
      <c r="E8300" s="2"/>
      <c r="F8300" s="2" t="str">
        <f>HYPERLINK("http://m.12365auto.com/xcdg/20200213/418440.shtml","http://m.12365auto.com/xcdg/20200213/418440.shtml")</f>
        <v>http://m.12365auto.com/xcdg/20200213/418440.shtml</v>
      </c>
      <c r="G8300" s="2"/>
      <c r="H8300" s="2" t="s">
        <v>11331</v>
      </c>
      <c r="I8300" s="2" t="s">
        <v>19</v>
      </c>
      <c r="J8300" s="2" t="s">
        <v>1197</v>
      </c>
      <c r="K8300" s="2" t="s">
        <v>11330</v>
      </c>
      <c r="L8300" s="2">
        <f t="shared" si="129"/>
        <v>150</v>
      </c>
    </row>
    <row r="8301" spans="1:12" ht="25" customHeight="1">
      <c r="A8301" s="2" t="s">
        <v>12</v>
      </c>
      <c r="B8301" s="2" t="str">
        <f>HYPERLINK("http://m.12365auto.com/xcdg/20200213/418439.shtml","疑似国产Model 3长续航后驱版进目录")</f>
        <v>疑似国产Model 3长续航后驱版进目录</v>
      </c>
      <c r="C8301" s="2" t="s">
        <v>13</v>
      </c>
      <c r="D8301" s="2" t="s">
        <v>12</v>
      </c>
      <c r="E8301" s="2"/>
      <c r="F8301" s="2" t="str">
        <f>HYPERLINK("http://m.12365auto.com/xcdg/20200213/418439.shtml","http://m.12365auto.com/xcdg/20200213/418439.shtml")</f>
        <v>http://m.12365auto.com/xcdg/20200213/418439.shtml</v>
      </c>
      <c r="G8301" s="2"/>
      <c r="H8301" s="2" t="s">
        <v>11332</v>
      </c>
      <c r="I8301" s="2" t="s">
        <v>19</v>
      </c>
      <c r="J8301" s="2" t="s">
        <v>855</v>
      </c>
      <c r="K8301" s="2" t="s">
        <v>11333</v>
      </c>
      <c r="L8301" s="2">
        <f t="shared" si="129"/>
        <v>150</v>
      </c>
    </row>
    <row r="8302" spans="1:12" ht="25" customHeight="1">
      <c r="A8302" s="2" t="s">
        <v>12</v>
      </c>
      <c r="B8302" s="2" t="str">
        <f>HYPERLINK("http://www.12365auto.com/xcdg/20200213/418439.shtml","疑似国产Model 3长续航后驱版进目录")</f>
        <v>疑似国产Model 3长续航后驱版进目录</v>
      </c>
      <c r="C8302" s="2" t="s">
        <v>13</v>
      </c>
      <c r="D8302" s="2" t="s">
        <v>12</v>
      </c>
      <c r="E8302" s="2" t="s">
        <v>224</v>
      </c>
      <c r="F8302" s="2" t="str">
        <f>HYPERLINK("http://www.12365auto.com/xcdg/20200213/418439.shtml","http://www.12365auto.com/xcdg/20200213/418439.shtml")</f>
        <v>http://www.12365auto.com/xcdg/20200213/418439.shtml</v>
      </c>
      <c r="G8302" s="2"/>
      <c r="H8302" s="2" t="s">
        <v>11334</v>
      </c>
      <c r="I8302" s="2" t="s">
        <v>15</v>
      </c>
      <c r="J8302" s="2" t="s">
        <v>12</v>
      </c>
      <c r="K8302" s="2" t="s">
        <v>11333</v>
      </c>
      <c r="L8302" s="2">
        <f t="shared" si="129"/>
        <v>150</v>
      </c>
    </row>
    <row r="8303" spans="1:12" ht="25" customHeight="1">
      <c r="A8303" s="2" t="s">
        <v>12</v>
      </c>
      <c r="B8303" s="2" t="str">
        <f>HYPERLINK("http://m.12365auto.com/xcdg/20200213/418438.shtml","高度还原概念车 奔腾E01申报图曝光")</f>
        <v>高度还原概念车 奔腾E01申报图曝光</v>
      </c>
      <c r="C8303" s="2" t="s">
        <v>13</v>
      </c>
      <c r="D8303" s="2" t="s">
        <v>12</v>
      </c>
      <c r="E8303" s="2"/>
      <c r="F8303" s="2" t="str">
        <f>HYPERLINK("http://m.12365auto.com/xcdg/20200213/418438.shtml","http://m.12365auto.com/xcdg/20200213/418438.shtml")</f>
        <v>http://m.12365auto.com/xcdg/20200213/418438.shtml</v>
      </c>
      <c r="G8303" s="2"/>
      <c r="H8303" s="2" t="s">
        <v>11335</v>
      </c>
      <c r="I8303" s="2" t="s">
        <v>19</v>
      </c>
      <c r="J8303" s="2" t="s">
        <v>836</v>
      </c>
      <c r="K8303" s="2" t="s">
        <v>11336</v>
      </c>
      <c r="L8303" s="2">
        <f t="shared" si="129"/>
        <v>150</v>
      </c>
    </row>
    <row r="8304" spans="1:12" ht="25" customHeight="1">
      <c r="A8304" s="2" t="s">
        <v>12</v>
      </c>
      <c r="B8304" s="2" t="str">
        <f>HYPERLINK("http://bbs.12365auto.com/postcontent.aspx?tID=193990","大众ID.4推迟发布时间")</f>
        <v>大众ID.4推迟发布时间</v>
      </c>
      <c r="C8304" s="2" t="s">
        <v>13</v>
      </c>
      <c r="D8304" s="2" t="s">
        <v>12</v>
      </c>
      <c r="E8304" s="2" t="s">
        <v>28</v>
      </c>
      <c r="F8304" s="2" t="str">
        <f>HYPERLINK("http://bbs.12365auto.com/postcontent.aspx?tID=193990","http://bbs.12365auto.com/postcontent.aspx?tID=193990")</f>
        <v>http://bbs.12365auto.com/postcontent.aspx?tID=193990</v>
      </c>
      <c r="G8304" s="2"/>
      <c r="H8304" s="2" t="s">
        <v>11337</v>
      </c>
      <c r="I8304" s="2" t="s">
        <v>15</v>
      </c>
      <c r="J8304" s="2" t="s">
        <v>2966</v>
      </c>
      <c r="K8304" s="2" t="s">
        <v>11336</v>
      </c>
      <c r="L8304" s="2">
        <f t="shared" si="129"/>
        <v>150</v>
      </c>
    </row>
    <row r="8305" spans="1:12" ht="25" customHeight="1">
      <c r="A8305" s="2" t="s">
        <v>12</v>
      </c>
      <c r="B8305" s="2" t="str">
        <f>HYPERLINK("http://bbs.12365auto.com/postcontent.aspx?tID=193989","最新改装版Mustang CS800")</f>
        <v>最新改装版Mustang CS800</v>
      </c>
      <c r="C8305" s="2" t="s">
        <v>13</v>
      </c>
      <c r="D8305" s="2" t="s">
        <v>12</v>
      </c>
      <c r="E8305" s="2" t="s">
        <v>28</v>
      </c>
      <c r="F8305" s="2" t="str">
        <f>HYPERLINK("http://bbs.12365auto.com/postcontent.aspx?tID=193989","http://bbs.12365auto.com/postcontent.aspx?tID=193989")</f>
        <v>http://bbs.12365auto.com/postcontent.aspx?tID=193989</v>
      </c>
      <c r="G8305" s="2"/>
      <c r="H8305" s="2" t="s">
        <v>11338</v>
      </c>
      <c r="I8305" s="2" t="s">
        <v>15</v>
      </c>
      <c r="J8305" s="2" t="s">
        <v>2966</v>
      </c>
      <c r="K8305" s="2" t="s">
        <v>11336</v>
      </c>
      <c r="L8305" s="2">
        <f t="shared" si="129"/>
        <v>150</v>
      </c>
    </row>
    <row r="8306" spans="1:12" ht="25" customHeight="1">
      <c r="A8306" s="2" t="s">
        <v>12</v>
      </c>
      <c r="B8306" s="2" t="str">
        <f>HYPERLINK("http://bbs.12365auto.com/postcontent.aspx?tId=193989","最新改装版Mustang CS800")</f>
        <v>最新改装版Mustang CS800</v>
      </c>
      <c r="C8306" s="2" t="s">
        <v>13</v>
      </c>
      <c r="D8306" s="2" t="s">
        <v>12</v>
      </c>
      <c r="E8306" s="2" t="s">
        <v>27</v>
      </c>
      <c r="F8306" s="2" t="str">
        <f>HYPERLINK("http://bbs.12365auto.com/postcontent.aspx?tId=193989","http://bbs.12365auto.com/postcontent.aspx?tId=193989")</f>
        <v>http://bbs.12365auto.com/postcontent.aspx?tId=193989</v>
      </c>
      <c r="G8306" s="2"/>
      <c r="H8306" s="2" t="s">
        <v>11339</v>
      </c>
      <c r="I8306" s="2" t="s">
        <v>15</v>
      </c>
      <c r="J8306" s="2" t="s">
        <v>2966</v>
      </c>
      <c r="K8306" s="2" t="s">
        <v>11336</v>
      </c>
      <c r="L8306" s="2">
        <f t="shared" si="129"/>
        <v>150</v>
      </c>
    </row>
    <row r="8307" spans="1:12" ht="25" customHeight="1">
      <c r="A8307" s="2" t="s">
        <v>12</v>
      </c>
      <c r="B8307" s="2" t="str">
        <f>HYPERLINK("http://bbs.12365auto.com/postcontent.aspx?tId=193990","大众ID.4推迟发布时间")</f>
        <v>大众ID.4推迟发布时间</v>
      </c>
      <c r="C8307" s="2" t="s">
        <v>13</v>
      </c>
      <c r="D8307" s="2" t="s">
        <v>12</v>
      </c>
      <c r="E8307" s="2" t="s">
        <v>27</v>
      </c>
      <c r="F8307" s="2" t="str">
        <f>HYPERLINK("http://bbs.12365auto.com/postcontent.aspx?tId=193990","http://bbs.12365auto.com/postcontent.aspx?tId=193990")</f>
        <v>http://bbs.12365auto.com/postcontent.aspx?tId=193990</v>
      </c>
      <c r="G8307" s="2"/>
      <c r="H8307" s="2" t="s">
        <v>11340</v>
      </c>
      <c r="I8307" s="2" t="s">
        <v>15</v>
      </c>
      <c r="J8307" s="2" t="s">
        <v>2966</v>
      </c>
      <c r="K8307" s="2" t="s">
        <v>11336</v>
      </c>
      <c r="L8307" s="2">
        <f t="shared" si="129"/>
        <v>150</v>
      </c>
    </row>
    <row r="8308" spans="1:12" ht="25" customHeight="1">
      <c r="A8308" s="2" t="s">
        <v>12</v>
      </c>
      <c r="B8308" s="2" t="str">
        <f>HYPERLINK("http://www.12365auto.com/xcdg/20200213/418438.shtml","高度还原概念车 奔腾E01申报图曝光")</f>
        <v>高度还原概念车 奔腾E01申报图曝光</v>
      </c>
      <c r="C8308" s="2" t="s">
        <v>13</v>
      </c>
      <c r="D8308" s="2" t="s">
        <v>12</v>
      </c>
      <c r="E8308" s="2" t="s">
        <v>245</v>
      </c>
      <c r="F8308" s="2" t="str">
        <f>HYPERLINK("http://www.12365auto.com/xcdg/20200213/418438.shtml","http://www.12365auto.com/xcdg/20200213/418438.shtml")</f>
        <v>http://www.12365auto.com/xcdg/20200213/418438.shtml</v>
      </c>
      <c r="G8308" s="2"/>
      <c r="H8308" s="2" t="s">
        <v>11341</v>
      </c>
      <c r="I8308" s="2" t="s">
        <v>19</v>
      </c>
      <c r="J8308" s="2" t="s">
        <v>12</v>
      </c>
      <c r="K8308" s="2" t="s">
        <v>11336</v>
      </c>
      <c r="L8308" s="2">
        <f t="shared" si="129"/>
        <v>150</v>
      </c>
    </row>
    <row r="8309" spans="1:12" ht="25" customHeight="1">
      <c r="A8309" s="2" t="s">
        <v>12</v>
      </c>
      <c r="B8309" s="2" t="str">
        <f>HYPERLINK("http://m.12365auto.com/bbs/postcontent.aspx?tID=193990","大众ID.4推迟发布时间")</f>
        <v>大众ID.4推迟发布时间</v>
      </c>
      <c r="C8309" s="2" t="s">
        <v>13</v>
      </c>
      <c r="D8309" s="2" t="s">
        <v>23</v>
      </c>
      <c r="E8309" s="2"/>
      <c r="F8309" s="2" t="str">
        <f>HYPERLINK("http://m.12365auto.com/bbs/postcontent.aspx?tID=193990","http://m.12365auto.com/bbs/postcontent.aspx?tID=193990")</f>
        <v>http://m.12365auto.com/bbs/postcontent.aspx?tID=193990</v>
      </c>
      <c r="G8309" s="2"/>
      <c r="H8309" s="2" t="s">
        <v>11340</v>
      </c>
      <c r="I8309" s="2" t="s">
        <v>15</v>
      </c>
      <c r="J8309" s="2" t="s">
        <v>2966</v>
      </c>
      <c r="K8309" s="2" t="s">
        <v>11336</v>
      </c>
      <c r="L8309" s="2">
        <f t="shared" si="129"/>
        <v>150</v>
      </c>
    </row>
    <row r="8310" spans="1:12" ht="25" customHeight="1">
      <c r="A8310" s="2" t="s">
        <v>12</v>
      </c>
      <c r="B8310" s="2" t="str">
        <f>HYPERLINK("http://m.12365auto.com/bbs/postcontent.aspx?tID=193989","最新改装版Mustang CS800")</f>
        <v>最新改装版Mustang CS800</v>
      </c>
      <c r="C8310" s="2" t="s">
        <v>13</v>
      </c>
      <c r="D8310" s="2" t="s">
        <v>23</v>
      </c>
      <c r="E8310" s="2"/>
      <c r="F8310" s="2" t="str">
        <f>HYPERLINK("http://m.12365auto.com/bbs/postcontent.aspx?tID=193989","http://m.12365auto.com/bbs/postcontent.aspx?tID=193989")</f>
        <v>http://m.12365auto.com/bbs/postcontent.aspx?tID=193989</v>
      </c>
      <c r="G8310" s="2"/>
      <c r="H8310" s="2" t="s">
        <v>11339</v>
      </c>
      <c r="I8310" s="2" t="s">
        <v>15</v>
      </c>
      <c r="J8310" s="2" t="s">
        <v>2966</v>
      </c>
      <c r="K8310" s="2" t="s">
        <v>11336</v>
      </c>
      <c r="L8310" s="2">
        <f t="shared" si="129"/>
        <v>150</v>
      </c>
    </row>
    <row r="8311" spans="1:12" ht="25" customHeight="1">
      <c r="A8311" s="2" t="s">
        <v>12</v>
      </c>
      <c r="B8311" s="2" t="str">
        <f>HYPERLINK("http://m.12365auto.com/news/20200213/418437.shtml","小保养320元 比亚迪宋Pro EV养车成本")</f>
        <v>小保养320元 比亚迪宋Pro EV养车成本</v>
      </c>
      <c r="C8311" s="2" t="s">
        <v>13</v>
      </c>
      <c r="D8311" s="2" t="s">
        <v>12</v>
      </c>
      <c r="E8311" s="2"/>
      <c r="F8311" s="2" t="str">
        <f>HYPERLINK("http://m.12365auto.com/news/20200213/418437.shtml","http://m.12365auto.com/news/20200213/418437.shtml")</f>
        <v>http://m.12365auto.com/news/20200213/418437.shtml</v>
      </c>
      <c r="G8311" s="2"/>
      <c r="H8311" s="2" t="s">
        <v>11342</v>
      </c>
      <c r="I8311" s="2" t="s">
        <v>19</v>
      </c>
      <c r="J8311" s="2" t="s">
        <v>332</v>
      </c>
      <c r="K8311" s="2" t="s">
        <v>11343</v>
      </c>
      <c r="L8311" s="2">
        <f t="shared" si="129"/>
        <v>150</v>
      </c>
    </row>
    <row r="8312" spans="1:12" ht="25" customHeight="1">
      <c r="A8312" s="2" t="s">
        <v>12</v>
      </c>
      <c r="B8312" s="2" t="str">
        <f>HYPERLINK("http://www.12365auto.com/news/20200213/418437.shtml","小保养320元 比亚迪宋Pro EV养车成本")</f>
        <v>小保养320元 比亚迪宋Pro EV养车成本</v>
      </c>
      <c r="C8312" s="2" t="s">
        <v>13</v>
      </c>
      <c r="D8312" s="2" t="s">
        <v>12</v>
      </c>
      <c r="E8312" s="2" t="s">
        <v>372</v>
      </c>
      <c r="F8312" s="2" t="str">
        <f>HYPERLINK("http://www.12365auto.com/news/20200213/418437.shtml","http://www.12365auto.com/news/20200213/418437.shtml")</f>
        <v>http://www.12365auto.com/news/20200213/418437.shtml</v>
      </c>
      <c r="G8312" s="2"/>
      <c r="H8312" s="2" t="s">
        <v>11344</v>
      </c>
      <c r="I8312" s="2" t="s">
        <v>15</v>
      </c>
      <c r="J8312" s="2" t="s">
        <v>12</v>
      </c>
      <c r="K8312" s="2" t="s">
        <v>11343</v>
      </c>
      <c r="L8312" s="2">
        <f t="shared" si="129"/>
        <v>150</v>
      </c>
    </row>
    <row r="8313" spans="1:12" ht="25" customHeight="1">
      <c r="A8313" s="2" t="s">
        <v>12</v>
      </c>
      <c r="B8313" s="2" t="str">
        <f>HYPERLINK("http://bbs.12365auto.com/postcontent.aspx?tID=193987","富人看不上 穷人买不起")</f>
        <v>富人看不上 穷人买不起</v>
      </c>
      <c r="C8313" s="2" t="s">
        <v>13</v>
      </c>
      <c r="D8313" s="2" t="s">
        <v>12</v>
      </c>
      <c r="E8313" s="2" t="s">
        <v>28</v>
      </c>
      <c r="F8313" s="2" t="str">
        <f>HYPERLINK("http://bbs.12365auto.com/postcontent.aspx?tID=193987","http://bbs.12365auto.com/postcontent.aspx?tID=193987")</f>
        <v>http://bbs.12365auto.com/postcontent.aspx?tID=193987</v>
      </c>
      <c r="G8313" s="2"/>
      <c r="H8313" s="2" t="s">
        <v>11345</v>
      </c>
      <c r="I8313" s="2" t="s">
        <v>15</v>
      </c>
      <c r="J8313" s="2" t="s">
        <v>2966</v>
      </c>
      <c r="K8313" s="2" t="s">
        <v>11346</v>
      </c>
      <c r="L8313" s="2">
        <f t="shared" si="129"/>
        <v>150</v>
      </c>
    </row>
    <row r="8314" spans="1:12" ht="25" customHeight="1">
      <c r="A8314" s="2" t="s">
        <v>12</v>
      </c>
      <c r="B8314" s="2" t="str">
        <f>HYPERLINK("http://bbs.12365auto.com/postcontent.aspx?tID=193986","疫情之后买车会便宜吗？")</f>
        <v>疫情之后买车会便宜吗？</v>
      </c>
      <c r="C8314" s="2" t="s">
        <v>13</v>
      </c>
      <c r="D8314" s="2" t="s">
        <v>12</v>
      </c>
      <c r="E8314" s="2" t="s">
        <v>28</v>
      </c>
      <c r="F8314" s="2" t="str">
        <f>HYPERLINK("http://bbs.12365auto.com/postcontent.aspx?tID=193986","http://bbs.12365auto.com/postcontent.aspx?tID=193986")</f>
        <v>http://bbs.12365auto.com/postcontent.aspx?tID=193986</v>
      </c>
      <c r="G8314" s="2"/>
      <c r="H8314" s="2" t="s">
        <v>11347</v>
      </c>
      <c r="I8314" s="2" t="s">
        <v>15</v>
      </c>
      <c r="J8314" s="2" t="s">
        <v>2966</v>
      </c>
      <c r="K8314" s="2" t="s">
        <v>11346</v>
      </c>
      <c r="L8314" s="2">
        <f t="shared" si="129"/>
        <v>150</v>
      </c>
    </row>
    <row r="8315" spans="1:12" ht="25" customHeight="1">
      <c r="A8315" s="2" t="s">
        <v>12</v>
      </c>
      <c r="B8315" s="2" t="str">
        <f>HYPERLINK("http://bbs.12365auto.com/postcontent.aspx?tID=193988","2020年汽车价格将会降得更猛")</f>
        <v>2020年汽车价格将会降得更猛</v>
      </c>
      <c r="C8315" s="2" t="s">
        <v>13</v>
      </c>
      <c r="D8315" s="2" t="s">
        <v>12</v>
      </c>
      <c r="E8315" s="2" t="s">
        <v>28</v>
      </c>
      <c r="F8315" s="2" t="str">
        <f>HYPERLINK("http://bbs.12365auto.com/postcontent.aspx?tID=193988","http://bbs.12365auto.com/postcontent.aspx?tID=193988")</f>
        <v>http://bbs.12365auto.com/postcontent.aspx?tID=193988</v>
      </c>
      <c r="G8315" s="2"/>
      <c r="H8315" s="2" t="s">
        <v>11348</v>
      </c>
      <c r="I8315" s="2" t="s">
        <v>15</v>
      </c>
      <c r="J8315" s="2" t="s">
        <v>2966</v>
      </c>
      <c r="K8315" s="2" t="s">
        <v>11346</v>
      </c>
      <c r="L8315" s="2">
        <f t="shared" si="129"/>
        <v>150</v>
      </c>
    </row>
    <row r="8316" spans="1:12" ht="25" customHeight="1">
      <c r="A8316" s="2" t="s">
        <v>12</v>
      </c>
      <c r="B8316" s="2" t="str">
        <f>HYPERLINK("http://bbs.12365auto.com/postcontent.aspx?tId=193988","2020年汽车价格将会降得更猛")</f>
        <v>2020年汽车价格将会降得更猛</v>
      </c>
      <c r="C8316" s="2" t="s">
        <v>13</v>
      </c>
      <c r="D8316" s="2" t="s">
        <v>12</v>
      </c>
      <c r="E8316" s="2" t="s">
        <v>27</v>
      </c>
      <c r="F8316" s="2" t="str">
        <f>HYPERLINK("http://bbs.12365auto.com/postcontent.aspx?tId=193988","http://bbs.12365auto.com/postcontent.aspx?tId=193988")</f>
        <v>http://bbs.12365auto.com/postcontent.aspx?tId=193988</v>
      </c>
      <c r="G8316" s="2"/>
      <c r="H8316" s="2" t="s">
        <v>11349</v>
      </c>
      <c r="I8316" s="2" t="s">
        <v>15</v>
      </c>
      <c r="J8316" s="2" t="s">
        <v>2966</v>
      </c>
      <c r="K8316" s="2" t="s">
        <v>11346</v>
      </c>
      <c r="L8316" s="2">
        <f t="shared" si="129"/>
        <v>150</v>
      </c>
    </row>
    <row r="8317" spans="1:12" ht="25" customHeight="1">
      <c r="A8317" s="2" t="s">
        <v>12</v>
      </c>
      <c r="B8317" s="2" t="str">
        <f>HYPERLINK("http://bbs.12365auto.com/postcontent.aspx?tId=193987","富人看不上 穷人买不起")</f>
        <v>富人看不上 穷人买不起</v>
      </c>
      <c r="C8317" s="2" t="s">
        <v>13</v>
      </c>
      <c r="D8317" s="2" t="s">
        <v>12</v>
      </c>
      <c r="E8317" s="2" t="s">
        <v>27</v>
      </c>
      <c r="F8317" s="2" t="str">
        <f>HYPERLINK("http://bbs.12365auto.com/postcontent.aspx?tId=193987","http://bbs.12365auto.com/postcontent.aspx?tId=193987")</f>
        <v>http://bbs.12365auto.com/postcontent.aspx?tId=193987</v>
      </c>
      <c r="G8317" s="2"/>
      <c r="H8317" s="2" t="s">
        <v>9258</v>
      </c>
      <c r="I8317" s="2" t="s">
        <v>15</v>
      </c>
      <c r="J8317" s="2" t="s">
        <v>2966</v>
      </c>
      <c r="K8317" s="2" t="s">
        <v>11346</v>
      </c>
      <c r="L8317" s="2">
        <f t="shared" si="129"/>
        <v>150</v>
      </c>
    </row>
    <row r="8318" spans="1:12" ht="25" customHeight="1">
      <c r="A8318" s="2" t="s">
        <v>12</v>
      </c>
      <c r="B8318" s="2" t="str">
        <f>HYPERLINK("http://bbs.12365auto.com/postcontent.aspx?tId=193986","疫情之后买车会便宜吗？")</f>
        <v>疫情之后买车会便宜吗？</v>
      </c>
      <c r="C8318" s="2" t="s">
        <v>13</v>
      </c>
      <c r="D8318" s="2" t="s">
        <v>12</v>
      </c>
      <c r="E8318" s="2" t="s">
        <v>27</v>
      </c>
      <c r="F8318" s="2" t="str">
        <f>HYPERLINK("http://bbs.12365auto.com/postcontent.aspx?tId=193986","http://bbs.12365auto.com/postcontent.aspx?tId=193986")</f>
        <v>http://bbs.12365auto.com/postcontent.aspx?tId=193986</v>
      </c>
      <c r="G8318" s="2"/>
      <c r="H8318" s="2" t="s">
        <v>11350</v>
      </c>
      <c r="I8318" s="2" t="s">
        <v>15</v>
      </c>
      <c r="J8318" s="2" t="s">
        <v>2966</v>
      </c>
      <c r="K8318" s="2" t="s">
        <v>11346</v>
      </c>
      <c r="L8318" s="2">
        <f t="shared" si="129"/>
        <v>150</v>
      </c>
    </row>
    <row r="8319" spans="1:12" ht="25" customHeight="1">
      <c r="A8319" s="2" t="s">
        <v>12</v>
      </c>
      <c r="B8319" s="2" t="str">
        <f>HYPERLINK("http://m.12365auto.com/bbs/postcontent.aspx?tID=193988","2020年汽车价格将会降得更猛")</f>
        <v>2020年汽车价格将会降得更猛</v>
      </c>
      <c r="C8319" s="2" t="s">
        <v>13</v>
      </c>
      <c r="D8319" s="2" t="s">
        <v>23</v>
      </c>
      <c r="E8319" s="2"/>
      <c r="F8319" s="2" t="str">
        <f>HYPERLINK("http://m.12365auto.com/bbs/postcontent.aspx?tID=193988","http://m.12365auto.com/bbs/postcontent.aspx?tID=193988")</f>
        <v>http://m.12365auto.com/bbs/postcontent.aspx?tID=193988</v>
      </c>
      <c r="G8319" s="2"/>
      <c r="H8319" s="2" t="s">
        <v>11349</v>
      </c>
      <c r="I8319" s="2" t="s">
        <v>15</v>
      </c>
      <c r="J8319" s="2" t="s">
        <v>2966</v>
      </c>
      <c r="K8319" s="2" t="s">
        <v>11346</v>
      </c>
      <c r="L8319" s="2">
        <f t="shared" si="129"/>
        <v>150</v>
      </c>
    </row>
    <row r="8320" spans="1:12" ht="25" customHeight="1">
      <c r="A8320" s="2" t="s">
        <v>12</v>
      </c>
      <c r="B8320" s="2" t="str">
        <f>HYPERLINK("http://m.12365auto.com/bbs/postcontent.aspx?tID=193987","富人看不上 穷人买不起")</f>
        <v>富人看不上 穷人买不起</v>
      </c>
      <c r="C8320" s="2" t="s">
        <v>13</v>
      </c>
      <c r="D8320" s="2" t="s">
        <v>23</v>
      </c>
      <c r="E8320" s="2"/>
      <c r="F8320" s="2" t="str">
        <f>HYPERLINK("http://m.12365auto.com/bbs/postcontent.aspx?tID=193987","http://m.12365auto.com/bbs/postcontent.aspx?tID=193987")</f>
        <v>http://m.12365auto.com/bbs/postcontent.aspx?tID=193987</v>
      </c>
      <c r="G8320" s="2"/>
      <c r="H8320" s="2" t="s">
        <v>9258</v>
      </c>
      <c r="I8320" s="2" t="s">
        <v>15</v>
      </c>
      <c r="J8320" s="2" t="s">
        <v>2966</v>
      </c>
      <c r="K8320" s="2" t="s">
        <v>11346</v>
      </c>
      <c r="L8320" s="2">
        <f t="shared" si="129"/>
        <v>150</v>
      </c>
    </row>
    <row r="8321" spans="1:12" ht="25" customHeight="1">
      <c r="A8321" s="2" t="s">
        <v>12</v>
      </c>
      <c r="B8321" s="2" t="str">
        <f>HYPERLINK("http://m.12365auto.com/bbs/postcontent.aspx?tID=193986","疫情之后买车会便宜吗？")</f>
        <v>疫情之后买车会便宜吗？</v>
      </c>
      <c r="C8321" s="2" t="s">
        <v>13</v>
      </c>
      <c r="D8321" s="2" t="s">
        <v>23</v>
      </c>
      <c r="E8321" s="2"/>
      <c r="F8321" s="2" t="str">
        <f>HYPERLINK("http://m.12365auto.com/bbs/postcontent.aspx?tID=193986","http://m.12365auto.com/bbs/postcontent.aspx?tID=193986")</f>
        <v>http://m.12365auto.com/bbs/postcontent.aspx?tID=193986</v>
      </c>
      <c r="G8321" s="2"/>
      <c r="H8321" s="2" t="s">
        <v>11350</v>
      </c>
      <c r="I8321" s="2" t="s">
        <v>15</v>
      </c>
      <c r="J8321" s="2" t="s">
        <v>2966</v>
      </c>
      <c r="K8321" s="2" t="s">
        <v>11346</v>
      </c>
      <c r="L8321" s="2">
        <f t="shared" si="129"/>
        <v>150</v>
      </c>
    </row>
    <row r="8322" spans="1:12" ht="25" customHeight="1">
      <c r="A8322" s="2" t="s">
        <v>12</v>
      </c>
      <c r="B8322" s="2" t="str">
        <f>HYPERLINK("http://m.12365auto.com/xcdg/20200213/418436.shtml","S5孪生兄弟？海马6P车型申报图曝光")</f>
        <v>S5孪生兄弟？海马6P车型申报图曝光</v>
      </c>
      <c r="C8322" s="2" t="s">
        <v>13</v>
      </c>
      <c r="D8322" s="2" t="s">
        <v>12</v>
      </c>
      <c r="E8322" s="2"/>
      <c r="F8322" s="2" t="str">
        <f>HYPERLINK("http://m.12365auto.com/xcdg/20200213/418436.shtml","http://m.12365auto.com/xcdg/20200213/418436.shtml")</f>
        <v>http://m.12365auto.com/xcdg/20200213/418436.shtml</v>
      </c>
      <c r="G8322" s="2"/>
      <c r="H8322" s="2" t="s">
        <v>11351</v>
      </c>
      <c r="I8322" s="2" t="s">
        <v>19</v>
      </c>
      <c r="J8322" s="2" t="s">
        <v>338</v>
      </c>
      <c r="K8322" s="2" t="s">
        <v>11352</v>
      </c>
      <c r="L8322" s="2">
        <f t="shared" si="129"/>
        <v>150</v>
      </c>
    </row>
    <row r="8323" spans="1:12" ht="25" customHeight="1">
      <c r="A8323" s="2" t="s">
        <v>12</v>
      </c>
      <c r="B8323" s="2" t="str">
        <f>HYPERLINK("http://www.12365auto.com/xcdg/20200213/418436.shtml","S5孪生兄弟？海马6P车型申报图曝光")</f>
        <v>S5孪生兄弟？海马6P车型申报图曝光</v>
      </c>
      <c r="C8323" s="2" t="s">
        <v>13</v>
      </c>
      <c r="D8323" s="2" t="s">
        <v>12</v>
      </c>
      <c r="E8323" s="2" t="s">
        <v>224</v>
      </c>
      <c r="F8323" s="2" t="str">
        <f>HYPERLINK("http://www.12365auto.com/xcdg/20200213/418436.shtml","http://www.12365auto.com/xcdg/20200213/418436.shtml")</f>
        <v>http://www.12365auto.com/xcdg/20200213/418436.shtml</v>
      </c>
      <c r="G8323" s="2"/>
      <c r="H8323" s="2" t="s">
        <v>11353</v>
      </c>
      <c r="I8323" s="2" t="s">
        <v>15</v>
      </c>
      <c r="J8323" s="2" t="s">
        <v>12</v>
      </c>
      <c r="K8323" s="2" t="s">
        <v>11352</v>
      </c>
      <c r="L8323" s="2">
        <f t="shared" ref="L8323:L8386" si="130">LEN(H8323)</f>
        <v>150</v>
      </c>
    </row>
    <row r="8324" spans="1:12" ht="25" customHeight="1">
      <c r="A8324" s="2" t="s">
        <v>12</v>
      </c>
      <c r="B8324" s="2" t="str">
        <f>HYPERLINK("http://bbs.12365auto.com/postcontent.aspx?tID=193984","多年后我依然是那个迷人的小钢炮")</f>
        <v>多年后我依然是那个迷人的小钢炮</v>
      </c>
      <c r="C8324" s="2" t="s">
        <v>13</v>
      </c>
      <c r="D8324" s="2" t="s">
        <v>12</v>
      </c>
      <c r="E8324" s="2" t="s">
        <v>28</v>
      </c>
      <c r="F8324" s="2" t="str">
        <f>HYPERLINK("http://bbs.12365auto.com/postcontent.aspx?tID=193984","http://bbs.12365auto.com/postcontent.aspx?tID=193984")</f>
        <v>http://bbs.12365auto.com/postcontent.aspx?tID=193984</v>
      </c>
      <c r="G8324" s="2"/>
      <c r="H8324" s="2" t="s">
        <v>11354</v>
      </c>
      <c r="I8324" s="2" t="s">
        <v>15</v>
      </c>
      <c r="J8324" s="2" t="s">
        <v>2966</v>
      </c>
      <c r="K8324" s="2" t="s">
        <v>11352</v>
      </c>
      <c r="L8324" s="2">
        <f t="shared" si="130"/>
        <v>150</v>
      </c>
    </row>
    <row r="8325" spans="1:12" ht="25" customHeight="1">
      <c r="A8325" s="2" t="s">
        <v>12</v>
      </c>
      <c r="B8325" s="2" t="str">
        <f>HYPERLINK("http://bbs.12365auto.com/postcontent.aspx?tId=193985","十条汽车界的冷知识")</f>
        <v>十条汽车界的冷知识</v>
      </c>
      <c r="C8325" s="2" t="s">
        <v>13</v>
      </c>
      <c r="D8325" s="2" t="s">
        <v>12</v>
      </c>
      <c r="E8325" s="2" t="s">
        <v>27</v>
      </c>
      <c r="F8325" s="2" t="str">
        <f>HYPERLINK("http://bbs.12365auto.com/postcontent.aspx?tId=193985","http://bbs.12365auto.com/postcontent.aspx?tId=193985")</f>
        <v>http://bbs.12365auto.com/postcontent.aspx?tId=193985</v>
      </c>
      <c r="G8325" s="2"/>
      <c r="H8325" s="2" t="s">
        <v>7843</v>
      </c>
      <c r="I8325" s="2" t="s">
        <v>15</v>
      </c>
      <c r="J8325" s="2" t="s">
        <v>2966</v>
      </c>
      <c r="K8325" s="2" t="s">
        <v>11352</v>
      </c>
      <c r="L8325" s="2">
        <f t="shared" si="130"/>
        <v>150</v>
      </c>
    </row>
    <row r="8326" spans="1:12" ht="25" customHeight="1">
      <c r="A8326" s="2" t="s">
        <v>12</v>
      </c>
      <c r="B8326" s="2" t="str">
        <f>HYPERLINK("http://bbs.12365auto.com/postcontent.aspx?tId=193984","多年后我依然是那个迷人的小钢炮")</f>
        <v>多年后我依然是那个迷人的小钢炮</v>
      </c>
      <c r="C8326" s="2" t="s">
        <v>13</v>
      </c>
      <c r="D8326" s="2" t="s">
        <v>12</v>
      </c>
      <c r="E8326" s="2" t="s">
        <v>27</v>
      </c>
      <c r="F8326" s="2" t="str">
        <f>HYPERLINK("http://bbs.12365auto.com/postcontent.aspx?tId=193984","http://bbs.12365auto.com/postcontent.aspx?tId=193984")</f>
        <v>http://bbs.12365auto.com/postcontent.aspx?tId=193984</v>
      </c>
      <c r="G8326" s="2"/>
      <c r="H8326" s="2" t="s">
        <v>11355</v>
      </c>
      <c r="I8326" s="2" t="s">
        <v>15</v>
      </c>
      <c r="J8326" s="2" t="s">
        <v>2966</v>
      </c>
      <c r="K8326" s="2" t="s">
        <v>11352</v>
      </c>
      <c r="L8326" s="2">
        <f t="shared" si="130"/>
        <v>150</v>
      </c>
    </row>
    <row r="8327" spans="1:12" ht="25" customHeight="1">
      <c r="A8327" s="2" t="s">
        <v>12</v>
      </c>
      <c r="B8327" s="2" t="str">
        <f>HYPERLINK("http://bbs.12365auto.com/postcontent.aspx?tID=193985","十条汽车界的冷知识")</f>
        <v>十条汽车界的冷知识</v>
      </c>
      <c r="C8327" s="2" t="s">
        <v>13</v>
      </c>
      <c r="D8327" s="2" t="s">
        <v>12</v>
      </c>
      <c r="E8327" s="2" t="s">
        <v>28</v>
      </c>
      <c r="F8327" s="2" t="str">
        <f>HYPERLINK("http://bbs.12365auto.com/postcontent.aspx?tID=193985","http://bbs.12365auto.com/postcontent.aspx?tID=193985")</f>
        <v>http://bbs.12365auto.com/postcontent.aspx?tID=193985</v>
      </c>
      <c r="G8327" s="2"/>
      <c r="H8327" s="2" t="s">
        <v>7846</v>
      </c>
      <c r="I8327" s="2" t="s">
        <v>15</v>
      </c>
      <c r="J8327" s="2" t="s">
        <v>2966</v>
      </c>
      <c r="K8327" s="2" t="s">
        <v>11352</v>
      </c>
      <c r="L8327" s="2">
        <f t="shared" si="130"/>
        <v>150</v>
      </c>
    </row>
    <row r="8328" spans="1:12" ht="25" customHeight="1">
      <c r="A8328" s="2" t="s">
        <v>12</v>
      </c>
      <c r="B8328" s="2" t="str">
        <f>HYPERLINK("http://m.12365auto.com/bbs/postcontent.aspx?tID=193984","多年后我依然是那个迷人的小钢炮")</f>
        <v>多年后我依然是那个迷人的小钢炮</v>
      </c>
      <c r="C8328" s="2" t="s">
        <v>13</v>
      </c>
      <c r="D8328" s="2" t="s">
        <v>23</v>
      </c>
      <c r="E8328" s="2"/>
      <c r="F8328" s="2" t="str">
        <f>HYPERLINK("http://m.12365auto.com/bbs/postcontent.aspx?tID=193984","http://m.12365auto.com/bbs/postcontent.aspx?tID=193984")</f>
        <v>http://m.12365auto.com/bbs/postcontent.aspx?tID=193984</v>
      </c>
      <c r="G8328" s="2"/>
      <c r="H8328" s="2" t="s">
        <v>11355</v>
      </c>
      <c r="I8328" s="2" t="s">
        <v>15</v>
      </c>
      <c r="J8328" s="2" t="s">
        <v>2966</v>
      </c>
      <c r="K8328" s="2" t="s">
        <v>11352</v>
      </c>
      <c r="L8328" s="2">
        <f t="shared" si="130"/>
        <v>150</v>
      </c>
    </row>
    <row r="8329" spans="1:12" ht="25" customHeight="1">
      <c r="A8329" s="2" t="s">
        <v>12</v>
      </c>
      <c r="B8329" s="2" t="str">
        <f>HYPERLINK("http://m.12365auto.com/bbs/postcontent.aspx?tID=193985","十条汽车界的冷知识")</f>
        <v>十条汽车界的冷知识</v>
      </c>
      <c r="C8329" s="2" t="s">
        <v>13</v>
      </c>
      <c r="D8329" s="2" t="s">
        <v>23</v>
      </c>
      <c r="E8329" s="2"/>
      <c r="F8329" s="2" t="str">
        <f>HYPERLINK("http://m.12365auto.com/bbs/postcontent.aspx?tID=193985","http://m.12365auto.com/bbs/postcontent.aspx?tID=193985")</f>
        <v>http://m.12365auto.com/bbs/postcontent.aspx?tID=193985</v>
      </c>
      <c r="G8329" s="2"/>
      <c r="H8329" s="2" t="s">
        <v>7843</v>
      </c>
      <c r="I8329" s="2" t="s">
        <v>15</v>
      </c>
      <c r="J8329" s="2" t="s">
        <v>2966</v>
      </c>
      <c r="K8329" s="2" t="s">
        <v>11352</v>
      </c>
      <c r="L8329" s="2">
        <f t="shared" si="130"/>
        <v>150</v>
      </c>
    </row>
    <row r="8330" spans="1:12" ht="25" customHeight="1">
      <c r="A8330" s="2" t="s">
        <v>12</v>
      </c>
      <c r="B8330" s="2" t="str">
        <f>HYPERLINK("http://m.12365auto.com/news/20200213/418435.shtml","注册全新品牌 奇瑞与HAAH在美展开合作")</f>
        <v>注册全新品牌 奇瑞与HAAH在美展开合作</v>
      </c>
      <c r="C8330" s="2" t="s">
        <v>13</v>
      </c>
      <c r="D8330" s="2" t="s">
        <v>12</v>
      </c>
      <c r="E8330" s="2"/>
      <c r="F8330" s="2" t="str">
        <f>HYPERLINK("http://m.12365auto.com/news/20200213/418435.shtml","http://m.12365auto.com/news/20200213/418435.shtml")</f>
        <v>http://m.12365auto.com/news/20200213/418435.shtml</v>
      </c>
      <c r="G8330" s="2"/>
      <c r="H8330" s="2" t="s">
        <v>11356</v>
      </c>
      <c r="I8330" s="2" t="s">
        <v>19</v>
      </c>
      <c r="J8330" s="2" t="s">
        <v>274</v>
      </c>
      <c r="K8330" s="2" t="s">
        <v>11357</v>
      </c>
      <c r="L8330" s="2">
        <f t="shared" si="130"/>
        <v>150</v>
      </c>
    </row>
    <row r="8331" spans="1:12" ht="25" customHeight="1">
      <c r="A8331" s="2" t="s">
        <v>12</v>
      </c>
      <c r="B8331" s="2" t="str">
        <f>HYPERLINK("http://bbs.12365auto.com/postcontent.aspx?tID=193983","长安蓝鲸1.4T和铃木1.4T发动机对比")</f>
        <v>长安蓝鲸1.4T和铃木1.4T发动机对比</v>
      </c>
      <c r="C8331" s="2" t="s">
        <v>13</v>
      </c>
      <c r="D8331" s="2" t="s">
        <v>12</v>
      </c>
      <c r="E8331" s="2" t="s">
        <v>28</v>
      </c>
      <c r="F8331" s="2" t="str">
        <f>HYPERLINK("http://bbs.12365auto.com/postcontent.aspx?tID=193983","http://bbs.12365auto.com/postcontent.aspx?tID=193983")</f>
        <v>http://bbs.12365auto.com/postcontent.aspx?tID=193983</v>
      </c>
      <c r="G8331" s="2"/>
      <c r="H8331" s="2" t="s">
        <v>11358</v>
      </c>
      <c r="I8331" s="2" t="s">
        <v>15</v>
      </c>
      <c r="J8331" s="2" t="s">
        <v>2966</v>
      </c>
      <c r="K8331" s="2" t="s">
        <v>11357</v>
      </c>
      <c r="L8331" s="2">
        <f t="shared" si="130"/>
        <v>150</v>
      </c>
    </row>
    <row r="8332" spans="1:12" ht="25" customHeight="1">
      <c r="A8332" s="2" t="s">
        <v>12</v>
      </c>
      <c r="B8332" s="2" t="str">
        <f>HYPERLINK("http://bbs.12365auto.com/postcontent.aspx?tId=193983","长安蓝鲸1.4T和铃木1.4T发动机对比")</f>
        <v>长安蓝鲸1.4T和铃木1.4T发动机对比</v>
      </c>
      <c r="C8332" s="2" t="s">
        <v>13</v>
      </c>
      <c r="D8332" s="2" t="s">
        <v>12</v>
      </c>
      <c r="E8332" s="2" t="s">
        <v>27</v>
      </c>
      <c r="F8332" s="2" t="str">
        <f>HYPERLINK("http://bbs.12365auto.com/postcontent.aspx?tId=193983","http://bbs.12365auto.com/postcontent.aspx?tId=193983")</f>
        <v>http://bbs.12365auto.com/postcontent.aspx?tId=193983</v>
      </c>
      <c r="G8332" s="2"/>
      <c r="H8332" s="2" t="s">
        <v>11359</v>
      </c>
      <c r="I8332" s="2" t="s">
        <v>15</v>
      </c>
      <c r="J8332" s="2" t="s">
        <v>2966</v>
      </c>
      <c r="K8332" s="2" t="s">
        <v>11357</v>
      </c>
      <c r="L8332" s="2">
        <f t="shared" si="130"/>
        <v>150</v>
      </c>
    </row>
    <row r="8333" spans="1:12" ht="25" customHeight="1">
      <c r="A8333" s="2" t="s">
        <v>12</v>
      </c>
      <c r="B8333" s="2" t="str">
        <f>HYPERLINK("http://www.12365auto.com/news/20200213/418435.shtml","注册全新品牌 奇瑞与HAAH在美展开合作")</f>
        <v>注册全新品牌 奇瑞与HAAH在美展开合作</v>
      </c>
      <c r="C8333" s="2" t="s">
        <v>13</v>
      </c>
      <c r="D8333" s="2" t="s">
        <v>12</v>
      </c>
      <c r="E8333" s="2" t="s">
        <v>282</v>
      </c>
      <c r="F8333" s="2" t="str">
        <f>HYPERLINK("http://www.12365auto.com/news/20200213/418435.shtml","http://www.12365auto.com/news/20200213/418435.shtml")</f>
        <v>http://www.12365auto.com/news/20200213/418435.shtml</v>
      </c>
      <c r="G8333" s="2"/>
      <c r="H8333" s="2" t="s">
        <v>11360</v>
      </c>
      <c r="I8333" s="2" t="s">
        <v>19</v>
      </c>
      <c r="J8333" s="2" t="s">
        <v>12</v>
      </c>
      <c r="K8333" s="2" t="s">
        <v>11357</v>
      </c>
      <c r="L8333" s="2">
        <f t="shared" si="130"/>
        <v>150</v>
      </c>
    </row>
    <row r="8334" spans="1:12" ht="25" customHeight="1">
      <c r="A8334" s="2" t="s">
        <v>12</v>
      </c>
      <c r="B8334" s="2" t="str">
        <f>HYPERLINK("http://m.12365auto.com/bbs/postcontent.aspx?tID=193983","长安蓝鲸1.4T和铃木1.4T发动机对比")</f>
        <v>长安蓝鲸1.4T和铃木1.4T发动机对比</v>
      </c>
      <c r="C8334" s="2" t="s">
        <v>13</v>
      </c>
      <c r="D8334" s="2" t="s">
        <v>23</v>
      </c>
      <c r="E8334" s="2"/>
      <c r="F8334" s="2" t="str">
        <f>HYPERLINK("http://m.12365auto.com/bbs/postcontent.aspx?tID=193983","http://m.12365auto.com/bbs/postcontent.aspx?tID=193983")</f>
        <v>http://m.12365auto.com/bbs/postcontent.aspx?tID=193983</v>
      </c>
      <c r="G8334" s="2"/>
      <c r="H8334" s="2" t="s">
        <v>11359</v>
      </c>
      <c r="I8334" s="2" t="s">
        <v>15</v>
      </c>
      <c r="J8334" s="2" t="s">
        <v>2966</v>
      </c>
      <c r="K8334" s="2" t="s">
        <v>11357</v>
      </c>
      <c r="L8334" s="2">
        <f t="shared" si="130"/>
        <v>150</v>
      </c>
    </row>
    <row r="8335" spans="1:12" ht="25" customHeight="1">
      <c r="A8335" s="2" t="s">
        <v>12</v>
      </c>
      <c r="B8335" s="2" t="str">
        <f>HYPERLINK("http://m.12365auto.com/xcdg/20200213/418434.shtml","解读低配车 拍传祺GS5 235T 手动舒适版")</f>
        <v>解读低配车 拍传祺GS5 235T 手动舒适版</v>
      </c>
      <c r="C8335" s="2" t="s">
        <v>13</v>
      </c>
      <c r="D8335" s="2" t="s">
        <v>12</v>
      </c>
      <c r="E8335" s="2"/>
      <c r="F8335" s="2" t="str">
        <f>HYPERLINK("http://m.12365auto.com/xcdg/20200213/418434.shtml","http://m.12365auto.com/xcdg/20200213/418434.shtml")</f>
        <v>http://m.12365auto.com/xcdg/20200213/418434.shtml</v>
      </c>
      <c r="G8335" s="2"/>
      <c r="H8335" s="2" t="s">
        <v>11361</v>
      </c>
      <c r="I8335" s="2" t="s">
        <v>19</v>
      </c>
      <c r="J8335" s="2" t="s">
        <v>6163</v>
      </c>
      <c r="K8335" s="2" t="s">
        <v>11362</v>
      </c>
      <c r="L8335" s="2">
        <f t="shared" si="130"/>
        <v>150</v>
      </c>
    </row>
    <row r="8336" spans="1:12" ht="25" customHeight="1">
      <c r="A8336" s="2" t="s">
        <v>12</v>
      </c>
      <c r="B8336" s="2" t="str">
        <f>HYPERLINK("http://bbs.12365auto.com/postcontent.aspx?tID=193982","宾利庆祝品牌100周年 发布EXP 100 GT")</f>
        <v>宾利庆祝品牌100周年 发布EXP 100 GT</v>
      </c>
      <c r="C8336" s="2" t="s">
        <v>13</v>
      </c>
      <c r="D8336" s="2" t="s">
        <v>12</v>
      </c>
      <c r="E8336" s="2" t="s">
        <v>28</v>
      </c>
      <c r="F8336" s="2" t="str">
        <f>HYPERLINK("http://bbs.12365auto.com/postcontent.aspx?tID=193982","http://bbs.12365auto.com/postcontent.aspx?tID=193982")</f>
        <v>http://bbs.12365auto.com/postcontent.aspx?tID=193982</v>
      </c>
      <c r="G8336" s="2"/>
      <c r="H8336" s="2" t="s">
        <v>11363</v>
      </c>
      <c r="I8336" s="2" t="s">
        <v>15</v>
      </c>
      <c r="J8336" s="2" t="s">
        <v>2966</v>
      </c>
      <c r="K8336" s="2" t="s">
        <v>11362</v>
      </c>
      <c r="L8336" s="2">
        <f t="shared" si="130"/>
        <v>150</v>
      </c>
    </row>
    <row r="8337" spans="1:12" ht="25" customHeight="1">
      <c r="A8337" s="2" t="s">
        <v>12</v>
      </c>
      <c r="B8337" s="2" t="str">
        <f>HYPERLINK("http://bbs.12365auto.com/postcontent.aspx?tId=193982","宾利庆祝品牌100周年 发布EXP 100 GT")</f>
        <v>宾利庆祝品牌100周年 发布EXP 100 GT</v>
      </c>
      <c r="C8337" s="2" t="s">
        <v>13</v>
      </c>
      <c r="D8337" s="2" t="s">
        <v>12</v>
      </c>
      <c r="E8337" s="2" t="s">
        <v>27</v>
      </c>
      <c r="F8337" s="2" t="str">
        <f>HYPERLINK("http://bbs.12365auto.com/postcontent.aspx?tId=193982","http://bbs.12365auto.com/postcontent.aspx?tId=193982")</f>
        <v>http://bbs.12365auto.com/postcontent.aspx?tId=193982</v>
      </c>
      <c r="G8337" s="2"/>
      <c r="H8337" s="2" t="s">
        <v>11364</v>
      </c>
      <c r="I8337" s="2" t="s">
        <v>15</v>
      </c>
      <c r="J8337" s="2" t="s">
        <v>2966</v>
      </c>
      <c r="K8337" s="2" t="s">
        <v>11362</v>
      </c>
      <c r="L8337" s="2">
        <f t="shared" si="130"/>
        <v>150</v>
      </c>
    </row>
    <row r="8338" spans="1:12" ht="25" customHeight="1">
      <c r="A8338" s="2" t="s">
        <v>12</v>
      </c>
      <c r="B8338" s="2" t="str">
        <f>HYPERLINK("http://bbs.12365auto.com/postcontent.aspx?tId=193981","2020年最受期待的十款跑车")</f>
        <v>2020年最受期待的十款跑车</v>
      </c>
      <c r="C8338" s="2" t="s">
        <v>13</v>
      </c>
      <c r="D8338" s="2" t="s">
        <v>12</v>
      </c>
      <c r="E8338" s="2" t="s">
        <v>27</v>
      </c>
      <c r="F8338" s="2" t="str">
        <f>HYPERLINK("http://bbs.12365auto.com/postcontent.aspx?tId=193981","http://bbs.12365auto.com/postcontent.aspx?tId=193981")</f>
        <v>http://bbs.12365auto.com/postcontent.aspx?tId=193981</v>
      </c>
      <c r="G8338" s="2"/>
      <c r="H8338" s="2" t="s">
        <v>7849</v>
      </c>
      <c r="I8338" s="2" t="s">
        <v>15</v>
      </c>
      <c r="J8338" s="2" t="s">
        <v>2966</v>
      </c>
      <c r="K8338" s="2" t="s">
        <v>11362</v>
      </c>
      <c r="L8338" s="2">
        <f t="shared" si="130"/>
        <v>150</v>
      </c>
    </row>
    <row r="8339" spans="1:12" ht="25" customHeight="1">
      <c r="A8339" s="2" t="s">
        <v>12</v>
      </c>
      <c r="B8339" s="2" t="str">
        <f>HYPERLINK("http://bbs.12365auto.com/postcontent.aspx?tID=193981","2020年最受期待的十款跑车")</f>
        <v>2020年最受期待的十款跑车</v>
      </c>
      <c r="C8339" s="2" t="s">
        <v>13</v>
      </c>
      <c r="D8339" s="2" t="s">
        <v>12</v>
      </c>
      <c r="E8339" s="2" t="s">
        <v>28</v>
      </c>
      <c r="F8339" s="2" t="str">
        <f>HYPERLINK("http://bbs.12365auto.com/postcontent.aspx?tID=193981","http://bbs.12365auto.com/postcontent.aspx?tID=193981")</f>
        <v>http://bbs.12365auto.com/postcontent.aspx?tID=193981</v>
      </c>
      <c r="G8339" s="2"/>
      <c r="H8339" s="2" t="s">
        <v>7852</v>
      </c>
      <c r="I8339" s="2" t="s">
        <v>15</v>
      </c>
      <c r="J8339" s="2" t="s">
        <v>2966</v>
      </c>
      <c r="K8339" s="2" t="s">
        <v>11362</v>
      </c>
      <c r="L8339" s="2">
        <f t="shared" si="130"/>
        <v>150</v>
      </c>
    </row>
    <row r="8340" spans="1:12" ht="25" customHeight="1">
      <c r="A8340" s="2" t="s">
        <v>12</v>
      </c>
      <c r="B8340" s="2" t="str">
        <f>HYPERLINK("http://m.12365auto.com/bbs/postcontent.aspx?tID=193982","宾利庆祝品牌100周年 发布EXP 100 GT")</f>
        <v>宾利庆祝品牌100周年 发布EXP 100 GT</v>
      </c>
      <c r="C8340" s="2" t="s">
        <v>13</v>
      </c>
      <c r="D8340" s="2" t="s">
        <v>23</v>
      </c>
      <c r="E8340" s="2"/>
      <c r="F8340" s="2" t="str">
        <f>HYPERLINK("http://m.12365auto.com/bbs/postcontent.aspx?tID=193982","http://m.12365auto.com/bbs/postcontent.aspx?tID=193982")</f>
        <v>http://m.12365auto.com/bbs/postcontent.aspx?tID=193982</v>
      </c>
      <c r="G8340" s="2"/>
      <c r="H8340" s="2" t="s">
        <v>11364</v>
      </c>
      <c r="I8340" s="2" t="s">
        <v>15</v>
      </c>
      <c r="J8340" s="2" t="s">
        <v>2966</v>
      </c>
      <c r="K8340" s="2" t="s">
        <v>11362</v>
      </c>
      <c r="L8340" s="2">
        <f t="shared" si="130"/>
        <v>150</v>
      </c>
    </row>
    <row r="8341" spans="1:12" ht="25" customHeight="1">
      <c r="A8341" s="2" t="s">
        <v>12</v>
      </c>
      <c r="B8341" s="2" t="str">
        <f>HYPERLINK("http://m.12365auto.com/bbs/postcontent.aspx?tID=193981","2020年最受期待的十款跑车")</f>
        <v>2020年最受期待的十款跑车</v>
      </c>
      <c r="C8341" s="2" t="s">
        <v>13</v>
      </c>
      <c r="D8341" s="2" t="s">
        <v>23</v>
      </c>
      <c r="E8341" s="2"/>
      <c r="F8341" s="2" t="str">
        <f>HYPERLINK("http://m.12365auto.com/bbs/postcontent.aspx?tID=193981","http://m.12365auto.com/bbs/postcontent.aspx?tID=193981")</f>
        <v>http://m.12365auto.com/bbs/postcontent.aspx?tID=193981</v>
      </c>
      <c r="G8341" s="2"/>
      <c r="H8341" s="2" t="s">
        <v>7849</v>
      </c>
      <c r="I8341" s="2" t="s">
        <v>15</v>
      </c>
      <c r="J8341" s="2" t="s">
        <v>2966</v>
      </c>
      <c r="K8341" s="2" t="s">
        <v>11362</v>
      </c>
      <c r="L8341" s="2">
        <f t="shared" si="130"/>
        <v>150</v>
      </c>
    </row>
    <row r="8342" spans="1:12" ht="25" customHeight="1">
      <c r="A8342" s="2" t="s">
        <v>12</v>
      </c>
      <c r="B8342" s="2" t="str">
        <f>HYPERLINK("http://m.12365auto.com/xcdg/20200213/418433.shtml","标配LED大灯/8英寸大屏 实拍入门版昂科拉")</f>
        <v>标配LED大灯/8英寸大屏 实拍入门版昂科拉</v>
      </c>
      <c r="C8342" s="2" t="s">
        <v>13</v>
      </c>
      <c r="D8342" s="2" t="s">
        <v>12</v>
      </c>
      <c r="E8342" s="2"/>
      <c r="F8342" s="2" t="str">
        <f>HYPERLINK("http://m.12365auto.com/xcdg/20200213/418433.shtml","http://m.12365auto.com/xcdg/20200213/418433.shtml")</f>
        <v>http://m.12365auto.com/xcdg/20200213/418433.shtml</v>
      </c>
      <c r="G8342" s="2"/>
      <c r="H8342" s="2" t="s">
        <v>11365</v>
      </c>
      <c r="I8342" s="2" t="s">
        <v>19</v>
      </c>
      <c r="J8342" s="2" t="s">
        <v>3577</v>
      </c>
      <c r="K8342" s="2" t="s">
        <v>11366</v>
      </c>
      <c r="L8342" s="2">
        <f t="shared" si="130"/>
        <v>150</v>
      </c>
    </row>
    <row r="8343" spans="1:12" ht="25" customHeight="1">
      <c r="A8343" s="2" t="s">
        <v>12</v>
      </c>
      <c r="B8343" s="2" t="str">
        <f>HYPERLINK("http://bbs.12365auto.com/postcontent.aspx?tID=193979","新款路虎卫士内饰堪称奢华")</f>
        <v>新款路虎卫士内饰堪称奢华</v>
      </c>
      <c r="C8343" s="2" t="s">
        <v>13</v>
      </c>
      <c r="D8343" s="2" t="s">
        <v>12</v>
      </c>
      <c r="E8343" s="2" t="s">
        <v>28</v>
      </c>
      <c r="F8343" s="2" t="str">
        <f>HYPERLINK("http://bbs.12365auto.com/postcontent.aspx?tID=193979","http://bbs.12365auto.com/postcontent.aspx?tID=193979")</f>
        <v>http://bbs.12365auto.com/postcontent.aspx?tID=193979</v>
      </c>
      <c r="G8343" s="2"/>
      <c r="H8343" s="2" t="s">
        <v>11367</v>
      </c>
      <c r="I8343" s="2" t="s">
        <v>15</v>
      </c>
      <c r="J8343" s="2" t="s">
        <v>11368</v>
      </c>
      <c r="K8343" s="2" t="s">
        <v>11369</v>
      </c>
      <c r="L8343" s="2">
        <f t="shared" si="130"/>
        <v>150</v>
      </c>
    </row>
    <row r="8344" spans="1:12" ht="25" customHeight="1">
      <c r="A8344" s="2" t="s">
        <v>12</v>
      </c>
      <c r="B8344" s="2" t="str">
        <f>HYPERLINK("http://m.12365auto.com/bbs/postcontent.aspx?tID=193980","大众CC无边框漂亮轿车 为啥没帕萨特迈腾吃香")</f>
        <v>大众CC无边框漂亮轿车 为啥没帕萨特迈腾吃香</v>
      </c>
      <c r="C8344" s="2" t="s">
        <v>13</v>
      </c>
      <c r="D8344" s="2" t="s">
        <v>23</v>
      </c>
      <c r="E8344" s="2"/>
      <c r="F8344" s="2" t="str">
        <f>HYPERLINK("http://m.12365auto.com/bbs/postcontent.aspx?tID=193980","http://m.12365auto.com/bbs/postcontent.aspx?tID=193980")</f>
        <v>http://m.12365auto.com/bbs/postcontent.aspx?tID=193980</v>
      </c>
      <c r="G8344" s="2"/>
      <c r="H8344" s="2" t="s">
        <v>11370</v>
      </c>
      <c r="I8344" s="2" t="s">
        <v>15</v>
      </c>
      <c r="J8344" s="2" t="s">
        <v>11368</v>
      </c>
      <c r="K8344" s="2" t="s">
        <v>11369</v>
      </c>
      <c r="L8344" s="2">
        <f t="shared" si="130"/>
        <v>150</v>
      </c>
    </row>
    <row r="8345" spans="1:12" ht="25" customHeight="1">
      <c r="A8345" s="2" t="s">
        <v>12</v>
      </c>
      <c r="B8345" s="2" t="str">
        <f>HYPERLINK("http://m.12365auto.com/bbs/postcontent.aspx?tID=193979","新款路虎卫士内饰堪称奢华")</f>
        <v>新款路虎卫士内饰堪称奢华</v>
      </c>
      <c r="C8345" s="2" t="s">
        <v>13</v>
      </c>
      <c r="D8345" s="2" t="s">
        <v>23</v>
      </c>
      <c r="E8345" s="2"/>
      <c r="F8345" s="2" t="str">
        <f>HYPERLINK("http://m.12365auto.com/bbs/postcontent.aspx?tID=193979","http://m.12365auto.com/bbs/postcontent.aspx?tID=193979")</f>
        <v>http://m.12365auto.com/bbs/postcontent.aspx?tID=193979</v>
      </c>
      <c r="G8345" s="2"/>
      <c r="H8345" s="2" t="s">
        <v>11371</v>
      </c>
      <c r="I8345" s="2" t="s">
        <v>15</v>
      </c>
      <c r="J8345" s="2" t="s">
        <v>11368</v>
      </c>
      <c r="K8345" s="2" t="s">
        <v>11369</v>
      </c>
      <c r="L8345" s="2">
        <f t="shared" si="130"/>
        <v>150</v>
      </c>
    </row>
    <row r="8346" spans="1:12" ht="25" customHeight="1">
      <c r="A8346" s="2" t="s">
        <v>12</v>
      </c>
      <c r="B8346" s="2" t="str">
        <f>HYPERLINK("http://bbs.12365auto.com/postcontent.aspx?tId=193980","大众CC无边框漂亮轿车 为啥没帕萨特迈腾吃香")</f>
        <v>大众CC无边框漂亮轿车 为啥没帕萨特迈腾吃香</v>
      </c>
      <c r="C8346" s="2" t="s">
        <v>13</v>
      </c>
      <c r="D8346" s="2" t="s">
        <v>12</v>
      </c>
      <c r="E8346" s="2" t="s">
        <v>27</v>
      </c>
      <c r="F8346" s="2" t="str">
        <f>HYPERLINK("http://bbs.12365auto.com/postcontent.aspx?tId=193980","http://bbs.12365auto.com/postcontent.aspx?tId=193980")</f>
        <v>http://bbs.12365auto.com/postcontent.aspx?tId=193980</v>
      </c>
      <c r="G8346" s="2"/>
      <c r="H8346" s="2" t="s">
        <v>11370</v>
      </c>
      <c r="I8346" s="2" t="s">
        <v>15</v>
      </c>
      <c r="J8346" s="2" t="s">
        <v>11368</v>
      </c>
      <c r="K8346" s="2" t="s">
        <v>11369</v>
      </c>
      <c r="L8346" s="2">
        <f t="shared" si="130"/>
        <v>150</v>
      </c>
    </row>
    <row r="8347" spans="1:12" ht="25" customHeight="1">
      <c r="A8347" s="2" t="s">
        <v>12</v>
      </c>
      <c r="B8347" s="2" t="str">
        <f>HYPERLINK("http://bbs.12365auto.com/postcontent.aspx?tId=193979","新款路虎卫士内饰堪称奢华")</f>
        <v>新款路虎卫士内饰堪称奢华</v>
      </c>
      <c r="C8347" s="2" t="s">
        <v>13</v>
      </c>
      <c r="D8347" s="2" t="s">
        <v>12</v>
      </c>
      <c r="E8347" s="2" t="s">
        <v>27</v>
      </c>
      <c r="F8347" s="2" t="str">
        <f>HYPERLINK("http://bbs.12365auto.com/postcontent.aspx?tId=193979","http://bbs.12365auto.com/postcontent.aspx?tId=193979")</f>
        <v>http://bbs.12365auto.com/postcontent.aspx?tId=193979</v>
      </c>
      <c r="G8347" s="2"/>
      <c r="H8347" s="2" t="s">
        <v>11371</v>
      </c>
      <c r="I8347" s="2" t="s">
        <v>15</v>
      </c>
      <c r="J8347" s="2" t="s">
        <v>11368</v>
      </c>
      <c r="K8347" s="2" t="s">
        <v>11369</v>
      </c>
      <c r="L8347" s="2">
        <f t="shared" si="130"/>
        <v>150</v>
      </c>
    </row>
    <row r="8348" spans="1:12" ht="25" customHeight="1">
      <c r="A8348" s="2" t="s">
        <v>12</v>
      </c>
      <c r="B8348" s="2" t="str">
        <f>HYPERLINK("http://bbs.12365auto.com/postcontent.aspx?tID=193980","大众CC无边框漂亮轿车 为啥没帕萨特迈腾吃香")</f>
        <v>大众CC无边框漂亮轿车 为啥没帕萨特迈腾吃香</v>
      </c>
      <c r="C8348" s="2" t="s">
        <v>13</v>
      </c>
      <c r="D8348" s="2" t="s">
        <v>12</v>
      </c>
      <c r="E8348" s="2" t="s">
        <v>28</v>
      </c>
      <c r="F8348" s="2" t="str">
        <f>HYPERLINK("http://bbs.12365auto.com/postcontent.aspx?tID=193980","http://bbs.12365auto.com/postcontent.aspx?tID=193980")</f>
        <v>http://bbs.12365auto.com/postcontent.aspx?tID=193980</v>
      </c>
      <c r="G8348" s="2"/>
      <c r="H8348" s="2" t="s">
        <v>11372</v>
      </c>
      <c r="I8348" s="2" t="s">
        <v>15</v>
      </c>
      <c r="J8348" s="2" t="s">
        <v>11368</v>
      </c>
      <c r="K8348" s="2" t="s">
        <v>11369</v>
      </c>
      <c r="L8348" s="2">
        <f t="shared" si="130"/>
        <v>150</v>
      </c>
    </row>
    <row r="8349" spans="1:12" ht="25" customHeight="1">
      <c r="A8349" s="2" t="s">
        <v>12</v>
      </c>
      <c r="B8349" s="2" t="str">
        <f>HYPERLINK("http://bbs.12365auto.com/postcontent.aspx?tID=193978","国产豪车再上一层楼 配3.0T与空气悬架")</f>
        <v>国产豪车再上一层楼 配3.0T与空气悬架</v>
      </c>
      <c r="C8349" s="2" t="s">
        <v>13</v>
      </c>
      <c r="D8349" s="2" t="s">
        <v>12</v>
      </c>
      <c r="E8349" s="2" t="s">
        <v>28</v>
      </c>
      <c r="F8349" s="2" t="str">
        <f>HYPERLINK("http://bbs.12365auto.com/postcontent.aspx?tID=193978","http://bbs.12365auto.com/postcontent.aspx?tID=193978")</f>
        <v>http://bbs.12365auto.com/postcontent.aspx?tID=193978</v>
      </c>
      <c r="G8349" s="2"/>
      <c r="H8349" s="2" t="s">
        <v>11373</v>
      </c>
      <c r="I8349" s="2" t="s">
        <v>15</v>
      </c>
      <c r="J8349" s="2" t="s">
        <v>11368</v>
      </c>
      <c r="K8349" s="2" t="s">
        <v>11374</v>
      </c>
      <c r="L8349" s="2">
        <f t="shared" si="130"/>
        <v>150</v>
      </c>
    </row>
    <row r="8350" spans="1:12" ht="25" customHeight="1">
      <c r="A8350" s="2" t="s">
        <v>12</v>
      </c>
      <c r="B8350" s="2" t="str">
        <f>HYPERLINK("http://m.12365auto.com/bbs/postcontent.aspx?tID=193978","国产豪车再上一层楼 配3.0T与空气悬架")</f>
        <v>国产豪车再上一层楼 配3.0T与空气悬架</v>
      </c>
      <c r="C8350" s="2" t="s">
        <v>13</v>
      </c>
      <c r="D8350" s="2" t="s">
        <v>23</v>
      </c>
      <c r="E8350" s="2"/>
      <c r="F8350" s="2" t="str">
        <f>HYPERLINK("http://m.12365auto.com/bbs/postcontent.aspx?tID=193978","http://m.12365auto.com/bbs/postcontent.aspx?tID=193978")</f>
        <v>http://m.12365auto.com/bbs/postcontent.aspx?tID=193978</v>
      </c>
      <c r="G8350" s="2"/>
      <c r="H8350" s="2" t="s">
        <v>11375</v>
      </c>
      <c r="I8350" s="2" t="s">
        <v>15</v>
      </c>
      <c r="J8350" s="2" t="s">
        <v>11368</v>
      </c>
      <c r="K8350" s="2" t="s">
        <v>11374</v>
      </c>
      <c r="L8350" s="2">
        <f t="shared" si="130"/>
        <v>150</v>
      </c>
    </row>
    <row r="8351" spans="1:12" ht="25" customHeight="1">
      <c r="A8351" s="2" t="s">
        <v>12</v>
      </c>
      <c r="B8351" s="2" t="str">
        <f>HYPERLINK("http://bbs.12365auto.com/postcontent.aspx?tId=193978","国产豪车再上一层楼 配3.0T与空气悬架")</f>
        <v>国产豪车再上一层楼 配3.0T与空气悬架</v>
      </c>
      <c r="C8351" s="2" t="s">
        <v>13</v>
      </c>
      <c r="D8351" s="2" t="s">
        <v>12</v>
      </c>
      <c r="E8351" s="2" t="s">
        <v>27</v>
      </c>
      <c r="F8351" s="2" t="str">
        <f>HYPERLINK("http://bbs.12365auto.com/postcontent.aspx?tId=193978","http://bbs.12365auto.com/postcontent.aspx?tId=193978")</f>
        <v>http://bbs.12365auto.com/postcontent.aspx?tId=193978</v>
      </c>
      <c r="G8351" s="2"/>
      <c r="H8351" s="2" t="s">
        <v>11375</v>
      </c>
      <c r="I8351" s="2" t="s">
        <v>15</v>
      </c>
      <c r="J8351" s="2" t="s">
        <v>11368</v>
      </c>
      <c r="K8351" s="2" t="s">
        <v>11374</v>
      </c>
      <c r="L8351" s="2">
        <f t="shared" si="130"/>
        <v>150</v>
      </c>
    </row>
    <row r="8352" spans="1:12" ht="25" customHeight="1">
      <c r="A8352" s="2" t="s">
        <v>12</v>
      </c>
      <c r="B8352" s="2" t="str">
        <f>HYPERLINK("http://bbs.12365auto.com/postcontent.aspx?tID=193977","2.0T四驱顶配15万 看看这款单月销量一万多的SUV哪款最值")</f>
        <v>2.0T四驱顶配15万 看看这款单月销量一万多的SUV哪款最值</v>
      </c>
      <c r="C8352" s="2" t="s">
        <v>13</v>
      </c>
      <c r="D8352" s="2" t="s">
        <v>12</v>
      </c>
      <c r="E8352" s="2" t="s">
        <v>28</v>
      </c>
      <c r="F8352" s="2" t="str">
        <f>HYPERLINK("http://bbs.12365auto.com/postcontent.aspx?tID=193977","http://bbs.12365auto.com/postcontent.aspx?tID=193977")</f>
        <v>http://bbs.12365auto.com/postcontent.aspx?tID=193977</v>
      </c>
      <c r="G8352" s="2"/>
      <c r="H8352" s="2" t="s">
        <v>11376</v>
      </c>
      <c r="I8352" s="2" t="s">
        <v>15</v>
      </c>
      <c r="J8352" s="2" t="s">
        <v>11368</v>
      </c>
      <c r="K8352" s="2" t="s">
        <v>11377</v>
      </c>
      <c r="L8352" s="2">
        <f t="shared" si="130"/>
        <v>150</v>
      </c>
    </row>
    <row r="8353" spans="1:12" ht="25" customHeight="1">
      <c r="A8353" s="2" t="s">
        <v>12</v>
      </c>
      <c r="B8353" s="2" t="str">
        <f>HYPERLINK("http://m.12365auto.com/bbs/postcontent.aspx?tID=193977","2.0T四驱顶配15万 看看这款单月销量一万多的SUV哪款最值")</f>
        <v>2.0T四驱顶配15万 看看这款单月销量一万多的SUV哪款最值</v>
      </c>
      <c r="C8353" s="2" t="s">
        <v>13</v>
      </c>
      <c r="D8353" s="2" t="s">
        <v>23</v>
      </c>
      <c r="E8353" s="2"/>
      <c r="F8353" s="2" t="str">
        <f>HYPERLINK("http://m.12365auto.com/bbs/postcontent.aspx?tID=193977","http://m.12365auto.com/bbs/postcontent.aspx?tID=193977")</f>
        <v>http://m.12365auto.com/bbs/postcontent.aspx?tID=193977</v>
      </c>
      <c r="G8353" s="2"/>
      <c r="H8353" s="2" t="s">
        <v>11378</v>
      </c>
      <c r="I8353" s="2" t="s">
        <v>15</v>
      </c>
      <c r="J8353" s="2" t="s">
        <v>11368</v>
      </c>
      <c r="K8353" s="2" t="s">
        <v>11377</v>
      </c>
      <c r="L8353" s="2">
        <f t="shared" si="130"/>
        <v>150</v>
      </c>
    </row>
    <row r="8354" spans="1:12" ht="25" customHeight="1">
      <c r="A8354" s="2" t="s">
        <v>12</v>
      </c>
      <c r="B8354" s="2" t="str">
        <f>HYPERLINK("http://bbs.12365auto.com/postcontent.aspx?tId=193977","2.0T四驱顶配15万 看看这款单月销量一万多的SUV哪款最值")</f>
        <v>2.0T四驱顶配15万 看看这款单月销量一万多的SUV哪款最值</v>
      </c>
      <c r="C8354" s="2" t="s">
        <v>13</v>
      </c>
      <c r="D8354" s="2" t="s">
        <v>12</v>
      </c>
      <c r="E8354" s="2" t="s">
        <v>27</v>
      </c>
      <c r="F8354" s="2" t="str">
        <f>HYPERLINK("http://bbs.12365auto.com/postcontent.aspx?tId=193977","http://bbs.12365auto.com/postcontent.aspx?tId=193977")</f>
        <v>http://bbs.12365auto.com/postcontent.aspx?tId=193977</v>
      </c>
      <c r="G8354" s="2"/>
      <c r="H8354" s="2" t="s">
        <v>11378</v>
      </c>
      <c r="I8354" s="2" t="s">
        <v>15</v>
      </c>
      <c r="J8354" s="2" t="s">
        <v>11368</v>
      </c>
      <c r="K8354" s="2" t="s">
        <v>11377</v>
      </c>
      <c r="L8354" s="2">
        <f t="shared" si="130"/>
        <v>150</v>
      </c>
    </row>
    <row r="8355" spans="1:12" ht="25" customHeight="1">
      <c r="A8355" s="2" t="s">
        <v>12</v>
      </c>
      <c r="B8355" s="2" t="str">
        <f>HYPERLINK("http://m.12365auto.com/bbs/postcontent.aspx?tID=193976","宾利庆祝品牌100周年 发布了帅爆的EXP 100 GT")</f>
        <v>宾利庆祝品牌100周年 发布了帅爆的EXP 100 GT</v>
      </c>
      <c r="C8355" s="2" t="s">
        <v>13</v>
      </c>
      <c r="D8355" s="2" t="s">
        <v>23</v>
      </c>
      <c r="E8355" s="2"/>
      <c r="F8355" s="2" t="str">
        <f>HYPERLINK("http://m.12365auto.com/bbs/postcontent.aspx?tID=193976","http://m.12365auto.com/bbs/postcontent.aspx?tID=193976")</f>
        <v>http://m.12365auto.com/bbs/postcontent.aspx?tID=193976</v>
      </c>
      <c r="G8355" s="2"/>
      <c r="H8355" s="2" t="s">
        <v>11364</v>
      </c>
      <c r="I8355" s="2" t="s">
        <v>15</v>
      </c>
      <c r="J8355" s="2" t="s">
        <v>11368</v>
      </c>
      <c r="K8355" s="2" t="s">
        <v>11379</v>
      </c>
      <c r="L8355" s="2">
        <f t="shared" si="130"/>
        <v>150</v>
      </c>
    </row>
    <row r="8356" spans="1:12" ht="25" customHeight="1">
      <c r="A8356" s="2" t="s">
        <v>12</v>
      </c>
      <c r="B8356" s="2" t="str">
        <f>HYPERLINK("http://bbs.12365auto.com/postcontent.aspx?tID=193976","宾利庆祝品牌100周年 发布了帅爆的EXP 100 GT")</f>
        <v>宾利庆祝品牌100周年 发布了帅爆的EXP 100 GT</v>
      </c>
      <c r="C8356" s="2" t="s">
        <v>13</v>
      </c>
      <c r="D8356" s="2" t="s">
        <v>12</v>
      </c>
      <c r="E8356" s="2" t="s">
        <v>28</v>
      </c>
      <c r="F8356" s="2" t="str">
        <f>HYPERLINK("http://bbs.12365auto.com/postcontent.aspx?tID=193976","http://bbs.12365auto.com/postcontent.aspx?tID=193976")</f>
        <v>http://bbs.12365auto.com/postcontent.aspx?tID=193976</v>
      </c>
      <c r="G8356" s="2"/>
      <c r="H8356" s="2" t="s">
        <v>11380</v>
      </c>
      <c r="I8356" s="2" t="s">
        <v>15</v>
      </c>
      <c r="J8356" s="2" t="s">
        <v>11368</v>
      </c>
      <c r="K8356" s="2" t="s">
        <v>11379</v>
      </c>
      <c r="L8356" s="2">
        <f t="shared" si="130"/>
        <v>150</v>
      </c>
    </row>
    <row r="8357" spans="1:12" ht="25" customHeight="1">
      <c r="A8357" s="2" t="s">
        <v>12</v>
      </c>
      <c r="B8357" s="2" t="str">
        <f>HYPERLINK("http://bbs.12365auto.com/postcontent.aspx?tId=193976","宾利庆祝品牌100周年 发布了帅爆的EXP 100 GT")</f>
        <v>宾利庆祝品牌100周年 发布了帅爆的EXP 100 GT</v>
      </c>
      <c r="C8357" s="2" t="s">
        <v>13</v>
      </c>
      <c r="D8357" s="2" t="s">
        <v>12</v>
      </c>
      <c r="E8357" s="2" t="s">
        <v>27</v>
      </c>
      <c r="F8357" s="2" t="str">
        <f>HYPERLINK("http://bbs.12365auto.com/postcontent.aspx?tId=193976","http://bbs.12365auto.com/postcontent.aspx?tId=193976")</f>
        <v>http://bbs.12365auto.com/postcontent.aspx?tId=193976</v>
      </c>
      <c r="G8357" s="2"/>
      <c r="H8357" s="2" t="s">
        <v>11364</v>
      </c>
      <c r="I8357" s="2" t="s">
        <v>15</v>
      </c>
      <c r="J8357" s="2" t="s">
        <v>11368</v>
      </c>
      <c r="K8357" s="2" t="s">
        <v>11379</v>
      </c>
      <c r="L8357" s="2">
        <f t="shared" si="130"/>
        <v>150</v>
      </c>
    </row>
    <row r="8358" spans="1:12" ht="25" customHeight="1">
      <c r="A8358" s="2" t="s">
        <v>12</v>
      </c>
      <c r="B8358" s="2" t="str">
        <f>HYPERLINK("http://m.12365auto.com/bbs/postcontent.aspx?tID=193975","2020年最受期待的十款跑车")</f>
        <v>2020年最受期待的十款跑车</v>
      </c>
      <c r="C8358" s="2" t="s">
        <v>13</v>
      </c>
      <c r="D8358" s="2" t="s">
        <v>23</v>
      </c>
      <c r="E8358" s="2"/>
      <c r="F8358" s="2" t="str">
        <f>HYPERLINK("http://m.12365auto.com/bbs/postcontent.aspx?tID=193975","http://m.12365auto.com/bbs/postcontent.aspx?tID=193975")</f>
        <v>http://m.12365auto.com/bbs/postcontent.aspx?tID=193975</v>
      </c>
      <c r="G8358" s="2"/>
      <c r="H8358" s="2" t="s">
        <v>7849</v>
      </c>
      <c r="I8358" s="2" t="s">
        <v>15</v>
      </c>
      <c r="J8358" s="2" t="s">
        <v>11368</v>
      </c>
      <c r="K8358" s="2" t="s">
        <v>11381</v>
      </c>
      <c r="L8358" s="2">
        <f t="shared" si="130"/>
        <v>150</v>
      </c>
    </row>
    <row r="8359" spans="1:12" ht="25" customHeight="1">
      <c r="A8359" s="2" t="s">
        <v>12</v>
      </c>
      <c r="B8359" s="2" t="str">
        <f>HYPERLINK("http://bbs.12365auto.com/postcontent.aspx?tID=193975","2020年最受期待的十款跑车")</f>
        <v>2020年最受期待的十款跑车</v>
      </c>
      <c r="C8359" s="2" t="s">
        <v>13</v>
      </c>
      <c r="D8359" s="2" t="s">
        <v>12</v>
      </c>
      <c r="E8359" s="2" t="s">
        <v>28</v>
      </c>
      <c r="F8359" s="2" t="str">
        <f>HYPERLINK("http://bbs.12365auto.com/postcontent.aspx?tID=193975","http://bbs.12365auto.com/postcontent.aspx?tID=193975")</f>
        <v>http://bbs.12365auto.com/postcontent.aspx?tID=193975</v>
      </c>
      <c r="G8359" s="2"/>
      <c r="H8359" s="2" t="s">
        <v>7852</v>
      </c>
      <c r="I8359" s="2" t="s">
        <v>15</v>
      </c>
      <c r="J8359" s="2" t="s">
        <v>11368</v>
      </c>
      <c r="K8359" s="2" t="s">
        <v>11381</v>
      </c>
      <c r="L8359" s="2">
        <f t="shared" si="130"/>
        <v>150</v>
      </c>
    </row>
    <row r="8360" spans="1:12" ht="25" customHeight="1">
      <c r="A8360" s="2" t="s">
        <v>12</v>
      </c>
      <c r="B8360" s="2" t="str">
        <f>HYPERLINK("http://bbs.12365auto.com/postcontent.aspx?tId=193975","2020年最受期待的十款跑车")</f>
        <v>2020年最受期待的十款跑车</v>
      </c>
      <c r="C8360" s="2" t="s">
        <v>13</v>
      </c>
      <c r="D8360" s="2" t="s">
        <v>12</v>
      </c>
      <c r="E8360" s="2" t="s">
        <v>27</v>
      </c>
      <c r="F8360" s="2" t="str">
        <f>HYPERLINK("http://bbs.12365auto.com/postcontent.aspx?tId=193975","http://bbs.12365auto.com/postcontent.aspx?tId=193975")</f>
        <v>http://bbs.12365auto.com/postcontent.aspx?tId=193975</v>
      </c>
      <c r="G8360" s="2"/>
      <c r="H8360" s="2" t="s">
        <v>7849</v>
      </c>
      <c r="I8360" s="2" t="s">
        <v>15</v>
      </c>
      <c r="J8360" s="2" t="s">
        <v>11368</v>
      </c>
      <c r="K8360" s="2" t="s">
        <v>11381</v>
      </c>
      <c r="L8360" s="2">
        <f t="shared" si="130"/>
        <v>150</v>
      </c>
    </row>
    <row r="8361" spans="1:12" ht="25" customHeight="1">
      <c r="A8361" s="2" t="s">
        <v>12</v>
      </c>
      <c r="B8361" s="2" t="str">
        <f>HYPERLINK("http://m.12365auto.com/bbs/postcontent.aspx?tID=193974","改款途观长这样 大众新款Tiguan无伪装谍照曝光")</f>
        <v>改款途观长这样 大众新款Tiguan无伪装谍照曝光</v>
      </c>
      <c r="C8361" s="2" t="s">
        <v>13</v>
      </c>
      <c r="D8361" s="2" t="s">
        <v>23</v>
      </c>
      <c r="E8361" s="2"/>
      <c r="F8361" s="2" t="str">
        <f>HYPERLINK("http://m.12365auto.com/bbs/postcontent.aspx?tID=193974","http://m.12365auto.com/bbs/postcontent.aspx?tID=193974")</f>
        <v>http://m.12365auto.com/bbs/postcontent.aspx?tID=193974</v>
      </c>
      <c r="G8361" s="2"/>
      <c r="H8361" s="2" t="s">
        <v>11382</v>
      </c>
      <c r="I8361" s="2" t="s">
        <v>15</v>
      </c>
      <c r="J8361" s="2" t="s">
        <v>11368</v>
      </c>
      <c r="K8361" s="2" t="s">
        <v>11383</v>
      </c>
      <c r="L8361" s="2">
        <f t="shared" si="130"/>
        <v>150</v>
      </c>
    </row>
    <row r="8362" spans="1:12" ht="25" customHeight="1">
      <c r="A8362" s="2" t="s">
        <v>12</v>
      </c>
      <c r="B8362" s="2" t="str">
        <f>HYPERLINK("http://bbs.12365auto.com/postcontent.aspx?tId=193974","改款途观长这样 大众新款Tiguan无伪装谍照曝光")</f>
        <v>改款途观长这样 大众新款Tiguan无伪装谍照曝光</v>
      </c>
      <c r="C8362" s="2" t="s">
        <v>13</v>
      </c>
      <c r="D8362" s="2" t="s">
        <v>12</v>
      </c>
      <c r="E8362" s="2" t="s">
        <v>27</v>
      </c>
      <c r="F8362" s="2" t="str">
        <f>HYPERLINK("http://bbs.12365auto.com/postcontent.aspx?tId=193974","http://bbs.12365auto.com/postcontent.aspx?tId=193974")</f>
        <v>http://bbs.12365auto.com/postcontent.aspx?tId=193974</v>
      </c>
      <c r="G8362" s="2"/>
      <c r="H8362" s="2" t="s">
        <v>11382</v>
      </c>
      <c r="I8362" s="2" t="s">
        <v>15</v>
      </c>
      <c r="J8362" s="2" t="s">
        <v>11368</v>
      </c>
      <c r="K8362" s="2" t="s">
        <v>11383</v>
      </c>
      <c r="L8362" s="2">
        <f t="shared" si="130"/>
        <v>150</v>
      </c>
    </row>
    <row r="8363" spans="1:12" ht="25" customHeight="1">
      <c r="A8363" s="2" t="s">
        <v>12</v>
      </c>
      <c r="B8363" s="2" t="str">
        <f>HYPERLINK("http://bbs.12365auto.com/postcontent.aspx?tID=193974","改款途观长这样 大众新款Tiguan无伪装谍照曝光")</f>
        <v>改款途观长这样 大众新款Tiguan无伪装谍照曝光</v>
      </c>
      <c r="C8363" s="2" t="s">
        <v>13</v>
      </c>
      <c r="D8363" s="2" t="s">
        <v>12</v>
      </c>
      <c r="E8363" s="2" t="s">
        <v>28</v>
      </c>
      <c r="F8363" s="2" t="str">
        <f>HYPERLINK("http://bbs.12365auto.com/postcontent.aspx?tID=193974","http://bbs.12365auto.com/postcontent.aspx?tID=193974")</f>
        <v>http://bbs.12365auto.com/postcontent.aspx?tID=193974</v>
      </c>
      <c r="G8363" s="2"/>
      <c r="H8363" s="2" t="s">
        <v>11384</v>
      </c>
      <c r="I8363" s="2" t="s">
        <v>15</v>
      </c>
      <c r="J8363" s="2" t="s">
        <v>11368</v>
      </c>
      <c r="K8363" s="2" t="s">
        <v>11383</v>
      </c>
      <c r="L8363" s="2">
        <f t="shared" si="130"/>
        <v>150</v>
      </c>
    </row>
    <row r="8364" spans="1:12" ht="25" customHeight="1">
      <c r="A8364" s="2" t="s">
        <v>12</v>
      </c>
      <c r="B8364" s="2" t="str">
        <f>HYPERLINK("http://www.12365auto.com/zlts/20200213/447073.shtml","郑州日产途达电瓶亏电导致无法启动")</f>
        <v>郑州日产途达电瓶亏电导致无法启动</v>
      </c>
      <c r="C8364" s="2" t="s">
        <v>13</v>
      </c>
      <c r="D8364" s="2" t="s">
        <v>12</v>
      </c>
      <c r="E8364" s="2"/>
      <c r="F8364" s="2" t="str">
        <f>HYPERLINK("http://www.12365auto.com/zlts/20200213/447073.shtml","http://www.12365auto.com/zlts/20200213/447073.shtml")</f>
        <v>http://www.12365auto.com/zlts/20200213/447073.shtml</v>
      </c>
      <c r="G8364" s="2"/>
      <c r="H8364" s="2" t="s">
        <v>11386</v>
      </c>
      <c r="I8364" s="2" t="s">
        <v>15</v>
      </c>
      <c r="J8364" s="2" t="s">
        <v>12</v>
      </c>
      <c r="K8364" s="2" t="s">
        <v>11385</v>
      </c>
      <c r="L8364" s="2">
        <f t="shared" si="130"/>
        <v>83</v>
      </c>
    </row>
    <row r="8365" spans="1:12" ht="25" customHeight="1">
      <c r="A8365" s="2" t="s">
        <v>12</v>
      </c>
      <c r="B8365" s="2" t="str">
        <f>HYPERLINK("http://bbs.12365auto.com/postcontent.aspx?tID=193973","2019年最让人意想不到的五款SUV")</f>
        <v>2019年最让人意想不到的五款SUV</v>
      </c>
      <c r="C8365" s="2" t="s">
        <v>13</v>
      </c>
      <c r="D8365" s="2" t="s">
        <v>12</v>
      </c>
      <c r="E8365" s="2" t="s">
        <v>28</v>
      </c>
      <c r="F8365" s="2" t="str">
        <f>HYPERLINK("http://bbs.12365auto.com/postcontent.aspx?tID=193973","http://bbs.12365auto.com/postcontent.aspx?tID=193973")</f>
        <v>http://bbs.12365auto.com/postcontent.aspx?tID=193973</v>
      </c>
      <c r="G8365" s="2"/>
      <c r="H8365" s="2" t="s">
        <v>9138</v>
      </c>
      <c r="I8365" s="2" t="s">
        <v>15</v>
      </c>
      <c r="J8365" s="2" t="s">
        <v>11368</v>
      </c>
      <c r="K8365" s="2" t="s">
        <v>11387</v>
      </c>
      <c r="L8365" s="2">
        <f t="shared" si="130"/>
        <v>150</v>
      </c>
    </row>
    <row r="8366" spans="1:12" ht="25" customHeight="1">
      <c r="A8366" s="2" t="s">
        <v>12</v>
      </c>
      <c r="B8366" s="2" t="str">
        <f>HYPERLINK("http://bbs.12365auto.com/postcontent.aspx?tID=193972","买车不用急 2020年汽车价格将会降得更猛")</f>
        <v>买车不用急 2020年汽车价格将会降得更猛</v>
      </c>
      <c r="C8366" s="2" t="s">
        <v>13</v>
      </c>
      <c r="D8366" s="2" t="s">
        <v>12</v>
      </c>
      <c r="E8366" s="2" t="s">
        <v>28</v>
      </c>
      <c r="F8366" s="2" t="str">
        <f>HYPERLINK("http://bbs.12365auto.com/postcontent.aspx?tID=193972","http://bbs.12365auto.com/postcontent.aspx?tID=193972")</f>
        <v>http://bbs.12365auto.com/postcontent.aspx?tID=193972</v>
      </c>
      <c r="G8366" s="2"/>
      <c r="H8366" s="2" t="s">
        <v>11388</v>
      </c>
      <c r="I8366" s="2" t="s">
        <v>15</v>
      </c>
      <c r="J8366" s="2" t="s">
        <v>11368</v>
      </c>
      <c r="K8366" s="2" t="s">
        <v>11387</v>
      </c>
      <c r="L8366" s="2">
        <f t="shared" si="130"/>
        <v>150</v>
      </c>
    </row>
    <row r="8367" spans="1:12" ht="25" customHeight="1">
      <c r="A8367" s="2" t="s">
        <v>12</v>
      </c>
      <c r="B8367" s="2" t="str">
        <f>HYPERLINK("http://m.12365auto.com/bbs/postcontent.aspx?tID=193973","2019年最让人意想不到的五款SUV")</f>
        <v>2019年最让人意想不到的五款SUV</v>
      </c>
      <c r="C8367" s="2" t="s">
        <v>13</v>
      </c>
      <c r="D8367" s="2" t="s">
        <v>23</v>
      </c>
      <c r="E8367" s="2"/>
      <c r="F8367" s="2" t="str">
        <f>HYPERLINK("http://m.12365auto.com/bbs/postcontent.aspx?tID=193973","http://m.12365auto.com/bbs/postcontent.aspx?tID=193973")</f>
        <v>http://m.12365auto.com/bbs/postcontent.aspx?tID=193973</v>
      </c>
      <c r="G8367" s="2"/>
      <c r="H8367" s="2" t="s">
        <v>7354</v>
      </c>
      <c r="I8367" s="2" t="s">
        <v>15</v>
      </c>
      <c r="J8367" s="2" t="s">
        <v>11368</v>
      </c>
      <c r="K8367" s="2" t="s">
        <v>11387</v>
      </c>
      <c r="L8367" s="2">
        <f t="shared" si="130"/>
        <v>150</v>
      </c>
    </row>
    <row r="8368" spans="1:12" ht="25" customHeight="1">
      <c r="A8368" s="2" t="s">
        <v>12</v>
      </c>
      <c r="B8368" s="2" t="str">
        <f>HYPERLINK("http://m.12365auto.com/bbs/postcontent.aspx?tID=193972","买车不用急 2020年汽车价格将会降得更猛")</f>
        <v>买车不用急 2020年汽车价格将会降得更猛</v>
      </c>
      <c r="C8368" s="2" t="s">
        <v>13</v>
      </c>
      <c r="D8368" s="2" t="s">
        <v>23</v>
      </c>
      <c r="E8368" s="2"/>
      <c r="F8368" s="2" t="str">
        <f>HYPERLINK("http://m.12365auto.com/bbs/postcontent.aspx?tID=193972","http://m.12365auto.com/bbs/postcontent.aspx?tID=193972")</f>
        <v>http://m.12365auto.com/bbs/postcontent.aspx?tID=193972</v>
      </c>
      <c r="G8368" s="2"/>
      <c r="H8368" s="2" t="s">
        <v>11349</v>
      </c>
      <c r="I8368" s="2" t="s">
        <v>15</v>
      </c>
      <c r="J8368" s="2" t="s">
        <v>11368</v>
      </c>
      <c r="K8368" s="2" t="s">
        <v>11387</v>
      </c>
      <c r="L8368" s="2">
        <f t="shared" si="130"/>
        <v>150</v>
      </c>
    </row>
    <row r="8369" spans="1:12" ht="25" customHeight="1">
      <c r="A8369" s="2" t="s">
        <v>12</v>
      </c>
      <c r="B8369" s="2" t="str">
        <f>HYPERLINK("http://bbs.12365auto.com/postcontent.aspx?tId=193973","2019年最让人意想不到的五款SUV")</f>
        <v>2019年最让人意想不到的五款SUV</v>
      </c>
      <c r="C8369" s="2" t="s">
        <v>13</v>
      </c>
      <c r="D8369" s="2" t="s">
        <v>12</v>
      </c>
      <c r="E8369" s="2" t="s">
        <v>27</v>
      </c>
      <c r="F8369" s="2" t="str">
        <f>HYPERLINK("http://bbs.12365auto.com/postcontent.aspx?tId=193973","http://bbs.12365auto.com/postcontent.aspx?tId=193973")</f>
        <v>http://bbs.12365auto.com/postcontent.aspx?tId=193973</v>
      </c>
      <c r="G8369" s="2"/>
      <c r="H8369" s="2" t="s">
        <v>7354</v>
      </c>
      <c r="I8369" s="2" t="s">
        <v>15</v>
      </c>
      <c r="J8369" s="2" t="s">
        <v>11368</v>
      </c>
      <c r="K8369" s="2" t="s">
        <v>11387</v>
      </c>
      <c r="L8369" s="2">
        <f t="shared" si="130"/>
        <v>150</v>
      </c>
    </row>
    <row r="8370" spans="1:12" ht="25" customHeight="1">
      <c r="A8370" s="2" t="s">
        <v>12</v>
      </c>
      <c r="B8370" s="2" t="str">
        <f>HYPERLINK("http://bbs.12365auto.com/postcontent.aspx?tId=193972","买车不用急 2020年汽车价格将会降得更猛")</f>
        <v>买车不用急 2020年汽车价格将会降得更猛</v>
      </c>
      <c r="C8370" s="2" t="s">
        <v>13</v>
      </c>
      <c r="D8370" s="2" t="s">
        <v>12</v>
      </c>
      <c r="E8370" s="2" t="s">
        <v>27</v>
      </c>
      <c r="F8370" s="2" t="str">
        <f>HYPERLINK("http://bbs.12365auto.com/postcontent.aspx?tId=193972","http://bbs.12365auto.com/postcontent.aspx?tId=193972")</f>
        <v>http://bbs.12365auto.com/postcontent.aspx?tId=193972</v>
      </c>
      <c r="G8370" s="2"/>
      <c r="H8370" s="2" t="s">
        <v>11349</v>
      </c>
      <c r="I8370" s="2" t="s">
        <v>15</v>
      </c>
      <c r="J8370" s="2" t="s">
        <v>11368</v>
      </c>
      <c r="K8370" s="2" t="s">
        <v>11387</v>
      </c>
      <c r="L8370" s="2">
        <f t="shared" si="130"/>
        <v>150</v>
      </c>
    </row>
    <row r="8371" spans="1:12" ht="25" customHeight="1">
      <c r="A8371" s="2" t="s">
        <v>12</v>
      </c>
      <c r="B8371" s="2" t="str">
        <f>HYPERLINK("http://www.12365auto.com/zlts/20200213/447076.shtml","宝来发动机异响 销售指定贷款及保险公司")</f>
        <v>宝来发动机异响 销售指定贷款及保险公司</v>
      </c>
      <c r="C8371" s="2" t="s">
        <v>13</v>
      </c>
      <c r="D8371" s="2" t="s">
        <v>12</v>
      </c>
      <c r="E8371" s="2"/>
      <c r="F8371" s="2" t="str">
        <f>HYPERLINK("http://www.12365auto.com/zlts/20200213/447076.shtml","http://www.12365auto.com/zlts/20200213/447076.shtml")</f>
        <v>http://www.12365auto.com/zlts/20200213/447076.shtml</v>
      </c>
      <c r="G8371" s="2"/>
      <c r="H8371" s="2" t="s">
        <v>11390</v>
      </c>
      <c r="I8371" s="2" t="s">
        <v>15</v>
      </c>
      <c r="J8371" s="2" t="s">
        <v>12</v>
      </c>
      <c r="K8371" s="2" t="s">
        <v>11389</v>
      </c>
      <c r="L8371" s="2">
        <f t="shared" si="130"/>
        <v>81</v>
      </c>
    </row>
    <row r="8372" spans="1:12" ht="25" customHeight="1">
      <c r="A8372" s="2" t="s">
        <v>12</v>
      </c>
      <c r="B8372" s="2" t="str">
        <f>HYPERLINK("http://bbs.12365auto.com/postcontent.aspx?tID=193971","新款捷豹F-TYPE实拍解析")</f>
        <v>新款捷豹F-TYPE实拍解析</v>
      </c>
      <c r="C8372" s="2" t="s">
        <v>13</v>
      </c>
      <c r="D8372" s="2" t="s">
        <v>12</v>
      </c>
      <c r="E8372" s="2" t="s">
        <v>28</v>
      </c>
      <c r="F8372" s="2" t="str">
        <f>HYPERLINK("http://bbs.12365auto.com/postcontent.aspx?tID=193971","http://bbs.12365auto.com/postcontent.aspx?tID=193971")</f>
        <v>http://bbs.12365auto.com/postcontent.aspx?tID=193971</v>
      </c>
      <c r="G8372" s="2"/>
      <c r="H8372" s="2" t="s">
        <v>11391</v>
      </c>
      <c r="I8372" s="2" t="s">
        <v>15</v>
      </c>
      <c r="J8372" s="2" t="s">
        <v>11368</v>
      </c>
      <c r="K8372" s="2" t="s">
        <v>11392</v>
      </c>
      <c r="L8372" s="2">
        <f t="shared" si="130"/>
        <v>150</v>
      </c>
    </row>
    <row r="8373" spans="1:12" ht="25" customHeight="1">
      <c r="A8373" s="2" t="s">
        <v>12</v>
      </c>
      <c r="B8373" s="2" t="str">
        <f>HYPERLINK("http://m.12365auto.com/bbs/postcontent.aspx?tID=193971","新款捷豹F-TYPE实拍解析")</f>
        <v>新款捷豹F-TYPE实拍解析</v>
      </c>
      <c r="C8373" s="2" t="s">
        <v>13</v>
      </c>
      <c r="D8373" s="2" t="s">
        <v>23</v>
      </c>
      <c r="E8373" s="2"/>
      <c r="F8373" s="2" t="str">
        <f>HYPERLINK("http://m.12365auto.com/bbs/postcontent.aspx?tID=193971","http://m.12365auto.com/bbs/postcontent.aspx?tID=193971")</f>
        <v>http://m.12365auto.com/bbs/postcontent.aspx?tID=193971</v>
      </c>
      <c r="G8373" s="2"/>
      <c r="H8373" s="2" t="s">
        <v>11393</v>
      </c>
      <c r="I8373" s="2" t="s">
        <v>15</v>
      </c>
      <c r="J8373" s="2" t="s">
        <v>11368</v>
      </c>
      <c r="K8373" s="2" t="s">
        <v>11392</v>
      </c>
      <c r="L8373" s="2">
        <f t="shared" si="130"/>
        <v>150</v>
      </c>
    </row>
    <row r="8374" spans="1:12" ht="25" customHeight="1">
      <c r="A8374" s="2" t="s">
        <v>12</v>
      </c>
      <c r="B8374" s="2" t="str">
        <f>HYPERLINK("http://bbs.12365auto.com/postcontent.aspx?tId=193971","新款捷豹F-TYPE实拍解析")</f>
        <v>新款捷豹F-TYPE实拍解析</v>
      </c>
      <c r="C8374" s="2" t="s">
        <v>13</v>
      </c>
      <c r="D8374" s="2" t="s">
        <v>12</v>
      </c>
      <c r="E8374" s="2" t="s">
        <v>27</v>
      </c>
      <c r="F8374" s="2" t="str">
        <f>HYPERLINK("http://bbs.12365auto.com/postcontent.aspx?tId=193971","http://bbs.12365auto.com/postcontent.aspx?tId=193971")</f>
        <v>http://bbs.12365auto.com/postcontent.aspx?tId=193971</v>
      </c>
      <c r="G8374" s="2"/>
      <c r="H8374" s="2" t="s">
        <v>11393</v>
      </c>
      <c r="I8374" s="2" t="s">
        <v>15</v>
      </c>
      <c r="J8374" s="2" t="s">
        <v>11368</v>
      </c>
      <c r="K8374" s="2" t="s">
        <v>11392</v>
      </c>
      <c r="L8374" s="2">
        <f t="shared" si="130"/>
        <v>150</v>
      </c>
    </row>
    <row r="8375" spans="1:12" ht="25" customHeight="1">
      <c r="A8375" s="2" t="s">
        <v>12</v>
      </c>
      <c r="B8375" s="2" t="str">
        <f>HYPERLINK("http://bbs.12365auto.com/postcontent.aspx?tId=193970","“准新车”5折清仓 前途K50保值率让人堪忧")</f>
        <v>“准新车”5折清仓 前途K50保值率让人堪忧</v>
      </c>
      <c r="C8375" s="2" t="s">
        <v>13</v>
      </c>
      <c r="D8375" s="2" t="s">
        <v>12</v>
      </c>
      <c r="E8375" s="2" t="s">
        <v>27</v>
      </c>
      <c r="F8375" s="2" t="str">
        <f>HYPERLINK("http://bbs.12365auto.com/postcontent.aspx?tId=193970","http://bbs.12365auto.com/postcontent.aspx?tId=193970")</f>
        <v>http://bbs.12365auto.com/postcontent.aspx?tId=193970</v>
      </c>
      <c r="G8375" s="2"/>
      <c r="H8375" s="2" t="s">
        <v>9196</v>
      </c>
      <c r="I8375" s="2" t="s">
        <v>15</v>
      </c>
      <c r="J8375" s="2" t="s">
        <v>11368</v>
      </c>
      <c r="K8375" s="2" t="s">
        <v>11394</v>
      </c>
      <c r="L8375" s="2">
        <f t="shared" si="130"/>
        <v>150</v>
      </c>
    </row>
    <row r="8376" spans="1:12" ht="25" customHeight="1">
      <c r="A8376" s="2" t="s">
        <v>12</v>
      </c>
      <c r="B8376" s="2" t="str">
        <f>HYPERLINK("http://bbs.12365auto.com/postcontent.aspx?tID=193970","“准新车”5折清仓 前途K50保值率让人堪忧")</f>
        <v>“准新车”5折清仓 前途K50保值率让人堪忧</v>
      </c>
      <c r="C8376" s="2" t="s">
        <v>13</v>
      </c>
      <c r="D8376" s="2" t="s">
        <v>12</v>
      </c>
      <c r="E8376" s="2" t="s">
        <v>28</v>
      </c>
      <c r="F8376" s="2" t="str">
        <f>HYPERLINK("http://bbs.12365auto.com/postcontent.aspx?tID=193970","http://bbs.12365auto.com/postcontent.aspx?tID=193970")</f>
        <v>http://bbs.12365auto.com/postcontent.aspx?tID=193970</v>
      </c>
      <c r="G8376" s="2"/>
      <c r="H8376" s="2" t="s">
        <v>9197</v>
      </c>
      <c r="I8376" s="2" t="s">
        <v>15</v>
      </c>
      <c r="J8376" s="2" t="s">
        <v>11368</v>
      </c>
      <c r="K8376" s="2" t="s">
        <v>11394</v>
      </c>
      <c r="L8376" s="2">
        <f t="shared" si="130"/>
        <v>150</v>
      </c>
    </row>
    <row r="8377" spans="1:12" ht="25" customHeight="1">
      <c r="A8377" s="2" t="s">
        <v>12</v>
      </c>
      <c r="B8377" s="2" t="str">
        <f>HYPERLINK("http://m.12365auto.com/news/20200213/418432.shtml","2020年首月皮卡销量 长城/五十铃/福田提升")</f>
        <v>2020年首月皮卡销量 长城/五十铃/福田提升</v>
      </c>
      <c r="C8377" s="2" t="s">
        <v>13</v>
      </c>
      <c r="D8377" s="2" t="s">
        <v>12</v>
      </c>
      <c r="E8377" s="2"/>
      <c r="F8377" s="2" t="str">
        <f>HYPERLINK("http://m.12365auto.com/news/20200213/418432.shtml","http://m.12365auto.com/news/20200213/418432.shtml")</f>
        <v>http://m.12365auto.com/news/20200213/418432.shtml</v>
      </c>
      <c r="G8377" s="2"/>
      <c r="H8377" s="2" t="s">
        <v>11395</v>
      </c>
      <c r="I8377" s="2" t="s">
        <v>19</v>
      </c>
      <c r="J8377" s="2" t="s">
        <v>1933</v>
      </c>
      <c r="K8377" s="2" t="s">
        <v>11396</v>
      </c>
      <c r="L8377" s="2">
        <f t="shared" si="130"/>
        <v>150</v>
      </c>
    </row>
    <row r="8378" spans="1:12" ht="25" customHeight="1">
      <c r="A8378" s="2" t="s">
        <v>12</v>
      </c>
      <c r="B8378" s="2" t="str">
        <f>HYPERLINK("http://www.12365auto.com/news/20200213/418432.shtml","2020年首月皮卡销量 长城/五十铃/福田提升")</f>
        <v>2020年首月皮卡销量 长城/五十铃/福田提升</v>
      </c>
      <c r="C8378" s="2" t="s">
        <v>13</v>
      </c>
      <c r="D8378" s="2" t="s">
        <v>12</v>
      </c>
      <c r="E8378" s="2" t="s">
        <v>282</v>
      </c>
      <c r="F8378" s="2" t="str">
        <f>HYPERLINK("http://www.12365auto.com/news/20200213/418432.shtml","http://www.12365auto.com/news/20200213/418432.shtml")</f>
        <v>http://www.12365auto.com/news/20200213/418432.shtml</v>
      </c>
      <c r="G8378" s="2"/>
      <c r="H8378" s="2" t="s">
        <v>11397</v>
      </c>
      <c r="I8378" s="2" t="s">
        <v>19</v>
      </c>
      <c r="J8378" s="2" t="s">
        <v>12</v>
      </c>
      <c r="K8378" s="2" t="s">
        <v>11396</v>
      </c>
      <c r="L8378" s="2">
        <f t="shared" si="130"/>
        <v>150</v>
      </c>
    </row>
    <row r="8379" spans="1:12" ht="25" customHeight="1">
      <c r="A8379" s="2" t="s">
        <v>12</v>
      </c>
      <c r="B8379" s="2" t="str">
        <f>HYPERLINK("http://m.12365auto.com/news/20200213/418431.shtml","效仿宝骏 五菱将发布新品牌 主攻SUV/MPV等")</f>
        <v>效仿宝骏 五菱将发布新品牌 主攻SUV/MPV等</v>
      </c>
      <c r="C8379" s="2" t="s">
        <v>13</v>
      </c>
      <c r="D8379" s="2" t="s">
        <v>12</v>
      </c>
      <c r="E8379" s="2"/>
      <c r="F8379" s="2" t="str">
        <f>HYPERLINK("http://m.12365auto.com/news/20200213/418431.shtml","http://m.12365auto.com/news/20200213/418431.shtml")</f>
        <v>http://m.12365auto.com/news/20200213/418431.shtml</v>
      </c>
      <c r="G8379" s="2"/>
      <c r="H8379" s="2" t="s">
        <v>11398</v>
      </c>
      <c r="I8379" s="2" t="s">
        <v>19</v>
      </c>
      <c r="J8379" s="2" t="s">
        <v>6086</v>
      </c>
      <c r="K8379" s="2" t="s">
        <v>11399</v>
      </c>
      <c r="L8379" s="2">
        <f t="shared" si="130"/>
        <v>150</v>
      </c>
    </row>
    <row r="8380" spans="1:12" ht="25" customHeight="1">
      <c r="A8380" s="2" t="s">
        <v>12</v>
      </c>
      <c r="B8380" s="2" t="str">
        <f>HYPERLINK("http://www.12365auto.com/news/20200213/418431.shtml","效仿宝骏 五菱将发布新品牌 主攻SUV/MPV等")</f>
        <v>效仿宝骏 五菱将发布新品牌 主攻SUV/MPV等</v>
      </c>
      <c r="C8380" s="2" t="s">
        <v>13</v>
      </c>
      <c r="D8380" s="2" t="s">
        <v>12</v>
      </c>
      <c r="E8380" s="2" t="s">
        <v>282</v>
      </c>
      <c r="F8380" s="2" t="str">
        <f>HYPERLINK("http://www.12365auto.com/news/20200213/418431.shtml","http://www.12365auto.com/news/20200213/418431.shtml")</f>
        <v>http://www.12365auto.com/news/20200213/418431.shtml</v>
      </c>
      <c r="G8380" s="2"/>
      <c r="H8380" s="2" t="s">
        <v>11400</v>
      </c>
      <c r="I8380" s="2" t="s">
        <v>19</v>
      </c>
      <c r="J8380" s="2" t="s">
        <v>12</v>
      </c>
      <c r="K8380" s="2" t="s">
        <v>11399</v>
      </c>
      <c r="L8380" s="2">
        <f t="shared" si="130"/>
        <v>150</v>
      </c>
    </row>
    <row r="8381" spans="1:12" ht="25" customHeight="1">
      <c r="A8381" s="2" t="s">
        <v>12</v>
      </c>
      <c r="B8381" s="2" t="str">
        <f>HYPERLINK("http://bbs.12365auto.com/postcontent.aspx?tId=193969","雷克萨斯NX   我买这车的感受")</f>
        <v>雷克萨斯NX   我买这车的感受</v>
      </c>
      <c r="C8381" s="2" t="s">
        <v>13</v>
      </c>
      <c r="D8381" s="2" t="s">
        <v>12</v>
      </c>
      <c r="E8381" s="2" t="s">
        <v>11401</v>
      </c>
      <c r="F8381" s="2" t="str">
        <f>HYPERLINK("http://bbs.12365auto.com/postcontent.aspx?tId=193969","http://bbs.12365auto.com/postcontent.aspx?tId=193969")</f>
        <v>http://bbs.12365auto.com/postcontent.aspx?tId=193969</v>
      </c>
      <c r="G8381" s="2"/>
      <c r="H8381" s="2" t="s">
        <v>11402</v>
      </c>
      <c r="I8381" s="2" t="s">
        <v>15</v>
      </c>
      <c r="J8381" s="2" t="s">
        <v>5633</v>
      </c>
      <c r="K8381" s="2" t="s">
        <v>11403</v>
      </c>
      <c r="L8381" s="2">
        <f t="shared" si="130"/>
        <v>150</v>
      </c>
    </row>
    <row r="8382" spans="1:12" ht="25" customHeight="1">
      <c r="A8382" s="2" t="s">
        <v>12</v>
      </c>
      <c r="B8382" s="2" t="str">
        <f>HYPERLINK("http://m.12365auto.com/bbs/postcontent.aspx?tID=193969","雷克萨斯NX   我买这车的感受")</f>
        <v>雷克萨斯NX   我买这车的感受</v>
      </c>
      <c r="C8382" s="2" t="s">
        <v>13</v>
      </c>
      <c r="D8382" s="2" t="s">
        <v>23</v>
      </c>
      <c r="E8382" s="2"/>
      <c r="F8382" s="2" t="str">
        <f>HYPERLINK("http://m.12365auto.com/bbs/postcontent.aspx?tID=193969","http://m.12365auto.com/bbs/postcontent.aspx?tID=193969")</f>
        <v>http://m.12365auto.com/bbs/postcontent.aspx?tID=193969</v>
      </c>
      <c r="G8382" s="2"/>
      <c r="H8382" s="2" t="s">
        <v>11402</v>
      </c>
      <c r="I8382" s="2" t="s">
        <v>15</v>
      </c>
      <c r="J8382" s="2" t="s">
        <v>5633</v>
      </c>
      <c r="K8382" s="2" t="s">
        <v>11403</v>
      </c>
      <c r="L8382" s="2">
        <f t="shared" si="130"/>
        <v>150</v>
      </c>
    </row>
    <row r="8383" spans="1:12" ht="25" customHeight="1">
      <c r="A8383" s="2" t="s">
        <v>12</v>
      </c>
      <c r="B8383" s="2" t="str">
        <f>HYPERLINK("http://bbs.12365auto.com/postcontent.aspx?tID=193969","雷克萨斯NX   我买这车的感受")</f>
        <v>雷克萨斯NX   我买这车的感受</v>
      </c>
      <c r="C8383" s="2" t="s">
        <v>13</v>
      </c>
      <c r="D8383" s="2" t="s">
        <v>12</v>
      </c>
      <c r="E8383" s="2" t="s">
        <v>11404</v>
      </c>
      <c r="F8383" s="2" t="str">
        <f>HYPERLINK("http://bbs.12365auto.com/postcontent.aspx?tID=193969","http://bbs.12365auto.com/postcontent.aspx?tID=193969")</f>
        <v>http://bbs.12365auto.com/postcontent.aspx?tID=193969</v>
      </c>
      <c r="G8383" s="2"/>
      <c r="H8383" s="2" t="s">
        <v>11405</v>
      </c>
      <c r="I8383" s="2" t="s">
        <v>15</v>
      </c>
      <c r="J8383" s="2" t="s">
        <v>5633</v>
      </c>
      <c r="K8383" s="2" t="s">
        <v>11403</v>
      </c>
      <c r="L8383" s="2">
        <f t="shared" si="130"/>
        <v>150</v>
      </c>
    </row>
    <row r="8384" spans="1:12" ht="25" customHeight="1">
      <c r="A8384" s="2" t="s">
        <v>12</v>
      </c>
      <c r="B8384" s="2" t="str">
        <f>HYPERLINK("http://m.12365auto.com/xcdg/20200213/418430.shtml","丰田新GR Yaris信息曝光 搭1.6T/配四驱系统")</f>
        <v>丰田新GR Yaris信息曝光 搭1.6T/配四驱系统</v>
      </c>
      <c r="C8384" s="2" t="s">
        <v>13</v>
      </c>
      <c r="D8384" s="2" t="s">
        <v>12</v>
      </c>
      <c r="E8384" s="2"/>
      <c r="F8384" s="2" t="str">
        <f>HYPERLINK("http://m.12365auto.com/xcdg/20200213/418430.shtml","http://m.12365auto.com/xcdg/20200213/418430.shtml")</f>
        <v>http://m.12365auto.com/xcdg/20200213/418430.shtml</v>
      </c>
      <c r="G8384" s="2"/>
      <c r="H8384" s="2" t="s">
        <v>11406</v>
      </c>
      <c r="I8384" s="2" t="s">
        <v>19</v>
      </c>
      <c r="J8384" s="2" t="s">
        <v>220</v>
      </c>
      <c r="K8384" s="2" t="s">
        <v>11407</v>
      </c>
      <c r="L8384" s="2">
        <f t="shared" si="130"/>
        <v>150</v>
      </c>
    </row>
    <row r="8385" spans="1:12" ht="25" customHeight="1">
      <c r="A8385" s="2" t="s">
        <v>12</v>
      </c>
      <c r="B8385" s="2" t="str">
        <f>HYPERLINK("http://www.12365auto.com/xcdg/20200213/418430.shtml","丰田新GR Yaris信息曝光 搭1.6T/配四驱系统")</f>
        <v>丰田新GR Yaris信息曝光 搭1.6T/配四驱系统</v>
      </c>
      <c r="C8385" s="2" t="s">
        <v>13</v>
      </c>
      <c r="D8385" s="2" t="s">
        <v>12</v>
      </c>
      <c r="E8385" s="2" t="s">
        <v>245</v>
      </c>
      <c r="F8385" s="2" t="str">
        <f>HYPERLINK("http://www.12365auto.com/xcdg/20200213/418430.shtml","http://www.12365auto.com/xcdg/20200213/418430.shtml")</f>
        <v>http://www.12365auto.com/xcdg/20200213/418430.shtml</v>
      </c>
      <c r="G8385" s="2"/>
      <c r="H8385" s="2" t="s">
        <v>11408</v>
      </c>
      <c r="I8385" s="2" t="s">
        <v>19</v>
      </c>
      <c r="J8385" s="2" t="s">
        <v>12</v>
      </c>
      <c r="K8385" s="2" t="s">
        <v>11407</v>
      </c>
      <c r="L8385" s="2">
        <f t="shared" si="130"/>
        <v>150</v>
      </c>
    </row>
    <row r="8386" spans="1:12" ht="25" customHeight="1">
      <c r="A8386" s="2" t="s">
        <v>12</v>
      </c>
      <c r="B8386" s="2" t="str">
        <f>HYPERLINK("http://m.12365auto.com/xcdg/20200213/418429.shtml","捷途X70 Coupe到店实拍 将上市/预售9.1万起")</f>
        <v>捷途X70 Coupe到店实拍 将上市/预售9.1万起</v>
      </c>
      <c r="C8386" s="2" t="s">
        <v>13</v>
      </c>
      <c r="D8386" s="2" t="s">
        <v>12</v>
      </c>
      <c r="E8386" s="2"/>
      <c r="F8386" s="2" t="str">
        <f>HYPERLINK("http://m.12365auto.com/xcdg/20200213/418429.shtml","http://m.12365auto.com/xcdg/20200213/418429.shtml")</f>
        <v>http://m.12365auto.com/xcdg/20200213/418429.shtml</v>
      </c>
      <c r="G8386" s="2"/>
      <c r="H8386" s="2" t="s">
        <v>11409</v>
      </c>
      <c r="I8386" s="2" t="s">
        <v>19</v>
      </c>
      <c r="J8386" s="2" t="s">
        <v>12</v>
      </c>
      <c r="K8386" s="2" t="s">
        <v>11410</v>
      </c>
      <c r="L8386" s="2">
        <f t="shared" si="130"/>
        <v>150</v>
      </c>
    </row>
    <row r="8387" spans="1:12" ht="25" customHeight="1">
      <c r="A8387" s="2" t="s">
        <v>12</v>
      </c>
      <c r="B8387" s="2" t="str">
        <f>HYPERLINK("http://www.12365auto.com/xcdg/20200213/418429.shtml","捷途X70 Coupe到店实拍 将上市/预售9.1万起")</f>
        <v>捷途X70 Coupe到店实拍 将上市/预售9.1万起</v>
      </c>
      <c r="C8387" s="2" t="s">
        <v>13</v>
      </c>
      <c r="D8387" s="2" t="s">
        <v>12</v>
      </c>
      <c r="E8387" s="2" t="s">
        <v>245</v>
      </c>
      <c r="F8387" s="2" t="str">
        <f>HYPERLINK("http://www.12365auto.com/xcdg/20200213/418429.shtml","http://www.12365auto.com/xcdg/20200213/418429.shtml")</f>
        <v>http://www.12365auto.com/xcdg/20200213/418429.shtml</v>
      </c>
      <c r="G8387" s="2"/>
      <c r="H8387" s="2" t="s">
        <v>11411</v>
      </c>
      <c r="I8387" s="2" t="s">
        <v>19</v>
      </c>
      <c r="J8387" s="2" t="s">
        <v>12</v>
      </c>
      <c r="K8387" s="2" t="s">
        <v>11410</v>
      </c>
      <c r="L8387" s="2">
        <f t="shared" ref="L8387:L8450" si="131">LEN(H8387)</f>
        <v>150</v>
      </c>
    </row>
    <row r="8388" spans="1:12" ht="25" customHeight="1">
      <c r="A8388" s="2" t="s">
        <v>12</v>
      </c>
      <c r="B8388" s="2" t="str">
        <f>HYPERLINK("http://bbs.12365auto.com/postcontent.aspx?tId=193968","关于沃尔沃XC60 为何全国不少车主提车价均在30万内？")</f>
        <v>关于沃尔沃XC60 为何全国不少车主提车价均在30万内？</v>
      </c>
      <c r="C8388" s="2" t="s">
        <v>13</v>
      </c>
      <c r="D8388" s="2" t="s">
        <v>12</v>
      </c>
      <c r="E8388" s="2" t="s">
        <v>27</v>
      </c>
      <c r="F8388" s="2" t="str">
        <f>HYPERLINK("http://bbs.12365auto.com/postcontent.aspx?tId=193968","http://bbs.12365auto.com/postcontent.aspx?tId=193968")</f>
        <v>http://bbs.12365auto.com/postcontent.aspx?tId=193968</v>
      </c>
      <c r="G8388" s="2"/>
      <c r="H8388" s="2" t="s">
        <v>11412</v>
      </c>
      <c r="I8388" s="2" t="s">
        <v>15</v>
      </c>
      <c r="J8388" s="2" t="s">
        <v>6236</v>
      </c>
      <c r="K8388" s="2" t="s">
        <v>11413</v>
      </c>
      <c r="L8388" s="2">
        <f t="shared" si="131"/>
        <v>150</v>
      </c>
    </row>
    <row r="8389" spans="1:12" ht="25" customHeight="1">
      <c r="A8389" s="2" t="s">
        <v>12</v>
      </c>
      <c r="B8389" s="2" t="str">
        <f>HYPERLINK("http://m.12365auto.com/bbs/postcontent.aspx?tID=193968","关于沃尔沃XC60 为何全国不少车主提车价均在30万内？")</f>
        <v>关于沃尔沃XC60 为何全国不少车主提车价均在30万内？</v>
      </c>
      <c r="C8389" s="2" t="s">
        <v>13</v>
      </c>
      <c r="D8389" s="2" t="s">
        <v>23</v>
      </c>
      <c r="E8389" s="2"/>
      <c r="F8389" s="2" t="str">
        <f>HYPERLINK("http://m.12365auto.com/bbs/postcontent.aspx?tID=193968","http://m.12365auto.com/bbs/postcontent.aspx?tID=193968")</f>
        <v>http://m.12365auto.com/bbs/postcontent.aspx?tID=193968</v>
      </c>
      <c r="G8389" s="2"/>
      <c r="H8389" s="2" t="s">
        <v>11412</v>
      </c>
      <c r="I8389" s="2" t="s">
        <v>15</v>
      </c>
      <c r="J8389" s="2" t="s">
        <v>6236</v>
      </c>
      <c r="K8389" s="2" t="s">
        <v>11413</v>
      </c>
      <c r="L8389" s="2">
        <f t="shared" si="131"/>
        <v>150</v>
      </c>
    </row>
    <row r="8390" spans="1:12" ht="25" customHeight="1">
      <c r="A8390" s="2" t="s">
        <v>12</v>
      </c>
      <c r="B8390" s="2" t="str">
        <f>HYPERLINK("http://m.12365auto.com/bbs/postcontent.aspx?tID=193967","BEIJING全新SUV X7搭1.5T引擎 6月将上市")</f>
        <v>BEIJING全新SUV X7搭1.5T引擎 6月将上市</v>
      </c>
      <c r="C8390" s="2" t="s">
        <v>13</v>
      </c>
      <c r="D8390" s="2" t="s">
        <v>23</v>
      </c>
      <c r="E8390" s="2"/>
      <c r="F8390" s="2" t="str">
        <f>HYPERLINK("http://m.12365auto.com/bbs/postcontent.aspx?tID=193967","http://m.12365auto.com/bbs/postcontent.aspx?tID=193967")</f>
        <v>http://m.12365auto.com/bbs/postcontent.aspx?tID=193967</v>
      </c>
      <c r="G8390" s="2"/>
      <c r="H8390" s="2" t="s">
        <v>11414</v>
      </c>
      <c r="I8390" s="2" t="s">
        <v>15</v>
      </c>
      <c r="J8390" s="2" t="s">
        <v>6236</v>
      </c>
      <c r="K8390" s="2" t="s">
        <v>11413</v>
      </c>
      <c r="L8390" s="2">
        <f t="shared" si="131"/>
        <v>150</v>
      </c>
    </row>
    <row r="8391" spans="1:12" ht="25" customHeight="1">
      <c r="A8391" s="2" t="s">
        <v>12</v>
      </c>
      <c r="B8391" s="2" t="str">
        <f>HYPERLINK("http://bbs.12365auto.com/postcontent.aspx?tID=193967","BEIJING全新SUV X7搭1.5T引擎 6月将上市")</f>
        <v>BEIJING全新SUV X7搭1.5T引擎 6月将上市</v>
      </c>
      <c r="C8391" s="2" t="s">
        <v>13</v>
      </c>
      <c r="D8391" s="2" t="s">
        <v>12</v>
      </c>
      <c r="E8391" s="2" t="s">
        <v>28</v>
      </c>
      <c r="F8391" s="2" t="str">
        <f>HYPERLINK("http://bbs.12365auto.com/postcontent.aspx?tID=193967","http://bbs.12365auto.com/postcontent.aspx?tID=193967")</f>
        <v>http://bbs.12365auto.com/postcontent.aspx?tID=193967</v>
      </c>
      <c r="G8391" s="2"/>
      <c r="H8391" s="2" t="s">
        <v>11415</v>
      </c>
      <c r="I8391" s="2" t="s">
        <v>15</v>
      </c>
      <c r="J8391" s="2" t="s">
        <v>6236</v>
      </c>
      <c r="K8391" s="2" t="s">
        <v>11413</v>
      </c>
      <c r="L8391" s="2">
        <f t="shared" si="131"/>
        <v>150</v>
      </c>
    </row>
    <row r="8392" spans="1:12" ht="25" customHeight="1">
      <c r="A8392" s="2" t="s">
        <v>12</v>
      </c>
      <c r="B8392" s="2" t="str">
        <f>HYPERLINK("http://bbs.12365auto.com/postcontent.aspx?tID=193968","关于沃尔沃XC60，为何全国不少车主提车价均在30万内？")</f>
        <v>关于沃尔沃XC60，为何全国不少车主提车价均在30万内？</v>
      </c>
      <c r="C8392" s="2" t="s">
        <v>13</v>
      </c>
      <c r="D8392" s="2" t="s">
        <v>12</v>
      </c>
      <c r="E8392" s="2" t="s">
        <v>28</v>
      </c>
      <c r="F8392" s="2" t="str">
        <f>HYPERLINK("http://bbs.12365auto.com/postcontent.aspx?tID=193968","http://bbs.12365auto.com/postcontent.aspx?tID=193968")</f>
        <v>http://bbs.12365auto.com/postcontent.aspx?tID=193968</v>
      </c>
      <c r="G8392" s="2"/>
      <c r="H8392" s="2" t="s">
        <v>11416</v>
      </c>
      <c r="I8392" s="2" t="s">
        <v>15</v>
      </c>
      <c r="J8392" s="2" t="s">
        <v>6236</v>
      </c>
      <c r="K8392" s="2" t="s">
        <v>11413</v>
      </c>
      <c r="L8392" s="2">
        <f t="shared" si="131"/>
        <v>150</v>
      </c>
    </row>
    <row r="8393" spans="1:12" ht="25" customHeight="1">
      <c r="A8393" s="2" t="s">
        <v>12</v>
      </c>
      <c r="B8393" s="2" t="str">
        <f>HYPERLINK("http://bbs.12365auto.com/postcontent.aspx?tId=193967","BEIJING全新SUV X7搭1.5T引擎 6月将上市")</f>
        <v>BEIJING全新SUV X7搭1.5T引擎 6月将上市</v>
      </c>
      <c r="C8393" s="2" t="s">
        <v>13</v>
      </c>
      <c r="D8393" s="2" t="s">
        <v>12</v>
      </c>
      <c r="E8393" s="2" t="s">
        <v>27</v>
      </c>
      <c r="F8393" s="2" t="str">
        <f>HYPERLINK("http://bbs.12365auto.com/postcontent.aspx?tId=193967","http://bbs.12365auto.com/postcontent.aspx?tId=193967")</f>
        <v>http://bbs.12365auto.com/postcontent.aspx?tId=193967</v>
      </c>
      <c r="G8393" s="2"/>
      <c r="H8393" s="2" t="s">
        <v>11414</v>
      </c>
      <c r="I8393" s="2" t="s">
        <v>15</v>
      </c>
      <c r="J8393" s="2" t="s">
        <v>6236</v>
      </c>
      <c r="K8393" s="2" t="s">
        <v>11413</v>
      </c>
      <c r="L8393" s="2">
        <f t="shared" si="131"/>
        <v>150</v>
      </c>
    </row>
    <row r="8394" spans="1:12" ht="25" customHeight="1">
      <c r="A8394" s="2" t="s">
        <v>12</v>
      </c>
      <c r="B8394" s="2" t="str">
        <f>HYPERLINK("http://m.12365auto.com/bbs/postcontent.aspx?tID=193966","丰田将以1.5T发动机应战 不过三缸机有戏吗？")</f>
        <v>丰田将以1.5T发动机应战 不过三缸机有戏吗？</v>
      </c>
      <c r="C8394" s="2" t="s">
        <v>13</v>
      </c>
      <c r="D8394" s="2" t="s">
        <v>23</v>
      </c>
      <c r="E8394" s="2"/>
      <c r="F8394" s="2" t="str">
        <f>HYPERLINK("http://m.12365auto.com/bbs/postcontent.aspx?tID=193966","http://m.12365auto.com/bbs/postcontent.aspx?tID=193966")</f>
        <v>http://m.12365auto.com/bbs/postcontent.aspx?tID=193966</v>
      </c>
      <c r="G8394" s="2"/>
      <c r="H8394" s="2" t="s">
        <v>11417</v>
      </c>
      <c r="I8394" s="2" t="s">
        <v>15</v>
      </c>
      <c r="J8394" s="2" t="s">
        <v>6236</v>
      </c>
      <c r="K8394" s="2" t="s">
        <v>11418</v>
      </c>
      <c r="L8394" s="2">
        <f t="shared" si="131"/>
        <v>150</v>
      </c>
    </row>
    <row r="8395" spans="1:12" ht="25" customHeight="1">
      <c r="A8395" s="2" t="s">
        <v>12</v>
      </c>
      <c r="B8395" s="2" t="str">
        <f>HYPERLINK("http://bbs.12365auto.com/postcontent.aspx?tID=193966","丰田将以1.5T发动机应战，不过三缸机有戏吗？")</f>
        <v>丰田将以1.5T发动机应战，不过三缸机有戏吗？</v>
      </c>
      <c r="C8395" s="2" t="s">
        <v>13</v>
      </c>
      <c r="D8395" s="2" t="s">
        <v>12</v>
      </c>
      <c r="E8395" s="2" t="s">
        <v>28</v>
      </c>
      <c r="F8395" s="2" t="str">
        <f>HYPERLINK("http://bbs.12365auto.com/postcontent.aspx?tID=193966","http://bbs.12365auto.com/postcontent.aspx?tID=193966")</f>
        <v>http://bbs.12365auto.com/postcontent.aspx?tID=193966</v>
      </c>
      <c r="G8395" s="2"/>
      <c r="H8395" s="2" t="s">
        <v>11419</v>
      </c>
      <c r="I8395" s="2" t="s">
        <v>15</v>
      </c>
      <c r="J8395" s="2" t="s">
        <v>6236</v>
      </c>
      <c r="K8395" s="2" t="s">
        <v>11418</v>
      </c>
      <c r="L8395" s="2">
        <f t="shared" si="131"/>
        <v>150</v>
      </c>
    </row>
    <row r="8396" spans="1:12" ht="25" customHeight="1">
      <c r="A8396" s="2" t="s">
        <v>12</v>
      </c>
      <c r="B8396" s="2" t="str">
        <f>HYPERLINK("http://bbs.12365auto.com/postcontent.aspx?tId=193966","丰田将以1.5T发动机应战，不过三缸机有戏吗？")</f>
        <v>丰田将以1.5T发动机应战，不过三缸机有戏吗？</v>
      </c>
      <c r="C8396" s="2" t="s">
        <v>13</v>
      </c>
      <c r="D8396" s="2" t="s">
        <v>12</v>
      </c>
      <c r="E8396" s="2" t="s">
        <v>27</v>
      </c>
      <c r="F8396" s="2" t="str">
        <f>HYPERLINK("http://bbs.12365auto.com/postcontent.aspx?tId=193966","http://bbs.12365auto.com/postcontent.aspx?tId=193966")</f>
        <v>http://bbs.12365auto.com/postcontent.aspx?tId=193966</v>
      </c>
      <c r="G8396" s="2"/>
      <c r="H8396" s="2" t="s">
        <v>11417</v>
      </c>
      <c r="I8396" s="2" t="s">
        <v>15</v>
      </c>
      <c r="J8396" s="2" t="s">
        <v>6236</v>
      </c>
      <c r="K8396" s="2" t="s">
        <v>11418</v>
      </c>
      <c r="L8396" s="2">
        <f t="shared" si="131"/>
        <v>150</v>
      </c>
    </row>
    <row r="8397" spans="1:12" ht="25" customHeight="1">
      <c r="A8397" s="2" t="s">
        <v>12</v>
      </c>
      <c r="B8397" s="2" t="str">
        <f>HYPERLINK("http://m.12365auto.com/bbs/postcontent.aspx?tID=193965","豪华品牌也有大优惠 这三款中型SUV值得看")</f>
        <v>豪华品牌也有大优惠 这三款中型SUV值得看</v>
      </c>
      <c r="C8397" s="2" t="s">
        <v>13</v>
      </c>
      <c r="D8397" s="2" t="s">
        <v>23</v>
      </c>
      <c r="E8397" s="2"/>
      <c r="F8397" s="2" t="str">
        <f>HYPERLINK("http://m.12365auto.com/bbs/postcontent.aspx?tID=193965","http://m.12365auto.com/bbs/postcontent.aspx?tID=193965")</f>
        <v>http://m.12365auto.com/bbs/postcontent.aspx?tID=193965</v>
      </c>
      <c r="G8397" s="2"/>
      <c r="H8397" s="2" t="s">
        <v>11420</v>
      </c>
      <c r="I8397" s="2" t="s">
        <v>15</v>
      </c>
      <c r="J8397" s="2" t="s">
        <v>6236</v>
      </c>
      <c r="K8397" s="2" t="s">
        <v>11421</v>
      </c>
      <c r="L8397" s="2">
        <f t="shared" si="131"/>
        <v>150</v>
      </c>
    </row>
    <row r="8398" spans="1:12" ht="25" customHeight="1">
      <c r="A8398" s="2" t="s">
        <v>12</v>
      </c>
      <c r="B8398" s="2" t="str">
        <f>HYPERLINK("http://bbs.12365auto.com/postcontent.aspx?tID=193965","豪华品牌也有大优惠 这三款中型SUV值得看")</f>
        <v>豪华品牌也有大优惠 这三款中型SUV值得看</v>
      </c>
      <c r="C8398" s="2" t="s">
        <v>13</v>
      </c>
      <c r="D8398" s="2" t="s">
        <v>12</v>
      </c>
      <c r="E8398" s="2" t="s">
        <v>28</v>
      </c>
      <c r="F8398" s="2" t="str">
        <f>HYPERLINK("http://bbs.12365auto.com/postcontent.aspx?tID=193965","http://bbs.12365auto.com/postcontent.aspx?tID=193965")</f>
        <v>http://bbs.12365auto.com/postcontent.aspx?tID=193965</v>
      </c>
      <c r="G8398" s="2"/>
      <c r="H8398" s="2" t="s">
        <v>11422</v>
      </c>
      <c r="I8398" s="2" t="s">
        <v>15</v>
      </c>
      <c r="J8398" s="2" t="s">
        <v>6236</v>
      </c>
      <c r="K8398" s="2" t="s">
        <v>11421</v>
      </c>
      <c r="L8398" s="2">
        <f t="shared" si="131"/>
        <v>150</v>
      </c>
    </row>
    <row r="8399" spans="1:12" ht="25" customHeight="1">
      <c r="A8399" s="2" t="s">
        <v>12</v>
      </c>
      <c r="B8399" s="2" t="str">
        <f>HYPERLINK("http://bbs.12365auto.com/postcontent.aspx?tId=193965","豪华品牌也有大优惠 这三款中型SUV值得看")</f>
        <v>豪华品牌也有大优惠 这三款中型SUV值得看</v>
      </c>
      <c r="C8399" s="2" t="s">
        <v>13</v>
      </c>
      <c r="D8399" s="2" t="s">
        <v>12</v>
      </c>
      <c r="E8399" s="2" t="s">
        <v>27</v>
      </c>
      <c r="F8399" s="2" t="str">
        <f>HYPERLINK("http://bbs.12365auto.com/postcontent.aspx?tId=193965","http://bbs.12365auto.com/postcontent.aspx?tId=193965")</f>
        <v>http://bbs.12365auto.com/postcontent.aspx?tId=193965</v>
      </c>
      <c r="G8399" s="2"/>
      <c r="H8399" s="2" t="s">
        <v>11420</v>
      </c>
      <c r="I8399" s="2" t="s">
        <v>15</v>
      </c>
      <c r="J8399" s="2" t="s">
        <v>6236</v>
      </c>
      <c r="K8399" s="2" t="s">
        <v>11421</v>
      </c>
      <c r="L8399" s="2">
        <f t="shared" si="131"/>
        <v>150</v>
      </c>
    </row>
    <row r="8400" spans="1:12" ht="25" customHeight="1">
      <c r="A8400" s="2" t="s">
        <v>12</v>
      </c>
      <c r="B8400" s="2" t="str">
        <f>HYPERLINK("http://m.12365auto.com/bbs/postcontent.aspx?tID=193964","超跑终极形态Tuatara开始量产，真能切割空气？")</f>
        <v>超跑终极形态Tuatara开始量产，真能切割空气？</v>
      </c>
      <c r="C8400" s="2" t="s">
        <v>13</v>
      </c>
      <c r="D8400" s="2" t="s">
        <v>23</v>
      </c>
      <c r="E8400" s="2"/>
      <c r="F8400" s="2" t="str">
        <f>HYPERLINK("http://m.12365auto.com/bbs/postcontent.aspx?tID=193964","http://m.12365auto.com/bbs/postcontent.aspx?tID=193964")</f>
        <v>http://m.12365auto.com/bbs/postcontent.aspx?tID=193964</v>
      </c>
      <c r="G8400" s="2"/>
      <c r="H8400" s="2" t="s">
        <v>11423</v>
      </c>
      <c r="I8400" s="2" t="s">
        <v>15</v>
      </c>
      <c r="J8400" s="2" t="s">
        <v>6236</v>
      </c>
      <c r="K8400" s="2" t="s">
        <v>11424</v>
      </c>
      <c r="L8400" s="2">
        <f t="shared" si="131"/>
        <v>150</v>
      </c>
    </row>
    <row r="8401" spans="1:12" ht="25" customHeight="1">
      <c r="A8401" s="2" t="s">
        <v>12</v>
      </c>
      <c r="B8401" s="2" t="str">
        <f>HYPERLINK("http://bbs.12365auto.com/postcontent.aspx?tID=193964","超跑终极形态Tuatara开始量产，真能切割空气？")</f>
        <v>超跑终极形态Tuatara开始量产，真能切割空气？</v>
      </c>
      <c r="C8401" s="2" t="s">
        <v>13</v>
      </c>
      <c r="D8401" s="2" t="s">
        <v>12</v>
      </c>
      <c r="E8401" s="2" t="s">
        <v>28</v>
      </c>
      <c r="F8401" s="2" t="str">
        <f>HYPERLINK("http://bbs.12365auto.com/postcontent.aspx?tID=193964","http://bbs.12365auto.com/postcontent.aspx?tID=193964")</f>
        <v>http://bbs.12365auto.com/postcontent.aspx?tID=193964</v>
      </c>
      <c r="G8401" s="2"/>
      <c r="H8401" s="2" t="s">
        <v>11425</v>
      </c>
      <c r="I8401" s="2" t="s">
        <v>15</v>
      </c>
      <c r="J8401" s="2" t="s">
        <v>6236</v>
      </c>
      <c r="K8401" s="2" t="s">
        <v>11424</v>
      </c>
      <c r="L8401" s="2">
        <f t="shared" si="131"/>
        <v>150</v>
      </c>
    </row>
    <row r="8402" spans="1:12" ht="25" customHeight="1">
      <c r="A8402" s="2" t="s">
        <v>12</v>
      </c>
      <c r="B8402" s="2" t="str">
        <f>HYPERLINK("http://bbs.12365auto.com/postcontent.aspx?tId=193964","超跑终极形态Tuatara开始量产，真能切割空气？")</f>
        <v>超跑终极形态Tuatara开始量产，真能切割空气？</v>
      </c>
      <c r="C8402" s="2" t="s">
        <v>13</v>
      </c>
      <c r="D8402" s="2" t="s">
        <v>12</v>
      </c>
      <c r="E8402" s="2" t="s">
        <v>27</v>
      </c>
      <c r="F8402" s="2" t="str">
        <f>HYPERLINK("http://bbs.12365auto.com/postcontent.aspx?tId=193964","http://bbs.12365auto.com/postcontent.aspx?tId=193964")</f>
        <v>http://bbs.12365auto.com/postcontent.aspx?tId=193964</v>
      </c>
      <c r="G8402" s="2"/>
      <c r="H8402" s="2" t="s">
        <v>11423</v>
      </c>
      <c r="I8402" s="2" t="s">
        <v>15</v>
      </c>
      <c r="J8402" s="2" t="s">
        <v>6236</v>
      </c>
      <c r="K8402" s="2" t="s">
        <v>11424</v>
      </c>
      <c r="L8402" s="2">
        <f t="shared" si="131"/>
        <v>150</v>
      </c>
    </row>
    <row r="8403" spans="1:12" ht="25" customHeight="1">
      <c r="A8403" s="2" t="s">
        <v>12</v>
      </c>
      <c r="B8403" s="2" t="str">
        <f>HYPERLINK("http://m.12365auto.com/bbs/postcontent.aspx?tID=193962","别克新GL8 Avenir外观大气 搭新2.0T引擎")</f>
        <v>别克新GL8 Avenir外观大气 搭新2.0T引擎</v>
      </c>
      <c r="C8403" s="2" t="s">
        <v>13</v>
      </c>
      <c r="D8403" s="2" t="s">
        <v>23</v>
      </c>
      <c r="E8403" s="2"/>
      <c r="F8403" s="2" t="str">
        <f>HYPERLINK("http://m.12365auto.com/bbs/postcontent.aspx?tID=193962","http://m.12365auto.com/bbs/postcontent.aspx?tID=193962")</f>
        <v>http://m.12365auto.com/bbs/postcontent.aspx?tID=193962</v>
      </c>
      <c r="G8403" s="2"/>
      <c r="H8403" s="2" t="s">
        <v>11426</v>
      </c>
      <c r="I8403" s="2" t="s">
        <v>15</v>
      </c>
      <c r="J8403" s="2" t="s">
        <v>6236</v>
      </c>
      <c r="K8403" s="2" t="s">
        <v>11427</v>
      </c>
      <c r="L8403" s="2">
        <f t="shared" si="131"/>
        <v>150</v>
      </c>
    </row>
    <row r="8404" spans="1:12" ht="25" customHeight="1">
      <c r="A8404" s="2" t="s">
        <v>12</v>
      </c>
      <c r="B8404" s="2" t="str">
        <f>HYPERLINK("http://m.12365auto.com/bbs/postcontent.aspx?tID=193963","荣威i6 MAX申报图曝光 外观犀利/搭1.5T发动机")</f>
        <v>荣威i6 MAX申报图曝光 外观犀利/搭1.5T发动机</v>
      </c>
      <c r="C8404" s="2" t="s">
        <v>13</v>
      </c>
      <c r="D8404" s="2" t="s">
        <v>23</v>
      </c>
      <c r="E8404" s="2"/>
      <c r="F8404" s="2" t="str">
        <f>HYPERLINK("http://m.12365auto.com/bbs/postcontent.aspx?tID=193963","http://m.12365auto.com/bbs/postcontent.aspx?tID=193963")</f>
        <v>http://m.12365auto.com/bbs/postcontent.aspx?tID=193963</v>
      </c>
      <c r="G8404" s="2"/>
      <c r="H8404" s="2" t="s">
        <v>11428</v>
      </c>
      <c r="I8404" s="2" t="s">
        <v>15</v>
      </c>
      <c r="J8404" s="2" t="s">
        <v>6236</v>
      </c>
      <c r="K8404" s="2" t="s">
        <v>11427</v>
      </c>
      <c r="L8404" s="2">
        <f t="shared" si="131"/>
        <v>150</v>
      </c>
    </row>
    <row r="8405" spans="1:12" ht="25" customHeight="1">
      <c r="A8405" s="2" t="s">
        <v>12</v>
      </c>
      <c r="B8405" s="2" t="str">
        <f>HYPERLINK("http://bbs.12365auto.com/postcontent.aspx?tID=193963","荣威i6 MAX申报图曝光 外观犀利/搭1.5T发动机")</f>
        <v>荣威i6 MAX申报图曝光 外观犀利/搭1.5T发动机</v>
      </c>
      <c r="C8405" s="2" t="s">
        <v>13</v>
      </c>
      <c r="D8405" s="2" t="s">
        <v>12</v>
      </c>
      <c r="E8405" s="2" t="s">
        <v>28</v>
      </c>
      <c r="F8405" s="2" t="str">
        <f>HYPERLINK("http://bbs.12365auto.com/postcontent.aspx?tID=193963","http://bbs.12365auto.com/postcontent.aspx?tID=193963")</f>
        <v>http://bbs.12365auto.com/postcontent.aspx?tID=193963</v>
      </c>
      <c r="G8405" s="2"/>
      <c r="H8405" s="2" t="s">
        <v>11429</v>
      </c>
      <c r="I8405" s="2" t="s">
        <v>15</v>
      </c>
      <c r="J8405" s="2" t="s">
        <v>6236</v>
      </c>
      <c r="K8405" s="2" t="s">
        <v>11427</v>
      </c>
      <c r="L8405" s="2">
        <f t="shared" si="131"/>
        <v>150</v>
      </c>
    </row>
    <row r="8406" spans="1:12" ht="25" customHeight="1">
      <c r="A8406" s="2" t="s">
        <v>12</v>
      </c>
      <c r="B8406" s="2" t="str">
        <f>HYPERLINK("http://bbs.12365auto.com/postcontent.aspx?tID=193962","别克新GL8 Avenir外观大气 搭新2.0T引擎")</f>
        <v>别克新GL8 Avenir外观大气 搭新2.0T引擎</v>
      </c>
      <c r="C8406" s="2" t="s">
        <v>13</v>
      </c>
      <c r="D8406" s="2" t="s">
        <v>12</v>
      </c>
      <c r="E8406" s="2" t="s">
        <v>28</v>
      </c>
      <c r="F8406" s="2" t="str">
        <f>HYPERLINK("http://bbs.12365auto.com/postcontent.aspx?tID=193962","http://bbs.12365auto.com/postcontent.aspx?tID=193962")</f>
        <v>http://bbs.12365auto.com/postcontent.aspx?tID=193962</v>
      </c>
      <c r="G8406" s="2"/>
      <c r="H8406" s="2" t="s">
        <v>11430</v>
      </c>
      <c r="I8406" s="2" t="s">
        <v>15</v>
      </c>
      <c r="J8406" s="2" t="s">
        <v>6236</v>
      </c>
      <c r="K8406" s="2" t="s">
        <v>11427</v>
      </c>
      <c r="L8406" s="2">
        <f t="shared" si="131"/>
        <v>150</v>
      </c>
    </row>
    <row r="8407" spans="1:12" ht="25" customHeight="1">
      <c r="A8407" s="2" t="s">
        <v>12</v>
      </c>
      <c r="B8407" s="2" t="str">
        <f>HYPERLINK("http://bbs.12365auto.com/postcontent.aspx?tId=193963","荣威i6 MAX申报图曝光 外观犀利/搭1.5T发动机")</f>
        <v>荣威i6 MAX申报图曝光 外观犀利/搭1.5T发动机</v>
      </c>
      <c r="C8407" s="2" t="s">
        <v>13</v>
      </c>
      <c r="D8407" s="2" t="s">
        <v>12</v>
      </c>
      <c r="E8407" s="2" t="s">
        <v>27</v>
      </c>
      <c r="F8407" s="2" t="str">
        <f>HYPERLINK("http://bbs.12365auto.com/postcontent.aspx?tId=193963","http://bbs.12365auto.com/postcontent.aspx?tId=193963")</f>
        <v>http://bbs.12365auto.com/postcontent.aspx?tId=193963</v>
      </c>
      <c r="G8407" s="2"/>
      <c r="H8407" s="2" t="s">
        <v>11428</v>
      </c>
      <c r="I8407" s="2" t="s">
        <v>15</v>
      </c>
      <c r="J8407" s="2" t="s">
        <v>6236</v>
      </c>
      <c r="K8407" s="2" t="s">
        <v>11427</v>
      </c>
      <c r="L8407" s="2">
        <f t="shared" si="131"/>
        <v>150</v>
      </c>
    </row>
    <row r="8408" spans="1:12" ht="25" customHeight="1">
      <c r="A8408" s="2" t="s">
        <v>12</v>
      </c>
      <c r="B8408" s="2" t="str">
        <f>HYPERLINK("http://bbs.12365auto.com/postcontent.aspx?tId=193962","别克新GL8 Avenir外观大气 搭新2.0T引擎")</f>
        <v>别克新GL8 Avenir外观大气 搭新2.0T引擎</v>
      </c>
      <c r="C8408" s="2" t="s">
        <v>13</v>
      </c>
      <c r="D8408" s="2" t="s">
        <v>12</v>
      </c>
      <c r="E8408" s="2" t="s">
        <v>27</v>
      </c>
      <c r="F8408" s="2" t="str">
        <f>HYPERLINK("http://bbs.12365auto.com/postcontent.aspx?tId=193962","http://bbs.12365auto.com/postcontent.aspx?tId=193962")</f>
        <v>http://bbs.12365auto.com/postcontent.aspx?tId=193962</v>
      </c>
      <c r="G8408" s="2"/>
      <c r="H8408" s="2" t="s">
        <v>11426</v>
      </c>
      <c r="I8408" s="2" t="s">
        <v>15</v>
      </c>
      <c r="J8408" s="2" t="s">
        <v>6236</v>
      </c>
      <c r="K8408" s="2" t="s">
        <v>11427</v>
      </c>
      <c r="L8408" s="2">
        <f t="shared" si="131"/>
        <v>150</v>
      </c>
    </row>
    <row r="8409" spans="1:12" ht="25" customHeight="1">
      <c r="A8409" s="2" t="s">
        <v>12</v>
      </c>
      <c r="B8409" s="2" t="str">
        <f>HYPERLINK("http://m.12365auto.com/bbs/postcontent.aspx?tID=193961","现代全新纯电动跨界车谍照 预计2021年发布")</f>
        <v>现代全新纯电动跨界车谍照 预计2021年发布</v>
      </c>
      <c r="C8409" s="2" t="s">
        <v>13</v>
      </c>
      <c r="D8409" s="2" t="s">
        <v>23</v>
      </c>
      <c r="E8409" s="2"/>
      <c r="F8409" s="2" t="str">
        <f>HYPERLINK("http://m.12365auto.com/bbs/postcontent.aspx?tID=193961","http://m.12365auto.com/bbs/postcontent.aspx?tID=193961")</f>
        <v>http://m.12365auto.com/bbs/postcontent.aspx?tID=193961</v>
      </c>
      <c r="G8409" s="2"/>
      <c r="H8409" s="2" t="s">
        <v>11431</v>
      </c>
      <c r="I8409" s="2" t="s">
        <v>15</v>
      </c>
      <c r="J8409" s="2" t="s">
        <v>6236</v>
      </c>
      <c r="K8409" s="2" t="s">
        <v>11432</v>
      </c>
      <c r="L8409" s="2">
        <f t="shared" si="131"/>
        <v>150</v>
      </c>
    </row>
    <row r="8410" spans="1:12" ht="25" customHeight="1">
      <c r="A8410" s="2" t="s">
        <v>12</v>
      </c>
      <c r="B8410" s="2" t="str">
        <f>HYPERLINK("http://bbs.12365auto.com/postcontent.aspx?tID=193961","现代全新纯电动跨界车谍照，预计2021年发布")</f>
        <v>现代全新纯电动跨界车谍照，预计2021年发布</v>
      </c>
      <c r="C8410" s="2" t="s">
        <v>13</v>
      </c>
      <c r="D8410" s="2" t="s">
        <v>12</v>
      </c>
      <c r="E8410" s="2" t="s">
        <v>28</v>
      </c>
      <c r="F8410" s="2" t="str">
        <f>HYPERLINK("http://bbs.12365auto.com/postcontent.aspx?tID=193961","http://bbs.12365auto.com/postcontent.aspx?tID=193961")</f>
        <v>http://bbs.12365auto.com/postcontent.aspx?tID=193961</v>
      </c>
      <c r="G8410" s="2"/>
      <c r="H8410" s="2" t="s">
        <v>11433</v>
      </c>
      <c r="I8410" s="2" t="s">
        <v>15</v>
      </c>
      <c r="J8410" s="2" t="s">
        <v>6236</v>
      </c>
      <c r="K8410" s="2" t="s">
        <v>11432</v>
      </c>
      <c r="L8410" s="2">
        <f t="shared" si="131"/>
        <v>150</v>
      </c>
    </row>
    <row r="8411" spans="1:12" ht="25" customHeight="1">
      <c r="A8411" s="2" t="s">
        <v>12</v>
      </c>
      <c r="B8411" s="2" t="str">
        <f>HYPERLINK("http://bbs.12365auto.com/postcontent.aspx?tId=193961","现代全新纯电动跨界车谍照，预计2021年发布")</f>
        <v>现代全新纯电动跨界车谍照，预计2021年发布</v>
      </c>
      <c r="C8411" s="2" t="s">
        <v>13</v>
      </c>
      <c r="D8411" s="2" t="s">
        <v>12</v>
      </c>
      <c r="E8411" s="2" t="s">
        <v>27</v>
      </c>
      <c r="F8411" s="2" t="str">
        <f>HYPERLINK("http://bbs.12365auto.com/postcontent.aspx?tId=193961","http://bbs.12365auto.com/postcontent.aspx?tId=193961")</f>
        <v>http://bbs.12365auto.com/postcontent.aspx?tId=193961</v>
      </c>
      <c r="G8411" s="2"/>
      <c r="H8411" s="2" t="s">
        <v>11431</v>
      </c>
      <c r="I8411" s="2" t="s">
        <v>15</v>
      </c>
      <c r="J8411" s="2" t="s">
        <v>6236</v>
      </c>
      <c r="K8411" s="2" t="s">
        <v>11432</v>
      </c>
      <c r="L8411" s="2">
        <f t="shared" si="131"/>
        <v>150</v>
      </c>
    </row>
    <row r="8412" spans="1:12" ht="25" customHeight="1">
      <c r="A8412" s="2" t="s">
        <v>12</v>
      </c>
      <c r="B8412" s="2" t="str">
        <f>HYPERLINK("http://m.12365auto.com/xcdg/20200213/418428.shtml","启辰推新SUV等9款产品 命名“畅”/“威 ”")</f>
        <v>启辰推新SUV等9款产品 命名“畅”/“威 ”</v>
      </c>
      <c r="C8412" s="2" t="s">
        <v>13</v>
      </c>
      <c r="D8412" s="2" t="s">
        <v>12</v>
      </c>
      <c r="E8412" s="2"/>
      <c r="F8412" s="2" t="str">
        <f>HYPERLINK("http://m.12365auto.com/xcdg/20200213/418428.shtml","http://m.12365auto.com/xcdg/20200213/418428.shtml")</f>
        <v>http://m.12365auto.com/xcdg/20200213/418428.shtml</v>
      </c>
      <c r="G8412" s="2"/>
      <c r="H8412" s="2" t="s">
        <v>11434</v>
      </c>
      <c r="I8412" s="2" t="s">
        <v>19</v>
      </c>
      <c r="J8412" s="2" t="s">
        <v>739</v>
      </c>
      <c r="K8412" s="2" t="s">
        <v>11435</v>
      </c>
      <c r="L8412" s="2">
        <f t="shared" si="131"/>
        <v>150</v>
      </c>
    </row>
    <row r="8413" spans="1:12" ht="25" customHeight="1">
      <c r="A8413" s="2" t="s">
        <v>12</v>
      </c>
      <c r="B8413" s="2" t="str">
        <f>HYPERLINK("http://www.12365auto.com/xcdg/20200213/418428.shtml","启辰推新SUV等9款产品 命名“畅”/“威 ”")</f>
        <v>启辰推新SUV等9款产品 命名“畅”/“威 ”</v>
      </c>
      <c r="C8413" s="2" t="s">
        <v>13</v>
      </c>
      <c r="D8413" s="2" t="s">
        <v>12</v>
      </c>
      <c r="E8413" s="2" t="s">
        <v>245</v>
      </c>
      <c r="F8413" s="2" t="str">
        <f>HYPERLINK("http://www.12365auto.com/xcdg/20200213/418428.shtml","http://www.12365auto.com/xcdg/20200213/418428.shtml")</f>
        <v>http://www.12365auto.com/xcdg/20200213/418428.shtml</v>
      </c>
      <c r="G8413" s="2"/>
      <c r="H8413" s="2" t="s">
        <v>11436</v>
      </c>
      <c r="I8413" s="2" t="s">
        <v>19</v>
      </c>
      <c r="J8413" s="2" t="s">
        <v>12</v>
      </c>
      <c r="K8413" s="2" t="s">
        <v>11435</v>
      </c>
      <c r="L8413" s="2">
        <f t="shared" si="131"/>
        <v>150</v>
      </c>
    </row>
    <row r="8414" spans="1:12" ht="25" customHeight="1">
      <c r="A8414" s="2" t="s">
        <v>12</v>
      </c>
      <c r="B8414" s="2" t="str">
        <f>HYPERLINK("http://m.12365auto.com/bbs/postcontent.aspx?tID=193960","肺炎疫情对仍处于销量攀升期的日系品牌影响有多大？")</f>
        <v>肺炎疫情对仍处于销量攀升期的日系品牌影响有多大？</v>
      </c>
      <c r="C8414" s="2" t="s">
        <v>13</v>
      </c>
      <c r="D8414" s="2" t="s">
        <v>23</v>
      </c>
      <c r="E8414" s="2"/>
      <c r="F8414" s="2" t="str">
        <f>HYPERLINK("http://m.12365auto.com/bbs/postcontent.aspx?tID=193960","http://m.12365auto.com/bbs/postcontent.aspx?tID=193960")</f>
        <v>http://m.12365auto.com/bbs/postcontent.aspx?tID=193960</v>
      </c>
      <c r="G8414" s="2"/>
      <c r="H8414" s="2" t="s">
        <v>11437</v>
      </c>
      <c r="I8414" s="2" t="s">
        <v>15</v>
      </c>
      <c r="J8414" s="2" t="s">
        <v>6236</v>
      </c>
      <c r="K8414" s="2" t="s">
        <v>11435</v>
      </c>
      <c r="L8414" s="2">
        <f t="shared" si="131"/>
        <v>150</v>
      </c>
    </row>
    <row r="8415" spans="1:12" ht="25" customHeight="1">
      <c r="A8415" s="2" t="s">
        <v>12</v>
      </c>
      <c r="B8415" s="2" t="str">
        <f>HYPERLINK("http://bbs.12365auto.com/postcontent.aspx?tID=193960","肺炎疫情对仍处于销量攀升期的日系品牌影响有多大？")</f>
        <v>肺炎疫情对仍处于销量攀升期的日系品牌影响有多大？</v>
      </c>
      <c r="C8415" s="2" t="s">
        <v>13</v>
      </c>
      <c r="D8415" s="2" t="s">
        <v>12</v>
      </c>
      <c r="E8415" s="2" t="s">
        <v>28</v>
      </c>
      <c r="F8415" s="2" t="str">
        <f>HYPERLINK("http://bbs.12365auto.com/postcontent.aspx?tID=193960","http://bbs.12365auto.com/postcontent.aspx?tID=193960")</f>
        <v>http://bbs.12365auto.com/postcontent.aspx?tID=193960</v>
      </c>
      <c r="G8415" s="2"/>
      <c r="H8415" s="2" t="s">
        <v>11438</v>
      </c>
      <c r="I8415" s="2" t="s">
        <v>15</v>
      </c>
      <c r="J8415" s="2" t="s">
        <v>6236</v>
      </c>
      <c r="K8415" s="2" t="s">
        <v>11435</v>
      </c>
      <c r="L8415" s="2">
        <f t="shared" si="131"/>
        <v>150</v>
      </c>
    </row>
    <row r="8416" spans="1:12" ht="25" customHeight="1">
      <c r="A8416" s="2" t="s">
        <v>12</v>
      </c>
      <c r="B8416" s="2" t="str">
        <f>HYPERLINK("http://bbs.12365auto.com/postcontent.aspx?tId=193960","肺炎疫情对仍处于销量攀升期的日系品牌影响有多大？")</f>
        <v>肺炎疫情对仍处于销量攀升期的日系品牌影响有多大？</v>
      </c>
      <c r="C8416" s="2" t="s">
        <v>13</v>
      </c>
      <c r="D8416" s="2" t="s">
        <v>12</v>
      </c>
      <c r="E8416" s="2" t="s">
        <v>27</v>
      </c>
      <c r="F8416" s="2" t="str">
        <f>HYPERLINK("http://bbs.12365auto.com/postcontent.aspx?tId=193960","http://bbs.12365auto.com/postcontent.aspx?tId=193960")</f>
        <v>http://bbs.12365auto.com/postcontent.aspx?tId=193960</v>
      </c>
      <c r="G8416" s="2"/>
      <c r="H8416" s="2" t="s">
        <v>11437</v>
      </c>
      <c r="I8416" s="2" t="s">
        <v>15</v>
      </c>
      <c r="J8416" s="2" t="s">
        <v>6236</v>
      </c>
      <c r="K8416" s="2" t="s">
        <v>11435</v>
      </c>
      <c r="L8416" s="2">
        <f t="shared" si="131"/>
        <v>150</v>
      </c>
    </row>
    <row r="8417" spans="1:12" ht="25" customHeight="1">
      <c r="A8417" s="2" t="s">
        <v>12</v>
      </c>
      <c r="B8417" s="2" t="str">
        <f>HYPERLINK("http://www.12365auto.com/zlts/20200213/447074.shtml","比亚迪F3 OBD检测不通过无法验车")</f>
        <v>比亚迪F3 OBD检测不通过无法验车</v>
      </c>
      <c r="C8417" s="2" t="s">
        <v>13</v>
      </c>
      <c r="D8417" s="2" t="s">
        <v>12</v>
      </c>
      <c r="E8417" s="2" t="s">
        <v>17</v>
      </c>
      <c r="F8417" s="2" t="str">
        <f>HYPERLINK("http://www.12365auto.com/zlts/20200213/447074.shtml","http://www.12365auto.com/zlts/20200213/447074.shtml")</f>
        <v>http://www.12365auto.com/zlts/20200213/447074.shtml</v>
      </c>
      <c r="G8417" s="2"/>
      <c r="H8417" s="2" t="s">
        <v>11439</v>
      </c>
      <c r="I8417" s="2" t="s">
        <v>15</v>
      </c>
      <c r="J8417" s="2" t="s">
        <v>12</v>
      </c>
      <c r="K8417" s="2" t="s">
        <v>11440</v>
      </c>
      <c r="L8417" s="2">
        <f t="shared" si="131"/>
        <v>150</v>
      </c>
    </row>
    <row r="8418" spans="1:12" ht="25" customHeight="1">
      <c r="A8418" s="2" t="s">
        <v>12</v>
      </c>
      <c r="B8418" s="2" t="str">
        <f>HYPERLINK("http://bbs.12365auto.com/postcontent.aspx?tID=193959","多地发布最严“无房谴返令”，扎心！没有车“家”回得去吗？")</f>
        <v>多地发布最严“无房谴返令”，扎心！没有车“家”回得去吗？</v>
      </c>
      <c r="C8418" s="2" t="s">
        <v>13</v>
      </c>
      <c r="D8418" s="2" t="s">
        <v>12</v>
      </c>
      <c r="E8418" s="2" t="s">
        <v>28</v>
      </c>
      <c r="F8418" s="2" t="str">
        <f>HYPERLINK("http://bbs.12365auto.com/postcontent.aspx?tID=193959","http://bbs.12365auto.com/postcontent.aspx?tID=193959")</f>
        <v>http://bbs.12365auto.com/postcontent.aspx?tID=193959</v>
      </c>
      <c r="G8418" s="2"/>
      <c r="H8418" s="2" t="s">
        <v>11441</v>
      </c>
      <c r="I8418" s="2" t="s">
        <v>15</v>
      </c>
      <c r="J8418" s="2" t="s">
        <v>6236</v>
      </c>
      <c r="K8418" s="2" t="s">
        <v>11440</v>
      </c>
      <c r="L8418" s="2">
        <f t="shared" si="131"/>
        <v>150</v>
      </c>
    </row>
    <row r="8419" spans="1:12" ht="25" customHeight="1">
      <c r="A8419" s="2" t="s">
        <v>12</v>
      </c>
      <c r="B8419" s="2" t="str">
        <f>HYPERLINK("http://bbs.12365auto.com/postcontent.aspx?tId=193959","多地发布最严“无房谴返令”，扎心！没有车“家”回得去吗？")</f>
        <v>多地发布最严“无房谴返令”，扎心！没有车“家”回得去吗？</v>
      </c>
      <c r="C8419" s="2" t="s">
        <v>13</v>
      </c>
      <c r="D8419" s="2" t="s">
        <v>12</v>
      </c>
      <c r="E8419" s="2" t="s">
        <v>27</v>
      </c>
      <c r="F8419" s="2" t="str">
        <f>HYPERLINK("http://bbs.12365auto.com/postcontent.aspx?tId=193959","http://bbs.12365auto.com/postcontent.aspx?tId=193959")</f>
        <v>http://bbs.12365auto.com/postcontent.aspx?tId=193959</v>
      </c>
      <c r="G8419" s="2"/>
      <c r="H8419" s="2" t="s">
        <v>11442</v>
      </c>
      <c r="I8419" s="2" t="s">
        <v>15</v>
      </c>
      <c r="J8419" s="2" t="s">
        <v>6236</v>
      </c>
      <c r="K8419" s="2" t="s">
        <v>11440</v>
      </c>
      <c r="L8419" s="2">
        <f t="shared" si="131"/>
        <v>150</v>
      </c>
    </row>
    <row r="8420" spans="1:12" ht="25" customHeight="1">
      <c r="A8420" s="2" t="s">
        <v>12</v>
      </c>
      <c r="B8420" s="2" t="str">
        <f>HYPERLINK("http://www.12365auto.com/zlts/20200213/447071.shtml","一汽大众奥迪Q5L低速闯挡顿挫 雨刮器异响")</f>
        <v>一汽大众奥迪Q5L低速闯挡顿挫 雨刮器异响</v>
      </c>
      <c r="C8420" s="2" t="s">
        <v>13</v>
      </c>
      <c r="D8420" s="2" t="s">
        <v>12</v>
      </c>
      <c r="E8420" s="2" t="s">
        <v>17</v>
      </c>
      <c r="F8420" s="2" t="str">
        <f>HYPERLINK("http://www.12365auto.com/zlts/20200213/447071.shtml","http://www.12365auto.com/zlts/20200213/447071.shtml")</f>
        <v>http://www.12365auto.com/zlts/20200213/447071.shtml</v>
      </c>
      <c r="G8420" s="2"/>
      <c r="H8420" s="2" t="s">
        <v>11443</v>
      </c>
      <c r="I8420" s="2" t="s">
        <v>15</v>
      </c>
      <c r="J8420" s="2" t="s">
        <v>12</v>
      </c>
      <c r="K8420" s="2" t="s">
        <v>11444</v>
      </c>
      <c r="L8420" s="2">
        <f t="shared" si="131"/>
        <v>150</v>
      </c>
    </row>
    <row r="8421" spans="1:12" ht="25" customHeight="1">
      <c r="A8421" s="2" t="s">
        <v>12</v>
      </c>
      <c r="B8421" s="2" t="str">
        <f>HYPERLINK("http://m.12365auto.com/xcdg/20200213/418427.shtml","上汽大众将推4款新车 旗舰MPV上半年开售")</f>
        <v>上汽大众将推4款新车 旗舰MPV上半年开售</v>
      </c>
      <c r="C8421" s="2" t="s">
        <v>13</v>
      </c>
      <c r="D8421" s="2" t="s">
        <v>12</v>
      </c>
      <c r="E8421" s="2"/>
      <c r="F8421" s="2" t="str">
        <f>HYPERLINK("http://m.12365auto.com/xcdg/20200213/418427.shtml","http://m.12365auto.com/xcdg/20200213/418427.shtml")</f>
        <v>http://m.12365auto.com/xcdg/20200213/418427.shtml</v>
      </c>
      <c r="G8421" s="2"/>
      <c r="H8421" s="2" t="s">
        <v>11445</v>
      </c>
      <c r="I8421" s="2" t="s">
        <v>19</v>
      </c>
      <c r="J8421" s="2" t="s">
        <v>6086</v>
      </c>
      <c r="K8421" s="2" t="s">
        <v>11446</v>
      </c>
      <c r="L8421" s="2">
        <f t="shared" si="131"/>
        <v>150</v>
      </c>
    </row>
    <row r="8422" spans="1:12" ht="25" customHeight="1">
      <c r="A8422" s="2" t="s">
        <v>12</v>
      </c>
      <c r="B8422" s="2" t="str">
        <f>HYPERLINK("http://www.12365auto.com/xcdg/20200213/418427.shtml","上汽大众将推4款新车 旗舰MPV上半年开售")</f>
        <v>上汽大众将推4款新车 旗舰MPV上半年开售</v>
      </c>
      <c r="C8422" s="2" t="s">
        <v>13</v>
      </c>
      <c r="D8422" s="2" t="s">
        <v>12</v>
      </c>
      <c r="E8422" s="2" t="s">
        <v>245</v>
      </c>
      <c r="F8422" s="2" t="str">
        <f>HYPERLINK("http://www.12365auto.com/xcdg/20200213/418427.shtml","http://www.12365auto.com/xcdg/20200213/418427.shtml")</f>
        <v>http://www.12365auto.com/xcdg/20200213/418427.shtml</v>
      </c>
      <c r="G8422" s="2"/>
      <c r="H8422" s="2" t="s">
        <v>11447</v>
      </c>
      <c r="I8422" s="2" t="s">
        <v>19</v>
      </c>
      <c r="J8422" s="2" t="s">
        <v>12</v>
      </c>
      <c r="K8422" s="2" t="s">
        <v>11446</v>
      </c>
      <c r="L8422" s="2">
        <f t="shared" si="131"/>
        <v>150</v>
      </c>
    </row>
    <row r="8423" spans="1:12" ht="25" customHeight="1">
      <c r="A8423" s="2" t="s">
        <v>12</v>
      </c>
      <c r="B8423" s="2" t="str">
        <f>HYPERLINK("http://www.12365auto.com/xcdg/20200213/418426.shtml","拜腾3款新车将陆续上市 首款SUV竞争蔚来ES6")</f>
        <v>拜腾3款新车将陆续上市 首款SUV竞争蔚来ES6</v>
      </c>
      <c r="C8423" s="2" t="s">
        <v>13</v>
      </c>
      <c r="D8423" s="2" t="s">
        <v>12</v>
      </c>
      <c r="E8423" s="2" t="s">
        <v>216</v>
      </c>
      <c r="F8423" s="2" t="str">
        <f>HYPERLINK("http://www.12365auto.com/xcdg/20200213/418426.shtml","http://www.12365auto.com/xcdg/20200213/418426.shtml")</f>
        <v>http://www.12365auto.com/xcdg/20200213/418426.shtml</v>
      </c>
      <c r="G8423" s="2"/>
      <c r="H8423" s="2" t="s">
        <v>11448</v>
      </c>
      <c r="I8423" s="2" t="s">
        <v>15</v>
      </c>
      <c r="J8423" s="2" t="s">
        <v>12</v>
      </c>
      <c r="K8423" s="2" t="s">
        <v>11449</v>
      </c>
      <c r="L8423" s="2">
        <f t="shared" si="131"/>
        <v>150</v>
      </c>
    </row>
    <row r="8424" spans="1:12" ht="25" customHeight="1">
      <c r="A8424" s="2" t="s">
        <v>12</v>
      </c>
      <c r="B8424" s="2" t="str">
        <f>HYPERLINK("http://m.12365auto.com/xcdg/20200213/418426.shtml","拜腾3款新车将陆续上市 首款SUV竞争蔚来ES6")</f>
        <v>拜腾3款新车将陆续上市 首款SUV竞争蔚来ES6</v>
      </c>
      <c r="C8424" s="2" t="s">
        <v>13</v>
      </c>
      <c r="D8424" s="2" t="s">
        <v>12</v>
      </c>
      <c r="E8424" s="2"/>
      <c r="F8424" s="2" t="str">
        <f>HYPERLINK("http://m.12365auto.com/xcdg/20200213/418426.shtml","http://m.12365auto.com/xcdg/20200213/418426.shtml")</f>
        <v>http://m.12365auto.com/xcdg/20200213/418426.shtml</v>
      </c>
      <c r="G8424" s="2"/>
      <c r="H8424" s="2" t="s">
        <v>11450</v>
      </c>
      <c r="I8424" s="2" t="s">
        <v>19</v>
      </c>
      <c r="J8424" s="2" t="s">
        <v>257</v>
      </c>
      <c r="K8424" s="2" t="s">
        <v>11449</v>
      </c>
      <c r="L8424" s="2">
        <f t="shared" si="131"/>
        <v>150</v>
      </c>
    </row>
    <row r="8425" spans="1:12" ht="25" customHeight="1">
      <c r="A8425" s="2" t="s">
        <v>12</v>
      </c>
      <c r="B8425" s="2" t="str">
        <f>HYPERLINK("http://www.12365auto.com/xcdg/20200213/418425.shtml","江淮全新SUV专利图曝光 将竞争哈弗H6")</f>
        <v>江淮全新SUV专利图曝光 将竞争哈弗H6</v>
      </c>
      <c r="C8425" s="2" t="s">
        <v>13</v>
      </c>
      <c r="D8425" s="2" t="s">
        <v>12</v>
      </c>
      <c r="E8425" s="2" t="s">
        <v>216</v>
      </c>
      <c r="F8425" s="2" t="str">
        <f>HYPERLINK("http://www.12365auto.com/xcdg/20200213/418425.shtml","http://www.12365auto.com/xcdg/20200213/418425.shtml")</f>
        <v>http://www.12365auto.com/xcdg/20200213/418425.shtml</v>
      </c>
      <c r="G8425" s="2"/>
      <c r="H8425" s="2" t="s">
        <v>11451</v>
      </c>
      <c r="I8425" s="2" t="s">
        <v>15</v>
      </c>
      <c r="J8425" s="2" t="s">
        <v>12</v>
      </c>
      <c r="K8425" s="2" t="s">
        <v>11452</v>
      </c>
      <c r="L8425" s="2">
        <f t="shared" si="131"/>
        <v>150</v>
      </c>
    </row>
    <row r="8426" spans="1:12" ht="25" customHeight="1">
      <c r="A8426" s="2" t="s">
        <v>12</v>
      </c>
      <c r="B8426" s="2" t="str">
        <f>HYPERLINK("http://m.12365auto.com/xcdg/20200213/418425.shtml","江淮全新SUV专利图曝光 将竞争哈弗H6")</f>
        <v>江淮全新SUV专利图曝光 将竞争哈弗H6</v>
      </c>
      <c r="C8426" s="2" t="s">
        <v>13</v>
      </c>
      <c r="D8426" s="2" t="s">
        <v>12</v>
      </c>
      <c r="E8426" s="2"/>
      <c r="F8426" s="2" t="str">
        <f>HYPERLINK("http://m.12365auto.com/xcdg/20200213/418425.shtml","http://m.12365auto.com/xcdg/20200213/418425.shtml")</f>
        <v>http://m.12365auto.com/xcdg/20200213/418425.shtml</v>
      </c>
      <c r="G8426" s="2"/>
      <c r="H8426" s="2" t="s">
        <v>11453</v>
      </c>
      <c r="I8426" s="2" t="s">
        <v>19</v>
      </c>
      <c r="J8426" s="2" t="s">
        <v>732</v>
      </c>
      <c r="K8426" s="2" t="s">
        <v>11452</v>
      </c>
      <c r="L8426" s="2">
        <f t="shared" si="131"/>
        <v>150</v>
      </c>
    </row>
    <row r="8427" spans="1:12" ht="25" customHeight="1">
      <c r="A8427" s="2" t="s">
        <v>12</v>
      </c>
      <c r="B8427" s="2" t="str">
        <f>HYPERLINK("http://www.12365auto.com/news/20200213/418424.shtml","东风风行1月销量增长10.77% 将推新款风行T5")</f>
        <v>东风风行1月销量增长10.77% 将推新款风行T5</v>
      </c>
      <c r="C8427" s="2" t="s">
        <v>13</v>
      </c>
      <c r="D8427" s="2" t="s">
        <v>12</v>
      </c>
      <c r="E8427" s="2" t="s">
        <v>276</v>
      </c>
      <c r="F8427" s="2" t="str">
        <f>HYPERLINK("http://www.12365auto.com/news/20200213/418424.shtml","http://www.12365auto.com/news/20200213/418424.shtml")</f>
        <v>http://www.12365auto.com/news/20200213/418424.shtml</v>
      </c>
      <c r="G8427" s="2"/>
      <c r="H8427" s="2" t="s">
        <v>11454</v>
      </c>
      <c r="I8427" s="2" t="s">
        <v>15</v>
      </c>
      <c r="J8427" s="2" t="s">
        <v>12</v>
      </c>
      <c r="K8427" s="2" t="s">
        <v>11455</v>
      </c>
      <c r="L8427" s="2">
        <f t="shared" si="131"/>
        <v>150</v>
      </c>
    </row>
    <row r="8428" spans="1:12" ht="25" customHeight="1">
      <c r="A8428" s="2" t="s">
        <v>12</v>
      </c>
      <c r="B8428" s="2" t="str">
        <f>HYPERLINK("http://www.12365auto.com/xcdg/20200213/418423.shtml","日系合资将推11款SUV 最低14万起/4月就能买")</f>
        <v>日系合资将推11款SUV 最低14万起/4月就能买</v>
      </c>
      <c r="C8428" s="2" t="s">
        <v>13</v>
      </c>
      <c r="D8428" s="2" t="s">
        <v>12</v>
      </c>
      <c r="E8428" s="2" t="s">
        <v>216</v>
      </c>
      <c r="F8428" s="2" t="str">
        <f>HYPERLINK("http://www.12365auto.com/xcdg/20200213/418423.shtml","http://www.12365auto.com/xcdg/20200213/418423.shtml")</f>
        <v>http://www.12365auto.com/xcdg/20200213/418423.shtml</v>
      </c>
      <c r="G8428" s="2"/>
      <c r="H8428" s="2" t="s">
        <v>11456</v>
      </c>
      <c r="I8428" s="2" t="s">
        <v>15</v>
      </c>
      <c r="J8428" s="2" t="s">
        <v>12</v>
      </c>
      <c r="K8428" s="2" t="s">
        <v>11455</v>
      </c>
      <c r="L8428" s="2">
        <f t="shared" si="131"/>
        <v>150</v>
      </c>
    </row>
    <row r="8429" spans="1:12" ht="25" customHeight="1">
      <c r="A8429" s="2" t="s">
        <v>12</v>
      </c>
      <c r="B8429" s="2" t="str">
        <f>HYPERLINK("http://m.12365auto.com/xcdg/20200213/418423.shtml","日系合资将推11款SUV 最低14万起/4月就能买")</f>
        <v>日系合资将推11款SUV 最低14万起/4月就能买</v>
      </c>
      <c r="C8429" s="2" t="s">
        <v>13</v>
      </c>
      <c r="D8429" s="2" t="s">
        <v>12</v>
      </c>
      <c r="E8429" s="2"/>
      <c r="F8429" s="2" t="str">
        <f>HYPERLINK("http://m.12365auto.com/xcdg/20200213/418423.shtml","http://m.12365auto.com/xcdg/20200213/418423.shtml")</f>
        <v>http://m.12365auto.com/xcdg/20200213/418423.shtml</v>
      </c>
      <c r="G8429" s="2"/>
      <c r="H8429" s="2" t="s">
        <v>11457</v>
      </c>
      <c r="I8429" s="2" t="s">
        <v>19</v>
      </c>
      <c r="J8429" s="2" t="s">
        <v>265</v>
      </c>
      <c r="K8429" s="2" t="s">
        <v>11455</v>
      </c>
      <c r="L8429" s="2">
        <f t="shared" si="131"/>
        <v>150</v>
      </c>
    </row>
    <row r="8430" spans="1:12" ht="25" customHeight="1">
      <c r="A8430" s="2" t="s">
        <v>12</v>
      </c>
      <c r="B8430" s="2" t="str">
        <f>HYPERLINK("http://m.12365auto.com/news/20200213/418424.shtml","东风风行1月销量增长10.77% 将推新款风行T5")</f>
        <v>东风风行1月销量增长10.77% 将推新款风行T5</v>
      </c>
      <c r="C8430" s="2" t="s">
        <v>13</v>
      </c>
      <c r="D8430" s="2" t="s">
        <v>12</v>
      </c>
      <c r="E8430" s="2"/>
      <c r="F8430" s="2" t="str">
        <f>HYPERLINK("http://m.12365auto.com/news/20200213/418424.shtml","http://m.12365auto.com/news/20200213/418424.shtml")</f>
        <v>http://m.12365auto.com/news/20200213/418424.shtml</v>
      </c>
      <c r="G8430" s="2"/>
      <c r="H8430" s="2" t="s">
        <v>11458</v>
      </c>
      <c r="I8430" s="2" t="s">
        <v>19</v>
      </c>
      <c r="J8430" s="2" t="s">
        <v>6086</v>
      </c>
      <c r="K8430" s="2" t="s">
        <v>11455</v>
      </c>
      <c r="L8430" s="2">
        <f t="shared" si="131"/>
        <v>150</v>
      </c>
    </row>
    <row r="8431" spans="1:12" ht="25" customHeight="1">
      <c r="A8431" s="2" t="s">
        <v>12</v>
      </c>
      <c r="B8431" s="2" t="str">
        <f>HYPERLINK("http://www.12365auto.com/zlts/20200213/447070.shtml","上汽通用五菱宏光4S店售后态度极差")</f>
        <v>上汽通用五菱宏光4S店售后态度极差</v>
      </c>
      <c r="C8431" s="2" t="s">
        <v>13</v>
      </c>
      <c r="D8431" s="2" t="s">
        <v>12</v>
      </c>
      <c r="E8431" s="2" t="s">
        <v>17</v>
      </c>
      <c r="F8431" s="2" t="str">
        <f>HYPERLINK("http://www.12365auto.com/zlts/20200213/447070.shtml","http://www.12365auto.com/zlts/20200213/447070.shtml")</f>
        <v>http://www.12365auto.com/zlts/20200213/447070.shtml</v>
      </c>
      <c r="G8431" s="2"/>
      <c r="H8431" s="2" t="s">
        <v>11459</v>
      </c>
      <c r="I8431" s="2" t="s">
        <v>15</v>
      </c>
      <c r="J8431" s="2" t="s">
        <v>12</v>
      </c>
      <c r="K8431" s="2" t="s">
        <v>11460</v>
      </c>
      <c r="L8431" s="2">
        <f t="shared" si="131"/>
        <v>150</v>
      </c>
    </row>
    <row r="8432" spans="1:12" ht="25" customHeight="1">
      <c r="A8432" s="2" t="s">
        <v>12</v>
      </c>
      <c r="B8432" s="2" t="str">
        <f>HYPERLINK("http://m.12365auto.com/xcdg/20200213/418422.shtml","野马2款纯电动车将上市 新SUV续航增10公里")</f>
        <v>野马2款纯电动车将上市 新SUV续航增10公里</v>
      </c>
      <c r="C8432" s="2" t="s">
        <v>13</v>
      </c>
      <c r="D8432" s="2" t="s">
        <v>12</v>
      </c>
      <c r="E8432" s="2"/>
      <c r="F8432" s="2" t="str">
        <f>HYPERLINK("http://m.12365auto.com/xcdg/20200213/418422.shtml","http://m.12365auto.com/xcdg/20200213/418422.shtml")</f>
        <v>http://m.12365auto.com/xcdg/20200213/418422.shtml</v>
      </c>
      <c r="G8432" s="2"/>
      <c r="H8432" s="2" t="s">
        <v>11461</v>
      </c>
      <c r="I8432" s="2" t="s">
        <v>19</v>
      </c>
      <c r="J8432" s="2" t="s">
        <v>257</v>
      </c>
      <c r="K8432" s="2" t="s">
        <v>11462</v>
      </c>
      <c r="L8432" s="2">
        <f t="shared" si="131"/>
        <v>150</v>
      </c>
    </row>
    <row r="8433" spans="1:12" ht="25" customHeight="1">
      <c r="A8433" s="2" t="s">
        <v>12</v>
      </c>
      <c r="B8433" s="2" t="str">
        <f>HYPERLINK("http://www.12365auto.com/xcdg/20200213/418422.shtml","野马2款纯电动车将上市 新SUV续航增10公里")</f>
        <v>野马2款纯电动车将上市 新SUV续航增10公里</v>
      </c>
      <c r="C8433" s="2" t="s">
        <v>13</v>
      </c>
      <c r="D8433" s="2" t="s">
        <v>12</v>
      </c>
      <c r="E8433" s="2" t="s">
        <v>245</v>
      </c>
      <c r="F8433" s="2" t="str">
        <f>HYPERLINK("http://www.12365auto.com/xcdg/20200213/418422.shtml","http://www.12365auto.com/xcdg/20200213/418422.shtml")</f>
        <v>http://www.12365auto.com/xcdg/20200213/418422.shtml</v>
      </c>
      <c r="G8433" s="2"/>
      <c r="H8433" s="2" t="s">
        <v>11463</v>
      </c>
      <c r="I8433" s="2" t="s">
        <v>19</v>
      </c>
      <c r="J8433" s="2" t="s">
        <v>12</v>
      </c>
      <c r="K8433" s="2" t="s">
        <v>11462</v>
      </c>
      <c r="L8433" s="2">
        <f t="shared" si="131"/>
        <v>150</v>
      </c>
    </row>
    <row r="8434" spans="1:12" ht="25" customHeight="1">
      <c r="A8434" s="2" t="s">
        <v>12</v>
      </c>
      <c r="B8434" s="2" t="str">
        <f>HYPERLINK("http://m.12365auto.com/xcdg/20200213/418421.shtml","解读配太阳能车顶的混动索纳塔 明年就能买")</f>
        <v>解读配太阳能车顶的混动索纳塔 明年就能买</v>
      </c>
      <c r="C8434" s="2" t="s">
        <v>13</v>
      </c>
      <c r="D8434" s="2" t="s">
        <v>12</v>
      </c>
      <c r="E8434" s="2"/>
      <c r="F8434" s="2" t="str">
        <f>HYPERLINK("http://m.12365auto.com/xcdg/20200213/418421.shtml","http://m.12365auto.com/xcdg/20200213/418421.shtml")</f>
        <v>http://m.12365auto.com/xcdg/20200213/418421.shtml</v>
      </c>
      <c r="G8434" s="2"/>
      <c r="H8434" s="2" t="s">
        <v>11464</v>
      </c>
      <c r="I8434" s="2" t="s">
        <v>19</v>
      </c>
      <c r="J8434" s="2" t="s">
        <v>1247</v>
      </c>
      <c r="K8434" s="2" t="s">
        <v>11465</v>
      </c>
      <c r="L8434" s="2">
        <f t="shared" si="131"/>
        <v>150</v>
      </c>
    </row>
    <row r="8435" spans="1:12" ht="25" customHeight="1">
      <c r="A8435" s="2" t="s">
        <v>12</v>
      </c>
      <c r="B8435" s="2" t="str">
        <f>HYPERLINK("http://www.12365auto.com/xcdg/20200213/418420.shtml","星途将推3款新车 VX大7座SUV最快4月上市")</f>
        <v>星途将推3款新车 VX大7座SUV最快4月上市</v>
      </c>
      <c r="C8435" s="2" t="s">
        <v>13</v>
      </c>
      <c r="D8435" s="2" t="s">
        <v>12</v>
      </c>
      <c r="E8435" s="2" t="s">
        <v>245</v>
      </c>
      <c r="F8435" s="2" t="str">
        <f>HYPERLINK("http://www.12365auto.com/xcdg/20200213/418420.shtml","http://www.12365auto.com/xcdg/20200213/418420.shtml")</f>
        <v>http://www.12365auto.com/xcdg/20200213/418420.shtml</v>
      </c>
      <c r="G8435" s="2"/>
      <c r="H8435" s="2" t="s">
        <v>11466</v>
      </c>
      <c r="I8435" s="2" t="s">
        <v>19</v>
      </c>
      <c r="J8435" s="2" t="s">
        <v>12</v>
      </c>
      <c r="K8435" s="2" t="s">
        <v>11467</v>
      </c>
      <c r="L8435" s="2">
        <f t="shared" si="131"/>
        <v>150</v>
      </c>
    </row>
    <row r="8436" spans="1:12" ht="25" customHeight="1">
      <c r="A8436" s="2" t="s">
        <v>12</v>
      </c>
      <c r="B8436" s="2" t="str">
        <f>HYPERLINK("http://m.12365auto.com/xcdg/20200213/418420.shtml","星途将推3款新车 VX大7座SUV最快4月上市")</f>
        <v>星途将推3款新车 VX大7座SUV最快4月上市</v>
      </c>
      <c r="C8436" s="2" t="s">
        <v>13</v>
      </c>
      <c r="D8436" s="2" t="s">
        <v>12</v>
      </c>
      <c r="E8436" s="2"/>
      <c r="F8436" s="2" t="str">
        <f>HYPERLINK("http://m.12365auto.com/xcdg/20200213/418420.shtml","http://m.12365auto.com/xcdg/20200213/418420.shtml")</f>
        <v>http://m.12365auto.com/xcdg/20200213/418420.shtml</v>
      </c>
      <c r="G8436" s="2"/>
      <c r="H8436" s="2" t="s">
        <v>11468</v>
      </c>
      <c r="I8436" s="2" t="s">
        <v>19</v>
      </c>
      <c r="J8436" s="2" t="s">
        <v>3053</v>
      </c>
      <c r="K8436" s="2" t="s">
        <v>11467</v>
      </c>
      <c r="L8436" s="2">
        <f t="shared" si="131"/>
        <v>150</v>
      </c>
    </row>
    <row r="8437" spans="1:12" ht="25" customHeight="1">
      <c r="A8437" s="2" t="s">
        <v>12</v>
      </c>
      <c r="B8437" s="2" t="str">
        <f>HYPERLINK("http://www.12365auto.com/news/20200213/418419.shtml","别克2020年新车展望 多达10款 GL8/威朗等")</f>
        <v>别克2020年新车展望 多达10款 GL8/威朗等</v>
      </c>
      <c r="C8437" s="2" t="s">
        <v>13</v>
      </c>
      <c r="D8437" s="2" t="s">
        <v>12</v>
      </c>
      <c r="E8437" s="2" t="s">
        <v>282</v>
      </c>
      <c r="F8437" s="2" t="str">
        <f>HYPERLINK("http://www.12365auto.com/news/20200213/418419.shtml","http://www.12365auto.com/news/20200213/418419.shtml")</f>
        <v>http://www.12365auto.com/news/20200213/418419.shtml</v>
      </c>
      <c r="G8437" s="2"/>
      <c r="H8437" s="2" t="s">
        <v>11469</v>
      </c>
      <c r="I8437" s="2" t="s">
        <v>19</v>
      </c>
      <c r="J8437" s="2" t="s">
        <v>12</v>
      </c>
      <c r="K8437" s="2" t="s">
        <v>11470</v>
      </c>
      <c r="L8437" s="2">
        <f t="shared" si="131"/>
        <v>150</v>
      </c>
    </row>
    <row r="8438" spans="1:12" ht="25" customHeight="1">
      <c r="A8438" s="2" t="s">
        <v>12</v>
      </c>
      <c r="B8438" s="2" t="str">
        <f>HYPERLINK("http://m.12365auto.com/news/20200213/418419.shtml","别克2020年新车展望 多达10款 GL8/威朗等")</f>
        <v>别克2020年新车展望 多达10款 GL8/威朗等</v>
      </c>
      <c r="C8438" s="2" t="s">
        <v>13</v>
      </c>
      <c r="D8438" s="2" t="s">
        <v>12</v>
      </c>
      <c r="E8438" s="2"/>
      <c r="F8438" s="2" t="str">
        <f>HYPERLINK("http://m.12365auto.com/news/20200213/418419.shtml","http://m.12365auto.com/news/20200213/418419.shtml")</f>
        <v>http://m.12365auto.com/news/20200213/418419.shtml</v>
      </c>
      <c r="G8438" s="2"/>
      <c r="H8438" s="2" t="s">
        <v>11471</v>
      </c>
      <c r="I8438" s="2" t="s">
        <v>19</v>
      </c>
      <c r="J8438" s="2" t="s">
        <v>2603</v>
      </c>
      <c r="K8438" s="2" t="s">
        <v>11470</v>
      </c>
      <c r="L8438" s="2">
        <f t="shared" si="131"/>
        <v>150</v>
      </c>
    </row>
    <row r="8439" spans="1:12" ht="25" customHeight="1">
      <c r="A8439" s="2" t="s">
        <v>12</v>
      </c>
      <c r="B8439" s="2" t="str">
        <f>HYPERLINK("http://m.12365auto.com/xcdg/20200213/418418.shtml","雷克萨斯最便宜的SUV UX是否值得购买？")</f>
        <v>雷克萨斯最便宜的SUV UX是否值得购买？</v>
      </c>
      <c r="C8439" s="2" t="s">
        <v>13</v>
      </c>
      <c r="D8439" s="2" t="s">
        <v>12</v>
      </c>
      <c r="E8439" s="2"/>
      <c r="F8439" s="2" t="str">
        <f>HYPERLINK("http://m.12365auto.com/xcdg/20200213/418418.shtml","http://m.12365auto.com/xcdg/20200213/418418.shtml")</f>
        <v>http://m.12365auto.com/xcdg/20200213/418418.shtml</v>
      </c>
      <c r="G8439" s="2"/>
      <c r="H8439" s="2" t="s">
        <v>11472</v>
      </c>
      <c r="I8439" s="2" t="s">
        <v>19</v>
      </c>
      <c r="J8439" s="2" t="s">
        <v>3058</v>
      </c>
      <c r="K8439" s="2" t="s">
        <v>11473</v>
      </c>
      <c r="L8439" s="2">
        <f t="shared" si="131"/>
        <v>150</v>
      </c>
    </row>
    <row r="8440" spans="1:12" ht="25" customHeight="1">
      <c r="A8440" s="2" t="s">
        <v>12</v>
      </c>
      <c r="B8440" s="2" t="str">
        <f>HYPERLINK("http://m.12365auto.com/xcdg/20200213/418417.shtml","雷诺国产轿跑SUV实车 搭奔驰1.3T年内上市")</f>
        <v>雷诺国产轿跑SUV实车 搭奔驰1.3T年内上市</v>
      </c>
      <c r="C8440" s="2" t="s">
        <v>13</v>
      </c>
      <c r="D8440" s="2" t="s">
        <v>12</v>
      </c>
      <c r="E8440" s="2"/>
      <c r="F8440" s="2" t="str">
        <f>HYPERLINK("http://m.12365auto.com/xcdg/20200213/418417.shtml","http://m.12365auto.com/xcdg/20200213/418417.shtml")</f>
        <v>http://m.12365auto.com/xcdg/20200213/418417.shtml</v>
      </c>
      <c r="G8440" s="2"/>
      <c r="H8440" s="2" t="s">
        <v>11474</v>
      </c>
      <c r="I8440" s="2" t="s">
        <v>19</v>
      </c>
      <c r="J8440" s="2" t="s">
        <v>2603</v>
      </c>
      <c r="K8440" s="2" t="s">
        <v>11475</v>
      </c>
      <c r="L8440" s="2">
        <f t="shared" si="131"/>
        <v>150</v>
      </c>
    </row>
    <row r="8441" spans="1:12" ht="25" customHeight="1">
      <c r="A8441" s="2" t="s">
        <v>12</v>
      </c>
      <c r="B8441" s="2" t="str">
        <f>HYPERLINK("http://www.12365auto.com/xcdg/20200213/418417.shtml","雷诺国产轿跑SUV实车 搭奔驰1.3T年内上市")</f>
        <v>雷诺国产轿跑SUV实车 搭奔驰1.3T年内上市</v>
      </c>
      <c r="C8441" s="2" t="s">
        <v>13</v>
      </c>
      <c r="D8441" s="2" t="s">
        <v>12</v>
      </c>
      <c r="E8441" s="2" t="s">
        <v>245</v>
      </c>
      <c r="F8441" s="2" t="str">
        <f>HYPERLINK("http://www.12365auto.com/xcdg/20200213/418417.shtml","http://www.12365auto.com/xcdg/20200213/418417.shtml")</f>
        <v>http://www.12365auto.com/xcdg/20200213/418417.shtml</v>
      </c>
      <c r="G8441" s="2"/>
      <c r="H8441" s="2" t="s">
        <v>11476</v>
      </c>
      <c r="I8441" s="2" t="s">
        <v>19</v>
      </c>
      <c r="J8441" s="2" t="s">
        <v>12</v>
      </c>
      <c r="K8441" s="2" t="s">
        <v>11475</v>
      </c>
      <c r="L8441" s="2">
        <f t="shared" si="131"/>
        <v>150</v>
      </c>
    </row>
    <row r="8442" spans="1:12" ht="25" customHeight="1">
      <c r="A8442" s="2" t="s">
        <v>12</v>
      </c>
      <c r="B8442" s="2" t="str">
        <f>HYPERLINK("http://m.12365auto.com/xcdg/20200213/418416.shtml","启辰T90 SUV增1.5T引擎 动力更强/油耗降15%")</f>
        <v>启辰T90 SUV增1.5T引擎 动力更强/油耗降15%</v>
      </c>
      <c r="C8442" s="2" t="s">
        <v>13</v>
      </c>
      <c r="D8442" s="2" t="s">
        <v>12</v>
      </c>
      <c r="E8442" s="2"/>
      <c r="F8442" s="2" t="str">
        <f>HYPERLINK("http://m.12365auto.com/xcdg/20200213/418416.shtml","http://m.12365auto.com/xcdg/20200213/418416.shtml")</f>
        <v>http://m.12365auto.com/xcdg/20200213/418416.shtml</v>
      </c>
      <c r="G8442" s="2"/>
      <c r="H8442" s="2" t="s">
        <v>11477</v>
      </c>
      <c r="I8442" s="2" t="s">
        <v>19</v>
      </c>
      <c r="J8442" s="2" t="s">
        <v>739</v>
      </c>
      <c r="K8442" s="2" t="s">
        <v>11478</v>
      </c>
      <c r="L8442" s="2">
        <f t="shared" si="131"/>
        <v>150</v>
      </c>
    </row>
    <row r="8443" spans="1:12" ht="25" customHeight="1">
      <c r="A8443" s="2" t="s">
        <v>12</v>
      </c>
      <c r="B8443" s="2" t="str">
        <f>HYPERLINK("http://www.12365auto.com/xcdg/20200213/418416.shtml","启辰T90 SUV增1.5T引擎 动力更强/油耗降15%")</f>
        <v>启辰T90 SUV增1.5T引擎 动力更强/油耗降15%</v>
      </c>
      <c r="C8443" s="2" t="s">
        <v>13</v>
      </c>
      <c r="D8443" s="2" t="s">
        <v>12</v>
      </c>
      <c r="E8443" s="2" t="s">
        <v>245</v>
      </c>
      <c r="F8443" s="2" t="str">
        <f>HYPERLINK("http://www.12365auto.com/xcdg/20200213/418416.shtml","http://www.12365auto.com/xcdg/20200213/418416.shtml")</f>
        <v>http://www.12365auto.com/xcdg/20200213/418416.shtml</v>
      </c>
      <c r="G8443" s="2"/>
      <c r="H8443" s="2" t="s">
        <v>11479</v>
      </c>
      <c r="I8443" s="2" t="s">
        <v>19</v>
      </c>
      <c r="J8443" s="2" t="s">
        <v>12</v>
      </c>
      <c r="K8443" s="2" t="s">
        <v>11478</v>
      </c>
      <c r="L8443" s="2">
        <f t="shared" si="131"/>
        <v>150</v>
      </c>
    </row>
    <row r="8444" spans="1:12" ht="25" customHeight="1">
      <c r="A8444" s="2" t="s">
        <v>12</v>
      </c>
      <c r="B8444" s="2" t="str">
        <f>HYPERLINK("http://www.12365auto.com/xcdg/20200213/418415.shtml","奔腾全新纯电SUV实拍图 或命名为“水星”")</f>
        <v>奔腾全新纯电SUV实拍图 或命名为“水星”</v>
      </c>
      <c r="C8444" s="2" t="s">
        <v>13</v>
      </c>
      <c r="D8444" s="2" t="s">
        <v>12</v>
      </c>
      <c r="E8444" s="2" t="s">
        <v>216</v>
      </c>
      <c r="F8444" s="2" t="str">
        <f>HYPERLINK("http://www.12365auto.com/xcdg/20200213/418415.shtml","http://www.12365auto.com/xcdg/20200213/418415.shtml")</f>
        <v>http://www.12365auto.com/xcdg/20200213/418415.shtml</v>
      </c>
      <c r="G8444" s="2"/>
      <c r="H8444" s="2" t="s">
        <v>11480</v>
      </c>
      <c r="I8444" s="2" t="s">
        <v>15</v>
      </c>
      <c r="J8444" s="2" t="s">
        <v>12</v>
      </c>
      <c r="K8444" s="2" t="s">
        <v>11481</v>
      </c>
      <c r="L8444" s="2">
        <f t="shared" si="131"/>
        <v>150</v>
      </c>
    </row>
    <row r="8445" spans="1:12" ht="25" customHeight="1">
      <c r="A8445" s="2" t="s">
        <v>12</v>
      </c>
      <c r="B8445" s="2" t="str">
        <f>HYPERLINK("http://m.12365auto.com/xcdg/20200213/418415.shtml","奔腾全新纯电SUV实拍图 或命名为“水星”")</f>
        <v>奔腾全新纯电SUV实拍图 或命名为“水星”</v>
      </c>
      <c r="C8445" s="2" t="s">
        <v>13</v>
      </c>
      <c r="D8445" s="2" t="s">
        <v>12</v>
      </c>
      <c r="E8445" s="2"/>
      <c r="F8445" s="2" t="str">
        <f>HYPERLINK("http://m.12365auto.com/xcdg/20200213/418415.shtml","http://m.12365auto.com/xcdg/20200213/418415.shtml")</f>
        <v>http://m.12365auto.com/xcdg/20200213/418415.shtml</v>
      </c>
      <c r="G8445" s="2"/>
      <c r="H8445" s="2" t="s">
        <v>11482</v>
      </c>
      <c r="I8445" s="2" t="s">
        <v>19</v>
      </c>
      <c r="J8445" s="2" t="s">
        <v>6086</v>
      </c>
      <c r="K8445" s="2" t="s">
        <v>11481</v>
      </c>
      <c r="L8445" s="2">
        <f t="shared" si="131"/>
        <v>150</v>
      </c>
    </row>
    <row r="8446" spans="1:12" ht="25" customHeight="1">
      <c r="A8446" s="2" t="s">
        <v>12</v>
      </c>
      <c r="B8446" s="2" t="str">
        <f>HYPERLINK("http://www.12365auto.com/xcdg/20200213/418414.shtml","BEIJING全新SUV X7实拍 搭1.5T 6月将上市")</f>
        <v>BEIJING全新SUV X7实拍 搭1.5T 6月将上市</v>
      </c>
      <c r="C8446" s="2" t="s">
        <v>13</v>
      </c>
      <c r="D8446" s="2" t="s">
        <v>12</v>
      </c>
      <c r="E8446" s="2" t="s">
        <v>216</v>
      </c>
      <c r="F8446" s="2" t="str">
        <f>HYPERLINK("http://www.12365auto.com/xcdg/20200213/418414.shtml","http://www.12365auto.com/xcdg/20200213/418414.shtml")</f>
        <v>http://www.12365auto.com/xcdg/20200213/418414.shtml</v>
      </c>
      <c r="G8446" s="2"/>
      <c r="H8446" s="2" t="s">
        <v>11483</v>
      </c>
      <c r="I8446" s="2" t="s">
        <v>15</v>
      </c>
      <c r="J8446" s="2" t="s">
        <v>12</v>
      </c>
      <c r="K8446" s="2" t="s">
        <v>11484</v>
      </c>
      <c r="L8446" s="2">
        <f t="shared" si="131"/>
        <v>150</v>
      </c>
    </row>
    <row r="8447" spans="1:12" ht="25" customHeight="1">
      <c r="A8447" s="2" t="s">
        <v>12</v>
      </c>
      <c r="B8447" s="2" t="str">
        <f>HYPERLINK("http://m.12365auto.com/xcdg/20200213/418414.shtml","BEIJING全新SUV X7实拍 搭1.5T 6月将上市")</f>
        <v>BEIJING全新SUV X7实拍 搭1.5T 6月将上市</v>
      </c>
      <c r="C8447" s="2" t="s">
        <v>13</v>
      </c>
      <c r="D8447" s="2" t="s">
        <v>12</v>
      </c>
      <c r="E8447" s="2"/>
      <c r="F8447" s="2" t="str">
        <f>HYPERLINK("http://m.12365auto.com/xcdg/20200213/418414.shtml","http://m.12365auto.com/xcdg/20200213/418414.shtml")</f>
        <v>http://m.12365auto.com/xcdg/20200213/418414.shtml</v>
      </c>
      <c r="G8447" s="2"/>
      <c r="H8447" s="2" t="s">
        <v>11485</v>
      </c>
      <c r="I8447" s="2" t="s">
        <v>19</v>
      </c>
      <c r="J8447" s="2" t="s">
        <v>3053</v>
      </c>
      <c r="K8447" s="2" t="s">
        <v>11484</v>
      </c>
      <c r="L8447" s="2">
        <f t="shared" si="131"/>
        <v>150</v>
      </c>
    </row>
    <row r="8448" spans="1:12" ht="25" customHeight="1">
      <c r="A8448" s="2" t="s">
        <v>12</v>
      </c>
      <c r="B8448" s="2" t="str">
        <f>HYPERLINK("http://www.12365auto.com/xcdg/20200213/418413.shtml","别克新GL8 Avenir实拍 外观大气搭2.0T引擎")</f>
        <v>别克新GL8 Avenir实拍 外观大气搭2.0T引擎</v>
      </c>
      <c r="C8448" s="2" t="s">
        <v>13</v>
      </c>
      <c r="D8448" s="2" t="s">
        <v>12</v>
      </c>
      <c r="E8448" s="2" t="s">
        <v>216</v>
      </c>
      <c r="F8448" s="2" t="str">
        <f>HYPERLINK("http://www.12365auto.com/xcdg/20200213/418413.shtml","http://www.12365auto.com/xcdg/20200213/418413.shtml")</f>
        <v>http://www.12365auto.com/xcdg/20200213/418413.shtml</v>
      </c>
      <c r="G8448" s="2"/>
      <c r="H8448" s="2" t="s">
        <v>11486</v>
      </c>
      <c r="I8448" s="2" t="s">
        <v>15</v>
      </c>
      <c r="J8448" s="2" t="s">
        <v>12</v>
      </c>
      <c r="K8448" s="2" t="s">
        <v>11487</v>
      </c>
      <c r="L8448" s="2">
        <f t="shared" si="131"/>
        <v>150</v>
      </c>
    </row>
    <row r="8449" spans="1:12" ht="25" customHeight="1">
      <c r="A8449" s="2" t="s">
        <v>12</v>
      </c>
      <c r="B8449" s="2" t="str">
        <f>HYPERLINK("http://m.12365auto.com/xcdg/20200213/418413.shtml","别克新GL8 Avenir实拍 外观大气搭2.0T引擎")</f>
        <v>别克新GL8 Avenir实拍 外观大气搭2.0T引擎</v>
      </c>
      <c r="C8449" s="2" t="s">
        <v>13</v>
      </c>
      <c r="D8449" s="2" t="s">
        <v>12</v>
      </c>
      <c r="E8449" s="2"/>
      <c r="F8449" s="2" t="str">
        <f>HYPERLINK("http://m.12365auto.com/xcdg/20200213/418413.shtml","http://m.12365auto.com/xcdg/20200213/418413.shtml")</f>
        <v>http://m.12365auto.com/xcdg/20200213/418413.shtml</v>
      </c>
      <c r="G8449" s="2"/>
      <c r="H8449" s="2" t="s">
        <v>11488</v>
      </c>
      <c r="I8449" s="2" t="s">
        <v>19</v>
      </c>
      <c r="J8449" s="2" t="s">
        <v>2603</v>
      </c>
      <c r="K8449" s="2" t="s">
        <v>11487</v>
      </c>
      <c r="L8449" s="2">
        <f t="shared" si="131"/>
        <v>150</v>
      </c>
    </row>
    <row r="8450" spans="1:12" ht="25" customHeight="1">
      <c r="A8450" s="2" t="s">
        <v>12</v>
      </c>
      <c r="B8450" s="2" t="str">
        <f>HYPERLINK("http://www.12365auto.com/xcdg/20200213/418412.shtml","广汽新能源Aion S低配版实车曝光 年内上市")</f>
        <v>广汽新能源Aion S低配版实车曝光 年内上市</v>
      </c>
      <c r="C8450" s="2" t="s">
        <v>13</v>
      </c>
      <c r="D8450" s="2" t="s">
        <v>12</v>
      </c>
      <c r="E8450" s="2" t="s">
        <v>216</v>
      </c>
      <c r="F8450" s="2" t="str">
        <f>HYPERLINK("http://www.12365auto.com/xcdg/20200213/418412.shtml","http://www.12365auto.com/xcdg/20200213/418412.shtml")</f>
        <v>http://www.12365auto.com/xcdg/20200213/418412.shtml</v>
      </c>
      <c r="G8450" s="2"/>
      <c r="H8450" s="2" t="s">
        <v>11489</v>
      </c>
      <c r="I8450" s="2" t="s">
        <v>15</v>
      </c>
      <c r="J8450" s="2" t="s">
        <v>12</v>
      </c>
      <c r="K8450" s="2" t="s">
        <v>11490</v>
      </c>
      <c r="L8450" s="2">
        <f t="shared" si="131"/>
        <v>150</v>
      </c>
    </row>
    <row r="8451" spans="1:12" ht="25" customHeight="1">
      <c r="A8451" s="2" t="s">
        <v>12</v>
      </c>
      <c r="B8451" s="2" t="str">
        <f>HYPERLINK("http://m.12365auto.com/xcdg/20200213/418412.shtml","广汽新能源Aion S低配版实车曝光 年内上市")</f>
        <v>广汽新能源Aion S低配版实车曝光 年内上市</v>
      </c>
      <c r="C8451" s="2" t="s">
        <v>13</v>
      </c>
      <c r="D8451" s="2" t="s">
        <v>12</v>
      </c>
      <c r="E8451" s="2"/>
      <c r="F8451" s="2" t="str">
        <f>HYPERLINK("http://m.12365auto.com/xcdg/20200213/418412.shtml","http://m.12365auto.com/xcdg/20200213/418412.shtml")</f>
        <v>http://m.12365auto.com/xcdg/20200213/418412.shtml</v>
      </c>
      <c r="G8451" s="2"/>
      <c r="H8451" s="2" t="s">
        <v>11491</v>
      </c>
      <c r="I8451" s="2" t="s">
        <v>19</v>
      </c>
      <c r="J8451" s="2" t="s">
        <v>257</v>
      </c>
      <c r="K8451" s="2" t="s">
        <v>11490</v>
      </c>
      <c r="L8451" s="2">
        <f t="shared" ref="L8451:L8514" si="132">LEN(H8451)</f>
        <v>150</v>
      </c>
    </row>
    <row r="8452" spans="1:12" ht="25" customHeight="1">
      <c r="A8452" s="2" t="s">
        <v>12</v>
      </c>
      <c r="B8452" s="2" t="str">
        <f>HYPERLINK("http://www.12365auto.com/xcdg/20200213/418411.shtml","高颜值 一汽-大众探岳轿跑SUV曝光 尺寸加长")</f>
        <v>高颜值 一汽-大众探岳轿跑SUV曝光 尺寸加长</v>
      </c>
      <c r="C8452" s="2" t="s">
        <v>13</v>
      </c>
      <c r="D8452" s="2" t="s">
        <v>12</v>
      </c>
      <c r="E8452" s="2" t="s">
        <v>216</v>
      </c>
      <c r="F8452" s="2" t="str">
        <f>HYPERLINK("http://www.12365auto.com/xcdg/20200213/418411.shtml","http://www.12365auto.com/xcdg/20200213/418411.shtml")</f>
        <v>http://www.12365auto.com/xcdg/20200213/418411.shtml</v>
      </c>
      <c r="G8452" s="2"/>
      <c r="H8452" s="2" t="s">
        <v>11492</v>
      </c>
      <c r="I8452" s="2" t="s">
        <v>15</v>
      </c>
      <c r="J8452" s="2" t="s">
        <v>12</v>
      </c>
      <c r="K8452" s="2" t="s">
        <v>11493</v>
      </c>
      <c r="L8452" s="2">
        <f t="shared" si="132"/>
        <v>150</v>
      </c>
    </row>
    <row r="8453" spans="1:12" ht="25" customHeight="1">
      <c r="A8453" s="2" t="s">
        <v>12</v>
      </c>
      <c r="B8453" s="2" t="str">
        <f>HYPERLINK("http://m.12365auto.com/xcdg/20200213/418411.shtml","高颜值 一汽-大众探岳轿跑SUV曝光 尺寸加长")</f>
        <v>高颜值 一汽-大众探岳轿跑SUV曝光 尺寸加长</v>
      </c>
      <c r="C8453" s="2" t="s">
        <v>13</v>
      </c>
      <c r="D8453" s="2" t="s">
        <v>12</v>
      </c>
      <c r="E8453" s="2"/>
      <c r="F8453" s="2" t="str">
        <f>HYPERLINK("http://m.12365auto.com/xcdg/20200213/418411.shtml","http://m.12365auto.com/xcdg/20200213/418411.shtml")</f>
        <v>http://m.12365auto.com/xcdg/20200213/418411.shtml</v>
      </c>
      <c r="G8453" s="2"/>
      <c r="H8453" s="2" t="s">
        <v>11494</v>
      </c>
      <c r="I8453" s="2" t="s">
        <v>19</v>
      </c>
      <c r="J8453" s="2" t="s">
        <v>1266</v>
      </c>
      <c r="K8453" s="2" t="s">
        <v>11493</v>
      </c>
      <c r="L8453" s="2">
        <f t="shared" si="132"/>
        <v>150</v>
      </c>
    </row>
    <row r="8454" spans="1:12" ht="25" customHeight="1">
      <c r="A8454" s="2" t="s">
        <v>12</v>
      </c>
      <c r="B8454" s="2" t="str">
        <f>HYPERLINK("http://m.12365auto.com/xcdg/20200213/418410.shtml","东风日产新款骐达曝光 车高增加/车顶更运动")</f>
        <v>东风日产新款骐达曝光 车高增加/车顶更运动</v>
      </c>
      <c r="C8454" s="2" t="s">
        <v>13</v>
      </c>
      <c r="D8454" s="2" t="s">
        <v>12</v>
      </c>
      <c r="E8454" s="2"/>
      <c r="F8454" s="2" t="str">
        <f>HYPERLINK("http://m.12365auto.com/xcdg/20200213/418410.shtml","http://m.12365auto.com/xcdg/20200213/418410.shtml")</f>
        <v>http://m.12365auto.com/xcdg/20200213/418410.shtml</v>
      </c>
      <c r="G8454" s="2"/>
      <c r="H8454" s="2" t="s">
        <v>11495</v>
      </c>
      <c r="I8454" s="2" t="s">
        <v>19</v>
      </c>
      <c r="J8454" s="2" t="s">
        <v>265</v>
      </c>
      <c r="K8454" s="2" t="s">
        <v>11496</v>
      </c>
      <c r="L8454" s="2">
        <f t="shared" si="132"/>
        <v>150</v>
      </c>
    </row>
    <row r="8455" spans="1:12" ht="25" customHeight="1">
      <c r="A8455" s="2" t="s">
        <v>12</v>
      </c>
      <c r="B8455" s="2" t="str">
        <f>HYPERLINK("http://www.12365auto.com/xcdg/20200213/418410.shtml","东风日产新款骐达曝光 车高增加/车顶更运动")</f>
        <v>东风日产新款骐达曝光 车高增加/车顶更运动</v>
      </c>
      <c r="C8455" s="2" t="s">
        <v>13</v>
      </c>
      <c r="D8455" s="2" t="s">
        <v>12</v>
      </c>
      <c r="E8455" s="2" t="s">
        <v>216</v>
      </c>
      <c r="F8455" s="2" t="str">
        <f>HYPERLINK("http://www.12365auto.com/xcdg/20200213/418410.shtml","http://www.12365auto.com/xcdg/20200213/418410.shtml")</f>
        <v>http://www.12365auto.com/xcdg/20200213/418410.shtml</v>
      </c>
      <c r="G8455" s="2"/>
      <c r="H8455" s="2" t="s">
        <v>11497</v>
      </c>
      <c r="I8455" s="2" t="s">
        <v>15</v>
      </c>
      <c r="J8455" s="2" t="s">
        <v>12</v>
      </c>
      <c r="K8455" s="2" t="s">
        <v>11496</v>
      </c>
      <c r="L8455" s="2">
        <f t="shared" si="132"/>
        <v>150</v>
      </c>
    </row>
    <row r="8456" spans="1:12" ht="25" customHeight="1">
      <c r="A8456" s="2" t="s">
        <v>12</v>
      </c>
      <c r="B8456" s="2" t="str">
        <f>HYPERLINK("http://bbs.12365auto.com/postcontent.aspx?tId=193958","宝马X3为什么卖不过奔驰GLC  主要是这五个原因")</f>
        <v>宝马X3为什么卖不过奔驰GLC  主要是这五个原因</v>
      </c>
      <c r="C8456" s="2" t="s">
        <v>13</v>
      </c>
      <c r="D8456" s="2" t="s">
        <v>12</v>
      </c>
      <c r="E8456" s="2" t="s">
        <v>27</v>
      </c>
      <c r="F8456" s="2" t="str">
        <f>HYPERLINK("http://bbs.12365auto.com/postcontent.aspx?tId=193958","http://bbs.12365auto.com/postcontent.aspx?tId=193958")</f>
        <v>http://bbs.12365auto.com/postcontent.aspx?tId=193958</v>
      </c>
      <c r="G8456" s="2"/>
      <c r="H8456" s="2" t="s">
        <v>11498</v>
      </c>
      <c r="I8456" s="2" t="s">
        <v>15</v>
      </c>
      <c r="J8456" s="2" t="s">
        <v>1960</v>
      </c>
      <c r="K8456" s="2" t="s">
        <v>11496</v>
      </c>
      <c r="L8456" s="2">
        <f t="shared" si="132"/>
        <v>150</v>
      </c>
    </row>
    <row r="8457" spans="1:12" ht="25" customHeight="1">
      <c r="A8457" s="2" t="s">
        <v>12</v>
      </c>
      <c r="B8457" s="2" t="str">
        <f>HYPERLINK("http://bbs.12365auto.com/postcontent.aspx?tID=193958","宝马X3为什么卖不过奔驰GLC  主要是这五个原因")</f>
        <v>宝马X3为什么卖不过奔驰GLC  主要是这五个原因</v>
      </c>
      <c r="C8457" s="2" t="s">
        <v>13</v>
      </c>
      <c r="D8457" s="2" t="s">
        <v>12</v>
      </c>
      <c r="E8457" s="2" t="s">
        <v>28</v>
      </c>
      <c r="F8457" s="2" t="str">
        <f>HYPERLINK("http://bbs.12365auto.com/postcontent.aspx?tID=193958","http://bbs.12365auto.com/postcontent.aspx?tID=193958")</f>
        <v>http://bbs.12365auto.com/postcontent.aspx?tID=193958</v>
      </c>
      <c r="G8457" s="2"/>
      <c r="H8457" s="2" t="s">
        <v>11499</v>
      </c>
      <c r="I8457" s="2" t="s">
        <v>15</v>
      </c>
      <c r="J8457" s="2" t="s">
        <v>1960</v>
      </c>
      <c r="K8457" s="2" t="s">
        <v>11496</v>
      </c>
      <c r="L8457" s="2">
        <f t="shared" si="132"/>
        <v>150</v>
      </c>
    </row>
    <row r="8458" spans="1:12" ht="25" customHeight="1">
      <c r="A8458" s="2" t="s">
        <v>12</v>
      </c>
      <c r="B8458" s="2" t="str">
        <f>HYPERLINK("http://m.12365auto.com/bbs/postcontent.aspx?tID=193958","宝马X3为什么卖不过奔驰GLC  主要是这五个原因")</f>
        <v>宝马X3为什么卖不过奔驰GLC  主要是这五个原因</v>
      </c>
      <c r="C8458" s="2" t="s">
        <v>13</v>
      </c>
      <c r="D8458" s="2" t="s">
        <v>23</v>
      </c>
      <c r="E8458" s="2"/>
      <c r="F8458" s="2" t="str">
        <f>HYPERLINK("http://m.12365auto.com/bbs/postcontent.aspx?tID=193958","http://m.12365auto.com/bbs/postcontent.aspx?tID=193958")</f>
        <v>http://m.12365auto.com/bbs/postcontent.aspx?tID=193958</v>
      </c>
      <c r="G8458" s="2"/>
      <c r="H8458" s="2" t="s">
        <v>11498</v>
      </c>
      <c r="I8458" s="2" t="s">
        <v>15</v>
      </c>
      <c r="J8458" s="2" t="s">
        <v>1960</v>
      </c>
      <c r="K8458" s="2" t="s">
        <v>11496</v>
      </c>
      <c r="L8458" s="2">
        <f t="shared" si="132"/>
        <v>150</v>
      </c>
    </row>
    <row r="8459" spans="1:12" ht="25" customHeight="1">
      <c r="A8459" s="2" t="s">
        <v>12</v>
      </c>
      <c r="B8459" s="2" t="str">
        <f>HYPERLINK("http://bbs.12365auto.com/postcontent.aspx?tId=193957","酷路泽5700“顶配版”VXS到店：配置奢华，价格看看就好了")</f>
        <v>酷路泽5700“顶配版”VXS到店：配置奢华，价格看看就好了</v>
      </c>
      <c r="C8459" s="2" t="s">
        <v>13</v>
      </c>
      <c r="D8459" s="2" t="s">
        <v>12</v>
      </c>
      <c r="E8459" s="2" t="s">
        <v>27</v>
      </c>
      <c r="F8459" s="2" t="str">
        <f>HYPERLINK("http://bbs.12365auto.com/postcontent.aspx?tId=193957","http://bbs.12365auto.com/postcontent.aspx?tId=193957")</f>
        <v>http://bbs.12365auto.com/postcontent.aspx?tId=193957</v>
      </c>
      <c r="G8459" s="2"/>
      <c r="H8459" s="2" t="s">
        <v>11500</v>
      </c>
      <c r="I8459" s="2" t="s">
        <v>15</v>
      </c>
      <c r="J8459" s="2" t="s">
        <v>1960</v>
      </c>
      <c r="K8459" s="2" t="s">
        <v>11501</v>
      </c>
      <c r="L8459" s="2">
        <f t="shared" si="132"/>
        <v>150</v>
      </c>
    </row>
    <row r="8460" spans="1:12" ht="25" customHeight="1">
      <c r="A8460" s="2" t="s">
        <v>12</v>
      </c>
      <c r="B8460" s="2" t="str">
        <f>HYPERLINK("http://bbs.12365auto.com/postcontent.aspx?tId=193956","2019全球卖最好的10款车，国内都有卖，你买对了吗？")</f>
        <v>2019全球卖最好的10款车，国内都有卖，你买对了吗？</v>
      </c>
      <c r="C8460" s="2" t="s">
        <v>13</v>
      </c>
      <c r="D8460" s="2" t="s">
        <v>12</v>
      </c>
      <c r="E8460" s="2" t="s">
        <v>27</v>
      </c>
      <c r="F8460" s="2" t="str">
        <f>HYPERLINK("http://bbs.12365auto.com/postcontent.aspx?tId=193956","http://bbs.12365auto.com/postcontent.aspx?tId=193956")</f>
        <v>http://bbs.12365auto.com/postcontent.aspx?tId=193956</v>
      </c>
      <c r="G8460" s="2"/>
      <c r="H8460" s="2" t="s">
        <v>8640</v>
      </c>
      <c r="I8460" s="2" t="s">
        <v>15</v>
      </c>
      <c r="J8460" s="2" t="s">
        <v>1960</v>
      </c>
      <c r="K8460" s="2" t="s">
        <v>11501</v>
      </c>
      <c r="L8460" s="2">
        <f t="shared" si="132"/>
        <v>150</v>
      </c>
    </row>
    <row r="8461" spans="1:12" ht="25" customHeight="1">
      <c r="A8461" s="2" t="s">
        <v>12</v>
      </c>
      <c r="B8461" s="2" t="str">
        <f>HYPERLINK("http://bbs.12365auto.com/postcontent.aspx?tID=193956","2019全球卖最好的10款车，国内都有卖，你买对了吗？")</f>
        <v>2019全球卖最好的10款车，国内都有卖，你买对了吗？</v>
      </c>
      <c r="C8461" s="2" t="s">
        <v>13</v>
      </c>
      <c r="D8461" s="2" t="s">
        <v>12</v>
      </c>
      <c r="E8461" s="2" t="s">
        <v>28</v>
      </c>
      <c r="F8461" s="2" t="str">
        <f>HYPERLINK("http://bbs.12365auto.com/postcontent.aspx?tID=193956","http://bbs.12365auto.com/postcontent.aspx?tID=193956")</f>
        <v>http://bbs.12365auto.com/postcontent.aspx?tID=193956</v>
      </c>
      <c r="G8461" s="2"/>
      <c r="H8461" s="2" t="s">
        <v>11502</v>
      </c>
      <c r="I8461" s="2" t="s">
        <v>15</v>
      </c>
      <c r="J8461" s="2" t="s">
        <v>1960</v>
      </c>
      <c r="K8461" s="2" t="s">
        <v>11501</v>
      </c>
      <c r="L8461" s="2">
        <f t="shared" si="132"/>
        <v>150</v>
      </c>
    </row>
    <row r="8462" spans="1:12" ht="25" customHeight="1">
      <c r="A8462" s="2" t="s">
        <v>12</v>
      </c>
      <c r="B8462" s="2" t="str">
        <f>HYPERLINK("http://bbs.12365auto.com/postcontent.aspx?tID=193957","酷路泽5700“顶配版”VXS到店：配置奢华，价格看看就好了")</f>
        <v>酷路泽5700“顶配版”VXS到店：配置奢华，价格看看就好了</v>
      </c>
      <c r="C8462" s="2" t="s">
        <v>13</v>
      </c>
      <c r="D8462" s="2" t="s">
        <v>12</v>
      </c>
      <c r="E8462" s="2" t="s">
        <v>28</v>
      </c>
      <c r="F8462" s="2" t="str">
        <f>HYPERLINK("http://bbs.12365auto.com/postcontent.aspx?tID=193957","http://bbs.12365auto.com/postcontent.aspx?tID=193957")</f>
        <v>http://bbs.12365auto.com/postcontent.aspx?tID=193957</v>
      </c>
      <c r="G8462" s="2"/>
      <c r="H8462" s="2" t="s">
        <v>11503</v>
      </c>
      <c r="I8462" s="2" t="s">
        <v>15</v>
      </c>
      <c r="J8462" s="2" t="s">
        <v>1960</v>
      </c>
      <c r="K8462" s="2" t="s">
        <v>11501</v>
      </c>
      <c r="L8462" s="2">
        <f t="shared" si="132"/>
        <v>150</v>
      </c>
    </row>
    <row r="8463" spans="1:12" ht="25" customHeight="1">
      <c r="A8463" s="2" t="s">
        <v>12</v>
      </c>
      <c r="B8463" s="2" t="str">
        <f>HYPERLINK("http://m.12365auto.com/bbs/postcontent.aspx?tID=193956","2019全球卖最好的10款车，国内都有卖，你买对了吗？")</f>
        <v>2019全球卖最好的10款车，国内都有卖，你买对了吗？</v>
      </c>
      <c r="C8463" s="2" t="s">
        <v>13</v>
      </c>
      <c r="D8463" s="2" t="s">
        <v>23</v>
      </c>
      <c r="E8463" s="2"/>
      <c r="F8463" s="2" t="str">
        <f>HYPERLINK("http://m.12365auto.com/bbs/postcontent.aspx?tID=193956","http://m.12365auto.com/bbs/postcontent.aspx?tID=193956")</f>
        <v>http://m.12365auto.com/bbs/postcontent.aspx?tID=193956</v>
      </c>
      <c r="G8463" s="2"/>
      <c r="H8463" s="2" t="s">
        <v>8640</v>
      </c>
      <c r="I8463" s="2" t="s">
        <v>15</v>
      </c>
      <c r="J8463" s="2" t="s">
        <v>1960</v>
      </c>
      <c r="K8463" s="2" t="s">
        <v>11501</v>
      </c>
      <c r="L8463" s="2">
        <f t="shared" si="132"/>
        <v>150</v>
      </c>
    </row>
    <row r="8464" spans="1:12" ht="25" customHeight="1">
      <c r="A8464" s="2" t="s">
        <v>12</v>
      </c>
      <c r="B8464" s="2" t="str">
        <f>HYPERLINK("http://m.12365auto.com/bbs/postcontent.aspx?tID=193957","酷路泽5700“顶配版”VXS到店：配置奢华，价格看看就好了")</f>
        <v>酷路泽5700“顶配版”VXS到店：配置奢华，价格看看就好了</v>
      </c>
      <c r="C8464" s="2" t="s">
        <v>13</v>
      </c>
      <c r="D8464" s="2" t="s">
        <v>23</v>
      </c>
      <c r="E8464" s="2"/>
      <c r="F8464" s="2" t="str">
        <f>HYPERLINK("http://m.12365auto.com/bbs/postcontent.aspx?tID=193957","http://m.12365auto.com/bbs/postcontent.aspx?tID=193957")</f>
        <v>http://m.12365auto.com/bbs/postcontent.aspx?tID=193957</v>
      </c>
      <c r="G8464" s="2"/>
      <c r="H8464" s="2" t="s">
        <v>11500</v>
      </c>
      <c r="I8464" s="2" t="s">
        <v>15</v>
      </c>
      <c r="J8464" s="2" t="s">
        <v>1960</v>
      </c>
      <c r="K8464" s="2" t="s">
        <v>11501</v>
      </c>
      <c r="L8464" s="2">
        <f t="shared" si="132"/>
        <v>150</v>
      </c>
    </row>
    <row r="8465" spans="1:12" ht="25" customHeight="1">
      <c r="A8465" s="2" t="s">
        <v>12</v>
      </c>
      <c r="B8465" s="2" t="str">
        <f>HYPERLINK("http://m.12365auto.com/xcdg/20200213/418407.shtml","奇瑞新款瑞虎3实拍曝光 增搭1.5T动力更强劲")</f>
        <v>奇瑞新款瑞虎3实拍曝光 增搭1.5T动力更强劲</v>
      </c>
      <c r="C8465" s="2" t="s">
        <v>13</v>
      </c>
      <c r="D8465" s="2" t="s">
        <v>12</v>
      </c>
      <c r="E8465" s="2"/>
      <c r="F8465" s="2" t="str">
        <f>HYPERLINK("http://m.12365auto.com/xcdg/20200213/418407.shtml","http://m.12365auto.com/xcdg/20200213/418407.shtml")</f>
        <v>http://m.12365auto.com/xcdg/20200213/418407.shtml</v>
      </c>
      <c r="G8465" s="2"/>
      <c r="H8465" s="2" t="s">
        <v>11504</v>
      </c>
      <c r="I8465" s="2" t="s">
        <v>19</v>
      </c>
      <c r="J8465" s="2" t="s">
        <v>6086</v>
      </c>
      <c r="K8465" s="2" t="s">
        <v>11505</v>
      </c>
      <c r="L8465" s="2">
        <f t="shared" si="132"/>
        <v>150</v>
      </c>
    </row>
    <row r="8466" spans="1:12" ht="25" customHeight="1">
      <c r="A8466" s="2" t="s">
        <v>12</v>
      </c>
      <c r="B8466" s="2" t="str">
        <f>HYPERLINK("http://www.12365auto.com/xcdg/20200213/418407.shtml","奇瑞新款瑞虎3实拍曝光 增搭1.5T动力更强劲")</f>
        <v>奇瑞新款瑞虎3实拍曝光 增搭1.5T动力更强劲</v>
      </c>
      <c r="C8466" s="2" t="s">
        <v>13</v>
      </c>
      <c r="D8466" s="2" t="s">
        <v>12</v>
      </c>
      <c r="E8466" s="2" t="s">
        <v>216</v>
      </c>
      <c r="F8466" s="2" t="str">
        <f>HYPERLINK("http://www.12365auto.com/xcdg/20200213/418407.shtml","http://www.12365auto.com/xcdg/20200213/418407.shtml")</f>
        <v>http://www.12365auto.com/xcdg/20200213/418407.shtml</v>
      </c>
      <c r="G8466" s="2"/>
      <c r="H8466" s="2" t="s">
        <v>11506</v>
      </c>
      <c r="I8466" s="2" t="s">
        <v>15</v>
      </c>
      <c r="J8466" s="2" t="s">
        <v>12</v>
      </c>
      <c r="K8466" s="2" t="s">
        <v>11505</v>
      </c>
      <c r="L8466" s="2">
        <f t="shared" si="132"/>
        <v>150</v>
      </c>
    </row>
    <row r="8467" spans="1:12" ht="25" customHeight="1">
      <c r="A8467" s="2" t="s">
        <v>12</v>
      </c>
      <c r="B8467" s="2" t="str">
        <f>HYPERLINK("http://bbs.12365auto.com/postcontent.aspx?tId=193955","6万买一辆大众高尔夫值吗？拆开仪表台，这台小钢炮让我一脸懵逼")</f>
        <v>6万买一辆大众高尔夫值吗？拆开仪表台，这台小钢炮让我一脸懵逼</v>
      </c>
      <c r="C8467" s="2" t="s">
        <v>13</v>
      </c>
      <c r="D8467" s="2" t="s">
        <v>12</v>
      </c>
      <c r="E8467" s="2" t="s">
        <v>27</v>
      </c>
      <c r="F8467" s="2" t="str">
        <f>HYPERLINK("http://bbs.12365auto.com/postcontent.aspx?tId=193955","http://bbs.12365auto.com/postcontent.aspx?tId=193955")</f>
        <v>http://bbs.12365auto.com/postcontent.aspx?tId=193955</v>
      </c>
      <c r="G8467" s="2"/>
      <c r="H8467" s="2" t="s">
        <v>10678</v>
      </c>
      <c r="I8467" s="2" t="s">
        <v>15</v>
      </c>
      <c r="J8467" s="2" t="s">
        <v>1960</v>
      </c>
      <c r="K8467" s="2" t="s">
        <v>11505</v>
      </c>
      <c r="L8467" s="2">
        <f t="shared" si="132"/>
        <v>150</v>
      </c>
    </row>
    <row r="8468" spans="1:12" ht="25" customHeight="1">
      <c r="A8468" s="2" t="s">
        <v>12</v>
      </c>
      <c r="B8468" s="2" t="str">
        <f>HYPERLINK("http://bbs.12365auto.com/postcontent.aspx?tID=193955","6万买一辆大众高尔夫值吗？拆开仪表台，这台小钢炮让我一脸懵逼")</f>
        <v>6万买一辆大众高尔夫值吗？拆开仪表台，这台小钢炮让我一脸懵逼</v>
      </c>
      <c r="C8468" s="2" t="s">
        <v>13</v>
      </c>
      <c r="D8468" s="2" t="s">
        <v>12</v>
      </c>
      <c r="E8468" s="2" t="s">
        <v>28</v>
      </c>
      <c r="F8468" s="2" t="str">
        <f>HYPERLINK("http://bbs.12365auto.com/postcontent.aspx?tID=193955","http://bbs.12365auto.com/postcontent.aspx?tID=193955")</f>
        <v>http://bbs.12365auto.com/postcontent.aspx?tID=193955</v>
      </c>
      <c r="G8468" s="2"/>
      <c r="H8468" s="2" t="s">
        <v>10679</v>
      </c>
      <c r="I8468" s="2" t="s">
        <v>15</v>
      </c>
      <c r="J8468" s="2" t="s">
        <v>1960</v>
      </c>
      <c r="K8468" s="2" t="s">
        <v>11505</v>
      </c>
      <c r="L8468" s="2">
        <f t="shared" si="132"/>
        <v>150</v>
      </c>
    </row>
    <row r="8469" spans="1:12" ht="25" customHeight="1">
      <c r="A8469" s="2" t="s">
        <v>12</v>
      </c>
      <c r="B8469" s="2" t="str">
        <f>HYPERLINK("http://m.12365auto.com/bbs/postcontent.aspx?tID=193955","6万买一辆大众高尔夫值吗？拆开仪表台，这台小钢炮让我一脸懵逼")</f>
        <v>6万买一辆大众高尔夫值吗？拆开仪表台，这台小钢炮让我一脸懵逼</v>
      </c>
      <c r="C8469" s="2" t="s">
        <v>13</v>
      </c>
      <c r="D8469" s="2" t="s">
        <v>23</v>
      </c>
      <c r="E8469" s="2"/>
      <c r="F8469" s="2" t="str">
        <f>HYPERLINK("http://m.12365auto.com/bbs/postcontent.aspx?tID=193955","http://m.12365auto.com/bbs/postcontent.aspx?tID=193955")</f>
        <v>http://m.12365auto.com/bbs/postcontent.aspx?tID=193955</v>
      </c>
      <c r="G8469" s="2"/>
      <c r="H8469" s="2" t="s">
        <v>10678</v>
      </c>
      <c r="I8469" s="2" t="s">
        <v>15</v>
      </c>
      <c r="J8469" s="2" t="s">
        <v>1960</v>
      </c>
      <c r="K8469" s="2" t="s">
        <v>11505</v>
      </c>
      <c r="L8469" s="2">
        <f t="shared" si="132"/>
        <v>150</v>
      </c>
    </row>
    <row r="8470" spans="1:12" ht="25" customHeight="1">
      <c r="A8470" s="2" t="s">
        <v>12</v>
      </c>
      <c r="B8470" s="2" t="str">
        <f>HYPERLINK("http://m.12365auto.com/xcdg/20200213/418406.shtml","东南新DX5实拍 搭1.5T高性能引擎 动力大涨")</f>
        <v>东南新DX5实拍 搭1.5T高性能引擎 动力大涨</v>
      </c>
      <c r="C8470" s="2" t="s">
        <v>13</v>
      </c>
      <c r="D8470" s="2" t="s">
        <v>12</v>
      </c>
      <c r="E8470" s="2"/>
      <c r="F8470" s="2" t="str">
        <f>HYPERLINK("http://m.12365auto.com/xcdg/20200213/418406.shtml","http://m.12365auto.com/xcdg/20200213/418406.shtml")</f>
        <v>http://m.12365auto.com/xcdg/20200213/418406.shtml</v>
      </c>
      <c r="G8470" s="2"/>
      <c r="H8470" s="2" t="s">
        <v>11507</v>
      </c>
      <c r="I8470" s="2" t="s">
        <v>19</v>
      </c>
      <c r="J8470" s="2" t="s">
        <v>6086</v>
      </c>
      <c r="K8470" s="2" t="s">
        <v>11508</v>
      </c>
      <c r="L8470" s="2">
        <f t="shared" si="132"/>
        <v>150</v>
      </c>
    </row>
    <row r="8471" spans="1:12" ht="25" customHeight="1">
      <c r="A8471" s="2" t="s">
        <v>12</v>
      </c>
      <c r="B8471" s="2" t="str">
        <f>HYPERLINK("http://www.12365auto.com/xcdg/20200213/418406.shtml","东南新DX5实拍 搭1.5T高性能引擎 动力大涨")</f>
        <v>东南新DX5实拍 搭1.5T高性能引擎 动力大涨</v>
      </c>
      <c r="C8471" s="2" t="s">
        <v>13</v>
      </c>
      <c r="D8471" s="2" t="s">
        <v>12</v>
      </c>
      <c r="E8471" s="2" t="s">
        <v>216</v>
      </c>
      <c r="F8471" s="2" t="str">
        <f>HYPERLINK("http://www.12365auto.com/xcdg/20200213/418406.shtml","http://www.12365auto.com/xcdg/20200213/418406.shtml")</f>
        <v>http://www.12365auto.com/xcdg/20200213/418406.shtml</v>
      </c>
      <c r="G8471" s="2"/>
      <c r="H8471" s="2" t="s">
        <v>11509</v>
      </c>
      <c r="I8471" s="2" t="s">
        <v>15</v>
      </c>
      <c r="J8471" s="2" t="s">
        <v>12</v>
      </c>
      <c r="K8471" s="2" t="s">
        <v>11508</v>
      </c>
      <c r="L8471" s="2">
        <f t="shared" si="132"/>
        <v>150</v>
      </c>
    </row>
    <row r="8472" spans="1:12" ht="25" customHeight="1">
      <c r="A8472" s="2" t="s">
        <v>12</v>
      </c>
      <c r="B8472" s="2" t="str">
        <f>HYPERLINK("http://bbs.12365auto.com/postcontent.aspx?tId=193954","吉利换回四缸机，是醒悟还是迷失？")</f>
        <v>吉利换回四缸机，是醒悟还是迷失？</v>
      </c>
      <c r="C8472" s="2" t="s">
        <v>13</v>
      </c>
      <c r="D8472" s="2" t="s">
        <v>12</v>
      </c>
      <c r="E8472" s="2" t="s">
        <v>27</v>
      </c>
      <c r="F8472" s="2" t="str">
        <f>HYPERLINK("http://bbs.12365auto.com/postcontent.aspx?tId=193954","http://bbs.12365auto.com/postcontent.aspx?tId=193954")</f>
        <v>http://bbs.12365auto.com/postcontent.aspx?tId=193954</v>
      </c>
      <c r="G8472" s="2"/>
      <c r="H8472" s="2" t="s">
        <v>1924</v>
      </c>
      <c r="I8472" s="2" t="s">
        <v>15</v>
      </c>
      <c r="J8472" s="2" t="s">
        <v>1960</v>
      </c>
      <c r="K8472" s="2" t="s">
        <v>11508</v>
      </c>
      <c r="L8472" s="2">
        <f t="shared" si="132"/>
        <v>150</v>
      </c>
    </row>
    <row r="8473" spans="1:12" ht="25" customHeight="1">
      <c r="A8473" s="2" t="s">
        <v>12</v>
      </c>
      <c r="B8473" s="2" t="str">
        <f>HYPERLINK("http://bbs.12365auto.com/postcontent.aspx?tID=193954","吉利换回四缸机，是醒悟还是迷失？")</f>
        <v>吉利换回四缸机，是醒悟还是迷失？</v>
      </c>
      <c r="C8473" s="2" t="s">
        <v>13</v>
      </c>
      <c r="D8473" s="2" t="s">
        <v>12</v>
      </c>
      <c r="E8473" s="2" t="s">
        <v>28</v>
      </c>
      <c r="F8473" s="2" t="str">
        <f>HYPERLINK("http://bbs.12365auto.com/postcontent.aspx?tID=193954","http://bbs.12365auto.com/postcontent.aspx?tID=193954")</f>
        <v>http://bbs.12365auto.com/postcontent.aspx?tID=193954</v>
      </c>
      <c r="G8473" s="2"/>
      <c r="H8473" s="2" t="s">
        <v>11510</v>
      </c>
      <c r="I8473" s="2" t="s">
        <v>15</v>
      </c>
      <c r="J8473" s="2" t="s">
        <v>1960</v>
      </c>
      <c r="K8473" s="2" t="s">
        <v>11508</v>
      </c>
      <c r="L8473" s="2">
        <f t="shared" si="132"/>
        <v>150</v>
      </c>
    </row>
    <row r="8474" spans="1:12" ht="25" customHeight="1">
      <c r="A8474" s="2" t="s">
        <v>12</v>
      </c>
      <c r="B8474" s="2" t="str">
        <f>HYPERLINK("http://www.12365auto.com/zlts/20200213/447069.shtml","北汽幻速H3F电脑板损坏厂家未回复处理")</f>
        <v>北汽幻速H3F电脑板损坏厂家未回复处理</v>
      </c>
      <c r="C8474" s="2" t="s">
        <v>13</v>
      </c>
      <c r="D8474" s="2" t="s">
        <v>12</v>
      </c>
      <c r="E8474" s="2" t="s">
        <v>17</v>
      </c>
      <c r="F8474" s="2" t="str">
        <f>HYPERLINK("http://www.12365auto.com/zlts/20200213/447069.shtml","http://www.12365auto.com/zlts/20200213/447069.shtml")</f>
        <v>http://www.12365auto.com/zlts/20200213/447069.shtml</v>
      </c>
      <c r="G8474" s="2"/>
      <c r="H8474" s="2" t="s">
        <v>11511</v>
      </c>
      <c r="I8474" s="2" t="s">
        <v>19</v>
      </c>
      <c r="J8474" s="2" t="s">
        <v>12</v>
      </c>
      <c r="K8474" s="2" t="s">
        <v>11508</v>
      </c>
      <c r="L8474" s="2">
        <f t="shared" si="132"/>
        <v>150</v>
      </c>
    </row>
    <row r="8475" spans="1:12" ht="25" customHeight="1">
      <c r="A8475" s="2" t="s">
        <v>12</v>
      </c>
      <c r="B8475" s="2" t="str">
        <f>HYPERLINK("http://m.12365auto.com/bbs/postcontent.aspx?tID=193954","吉利换回四缸机，是醒悟还是迷失？")</f>
        <v>吉利换回四缸机，是醒悟还是迷失？</v>
      </c>
      <c r="C8475" s="2" t="s">
        <v>13</v>
      </c>
      <c r="D8475" s="2" t="s">
        <v>23</v>
      </c>
      <c r="E8475" s="2"/>
      <c r="F8475" s="2" t="str">
        <f>HYPERLINK("http://m.12365auto.com/bbs/postcontent.aspx?tID=193954","http://m.12365auto.com/bbs/postcontent.aspx?tID=193954")</f>
        <v>http://m.12365auto.com/bbs/postcontent.aspx?tID=193954</v>
      </c>
      <c r="G8475" s="2"/>
      <c r="H8475" s="2" t="s">
        <v>1924</v>
      </c>
      <c r="I8475" s="2" t="s">
        <v>15</v>
      </c>
      <c r="J8475" s="2" t="s">
        <v>1960</v>
      </c>
      <c r="K8475" s="2" t="s">
        <v>11508</v>
      </c>
      <c r="L8475" s="2">
        <f t="shared" si="132"/>
        <v>150</v>
      </c>
    </row>
    <row r="8476" spans="1:12" ht="25" customHeight="1">
      <c r="A8476" s="2" t="s">
        <v>12</v>
      </c>
      <c r="B8476" s="2" t="str">
        <f>HYPERLINK("http://m.12365auto.com/xcdg/20200213/418405.shtml","V6发动机 9AT配四驱 新款大捷龙开箱解读")</f>
        <v>V6发动机 9AT配四驱 新款大捷龙开箱解读</v>
      </c>
      <c r="C8476" s="2" t="s">
        <v>13</v>
      </c>
      <c r="D8476" s="2" t="s">
        <v>12</v>
      </c>
      <c r="E8476" s="2"/>
      <c r="F8476" s="2" t="str">
        <f>HYPERLINK("http://m.12365auto.com/xcdg/20200213/418405.shtml","http://m.12365auto.com/xcdg/20200213/418405.shtml")</f>
        <v>http://m.12365auto.com/xcdg/20200213/418405.shtml</v>
      </c>
      <c r="G8476" s="2"/>
      <c r="H8476" s="2" t="s">
        <v>11512</v>
      </c>
      <c r="I8476" s="2" t="s">
        <v>19</v>
      </c>
      <c r="J8476" s="2" t="s">
        <v>1247</v>
      </c>
      <c r="K8476" s="2" t="s">
        <v>11513</v>
      </c>
      <c r="L8476" s="2">
        <f t="shared" si="132"/>
        <v>150</v>
      </c>
    </row>
    <row r="8477" spans="1:12" ht="25" customHeight="1">
      <c r="A8477" s="2" t="s">
        <v>12</v>
      </c>
      <c r="B8477" s="2" t="str">
        <f>HYPERLINK("http://bbs.12365auto.com/postcontent.aspx?tId=193953","五款不保值的好车，购买二手车人群的福音")</f>
        <v>五款不保值的好车，购买二手车人群的福音</v>
      </c>
      <c r="C8477" s="2" t="s">
        <v>13</v>
      </c>
      <c r="D8477" s="2" t="s">
        <v>12</v>
      </c>
      <c r="E8477" s="2" t="s">
        <v>27</v>
      </c>
      <c r="F8477" s="2" t="str">
        <f>HYPERLINK("http://bbs.12365auto.com/postcontent.aspx?tId=193953","http://bbs.12365auto.com/postcontent.aspx?tId=193953")</f>
        <v>http://bbs.12365auto.com/postcontent.aspx?tId=193953</v>
      </c>
      <c r="G8477" s="2"/>
      <c r="H8477" s="2" t="s">
        <v>8658</v>
      </c>
      <c r="I8477" s="2" t="s">
        <v>15</v>
      </c>
      <c r="J8477" s="2" t="s">
        <v>1960</v>
      </c>
      <c r="K8477" s="2" t="s">
        <v>11513</v>
      </c>
      <c r="L8477" s="2">
        <f t="shared" si="132"/>
        <v>150</v>
      </c>
    </row>
    <row r="8478" spans="1:12" ht="25" customHeight="1">
      <c r="A8478" s="2" t="s">
        <v>12</v>
      </c>
      <c r="B8478" s="2" t="str">
        <f>HYPERLINK("http://bbs.12365auto.com/postcontent.aspx?tId=193952","不懂车的买丰田，半懂车的买大众，那真正懂车的人买什么车？")</f>
        <v>不懂车的买丰田，半懂车的买大众，那真正懂车的人买什么车？</v>
      </c>
      <c r="C8478" s="2" t="s">
        <v>13</v>
      </c>
      <c r="D8478" s="2" t="s">
        <v>12</v>
      </c>
      <c r="E8478" s="2" t="s">
        <v>27</v>
      </c>
      <c r="F8478" s="2" t="str">
        <f>HYPERLINK("http://bbs.12365auto.com/postcontent.aspx?tId=193952","http://bbs.12365auto.com/postcontent.aspx?tId=193952")</f>
        <v>http://bbs.12365auto.com/postcontent.aspx?tId=193952</v>
      </c>
      <c r="G8478" s="2"/>
      <c r="H8478" s="2" t="s">
        <v>11514</v>
      </c>
      <c r="I8478" s="2" t="s">
        <v>15</v>
      </c>
      <c r="J8478" s="2" t="s">
        <v>1960</v>
      </c>
      <c r="K8478" s="2" t="s">
        <v>11513</v>
      </c>
      <c r="L8478" s="2">
        <f t="shared" si="132"/>
        <v>150</v>
      </c>
    </row>
    <row r="8479" spans="1:12" ht="25" customHeight="1">
      <c r="A8479" s="2" t="s">
        <v>12</v>
      </c>
      <c r="B8479" s="2" t="str">
        <f>HYPERLINK("http://bbs.12365auto.com/postcontent.aspx?tID=193952","不懂车的买丰田，半懂车的买大众，那真正懂车的人买什么车？")</f>
        <v>不懂车的买丰田，半懂车的买大众，那真正懂车的人买什么车？</v>
      </c>
      <c r="C8479" s="2" t="s">
        <v>13</v>
      </c>
      <c r="D8479" s="2" t="s">
        <v>12</v>
      </c>
      <c r="E8479" s="2" t="s">
        <v>28</v>
      </c>
      <c r="F8479" s="2" t="str">
        <f>HYPERLINK("http://bbs.12365auto.com/postcontent.aspx?tID=193952","http://bbs.12365auto.com/postcontent.aspx?tID=193952")</f>
        <v>http://bbs.12365auto.com/postcontent.aspx?tID=193952</v>
      </c>
      <c r="G8479" s="2"/>
      <c r="H8479" s="2" t="s">
        <v>11515</v>
      </c>
      <c r="I8479" s="2" t="s">
        <v>15</v>
      </c>
      <c r="J8479" s="2" t="s">
        <v>1960</v>
      </c>
      <c r="K8479" s="2" t="s">
        <v>11513</v>
      </c>
      <c r="L8479" s="2">
        <f t="shared" si="132"/>
        <v>150</v>
      </c>
    </row>
    <row r="8480" spans="1:12" ht="25" customHeight="1">
      <c r="A8480" s="2" t="s">
        <v>12</v>
      </c>
      <c r="B8480" s="2" t="str">
        <f>HYPERLINK("http://bbs.12365auto.com/postcontent.aspx?tID=193953","五款不保值的好车，购买二手车人群的福音")</f>
        <v>五款不保值的好车，购买二手车人群的福音</v>
      </c>
      <c r="C8480" s="2" t="s">
        <v>13</v>
      </c>
      <c r="D8480" s="2" t="s">
        <v>12</v>
      </c>
      <c r="E8480" s="2" t="s">
        <v>28</v>
      </c>
      <c r="F8480" s="2" t="str">
        <f>HYPERLINK("http://bbs.12365auto.com/postcontent.aspx?tID=193953","http://bbs.12365auto.com/postcontent.aspx?tID=193953")</f>
        <v>http://bbs.12365auto.com/postcontent.aspx?tID=193953</v>
      </c>
      <c r="G8480" s="2"/>
      <c r="H8480" s="2" t="s">
        <v>11516</v>
      </c>
      <c r="I8480" s="2" t="s">
        <v>15</v>
      </c>
      <c r="J8480" s="2" t="s">
        <v>1960</v>
      </c>
      <c r="K8480" s="2" t="s">
        <v>11513</v>
      </c>
      <c r="L8480" s="2">
        <f t="shared" si="132"/>
        <v>150</v>
      </c>
    </row>
    <row r="8481" spans="1:12" ht="25" customHeight="1">
      <c r="A8481" s="2" t="s">
        <v>12</v>
      </c>
      <c r="B8481" s="2" t="str">
        <f>HYPERLINK("http://m.12365auto.com/bbs/postcontent.aspx?tID=193953","五款不保值的好车，购买二手车人群的福音")</f>
        <v>五款不保值的好车，购买二手车人群的福音</v>
      </c>
      <c r="C8481" s="2" t="s">
        <v>13</v>
      </c>
      <c r="D8481" s="2" t="s">
        <v>23</v>
      </c>
      <c r="E8481" s="2"/>
      <c r="F8481" s="2" t="str">
        <f>HYPERLINK("http://m.12365auto.com/bbs/postcontent.aspx?tID=193953","http://m.12365auto.com/bbs/postcontent.aspx?tID=193953")</f>
        <v>http://m.12365auto.com/bbs/postcontent.aspx?tID=193953</v>
      </c>
      <c r="G8481" s="2"/>
      <c r="H8481" s="2" t="s">
        <v>8658</v>
      </c>
      <c r="I8481" s="2" t="s">
        <v>15</v>
      </c>
      <c r="J8481" s="2" t="s">
        <v>1960</v>
      </c>
      <c r="K8481" s="2" t="s">
        <v>11513</v>
      </c>
      <c r="L8481" s="2">
        <f t="shared" si="132"/>
        <v>150</v>
      </c>
    </row>
    <row r="8482" spans="1:12" ht="25" customHeight="1">
      <c r="A8482" s="2" t="s">
        <v>12</v>
      </c>
      <c r="B8482" s="2" t="str">
        <f>HYPERLINK("http://m.12365auto.com/bbs/postcontent.aspx?tID=193952","不懂车的买丰田，半懂车的买大众，那真正懂车的人买什么车？")</f>
        <v>不懂车的买丰田，半懂车的买大众，那真正懂车的人买什么车？</v>
      </c>
      <c r="C8482" s="2" t="s">
        <v>13</v>
      </c>
      <c r="D8482" s="2" t="s">
        <v>23</v>
      </c>
      <c r="E8482" s="2"/>
      <c r="F8482" s="2" t="str">
        <f>HYPERLINK("http://m.12365auto.com/bbs/postcontent.aspx?tID=193952","http://m.12365auto.com/bbs/postcontent.aspx?tID=193952")</f>
        <v>http://m.12365auto.com/bbs/postcontent.aspx?tID=193952</v>
      </c>
      <c r="G8482" s="2"/>
      <c r="H8482" s="2" t="s">
        <v>11514</v>
      </c>
      <c r="I8482" s="2" t="s">
        <v>15</v>
      </c>
      <c r="J8482" s="2" t="s">
        <v>1960</v>
      </c>
      <c r="K8482" s="2" t="s">
        <v>11513</v>
      </c>
      <c r="L8482" s="2">
        <f t="shared" si="132"/>
        <v>150</v>
      </c>
    </row>
    <row r="8483" spans="1:12" ht="25" customHeight="1">
      <c r="A8483" s="2" t="s">
        <v>12</v>
      </c>
      <c r="B8483" s="2" t="str">
        <f>HYPERLINK("http://bbs.12365auto.com/postcontent.aspx?tId=193951","又给国人长脸了！这5台新车霸气亮相，个个都是中国骄傲")</f>
        <v>又给国人长脸了！这5台新车霸气亮相，个个都是中国骄傲</v>
      </c>
      <c r="C8483" s="2" t="s">
        <v>13</v>
      </c>
      <c r="D8483" s="2" t="s">
        <v>12</v>
      </c>
      <c r="E8483" s="2" t="s">
        <v>27</v>
      </c>
      <c r="F8483" s="2" t="str">
        <f>HYPERLINK("http://bbs.12365auto.com/postcontent.aspx?tId=193951","http://bbs.12365auto.com/postcontent.aspx?tId=193951")</f>
        <v>http://bbs.12365auto.com/postcontent.aspx?tId=193951</v>
      </c>
      <c r="G8483" s="2"/>
      <c r="H8483" s="2" t="s">
        <v>7099</v>
      </c>
      <c r="I8483" s="2" t="s">
        <v>15</v>
      </c>
      <c r="J8483" s="2" t="s">
        <v>1960</v>
      </c>
      <c r="K8483" s="2" t="s">
        <v>11517</v>
      </c>
      <c r="L8483" s="2">
        <f t="shared" si="132"/>
        <v>150</v>
      </c>
    </row>
    <row r="8484" spans="1:12" ht="25" customHeight="1">
      <c r="A8484" s="2" t="s">
        <v>12</v>
      </c>
      <c r="B8484" s="2" t="str">
        <f>HYPERLINK("http://bbs.12365auto.com/postcontent.aspx?tID=193951","又给国人长脸了！这5台新车霸气亮相，个个都是中国骄傲")</f>
        <v>又给国人长脸了！这5台新车霸气亮相，个个都是中国骄傲</v>
      </c>
      <c r="C8484" s="2" t="s">
        <v>13</v>
      </c>
      <c r="D8484" s="2" t="s">
        <v>12</v>
      </c>
      <c r="E8484" s="2" t="s">
        <v>28</v>
      </c>
      <c r="F8484" s="2" t="str">
        <f>HYPERLINK("http://bbs.12365auto.com/postcontent.aspx?tID=193951","http://bbs.12365auto.com/postcontent.aspx?tID=193951")</f>
        <v>http://bbs.12365auto.com/postcontent.aspx?tID=193951</v>
      </c>
      <c r="G8484" s="2"/>
      <c r="H8484" s="2" t="s">
        <v>11518</v>
      </c>
      <c r="I8484" s="2" t="s">
        <v>15</v>
      </c>
      <c r="J8484" s="2" t="s">
        <v>1960</v>
      </c>
      <c r="K8484" s="2" t="s">
        <v>11517</v>
      </c>
      <c r="L8484" s="2">
        <f t="shared" si="132"/>
        <v>150</v>
      </c>
    </row>
    <row r="8485" spans="1:12" ht="25" customHeight="1">
      <c r="A8485" s="2" t="s">
        <v>12</v>
      </c>
      <c r="B8485" s="2" t="str">
        <f>HYPERLINK("http://m.12365auto.com/bbs/postcontent.aspx?tID=193951","又给国人长脸了！这5台新车霸气亮相，个个都是中国骄傲")</f>
        <v>又给国人长脸了！这5台新车霸气亮相，个个都是中国骄傲</v>
      </c>
      <c r="C8485" s="2" t="s">
        <v>13</v>
      </c>
      <c r="D8485" s="2" t="s">
        <v>23</v>
      </c>
      <c r="E8485" s="2"/>
      <c r="F8485" s="2" t="str">
        <f>HYPERLINK("http://m.12365auto.com/bbs/postcontent.aspx?tID=193951","http://m.12365auto.com/bbs/postcontent.aspx?tID=193951")</f>
        <v>http://m.12365auto.com/bbs/postcontent.aspx?tID=193951</v>
      </c>
      <c r="G8485" s="2"/>
      <c r="H8485" s="2" t="s">
        <v>7099</v>
      </c>
      <c r="I8485" s="2" t="s">
        <v>15</v>
      </c>
      <c r="J8485" s="2" t="s">
        <v>1960</v>
      </c>
      <c r="K8485" s="2" t="s">
        <v>11517</v>
      </c>
      <c r="L8485" s="2">
        <f t="shared" si="132"/>
        <v>150</v>
      </c>
    </row>
    <row r="8486" spans="1:12" ht="25" customHeight="1">
      <c r="A8486" s="2" t="s">
        <v>12</v>
      </c>
      <c r="B8486" s="2" t="str">
        <f>HYPERLINK("http://m.12365auto.com/xcdg/20200213/418408.shtml","国产Sienna将落户广汽丰田 多个名称商标曝光")</f>
        <v>国产Sienna将落户广汽丰田 多个名称商标曝光</v>
      </c>
      <c r="C8486" s="2" t="s">
        <v>13</v>
      </c>
      <c r="D8486" s="2" t="s">
        <v>12</v>
      </c>
      <c r="E8486" s="2"/>
      <c r="F8486" s="2" t="str">
        <f>HYPERLINK("http://m.12365auto.com/xcdg/20200213/418408.shtml","http://m.12365auto.com/xcdg/20200213/418408.shtml")</f>
        <v>http://m.12365auto.com/xcdg/20200213/418408.shtml</v>
      </c>
      <c r="G8486" s="2"/>
      <c r="H8486" s="2" t="s">
        <v>11519</v>
      </c>
      <c r="I8486" s="2" t="s">
        <v>19</v>
      </c>
      <c r="J8486" s="2" t="s">
        <v>1241</v>
      </c>
      <c r="K8486" s="2" t="s">
        <v>11520</v>
      </c>
      <c r="L8486" s="2">
        <f t="shared" si="132"/>
        <v>150</v>
      </c>
    </row>
    <row r="8487" spans="1:12" ht="25" customHeight="1">
      <c r="A8487" s="2" t="s">
        <v>12</v>
      </c>
      <c r="B8487" s="2" t="str">
        <f>HYPERLINK("http://m.12365auto.com/xcdg/20200213/418404.shtml","汉腾新款V7 MPV实拍 搭1.5T引擎动力提升")</f>
        <v>汉腾新款V7 MPV实拍 搭1.5T引擎动力提升</v>
      </c>
      <c r="C8487" s="2" t="s">
        <v>13</v>
      </c>
      <c r="D8487" s="2" t="s">
        <v>12</v>
      </c>
      <c r="E8487" s="2"/>
      <c r="F8487" s="2" t="str">
        <f>HYPERLINK("http://m.12365auto.com/xcdg/20200213/418404.shtml","http://m.12365auto.com/xcdg/20200213/418404.shtml")</f>
        <v>http://m.12365auto.com/xcdg/20200213/418404.shtml</v>
      </c>
      <c r="G8487" s="2"/>
      <c r="H8487" s="2" t="s">
        <v>11521</v>
      </c>
      <c r="I8487" s="2" t="s">
        <v>19</v>
      </c>
      <c r="J8487" s="2" t="s">
        <v>3053</v>
      </c>
      <c r="K8487" s="2" t="s">
        <v>11520</v>
      </c>
      <c r="L8487" s="2">
        <f t="shared" si="132"/>
        <v>150</v>
      </c>
    </row>
    <row r="8488" spans="1:12" ht="25" customHeight="1">
      <c r="A8488" s="2" t="s">
        <v>12</v>
      </c>
      <c r="B8488" s="2" t="str">
        <f>HYPERLINK("http://www.12365auto.com/xcdg/20200213/418404.shtml","汉腾新款V7 MPV实拍 搭1.5T引擎动力提升")</f>
        <v>汉腾新款V7 MPV实拍 搭1.5T引擎动力提升</v>
      </c>
      <c r="C8488" s="2" t="s">
        <v>13</v>
      </c>
      <c r="D8488" s="2" t="s">
        <v>12</v>
      </c>
      <c r="E8488" s="2" t="s">
        <v>216</v>
      </c>
      <c r="F8488" s="2" t="str">
        <f>HYPERLINK("http://www.12365auto.com/xcdg/20200213/418404.shtml","http://www.12365auto.com/xcdg/20200213/418404.shtml")</f>
        <v>http://www.12365auto.com/xcdg/20200213/418404.shtml</v>
      </c>
      <c r="G8488" s="2"/>
      <c r="H8488" s="2" t="s">
        <v>11522</v>
      </c>
      <c r="I8488" s="2" t="s">
        <v>15</v>
      </c>
      <c r="J8488" s="2" t="s">
        <v>12</v>
      </c>
      <c r="K8488" s="2" t="s">
        <v>11520</v>
      </c>
      <c r="L8488" s="2">
        <f t="shared" si="132"/>
        <v>150</v>
      </c>
    </row>
    <row r="8489" spans="1:12" ht="25" customHeight="1">
      <c r="A8489" s="2" t="s">
        <v>12</v>
      </c>
      <c r="B8489" s="2" t="str">
        <f>HYPERLINK("http://www.12365auto.com/xcdg/20200213/418408.shtml","国产Sienna将落户广汽丰田 多个名称商标曝光")</f>
        <v>国产Sienna将落户广汽丰田 多个名称商标曝光</v>
      </c>
      <c r="C8489" s="2" t="s">
        <v>13</v>
      </c>
      <c r="D8489" s="2" t="s">
        <v>12</v>
      </c>
      <c r="E8489" s="2" t="s">
        <v>216</v>
      </c>
      <c r="F8489" s="2" t="str">
        <f>HYPERLINK("http://www.12365auto.com/xcdg/20200213/418408.shtml","http://www.12365auto.com/xcdg/20200213/418408.shtml")</f>
        <v>http://www.12365auto.com/xcdg/20200213/418408.shtml</v>
      </c>
      <c r="G8489" s="2"/>
      <c r="H8489" s="2" t="s">
        <v>11523</v>
      </c>
      <c r="I8489" s="2" t="s">
        <v>15</v>
      </c>
      <c r="J8489" s="2" t="s">
        <v>12</v>
      </c>
      <c r="K8489" s="2" t="s">
        <v>11520</v>
      </c>
      <c r="L8489" s="2">
        <f t="shared" si="132"/>
        <v>150</v>
      </c>
    </row>
    <row r="8490" spans="1:12" ht="25" customHeight="1">
      <c r="A8490" s="2" t="s">
        <v>12</v>
      </c>
      <c r="B8490" s="2" t="str">
        <f>HYPERLINK("http://bbs.12365auto.com/postcontent.aspx?tId=193950","入门版“牛魔王”来了！丰田全新Supra 2.0T限量版车型官图发布")</f>
        <v>入门版“牛魔王”来了！丰田全新Supra 2.0T限量版车型官图发布</v>
      </c>
      <c r="C8490" s="2" t="s">
        <v>13</v>
      </c>
      <c r="D8490" s="2" t="s">
        <v>12</v>
      </c>
      <c r="E8490" s="2" t="s">
        <v>27</v>
      </c>
      <c r="F8490" s="2" t="str">
        <f>HYPERLINK("http://bbs.12365auto.com/postcontent.aspx?tId=193950","http://bbs.12365auto.com/postcontent.aspx?tId=193950")</f>
        <v>http://bbs.12365auto.com/postcontent.aspx?tId=193950</v>
      </c>
      <c r="G8490" s="2"/>
      <c r="H8490" s="2" t="s">
        <v>11524</v>
      </c>
      <c r="I8490" s="2" t="s">
        <v>15</v>
      </c>
      <c r="J8490" s="2" t="s">
        <v>1960</v>
      </c>
      <c r="K8490" s="2" t="s">
        <v>11520</v>
      </c>
      <c r="L8490" s="2">
        <f t="shared" si="132"/>
        <v>150</v>
      </c>
    </row>
    <row r="8491" spans="1:12" ht="25" customHeight="1">
      <c r="A8491" s="2" t="s">
        <v>12</v>
      </c>
      <c r="B8491" s="2" t="str">
        <f>HYPERLINK("http://bbs.12365auto.com/postcontent.aspx?tId=193949","“准新车”5折清仓，前途K50保值率让人堪忧")</f>
        <v>“准新车”5折清仓，前途K50保值率让人堪忧</v>
      </c>
      <c r="C8491" s="2" t="s">
        <v>13</v>
      </c>
      <c r="D8491" s="2" t="s">
        <v>12</v>
      </c>
      <c r="E8491" s="2" t="s">
        <v>27</v>
      </c>
      <c r="F8491" s="2" t="str">
        <f>HYPERLINK("http://bbs.12365auto.com/postcontent.aspx?tId=193949","http://bbs.12365auto.com/postcontent.aspx?tId=193949")</f>
        <v>http://bbs.12365auto.com/postcontent.aspx?tId=193949</v>
      </c>
      <c r="G8491" s="2"/>
      <c r="H8491" s="2" t="s">
        <v>9196</v>
      </c>
      <c r="I8491" s="2" t="s">
        <v>15</v>
      </c>
      <c r="J8491" s="2" t="s">
        <v>1960</v>
      </c>
      <c r="K8491" s="2" t="s">
        <v>11520</v>
      </c>
      <c r="L8491" s="2">
        <f t="shared" si="132"/>
        <v>150</v>
      </c>
    </row>
    <row r="8492" spans="1:12" ht="25" customHeight="1">
      <c r="A8492" s="2" t="s">
        <v>12</v>
      </c>
      <c r="B8492" s="2" t="str">
        <f>HYPERLINK("http://bbs.12365auto.com/postcontent.aspx?tID=193950","入门版“牛魔王”来了！丰田全新Supra 2.0T限量版车型官图发布")</f>
        <v>入门版“牛魔王”来了！丰田全新Supra 2.0T限量版车型官图发布</v>
      </c>
      <c r="C8492" s="2" t="s">
        <v>13</v>
      </c>
      <c r="D8492" s="2" t="s">
        <v>12</v>
      </c>
      <c r="E8492" s="2" t="s">
        <v>28</v>
      </c>
      <c r="F8492" s="2" t="str">
        <f>HYPERLINK("http://bbs.12365auto.com/postcontent.aspx?tID=193950","http://bbs.12365auto.com/postcontent.aspx?tID=193950")</f>
        <v>http://bbs.12365auto.com/postcontent.aspx?tID=193950</v>
      </c>
      <c r="G8492" s="2"/>
      <c r="H8492" s="2" t="s">
        <v>11525</v>
      </c>
      <c r="I8492" s="2" t="s">
        <v>15</v>
      </c>
      <c r="J8492" s="2" t="s">
        <v>1960</v>
      </c>
      <c r="K8492" s="2" t="s">
        <v>11520</v>
      </c>
      <c r="L8492" s="2">
        <f t="shared" si="132"/>
        <v>150</v>
      </c>
    </row>
    <row r="8493" spans="1:12" ht="25" customHeight="1">
      <c r="A8493" s="2" t="s">
        <v>12</v>
      </c>
      <c r="B8493" s="2" t="str">
        <f>HYPERLINK("http://bbs.12365auto.com/postcontent.aspx?tID=193949","“准新车”5折清仓，前途K50保值率让人堪忧")</f>
        <v>“准新车”5折清仓，前途K50保值率让人堪忧</v>
      </c>
      <c r="C8493" s="2" t="s">
        <v>13</v>
      </c>
      <c r="D8493" s="2" t="s">
        <v>12</v>
      </c>
      <c r="E8493" s="2" t="s">
        <v>28</v>
      </c>
      <c r="F8493" s="2" t="str">
        <f>HYPERLINK("http://bbs.12365auto.com/postcontent.aspx?tID=193949","http://bbs.12365auto.com/postcontent.aspx?tID=193949")</f>
        <v>http://bbs.12365auto.com/postcontent.aspx?tID=193949</v>
      </c>
      <c r="G8493" s="2"/>
      <c r="H8493" s="2" t="s">
        <v>11526</v>
      </c>
      <c r="I8493" s="2" t="s">
        <v>15</v>
      </c>
      <c r="J8493" s="2" t="s">
        <v>1960</v>
      </c>
      <c r="K8493" s="2" t="s">
        <v>11520</v>
      </c>
      <c r="L8493" s="2">
        <f t="shared" si="132"/>
        <v>150</v>
      </c>
    </row>
    <row r="8494" spans="1:12" ht="25" customHeight="1">
      <c r="A8494" s="2" t="s">
        <v>12</v>
      </c>
      <c r="B8494" s="2" t="str">
        <f>HYPERLINK("http://m.12365auto.com/bbs/postcontent.aspx?tID=193950","入门版“牛魔王”来了！丰田全新Supra 2.0T限量版车型官图发布")</f>
        <v>入门版“牛魔王”来了！丰田全新Supra 2.0T限量版车型官图发布</v>
      </c>
      <c r="C8494" s="2" t="s">
        <v>13</v>
      </c>
      <c r="D8494" s="2" t="s">
        <v>23</v>
      </c>
      <c r="E8494" s="2"/>
      <c r="F8494" s="2" t="str">
        <f>HYPERLINK("http://m.12365auto.com/bbs/postcontent.aspx?tID=193950","http://m.12365auto.com/bbs/postcontent.aspx?tID=193950")</f>
        <v>http://m.12365auto.com/bbs/postcontent.aspx?tID=193950</v>
      </c>
      <c r="G8494" s="2"/>
      <c r="H8494" s="2" t="s">
        <v>11524</v>
      </c>
      <c r="I8494" s="2" t="s">
        <v>15</v>
      </c>
      <c r="J8494" s="2" t="s">
        <v>1960</v>
      </c>
      <c r="K8494" s="2" t="s">
        <v>11520</v>
      </c>
      <c r="L8494" s="2">
        <f t="shared" si="132"/>
        <v>150</v>
      </c>
    </row>
    <row r="8495" spans="1:12" ht="25" customHeight="1">
      <c r="A8495" s="2" t="s">
        <v>12</v>
      </c>
      <c r="B8495" s="2" t="str">
        <f>HYPERLINK("http://m.12365auto.com/bbs/postcontent.aspx?tID=193949","“准新车”5折清仓，前途K50保值率让人堪忧")</f>
        <v>“准新车”5折清仓，前途K50保值率让人堪忧</v>
      </c>
      <c r="C8495" s="2" t="s">
        <v>13</v>
      </c>
      <c r="D8495" s="2" t="s">
        <v>23</v>
      </c>
      <c r="E8495" s="2"/>
      <c r="F8495" s="2" t="str">
        <f>HYPERLINK("http://m.12365auto.com/bbs/postcontent.aspx?tID=193949","http://m.12365auto.com/bbs/postcontent.aspx?tID=193949")</f>
        <v>http://m.12365auto.com/bbs/postcontent.aspx?tID=193949</v>
      </c>
      <c r="G8495" s="2"/>
      <c r="H8495" s="2" t="s">
        <v>9196</v>
      </c>
      <c r="I8495" s="2" t="s">
        <v>15</v>
      </c>
      <c r="J8495" s="2" t="s">
        <v>1960</v>
      </c>
      <c r="K8495" s="2" t="s">
        <v>11520</v>
      </c>
      <c r="L8495" s="2">
        <f t="shared" si="132"/>
        <v>150</v>
      </c>
    </row>
    <row r="8496" spans="1:12" ht="25" customHeight="1">
      <c r="A8496" s="2" t="s">
        <v>12</v>
      </c>
      <c r="B8496" s="2" t="str">
        <f>HYPERLINK("http://m.12365auto.com/xcdg/20200213/418403.shtml","5款重磅新车集中亮相 探岳轿跑最值得期待")</f>
        <v>5款重磅新车集中亮相 探岳轿跑最值得期待</v>
      </c>
      <c r="C8496" s="2" t="s">
        <v>13</v>
      </c>
      <c r="D8496" s="2" t="s">
        <v>12</v>
      </c>
      <c r="E8496" s="2"/>
      <c r="F8496" s="2" t="str">
        <f>HYPERLINK("http://m.12365auto.com/xcdg/20200213/418403.shtml","http://m.12365auto.com/xcdg/20200213/418403.shtml")</f>
        <v>http://m.12365auto.com/xcdg/20200213/418403.shtml</v>
      </c>
      <c r="G8496" s="2"/>
      <c r="H8496" s="2" t="s">
        <v>11527</v>
      </c>
      <c r="I8496" s="2" t="s">
        <v>19</v>
      </c>
      <c r="J8496" s="2" t="s">
        <v>1266</v>
      </c>
      <c r="K8496" s="2" t="s">
        <v>11528</v>
      </c>
      <c r="L8496" s="2">
        <f t="shared" si="132"/>
        <v>150</v>
      </c>
    </row>
    <row r="8497" spans="1:12" ht="25" customHeight="1">
      <c r="A8497" s="2" t="s">
        <v>12</v>
      </c>
      <c r="B8497" s="2" t="str">
        <f>HYPERLINK("http://www.12365auto.com/xcdg/20200213/418403.shtml","5款重磅新车集中亮相 探岳轿跑最值得期待")</f>
        <v>5款重磅新车集中亮相 探岳轿跑最值得期待</v>
      </c>
      <c r="C8497" s="2" t="s">
        <v>13</v>
      </c>
      <c r="D8497" s="2" t="s">
        <v>12</v>
      </c>
      <c r="E8497" s="2" t="s">
        <v>216</v>
      </c>
      <c r="F8497" s="2" t="str">
        <f>HYPERLINK("http://www.12365auto.com/xcdg/20200213/418403.shtml","http://www.12365auto.com/xcdg/20200213/418403.shtml")</f>
        <v>http://www.12365auto.com/xcdg/20200213/418403.shtml</v>
      </c>
      <c r="G8497" s="2"/>
      <c r="H8497" s="2" t="s">
        <v>11529</v>
      </c>
      <c r="I8497" s="2" t="s">
        <v>15</v>
      </c>
      <c r="J8497" s="2" t="s">
        <v>12</v>
      </c>
      <c r="K8497" s="2" t="s">
        <v>11528</v>
      </c>
      <c r="L8497" s="2">
        <f t="shared" si="132"/>
        <v>150</v>
      </c>
    </row>
    <row r="8498" spans="1:12" ht="25" customHeight="1">
      <c r="A8498" s="2" t="s">
        <v>12</v>
      </c>
      <c r="B8498" s="2" t="str">
        <f>HYPERLINK("http://m.12365auto.com/news/20200213/418402.shtml","长城1月SUV销量再夺冠 H6/F7持续火爆H9大涨")</f>
        <v>长城1月SUV销量再夺冠 H6/F7持续火爆H9大涨</v>
      </c>
      <c r="C8498" s="2" t="s">
        <v>13</v>
      </c>
      <c r="D8498" s="2" t="s">
        <v>12</v>
      </c>
      <c r="E8498" s="2"/>
      <c r="F8498" s="2" t="str">
        <f>HYPERLINK("http://m.12365auto.com/news/20200213/418402.shtml","http://m.12365auto.com/news/20200213/418402.shtml")</f>
        <v>http://m.12365auto.com/news/20200213/418402.shtml</v>
      </c>
      <c r="G8498" s="2"/>
      <c r="H8498" s="2" t="s">
        <v>11530</v>
      </c>
      <c r="I8498" s="2" t="s">
        <v>19</v>
      </c>
      <c r="J8498" s="2" t="s">
        <v>6086</v>
      </c>
      <c r="K8498" s="2" t="s">
        <v>11531</v>
      </c>
      <c r="L8498" s="2">
        <f t="shared" si="132"/>
        <v>150</v>
      </c>
    </row>
    <row r="8499" spans="1:12" ht="25" customHeight="1">
      <c r="A8499" s="2" t="s">
        <v>12</v>
      </c>
      <c r="B8499" s="2" t="str">
        <f>HYPERLINK("http://www.12365auto.com/news/20200213/418402.shtml","长城1月SUV销量再夺冠 H6/F7持续火爆H9大涨")</f>
        <v>长城1月SUV销量再夺冠 H6/F7持续火爆H9大涨</v>
      </c>
      <c r="C8499" s="2" t="s">
        <v>13</v>
      </c>
      <c r="D8499" s="2" t="s">
        <v>12</v>
      </c>
      <c r="E8499" s="2" t="s">
        <v>276</v>
      </c>
      <c r="F8499" s="2" t="str">
        <f>HYPERLINK("http://www.12365auto.com/news/20200213/418402.shtml","http://www.12365auto.com/news/20200213/418402.shtml")</f>
        <v>http://www.12365auto.com/news/20200213/418402.shtml</v>
      </c>
      <c r="G8499" s="2"/>
      <c r="H8499" s="2" t="s">
        <v>11532</v>
      </c>
      <c r="I8499" s="2" t="s">
        <v>15</v>
      </c>
      <c r="J8499" s="2" t="s">
        <v>12</v>
      </c>
      <c r="K8499" s="2" t="s">
        <v>11531</v>
      </c>
      <c r="L8499" s="2">
        <f t="shared" si="132"/>
        <v>150</v>
      </c>
    </row>
    <row r="8500" spans="1:12" ht="25" customHeight="1">
      <c r="A8500" s="2" t="s">
        <v>12</v>
      </c>
      <c r="B8500" s="2" t="str">
        <f>HYPERLINK("http://m.12365auto.com/xcdg/20200213/418400.shtml","新款比亚迪宋实拍图泄露 国VI排放 动力提升")</f>
        <v>新款比亚迪宋实拍图泄露 国VI排放 动力提升</v>
      </c>
      <c r="C8500" s="2" t="s">
        <v>13</v>
      </c>
      <c r="D8500" s="2" t="s">
        <v>12</v>
      </c>
      <c r="E8500" s="2"/>
      <c r="F8500" s="2" t="str">
        <f>HYPERLINK("http://m.12365auto.com/xcdg/20200213/418400.shtml","http://m.12365auto.com/xcdg/20200213/418400.shtml")</f>
        <v>http://m.12365auto.com/xcdg/20200213/418400.shtml</v>
      </c>
      <c r="G8500" s="2"/>
      <c r="H8500" s="2" t="s">
        <v>11533</v>
      </c>
      <c r="I8500" s="2" t="s">
        <v>19</v>
      </c>
      <c r="J8500" s="2" t="s">
        <v>6086</v>
      </c>
      <c r="K8500" s="2" t="s">
        <v>11534</v>
      </c>
      <c r="L8500" s="2">
        <f t="shared" si="132"/>
        <v>150</v>
      </c>
    </row>
    <row r="8501" spans="1:12" ht="25" customHeight="1">
      <c r="A8501" s="2" t="s">
        <v>12</v>
      </c>
      <c r="B8501" s="2" t="str">
        <f>HYPERLINK("http://www.12365auto.com/xcdg/20200213/418400.shtml","新款比亚迪宋实拍图泄露 国VI排放 动力提升")</f>
        <v>新款比亚迪宋实拍图泄露 国VI排放 动力提升</v>
      </c>
      <c r="C8501" s="2" t="s">
        <v>13</v>
      </c>
      <c r="D8501" s="2" t="s">
        <v>12</v>
      </c>
      <c r="E8501" s="2" t="s">
        <v>216</v>
      </c>
      <c r="F8501" s="2" t="str">
        <f>HYPERLINK("http://www.12365auto.com/xcdg/20200213/418400.shtml","http://www.12365auto.com/xcdg/20200213/418400.shtml")</f>
        <v>http://www.12365auto.com/xcdg/20200213/418400.shtml</v>
      </c>
      <c r="G8501" s="2"/>
      <c r="H8501" s="2" t="s">
        <v>11535</v>
      </c>
      <c r="I8501" s="2" t="s">
        <v>15</v>
      </c>
      <c r="J8501" s="2" t="s">
        <v>12</v>
      </c>
      <c r="K8501" s="2" t="s">
        <v>11534</v>
      </c>
      <c r="L8501" s="2">
        <f t="shared" si="132"/>
        <v>150</v>
      </c>
    </row>
    <row r="8502" spans="1:12" ht="25" customHeight="1">
      <c r="A8502" s="2" t="s">
        <v>12</v>
      </c>
      <c r="B8502" s="2" t="str">
        <f>HYPERLINK("http://m.12365auto.com/xcdg/20200213/418399.shtml","海马二代S5混动SUV实拍图泄露 百公里1.38升")</f>
        <v>海马二代S5混动SUV实拍图泄露 百公里1.38升</v>
      </c>
      <c r="C8502" s="2" t="s">
        <v>13</v>
      </c>
      <c r="D8502" s="2" t="s">
        <v>12</v>
      </c>
      <c r="E8502" s="2"/>
      <c r="F8502" s="2" t="str">
        <f>HYPERLINK("http://m.12365auto.com/xcdg/20200213/418399.shtml","http://m.12365auto.com/xcdg/20200213/418399.shtml")</f>
        <v>http://m.12365auto.com/xcdg/20200213/418399.shtml</v>
      </c>
      <c r="G8502" s="2"/>
      <c r="H8502" s="2" t="s">
        <v>11536</v>
      </c>
      <c r="I8502" s="2" t="s">
        <v>19</v>
      </c>
      <c r="J8502" s="2" t="s">
        <v>6086</v>
      </c>
      <c r="K8502" s="2" t="s">
        <v>11537</v>
      </c>
      <c r="L8502" s="2">
        <f t="shared" si="132"/>
        <v>150</v>
      </c>
    </row>
    <row r="8503" spans="1:12" ht="25" customHeight="1">
      <c r="A8503" s="2" t="s">
        <v>12</v>
      </c>
      <c r="B8503" s="2" t="str">
        <f>HYPERLINK("http://www.12365auto.com/xcdg/20200213/418399.shtml","海马二代S5混动SUV实拍图泄露 百公里1.38升")</f>
        <v>海马二代S5混动SUV实拍图泄露 百公里1.38升</v>
      </c>
      <c r="C8503" s="2" t="s">
        <v>13</v>
      </c>
      <c r="D8503" s="2" t="s">
        <v>12</v>
      </c>
      <c r="E8503" s="2" t="s">
        <v>216</v>
      </c>
      <c r="F8503" s="2" t="str">
        <f>HYPERLINK("http://www.12365auto.com/xcdg/20200213/418399.shtml","http://www.12365auto.com/xcdg/20200213/418399.shtml")</f>
        <v>http://www.12365auto.com/xcdg/20200213/418399.shtml</v>
      </c>
      <c r="G8503" s="2"/>
      <c r="H8503" s="2" t="s">
        <v>11538</v>
      </c>
      <c r="I8503" s="2" t="s">
        <v>15</v>
      </c>
      <c r="J8503" s="2" t="s">
        <v>12</v>
      </c>
      <c r="K8503" s="2" t="s">
        <v>11537</v>
      </c>
      <c r="L8503" s="2">
        <f t="shared" si="132"/>
        <v>150</v>
      </c>
    </row>
    <row r="8504" spans="1:12" ht="25" customHeight="1">
      <c r="A8504" s="2" t="s">
        <v>12</v>
      </c>
      <c r="B8504" s="2" t="str">
        <f>HYPERLINK("http://m.12365auto.com/xcdg/20200213/418396.shtml","广汽新能源Aion V实车曝光 竞争吉利帝豪GSe")</f>
        <v>广汽新能源Aion V实车曝光 竞争吉利帝豪GSe</v>
      </c>
      <c r="C8504" s="2" t="s">
        <v>13</v>
      </c>
      <c r="D8504" s="2" t="s">
        <v>12</v>
      </c>
      <c r="E8504" s="2"/>
      <c r="F8504" s="2" t="str">
        <f>HYPERLINK("http://m.12365auto.com/xcdg/20200213/418396.shtml","http://m.12365auto.com/xcdg/20200213/418396.shtml")</f>
        <v>http://m.12365auto.com/xcdg/20200213/418396.shtml</v>
      </c>
      <c r="G8504" s="2"/>
      <c r="H8504" s="2" t="s">
        <v>11539</v>
      </c>
      <c r="I8504" s="2" t="s">
        <v>19</v>
      </c>
      <c r="J8504" s="2" t="s">
        <v>257</v>
      </c>
      <c r="K8504" s="2" t="s">
        <v>11540</v>
      </c>
      <c r="L8504" s="2">
        <f t="shared" si="132"/>
        <v>150</v>
      </c>
    </row>
    <row r="8505" spans="1:12" ht="25" customHeight="1">
      <c r="A8505" s="2" t="s">
        <v>12</v>
      </c>
      <c r="B8505" s="2" t="str">
        <f>HYPERLINK("http://www.12365auto.com/xcdg/20200213/418396.shtml","广汽新能源Aion V实车曝光 竞争吉利帝豪GSe")</f>
        <v>广汽新能源Aion V实车曝光 竞争吉利帝豪GSe</v>
      </c>
      <c r="C8505" s="2" t="s">
        <v>13</v>
      </c>
      <c r="D8505" s="2" t="s">
        <v>12</v>
      </c>
      <c r="E8505" s="2" t="s">
        <v>216</v>
      </c>
      <c r="F8505" s="2" t="str">
        <f>HYPERLINK("http://www.12365auto.com/xcdg/20200213/418396.shtml","http://www.12365auto.com/xcdg/20200213/418396.shtml")</f>
        <v>http://www.12365auto.com/xcdg/20200213/418396.shtml</v>
      </c>
      <c r="G8505" s="2"/>
      <c r="H8505" s="2" t="s">
        <v>11541</v>
      </c>
      <c r="I8505" s="2" t="s">
        <v>15</v>
      </c>
      <c r="J8505" s="2" t="s">
        <v>12</v>
      </c>
      <c r="K8505" s="2" t="s">
        <v>11540</v>
      </c>
      <c r="L8505" s="2">
        <f t="shared" si="132"/>
        <v>150</v>
      </c>
    </row>
    <row r="8506" spans="1:12" ht="25" customHeight="1">
      <c r="A8506" s="2" t="s">
        <v>12</v>
      </c>
      <c r="B8506" s="2" t="str">
        <f>HYPERLINK("http://www.12365auto.com/xcdg/20200213/418409.shtml","选装配置丰富 广汽新能源Aion V申报图曝光")</f>
        <v>选装配置丰富 广汽新能源Aion V申报图曝光</v>
      </c>
      <c r="C8506" s="2" t="s">
        <v>13</v>
      </c>
      <c r="D8506" s="2" t="s">
        <v>12</v>
      </c>
      <c r="E8506" s="2" t="s">
        <v>245</v>
      </c>
      <c r="F8506" s="2" t="str">
        <f>HYPERLINK("http://www.12365auto.com/xcdg/20200213/418409.shtml","http://www.12365auto.com/xcdg/20200213/418409.shtml")</f>
        <v>http://www.12365auto.com/xcdg/20200213/418409.shtml</v>
      </c>
      <c r="G8506" s="2"/>
      <c r="H8506" s="2" t="s">
        <v>11542</v>
      </c>
      <c r="I8506" s="2" t="s">
        <v>19</v>
      </c>
      <c r="J8506" s="2" t="s">
        <v>12</v>
      </c>
      <c r="K8506" s="2" t="s">
        <v>11543</v>
      </c>
      <c r="L8506" s="2">
        <f t="shared" si="132"/>
        <v>150</v>
      </c>
    </row>
    <row r="8507" spans="1:12" ht="25" customHeight="1">
      <c r="A8507" s="2" t="s">
        <v>12</v>
      </c>
      <c r="B8507" s="2" t="str">
        <f>HYPERLINK("http://m.12365auto.com/xcdg/20200213/418395.shtml","奇瑞新款艾瑞泽5实拍 换1.6L配双色车身")</f>
        <v>奇瑞新款艾瑞泽5实拍 换1.6L配双色车身</v>
      </c>
      <c r="C8507" s="2" t="s">
        <v>13</v>
      </c>
      <c r="D8507" s="2" t="s">
        <v>12</v>
      </c>
      <c r="E8507" s="2"/>
      <c r="F8507" s="2" t="str">
        <f>HYPERLINK("http://m.12365auto.com/xcdg/20200213/418395.shtml","http://m.12365auto.com/xcdg/20200213/418395.shtml")</f>
        <v>http://m.12365auto.com/xcdg/20200213/418395.shtml</v>
      </c>
      <c r="G8507" s="2"/>
      <c r="H8507" s="2" t="s">
        <v>11544</v>
      </c>
      <c r="I8507" s="2" t="s">
        <v>19</v>
      </c>
      <c r="J8507" s="2" t="s">
        <v>6086</v>
      </c>
      <c r="K8507" s="2" t="s">
        <v>11543</v>
      </c>
      <c r="L8507" s="2">
        <f t="shared" si="132"/>
        <v>150</v>
      </c>
    </row>
    <row r="8508" spans="1:12" ht="25" customHeight="1">
      <c r="A8508" s="2" t="s">
        <v>12</v>
      </c>
      <c r="B8508" s="2" t="str">
        <f>HYPERLINK("http://www.12365auto.com/xcdg/20200213/418395.shtml","奇瑞新款艾瑞泽5实拍 换1.6L配双色车身")</f>
        <v>奇瑞新款艾瑞泽5实拍 换1.6L配双色车身</v>
      </c>
      <c r="C8508" s="2" t="s">
        <v>13</v>
      </c>
      <c r="D8508" s="2" t="s">
        <v>12</v>
      </c>
      <c r="E8508" s="2" t="s">
        <v>216</v>
      </c>
      <c r="F8508" s="2" t="str">
        <f>HYPERLINK("http://www.12365auto.com/xcdg/20200213/418395.shtml","http://www.12365auto.com/xcdg/20200213/418395.shtml")</f>
        <v>http://www.12365auto.com/xcdg/20200213/418395.shtml</v>
      </c>
      <c r="G8508" s="2"/>
      <c r="H8508" s="2" t="s">
        <v>11545</v>
      </c>
      <c r="I8508" s="2" t="s">
        <v>15</v>
      </c>
      <c r="J8508" s="2" t="s">
        <v>12</v>
      </c>
      <c r="K8508" s="2" t="s">
        <v>11543</v>
      </c>
      <c r="L8508" s="2">
        <f t="shared" si="132"/>
        <v>150</v>
      </c>
    </row>
    <row r="8509" spans="1:12" ht="25" customHeight="1">
      <c r="A8509" s="2" t="s">
        <v>12</v>
      </c>
      <c r="B8509" s="2" t="str">
        <f>HYPERLINK("http://m.12365auto.com/xcdg/20200213/418394.shtml","上汽大通新款G20实拍 搭2.0T柴油发动机")</f>
        <v>上汽大通新款G20实拍 搭2.0T柴油发动机</v>
      </c>
      <c r="C8509" s="2" t="s">
        <v>13</v>
      </c>
      <c r="D8509" s="2" t="s">
        <v>12</v>
      </c>
      <c r="E8509" s="2"/>
      <c r="F8509" s="2" t="str">
        <f>HYPERLINK("http://m.12365auto.com/xcdg/20200213/418394.shtml","http://m.12365auto.com/xcdg/20200213/418394.shtml")</f>
        <v>http://m.12365auto.com/xcdg/20200213/418394.shtml</v>
      </c>
      <c r="G8509" s="2"/>
      <c r="H8509" s="2" t="s">
        <v>11546</v>
      </c>
      <c r="I8509" s="2" t="s">
        <v>19</v>
      </c>
      <c r="J8509" s="2" t="s">
        <v>6086</v>
      </c>
      <c r="K8509" s="2" t="s">
        <v>11547</v>
      </c>
      <c r="L8509" s="2">
        <f t="shared" si="132"/>
        <v>150</v>
      </c>
    </row>
    <row r="8510" spans="1:12" ht="25" customHeight="1">
      <c r="A8510" s="2" t="s">
        <v>12</v>
      </c>
      <c r="B8510" s="2" t="str">
        <f>HYPERLINK("http://www.12365auto.com/xcdg/20200213/418394.shtml","上汽大通新款G20实拍 搭2.0T柴油发动机")</f>
        <v>上汽大通新款G20实拍 搭2.0T柴油发动机</v>
      </c>
      <c r="C8510" s="2" t="s">
        <v>13</v>
      </c>
      <c r="D8510" s="2" t="s">
        <v>12</v>
      </c>
      <c r="E8510" s="2" t="s">
        <v>216</v>
      </c>
      <c r="F8510" s="2" t="str">
        <f>HYPERLINK("http://www.12365auto.com/xcdg/20200213/418394.shtml","http://www.12365auto.com/xcdg/20200213/418394.shtml")</f>
        <v>http://www.12365auto.com/xcdg/20200213/418394.shtml</v>
      </c>
      <c r="G8510" s="2"/>
      <c r="H8510" s="2" t="s">
        <v>11548</v>
      </c>
      <c r="I8510" s="2" t="s">
        <v>15</v>
      </c>
      <c r="J8510" s="2" t="s">
        <v>12</v>
      </c>
      <c r="K8510" s="2" t="s">
        <v>11547</v>
      </c>
      <c r="L8510" s="2">
        <f t="shared" si="132"/>
        <v>150</v>
      </c>
    </row>
    <row r="8511" spans="1:12" ht="25" customHeight="1">
      <c r="A8511" s="2" t="s">
        <v>12</v>
      </c>
      <c r="B8511" s="2" t="str">
        <f>HYPERLINK("http://www.12365auto.com/xcdg/20200213/418393.shtml","全新一代宝马4系谍照 日内瓦车展首发")</f>
        <v>全新一代宝马4系谍照 日内瓦车展首发</v>
      </c>
      <c r="C8511" s="2" t="s">
        <v>13</v>
      </c>
      <c r="D8511" s="2" t="s">
        <v>12</v>
      </c>
      <c r="E8511" s="2" t="s">
        <v>224</v>
      </c>
      <c r="F8511" s="2" t="str">
        <f>HYPERLINK("http://www.12365auto.com/xcdg/20200213/418393.shtml","http://www.12365auto.com/xcdg/20200213/418393.shtml")</f>
        <v>http://www.12365auto.com/xcdg/20200213/418393.shtml</v>
      </c>
      <c r="G8511" s="2"/>
      <c r="H8511" s="2" t="s">
        <v>11549</v>
      </c>
      <c r="I8511" s="2" t="s">
        <v>15</v>
      </c>
      <c r="J8511" s="2" t="s">
        <v>12</v>
      </c>
      <c r="K8511" s="2" t="s">
        <v>11550</v>
      </c>
      <c r="L8511" s="2">
        <f t="shared" si="132"/>
        <v>150</v>
      </c>
    </row>
    <row r="8512" spans="1:12" ht="25" customHeight="1">
      <c r="A8512" s="2" t="s">
        <v>12</v>
      </c>
      <c r="B8512" s="2" t="str">
        <f>HYPERLINK("http://m.12365auto.com/xcdg/20200213/418393.shtml","全新一代宝马4系谍照 日内瓦车展首发")</f>
        <v>全新一代宝马4系谍照 日内瓦车展首发</v>
      </c>
      <c r="C8512" s="2" t="s">
        <v>13</v>
      </c>
      <c r="D8512" s="2" t="s">
        <v>12</v>
      </c>
      <c r="E8512" s="2"/>
      <c r="F8512" s="2" t="str">
        <f>HYPERLINK("http://m.12365auto.com/xcdg/20200213/418393.shtml","http://m.12365auto.com/xcdg/20200213/418393.shtml")</f>
        <v>http://m.12365auto.com/xcdg/20200213/418393.shtml</v>
      </c>
      <c r="G8512" s="2"/>
      <c r="H8512" s="2" t="s">
        <v>11551</v>
      </c>
      <c r="I8512" s="2" t="s">
        <v>19</v>
      </c>
      <c r="J8512" s="2" t="s">
        <v>751</v>
      </c>
      <c r="K8512" s="2" t="s">
        <v>11550</v>
      </c>
      <c r="L8512" s="2">
        <f t="shared" si="132"/>
        <v>150</v>
      </c>
    </row>
    <row r="8513" spans="1:12" ht="25" customHeight="1">
      <c r="A8513" s="2" t="s">
        <v>12</v>
      </c>
      <c r="B8513" s="2" t="str">
        <f>HYPERLINK("http://www.12365auto.com/xcdg/20200213/418391.shtml","新一代路虎揽胜运动版谍照 或明年发布")</f>
        <v>新一代路虎揽胜运动版谍照 或明年发布</v>
      </c>
      <c r="C8513" s="2" t="s">
        <v>13</v>
      </c>
      <c r="D8513" s="2" t="s">
        <v>12</v>
      </c>
      <c r="E8513" s="2" t="s">
        <v>224</v>
      </c>
      <c r="F8513" s="2" t="str">
        <f>HYPERLINK("http://www.12365auto.com/xcdg/20200213/418391.shtml","http://www.12365auto.com/xcdg/20200213/418391.shtml")</f>
        <v>http://www.12365auto.com/xcdg/20200213/418391.shtml</v>
      </c>
      <c r="G8513" s="2"/>
      <c r="H8513" s="2" t="s">
        <v>11552</v>
      </c>
      <c r="I8513" s="2" t="s">
        <v>15</v>
      </c>
      <c r="J8513" s="2" t="s">
        <v>12</v>
      </c>
      <c r="K8513" s="2" t="s">
        <v>11553</v>
      </c>
      <c r="L8513" s="2">
        <f t="shared" si="132"/>
        <v>150</v>
      </c>
    </row>
    <row r="8514" spans="1:12" ht="25" customHeight="1">
      <c r="A8514" s="2" t="s">
        <v>12</v>
      </c>
      <c r="B8514" s="2" t="str">
        <f>HYPERLINK("http://m.12365auto.com/xcdg/20200213/418391.shtml","新一代路虎揽胜运动版谍照 或明年发布")</f>
        <v>新一代路虎揽胜运动版谍照 或明年发布</v>
      </c>
      <c r="C8514" s="2" t="s">
        <v>13</v>
      </c>
      <c r="D8514" s="2" t="s">
        <v>12</v>
      </c>
      <c r="E8514" s="2"/>
      <c r="F8514" s="2" t="str">
        <f>HYPERLINK("http://m.12365auto.com/xcdg/20200213/418391.shtml","http://m.12365auto.com/xcdg/20200213/418391.shtml")</f>
        <v>http://m.12365auto.com/xcdg/20200213/418391.shtml</v>
      </c>
      <c r="G8514" s="2"/>
      <c r="H8514" s="2" t="s">
        <v>11554</v>
      </c>
      <c r="I8514" s="2" t="s">
        <v>19</v>
      </c>
      <c r="J8514" s="2" t="s">
        <v>751</v>
      </c>
      <c r="K8514" s="2" t="s">
        <v>11553</v>
      </c>
      <c r="L8514" s="2">
        <f t="shared" si="132"/>
        <v>150</v>
      </c>
    </row>
    <row r="8515" spans="1:12" ht="25" customHeight="1">
      <c r="A8515" s="2" t="s">
        <v>12</v>
      </c>
      <c r="B8515" s="2" t="str">
        <f>HYPERLINK("http://www.12365auto.com/xcdg/20200213/418390.shtml","新款雪铁龙C3官图 提供多种定制化服务")</f>
        <v>新款雪铁龙C3官图 提供多种定制化服务</v>
      </c>
      <c r="C8515" s="2" t="s">
        <v>13</v>
      </c>
      <c r="D8515" s="2" t="s">
        <v>12</v>
      </c>
      <c r="E8515" s="2" t="s">
        <v>216</v>
      </c>
      <c r="F8515" s="2" t="str">
        <f>HYPERLINK("http://www.12365auto.com/xcdg/20200213/418390.shtml","http://www.12365auto.com/xcdg/20200213/418390.shtml")</f>
        <v>http://www.12365auto.com/xcdg/20200213/418390.shtml</v>
      </c>
      <c r="G8515" s="2"/>
      <c r="H8515" s="2" t="s">
        <v>11555</v>
      </c>
      <c r="I8515" s="2" t="s">
        <v>15</v>
      </c>
      <c r="J8515" s="2" t="s">
        <v>12</v>
      </c>
      <c r="K8515" s="2" t="s">
        <v>11556</v>
      </c>
      <c r="L8515" s="2">
        <f t="shared" ref="L8515:L8578" si="133">LEN(H8515)</f>
        <v>150</v>
      </c>
    </row>
    <row r="8516" spans="1:12" ht="25" customHeight="1">
      <c r="A8516" s="2" t="s">
        <v>12</v>
      </c>
      <c r="B8516" s="2" t="str">
        <f>HYPERLINK("http://m.12365auto.com/xcdg/20200213/418390.shtml","新款雪铁龙C3官图 提供多种定制化服务")</f>
        <v>新款雪铁龙C3官图 提供多种定制化服务</v>
      </c>
      <c r="C8516" s="2" t="s">
        <v>13</v>
      </c>
      <c r="D8516" s="2" t="s">
        <v>12</v>
      </c>
      <c r="E8516" s="2"/>
      <c r="F8516" s="2" t="str">
        <f>HYPERLINK("http://m.12365auto.com/xcdg/20200213/418390.shtml","http://m.12365auto.com/xcdg/20200213/418390.shtml")</f>
        <v>http://m.12365auto.com/xcdg/20200213/418390.shtml</v>
      </c>
      <c r="G8516" s="2"/>
      <c r="H8516" s="2" t="s">
        <v>11557</v>
      </c>
      <c r="I8516" s="2" t="s">
        <v>19</v>
      </c>
      <c r="J8516" s="2" t="s">
        <v>1657</v>
      </c>
      <c r="K8516" s="2" t="s">
        <v>11556</v>
      </c>
      <c r="L8516" s="2">
        <f t="shared" si="133"/>
        <v>150</v>
      </c>
    </row>
    <row r="8517" spans="1:12" ht="25" customHeight="1">
      <c r="A8517" s="2" t="s">
        <v>12</v>
      </c>
      <c r="B8517" s="2" t="str">
        <f>HYPERLINK("http://www.12365auto.com/xcdg/20200213/418389.shtml","大众全新高尔夫R新消息 将今年年底发布")</f>
        <v>大众全新高尔夫R新消息 将今年年底发布</v>
      </c>
      <c r="C8517" s="2" t="s">
        <v>13</v>
      </c>
      <c r="D8517" s="2" t="s">
        <v>12</v>
      </c>
      <c r="E8517" s="2" t="s">
        <v>216</v>
      </c>
      <c r="F8517" s="2" t="str">
        <f>HYPERLINK("http://www.12365auto.com/xcdg/20200213/418389.shtml","http://www.12365auto.com/xcdg/20200213/418389.shtml")</f>
        <v>http://www.12365auto.com/xcdg/20200213/418389.shtml</v>
      </c>
      <c r="G8517" s="2"/>
      <c r="H8517" s="2" t="s">
        <v>11558</v>
      </c>
      <c r="I8517" s="2" t="s">
        <v>15</v>
      </c>
      <c r="J8517" s="2" t="s">
        <v>12</v>
      </c>
      <c r="K8517" s="2" t="s">
        <v>11559</v>
      </c>
      <c r="L8517" s="2">
        <f t="shared" si="133"/>
        <v>150</v>
      </c>
    </row>
    <row r="8518" spans="1:12" ht="25" customHeight="1">
      <c r="A8518" s="2" t="s">
        <v>12</v>
      </c>
      <c r="B8518" s="2" t="str">
        <f>HYPERLINK("http://m.12365auto.com/xcdg/20200213/418389.shtml","大众全新高尔夫R新消息 将今年年底发布")</f>
        <v>大众全新高尔夫R新消息 将今年年底发布</v>
      </c>
      <c r="C8518" s="2" t="s">
        <v>13</v>
      </c>
      <c r="D8518" s="2" t="s">
        <v>12</v>
      </c>
      <c r="E8518" s="2"/>
      <c r="F8518" s="2" t="str">
        <f>HYPERLINK("http://m.12365auto.com/xcdg/20200213/418389.shtml","http://m.12365auto.com/xcdg/20200213/418389.shtml")</f>
        <v>http://m.12365auto.com/xcdg/20200213/418389.shtml</v>
      </c>
      <c r="G8518" s="2"/>
      <c r="H8518" s="2" t="s">
        <v>11560</v>
      </c>
      <c r="I8518" s="2" t="s">
        <v>19</v>
      </c>
      <c r="J8518" s="2" t="s">
        <v>751</v>
      </c>
      <c r="K8518" s="2" t="s">
        <v>11559</v>
      </c>
      <c r="L8518" s="2">
        <f t="shared" si="133"/>
        <v>150</v>
      </c>
    </row>
    <row r="8519" spans="1:12" ht="25" customHeight="1">
      <c r="A8519" s="2" t="s">
        <v>12</v>
      </c>
      <c r="B8519" s="2" t="str">
        <f>HYPERLINK("http://www.12365auto.com/xcdg/20200213/418388.shtml","雪佛兰畅巡于本月中下旬上市 续航410km")</f>
        <v>雪佛兰畅巡于本月中下旬上市 续航410km</v>
      </c>
      <c r="C8519" s="2" t="s">
        <v>13</v>
      </c>
      <c r="D8519" s="2" t="s">
        <v>12</v>
      </c>
      <c r="E8519" s="2" t="s">
        <v>216</v>
      </c>
      <c r="F8519" s="2" t="str">
        <f>HYPERLINK("http://www.12365auto.com/xcdg/20200213/418388.shtml","http://www.12365auto.com/xcdg/20200213/418388.shtml")</f>
        <v>http://www.12365auto.com/xcdg/20200213/418388.shtml</v>
      </c>
      <c r="G8519" s="2"/>
      <c r="H8519" s="2" t="s">
        <v>11561</v>
      </c>
      <c r="I8519" s="2" t="s">
        <v>15</v>
      </c>
      <c r="J8519" s="2" t="s">
        <v>12</v>
      </c>
      <c r="K8519" s="2" t="s">
        <v>11562</v>
      </c>
      <c r="L8519" s="2">
        <f t="shared" si="133"/>
        <v>150</v>
      </c>
    </row>
    <row r="8520" spans="1:12" ht="25" customHeight="1">
      <c r="A8520" s="2" t="s">
        <v>12</v>
      </c>
      <c r="B8520" s="2" t="str">
        <f>HYPERLINK("http://m.12365auto.com/xcdg/20200213/418388.shtml","雪佛兰畅巡于本月中下旬上市 续航410km")</f>
        <v>雪佛兰畅巡于本月中下旬上市 续航410km</v>
      </c>
      <c r="C8520" s="2" t="s">
        <v>13</v>
      </c>
      <c r="D8520" s="2" t="s">
        <v>12</v>
      </c>
      <c r="E8520" s="2"/>
      <c r="F8520" s="2" t="str">
        <f>HYPERLINK("http://m.12365auto.com/xcdg/20200213/418388.shtml","http://m.12365auto.com/xcdg/20200213/418388.shtml")</f>
        <v>http://m.12365auto.com/xcdg/20200213/418388.shtml</v>
      </c>
      <c r="G8520" s="2"/>
      <c r="H8520" s="2" t="s">
        <v>11563</v>
      </c>
      <c r="I8520" s="2" t="s">
        <v>19</v>
      </c>
      <c r="J8520" s="2" t="s">
        <v>1222</v>
      </c>
      <c r="K8520" s="2" t="s">
        <v>11562</v>
      </c>
      <c r="L8520" s="2">
        <f t="shared" si="133"/>
        <v>150</v>
      </c>
    </row>
    <row r="8521" spans="1:12" ht="25" customHeight="1">
      <c r="A8521" s="2" t="s">
        <v>12</v>
      </c>
      <c r="B8521" s="2" t="str">
        <f>HYPERLINK("http://www.12365auto.com/xcdg/20200213/418387.shtml","大众Viloran或2季度上市 GL8的对手来了")</f>
        <v>大众Viloran或2季度上市 GL8的对手来了</v>
      </c>
      <c r="C8521" s="2" t="s">
        <v>13</v>
      </c>
      <c r="D8521" s="2" t="s">
        <v>12</v>
      </c>
      <c r="E8521" s="2" t="s">
        <v>216</v>
      </c>
      <c r="F8521" s="2" t="str">
        <f>HYPERLINK("http://www.12365auto.com/xcdg/20200213/418387.shtml","http://www.12365auto.com/xcdg/20200213/418387.shtml")</f>
        <v>http://www.12365auto.com/xcdg/20200213/418387.shtml</v>
      </c>
      <c r="G8521" s="2"/>
      <c r="H8521" s="2" t="s">
        <v>11564</v>
      </c>
      <c r="I8521" s="2" t="s">
        <v>15</v>
      </c>
      <c r="J8521" s="2" t="s">
        <v>12</v>
      </c>
      <c r="K8521" s="2" t="s">
        <v>11565</v>
      </c>
      <c r="L8521" s="2">
        <f t="shared" si="133"/>
        <v>150</v>
      </c>
    </row>
    <row r="8522" spans="1:12" ht="25" customHeight="1">
      <c r="A8522" s="2" t="s">
        <v>12</v>
      </c>
      <c r="B8522" s="2" t="str">
        <f>HYPERLINK("http://m.12365auto.com/xcdg/20200213/418387.shtml","大众Viloran或2季度上市 GL8的对手来了")</f>
        <v>大众Viloran或2季度上市 GL8的对手来了</v>
      </c>
      <c r="C8522" s="2" t="s">
        <v>13</v>
      </c>
      <c r="D8522" s="2" t="s">
        <v>12</v>
      </c>
      <c r="E8522" s="2"/>
      <c r="F8522" s="2" t="str">
        <f>HYPERLINK("http://m.12365auto.com/xcdg/20200213/418387.shtml","http://m.12365auto.com/xcdg/20200213/418387.shtml")</f>
        <v>http://m.12365auto.com/xcdg/20200213/418387.shtml</v>
      </c>
      <c r="G8522" s="2"/>
      <c r="H8522" s="2" t="s">
        <v>11566</v>
      </c>
      <c r="I8522" s="2" t="s">
        <v>19</v>
      </c>
      <c r="J8522" s="2" t="s">
        <v>751</v>
      </c>
      <c r="K8522" s="2" t="s">
        <v>11565</v>
      </c>
      <c r="L8522" s="2">
        <f t="shared" si="133"/>
        <v>150</v>
      </c>
    </row>
    <row r="8523" spans="1:12" ht="25" customHeight="1">
      <c r="A8523" s="2" t="s">
        <v>12</v>
      </c>
      <c r="B8523" s="2" t="str">
        <f>HYPERLINK("http://www.12365auto.com/xcdg/20200213/418397.shtml","因销量低迷 新索纳塔将取消PHEV版本车型")</f>
        <v>因销量低迷 新索纳塔将取消PHEV版本车型</v>
      </c>
      <c r="C8523" s="2" t="s">
        <v>13</v>
      </c>
      <c r="D8523" s="2" t="s">
        <v>12</v>
      </c>
      <c r="E8523" s="2" t="s">
        <v>245</v>
      </c>
      <c r="F8523" s="2" t="str">
        <f>HYPERLINK("http://www.12365auto.com/xcdg/20200213/418397.shtml","http://www.12365auto.com/xcdg/20200213/418397.shtml")</f>
        <v>http://www.12365auto.com/xcdg/20200213/418397.shtml</v>
      </c>
      <c r="G8523" s="2"/>
      <c r="H8523" s="2" t="s">
        <v>11567</v>
      </c>
      <c r="I8523" s="2" t="s">
        <v>19</v>
      </c>
      <c r="J8523" s="2" t="s">
        <v>12</v>
      </c>
      <c r="K8523" s="2" t="s">
        <v>11568</v>
      </c>
      <c r="L8523" s="2">
        <f t="shared" si="133"/>
        <v>150</v>
      </c>
    </row>
    <row r="8524" spans="1:12" ht="25" customHeight="1">
      <c r="A8524" s="2" t="s">
        <v>12</v>
      </c>
      <c r="B8524" s="2" t="str">
        <f>HYPERLINK("http://bbs.12365auto.com/postcontent.aspx?tID=193948","热爱驾驶的你怎能缺少这四款四驱轿车呢？")</f>
        <v>热爱驾驶的你怎能缺少这四款四驱轿车呢？</v>
      </c>
      <c r="C8524" s="2" t="s">
        <v>13</v>
      </c>
      <c r="D8524" s="2" t="s">
        <v>12</v>
      </c>
      <c r="E8524" s="2" t="s">
        <v>28</v>
      </c>
      <c r="F8524" s="2" t="str">
        <f>HYPERLINK("http://bbs.12365auto.com/postcontent.aspx?tID=193948","http://bbs.12365auto.com/postcontent.aspx?tID=193948")</f>
        <v>http://bbs.12365auto.com/postcontent.aspx?tID=193948</v>
      </c>
      <c r="G8524" s="2"/>
      <c r="H8524" s="2" t="s">
        <v>11569</v>
      </c>
      <c r="I8524" s="2" t="s">
        <v>15</v>
      </c>
      <c r="J8524" s="2" t="s">
        <v>683</v>
      </c>
      <c r="K8524" s="2" t="s">
        <v>11570</v>
      </c>
      <c r="L8524" s="2">
        <f t="shared" si="133"/>
        <v>150</v>
      </c>
    </row>
    <row r="8525" spans="1:12" ht="25" customHeight="1">
      <c r="A8525" s="2" t="s">
        <v>12</v>
      </c>
      <c r="B8525" s="2" t="str">
        <f>HYPERLINK("http://bbs.12365auto.com/postcontent.aspx?tId=193948","热爱驾驶的你怎能缺少这四款四驱轿车呢？")</f>
        <v>热爱驾驶的你怎能缺少这四款四驱轿车呢？</v>
      </c>
      <c r="C8525" s="2" t="s">
        <v>13</v>
      </c>
      <c r="D8525" s="2" t="s">
        <v>12</v>
      </c>
      <c r="E8525" s="2" t="s">
        <v>27</v>
      </c>
      <c r="F8525" s="2" t="str">
        <f>HYPERLINK("http://bbs.12365auto.com/postcontent.aspx?tId=193948","http://bbs.12365auto.com/postcontent.aspx?tId=193948")</f>
        <v>http://bbs.12365auto.com/postcontent.aspx?tId=193948</v>
      </c>
      <c r="G8525" s="2"/>
      <c r="H8525" s="2" t="s">
        <v>11571</v>
      </c>
      <c r="I8525" s="2" t="s">
        <v>15</v>
      </c>
      <c r="J8525" s="2" t="s">
        <v>683</v>
      </c>
      <c r="K8525" s="2" t="s">
        <v>11570</v>
      </c>
      <c r="L8525" s="2">
        <f t="shared" si="133"/>
        <v>150</v>
      </c>
    </row>
    <row r="8526" spans="1:12" ht="25" customHeight="1">
      <c r="A8526" s="2" t="s">
        <v>12</v>
      </c>
      <c r="B8526" s="2" t="str">
        <f>HYPERLINK("http://bbs.12365auto.com/postcontent.aspx?tID=193947","有设计也有内涵的3款国产精品纯电SUV推荐")</f>
        <v>有设计也有内涵的3款国产精品纯电SUV推荐</v>
      </c>
      <c r="C8526" s="2" t="s">
        <v>13</v>
      </c>
      <c r="D8526" s="2" t="s">
        <v>12</v>
      </c>
      <c r="E8526" s="2" t="s">
        <v>28</v>
      </c>
      <c r="F8526" s="2" t="str">
        <f>HYPERLINK("http://bbs.12365auto.com/postcontent.aspx?tID=193947","http://bbs.12365auto.com/postcontent.aspx?tID=193947")</f>
        <v>http://bbs.12365auto.com/postcontent.aspx?tID=193947</v>
      </c>
      <c r="G8526" s="2"/>
      <c r="H8526" s="2" t="s">
        <v>11572</v>
      </c>
      <c r="I8526" s="2" t="s">
        <v>15</v>
      </c>
      <c r="J8526" s="2" t="s">
        <v>683</v>
      </c>
      <c r="K8526" s="2" t="s">
        <v>11573</v>
      </c>
      <c r="L8526" s="2">
        <f t="shared" si="133"/>
        <v>150</v>
      </c>
    </row>
    <row r="8527" spans="1:12" ht="25" customHeight="1">
      <c r="A8527" s="2" t="s">
        <v>12</v>
      </c>
      <c r="B8527" s="2" t="str">
        <f>HYPERLINK("http://m.12365auto.com/xcdg/20200213/418386.shtml","外观激进 现代发布新款i30 N Line预告图")</f>
        <v>外观激进 现代发布新款i30 N Line预告图</v>
      </c>
      <c r="C8527" s="2" t="s">
        <v>13</v>
      </c>
      <c r="D8527" s="2" t="s">
        <v>12</v>
      </c>
      <c r="E8527" s="2"/>
      <c r="F8527" s="2" t="str">
        <f>HYPERLINK("http://m.12365auto.com/xcdg/20200213/418386.shtml","http://m.12365auto.com/xcdg/20200213/418386.shtml")</f>
        <v>http://m.12365auto.com/xcdg/20200213/418386.shtml</v>
      </c>
      <c r="G8527" s="2"/>
      <c r="H8527" s="2" t="s">
        <v>11574</v>
      </c>
      <c r="I8527" s="2" t="s">
        <v>19</v>
      </c>
      <c r="J8527" s="2" t="s">
        <v>371</v>
      </c>
      <c r="K8527" s="2" t="s">
        <v>11573</v>
      </c>
      <c r="L8527" s="2">
        <f t="shared" si="133"/>
        <v>150</v>
      </c>
    </row>
    <row r="8528" spans="1:12" ht="25" customHeight="1">
      <c r="A8528" s="2" t="s">
        <v>12</v>
      </c>
      <c r="B8528" s="2" t="str">
        <f>HYPERLINK("http://www.12365auto.com/xcdg/20200213/418386.shtml","外观激进 现代发布新款i30 N Line预告图")</f>
        <v>外观激进 现代发布新款i30 N Line预告图</v>
      </c>
      <c r="C8528" s="2" t="s">
        <v>13</v>
      </c>
      <c r="D8528" s="2" t="s">
        <v>12</v>
      </c>
      <c r="E8528" s="2" t="s">
        <v>216</v>
      </c>
      <c r="F8528" s="2" t="str">
        <f>HYPERLINK("http://www.12365auto.com/xcdg/20200213/418386.shtml","http://www.12365auto.com/xcdg/20200213/418386.shtml")</f>
        <v>http://www.12365auto.com/xcdg/20200213/418386.shtml</v>
      </c>
      <c r="G8528" s="2"/>
      <c r="H8528" s="2" t="s">
        <v>11575</v>
      </c>
      <c r="I8528" s="2" t="s">
        <v>15</v>
      </c>
      <c r="J8528" s="2" t="s">
        <v>12</v>
      </c>
      <c r="K8528" s="2" t="s">
        <v>11573</v>
      </c>
      <c r="L8528" s="2">
        <f t="shared" si="133"/>
        <v>150</v>
      </c>
    </row>
    <row r="8529" spans="1:12" ht="25" customHeight="1">
      <c r="A8529" s="2" t="s">
        <v>12</v>
      </c>
      <c r="B8529" s="2" t="str">
        <f>HYPERLINK("http://bbs.12365auto.com/postcontent.aspx?tId=193947","有设计也有内涵的3款国产精品纯电SUV推荐")</f>
        <v>有设计也有内涵的3款国产精品纯电SUV推荐</v>
      </c>
      <c r="C8529" s="2" t="s">
        <v>13</v>
      </c>
      <c r="D8529" s="2" t="s">
        <v>12</v>
      </c>
      <c r="E8529" s="2" t="s">
        <v>27</v>
      </c>
      <c r="F8529" s="2" t="str">
        <f>HYPERLINK("http://bbs.12365auto.com/postcontent.aspx?tId=193947","http://bbs.12365auto.com/postcontent.aspx?tId=193947")</f>
        <v>http://bbs.12365auto.com/postcontent.aspx?tId=193947</v>
      </c>
      <c r="G8529" s="2"/>
      <c r="H8529" s="2" t="s">
        <v>11576</v>
      </c>
      <c r="I8529" s="2" t="s">
        <v>15</v>
      </c>
      <c r="J8529" s="2" t="s">
        <v>683</v>
      </c>
      <c r="K8529" s="2" t="s">
        <v>11573</v>
      </c>
      <c r="L8529" s="2">
        <f t="shared" si="133"/>
        <v>150</v>
      </c>
    </row>
    <row r="8530" spans="1:12" ht="25" customHeight="1">
      <c r="A8530" s="2" t="s">
        <v>12</v>
      </c>
      <c r="B8530" s="2" t="str">
        <f>HYPERLINK("http://bbs.12365auto.com/postcontent.aspx?tID=193946","高配还带四驱 这款10万级SUV实力不输H6")</f>
        <v>高配还带四驱 这款10万级SUV实力不输H6</v>
      </c>
      <c r="C8530" s="2" t="s">
        <v>13</v>
      </c>
      <c r="D8530" s="2" t="s">
        <v>12</v>
      </c>
      <c r="E8530" s="2" t="s">
        <v>28</v>
      </c>
      <c r="F8530" s="2" t="str">
        <f>HYPERLINK("http://bbs.12365auto.com/postcontent.aspx?tID=193946","http://bbs.12365auto.com/postcontent.aspx?tID=193946")</f>
        <v>http://bbs.12365auto.com/postcontent.aspx?tID=193946</v>
      </c>
      <c r="G8530" s="2"/>
      <c r="H8530" s="2" t="s">
        <v>11577</v>
      </c>
      <c r="I8530" s="2" t="s">
        <v>15</v>
      </c>
      <c r="J8530" s="2" t="s">
        <v>11578</v>
      </c>
      <c r="K8530" s="2" t="s">
        <v>11579</v>
      </c>
      <c r="L8530" s="2">
        <f t="shared" si="133"/>
        <v>150</v>
      </c>
    </row>
    <row r="8531" spans="1:12" ht="25" customHeight="1">
      <c r="A8531" s="2" t="s">
        <v>12</v>
      </c>
      <c r="B8531" s="2" t="str">
        <f>HYPERLINK("http://bbs.12365auto.com/postcontent.aspx?tId=193946","高配还带四驱 这款10万级SUV实力不输H6")</f>
        <v>高配还带四驱 这款10万级SUV实力不输H6</v>
      </c>
      <c r="C8531" s="2" t="s">
        <v>13</v>
      </c>
      <c r="D8531" s="2" t="s">
        <v>12</v>
      </c>
      <c r="E8531" s="2" t="s">
        <v>27</v>
      </c>
      <c r="F8531" s="2" t="str">
        <f>HYPERLINK("http://bbs.12365auto.com/postcontent.aspx?tId=193946","http://bbs.12365auto.com/postcontent.aspx?tId=193946")</f>
        <v>http://bbs.12365auto.com/postcontent.aspx?tId=193946</v>
      </c>
      <c r="G8531" s="2"/>
      <c r="H8531" s="2" t="s">
        <v>11580</v>
      </c>
      <c r="I8531" s="2" t="s">
        <v>15</v>
      </c>
      <c r="J8531" s="2" t="s">
        <v>11578</v>
      </c>
      <c r="K8531" s="2" t="s">
        <v>11579</v>
      </c>
      <c r="L8531" s="2">
        <f t="shared" si="133"/>
        <v>150</v>
      </c>
    </row>
    <row r="8532" spans="1:12" ht="25" customHeight="1">
      <c r="A8532" s="2" t="s">
        <v>12</v>
      </c>
      <c r="B8532" s="2" t="str">
        <f>HYPERLINK("http://bbs.12365auto.com/postcontent.aspx?tID=193945","长安福特锐际怎么选？中配嘉享款最值得入手")</f>
        <v>长安福特锐际怎么选？中配嘉享款最值得入手</v>
      </c>
      <c r="C8532" s="2" t="s">
        <v>13</v>
      </c>
      <c r="D8532" s="2" t="s">
        <v>12</v>
      </c>
      <c r="E8532" s="2" t="s">
        <v>28</v>
      </c>
      <c r="F8532" s="2" t="str">
        <f>HYPERLINK("http://bbs.12365auto.com/postcontent.aspx?tID=193945","http://bbs.12365auto.com/postcontent.aspx?tID=193945")</f>
        <v>http://bbs.12365auto.com/postcontent.aspx?tID=193945</v>
      </c>
      <c r="G8532" s="2"/>
      <c r="H8532" s="2" t="s">
        <v>11581</v>
      </c>
      <c r="I8532" s="2" t="s">
        <v>15</v>
      </c>
      <c r="J8532" s="2" t="s">
        <v>11578</v>
      </c>
      <c r="K8532" s="2" t="s">
        <v>11582</v>
      </c>
      <c r="L8532" s="2">
        <f t="shared" si="133"/>
        <v>150</v>
      </c>
    </row>
    <row r="8533" spans="1:12" ht="25" customHeight="1">
      <c r="A8533" s="2" t="s">
        <v>12</v>
      </c>
      <c r="B8533" s="2" t="str">
        <f>HYPERLINK("http://bbs.12365auto.com/postcontent.aspx?tId=193945","长安福特锐际怎么选？中配嘉享款最值得入手")</f>
        <v>长安福特锐际怎么选？中配嘉享款最值得入手</v>
      </c>
      <c r="C8533" s="2" t="s">
        <v>13</v>
      </c>
      <c r="D8533" s="2" t="s">
        <v>12</v>
      </c>
      <c r="E8533" s="2" t="s">
        <v>27</v>
      </c>
      <c r="F8533" s="2" t="str">
        <f>HYPERLINK("http://bbs.12365auto.com/postcontent.aspx?tId=193945","http://bbs.12365auto.com/postcontent.aspx?tId=193945")</f>
        <v>http://bbs.12365auto.com/postcontent.aspx?tId=193945</v>
      </c>
      <c r="G8533" s="2"/>
      <c r="H8533" s="2" t="s">
        <v>11583</v>
      </c>
      <c r="I8533" s="2" t="s">
        <v>15</v>
      </c>
      <c r="J8533" s="2" t="s">
        <v>11578</v>
      </c>
      <c r="K8533" s="2" t="s">
        <v>11582</v>
      </c>
      <c r="L8533" s="2">
        <f t="shared" si="133"/>
        <v>150</v>
      </c>
    </row>
    <row r="8534" spans="1:12" ht="25" customHeight="1">
      <c r="A8534" s="2" t="s">
        <v>12</v>
      </c>
      <c r="B8534" s="2" t="str">
        <f>HYPERLINK("http://www.12365auto.com/xcdg/20200213/418398.shtml","新增1.5T引擎 荣威i6 MAX燃油版申报图曝光")</f>
        <v>新增1.5T引擎 荣威i6 MAX燃油版申报图曝光</v>
      </c>
      <c r="C8534" s="2" t="s">
        <v>13</v>
      </c>
      <c r="D8534" s="2" t="s">
        <v>12</v>
      </c>
      <c r="E8534" s="2" t="s">
        <v>245</v>
      </c>
      <c r="F8534" s="2" t="str">
        <f>HYPERLINK("http://www.12365auto.com/xcdg/20200213/418398.shtml","http://www.12365auto.com/xcdg/20200213/418398.shtml")</f>
        <v>http://www.12365auto.com/xcdg/20200213/418398.shtml</v>
      </c>
      <c r="G8534" s="2"/>
      <c r="H8534" s="2" t="s">
        <v>11584</v>
      </c>
      <c r="I8534" s="2" t="s">
        <v>19</v>
      </c>
      <c r="J8534" s="2" t="s">
        <v>12</v>
      </c>
      <c r="K8534" s="2" t="s">
        <v>11585</v>
      </c>
      <c r="L8534" s="2">
        <f t="shared" si="133"/>
        <v>150</v>
      </c>
    </row>
    <row r="8535" spans="1:12" ht="25" customHeight="1">
      <c r="A8535" s="2" t="s">
        <v>12</v>
      </c>
      <c r="B8535" s="2" t="str">
        <f>HYPERLINK("http://m.12365auto.com/xcdg/20200213/418401.shtml","基于MEB平台打造 斯科达纯电动SUV命名Enyaq")</f>
        <v>基于MEB平台打造 斯科达纯电动SUV命名Enyaq</v>
      </c>
      <c r="C8535" s="2" t="s">
        <v>13</v>
      </c>
      <c r="D8535" s="2" t="s">
        <v>12</v>
      </c>
      <c r="E8535" s="2"/>
      <c r="F8535" s="2" t="str">
        <f>HYPERLINK("http://m.12365auto.com/xcdg/20200213/418401.shtml","http://m.12365auto.com/xcdg/20200213/418401.shtml")</f>
        <v>http://m.12365auto.com/xcdg/20200213/418401.shtml</v>
      </c>
      <c r="G8535" s="2"/>
      <c r="H8535" s="2" t="s">
        <v>11586</v>
      </c>
      <c r="I8535" s="2" t="s">
        <v>19</v>
      </c>
      <c r="J8535" s="2" t="s">
        <v>1305</v>
      </c>
      <c r="K8535" s="2" t="s">
        <v>11587</v>
      </c>
      <c r="L8535" s="2">
        <f t="shared" si="133"/>
        <v>150</v>
      </c>
    </row>
    <row r="8536" spans="1:12" ht="25" customHeight="1">
      <c r="A8536" s="2" t="s">
        <v>12</v>
      </c>
      <c r="B8536" s="2" t="str">
        <f>HYPERLINK("http://www.12365auto.com/xcdg/20200213/418401.shtml","基于MEB平台打造 斯科达纯电动SUV命名Enyaq")</f>
        <v>基于MEB平台打造 斯科达纯电动SUV命名Enyaq</v>
      </c>
      <c r="C8536" s="2" t="s">
        <v>13</v>
      </c>
      <c r="D8536" s="2" t="s">
        <v>12</v>
      </c>
      <c r="E8536" s="2" t="s">
        <v>216</v>
      </c>
      <c r="F8536" s="2" t="str">
        <f>HYPERLINK("http://www.12365auto.com/xcdg/20200213/418401.shtml","http://www.12365auto.com/xcdg/20200213/418401.shtml")</f>
        <v>http://www.12365auto.com/xcdg/20200213/418401.shtml</v>
      </c>
      <c r="G8536" s="2"/>
      <c r="H8536" s="2" t="s">
        <v>11588</v>
      </c>
      <c r="I8536" s="2" t="s">
        <v>15</v>
      </c>
      <c r="J8536" s="2" t="s">
        <v>12</v>
      </c>
      <c r="K8536" s="2" t="s">
        <v>11587</v>
      </c>
      <c r="L8536" s="2">
        <f t="shared" si="133"/>
        <v>150</v>
      </c>
    </row>
    <row r="8537" spans="1:12" ht="25" customHeight="1">
      <c r="A8537" s="2" t="s">
        <v>12</v>
      </c>
      <c r="B8537" s="2" t="str">
        <f>HYPERLINK("http://www.12365auto.com/zlts/20200213/447068.shtml","新宝骏RM-5刹车失效 转向系统失效")</f>
        <v>新宝骏RM-5刹车失效 转向系统失效</v>
      </c>
      <c r="C8537" s="2" t="s">
        <v>13</v>
      </c>
      <c r="D8537" s="2" t="s">
        <v>12</v>
      </c>
      <c r="E8537" s="2"/>
      <c r="F8537" s="2" t="str">
        <f>HYPERLINK("http://www.12365auto.com/zlts/20200213/447068.shtml","http://www.12365auto.com/zlts/20200213/447068.shtml")</f>
        <v>http://www.12365auto.com/zlts/20200213/447068.shtml</v>
      </c>
      <c r="G8537" s="2"/>
      <c r="H8537" s="2" t="s">
        <v>11590</v>
      </c>
      <c r="I8537" s="2" t="s">
        <v>15</v>
      </c>
      <c r="J8537" s="2" t="s">
        <v>12</v>
      </c>
      <c r="K8537" s="2" t="s">
        <v>11589</v>
      </c>
      <c r="L8537" s="2">
        <f t="shared" si="133"/>
        <v>97</v>
      </c>
    </row>
    <row r="8538" spans="1:12" ht="25" customHeight="1">
      <c r="A8538" s="2" t="s">
        <v>12</v>
      </c>
      <c r="B8538" s="2" t="str">
        <f>HYPERLINK("http://bbs.12365auto.com/postcontent.aspx?tId=193944","大众的机电控制单元质量这么差劲吗？")</f>
        <v>大众的机电控制单元质量这么差劲吗？</v>
      </c>
      <c r="C8538" s="2" t="s">
        <v>13</v>
      </c>
      <c r="D8538" s="2" t="s">
        <v>12</v>
      </c>
      <c r="E8538" s="2" t="s">
        <v>66</v>
      </c>
      <c r="F8538" s="2" t="str">
        <f>HYPERLINK("http://bbs.12365auto.com/postcontent.aspx?tId=193944","http://bbs.12365auto.com/postcontent.aspx?tId=193944")</f>
        <v>http://bbs.12365auto.com/postcontent.aspx?tId=193944</v>
      </c>
      <c r="G8538" s="2"/>
      <c r="H8538" s="2" t="s">
        <v>11591</v>
      </c>
      <c r="I8538" s="2" t="s">
        <v>15</v>
      </c>
      <c r="J8538" s="2" t="s">
        <v>2092</v>
      </c>
      <c r="K8538" s="2" t="s">
        <v>11592</v>
      </c>
      <c r="L8538" s="2">
        <f t="shared" si="133"/>
        <v>150</v>
      </c>
    </row>
    <row r="8539" spans="1:12" ht="25" customHeight="1">
      <c r="A8539" s="2" t="s">
        <v>12</v>
      </c>
      <c r="B8539" s="2" t="str">
        <f>HYPERLINK("http://m.12365auto.com/bbs/postcontent.aspx?tID=193944","大众的机电控制单元质量这么差劲吗？")</f>
        <v>大众的机电控制单元质量这么差劲吗？</v>
      </c>
      <c r="C8539" s="2" t="s">
        <v>13</v>
      </c>
      <c r="D8539" s="2" t="s">
        <v>23</v>
      </c>
      <c r="E8539" s="2"/>
      <c r="F8539" s="2" t="str">
        <f>HYPERLINK("http://m.12365auto.com/bbs/postcontent.aspx?tID=193944","http://m.12365auto.com/bbs/postcontent.aspx?tID=193944")</f>
        <v>http://m.12365auto.com/bbs/postcontent.aspx?tID=193944</v>
      </c>
      <c r="G8539" s="2"/>
      <c r="H8539" s="2" t="s">
        <v>11591</v>
      </c>
      <c r="I8539" s="2" t="s">
        <v>15</v>
      </c>
      <c r="J8539" s="2" t="s">
        <v>2092</v>
      </c>
      <c r="K8539" s="2" t="s">
        <v>11592</v>
      </c>
      <c r="L8539" s="2">
        <f t="shared" si="133"/>
        <v>150</v>
      </c>
    </row>
    <row r="8540" spans="1:12" ht="25" customHeight="1">
      <c r="A8540" s="2" t="s">
        <v>12</v>
      </c>
      <c r="B8540" s="2" t="str">
        <f>HYPERLINK("http://bbs.12365auto.com/postcontent.aspx?tID=193944","大众的机电控制单元质量这么差劲吗？")</f>
        <v>大众的机电控制单元质量这么差劲吗？</v>
      </c>
      <c r="C8540" s="2" t="s">
        <v>13</v>
      </c>
      <c r="D8540" s="2" t="s">
        <v>12</v>
      </c>
      <c r="E8540" s="2" t="s">
        <v>67</v>
      </c>
      <c r="F8540" s="2" t="str">
        <f>HYPERLINK("http://bbs.12365auto.com/postcontent.aspx?tID=193944","http://bbs.12365auto.com/postcontent.aspx?tID=193944")</f>
        <v>http://bbs.12365auto.com/postcontent.aspx?tID=193944</v>
      </c>
      <c r="G8540" s="2"/>
      <c r="H8540" s="2" t="s">
        <v>11593</v>
      </c>
      <c r="I8540" s="2" t="s">
        <v>15</v>
      </c>
      <c r="J8540" s="2" t="s">
        <v>2092</v>
      </c>
      <c r="K8540" s="2" t="s">
        <v>11592</v>
      </c>
      <c r="L8540" s="2">
        <f t="shared" si="133"/>
        <v>150</v>
      </c>
    </row>
    <row r="8541" spans="1:12" ht="25" customHeight="1">
      <c r="A8541" s="2" t="s">
        <v>12</v>
      </c>
      <c r="B8541" s="2" t="str">
        <f>HYPERLINK("http://bbs.12365auto.com/postcontent.aspx?tId=193943","途胜升级后问题真的是太多了，怎么去处理")</f>
        <v>途胜升级后问题真的是太多了，怎么去处理</v>
      </c>
      <c r="C8541" s="2" t="s">
        <v>13</v>
      </c>
      <c r="D8541" s="2" t="s">
        <v>12</v>
      </c>
      <c r="E8541" s="2" t="s">
        <v>66</v>
      </c>
      <c r="F8541" s="2" t="str">
        <f>HYPERLINK("http://bbs.12365auto.com/postcontent.aspx?tId=193943","http://bbs.12365auto.com/postcontent.aspx?tId=193943")</f>
        <v>http://bbs.12365auto.com/postcontent.aspx?tId=193943</v>
      </c>
      <c r="G8541" s="2"/>
      <c r="H8541" s="2" t="s">
        <v>11594</v>
      </c>
      <c r="I8541" s="2" t="s">
        <v>15</v>
      </c>
      <c r="J8541" s="2" t="s">
        <v>2096</v>
      </c>
      <c r="K8541" s="2" t="s">
        <v>11595</v>
      </c>
      <c r="L8541" s="2">
        <f t="shared" si="133"/>
        <v>62</v>
      </c>
    </row>
    <row r="8542" spans="1:12" ht="25" customHeight="1">
      <c r="A8542" s="2" t="s">
        <v>12</v>
      </c>
      <c r="B8542" s="2" t="str">
        <f>HYPERLINK("http://bbs.12365auto.com/postcontent.aspx?tId=193942","宝马3电池电量不足怎么解决？")</f>
        <v>宝马3电池电量不足怎么解决？</v>
      </c>
      <c r="C8542" s="2" t="s">
        <v>13</v>
      </c>
      <c r="D8542" s="2" t="s">
        <v>12</v>
      </c>
      <c r="E8542" s="2" t="s">
        <v>66</v>
      </c>
      <c r="F8542" s="2" t="str">
        <f>HYPERLINK("http://bbs.12365auto.com/postcontent.aspx?tId=193942","http://bbs.12365auto.com/postcontent.aspx?tId=193942")</f>
        <v>http://bbs.12365auto.com/postcontent.aspx?tId=193942</v>
      </c>
      <c r="G8542" s="2"/>
      <c r="H8542" s="2" t="s">
        <v>11596</v>
      </c>
      <c r="I8542" s="2" t="s">
        <v>15</v>
      </c>
      <c r="J8542" s="2" t="s">
        <v>2103</v>
      </c>
      <c r="K8542" s="2" t="s">
        <v>11595</v>
      </c>
      <c r="L8542" s="2">
        <f t="shared" si="133"/>
        <v>150</v>
      </c>
    </row>
    <row r="8543" spans="1:12" ht="25" customHeight="1">
      <c r="A8543" s="2" t="s">
        <v>12</v>
      </c>
      <c r="B8543" s="2" t="str">
        <f>HYPERLINK("http://m.12365auto.com/bbs/postcontent.aspx?tID=193943&amp;i=1","途胜升级后问题真的是太多了，怎么去处理")</f>
        <v>途胜升级后问题真的是太多了，怎么去处理</v>
      </c>
      <c r="C8543" s="2" t="s">
        <v>13</v>
      </c>
      <c r="D8543" s="2" t="s">
        <v>23</v>
      </c>
      <c r="E8543" s="2"/>
      <c r="F8543" s="2" t="str">
        <f>HYPERLINK("http://m.12365auto.com/bbs/postcontent.aspx?tID=193943&amp;i=1","http://m.12365auto.com/bbs/postcontent.aspx?tID=193943&amp;i=1")</f>
        <v>http://m.12365auto.com/bbs/postcontent.aspx?tID=193943&amp;i=1</v>
      </c>
      <c r="G8543" s="2"/>
      <c r="H8543" s="2" t="s">
        <v>11594</v>
      </c>
      <c r="I8543" s="2" t="s">
        <v>15</v>
      </c>
      <c r="J8543" s="2" t="s">
        <v>2096</v>
      </c>
      <c r="K8543" s="2" t="s">
        <v>11595</v>
      </c>
      <c r="L8543" s="2">
        <f t="shared" si="133"/>
        <v>62</v>
      </c>
    </row>
    <row r="8544" spans="1:12" ht="25" customHeight="1">
      <c r="A8544" s="2" t="s">
        <v>12</v>
      </c>
      <c r="B8544" s="2" t="str">
        <f>HYPERLINK("http://m.12365auto.com/bbs/postcontent.aspx?tID=193943","途胜升级后问题真的是太多了，怎么去处理")</f>
        <v>途胜升级后问题真的是太多了，怎么去处理</v>
      </c>
      <c r="C8544" s="2" t="s">
        <v>13</v>
      </c>
      <c r="D8544" s="2" t="s">
        <v>23</v>
      </c>
      <c r="E8544" s="2"/>
      <c r="F8544" s="2" t="str">
        <f>HYPERLINK("http://m.12365auto.com/bbs/postcontent.aspx?tID=193943","http://m.12365auto.com/bbs/postcontent.aspx?tID=193943")</f>
        <v>http://m.12365auto.com/bbs/postcontent.aspx?tID=193943</v>
      </c>
      <c r="G8544" s="2"/>
      <c r="H8544" s="2" t="s">
        <v>11594</v>
      </c>
      <c r="I8544" s="2" t="s">
        <v>15</v>
      </c>
      <c r="J8544" s="2" t="s">
        <v>2096</v>
      </c>
      <c r="K8544" s="2" t="s">
        <v>11595</v>
      </c>
      <c r="L8544" s="2">
        <f t="shared" si="133"/>
        <v>62</v>
      </c>
    </row>
    <row r="8545" spans="1:12" ht="25" customHeight="1">
      <c r="A8545" s="2" t="s">
        <v>12</v>
      </c>
      <c r="B8545" s="2" t="str">
        <f>HYPERLINK("http://m.12365auto.com/bbs/postcontent.aspx?tID=193942","宝马3电池电量不足怎么解决？")</f>
        <v>宝马3电池电量不足怎么解决？</v>
      </c>
      <c r="C8545" s="2" t="s">
        <v>13</v>
      </c>
      <c r="D8545" s="2" t="s">
        <v>23</v>
      </c>
      <c r="E8545" s="2"/>
      <c r="F8545" s="2" t="str">
        <f>HYPERLINK("http://m.12365auto.com/bbs/postcontent.aspx?tID=193942","http://m.12365auto.com/bbs/postcontent.aspx?tID=193942")</f>
        <v>http://m.12365auto.com/bbs/postcontent.aspx?tID=193942</v>
      </c>
      <c r="G8545" s="2"/>
      <c r="H8545" s="2" t="s">
        <v>11596</v>
      </c>
      <c r="I8545" s="2" t="s">
        <v>15</v>
      </c>
      <c r="J8545" s="2" t="s">
        <v>2103</v>
      </c>
      <c r="K8545" s="2" t="s">
        <v>11595</v>
      </c>
      <c r="L8545" s="2">
        <f t="shared" si="133"/>
        <v>150</v>
      </c>
    </row>
    <row r="8546" spans="1:12" ht="25" customHeight="1">
      <c r="A8546" s="2" t="s">
        <v>12</v>
      </c>
      <c r="B8546" s="2" t="str">
        <f>HYPERLINK("http://bbs.12365auto.com/postcontent.aspx?tID=193943","途胜升级后问题真的是太多了，怎么去处理")</f>
        <v>途胜升级后问题真的是太多了，怎么去处理</v>
      </c>
      <c r="C8546" s="2" t="s">
        <v>13</v>
      </c>
      <c r="D8546" s="2" t="s">
        <v>12</v>
      </c>
      <c r="E8546" s="2" t="s">
        <v>67</v>
      </c>
      <c r="F8546" s="2" t="str">
        <f>HYPERLINK("http://bbs.12365auto.com/postcontent.aspx?tID=193943","http://bbs.12365auto.com/postcontent.aspx?tID=193943")</f>
        <v>http://bbs.12365auto.com/postcontent.aspx?tID=193943</v>
      </c>
      <c r="G8546" s="2"/>
      <c r="H8546" s="2" t="s">
        <v>11597</v>
      </c>
      <c r="I8546" s="2" t="s">
        <v>15</v>
      </c>
      <c r="J8546" s="2" t="s">
        <v>2096</v>
      </c>
      <c r="K8546" s="2" t="s">
        <v>11595</v>
      </c>
      <c r="L8546" s="2">
        <f t="shared" si="133"/>
        <v>81</v>
      </c>
    </row>
    <row r="8547" spans="1:12" ht="25" customHeight="1">
      <c r="A8547" s="2" t="s">
        <v>12</v>
      </c>
      <c r="B8547" s="2" t="str">
        <f>HYPERLINK("http://bbs.12365auto.com/postcontent.aspx?tID=193942","宝马3电池电量不足怎么解决？")</f>
        <v>宝马3电池电量不足怎么解决？</v>
      </c>
      <c r="C8547" s="2" t="s">
        <v>13</v>
      </c>
      <c r="D8547" s="2" t="s">
        <v>12</v>
      </c>
      <c r="E8547" s="2" t="s">
        <v>67</v>
      </c>
      <c r="F8547" s="2" t="str">
        <f>HYPERLINK("http://bbs.12365auto.com/postcontent.aspx?tID=193942","http://bbs.12365auto.com/postcontent.aspx?tID=193942")</f>
        <v>http://bbs.12365auto.com/postcontent.aspx?tID=193942</v>
      </c>
      <c r="G8547" s="2"/>
      <c r="H8547" s="2" t="s">
        <v>11598</v>
      </c>
      <c r="I8547" s="2" t="s">
        <v>15</v>
      </c>
      <c r="J8547" s="2" t="s">
        <v>2103</v>
      </c>
      <c r="K8547" s="2" t="s">
        <v>11595</v>
      </c>
      <c r="L8547" s="2">
        <f t="shared" si="133"/>
        <v>150</v>
      </c>
    </row>
    <row r="8548" spans="1:12" ht="25" customHeight="1">
      <c r="A8548" s="2" t="s">
        <v>12</v>
      </c>
      <c r="B8548" s="2" t="str">
        <f>HYPERLINK("http://bbs.12365auto.com/postcontent.aspx?tId=193941","奇瑞的车门生锈是不是通病")</f>
        <v>奇瑞的车门生锈是不是通病</v>
      </c>
      <c r="C8548" s="2" t="s">
        <v>13</v>
      </c>
      <c r="D8548" s="2" t="s">
        <v>12</v>
      </c>
      <c r="E8548" s="2" t="s">
        <v>66</v>
      </c>
      <c r="F8548" s="2" t="str">
        <f>HYPERLINK("http://bbs.12365auto.com/postcontent.aspx?tId=193941","http://bbs.12365auto.com/postcontent.aspx?tId=193941")</f>
        <v>http://bbs.12365auto.com/postcontent.aspx?tId=193941</v>
      </c>
      <c r="G8548" s="2"/>
      <c r="H8548" s="2" t="s">
        <v>11599</v>
      </c>
      <c r="I8548" s="2" t="s">
        <v>15</v>
      </c>
      <c r="J8548" s="2" t="s">
        <v>2100</v>
      </c>
      <c r="K8548" s="2" t="s">
        <v>11600</v>
      </c>
      <c r="L8548" s="2">
        <f t="shared" si="133"/>
        <v>90</v>
      </c>
    </row>
    <row r="8549" spans="1:12" ht="25" customHeight="1">
      <c r="A8549" s="2" t="s">
        <v>12</v>
      </c>
      <c r="B8549" s="2" t="str">
        <f>HYPERLINK("http://m.12365auto.com/bbs/postcontent.aspx?tID=193941","奇瑞的车门生锈是不是通病")</f>
        <v>奇瑞的车门生锈是不是通病</v>
      </c>
      <c r="C8549" s="2" t="s">
        <v>13</v>
      </c>
      <c r="D8549" s="2" t="s">
        <v>23</v>
      </c>
      <c r="E8549" s="2"/>
      <c r="F8549" s="2" t="str">
        <f>HYPERLINK("http://m.12365auto.com/bbs/postcontent.aspx?tID=193941","http://m.12365auto.com/bbs/postcontent.aspx?tID=193941")</f>
        <v>http://m.12365auto.com/bbs/postcontent.aspx?tID=193941</v>
      </c>
      <c r="G8549" s="2"/>
      <c r="H8549" s="2" t="s">
        <v>11599</v>
      </c>
      <c r="I8549" s="2" t="s">
        <v>15</v>
      </c>
      <c r="J8549" s="2" t="s">
        <v>2100</v>
      </c>
      <c r="K8549" s="2" t="s">
        <v>11600</v>
      </c>
      <c r="L8549" s="2">
        <f t="shared" si="133"/>
        <v>90</v>
      </c>
    </row>
    <row r="8550" spans="1:12" ht="25" customHeight="1">
      <c r="A8550" s="2" t="s">
        <v>12</v>
      </c>
      <c r="B8550" s="2" t="str">
        <f>HYPERLINK("http://bbs.12365auto.com/postcontent.aspx?tID=193941","奇瑞的车门生锈是不是通病")</f>
        <v>奇瑞的车门生锈是不是通病</v>
      </c>
      <c r="C8550" s="2" t="s">
        <v>13</v>
      </c>
      <c r="D8550" s="2" t="s">
        <v>12</v>
      </c>
      <c r="E8550" s="2" t="s">
        <v>67</v>
      </c>
      <c r="F8550" s="2" t="str">
        <f>HYPERLINK("http://bbs.12365auto.com/postcontent.aspx?tID=193941","http://bbs.12365auto.com/postcontent.aspx?tID=193941")</f>
        <v>http://bbs.12365auto.com/postcontent.aspx?tID=193941</v>
      </c>
      <c r="G8550" s="2"/>
      <c r="H8550" s="2" t="s">
        <v>11601</v>
      </c>
      <c r="I8550" s="2" t="s">
        <v>15</v>
      </c>
      <c r="J8550" s="2" t="s">
        <v>2100</v>
      </c>
      <c r="K8550" s="2" t="s">
        <v>11600</v>
      </c>
      <c r="L8550" s="2">
        <f t="shared" si="133"/>
        <v>102</v>
      </c>
    </row>
    <row r="8551" spans="1:12" ht="25" customHeight="1">
      <c r="A8551" s="2" t="s">
        <v>12</v>
      </c>
      <c r="B8551" s="2" t="str">
        <f>HYPERLINK("http://bbs.12365auto.com/postcontent.aspx?tId=193940","哈弗的问题真的是太普遍了")</f>
        <v>哈弗的问题真的是太普遍了</v>
      </c>
      <c r="C8551" s="2" t="s">
        <v>13</v>
      </c>
      <c r="D8551" s="2" t="s">
        <v>12</v>
      </c>
      <c r="E8551" s="2" t="s">
        <v>66</v>
      </c>
      <c r="F8551" s="2" t="str">
        <f>HYPERLINK("http://bbs.12365auto.com/postcontent.aspx?tId=193940","http://bbs.12365auto.com/postcontent.aspx?tId=193940")</f>
        <v>http://bbs.12365auto.com/postcontent.aspx?tId=193940</v>
      </c>
      <c r="G8551" s="2"/>
      <c r="H8551" s="2" t="s">
        <v>11602</v>
      </c>
      <c r="I8551" s="2" t="s">
        <v>15</v>
      </c>
      <c r="J8551" s="2" t="s">
        <v>2107</v>
      </c>
      <c r="K8551" s="2" t="s">
        <v>11603</v>
      </c>
      <c r="L8551" s="2">
        <f t="shared" si="133"/>
        <v>80</v>
      </c>
    </row>
    <row r="8552" spans="1:12" ht="25" customHeight="1">
      <c r="A8552" s="2" t="s">
        <v>12</v>
      </c>
      <c r="B8552" s="2" t="str">
        <f>HYPERLINK("http://bbs.12365auto.com/postcontent.aspx?tId=193939","发动机渗油可以将问题解决吗？")</f>
        <v>发动机渗油可以将问题解决吗？</v>
      </c>
      <c r="C8552" s="2" t="s">
        <v>13</v>
      </c>
      <c r="D8552" s="2" t="s">
        <v>12</v>
      </c>
      <c r="E8552" s="2" t="s">
        <v>66</v>
      </c>
      <c r="F8552" s="2" t="str">
        <f>HYPERLINK("http://bbs.12365auto.com/postcontent.aspx?tId=193939","http://bbs.12365auto.com/postcontent.aspx?tId=193939")</f>
        <v>http://bbs.12365auto.com/postcontent.aspx?tId=193939</v>
      </c>
      <c r="G8552" s="2"/>
      <c r="H8552" s="2" t="s">
        <v>11604</v>
      </c>
      <c r="I8552" s="2" t="s">
        <v>15</v>
      </c>
      <c r="J8552" s="2" t="s">
        <v>2113</v>
      </c>
      <c r="K8552" s="2" t="s">
        <v>11603</v>
      </c>
      <c r="L8552" s="2">
        <f t="shared" si="133"/>
        <v>101</v>
      </c>
    </row>
    <row r="8553" spans="1:12" ht="25" customHeight="1">
      <c r="A8553" s="2" t="s">
        <v>12</v>
      </c>
      <c r="B8553" s="2" t="str">
        <f>HYPERLINK("http://m.12365auto.com/bbs/postcontent.aspx?tID=193940&amp;i=1","哈弗的问题真的是太普遍了")</f>
        <v>哈弗的问题真的是太普遍了</v>
      </c>
      <c r="C8553" s="2" t="s">
        <v>13</v>
      </c>
      <c r="D8553" s="2" t="s">
        <v>23</v>
      </c>
      <c r="E8553" s="2"/>
      <c r="F8553" s="2" t="str">
        <f>HYPERLINK("http://m.12365auto.com/bbs/postcontent.aspx?tID=193940&amp;i=1","http://m.12365auto.com/bbs/postcontent.aspx?tID=193940&amp;i=1")</f>
        <v>http://m.12365auto.com/bbs/postcontent.aspx?tID=193940&amp;i=1</v>
      </c>
      <c r="G8553" s="2"/>
      <c r="H8553" s="2" t="s">
        <v>11602</v>
      </c>
      <c r="I8553" s="2" t="s">
        <v>15</v>
      </c>
      <c r="J8553" s="2" t="s">
        <v>2107</v>
      </c>
      <c r="K8553" s="2" t="s">
        <v>11603</v>
      </c>
      <c r="L8553" s="2">
        <f t="shared" si="133"/>
        <v>80</v>
      </c>
    </row>
    <row r="8554" spans="1:12" ht="25" customHeight="1">
      <c r="A8554" s="2" t="s">
        <v>12</v>
      </c>
      <c r="B8554" s="2" t="str">
        <f>HYPERLINK("http://m.12365auto.com/bbs/postcontent.aspx?tID=193940","哈弗的问题真的是太普遍了")</f>
        <v>哈弗的问题真的是太普遍了</v>
      </c>
      <c r="C8554" s="2" t="s">
        <v>13</v>
      </c>
      <c r="D8554" s="2" t="s">
        <v>23</v>
      </c>
      <c r="E8554" s="2"/>
      <c r="F8554" s="2" t="str">
        <f>HYPERLINK("http://m.12365auto.com/bbs/postcontent.aspx?tID=193940","http://m.12365auto.com/bbs/postcontent.aspx?tID=193940")</f>
        <v>http://m.12365auto.com/bbs/postcontent.aspx?tID=193940</v>
      </c>
      <c r="G8554" s="2"/>
      <c r="H8554" s="2" t="s">
        <v>11602</v>
      </c>
      <c r="I8554" s="2" t="s">
        <v>15</v>
      </c>
      <c r="J8554" s="2" t="s">
        <v>2107</v>
      </c>
      <c r="K8554" s="2" t="s">
        <v>11603</v>
      </c>
      <c r="L8554" s="2">
        <f t="shared" si="133"/>
        <v>80</v>
      </c>
    </row>
    <row r="8555" spans="1:12" ht="25" customHeight="1">
      <c r="A8555" s="2" t="s">
        <v>12</v>
      </c>
      <c r="B8555" s="2" t="str">
        <f>HYPERLINK("http://m.12365auto.com/bbs/postcontent.aspx?tID=193939","发动机渗油可以将问题解决吗？")</f>
        <v>发动机渗油可以将问题解决吗？</v>
      </c>
      <c r="C8555" s="2" t="s">
        <v>13</v>
      </c>
      <c r="D8555" s="2" t="s">
        <v>23</v>
      </c>
      <c r="E8555" s="2"/>
      <c r="F8555" s="2" t="str">
        <f>HYPERLINK("http://m.12365auto.com/bbs/postcontent.aspx?tID=193939","http://m.12365auto.com/bbs/postcontent.aspx?tID=193939")</f>
        <v>http://m.12365auto.com/bbs/postcontent.aspx?tID=193939</v>
      </c>
      <c r="G8555" s="2"/>
      <c r="H8555" s="2" t="s">
        <v>11604</v>
      </c>
      <c r="I8555" s="2" t="s">
        <v>15</v>
      </c>
      <c r="J8555" s="2" t="s">
        <v>2113</v>
      </c>
      <c r="K8555" s="2" t="s">
        <v>11603</v>
      </c>
      <c r="L8555" s="2">
        <f t="shared" si="133"/>
        <v>101</v>
      </c>
    </row>
    <row r="8556" spans="1:12" ht="25" customHeight="1">
      <c r="A8556" s="2" t="s">
        <v>12</v>
      </c>
      <c r="B8556" s="2" t="str">
        <f>HYPERLINK("http://bbs.12365auto.com/postcontent.aspx?tID=193940","哈弗的问题真的是太普遍了")</f>
        <v>哈弗的问题真的是太普遍了</v>
      </c>
      <c r="C8556" s="2" t="s">
        <v>13</v>
      </c>
      <c r="D8556" s="2" t="s">
        <v>12</v>
      </c>
      <c r="E8556" s="2" t="s">
        <v>67</v>
      </c>
      <c r="F8556" s="2" t="str">
        <f>HYPERLINK("http://bbs.12365auto.com/postcontent.aspx?tID=193940","http://bbs.12365auto.com/postcontent.aspx?tID=193940")</f>
        <v>http://bbs.12365auto.com/postcontent.aspx?tID=193940</v>
      </c>
      <c r="G8556" s="2"/>
      <c r="H8556" s="2" t="s">
        <v>11605</v>
      </c>
      <c r="I8556" s="2" t="s">
        <v>15</v>
      </c>
      <c r="J8556" s="2" t="s">
        <v>2107</v>
      </c>
      <c r="K8556" s="2" t="s">
        <v>11603</v>
      </c>
      <c r="L8556" s="2">
        <f t="shared" si="133"/>
        <v>92</v>
      </c>
    </row>
    <row r="8557" spans="1:12" ht="25" customHeight="1">
      <c r="A8557" s="2" t="s">
        <v>12</v>
      </c>
      <c r="B8557" s="2" t="str">
        <f>HYPERLINK("http://m.12365auto.com/xcdg/20200213/418392.shtml","造型犀利 曝路特斯Elise Cup250特别版官图")</f>
        <v>造型犀利 曝路特斯Elise Cup250特别版官图</v>
      </c>
      <c r="C8557" s="2" t="s">
        <v>13</v>
      </c>
      <c r="D8557" s="2" t="s">
        <v>12</v>
      </c>
      <c r="E8557" s="2"/>
      <c r="F8557" s="2" t="str">
        <f>HYPERLINK("http://m.12365auto.com/xcdg/20200213/418392.shtml","http://m.12365auto.com/xcdg/20200213/418392.shtml")</f>
        <v>http://m.12365auto.com/xcdg/20200213/418392.shtml</v>
      </c>
      <c r="G8557" s="2"/>
      <c r="H8557" s="2" t="s">
        <v>11606</v>
      </c>
      <c r="I8557" s="2" t="s">
        <v>19</v>
      </c>
      <c r="J8557" s="2" t="s">
        <v>1326</v>
      </c>
      <c r="K8557" s="2" t="s">
        <v>11603</v>
      </c>
      <c r="L8557" s="2">
        <f t="shared" si="133"/>
        <v>150</v>
      </c>
    </row>
    <row r="8558" spans="1:12" ht="25" customHeight="1">
      <c r="A8558" s="2" t="s">
        <v>12</v>
      </c>
      <c r="B8558" s="2" t="str">
        <f>HYPERLINK("http://www.12365auto.com/xcdg/20200213/418392.shtml","造型犀利 曝路特斯Elise Cup250特别版官图")</f>
        <v>造型犀利 曝路特斯Elise Cup250特别版官图</v>
      </c>
      <c r="C8558" s="2" t="s">
        <v>13</v>
      </c>
      <c r="D8558" s="2" t="s">
        <v>12</v>
      </c>
      <c r="E8558" s="2" t="s">
        <v>216</v>
      </c>
      <c r="F8558" s="2" t="str">
        <f>HYPERLINK("http://www.12365auto.com/xcdg/20200213/418392.shtml","http://www.12365auto.com/xcdg/20200213/418392.shtml")</f>
        <v>http://www.12365auto.com/xcdg/20200213/418392.shtml</v>
      </c>
      <c r="G8558" s="2"/>
      <c r="H8558" s="2" t="s">
        <v>11607</v>
      </c>
      <c r="I8558" s="2" t="s">
        <v>15</v>
      </c>
      <c r="J8558" s="2" t="s">
        <v>12</v>
      </c>
      <c r="K8558" s="2" t="s">
        <v>11603</v>
      </c>
      <c r="L8558" s="2">
        <f t="shared" si="133"/>
        <v>150</v>
      </c>
    </row>
    <row r="8559" spans="1:12" ht="25" customHeight="1">
      <c r="A8559" s="2" t="s">
        <v>12</v>
      </c>
      <c r="B8559" s="2" t="str">
        <f>HYPERLINK("http://bbs.12365auto.com/postcontent.aspx?tID=193939","发动机渗油可以将问题解决吗？")</f>
        <v>发动机渗油可以将问题解决吗？</v>
      </c>
      <c r="C8559" s="2" t="s">
        <v>13</v>
      </c>
      <c r="D8559" s="2" t="s">
        <v>12</v>
      </c>
      <c r="E8559" s="2" t="s">
        <v>67</v>
      </c>
      <c r="F8559" s="2" t="str">
        <f>HYPERLINK("http://bbs.12365auto.com/postcontent.aspx?tID=193939","http://bbs.12365auto.com/postcontent.aspx?tID=193939")</f>
        <v>http://bbs.12365auto.com/postcontent.aspx?tID=193939</v>
      </c>
      <c r="G8559" s="2"/>
      <c r="H8559" s="2" t="s">
        <v>11608</v>
      </c>
      <c r="I8559" s="2" t="s">
        <v>15</v>
      </c>
      <c r="J8559" s="2" t="s">
        <v>2113</v>
      </c>
      <c r="K8559" s="2" t="s">
        <v>11603</v>
      </c>
      <c r="L8559" s="2">
        <f t="shared" si="133"/>
        <v>115</v>
      </c>
    </row>
    <row r="8560" spans="1:12" ht="25" customHeight="1">
      <c r="A8560" s="2" t="s">
        <v>12</v>
      </c>
      <c r="B8560" s="2" t="str">
        <f>HYPERLINK("http://bbs.12365auto.com/postcontent.aspx?tId=193938","VTC执行器的问题吗？")</f>
        <v>VTC执行器的问题吗？</v>
      </c>
      <c r="C8560" s="2" t="s">
        <v>13</v>
      </c>
      <c r="D8560" s="2" t="s">
        <v>12</v>
      </c>
      <c r="E8560" s="2" t="s">
        <v>66</v>
      </c>
      <c r="F8560" s="2" t="str">
        <f>HYPERLINK("http://bbs.12365auto.com/postcontent.aspx?tId=193938","http://bbs.12365auto.com/postcontent.aspx?tId=193938")</f>
        <v>http://bbs.12365auto.com/postcontent.aspx?tId=193938</v>
      </c>
      <c r="G8560" s="2"/>
      <c r="H8560" s="2" t="s">
        <v>11609</v>
      </c>
      <c r="I8560" s="2" t="s">
        <v>15</v>
      </c>
      <c r="J8560" s="2" t="s">
        <v>2116</v>
      </c>
      <c r="K8560" s="2" t="s">
        <v>11610</v>
      </c>
      <c r="L8560" s="2">
        <f t="shared" si="133"/>
        <v>150</v>
      </c>
    </row>
    <row r="8561" spans="1:12" ht="25" customHeight="1">
      <c r="A8561" s="2" t="s">
        <v>12</v>
      </c>
      <c r="B8561" s="2" t="str">
        <f>HYPERLINK("http://m.12365auto.com/bbs/postcontent.aspx?tID=193938","VTC执行器的问题吗？")</f>
        <v>VTC执行器的问题吗？</v>
      </c>
      <c r="C8561" s="2" t="s">
        <v>13</v>
      </c>
      <c r="D8561" s="2" t="s">
        <v>23</v>
      </c>
      <c r="E8561" s="2"/>
      <c r="F8561" s="2" t="str">
        <f>HYPERLINK("http://m.12365auto.com/bbs/postcontent.aspx?tID=193938","http://m.12365auto.com/bbs/postcontent.aspx?tID=193938")</f>
        <v>http://m.12365auto.com/bbs/postcontent.aspx?tID=193938</v>
      </c>
      <c r="G8561" s="2"/>
      <c r="H8561" s="2" t="s">
        <v>11609</v>
      </c>
      <c r="I8561" s="2" t="s">
        <v>15</v>
      </c>
      <c r="J8561" s="2" t="s">
        <v>2116</v>
      </c>
      <c r="K8561" s="2" t="s">
        <v>11610</v>
      </c>
      <c r="L8561" s="2">
        <f t="shared" si="133"/>
        <v>150</v>
      </c>
    </row>
    <row r="8562" spans="1:12" ht="25" customHeight="1">
      <c r="A8562" s="2" t="s">
        <v>12</v>
      </c>
      <c r="B8562" s="2" t="str">
        <f>HYPERLINK("http://bbs.12365auto.com/postcontent.aspx?tID=193938","VTC执行器的问题吗？")</f>
        <v>VTC执行器的问题吗？</v>
      </c>
      <c r="C8562" s="2" t="s">
        <v>13</v>
      </c>
      <c r="D8562" s="2" t="s">
        <v>12</v>
      </c>
      <c r="E8562" s="2" t="s">
        <v>67</v>
      </c>
      <c r="F8562" s="2" t="str">
        <f>HYPERLINK("http://bbs.12365auto.com/postcontent.aspx?tID=193938","http://bbs.12365auto.com/postcontent.aspx?tID=193938")</f>
        <v>http://bbs.12365auto.com/postcontent.aspx?tID=193938</v>
      </c>
      <c r="G8562" s="2"/>
      <c r="H8562" s="2" t="s">
        <v>11611</v>
      </c>
      <c r="I8562" s="2" t="s">
        <v>15</v>
      </c>
      <c r="J8562" s="2" t="s">
        <v>2116</v>
      </c>
      <c r="K8562" s="2" t="s">
        <v>11610</v>
      </c>
      <c r="L8562" s="2">
        <f t="shared" si="133"/>
        <v>150</v>
      </c>
    </row>
    <row r="8563" spans="1:12" ht="25" customHeight="1">
      <c r="A8563" s="2" t="s">
        <v>12</v>
      </c>
      <c r="B8563" s="2" t="str">
        <f>HYPERLINK("http://bbs.12365auto.com/postcontent.aspx?tId=193936","变速箱的问题真的是太多了吉利问题太多")</f>
        <v>变速箱的问题真的是太多了吉利问题太多</v>
      </c>
      <c r="C8563" s="2" t="s">
        <v>13</v>
      </c>
      <c r="D8563" s="2" t="s">
        <v>12</v>
      </c>
      <c r="E8563" s="2" t="s">
        <v>66</v>
      </c>
      <c r="F8563" s="2" t="str">
        <f>HYPERLINK("http://bbs.12365auto.com/postcontent.aspx?tId=193936","http://bbs.12365auto.com/postcontent.aspx?tId=193936")</f>
        <v>http://bbs.12365auto.com/postcontent.aspx?tId=193936</v>
      </c>
      <c r="G8563" s="2"/>
      <c r="H8563" s="2" t="s">
        <v>11612</v>
      </c>
      <c r="I8563" s="2" t="s">
        <v>15</v>
      </c>
      <c r="J8563" s="2" t="s">
        <v>2124</v>
      </c>
      <c r="K8563" s="2" t="s">
        <v>11613</v>
      </c>
      <c r="L8563" s="2">
        <f t="shared" si="133"/>
        <v>150</v>
      </c>
    </row>
    <row r="8564" spans="1:12" ht="25" customHeight="1">
      <c r="A8564" s="2" t="s">
        <v>12</v>
      </c>
      <c r="B8564" s="2" t="str">
        <f>HYPERLINK("http://bbs.12365auto.com/postcontent.aspx?tId=193937","轮胎爆胎倍耐力真的是不行吗？")</f>
        <v>轮胎爆胎倍耐力真的是不行吗？</v>
      </c>
      <c r="C8564" s="2" t="s">
        <v>13</v>
      </c>
      <c r="D8564" s="2" t="s">
        <v>12</v>
      </c>
      <c r="E8564" s="2" t="s">
        <v>66</v>
      </c>
      <c r="F8564" s="2" t="str">
        <f>HYPERLINK("http://bbs.12365auto.com/postcontent.aspx?tId=193937","http://bbs.12365auto.com/postcontent.aspx?tId=193937")</f>
        <v>http://bbs.12365auto.com/postcontent.aspx?tId=193937</v>
      </c>
      <c r="G8564" s="2"/>
      <c r="H8564" s="2" t="s">
        <v>11614</v>
      </c>
      <c r="I8564" s="2" t="s">
        <v>15</v>
      </c>
      <c r="J8564" s="2" t="s">
        <v>2120</v>
      </c>
      <c r="K8564" s="2" t="s">
        <v>11613</v>
      </c>
      <c r="L8564" s="2">
        <f t="shared" si="133"/>
        <v>97</v>
      </c>
    </row>
    <row r="8565" spans="1:12" ht="25" customHeight="1">
      <c r="A8565" s="2" t="s">
        <v>12</v>
      </c>
      <c r="B8565" s="2" t="str">
        <f>HYPERLINK("http://m.12365auto.com/bbs/postcontent.aspx?tID=193936","变速箱的问题真的是太多了吉利问题太多")</f>
        <v>变速箱的问题真的是太多了吉利问题太多</v>
      </c>
      <c r="C8565" s="2" t="s">
        <v>13</v>
      </c>
      <c r="D8565" s="2" t="s">
        <v>23</v>
      </c>
      <c r="E8565" s="2"/>
      <c r="F8565" s="2" t="str">
        <f>HYPERLINK("http://m.12365auto.com/bbs/postcontent.aspx?tID=193936","http://m.12365auto.com/bbs/postcontent.aspx?tID=193936")</f>
        <v>http://m.12365auto.com/bbs/postcontent.aspx?tID=193936</v>
      </c>
      <c r="G8565" s="2"/>
      <c r="H8565" s="2" t="s">
        <v>11612</v>
      </c>
      <c r="I8565" s="2" t="s">
        <v>15</v>
      </c>
      <c r="J8565" s="2" t="s">
        <v>2124</v>
      </c>
      <c r="K8565" s="2" t="s">
        <v>11613</v>
      </c>
      <c r="L8565" s="2">
        <f t="shared" si="133"/>
        <v>150</v>
      </c>
    </row>
    <row r="8566" spans="1:12" ht="25" customHeight="1">
      <c r="A8566" s="2" t="s">
        <v>12</v>
      </c>
      <c r="B8566" s="2" t="str">
        <f>HYPERLINK("http://m.12365auto.com/bbs/postcontent.aspx?tID=193937","轮胎爆胎倍耐力真的是不行吗？")</f>
        <v>轮胎爆胎倍耐力真的是不行吗？</v>
      </c>
      <c r="C8566" s="2" t="s">
        <v>13</v>
      </c>
      <c r="D8566" s="2" t="s">
        <v>23</v>
      </c>
      <c r="E8566" s="2"/>
      <c r="F8566" s="2" t="str">
        <f>HYPERLINK("http://m.12365auto.com/bbs/postcontent.aspx?tID=193937","http://m.12365auto.com/bbs/postcontent.aspx?tID=193937")</f>
        <v>http://m.12365auto.com/bbs/postcontent.aspx?tID=193937</v>
      </c>
      <c r="G8566" s="2"/>
      <c r="H8566" s="2" t="s">
        <v>11614</v>
      </c>
      <c r="I8566" s="2" t="s">
        <v>15</v>
      </c>
      <c r="J8566" s="2" t="s">
        <v>2120</v>
      </c>
      <c r="K8566" s="2" t="s">
        <v>11613</v>
      </c>
      <c r="L8566" s="2">
        <f t="shared" si="133"/>
        <v>97</v>
      </c>
    </row>
    <row r="8567" spans="1:12" ht="25" customHeight="1">
      <c r="A8567" s="2" t="s">
        <v>12</v>
      </c>
      <c r="B8567" s="2" t="str">
        <f>HYPERLINK("http://bbs.12365auto.com/postcontent.aspx?tID=193936","变速箱的问题真的是太多了吉利问题太多")</f>
        <v>变速箱的问题真的是太多了吉利问题太多</v>
      </c>
      <c r="C8567" s="2" t="s">
        <v>13</v>
      </c>
      <c r="D8567" s="2" t="s">
        <v>12</v>
      </c>
      <c r="E8567" s="2" t="s">
        <v>67</v>
      </c>
      <c r="F8567" s="2" t="str">
        <f>HYPERLINK("http://bbs.12365auto.com/postcontent.aspx?tID=193936","http://bbs.12365auto.com/postcontent.aspx?tID=193936")</f>
        <v>http://bbs.12365auto.com/postcontent.aspx?tID=193936</v>
      </c>
      <c r="G8567" s="2"/>
      <c r="H8567" s="2" t="s">
        <v>11615</v>
      </c>
      <c r="I8567" s="2" t="s">
        <v>15</v>
      </c>
      <c r="J8567" s="2" t="s">
        <v>2124</v>
      </c>
      <c r="K8567" s="2" t="s">
        <v>11613</v>
      </c>
      <c r="L8567" s="2">
        <f t="shared" si="133"/>
        <v>150</v>
      </c>
    </row>
    <row r="8568" spans="1:12" ht="25" customHeight="1">
      <c r="A8568" s="2" t="s">
        <v>12</v>
      </c>
      <c r="B8568" s="2" t="str">
        <f>HYPERLINK("http://bbs.12365auto.com/postcontent.aspx?tID=193937","轮胎爆胎倍耐力真的是不行吗？")</f>
        <v>轮胎爆胎倍耐力真的是不行吗？</v>
      </c>
      <c r="C8568" s="2" t="s">
        <v>13</v>
      </c>
      <c r="D8568" s="2" t="s">
        <v>12</v>
      </c>
      <c r="E8568" s="2" t="s">
        <v>67</v>
      </c>
      <c r="F8568" s="2" t="str">
        <f>HYPERLINK("http://bbs.12365auto.com/postcontent.aspx?tID=193937","http://bbs.12365auto.com/postcontent.aspx?tID=193937")</f>
        <v>http://bbs.12365auto.com/postcontent.aspx?tID=193937</v>
      </c>
      <c r="G8568" s="2"/>
      <c r="H8568" s="2" t="s">
        <v>11616</v>
      </c>
      <c r="I8568" s="2" t="s">
        <v>15</v>
      </c>
      <c r="J8568" s="2" t="s">
        <v>2120</v>
      </c>
      <c r="K8568" s="2" t="s">
        <v>11613</v>
      </c>
      <c r="L8568" s="2">
        <f t="shared" si="133"/>
        <v>111</v>
      </c>
    </row>
    <row r="8569" spans="1:12" ht="25" customHeight="1">
      <c r="A8569" s="2" t="s">
        <v>12</v>
      </c>
      <c r="B8569" s="2" t="str">
        <f>HYPERLINK("http://bbs.12365auto.com/postcontent.aspx?tId=193935","轮胎磨损是什么原因？")</f>
        <v>轮胎磨损是什么原因？</v>
      </c>
      <c r="C8569" s="2" t="s">
        <v>13</v>
      </c>
      <c r="D8569" s="2" t="s">
        <v>12</v>
      </c>
      <c r="E8569" s="2" t="s">
        <v>66</v>
      </c>
      <c r="F8569" s="2" t="str">
        <f>HYPERLINK("http://bbs.12365auto.com/postcontent.aspx?tId=193935","http://bbs.12365auto.com/postcontent.aspx?tId=193935")</f>
        <v>http://bbs.12365auto.com/postcontent.aspx?tId=193935</v>
      </c>
      <c r="G8569" s="2"/>
      <c r="H8569" s="2" t="s">
        <v>11617</v>
      </c>
      <c r="I8569" s="2" t="s">
        <v>15</v>
      </c>
      <c r="J8569" s="2" t="s">
        <v>2128</v>
      </c>
      <c r="K8569" s="2" t="s">
        <v>11618</v>
      </c>
      <c r="L8569" s="2">
        <f t="shared" si="133"/>
        <v>72</v>
      </c>
    </row>
    <row r="8570" spans="1:12" ht="25" customHeight="1">
      <c r="A8570" s="2" t="s">
        <v>12</v>
      </c>
      <c r="B8570" s="2" t="str">
        <f>HYPERLINK("http://m.12365auto.com/bbs/postcontent.aspx?tID=193935","轮胎磨损是什么原因？")</f>
        <v>轮胎磨损是什么原因？</v>
      </c>
      <c r="C8570" s="2" t="s">
        <v>13</v>
      </c>
      <c r="D8570" s="2" t="s">
        <v>23</v>
      </c>
      <c r="E8570" s="2"/>
      <c r="F8570" s="2" t="str">
        <f>HYPERLINK("http://m.12365auto.com/bbs/postcontent.aspx?tID=193935","http://m.12365auto.com/bbs/postcontent.aspx?tID=193935")</f>
        <v>http://m.12365auto.com/bbs/postcontent.aspx?tID=193935</v>
      </c>
      <c r="G8570" s="2"/>
      <c r="H8570" s="2" t="s">
        <v>11617</v>
      </c>
      <c r="I8570" s="2" t="s">
        <v>15</v>
      </c>
      <c r="J8570" s="2" t="s">
        <v>2128</v>
      </c>
      <c r="K8570" s="2" t="s">
        <v>11618</v>
      </c>
      <c r="L8570" s="2">
        <f t="shared" si="133"/>
        <v>72</v>
      </c>
    </row>
    <row r="8571" spans="1:12" ht="25" customHeight="1">
      <c r="A8571" s="2" t="s">
        <v>12</v>
      </c>
      <c r="B8571" s="2" t="str">
        <f>HYPERLINK("http://bbs.12365auto.com/postcontent.aspx?tID=193935","轮胎磨损是什么原因？")</f>
        <v>轮胎磨损是什么原因？</v>
      </c>
      <c r="C8571" s="2" t="s">
        <v>13</v>
      </c>
      <c r="D8571" s="2" t="s">
        <v>12</v>
      </c>
      <c r="E8571" s="2" t="s">
        <v>67</v>
      </c>
      <c r="F8571" s="2" t="str">
        <f>HYPERLINK("http://bbs.12365auto.com/postcontent.aspx?tID=193935","http://bbs.12365auto.com/postcontent.aspx?tID=193935")</f>
        <v>http://bbs.12365auto.com/postcontent.aspx?tID=193935</v>
      </c>
      <c r="G8571" s="2"/>
      <c r="H8571" s="2" t="s">
        <v>11619</v>
      </c>
      <c r="I8571" s="2" t="s">
        <v>15</v>
      </c>
      <c r="J8571" s="2" t="s">
        <v>2128</v>
      </c>
      <c r="K8571" s="2" t="s">
        <v>11618</v>
      </c>
      <c r="L8571" s="2">
        <f t="shared" si="133"/>
        <v>82</v>
      </c>
    </row>
    <row r="8572" spans="1:12" ht="25" customHeight="1">
      <c r="A8572" s="2" t="s">
        <v>12</v>
      </c>
      <c r="B8572" s="2" t="str">
        <f>HYPERLINK("http://m.12365auto.com/zjdy/20200212/121210.shtml","雪铁龙C4L一键启动故障应该怎么办？")</f>
        <v>雪铁龙C4L一键启动故障应该怎么办？</v>
      </c>
      <c r="C8572" s="2" t="s">
        <v>13</v>
      </c>
      <c r="D8572" s="2" t="s">
        <v>12</v>
      </c>
      <c r="E8572" s="2"/>
      <c r="F8572" s="2" t="str">
        <f>HYPERLINK("http://m.12365auto.com/zjdy/20200212/121210.shtml","http://m.12365auto.com/zjdy/20200212/121210.shtml")</f>
        <v>http://m.12365auto.com/zjdy/20200212/121210.shtml</v>
      </c>
      <c r="G8572" s="2"/>
      <c r="H8572" s="2" t="s">
        <v>11620</v>
      </c>
      <c r="I8572" s="2" t="s">
        <v>19</v>
      </c>
      <c r="J8572" s="2" t="s">
        <v>12</v>
      </c>
      <c r="K8572" s="2" t="s">
        <v>11621</v>
      </c>
      <c r="L8572" s="2">
        <f t="shared" si="133"/>
        <v>37</v>
      </c>
    </row>
    <row r="8573" spans="1:12" ht="25" customHeight="1">
      <c r="A8573" s="2" t="s">
        <v>12</v>
      </c>
      <c r="B8573" s="2" t="str">
        <f>HYPERLINK("http://m.12365auto.com/zjdy/20200212/121211.shtml","2020款2.0T哈弗H6油耗大概是多少？")</f>
        <v>2020款2.0T哈弗H6油耗大概是多少？</v>
      </c>
      <c r="C8573" s="2" t="s">
        <v>13</v>
      </c>
      <c r="D8573" s="2" t="s">
        <v>12</v>
      </c>
      <c r="E8573" s="2"/>
      <c r="F8573" s="2" t="str">
        <f>HYPERLINK("http://m.12365auto.com/zjdy/20200212/121211.shtml","http://m.12365auto.com/zjdy/20200212/121211.shtml")</f>
        <v>http://m.12365auto.com/zjdy/20200212/121211.shtml</v>
      </c>
      <c r="G8573" s="2"/>
      <c r="H8573" s="2" t="s">
        <v>11622</v>
      </c>
      <c r="I8573" s="2" t="s">
        <v>19</v>
      </c>
      <c r="J8573" s="2" t="s">
        <v>12</v>
      </c>
      <c r="K8573" s="2" t="s">
        <v>11621</v>
      </c>
      <c r="L8573" s="2">
        <f t="shared" si="133"/>
        <v>28</v>
      </c>
    </row>
    <row r="8574" spans="1:12" ht="25" customHeight="1">
      <c r="A8574" s="2" t="s">
        <v>12</v>
      </c>
      <c r="B8574" s="2" t="str">
        <f>HYPERLINK("http://m.12365auto.com/zjdy/20200212/121209.shtml","丰田RAV4四驱系统无法转换到两驱怎么办？")</f>
        <v>丰田RAV4四驱系统无法转换到两驱怎么办？</v>
      </c>
      <c r="C8574" s="2" t="s">
        <v>13</v>
      </c>
      <c r="D8574" s="2" t="s">
        <v>12</v>
      </c>
      <c r="E8574" s="2"/>
      <c r="F8574" s="2" t="str">
        <f>HYPERLINK("http://m.12365auto.com/zjdy/20200212/121209.shtml","http://m.12365auto.com/zjdy/20200212/121209.shtml")</f>
        <v>http://m.12365auto.com/zjdy/20200212/121209.shtml</v>
      </c>
      <c r="G8574" s="2"/>
      <c r="H8574" s="2" t="s">
        <v>11623</v>
      </c>
      <c r="I8574" s="2" t="s">
        <v>19</v>
      </c>
      <c r="J8574" s="2" t="s">
        <v>12</v>
      </c>
      <c r="K8574" s="2" t="s">
        <v>11624</v>
      </c>
      <c r="L8574" s="2">
        <f t="shared" si="133"/>
        <v>20</v>
      </c>
    </row>
    <row r="8575" spans="1:12" ht="25" customHeight="1">
      <c r="A8575" s="2" t="s">
        <v>12</v>
      </c>
      <c r="B8575" s="2" t="str">
        <f>HYPERLINK("http://m.12365auto.com/zjdy/20200212/121208.shtml","奥迪A6L变速箱质量如何是否值得购买？")</f>
        <v>奥迪A6L变速箱质量如何是否值得购买？</v>
      </c>
      <c r="C8575" s="2" t="s">
        <v>13</v>
      </c>
      <c r="D8575" s="2" t="s">
        <v>12</v>
      </c>
      <c r="E8575" s="2"/>
      <c r="F8575" s="2" t="str">
        <f>HYPERLINK("http://m.12365auto.com/zjdy/20200212/121208.shtml","http://m.12365auto.com/zjdy/20200212/121208.shtml")</f>
        <v>http://m.12365auto.com/zjdy/20200212/121208.shtml</v>
      </c>
      <c r="G8575" s="2"/>
      <c r="H8575" s="2" t="s">
        <v>11625</v>
      </c>
      <c r="I8575" s="2" t="s">
        <v>19</v>
      </c>
      <c r="J8575" s="2" t="s">
        <v>12</v>
      </c>
      <c r="K8575" s="2" t="s">
        <v>11626</v>
      </c>
      <c r="L8575" s="2">
        <f t="shared" si="133"/>
        <v>38</v>
      </c>
    </row>
    <row r="8576" spans="1:12" ht="25" customHeight="1">
      <c r="A8576" s="2" t="s">
        <v>12</v>
      </c>
      <c r="B8576" s="2" t="str">
        <f>HYPERLINK("http://m.12365auto.com/zjdy/20200212/121212.shtml","雪佛兰科鲁泽平均油耗大概是多少？")</f>
        <v>雪佛兰科鲁泽平均油耗大概是多少？</v>
      </c>
      <c r="C8576" s="2" t="s">
        <v>13</v>
      </c>
      <c r="D8576" s="2" t="s">
        <v>12</v>
      </c>
      <c r="E8576" s="2"/>
      <c r="F8576" s="2" t="str">
        <f>HYPERLINK("http://m.12365auto.com/zjdy/20200212/121212.shtml","http://m.12365auto.com/zjdy/20200212/121212.shtml")</f>
        <v>http://m.12365auto.com/zjdy/20200212/121212.shtml</v>
      </c>
      <c r="G8576" s="2"/>
      <c r="H8576" s="2" t="s">
        <v>11627</v>
      </c>
      <c r="I8576" s="2" t="s">
        <v>19</v>
      </c>
      <c r="J8576" s="2" t="s">
        <v>12</v>
      </c>
      <c r="K8576" s="2" t="s">
        <v>11628</v>
      </c>
      <c r="L8576" s="2">
        <f t="shared" si="133"/>
        <v>49</v>
      </c>
    </row>
    <row r="8577" spans="1:12" ht="25" customHeight="1">
      <c r="A8577" s="2" t="s">
        <v>12</v>
      </c>
      <c r="B8577" s="2" t="str">
        <f>HYPERLINK("http://m.12365auto.com/zjdy/20200212/121213.shtml","预算10万以内哪款国产车值得购买？")</f>
        <v>预算10万以内哪款国产车值得购买？</v>
      </c>
      <c r="C8577" s="2" t="s">
        <v>13</v>
      </c>
      <c r="D8577" s="2" t="s">
        <v>12</v>
      </c>
      <c r="E8577" s="2"/>
      <c r="F8577" s="2" t="str">
        <f>HYPERLINK("http://m.12365auto.com/zjdy/20200212/121213.shtml","http://m.12365auto.com/zjdy/20200212/121213.shtml")</f>
        <v>http://m.12365auto.com/zjdy/20200212/121213.shtml</v>
      </c>
      <c r="G8577" s="2"/>
      <c r="H8577" s="2" t="s">
        <v>11629</v>
      </c>
      <c r="I8577" s="2" t="s">
        <v>19</v>
      </c>
      <c r="J8577" s="2" t="s">
        <v>12</v>
      </c>
      <c r="K8577" s="2" t="s">
        <v>11630</v>
      </c>
      <c r="L8577" s="2">
        <f t="shared" si="133"/>
        <v>100</v>
      </c>
    </row>
    <row r="8578" spans="1:12" ht="25" customHeight="1">
      <c r="A8578" s="2" t="s">
        <v>12</v>
      </c>
      <c r="B8578" s="2" t="str">
        <f>HYPERLINK("http://m.12365auto.com/zjdy/20200212/121214.shtml","如何区分19款天籁智行版和20款智行版？")</f>
        <v>如何区分19款天籁智行版和20款智行版？</v>
      </c>
      <c r="C8578" s="2" t="s">
        <v>13</v>
      </c>
      <c r="D8578" s="2" t="s">
        <v>12</v>
      </c>
      <c r="E8578" s="2"/>
      <c r="F8578" s="2" t="str">
        <f>HYPERLINK("http://m.12365auto.com/zjdy/20200212/121214.shtml","http://m.12365auto.com/zjdy/20200212/121214.shtml")</f>
        <v>http://m.12365auto.com/zjdy/20200212/121214.shtml</v>
      </c>
      <c r="G8578" s="2"/>
      <c r="H8578" s="2" t="s">
        <v>11631</v>
      </c>
      <c r="I8578" s="2" t="s">
        <v>19</v>
      </c>
      <c r="J8578" s="2" t="s">
        <v>12</v>
      </c>
      <c r="K8578" s="2" t="s">
        <v>11632</v>
      </c>
      <c r="L8578" s="2">
        <f t="shared" si="133"/>
        <v>23</v>
      </c>
    </row>
    <row r="8579" spans="1:12" ht="25" customHeight="1">
      <c r="A8579" s="2" t="s">
        <v>12</v>
      </c>
      <c r="B8579" s="2" t="str">
        <f>HYPERLINK("http://m.12365auto.com/zjdy/20200212/121215.shtml","长安逸动DT和宝骏310W哪款值得购买？")</f>
        <v>长安逸动DT和宝骏310W哪款值得购买？</v>
      </c>
      <c r="C8579" s="2" t="s">
        <v>13</v>
      </c>
      <c r="D8579" s="2" t="s">
        <v>12</v>
      </c>
      <c r="E8579" s="2"/>
      <c r="F8579" s="2" t="str">
        <f>HYPERLINK("http://m.12365auto.com/zjdy/20200212/121215.shtml","http://m.12365auto.com/zjdy/20200212/121215.shtml")</f>
        <v>http://m.12365auto.com/zjdy/20200212/121215.shtml</v>
      </c>
      <c r="G8579" s="2"/>
      <c r="H8579" s="2" t="s">
        <v>11633</v>
      </c>
      <c r="I8579" s="2" t="s">
        <v>19</v>
      </c>
      <c r="J8579" s="2" t="s">
        <v>12</v>
      </c>
      <c r="K8579" s="2" t="s">
        <v>11634</v>
      </c>
      <c r="L8579" s="2">
        <f t="shared" ref="L8579:L8642" si="134">LEN(H8579)</f>
        <v>51</v>
      </c>
    </row>
    <row r="8580" spans="1:12" ht="25" customHeight="1">
      <c r="A8580" s="2" t="s">
        <v>12</v>
      </c>
      <c r="B8580" s="2" t="str">
        <f>HYPERLINK("http://m.12365auto.com/zjdy/20200212/121207.shtml","帝豪和荣威i5以及艾瑞泽5质量如何？")</f>
        <v>帝豪和荣威i5以及艾瑞泽5质量如何？</v>
      </c>
      <c r="C8580" s="2" t="s">
        <v>13</v>
      </c>
      <c r="D8580" s="2" t="s">
        <v>12</v>
      </c>
      <c r="E8580" s="2"/>
      <c r="F8580" s="2" t="str">
        <f>HYPERLINK("http://m.12365auto.com/zjdy/20200212/121207.shtml","http://m.12365auto.com/zjdy/20200212/121207.shtml")</f>
        <v>http://m.12365auto.com/zjdy/20200212/121207.shtml</v>
      </c>
      <c r="G8580" s="2"/>
      <c r="H8580" s="2" t="s">
        <v>11635</v>
      </c>
      <c r="I8580" s="2" t="s">
        <v>19</v>
      </c>
      <c r="J8580" s="2" t="s">
        <v>12</v>
      </c>
      <c r="K8580" s="2" t="s">
        <v>11634</v>
      </c>
      <c r="L8580" s="2">
        <f t="shared" si="134"/>
        <v>21</v>
      </c>
    </row>
    <row r="8581" spans="1:12" ht="25" customHeight="1">
      <c r="A8581" s="2" t="s">
        <v>12</v>
      </c>
      <c r="B8581" s="2" t="str">
        <f>HYPERLINK("http://m.12365auto.com/zjdy/20200213/121216.shtml","挂入空挡但仪表不显示是什么原因？")</f>
        <v>挂入空挡但仪表不显示是什么原因？</v>
      </c>
      <c r="C8581" s="2" t="s">
        <v>13</v>
      </c>
      <c r="D8581" s="2" t="s">
        <v>12</v>
      </c>
      <c r="E8581" s="2"/>
      <c r="F8581" s="2" t="str">
        <f>HYPERLINK("http://m.12365auto.com/zjdy/20200213/121216.shtml","http://m.12365auto.com/zjdy/20200213/121216.shtml")</f>
        <v>http://m.12365auto.com/zjdy/20200213/121216.shtml</v>
      </c>
      <c r="G8581" s="2"/>
      <c r="H8581" s="2" t="s">
        <v>11636</v>
      </c>
      <c r="I8581" s="2" t="s">
        <v>19</v>
      </c>
      <c r="J8581" s="2" t="s">
        <v>12</v>
      </c>
      <c r="K8581" s="2" t="s">
        <v>11637</v>
      </c>
      <c r="L8581" s="2">
        <f t="shared" si="134"/>
        <v>25</v>
      </c>
    </row>
    <row r="8582" spans="1:12" ht="25" customHeight="1">
      <c r="A8582" s="2" t="s">
        <v>12</v>
      </c>
      <c r="B8582" s="2" t="str">
        <f>HYPERLINK("http://m.12365auto.com/zjdy/20200212/121205.shtml","凯迪拉克XT4质量如何是否值得购买？")</f>
        <v>凯迪拉克XT4质量如何是否值得购买？</v>
      </c>
      <c r="C8582" s="2" t="s">
        <v>13</v>
      </c>
      <c r="D8582" s="2" t="s">
        <v>12</v>
      </c>
      <c r="E8582" s="2"/>
      <c r="F8582" s="2" t="str">
        <f>HYPERLINK("http://m.12365auto.com/zjdy/20200212/121205.shtml","http://m.12365auto.com/zjdy/20200212/121205.shtml")</f>
        <v>http://m.12365auto.com/zjdy/20200212/121205.shtml</v>
      </c>
      <c r="G8582" s="2"/>
      <c r="H8582" s="2" t="s">
        <v>11638</v>
      </c>
      <c r="I8582" s="2" t="s">
        <v>19</v>
      </c>
      <c r="J8582" s="2" t="s">
        <v>12</v>
      </c>
      <c r="K8582" s="2" t="s">
        <v>11637</v>
      </c>
      <c r="L8582" s="2">
        <f t="shared" si="134"/>
        <v>45</v>
      </c>
    </row>
    <row r="8583" spans="1:12" ht="25" customHeight="1">
      <c r="A8583" s="2" t="s">
        <v>12</v>
      </c>
      <c r="B8583" s="2" t="str">
        <f>HYPERLINK("http://m.12365auto.com/zjdy/20200212/121206.shtml","广汽传祺GS4车门打不开应该怎么办？")</f>
        <v>广汽传祺GS4车门打不开应该怎么办？</v>
      </c>
      <c r="C8583" s="2" t="s">
        <v>13</v>
      </c>
      <c r="D8583" s="2" t="s">
        <v>12</v>
      </c>
      <c r="E8583" s="2"/>
      <c r="F8583" s="2" t="str">
        <f>HYPERLINK("http://m.12365auto.com/zjdy/20200212/121206.shtml","http://m.12365auto.com/zjdy/20200212/121206.shtml")</f>
        <v>http://m.12365auto.com/zjdy/20200212/121206.shtml</v>
      </c>
      <c r="G8583" s="2"/>
      <c r="H8583" s="2" t="s">
        <v>11639</v>
      </c>
      <c r="I8583" s="2" t="s">
        <v>19</v>
      </c>
      <c r="J8583" s="2" t="s">
        <v>12</v>
      </c>
      <c r="K8583" s="2" t="s">
        <v>11637</v>
      </c>
      <c r="L8583" s="2">
        <f t="shared" si="134"/>
        <v>28</v>
      </c>
    </row>
    <row r="8584" spans="1:12" ht="25" customHeight="1">
      <c r="A8584" s="2" t="s">
        <v>12</v>
      </c>
      <c r="B8584" s="2" t="str">
        <f>HYPERLINK("http://m.12365auto.com/zjdy/20200213/121218.shtml","2020款日产天籁变速箱质量可靠吗？")</f>
        <v>2020款日产天籁变速箱质量可靠吗？</v>
      </c>
      <c r="C8584" s="2" t="s">
        <v>13</v>
      </c>
      <c r="D8584" s="2" t="s">
        <v>12</v>
      </c>
      <c r="E8584" s="2"/>
      <c r="F8584" s="2" t="str">
        <f>HYPERLINK("http://m.12365auto.com/zjdy/20200213/121218.shtml","http://m.12365auto.com/zjdy/20200213/121218.shtml")</f>
        <v>http://m.12365auto.com/zjdy/20200213/121218.shtml</v>
      </c>
      <c r="G8584" s="2"/>
      <c r="H8584" s="2" t="s">
        <v>11640</v>
      </c>
      <c r="I8584" s="2" t="s">
        <v>19</v>
      </c>
      <c r="J8584" s="2" t="s">
        <v>12</v>
      </c>
      <c r="K8584" s="2" t="s">
        <v>11641</v>
      </c>
      <c r="L8584" s="2">
        <f t="shared" si="134"/>
        <v>28</v>
      </c>
    </row>
    <row r="8585" spans="1:12" ht="25" customHeight="1">
      <c r="A8585" s="2" t="s">
        <v>12</v>
      </c>
      <c r="B8585" s="2" t="str">
        <f>HYPERLINK("http://m.12365auto.com/zjdy/20200212/121204.shtml","冷却液低于最小值刻度线应该怎么办？")</f>
        <v>冷却液低于最小值刻度线应该怎么办？</v>
      </c>
      <c r="C8585" s="2" t="s">
        <v>13</v>
      </c>
      <c r="D8585" s="2" t="s">
        <v>12</v>
      </c>
      <c r="E8585" s="2"/>
      <c r="F8585" s="2" t="str">
        <f>HYPERLINK("http://m.12365auto.com/zjdy/20200212/121204.shtml","http://m.12365auto.com/zjdy/20200212/121204.shtml")</f>
        <v>http://m.12365auto.com/zjdy/20200212/121204.shtml</v>
      </c>
      <c r="G8585" s="2"/>
      <c r="H8585" s="2" t="s">
        <v>11642</v>
      </c>
      <c r="I8585" s="2" t="s">
        <v>19</v>
      </c>
      <c r="J8585" s="2" t="s">
        <v>12</v>
      </c>
      <c r="K8585" s="2" t="s">
        <v>11641</v>
      </c>
      <c r="L8585" s="2">
        <f t="shared" si="134"/>
        <v>36</v>
      </c>
    </row>
    <row r="8586" spans="1:12" ht="25" customHeight="1">
      <c r="A8586" s="2" t="s">
        <v>12</v>
      </c>
      <c r="B8586" s="2" t="str">
        <f>HYPERLINK("http://m.12365auto.com/zjdy/20200212/121203.shtml","裸车10万左右可以买到质量好的车型吗？")</f>
        <v>裸车10万左右可以买到质量好的车型吗？</v>
      </c>
      <c r="C8586" s="2" t="s">
        <v>13</v>
      </c>
      <c r="D8586" s="2" t="s">
        <v>12</v>
      </c>
      <c r="E8586" s="2"/>
      <c r="F8586" s="2" t="str">
        <f>HYPERLINK("http://m.12365auto.com/zjdy/20200212/121203.shtml","http://m.12365auto.com/zjdy/20200212/121203.shtml")</f>
        <v>http://m.12365auto.com/zjdy/20200212/121203.shtml</v>
      </c>
      <c r="G8586" s="2"/>
      <c r="H8586" s="2" t="s">
        <v>11643</v>
      </c>
      <c r="I8586" s="2" t="s">
        <v>19</v>
      </c>
      <c r="J8586" s="2" t="s">
        <v>12</v>
      </c>
      <c r="K8586" s="2" t="s">
        <v>11641</v>
      </c>
      <c r="L8586" s="2">
        <f t="shared" si="134"/>
        <v>14</v>
      </c>
    </row>
    <row r="8587" spans="1:12" ht="25" customHeight="1">
      <c r="A8587" s="2" t="s">
        <v>12</v>
      </c>
      <c r="B8587" s="2" t="str">
        <f>HYPERLINK("http://m.12365auto.com/zjdy/20200213/121217.shtml","大众探岳故障灯亮自动挂入N挡什么原因？")</f>
        <v>大众探岳故障灯亮自动挂入N挡什么原因？</v>
      </c>
      <c r="C8587" s="2" t="s">
        <v>13</v>
      </c>
      <c r="D8587" s="2" t="s">
        <v>12</v>
      </c>
      <c r="E8587" s="2"/>
      <c r="F8587" s="2" t="str">
        <f>HYPERLINK("http://m.12365auto.com/zjdy/20200213/121217.shtml","http://m.12365auto.com/zjdy/20200213/121217.shtml")</f>
        <v>http://m.12365auto.com/zjdy/20200213/121217.shtml</v>
      </c>
      <c r="G8587" s="2"/>
      <c r="H8587" s="2" t="s">
        <v>11644</v>
      </c>
      <c r="I8587" s="2" t="s">
        <v>19</v>
      </c>
      <c r="J8587" s="2" t="s">
        <v>12</v>
      </c>
      <c r="K8587" s="2" t="s">
        <v>11641</v>
      </c>
      <c r="L8587" s="2">
        <f t="shared" si="134"/>
        <v>52</v>
      </c>
    </row>
    <row r="8588" spans="1:12" ht="25" customHeight="1">
      <c r="A8588" s="2" t="s">
        <v>12</v>
      </c>
      <c r="B8588" s="2" t="str">
        <f>HYPERLINK("http://m.12365auto.com/zjdy/20200213/121220.shtml","凯迪拉克XT5行驶中方向跑偏什么原因？")</f>
        <v>凯迪拉克XT5行驶中方向跑偏什么原因？</v>
      </c>
      <c r="C8588" s="2" t="s">
        <v>13</v>
      </c>
      <c r="D8588" s="2" t="s">
        <v>12</v>
      </c>
      <c r="E8588" s="2"/>
      <c r="F8588" s="2" t="str">
        <f>HYPERLINK("http://m.12365auto.com/zjdy/20200213/121220.shtml","http://m.12365auto.com/zjdy/20200213/121220.shtml")</f>
        <v>http://m.12365auto.com/zjdy/20200213/121220.shtml</v>
      </c>
      <c r="G8588" s="2"/>
      <c r="H8588" s="2" t="s">
        <v>11645</v>
      </c>
      <c r="I8588" s="2" t="s">
        <v>19</v>
      </c>
      <c r="J8588" s="2" t="s">
        <v>12</v>
      </c>
      <c r="K8588" s="2" t="s">
        <v>11646</v>
      </c>
      <c r="L8588" s="2">
        <f t="shared" si="134"/>
        <v>19</v>
      </c>
    </row>
    <row r="8589" spans="1:12" ht="25" customHeight="1">
      <c r="A8589" s="2" t="s">
        <v>12</v>
      </c>
      <c r="B8589" s="2" t="str">
        <f>HYPERLINK("http://m.12365auto.com/zjdy/20200212/121202.shtml","购买新车没有几天经销商就降价怎么办？")</f>
        <v>购买新车没有几天经销商就降价怎么办？</v>
      </c>
      <c r="C8589" s="2" t="s">
        <v>13</v>
      </c>
      <c r="D8589" s="2" t="s">
        <v>12</v>
      </c>
      <c r="E8589" s="2"/>
      <c r="F8589" s="2" t="str">
        <f>HYPERLINK("http://m.12365auto.com/zjdy/20200212/121202.shtml","http://m.12365auto.com/zjdy/20200212/121202.shtml")</f>
        <v>http://m.12365auto.com/zjdy/20200212/121202.shtml</v>
      </c>
      <c r="G8589" s="2"/>
      <c r="H8589" s="2" t="s">
        <v>11647</v>
      </c>
      <c r="I8589" s="2" t="s">
        <v>19</v>
      </c>
      <c r="J8589" s="2" t="s">
        <v>12</v>
      </c>
      <c r="K8589" s="2" t="s">
        <v>11646</v>
      </c>
      <c r="L8589" s="2">
        <f t="shared" si="134"/>
        <v>35</v>
      </c>
    </row>
    <row r="8590" spans="1:12" ht="25" customHeight="1">
      <c r="A8590" s="2" t="s">
        <v>12</v>
      </c>
      <c r="B8590" s="2" t="str">
        <f>HYPERLINK("http://m.12365auto.com/zjdy/20200212/121201.shtml","19款名爵6变速箱质量如何值得购买吗？")</f>
        <v>19款名爵6变速箱质量如何值得购买吗？</v>
      </c>
      <c r="C8590" s="2" t="s">
        <v>13</v>
      </c>
      <c r="D8590" s="2" t="s">
        <v>12</v>
      </c>
      <c r="E8590" s="2"/>
      <c r="F8590" s="2" t="str">
        <f>HYPERLINK("http://m.12365auto.com/zjdy/20200212/121201.shtml","http://m.12365auto.com/zjdy/20200212/121201.shtml")</f>
        <v>http://m.12365auto.com/zjdy/20200212/121201.shtml</v>
      </c>
      <c r="G8590" s="2"/>
      <c r="H8590" s="2" t="s">
        <v>11648</v>
      </c>
      <c r="I8590" s="2" t="s">
        <v>19</v>
      </c>
      <c r="J8590" s="2" t="s">
        <v>12</v>
      </c>
      <c r="K8590" s="2" t="s">
        <v>11649</v>
      </c>
      <c r="L8590" s="2">
        <f t="shared" si="134"/>
        <v>39</v>
      </c>
    </row>
    <row r="8591" spans="1:12" ht="25" customHeight="1">
      <c r="A8591" s="2" t="s">
        <v>12</v>
      </c>
      <c r="B8591" s="2" t="str">
        <f>HYPERLINK("http://m.12365auto.com/zjdy/20200212/121200.shtml","通电时仪表指针跳动是什么原因？")</f>
        <v>通电时仪表指针跳动是什么原因？</v>
      </c>
      <c r="C8591" s="2" t="s">
        <v>13</v>
      </c>
      <c r="D8591" s="2" t="s">
        <v>12</v>
      </c>
      <c r="E8591" s="2"/>
      <c r="F8591" s="2" t="str">
        <f>HYPERLINK("http://m.12365auto.com/zjdy/20200212/121200.shtml","http://m.12365auto.com/zjdy/20200212/121200.shtml")</f>
        <v>http://m.12365auto.com/zjdy/20200212/121200.shtml</v>
      </c>
      <c r="G8591" s="2"/>
      <c r="H8591" s="2" t="s">
        <v>11650</v>
      </c>
      <c r="I8591" s="2" t="s">
        <v>19</v>
      </c>
      <c r="J8591" s="2" t="s">
        <v>12</v>
      </c>
      <c r="K8591" s="2" t="s">
        <v>11651</v>
      </c>
      <c r="L8591" s="2">
        <f t="shared" si="134"/>
        <v>30</v>
      </c>
    </row>
    <row r="8592" spans="1:12" ht="25" customHeight="1">
      <c r="A8592" s="2" t="s">
        <v>12</v>
      </c>
      <c r="B8592" s="2" t="str">
        <f>HYPERLINK("http://m.12365auto.com/zjdy/20200212/121197.shtml","这几款国产SUV车型质量怎么样值得买吗？")</f>
        <v>这几款国产SUV车型质量怎么样值得买吗？</v>
      </c>
      <c r="C8592" s="2" t="s">
        <v>13</v>
      </c>
      <c r="D8592" s="2" t="s">
        <v>12</v>
      </c>
      <c r="E8592" s="2"/>
      <c r="F8592" s="2" t="str">
        <f>HYPERLINK("http://m.12365auto.com/zjdy/20200212/121197.shtml","http://m.12365auto.com/zjdy/20200212/121197.shtml")</f>
        <v>http://m.12365auto.com/zjdy/20200212/121197.shtml</v>
      </c>
      <c r="G8592" s="2"/>
      <c r="H8592" s="2" t="s">
        <v>11652</v>
      </c>
      <c r="I8592" s="2" t="s">
        <v>19</v>
      </c>
      <c r="J8592" s="2" t="s">
        <v>12</v>
      </c>
      <c r="K8592" s="2" t="s">
        <v>11653</v>
      </c>
      <c r="L8592" s="2">
        <f t="shared" si="134"/>
        <v>59</v>
      </c>
    </row>
    <row r="8593" spans="1:12" ht="25" customHeight="1">
      <c r="A8593" s="2" t="s">
        <v>12</v>
      </c>
      <c r="B8593" s="2" t="str">
        <f>HYPERLINK("http://m.12365auto.com/zjdy/20200212/121198.shtml","通过经销商购车想了解什么车是库存车？")</f>
        <v>通过经销商购车想了解什么车是库存车？</v>
      </c>
      <c r="C8593" s="2" t="s">
        <v>13</v>
      </c>
      <c r="D8593" s="2" t="s">
        <v>12</v>
      </c>
      <c r="E8593" s="2"/>
      <c r="F8593" s="2" t="str">
        <f>HYPERLINK("http://m.12365auto.com/zjdy/20200212/121198.shtml","http://m.12365auto.com/zjdy/20200212/121198.shtml")</f>
        <v>http://m.12365auto.com/zjdy/20200212/121198.shtml</v>
      </c>
      <c r="G8593" s="2"/>
      <c r="H8593" s="2" t="s">
        <v>11654</v>
      </c>
      <c r="I8593" s="2" t="s">
        <v>19</v>
      </c>
      <c r="J8593" s="2" t="s">
        <v>12</v>
      </c>
      <c r="K8593" s="2" t="s">
        <v>11655</v>
      </c>
      <c r="L8593" s="2">
        <f t="shared" si="134"/>
        <v>19</v>
      </c>
    </row>
    <row r="8594" spans="1:12" ht="25" customHeight="1">
      <c r="A8594" s="2" t="s">
        <v>12</v>
      </c>
      <c r="B8594" s="2" t="str">
        <f>HYPERLINK("http://m.12365auto.com/news/20200213/418385.shtml","车主DIY：花露水原来也能清除车身贴纸！")</f>
        <v>车主DIY：花露水原来也能清除车身贴纸！</v>
      </c>
      <c r="C8594" s="2" t="s">
        <v>13</v>
      </c>
      <c r="D8594" s="2" t="s">
        <v>12</v>
      </c>
      <c r="E8594" s="2"/>
      <c r="F8594" s="2" t="str">
        <f>HYPERLINK("http://m.12365auto.com/news/20200213/418385.shtml","http://m.12365auto.com/news/20200213/418385.shtml")</f>
        <v>http://m.12365auto.com/news/20200213/418385.shtml</v>
      </c>
      <c r="G8594" s="2"/>
      <c r="H8594" s="2" t="s">
        <v>11656</v>
      </c>
      <c r="I8594" s="2" t="s">
        <v>19</v>
      </c>
      <c r="J8594" s="2" t="s">
        <v>369</v>
      </c>
      <c r="K8594" s="2" t="s">
        <v>11657</v>
      </c>
      <c r="L8594" s="2">
        <f t="shared" si="134"/>
        <v>150</v>
      </c>
    </row>
    <row r="8595" spans="1:12" ht="25" customHeight="1">
      <c r="A8595" s="2" t="s">
        <v>12</v>
      </c>
      <c r="B8595" s="2" t="str">
        <f>HYPERLINK("http://m.12365auto.com/news/20200213/418384.shtml","疫情之下 国内汽车企业售后服务新模式盘点")</f>
        <v>疫情之下 国内汽车企业售后服务新模式盘点</v>
      </c>
      <c r="C8595" s="2" t="s">
        <v>13</v>
      </c>
      <c r="D8595" s="2" t="s">
        <v>12</v>
      </c>
      <c r="E8595" s="2"/>
      <c r="F8595" s="2" t="str">
        <f>HYPERLINK("http://m.12365auto.com/news/20200213/418384.shtml","http://m.12365auto.com/news/20200213/418384.shtml")</f>
        <v>http://m.12365auto.com/news/20200213/418384.shtml</v>
      </c>
      <c r="G8595" s="2"/>
      <c r="H8595" s="2" t="s">
        <v>11658</v>
      </c>
      <c r="I8595" s="2" t="s">
        <v>19</v>
      </c>
      <c r="J8595" s="2" t="s">
        <v>12</v>
      </c>
      <c r="K8595" s="2" t="s">
        <v>11657</v>
      </c>
      <c r="L8595" s="2">
        <f t="shared" si="134"/>
        <v>150</v>
      </c>
    </row>
    <row r="8596" spans="1:12" ht="25" customHeight="1">
      <c r="A8596" s="2" t="s">
        <v>12</v>
      </c>
      <c r="B8596" s="2" t="str">
        <f>HYPERLINK("http://www.12365auto.com/news/20200213/418384.shtml","疫情之下 国内汽车企业售后服务新模式盘点")</f>
        <v>疫情之下 国内汽车企业售后服务新模式盘点</v>
      </c>
      <c r="C8596" s="2" t="s">
        <v>13</v>
      </c>
      <c r="D8596" s="2" t="s">
        <v>12</v>
      </c>
      <c r="E8596" s="2" t="s">
        <v>276</v>
      </c>
      <c r="F8596" s="2" t="str">
        <f>HYPERLINK("http://www.12365auto.com/news/20200213/418384.shtml","http://www.12365auto.com/news/20200213/418384.shtml")</f>
        <v>http://www.12365auto.com/news/20200213/418384.shtml</v>
      </c>
      <c r="G8596" s="2"/>
      <c r="H8596" s="2" t="s">
        <v>11659</v>
      </c>
      <c r="I8596" s="2" t="s">
        <v>15</v>
      </c>
      <c r="J8596" s="2" t="s">
        <v>12</v>
      </c>
      <c r="K8596" s="2" t="s">
        <v>11657</v>
      </c>
      <c r="L8596" s="2">
        <f t="shared" si="134"/>
        <v>150</v>
      </c>
    </row>
    <row r="8597" spans="1:12" ht="25" customHeight="1">
      <c r="A8597" s="2" t="s">
        <v>12</v>
      </c>
      <c r="B8597" s="2" t="str">
        <f>HYPERLINK("http://www.12365auto.com/news/20200213/418385.shtml","车主DIY：花露水原来也能清除车身贴纸！")</f>
        <v>车主DIY：花露水原来也能清除车身贴纸！</v>
      </c>
      <c r="C8597" s="2" t="s">
        <v>13</v>
      </c>
      <c r="D8597" s="2" t="s">
        <v>12</v>
      </c>
      <c r="E8597" s="2" t="s">
        <v>372</v>
      </c>
      <c r="F8597" s="2" t="str">
        <f>HYPERLINK("http://www.12365auto.com/news/20200213/418385.shtml","http://www.12365auto.com/news/20200213/418385.shtml")</f>
        <v>http://www.12365auto.com/news/20200213/418385.shtml</v>
      </c>
      <c r="G8597" s="2"/>
      <c r="H8597" s="2" t="s">
        <v>11660</v>
      </c>
      <c r="I8597" s="2" t="s">
        <v>15</v>
      </c>
      <c r="J8597" s="2" t="s">
        <v>12</v>
      </c>
      <c r="K8597" s="2" t="s">
        <v>11657</v>
      </c>
      <c r="L8597" s="2">
        <f t="shared" si="134"/>
        <v>150</v>
      </c>
    </row>
    <row r="8598" spans="1:12" ht="25" customHeight="1">
      <c r="A8598" s="2" t="s">
        <v>12</v>
      </c>
      <c r="B8598" s="2" t="str">
        <f>HYPERLINK("http://bbs.12365auto.com/postcontent.aspx?tId=193934","马上要换轮胎了应该如何选择？")</f>
        <v>马上要换轮胎了应该如何选择？</v>
      </c>
      <c r="C8598" s="2" t="s">
        <v>13</v>
      </c>
      <c r="D8598" s="2" t="s">
        <v>12</v>
      </c>
      <c r="E8598" s="2" t="s">
        <v>1397</v>
      </c>
      <c r="F8598" s="2" t="str">
        <f>HYPERLINK("http://bbs.12365auto.com/postcontent.aspx?tId=193934","http://bbs.12365auto.com/postcontent.aspx?tId=193934")</f>
        <v>http://bbs.12365auto.com/postcontent.aspx?tId=193934</v>
      </c>
      <c r="G8598" s="2"/>
      <c r="H8598" s="2" t="s">
        <v>11661</v>
      </c>
      <c r="I8598" s="2" t="s">
        <v>15</v>
      </c>
      <c r="J8598" s="2" t="s">
        <v>2201</v>
      </c>
      <c r="K8598" s="2" t="s">
        <v>11662</v>
      </c>
      <c r="L8598" s="2">
        <f t="shared" si="134"/>
        <v>150</v>
      </c>
    </row>
    <row r="8599" spans="1:12" ht="25" customHeight="1">
      <c r="A8599" s="2" t="s">
        <v>12</v>
      </c>
      <c r="B8599" s="2" t="str">
        <f>HYPERLINK("http://m.12365auto.com/bbs/postcontent.aspx?tID=193934","马上要换轮胎了应该如何选择？")</f>
        <v>马上要换轮胎了应该如何选择？</v>
      </c>
      <c r="C8599" s="2" t="s">
        <v>13</v>
      </c>
      <c r="D8599" s="2" t="s">
        <v>23</v>
      </c>
      <c r="E8599" s="2"/>
      <c r="F8599" s="2" t="str">
        <f>HYPERLINK("http://m.12365auto.com/bbs/postcontent.aspx?tID=193934","http://m.12365auto.com/bbs/postcontent.aspx?tID=193934")</f>
        <v>http://m.12365auto.com/bbs/postcontent.aspx?tID=193934</v>
      </c>
      <c r="G8599" s="2"/>
      <c r="H8599" s="2" t="s">
        <v>11661</v>
      </c>
      <c r="I8599" s="2" t="s">
        <v>15</v>
      </c>
      <c r="J8599" s="2" t="s">
        <v>2201</v>
      </c>
      <c r="K8599" s="2" t="s">
        <v>11662</v>
      </c>
      <c r="L8599" s="2">
        <f t="shared" si="134"/>
        <v>150</v>
      </c>
    </row>
    <row r="8600" spans="1:12" ht="25" customHeight="1">
      <c r="A8600" s="2" t="s">
        <v>12</v>
      </c>
      <c r="B8600" s="2" t="str">
        <f>HYPERLINK("http://bbs.12365auto.com/postcontent.aspx?tID=193934","马上要换轮胎了应该如何选择？")</f>
        <v>马上要换轮胎了应该如何选择？</v>
      </c>
      <c r="C8600" s="2" t="s">
        <v>13</v>
      </c>
      <c r="D8600" s="2" t="s">
        <v>12</v>
      </c>
      <c r="E8600" s="2" t="s">
        <v>1393</v>
      </c>
      <c r="F8600" s="2" t="str">
        <f>HYPERLINK("http://bbs.12365auto.com/postcontent.aspx?tID=193934","http://bbs.12365auto.com/postcontent.aspx?tID=193934")</f>
        <v>http://bbs.12365auto.com/postcontent.aspx?tID=193934</v>
      </c>
      <c r="G8600" s="2"/>
      <c r="H8600" s="2" t="s">
        <v>11663</v>
      </c>
      <c r="I8600" s="2" t="s">
        <v>15</v>
      </c>
      <c r="J8600" s="2" t="s">
        <v>2201</v>
      </c>
      <c r="K8600" s="2" t="s">
        <v>11662</v>
      </c>
      <c r="L8600" s="2">
        <f t="shared" si="134"/>
        <v>150</v>
      </c>
    </row>
    <row r="8601" spans="1:12" ht="25" customHeight="1">
      <c r="A8601" s="2" t="s">
        <v>12</v>
      </c>
      <c r="B8601" s="2" t="str">
        <f>HYPERLINK("http://www.12365auto.com/zlts/20200213/447061.shtml","发动机抖动非常严重")</f>
        <v>发动机抖动非常严重</v>
      </c>
      <c r="C8601" s="2" t="s">
        <v>13</v>
      </c>
      <c r="D8601" s="2" t="s">
        <v>12</v>
      </c>
      <c r="E8601" s="2"/>
      <c r="F8601" s="2" t="str">
        <f>HYPERLINK("http://www.12365auto.com/zlts/20200213/447061.shtml","http://www.12365auto.com/zlts/20200213/447061.shtml")</f>
        <v>http://www.12365auto.com/zlts/20200213/447061.shtml</v>
      </c>
      <c r="G8601" s="2"/>
      <c r="H8601" s="2" t="s">
        <v>11665</v>
      </c>
      <c r="I8601" s="2" t="s">
        <v>15</v>
      </c>
      <c r="J8601" s="2" t="s">
        <v>12</v>
      </c>
      <c r="K8601" s="2" t="s">
        <v>11664</v>
      </c>
      <c r="L8601" s="2">
        <f t="shared" si="134"/>
        <v>84</v>
      </c>
    </row>
    <row r="8602" spans="1:12" ht="25" customHeight="1">
      <c r="A8602" s="2" t="s">
        <v>12</v>
      </c>
      <c r="B8602" s="2" t="str">
        <f>HYPERLINK("http://www.12365auto.com/zlts/20200212/447058.shtml","天津一汽威志V5行驶动力缺失油门踏板无反应")</f>
        <v>天津一汽威志V5行驶动力缺失油门踏板无反应</v>
      </c>
      <c r="C8602" s="2" t="s">
        <v>13</v>
      </c>
      <c r="D8602" s="2" t="s">
        <v>12</v>
      </c>
      <c r="E8602" s="2" t="s">
        <v>17</v>
      </c>
      <c r="F8602" s="2" t="str">
        <f>HYPERLINK("http://www.12365auto.com/zlts/20200212/447058.shtml","http://www.12365auto.com/zlts/20200212/447058.shtml")</f>
        <v>http://www.12365auto.com/zlts/20200212/447058.shtml</v>
      </c>
      <c r="G8602" s="2"/>
      <c r="H8602" s="2" t="s">
        <v>11666</v>
      </c>
      <c r="I8602" s="2" t="s">
        <v>19</v>
      </c>
      <c r="J8602" s="2" t="s">
        <v>12</v>
      </c>
      <c r="K8602" s="2" t="s">
        <v>11667</v>
      </c>
      <c r="L8602" s="2">
        <f t="shared" si="134"/>
        <v>150</v>
      </c>
    </row>
    <row r="8603" spans="1:12" ht="25" customHeight="1">
      <c r="A8603" s="2" t="s">
        <v>12</v>
      </c>
      <c r="B8603" s="2" t="str">
        <f>HYPERLINK("http://www.12365auto.com/zlts/20200212/447057.shtml","一汽丰田卡罗拉发动机故障灯亮车身抖动")</f>
        <v>一汽丰田卡罗拉发动机故障灯亮车身抖动</v>
      </c>
      <c r="C8603" s="2" t="s">
        <v>13</v>
      </c>
      <c r="D8603" s="2" t="s">
        <v>12</v>
      </c>
      <c r="E8603" s="2" t="s">
        <v>17</v>
      </c>
      <c r="F8603" s="2" t="str">
        <f>HYPERLINK("http://www.12365auto.com/zlts/20200212/447057.shtml","http://www.12365auto.com/zlts/20200212/447057.shtml")</f>
        <v>http://www.12365auto.com/zlts/20200212/447057.shtml</v>
      </c>
      <c r="G8603" s="2"/>
      <c r="H8603" s="2" t="s">
        <v>11668</v>
      </c>
      <c r="I8603" s="2" t="s">
        <v>19</v>
      </c>
      <c r="J8603" s="2" t="s">
        <v>12</v>
      </c>
      <c r="K8603" s="2" t="s">
        <v>11669</v>
      </c>
      <c r="L8603" s="2">
        <f t="shared" si="134"/>
        <v>150</v>
      </c>
    </row>
    <row r="8604" spans="1:12" ht="25" customHeight="1">
      <c r="A8604" s="2" t="s">
        <v>12</v>
      </c>
      <c r="B8604" s="2" t="str">
        <f>HYPERLINK("http://www.12365auto.com/zlts/20200212/447055.shtml","博瑞购车3年积累的未解决质量问题")</f>
        <v>博瑞购车3年积累的未解决质量问题</v>
      </c>
      <c r="C8604" s="2" t="s">
        <v>13</v>
      </c>
      <c r="D8604" s="2" t="s">
        <v>12</v>
      </c>
      <c r="E8604" s="2"/>
      <c r="F8604" s="2" t="str">
        <f>HYPERLINK("http://www.12365auto.com/zlts/20200212/447055.shtml","http://www.12365auto.com/zlts/20200212/447055.shtml")</f>
        <v>http://www.12365auto.com/zlts/20200212/447055.shtml</v>
      </c>
      <c r="G8604" s="2"/>
      <c r="H8604" s="2" t="s">
        <v>11671</v>
      </c>
      <c r="I8604" s="2" t="s">
        <v>15</v>
      </c>
      <c r="J8604" s="2" t="s">
        <v>12</v>
      </c>
      <c r="K8604" s="2" t="s">
        <v>11670</v>
      </c>
      <c r="L8604" s="2">
        <f t="shared" si="134"/>
        <v>77</v>
      </c>
    </row>
    <row r="8605" spans="1:12" ht="25" customHeight="1">
      <c r="A8605" s="2" t="s">
        <v>12</v>
      </c>
      <c r="B8605" s="2" t="str">
        <f>HYPERLINK("http://www.12365auto.com/zlts/20200212/447056.shtml","吉利远景P挡挂入D挡时熄火无法解决")</f>
        <v>吉利远景P挡挂入D挡时熄火无法解决</v>
      </c>
      <c r="C8605" s="2" t="s">
        <v>13</v>
      </c>
      <c r="D8605" s="2" t="s">
        <v>12</v>
      </c>
      <c r="E8605" s="2" t="s">
        <v>17</v>
      </c>
      <c r="F8605" s="2" t="str">
        <f>HYPERLINK("http://www.12365auto.com/zlts/20200212/447056.shtml","http://www.12365auto.com/zlts/20200212/447056.shtml")</f>
        <v>http://www.12365auto.com/zlts/20200212/447056.shtml</v>
      </c>
      <c r="G8605" s="2"/>
      <c r="H8605" s="2" t="s">
        <v>11672</v>
      </c>
      <c r="I8605" s="2" t="s">
        <v>19</v>
      </c>
      <c r="J8605" s="2" t="s">
        <v>12</v>
      </c>
      <c r="K8605" s="2" t="s">
        <v>11673</v>
      </c>
      <c r="L8605" s="2">
        <f t="shared" si="134"/>
        <v>150</v>
      </c>
    </row>
    <row r="8606" spans="1:12" ht="25" customHeight="1">
      <c r="A8606" s="2" t="s">
        <v>12</v>
      </c>
      <c r="B8606" s="2" t="str">
        <f>HYPERLINK("http://www.12365auto.com/zlts/20200212/447049.shtml","变速箱奇数挡失效")</f>
        <v>变速箱奇数挡失效</v>
      </c>
      <c r="C8606" s="2" t="s">
        <v>13</v>
      </c>
      <c r="D8606" s="2" t="s">
        <v>12</v>
      </c>
      <c r="E8606" s="2"/>
      <c r="F8606" s="2" t="str">
        <f>HYPERLINK("http://www.12365auto.com/zlts/20200212/447049.shtml","http://www.12365auto.com/zlts/20200212/447049.shtml")</f>
        <v>http://www.12365auto.com/zlts/20200212/447049.shtml</v>
      </c>
      <c r="G8606" s="2"/>
      <c r="H8606" s="2" t="s">
        <v>11675</v>
      </c>
      <c r="I8606" s="2" t="s">
        <v>15</v>
      </c>
      <c r="J8606" s="2" t="s">
        <v>12</v>
      </c>
      <c r="K8606" s="2" t="s">
        <v>11674</v>
      </c>
      <c r="L8606" s="2">
        <f t="shared" si="134"/>
        <v>84</v>
      </c>
    </row>
    <row r="8607" spans="1:12" ht="25" customHeight="1">
      <c r="A8607" s="2" t="s">
        <v>12</v>
      </c>
      <c r="B8607" s="2" t="str">
        <f>HYPERLINK("http://www.12365auto.com/zlts/20200212/447054.shtml","广汽讴歌TLX-L发动机1300转时方向盘共振")</f>
        <v>广汽讴歌TLX-L发动机1300转时方向盘共振</v>
      </c>
      <c r="C8607" s="2" t="s">
        <v>13</v>
      </c>
      <c r="D8607" s="2" t="s">
        <v>12</v>
      </c>
      <c r="E8607" s="2" t="s">
        <v>17</v>
      </c>
      <c r="F8607" s="2" t="str">
        <f>HYPERLINK("http://www.12365auto.com/zlts/20200212/447054.shtml","http://www.12365auto.com/zlts/20200212/447054.shtml")</f>
        <v>http://www.12365auto.com/zlts/20200212/447054.shtml</v>
      </c>
      <c r="G8607" s="2"/>
      <c r="H8607" s="2" t="s">
        <v>11676</v>
      </c>
      <c r="I8607" s="2" t="s">
        <v>19</v>
      </c>
      <c r="J8607" s="2" t="s">
        <v>12</v>
      </c>
      <c r="K8607" s="2" t="s">
        <v>11677</v>
      </c>
      <c r="L8607" s="2">
        <f t="shared" si="134"/>
        <v>150</v>
      </c>
    </row>
    <row r="8608" spans="1:12" ht="25" customHeight="1">
      <c r="A8608" s="2" t="s">
        <v>12</v>
      </c>
      <c r="B8608" s="2" t="str">
        <f>HYPERLINK("http://www.12365auto.com/zlts/20200212/447048.shtml","中控更换了三个、尾灯进水、方向盘掉皮")</f>
        <v>中控更换了三个、尾灯进水、方向盘掉皮</v>
      </c>
      <c r="C8608" s="2" t="s">
        <v>13</v>
      </c>
      <c r="D8608" s="2" t="s">
        <v>12</v>
      </c>
      <c r="E8608" s="2"/>
      <c r="F8608" s="2" t="str">
        <f>HYPERLINK("http://www.12365auto.com/zlts/20200212/447048.shtml","http://www.12365auto.com/zlts/20200212/447048.shtml")</f>
        <v>http://www.12365auto.com/zlts/20200212/447048.shtml</v>
      </c>
      <c r="G8608" s="2"/>
      <c r="H8608" s="2" t="s">
        <v>11679</v>
      </c>
      <c r="I8608" s="2" t="s">
        <v>15</v>
      </c>
      <c r="J8608" s="2" t="s">
        <v>12</v>
      </c>
      <c r="K8608" s="2" t="s">
        <v>11678</v>
      </c>
      <c r="L8608" s="2">
        <f t="shared" si="134"/>
        <v>81</v>
      </c>
    </row>
    <row r="8609" spans="1:12" ht="25" customHeight="1">
      <c r="A8609" s="2" t="s">
        <v>12</v>
      </c>
      <c r="B8609" s="2" t="str">
        <f>HYPERLINK("http://www.12365auto.com/zlts/20200212/447045.shtml","发动机有咚咚异响.中控异响")</f>
        <v>发动机有咚咚异响.中控异响</v>
      </c>
      <c r="C8609" s="2" t="s">
        <v>13</v>
      </c>
      <c r="D8609" s="2" t="s">
        <v>12</v>
      </c>
      <c r="E8609" s="2"/>
      <c r="F8609" s="2" t="str">
        <f>HYPERLINK("http://www.12365auto.com/zlts/20200212/447045.shtml","http://www.12365auto.com/zlts/20200212/447045.shtml")</f>
        <v>http://www.12365auto.com/zlts/20200212/447045.shtml</v>
      </c>
      <c r="G8609" s="2"/>
      <c r="H8609" s="2" t="s">
        <v>11681</v>
      </c>
      <c r="I8609" s="2" t="s">
        <v>15</v>
      </c>
      <c r="J8609" s="2" t="s">
        <v>12</v>
      </c>
      <c r="K8609" s="2" t="s">
        <v>11680</v>
      </c>
      <c r="L8609" s="2">
        <f t="shared" si="134"/>
        <v>91</v>
      </c>
    </row>
    <row r="8610" spans="1:12" ht="25" customHeight="1">
      <c r="A8610" s="2" t="s">
        <v>12</v>
      </c>
      <c r="B8610" s="2" t="str">
        <f>HYPERLINK("http://www.12365auto.com/zlts/20200212/447053.shtml","车内异响，左前轮处异响")</f>
        <v>车内异响，左前轮处异响</v>
      </c>
      <c r="C8610" s="2" t="s">
        <v>13</v>
      </c>
      <c r="D8610" s="2" t="s">
        <v>12</v>
      </c>
      <c r="E8610" s="2"/>
      <c r="F8610" s="2" t="str">
        <f>HYPERLINK("http://www.12365auto.com/zlts/20200212/447053.shtml","http://www.12365auto.com/zlts/20200212/447053.shtml")</f>
        <v>http://www.12365auto.com/zlts/20200212/447053.shtml</v>
      </c>
      <c r="G8610" s="2"/>
      <c r="H8610" s="2" t="s">
        <v>11683</v>
      </c>
      <c r="I8610" s="2" t="s">
        <v>15</v>
      </c>
      <c r="J8610" s="2" t="s">
        <v>12</v>
      </c>
      <c r="K8610" s="2" t="s">
        <v>11682</v>
      </c>
      <c r="L8610" s="2">
        <f t="shared" si="134"/>
        <v>82</v>
      </c>
    </row>
    <row r="8611" spans="1:12" ht="25" customHeight="1">
      <c r="A8611" s="2" t="s">
        <v>12</v>
      </c>
      <c r="B8611" s="2" t="str">
        <f>HYPERLINK("http://www.12365auto.com/zlts/20200212/447052.shtml","上汽名爵HS蓄电池没电导致无法启动")</f>
        <v>上汽名爵HS蓄电池没电导致无法启动</v>
      </c>
      <c r="C8611" s="2" t="s">
        <v>13</v>
      </c>
      <c r="D8611" s="2" t="s">
        <v>12</v>
      </c>
      <c r="E8611" s="2" t="s">
        <v>17</v>
      </c>
      <c r="F8611" s="2" t="str">
        <f>HYPERLINK("http://www.12365auto.com/zlts/20200212/447052.shtml","http://www.12365auto.com/zlts/20200212/447052.shtml")</f>
        <v>http://www.12365auto.com/zlts/20200212/447052.shtml</v>
      </c>
      <c r="G8611" s="2"/>
      <c r="H8611" s="2" t="s">
        <v>11684</v>
      </c>
      <c r="I8611" s="2" t="s">
        <v>19</v>
      </c>
      <c r="J8611" s="2" t="s">
        <v>12</v>
      </c>
      <c r="K8611" s="2" t="s">
        <v>11685</v>
      </c>
      <c r="L8611" s="2">
        <f t="shared" si="134"/>
        <v>150</v>
      </c>
    </row>
    <row r="8612" spans="1:12" ht="25" customHeight="1">
      <c r="A8612" s="2" t="s">
        <v>12</v>
      </c>
      <c r="B8612" s="2" t="str">
        <f>HYPERLINK("http://www.12365auto.com/zlts/20200212/447051.shtml","广汽丰田凯美瑞车机自带CarLife无法与手机互联")</f>
        <v>广汽丰田凯美瑞车机自带CarLife无法与手机互联</v>
      </c>
      <c r="C8612" s="2" t="s">
        <v>13</v>
      </c>
      <c r="D8612" s="2" t="s">
        <v>12</v>
      </c>
      <c r="E8612" s="2" t="s">
        <v>17</v>
      </c>
      <c r="F8612" s="2" t="str">
        <f>HYPERLINK("http://www.12365auto.com/zlts/20200212/447051.shtml","http://www.12365auto.com/zlts/20200212/447051.shtml")</f>
        <v>http://www.12365auto.com/zlts/20200212/447051.shtml</v>
      </c>
      <c r="G8612" s="2"/>
      <c r="H8612" s="2" t="s">
        <v>11686</v>
      </c>
      <c r="I8612" s="2" t="s">
        <v>19</v>
      </c>
      <c r="J8612" s="2" t="s">
        <v>12</v>
      </c>
      <c r="K8612" s="2" t="s">
        <v>11687</v>
      </c>
      <c r="L8612" s="2">
        <f t="shared" si="134"/>
        <v>150</v>
      </c>
    </row>
    <row r="8613" spans="1:12" ht="25" customHeight="1">
      <c r="A8613" s="2" t="s">
        <v>12</v>
      </c>
      <c r="B8613" s="2" t="str">
        <f>HYPERLINK("http://www.12365auto.com/zlts/20200212/447050.shtml","上汽荣威RX5 MAX右侧后视镜不能调节")</f>
        <v>上汽荣威RX5 MAX右侧后视镜不能调节</v>
      </c>
      <c r="C8613" s="2" t="s">
        <v>13</v>
      </c>
      <c r="D8613" s="2" t="s">
        <v>12</v>
      </c>
      <c r="E8613" s="2" t="s">
        <v>17</v>
      </c>
      <c r="F8613" s="2" t="str">
        <f>HYPERLINK("http://www.12365auto.com/zlts/20200212/447050.shtml","http://www.12365auto.com/zlts/20200212/447050.shtml")</f>
        <v>http://www.12365auto.com/zlts/20200212/447050.shtml</v>
      </c>
      <c r="G8613" s="2"/>
      <c r="H8613" s="2" t="s">
        <v>11688</v>
      </c>
      <c r="I8613" s="2" t="s">
        <v>19</v>
      </c>
      <c r="J8613" s="2" t="s">
        <v>12</v>
      </c>
      <c r="K8613" s="2" t="s">
        <v>11689</v>
      </c>
      <c r="L8613" s="2">
        <f t="shared" si="134"/>
        <v>150</v>
      </c>
    </row>
    <row r="8614" spans="1:12" ht="25" customHeight="1">
      <c r="A8614" s="2" t="s">
        <v>12</v>
      </c>
      <c r="B8614" s="2" t="str">
        <f>HYPERLINK("http://www.12365auto.com/zlts/20200212/447046.shtml","东风雪铁龙世嘉变速箱电磁阀故障")</f>
        <v>东风雪铁龙世嘉变速箱电磁阀故障</v>
      </c>
      <c r="C8614" s="2" t="s">
        <v>13</v>
      </c>
      <c r="D8614" s="2" t="s">
        <v>12</v>
      </c>
      <c r="E8614" s="2" t="s">
        <v>17</v>
      </c>
      <c r="F8614" s="2" t="str">
        <f>HYPERLINK("http://www.12365auto.com/zlts/20200212/447046.shtml","http://www.12365auto.com/zlts/20200212/447046.shtml")</f>
        <v>http://www.12365auto.com/zlts/20200212/447046.shtml</v>
      </c>
      <c r="G8614" s="2"/>
      <c r="H8614" s="2" t="s">
        <v>11690</v>
      </c>
      <c r="I8614" s="2" t="s">
        <v>19</v>
      </c>
      <c r="J8614" s="2" t="s">
        <v>12</v>
      </c>
      <c r="K8614" s="2" t="s">
        <v>11691</v>
      </c>
      <c r="L8614" s="2">
        <f t="shared" si="134"/>
        <v>150</v>
      </c>
    </row>
    <row r="8615" spans="1:12" ht="25" customHeight="1">
      <c r="A8615" s="2" t="s">
        <v>12</v>
      </c>
      <c r="B8615" s="2" t="str">
        <f>HYPERLINK("http://www.12365auto.com/zlts/20200212/447037.shtml","车子购买10个月，电瓶出现问题车子无法启动")</f>
        <v>车子购买10个月，电瓶出现问题车子无法启动</v>
      </c>
      <c r="C8615" s="2" t="s">
        <v>13</v>
      </c>
      <c r="D8615" s="2" t="s">
        <v>12</v>
      </c>
      <c r="E8615" s="2"/>
      <c r="F8615" s="2" t="str">
        <f>HYPERLINK("http://www.12365auto.com/zlts/20200212/447037.shtml","http://www.12365auto.com/zlts/20200212/447037.shtml")</f>
        <v>http://www.12365auto.com/zlts/20200212/447037.shtml</v>
      </c>
      <c r="G8615" s="2"/>
      <c r="H8615" s="2" t="s">
        <v>11693</v>
      </c>
      <c r="I8615" s="2" t="s">
        <v>15</v>
      </c>
      <c r="J8615" s="2" t="s">
        <v>12</v>
      </c>
      <c r="K8615" s="2" t="s">
        <v>11692</v>
      </c>
      <c r="L8615" s="2">
        <f t="shared" si="134"/>
        <v>87</v>
      </c>
    </row>
    <row r="8616" spans="1:12" ht="25" customHeight="1">
      <c r="A8616" s="2" t="s">
        <v>12</v>
      </c>
      <c r="B8616" s="2" t="str">
        <f>HYPERLINK("http://www.12365auto.com/zlts/20200212/447041.shtml","郑州日产途达电瓶亏电需要搭电着车")</f>
        <v>郑州日产途达电瓶亏电需要搭电着车</v>
      </c>
      <c r="C8616" s="2" t="s">
        <v>13</v>
      </c>
      <c r="D8616" s="2" t="s">
        <v>12</v>
      </c>
      <c r="E8616" s="2" t="s">
        <v>17</v>
      </c>
      <c r="F8616" s="2" t="str">
        <f>HYPERLINK("http://www.12365auto.com/zlts/20200212/447041.shtml","http://www.12365auto.com/zlts/20200212/447041.shtml")</f>
        <v>http://www.12365auto.com/zlts/20200212/447041.shtml</v>
      </c>
      <c r="G8616" s="2"/>
      <c r="H8616" s="2" t="s">
        <v>11694</v>
      </c>
      <c r="I8616" s="2" t="s">
        <v>19</v>
      </c>
      <c r="J8616" s="2" t="s">
        <v>12</v>
      </c>
      <c r="K8616" s="2" t="s">
        <v>11695</v>
      </c>
      <c r="L8616" s="2">
        <f t="shared" si="134"/>
        <v>150</v>
      </c>
    </row>
    <row r="8617" spans="1:12" ht="25" customHeight="1">
      <c r="A8617" s="2" t="s">
        <v>12</v>
      </c>
      <c r="B8617" s="2" t="str">
        <f>HYPERLINK("http://bbs.12365auto.com/postcontent.aspx?tId=193933","科鲁兹故障灯亮起 这个故障灯代表什么？？")</f>
        <v>科鲁兹故障灯亮起 这个故障灯代表什么？？</v>
      </c>
      <c r="C8617" s="2" t="s">
        <v>13</v>
      </c>
      <c r="D8617" s="2" t="s">
        <v>12</v>
      </c>
      <c r="E8617" s="2" t="s">
        <v>66</v>
      </c>
      <c r="F8617" s="2" t="str">
        <f>HYPERLINK("http://bbs.12365auto.com/postcontent.aspx?tId=193933","http://bbs.12365auto.com/postcontent.aspx?tId=193933")</f>
        <v>http://bbs.12365auto.com/postcontent.aspx?tId=193933</v>
      </c>
      <c r="G8617" s="2"/>
      <c r="H8617" s="2" t="s">
        <v>11696</v>
      </c>
      <c r="I8617" s="2" t="s">
        <v>15</v>
      </c>
      <c r="J8617" s="2" t="s">
        <v>11697</v>
      </c>
      <c r="K8617" s="2" t="s">
        <v>11698</v>
      </c>
      <c r="L8617" s="2">
        <f t="shared" si="134"/>
        <v>74</v>
      </c>
    </row>
    <row r="8618" spans="1:12" ht="25" customHeight="1">
      <c r="A8618" s="2" t="s">
        <v>12</v>
      </c>
      <c r="B8618" s="2" t="str">
        <f>HYPERLINK("http://bbs.12365auto.com/postcontent.aspx?tID=193933","科鲁兹故障灯亮起 这个故障灯代表什么？？")</f>
        <v>科鲁兹故障灯亮起 这个故障灯代表什么？？</v>
      </c>
      <c r="C8618" s="2" t="s">
        <v>13</v>
      </c>
      <c r="D8618" s="2" t="s">
        <v>12</v>
      </c>
      <c r="E8618" s="2" t="s">
        <v>67</v>
      </c>
      <c r="F8618" s="2" t="str">
        <f>HYPERLINK("http://bbs.12365auto.com/postcontent.aspx?tID=193933","http://bbs.12365auto.com/postcontent.aspx?tID=193933")</f>
        <v>http://bbs.12365auto.com/postcontent.aspx?tID=193933</v>
      </c>
      <c r="G8618" s="2"/>
      <c r="H8618" s="2" t="s">
        <v>11699</v>
      </c>
      <c r="I8618" s="2" t="s">
        <v>15</v>
      </c>
      <c r="J8618" s="2" t="s">
        <v>11697</v>
      </c>
      <c r="K8618" s="2" t="s">
        <v>11698</v>
      </c>
      <c r="L8618" s="2">
        <f t="shared" si="134"/>
        <v>94</v>
      </c>
    </row>
    <row r="8619" spans="1:12" ht="25" customHeight="1">
      <c r="A8619" s="2" t="s">
        <v>12</v>
      </c>
      <c r="B8619" s="2" t="str">
        <f>HYPERLINK("http://www.12365auto.com/zlts/20200212/447034.shtml","广汽本田飞度冷车启动时发动机异响")</f>
        <v>广汽本田飞度冷车启动时发动机异响</v>
      </c>
      <c r="C8619" s="2" t="s">
        <v>13</v>
      </c>
      <c r="D8619" s="2" t="s">
        <v>12</v>
      </c>
      <c r="E8619" s="2" t="s">
        <v>17</v>
      </c>
      <c r="F8619" s="2" t="str">
        <f>HYPERLINK("http://www.12365auto.com/zlts/20200212/447034.shtml","http://www.12365auto.com/zlts/20200212/447034.shtml")</f>
        <v>http://www.12365auto.com/zlts/20200212/447034.shtml</v>
      </c>
      <c r="G8619" s="2"/>
      <c r="H8619" s="2" t="s">
        <v>11700</v>
      </c>
      <c r="I8619" s="2" t="s">
        <v>19</v>
      </c>
      <c r="J8619" s="2" t="s">
        <v>12</v>
      </c>
      <c r="K8619" s="2" t="s">
        <v>11701</v>
      </c>
      <c r="L8619" s="2">
        <f t="shared" si="134"/>
        <v>150</v>
      </c>
    </row>
    <row r="8620" spans="1:12" ht="25" customHeight="1">
      <c r="A8620" s="2" t="s">
        <v>12</v>
      </c>
      <c r="B8620" s="2" t="str">
        <f>HYPERLINK("http://www.12365auto.com/zlts/20200212/447032.shtml","众泰SR9变速器打滑无法行驶厂家未回复")</f>
        <v>众泰SR9变速器打滑无法行驶厂家未回复</v>
      </c>
      <c r="C8620" s="2" t="s">
        <v>13</v>
      </c>
      <c r="D8620" s="2" t="s">
        <v>12</v>
      </c>
      <c r="E8620" s="2"/>
      <c r="F8620" s="2" t="str">
        <f>HYPERLINK("http://www.12365auto.com/zlts/20200212/447032.shtml","http://www.12365auto.com/zlts/20200212/447032.shtml")</f>
        <v>http://www.12365auto.com/zlts/20200212/447032.shtml</v>
      </c>
      <c r="G8620" s="2"/>
      <c r="H8620" s="2" t="s">
        <v>11703</v>
      </c>
      <c r="I8620" s="2" t="s">
        <v>15</v>
      </c>
      <c r="J8620" s="2" t="s">
        <v>12</v>
      </c>
      <c r="K8620" s="2" t="s">
        <v>11702</v>
      </c>
      <c r="L8620" s="2">
        <f t="shared" si="134"/>
        <v>85</v>
      </c>
    </row>
    <row r="8621" spans="1:12" ht="25" customHeight="1">
      <c r="A8621" s="2" t="s">
        <v>12</v>
      </c>
      <c r="B8621" s="2" t="str">
        <f>HYPERLINK("http://www.12365auto.com/zlts/20200212/447030.shtml","上汽大众朗逸在购车时销售无法提供费用明细")</f>
        <v>上汽大众朗逸在购车时销售无法提供费用明细</v>
      </c>
      <c r="C8621" s="2" t="s">
        <v>13</v>
      </c>
      <c r="D8621" s="2" t="s">
        <v>12</v>
      </c>
      <c r="E8621" s="2" t="s">
        <v>17</v>
      </c>
      <c r="F8621" s="2" t="str">
        <f>HYPERLINK("http://www.12365auto.com/zlts/20200212/447030.shtml","http://www.12365auto.com/zlts/20200212/447030.shtml")</f>
        <v>http://www.12365auto.com/zlts/20200212/447030.shtml</v>
      </c>
      <c r="G8621" s="2"/>
      <c r="H8621" s="2" t="s">
        <v>11704</v>
      </c>
      <c r="I8621" s="2" t="s">
        <v>19</v>
      </c>
      <c r="J8621" s="2" t="s">
        <v>12</v>
      </c>
      <c r="K8621" s="2" t="s">
        <v>11705</v>
      </c>
      <c r="L8621" s="2">
        <f t="shared" si="134"/>
        <v>150</v>
      </c>
    </row>
    <row r="8622" spans="1:12" ht="25" customHeight="1">
      <c r="A8622" s="2" t="s">
        <v>12</v>
      </c>
      <c r="B8622" s="2" t="str">
        <f>HYPERLINK("http://www.12365auto.com/zlts/20200212/447025.shtml","车子刚刚保修期就气囊游丝坏气囊灯一直常亮。")</f>
        <v>车子刚刚保修期就气囊游丝坏气囊灯一直常亮。</v>
      </c>
      <c r="C8622" s="2" t="s">
        <v>13</v>
      </c>
      <c r="D8622" s="2" t="s">
        <v>12</v>
      </c>
      <c r="E8622" s="2"/>
      <c r="F8622" s="2" t="str">
        <f>HYPERLINK("http://www.12365auto.com/zlts/20200212/447025.shtml","http://www.12365auto.com/zlts/20200212/447025.shtml")</f>
        <v>http://www.12365auto.com/zlts/20200212/447025.shtml</v>
      </c>
      <c r="G8622" s="2"/>
      <c r="H8622" s="2" t="s">
        <v>11707</v>
      </c>
      <c r="I8622" s="2" t="s">
        <v>15</v>
      </c>
      <c r="J8622" s="2" t="s">
        <v>12</v>
      </c>
      <c r="K8622" s="2" t="s">
        <v>11706</v>
      </c>
      <c r="L8622" s="2">
        <f t="shared" si="134"/>
        <v>89</v>
      </c>
    </row>
    <row r="8623" spans="1:12" ht="25" customHeight="1">
      <c r="A8623" s="2" t="s">
        <v>12</v>
      </c>
      <c r="B8623" s="2" t="str">
        <f>HYPERLINK("http://www.12365auto.com/zlts/20200212/447026.shtml","东风悦达起亚智跑电瓶亏电导致无法启动")</f>
        <v>东风悦达起亚智跑电瓶亏电导致无法启动</v>
      </c>
      <c r="C8623" s="2" t="s">
        <v>13</v>
      </c>
      <c r="D8623" s="2" t="s">
        <v>12</v>
      </c>
      <c r="E8623" s="2" t="s">
        <v>17</v>
      </c>
      <c r="F8623" s="2" t="str">
        <f>HYPERLINK("http://www.12365auto.com/zlts/20200212/447026.shtml","http://www.12365auto.com/zlts/20200212/447026.shtml")</f>
        <v>http://www.12365auto.com/zlts/20200212/447026.shtml</v>
      </c>
      <c r="G8623" s="2"/>
      <c r="H8623" s="2" t="s">
        <v>11708</v>
      </c>
      <c r="I8623" s="2" t="s">
        <v>19</v>
      </c>
      <c r="J8623" s="2" t="s">
        <v>12</v>
      </c>
      <c r="K8623" s="2" t="s">
        <v>11709</v>
      </c>
      <c r="L8623" s="2">
        <f t="shared" si="134"/>
        <v>150</v>
      </c>
    </row>
    <row r="8624" spans="1:12" ht="25" customHeight="1">
      <c r="A8624" s="2" t="s">
        <v>12</v>
      </c>
      <c r="B8624" s="2" t="str">
        <f>HYPERLINK("http://m.12365auto.com/zjdy/20200212/121196.shtml","落地13万合资SUV哪款质量更好值得购买？")</f>
        <v>落地13万合资SUV哪款质量更好值得购买？</v>
      </c>
      <c r="C8624" s="2" t="s">
        <v>13</v>
      </c>
      <c r="D8624" s="2" t="s">
        <v>12</v>
      </c>
      <c r="E8624" s="2"/>
      <c r="F8624" s="2" t="str">
        <f>HYPERLINK("http://m.12365auto.com/zjdy/20200212/121196.shtml","http://m.12365auto.com/zjdy/20200212/121196.shtml")</f>
        <v>http://m.12365auto.com/zjdy/20200212/121196.shtml</v>
      </c>
      <c r="G8624" s="2"/>
      <c r="H8624" s="2" t="s">
        <v>11710</v>
      </c>
      <c r="I8624" s="2" t="s">
        <v>19</v>
      </c>
      <c r="J8624" s="2" t="s">
        <v>12</v>
      </c>
      <c r="K8624" s="2" t="s">
        <v>11711</v>
      </c>
      <c r="L8624" s="2">
        <f t="shared" si="134"/>
        <v>27</v>
      </c>
    </row>
    <row r="8625" spans="1:12" ht="25" customHeight="1">
      <c r="A8625" s="2" t="s">
        <v>12</v>
      </c>
      <c r="B8625" s="2" t="str">
        <f>HYPERLINK("http://www.12365auto.com/zlts/20200212/447021.shtml","一汽丰田卡罗拉仪表盘黑屏希望厂家处理")</f>
        <v>一汽丰田卡罗拉仪表盘黑屏希望厂家处理</v>
      </c>
      <c r="C8625" s="2" t="s">
        <v>13</v>
      </c>
      <c r="D8625" s="2" t="s">
        <v>12</v>
      </c>
      <c r="E8625" s="2" t="s">
        <v>17</v>
      </c>
      <c r="F8625" s="2" t="str">
        <f>HYPERLINK("http://www.12365auto.com/zlts/20200212/447021.shtml","http://www.12365auto.com/zlts/20200212/447021.shtml")</f>
        <v>http://www.12365auto.com/zlts/20200212/447021.shtml</v>
      </c>
      <c r="G8625" s="2"/>
      <c r="H8625" s="2" t="s">
        <v>11712</v>
      </c>
      <c r="I8625" s="2" t="s">
        <v>19</v>
      </c>
      <c r="J8625" s="2" t="s">
        <v>12</v>
      </c>
      <c r="K8625" s="2" t="s">
        <v>11713</v>
      </c>
      <c r="L8625" s="2">
        <f t="shared" si="134"/>
        <v>150</v>
      </c>
    </row>
    <row r="8626" spans="1:12" ht="25" customHeight="1">
      <c r="A8626" s="2" t="s">
        <v>12</v>
      </c>
      <c r="B8626" s="2" t="str">
        <f>HYPERLINK("http://www.12365auto.com/zlts/20200212/447019.shtml","东风雪铁龙C4L行驶往左跑偏，厂家不给解决。")</f>
        <v>东风雪铁龙C4L行驶往左跑偏，厂家不给解决。</v>
      </c>
      <c r="C8626" s="2" t="s">
        <v>13</v>
      </c>
      <c r="D8626" s="2" t="s">
        <v>12</v>
      </c>
      <c r="E8626" s="2"/>
      <c r="F8626" s="2" t="str">
        <f>HYPERLINK("http://www.12365auto.com/zlts/20200212/447019.shtml","http://www.12365auto.com/zlts/20200212/447019.shtml")</f>
        <v>http://www.12365auto.com/zlts/20200212/447019.shtml</v>
      </c>
      <c r="G8626" s="2"/>
      <c r="H8626" s="2" t="s">
        <v>11715</v>
      </c>
      <c r="I8626" s="2" t="s">
        <v>15</v>
      </c>
      <c r="J8626" s="2" t="s">
        <v>12</v>
      </c>
      <c r="K8626" s="2" t="s">
        <v>11714</v>
      </c>
      <c r="L8626" s="2">
        <f t="shared" si="134"/>
        <v>85</v>
      </c>
    </row>
    <row r="8627" spans="1:12" ht="25" customHeight="1">
      <c r="A8627" s="2" t="s">
        <v>12</v>
      </c>
      <c r="B8627" s="2" t="str">
        <f>HYPERLINK("http://www.12365auto.com/zlts/20200212/447020.shtml","长安凌轩悬挂故障导致车身变形厂家不处理")</f>
        <v>长安凌轩悬挂故障导致车身变形厂家不处理</v>
      </c>
      <c r="C8627" s="2" t="s">
        <v>13</v>
      </c>
      <c r="D8627" s="2" t="s">
        <v>12</v>
      </c>
      <c r="E8627" s="2" t="s">
        <v>17</v>
      </c>
      <c r="F8627" s="2" t="str">
        <f>HYPERLINK("http://www.12365auto.com/zlts/20200212/447020.shtml","http://www.12365auto.com/zlts/20200212/447020.shtml")</f>
        <v>http://www.12365auto.com/zlts/20200212/447020.shtml</v>
      </c>
      <c r="G8627" s="2"/>
      <c r="H8627" s="2" t="s">
        <v>11716</v>
      </c>
      <c r="I8627" s="2" t="s">
        <v>19</v>
      </c>
      <c r="J8627" s="2" t="s">
        <v>12</v>
      </c>
      <c r="K8627" s="2" t="s">
        <v>11717</v>
      </c>
      <c r="L8627" s="2">
        <f t="shared" si="134"/>
        <v>150</v>
      </c>
    </row>
    <row r="8628" spans="1:12" ht="25" customHeight="1">
      <c r="A8628" s="2" t="s">
        <v>12</v>
      </c>
      <c r="B8628" s="2" t="str">
        <f>HYPERLINK("http://www.12365auto.com/zlts/20200212/447016.shtml","一汽丰田奕泽刹车系统漏油4S店推脱不处理")</f>
        <v>一汽丰田奕泽刹车系统漏油4S店推脱不处理</v>
      </c>
      <c r="C8628" s="2" t="s">
        <v>13</v>
      </c>
      <c r="D8628" s="2" t="s">
        <v>12</v>
      </c>
      <c r="E8628" s="2"/>
      <c r="F8628" s="2" t="str">
        <f>HYPERLINK("http://www.12365auto.com/zlts/20200212/447016.shtml","http://www.12365auto.com/zlts/20200212/447016.shtml")</f>
        <v>http://www.12365auto.com/zlts/20200212/447016.shtml</v>
      </c>
      <c r="G8628" s="2"/>
      <c r="H8628" s="2" t="s">
        <v>11719</v>
      </c>
      <c r="I8628" s="2" t="s">
        <v>15</v>
      </c>
      <c r="J8628" s="2" t="s">
        <v>12</v>
      </c>
      <c r="K8628" s="2" t="s">
        <v>11718</v>
      </c>
      <c r="L8628" s="2">
        <f t="shared" si="134"/>
        <v>84</v>
      </c>
    </row>
    <row r="8629" spans="1:12" ht="25" customHeight="1">
      <c r="A8629" s="2" t="s">
        <v>12</v>
      </c>
      <c r="B8629" s="2" t="str">
        <f>HYPERLINK("http://www.12365auto.com/zlts/20200212/447018.shtml","进口奥迪A7变速箱故障没有倒挡没有偶数挡")</f>
        <v>进口奥迪A7变速箱故障没有倒挡没有偶数挡</v>
      </c>
      <c r="C8629" s="2" t="s">
        <v>13</v>
      </c>
      <c r="D8629" s="2" t="s">
        <v>12</v>
      </c>
      <c r="E8629" s="2" t="s">
        <v>17</v>
      </c>
      <c r="F8629" s="2" t="str">
        <f>HYPERLINK("http://www.12365auto.com/zlts/20200212/447018.shtml","http://www.12365auto.com/zlts/20200212/447018.shtml")</f>
        <v>http://www.12365auto.com/zlts/20200212/447018.shtml</v>
      </c>
      <c r="G8629" s="2"/>
      <c r="H8629" s="2" t="s">
        <v>11720</v>
      </c>
      <c r="I8629" s="2" t="s">
        <v>15</v>
      </c>
      <c r="J8629" s="2" t="s">
        <v>12</v>
      </c>
      <c r="K8629" s="2" t="s">
        <v>11721</v>
      </c>
      <c r="L8629" s="2">
        <f t="shared" si="134"/>
        <v>150</v>
      </c>
    </row>
    <row r="8630" spans="1:12" ht="25" customHeight="1">
      <c r="A8630" s="2" t="s">
        <v>12</v>
      </c>
      <c r="B8630" s="2" t="str">
        <f>HYPERLINK("http://bbs.12365auto.com/postcontent.aspx?tId=193932","CR-V发动机机油乳化质量差")</f>
        <v>CR-V发动机机油乳化质量差</v>
      </c>
      <c r="C8630" s="2" t="s">
        <v>13</v>
      </c>
      <c r="D8630" s="2" t="s">
        <v>12</v>
      </c>
      <c r="E8630" s="2" t="s">
        <v>66</v>
      </c>
      <c r="F8630" s="2" t="str">
        <f>HYPERLINK("http://bbs.12365auto.com/postcontent.aspx?tId=193932","http://bbs.12365auto.com/postcontent.aspx?tId=193932")</f>
        <v>http://bbs.12365auto.com/postcontent.aspx?tId=193932</v>
      </c>
      <c r="G8630" s="2"/>
      <c r="H8630" s="2" t="s">
        <v>11722</v>
      </c>
      <c r="I8630" s="2" t="s">
        <v>15</v>
      </c>
      <c r="J8630" s="2" t="s">
        <v>4119</v>
      </c>
      <c r="K8630" s="2" t="s">
        <v>11721</v>
      </c>
      <c r="L8630" s="2">
        <f t="shared" si="134"/>
        <v>80</v>
      </c>
    </row>
    <row r="8631" spans="1:12" ht="25" customHeight="1">
      <c r="A8631" s="2" t="s">
        <v>12</v>
      </c>
      <c r="B8631" s="2" t="str">
        <f>HYPERLINK("http://bbs.12365auto.com/postcontent.aspx?tID=193932","CR-V发动机机油乳化质量差")</f>
        <v>CR-V发动机机油乳化质量差</v>
      </c>
      <c r="C8631" s="2" t="s">
        <v>13</v>
      </c>
      <c r="D8631" s="2" t="s">
        <v>12</v>
      </c>
      <c r="E8631" s="2" t="s">
        <v>67</v>
      </c>
      <c r="F8631" s="2" t="str">
        <f>HYPERLINK("http://bbs.12365auto.com/postcontent.aspx?tID=193932","http://bbs.12365auto.com/postcontent.aspx?tID=193932")</f>
        <v>http://bbs.12365auto.com/postcontent.aspx?tID=193932</v>
      </c>
      <c r="G8631" s="2"/>
      <c r="H8631" s="2" t="s">
        <v>11723</v>
      </c>
      <c r="I8631" s="2" t="s">
        <v>15</v>
      </c>
      <c r="J8631" s="2" t="s">
        <v>4119</v>
      </c>
      <c r="K8631" s="2" t="s">
        <v>11721</v>
      </c>
      <c r="L8631" s="2">
        <f t="shared" si="134"/>
        <v>94</v>
      </c>
    </row>
    <row r="8632" spans="1:12" ht="25" customHeight="1">
      <c r="A8632" s="2" t="s">
        <v>12</v>
      </c>
      <c r="B8632" s="2" t="str">
        <f>HYPERLINK("http://m.12365auto.com/bbs/postcontent.aspx?tID=193932","CR-V发动机机油乳化质量差")</f>
        <v>CR-V发动机机油乳化质量差</v>
      </c>
      <c r="C8632" s="2" t="s">
        <v>13</v>
      </c>
      <c r="D8632" s="2" t="s">
        <v>23</v>
      </c>
      <c r="E8632" s="2"/>
      <c r="F8632" s="2" t="str">
        <f>HYPERLINK("http://m.12365auto.com/bbs/postcontent.aspx?tID=193932","http://m.12365auto.com/bbs/postcontent.aspx?tID=193932")</f>
        <v>http://m.12365auto.com/bbs/postcontent.aspx?tID=193932</v>
      </c>
      <c r="G8632" s="2"/>
      <c r="H8632" s="2" t="s">
        <v>11722</v>
      </c>
      <c r="I8632" s="2" t="s">
        <v>15</v>
      </c>
      <c r="J8632" s="2" t="s">
        <v>4119</v>
      </c>
      <c r="K8632" s="2" t="s">
        <v>11721</v>
      </c>
      <c r="L8632" s="2">
        <f t="shared" si="134"/>
        <v>80</v>
      </c>
    </row>
    <row r="8633" spans="1:12" ht="25" customHeight="1">
      <c r="A8633" s="2" t="s">
        <v>12</v>
      </c>
      <c r="B8633" s="2" t="str">
        <f>HYPERLINK("http://bbs.12365auto.com/postcontent.aspx?tId=193931","名爵HS电动后备箱打开不了了")</f>
        <v>名爵HS电动后备箱打开不了了</v>
      </c>
      <c r="C8633" s="2" t="s">
        <v>13</v>
      </c>
      <c r="D8633" s="2" t="s">
        <v>12</v>
      </c>
      <c r="E8633" s="2" t="s">
        <v>66</v>
      </c>
      <c r="F8633" s="2" t="str">
        <f>HYPERLINK("http://bbs.12365auto.com/postcontent.aspx?tId=193931","http://bbs.12365auto.com/postcontent.aspx?tId=193931")</f>
        <v>http://bbs.12365auto.com/postcontent.aspx?tId=193931</v>
      </c>
      <c r="G8633" s="2"/>
      <c r="H8633" s="2" t="s">
        <v>11724</v>
      </c>
      <c r="I8633" s="2" t="s">
        <v>15</v>
      </c>
      <c r="J8633" s="2" t="s">
        <v>4123</v>
      </c>
      <c r="K8633" s="2" t="s">
        <v>11725</v>
      </c>
      <c r="L8633" s="2">
        <f t="shared" si="134"/>
        <v>113</v>
      </c>
    </row>
    <row r="8634" spans="1:12" ht="25" customHeight="1">
      <c r="A8634" s="2" t="s">
        <v>12</v>
      </c>
      <c r="B8634" s="2" t="str">
        <f>HYPERLINK("http://bbs.12365auto.com/postcontent.aspx?tId=193930","荣光V变速箱挂挡困难车窗上升不了了")</f>
        <v>荣光V变速箱挂挡困难车窗上升不了了</v>
      </c>
      <c r="C8634" s="2" t="s">
        <v>13</v>
      </c>
      <c r="D8634" s="2" t="s">
        <v>12</v>
      </c>
      <c r="E8634" s="2" t="s">
        <v>66</v>
      </c>
      <c r="F8634" s="2" t="str">
        <f>HYPERLINK("http://bbs.12365auto.com/postcontent.aspx?tId=193930","http://bbs.12365auto.com/postcontent.aspx?tId=193930")</f>
        <v>http://bbs.12365auto.com/postcontent.aspx?tId=193930</v>
      </c>
      <c r="G8634" s="2"/>
      <c r="H8634" s="2" t="s">
        <v>11726</v>
      </c>
      <c r="I8634" s="2" t="s">
        <v>15</v>
      </c>
      <c r="J8634" s="2" t="s">
        <v>4126</v>
      </c>
      <c r="K8634" s="2" t="s">
        <v>11725</v>
      </c>
      <c r="L8634" s="2">
        <f t="shared" si="134"/>
        <v>68</v>
      </c>
    </row>
    <row r="8635" spans="1:12" ht="25" customHeight="1">
      <c r="A8635" s="2" t="s">
        <v>12</v>
      </c>
      <c r="B8635" s="2" t="str">
        <f>HYPERLINK("http://bbs.12365auto.com/postcontent.aspx?tID=193930","荣光V变速箱挂挡困难车窗上升不了了")</f>
        <v>荣光V变速箱挂挡困难车窗上升不了了</v>
      </c>
      <c r="C8635" s="2" t="s">
        <v>13</v>
      </c>
      <c r="D8635" s="2" t="s">
        <v>12</v>
      </c>
      <c r="E8635" s="2" t="s">
        <v>67</v>
      </c>
      <c r="F8635" s="2" t="str">
        <f>HYPERLINK("http://bbs.12365auto.com/postcontent.aspx?tID=193930","http://bbs.12365auto.com/postcontent.aspx?tID=193930")</f>
        <v>http://bbs.12365auto.com/postcontent.aspx?tID=193930</v>
      </c>
      <c r="G8635" s="2"/>
      <c r="H8635" s="2" t="s">
        <v>11727</v>
      </c>
      <c r="I8635" s="2" t="s">
        <v>15</v>
      </c>
      <c r="J8635" s="2" t="s">
        <v>4126</v>
      </c>
      <c r="K8635" s="2" t="s">
        <v>11725</v>
      </c>
      <c r="L8635" s="2">
        <f t="shared" si="134"/>
        <v>85</v>
      </c>
    </row>
    <row r="8636" spans="1:12" ht="25" customHeight="1">
      <c r="A8636" s="2" t="s">
        <v>12</v>
      </c>
      <c r="B8636" s="2" t="str">
        <f>HYPERLINK("http://bbs.12365auto.com/postcontent.aspx?tID=193931","名爵HS电动后备箱打开不了了")</f>
        <v>名爵HS电动后备箱打开不了了</v>
      </c>
      <c r="C8636" s="2" t="s">
        <v>13</v>
      </c>
      <c r="D8636" s="2" t="s">
        <v>12</v>
      </c>
      <c r="E8636" s="2" t="s">
        <v>67</v>
      </c>
      <c r="F8636" s="2" t="str">
        <f>HYPERLINK("http://bbs.12365auto.com/postcontent.aspx?tID=193931","http://bbs.12365auto.com/postcontent.aspx?tID=193931")</f>
        <v>http://bbs.12365auto.com/postcontent.aspx?tID=193931</v>
      </c>
      <c r="G8636" s="2"/>
      <c r="H8636" s="2" t="s">
        <v>11728</v>
      </c>
      <c r="I8636" s="2" t="s">
        <v>15</v>
      </c>
      <c r="J8636" s="2" t="s">
        <v>4123</v>
      </c>
      <c r="K8636" s="2" t="s">
        <v>11725</v>
      </c>
      <c r="L8636" s="2">
        <f t="shared" si="134"/>
        <v>127</v>
      </c>
    </row>
    <row r="8637" spans="1:12" ht="25" customHeight="1">
      <c r="A8637" s="2" t="s">
        <v>12</v>
      </c>
      <c r="B8637" s="2" t="str">
        <f>HYPERLINK("http://bbs.12365auto.com/postcontent.aspx?tID=193930&amp;sId=1565&amp;ppage=1&amp;from=s","荣光V变速箱挂挡困难车窗上升不了了")</f>
        <v>荣光V变速箱挂挡困难车窗上升不了了</v>
      </c>
      <c r="C8637" s="2" t="s">
        <v>13</v>
      </c>
      <c r="D8637" s="2" t="s">
        <v>12</v>
      </c>
      <c r="E8637" s="2" t="s">
        <v>11729</v>
      </c>
      <c r="F8637" s="2" t="str">
        <f>HYPERLINK("http://bbs.12365auto.com/postcontent.aspx?tID=193930&amp;sId=1565&amp;ppage=1&amp;from=s","http://bbs.12365auto.com/postcontent.aspx?tID=193930&amp;sId=1565&amp;ppage=1&amp;from=s")</f>
        <v>http://bbs.12365auto.com/postcontent.aspx?tID=193930&amp;sId=1565&amp;ppage=1&amp;from=s</v>
      </c>
      <c r="G8637" s="2"/>
      <c r="H8637" s="2" t="s">
        <v>11727</v>
      </c>
      <c r="I8637" s="2" t="s">
        <v>15</v>
      </c>
      <c r="J8637" s="2" t="s">
        <v>11730</v>
      </c>
      <c r="K8637" s="2" t="s">
        <v>11725</v>
      </c>
      <c r="L8637" s="2">
        <f t="shared" si="134"/>
        <v>85</v>
      </c>
    </row>
    <row r="8638" spans="1:12" ht="25" customHeight="1">
      <c r="A8638" s="2" t="s">
        <v>12</v>
      </c>
      <c r="B8638" s="2" t="str">
        <f>HYPERLINK("http://m.12365auto.com/bbs/postcontent.aspx?tID=193930","荣光V变速箱挂挡困难车窗上升不了了")</f>
        <v>荣光V变速箱挂挡困难车窗上升不了了</v>
      </c>
      <c r="C8638" s="2" t="s">
        <v>13</v>
      </c>
      <c r="D8638" s="2" t="s">
        <v>23</v>
      </c>
      <c r="E8638" s="2"/>
      <c r="F8638" s="2" t="str">
        <f>HYPERLINK("http://m.12365auto.com/bbs/postcontent.aspx?tID=193930","http://m.12365auto.com/bbs/postcontent.aspx?tID=193930")</f>
        <v>http://m.12365auto.com/bbs/postcontent.aspx?tID=193930</v>
      </c>
      <c r="G8638" s="2"/>
      <c r="H8638" s="2" t="s">
        <v>11726</v>
      </c>
      <c r="I8638" s="2" t="s">
        <v>15</v>
      </c>
      <c r="J8638" s="2" t="s">
        <v>4126</v>
      </c>
      <c r="K8638" s="2" t="s">
        <v>11725</v>
      </c>
      <c r="L8638" s="2">
        <f t="shared" si="134"/>
        <v>68</v>
      </c>
    </row>
    <row r="8639" spans="1:12" ht="25" customHeight="1">
      <c r="A8639" s="2" t="s">
        <v>12</v>
      </c>
      <c r="B8639" s="2" t="str">
        <f>HYPERLINK("http://m.12365auto.com/bbs/postcontent.aspx?tID=193931","名爵HS电动后备箱打开不了了")</f>
        <v>名爵HS电动后备箱打开不了了</v>
      </c>
      <c r="C8639" s="2" t="s">
        <v>13</v>
      </c>
      <c r="D8639" s="2" t="s">
        <v>23</v>
      </c>
      <c r="E8639" s="2"/>
      <c r="F8639" s="2" t="str">
        <f>HYPERLINK("http://m.12365auto.com/bbs/postcontent.aspx?tID=193931","http://m.12365auto.com/bbs/postcontent.aspx?tID=193931")</f>
        <v>http://m.12365auto.com/bbs/postcontent.aspx?tID=193931</v>
      </c>
      <c r="G8639" s="2"/>
      <c r="H8639" s="2" t="s">
        <v>11724</v>
      </c>
      <c r="I8639" s="2" t="s">
        <v>15</v>
      </c>
      <c r="J8639" s="2" t="s">
        <v>4123</v>
      </c>
      <c r="K8639" s="2" t="s">
        <v>11725</v>
      </c>
      <c r="L8639" s="2">
        <f t="shared" si="134"/>
        <v>113</v>
      </c>
    </row>
    <row r="8640" spans="1:12" ht="25" customHeight="1">
      <c r="A8640" s="2" t="s">
        <v>12</v>
      </c>
      <c r="B8640" s="2" t="str">
        <f>HYPERLINK("http://bbs.12365auto.com/postcontent.aspx?tId=193929","速派发动机烧机油故障灯长亮")</f>
        <v>速派发动机烧机油故障灯长亮</v>
      </c>
      <c r="C8640" s="2" t="s">
        <v>13</v>
      </c>
      <c r="D8640" s="2" t="s">
        <v>12</v>
      </c>
      <c r="E8640" s="2" t="s">
        <v>66</v>
      </c>
      <c r="F8640" s="2" t="str">
        <f>HYPERLINK("http://bbs.12365auto.com/postcontent.aspx?tId=193929","http://bbs.12365auto.com/postcontent.aspx?tId=193929")</f>
        <v>http://bbs.12365auto.com/postcontent.aspx?tId=193929</v>
      </c>
      <c r="G8640" s="2"/>
      <c r="H8640" s="2" t="s">
        <v>8367</v>
      </c>
      <c r="I8640" s="2" t="s">
        <v>15</v>
      </c>
      <c r="J8640" s="2" t="s">
        <v>4132</v>
      </c>
      <c r="K8640" s="2" t="s">
        <v>11731</v>
      </c>
      <c r="L8640" s="2">
        <f t="shared" si="134"/>
        <v>150</v>
      </c>
    </row>
    <row r="8641" spans="1:12" ht="25" customHeight="1">
      <c r="A8641" s="2" t="s">
        <v>12</v>
      </c>
      <c r="B8641" s="2" t="str">
        <f>HYPERLINK("http://bbs.12365auto.com/postcontent.aspx?tID=193929","速派发动机烧机油故障灯长亮")</f>
        <v>速派发动机烧机油故障灯长亮</v>
      </c>
      <c r="C8641" s="2" t="s">
        <v>13</v>
      </c>
      <c r="D8641" s="2" t="s">
        <v>12</v>
      </c>
      <c r="E8641" s="2" t="s">
        <v>67</v>
      </c>
      <c r="F8641" s="2" t="str">
        <f>HYPERLINK("http://bbs.12365auto.com/postcontent.aspx?tID=193929","http://bbs.12365auto.com/postcontent.aspx?tID=193929")</f>
        <v>http://bbs.12365auto.com/postcontent.aspx?tID=193929</v>
      </c>
      <c r="G8641" s="2"/>
      <c r="H8641" s="2" t="s">
        <v>11732</v>
      </c>
      <c r="I8641" s="2" t="s">
        <v>15</v>
      </c>
      <c r="J8641" s="2" t="s">
        <v>4132</v>
      </c>
      <c r="K8641" s="2" t="s">
        <v>11731</v>
      </c>
      <c r="L8641" s="2">
        <f t="shared" si="134"/>
        <v>150</v>
      </c>
    </row>
    <row r="8642" spans="1:12" ht="25" customHeight="1">
      <c r="A8642" s="2" t="s">
        <v>12</v>
      </c>
      <c r="B8642" s="2" t="str">
        <f>HYPERLINK("http://m.12365auto.com/bbs/postcontent.aspx?tID=193929","速派发动机烧机油故障灯长亮")</f>
        <v>速派发动机烧机油故障灯长亮</v>
      </c>
      <c r="C8642" s="2" t="s">
        <v>13</v>
      </c>
      <c r="D8642" s="2" t="s">
        <v>23</v>
      </c>
      <c r="E8642" s="2"/>
      <c r="F8642" s="2" t="str">
        <f>HYPERLINK("http://m.12365auto.com/bbs/postcontent.aspx?tID=193929","http://m.12365auto.com/bbs/postcontent.aspx?tID=193929")</f>
        <v>http://m.12365auto.com/bbs/postcontent.aspx?tID=193929</v>
      </c>
      <c r="G8642" s="2"/>
      <c r="H8642" s="2" t="s">
        <v>8367</v>
      </c>
      <c r="I8642" s="2" t="s">
        <v>15</v>
      </c>
      <c r="J8642" s="2" t="s">
        <v>4132</v>
      </c>
      <c r="K8642" s="2" t="s">
        <v>11731</v>
      </c>
      <c r="L8642" s="2">
        <f t="shared" si="134"/>
        <v>150</v>
      </c>
    </row>
    <row r="8643" spans="1:12" ht="25" customHeight="1">
      <c r="A8643" s="2" t="s">
        <v>12</v>
      </c>
      <c r="B8643" s="2" t="str">
        <f>HYPERLINK("http://bbs.12365auto.com/postcontent.aspx?tId=193928","途达停放就只有两天就启动不了了")</f>
        <v>途达停放就只有两天就启动不了了</v>
      </c>
      <c r="C8643" s="2" t="s">
        <v>13</v>
      </c>
      <c r="D8643" s="2" t="s">
        <v>12</v>
      </c>
      <c r="E8643" s="2" t="s">
        <v>66</v>
      </c>
      <c r="F8643" s="2" t="str">
        <f>HYPERLINK("http://bbs.12365auto.com/postcontent.aspx?tId=193928","http://bbs.12365auto.com/postcontent.aspx?tId=193928")</f>
        <v>http://bbs.12365auto.com/postcontent.aspx?tId=193928</v>
      </c>
      <c r="G8643" s="2"/>
      <c r="H8643" s="2" t="s">
        <v>11733</v>
      </c>
      <c r="I8643" s="2" t="s">
        <v>15</v>
      </c>
      <c r="J8643" s="2" t="s">
        <v>4134</v>
      </c>
      <c r="K8643" s="2" t="s">
        <v>11734</v>
      </c>
      <c r="L8643" s="2">
        <f t="shared" ref="L8643:L8706" si="135">LEN(H8643)</f>
        <v>35</v>
      </c>
    </row>
    <row r="8644" spans="1:12" ht="25" customHeight="1">
      <c r="A8644" s="2" t="s">
        <v>12</v>
      </c>
      <c r="B8644" s="2" t="str">
        <f>HYPERLINK("http://bbs.12365auto.com/postcontent.aspx?tID=193928","途达停放就只有两天就启动不了了")</f>
        <v>途达停放就只有两天就启动不了了</v>
      </c>
      <c r="C8644" s="2" t="s">
        <v>13</v>
      </c>
      <c r="D8644" s="2" t="s">
        <v>12</v>
      </c>
      <c r="E8644" s="2" t="s">
        <v>67</v>
      </c>
      <c r="F8644" s="2" t="str">
        <f>HYPERLINK("http://bbs.12365auto.com/postcontent.aspx?tID=193928","http://bbs.12365auto.com/postcontent.aspx?tID=193928")</f>
        <v>http://bbs.12365auto.com/postcontent.aspx?tID=193928</v>
      </c>
      <c r="G8644" s="2"/>
      <c r="H8644" s="2" t="s">
        <v>11735</v>
      </c>
      <c r="I8644" s="2" t="s">
        <v>15</v>
      </c>
      <c r="J8644" s="2" t="s">
        <v>4134</v>
      </c>
      <c r="K8644" s="2" t="s">
        <v>11734</v>
      </c>
      <c r="L8644" s="2">
        <f t="shared" si="135"/>
        <v>50</v>
      </c>
    </row>
    <row r="8645" spans="1:12" ht="25" customHeight="1">
      <c r="A8645" s="2" t="s">
        <v>12</v>
      </c>
      <c r="B8645" s="2" t="str">
        <f>HYPERLINK("http://m.12365auto.com/bbs/postcontent.aspx?tID=193928","途达停放就只有两天就启动不了了")</f>
        <v>途达停放就只有两天就启动不了了</v>
      </c>
      <c r="C8645" s="2" t="s">
        <v>13</v>
      </c>
      <c r="D8645" s="2" t="s">
        <v>23</v>
      </c>
      <c r="E8645" s="2"/>
      <c r="F8645" s="2" t="str">
        <f>HYPERLINK("http://m.12365auto.com/bbs/postcontent.aspx?tID=193928","http://m.12365auto.com/bbs/postcontent.aspx?tID=193928")</f>
        <v>http://m.12365auto.com/bbs/postcontent.aspx?tID=193928</v>
      </c>
      <c r="G8645" s="2"/>
      <c r="H8645" s="2" t="s">
        <v>11733</v>
      </c>
      <c r="I8645" s="2" t="s">
        <v>15</v>
      </c>
      <c r="J8645" s="2" t="s">
        <v>4134</v>
      </c>
      <c r="K8645" s="2" t="s">
        <v>11734</v>
      </c>
      <c r="L8645" s="2">
        <f t="shared" si="135"/>
        <v>35</v>
      </c>
    </row>
    <row r="8646" spans="1:12" ht="25" customHeight="1">
      <c r="A8646" s="2" t="s">
        <v>12</v>
      </c>
      <c r="B8646" s="2" t="str">
        <f>HYPERLINK("http://bbs.12365auto.com/postcontent.aspx?tId=193927","GX7安全气囊故障灯一直在亮车太垃圾了")</f>
        <v>GX7安全气囊故障灯一直在亮车太垃圾了</v>
      </c>
      <c r="C8646" s="2" t="s">
        <v>13</v>
      </c>
      <c r="D8646" s="2" t="s">
        <v>12</v>
      </c>
      <c r="E8646" s="2" t="s">
        <v>66</v>
      </c>
      <c r="F8646" s="2" t="str">
        <f>HYPERLINK("http://bbs.12365auto.com/postcontent.aspx?tId=193927","http://bbs.12365auto.com/postcontent.aspx?tId=193927")</f>
        <v>http://bbs.12365auto.com/postcontent.aspx?tId=193927</v>
      </c>
      <c r="G8646" s="2"/>
      <c r="H8646" s="2" t="s">
        <v>11736</v>
      </c>
      <c r="I8646" s="2" t="s">
        <v>15</v>
      </c>
      <c r="J8646" s="2" t="s">
        <v>4138</v>
      </c>
      <c r="K8646" s="2" t="s">
        <v>11737</v>
      </c>
      <c r="L8646" s="2">
        <f t="shared" si="135"/>
        <v>75</v>
      </c>
    </row>
    <row r="8647" spans="1:12" ht="25" customHeight="1">
      <c r="A8647" s="2" t="s">
        <v>12</v>
      </c>
      <c r="B8647" s="2" t="str">
        <f>HYPERLINK("http://bbs.12365auto.com/postcontent.aspx?tID=193927","GX7安全气囊故障灯一直在亮车太垃圾了")</f>
        <v>GX7安全气囊故障灯一直在亮车太垃圾了</v>
      </c>
      <c r="C8647" s="2" t="s">
        <v>13</v>
      </c>
      <c r="D8647" s="2" t="s">
        <v>12</v>
      </c>
      <c r="E8647" s="2" t="s">
        <v>67</v>
      </c>
      <c r="F8647" s="2" t="str">
        <f>HYPERLINK("http://bbs.12365auto.com/postcontent.aspx?tID=193927","http://bbs.12365auto.com/postcontent.aspx?tID=193927")</f>
        <v>http://bbs.12365auto.com/postcontent.aspx?tID=193927</v>
      </c>
      <c r="G8647" s="2"/>
      <c r="H8647" s="2" t="s">
        <v>11738</v>
      </c>
      <c r="I8647" s="2" t="s">
        <v>15</v>
      </c>
      <c r="J8647" s="2" t="s">
        <v>4138</v>
      </c>
      <c r="K8647" s="2" t="s">
        <v>11737</v>
      </c>
      <c r="L8647" s="2">
        <f t="shared" si="135"/>
        <v>94</v>
      </c>
    </row>
    <row r="8648" spans="1:12" ht="25" customHeight="1">
      <c r="A8648" s="2" t="s">
        <v>12</v>
      </c>
      <c r="B8648" s="2" t="str">
        <f>HYPERLINK("http://m.12365auto.com/bbs/postcontent.aspx?tID=193927","GX7安全气囊故障灯一直在亮车太垃圾了")</f>
        <v>GX7安全气囊故障灯一直在亮车太垃圾了</v>
      </c>
      <c r="C8648" s="2" t="s">
        <v>13</v>
      </c>
      <c r="D8648" s="2" t="s">
        <v>23</v>
      </c>
      <c r="E8648" s="2"/>
      <c r="F8648" s="2" t="str">
        <f>HYPERLINK("http://m.12365auto.com/bbs/postcontent.aspx?tID=193927","http://m.12365auto.com/bbs/postcontent.aspx?tID=193927")</f>
        <v>http://m.12365auto.com/bbs/postcontent.aspx?tID=193927</v>
      </c>
      <c r="G8648" s="2"/>
      <c r="H8648" s="2" t="s">
        <v>11736</v>
      </c>
      <c r="I8648" s="2" t="s">
        <v>15</v>
      </c>
      <c r="J8648" s="2" t="s">
        <v>4138</v>
      </c>
      <c r="K8648" s="2" t="s">
        <v>11737</v>
      </c>
      <c r="L8648" s="2">
        <f t="shared" si="135"/>
        <v>75</v>
      </c>
    </row>
    <row r="8649" spans="1:12" ht="25" customHeight="1">
      <c r="A8649" s="2" t="s">
        <v>12</v>
      </c>
      <c r="B8649" s="2" t="str">
        <f>HYPERLINK("http://bbs.12365auto.com/postcontent.aspx?tID=193925","红旗HS5行驶时发动机车门异响不断呀")</f>
        <v>红旗HS5行驶时发动机车门异响不断呀</v>
      </c>
      <c r="C8649" s="2" t="s">
        <v>13</v>
      </c>
      <c r="D8649" s="2" t="s">
        <v>12</v>
      </c>
      <c r="E8649" s="2" t="s">
        <v>67</v>
      </c>
      <c r="F8649" s="2" t="str">
        <f>HYPERLINK("http://bbs.12365auto.com/postcontent.aspx?tID=193925","http://bbs.12365auto.com/postcontent.aspx?tID=193925")</f>
        <v>http://bbs.12365auto.com/postcontent.aspx?tID=193925</v>
      </c>
      <c r="G8649" s="2"/>
      <c r="H8649" s="2" t="s">
        <v>11739</v>
      </c>
      <c r="I8649" s="2" t="s">
        <v>15</v>
      </c>
      <c r="J8649" s="2" t="s">
        <v>4142</v>
      </c>
      <c r="K8649" s="2" t="s">
        <v>11740</v>
      </c>
      <c r="L8649" s="2">
        <f t="shared" si="135"/>
        <v>150</v>
      </c>
    </row>
    <row r="8650" spans="1:12" ht="25" customHeight="1">
      <c r="A8650" s="2" t="s">
        <v>12</v>
      </c>
      <c r="B8650" s="2" t="str">
        <f>HYPERLINK("http://bbs.12365auto.com/postcontent.aspx?tId=193925","红旗HS5行驶时发动机车门异响不断呀")</f>
        <v>红旗HS5行驶时发动机车门异响不断呀</v>
      </c>
      <c r="C8650" s="2" t="s">
        <v>13</v>
      </c>
      <c r="D8650" s="2" t="s">
        <v>12</v>
      </c>
      <c r="E8650" s="2" t="s">
        <v>66</v>
      </c>
      <c r="F8650" s="2" t="str">
        <f>HYPERLINK("http://bbs.12365auto.com/postcontent.aspx?tId=193925","http://bbs.12365auto.com/postcontent.aspx?tId=193925")</f>
        <v>http://bbs.12365auto.com/postcontent.aspx?tId=193925</v>
      </c>
      <c r="G8650" s="2"/>
      <c r="H8650" s="2" t="s">
        <v>11741</v>
      </c>
      <c r="I8650" s="2" t="s">
        <v>15</v>
      </c>
      <c r="J8650" s="2" t="s">
        <v>4142</v>
      </c>
      <c r="K8650" s="2" t="s">
        <v>11740</v>
      </c>
      <c r="L8650" s="2">
        <f t="shared" si="135"/>
        <v>150</v>
      </c>
    </row>
    <row r="8651" spans="1:12" ht="25" customHeight="1">
      <c r="A8651" s="2" t="s">
        <v>12</v>
      </c>
      <c r="B8651" s="2" t="str">
        <f>HYPERLINK("http://bbs.12365auto.com/postcontent.aspx?tId=193926","途达电池没电启动不了质量不行")</f>
        <v>途达电池没电启动不了质量不行</v>
      </c>
      <c r="C8651" s="2" t="s">
        <v>13</v>
      </c>
      <c r="D8651" s="2" t="s">
        <v>12</v>
      </c>
      <c r="E8651" s="2" t="s">
        <v>66</v>
      </c>
      <c r="F8651" s="2" t="str">
        <f>HYPERLINK("http://bbs.12365auto.com/postcontent.aspx?tId=193926","http://bbs.12365auto.com/postcontent.aspx?tId=193926")</f>
        <v>http://bbs.12365auto.com/postcontent.aspx?tId=193926</v>
      </c>
      <c r="G8651" s="2"/>
      <c r="H8651" s="2" t="s">
        <v>11742</v>
      </c>
      <c r="I8651" s="2" t="s">
        <v>15</v>
      </c>
      <c r="J8651" s="2" t="s">
        <v>4145</v>
      </c>
      <c r="K8651" s="2" t="s">
        <v>11740</v>
      </c>
      <c r="L8651" s="2">
        <f t="shared" si="135"/>
        <v>48</v>
      </c>
    </row>
    <row r="8652" spans="1:12" ht="25" customHeight="1">
      <c r="A8652" s="2" t="s">
        <v>12</v>
      </c>
      <c r="B8652" s="2" t="str">
        <f>HYPERLINK("http://bbs.12365auto.com/postcontent.aspx?tID=193926","途达电池没电启动不了质量不行")</f>
        <v>途达电池没电启动不了质量不行</v>
      </c>
      <c r="C8652" s="2" t="s">
        <v>13</v>
      </c>
      <c r="D8652" s="2" t="s">
        <v>12</v>
      </c>
      <c r="E8652" s="2" t="s">
        <v>67</v>
      </c>
      <c r="F8652" s="2" t="str">
        <f>HYPERLINK("http://bbs.12365auto.com/postcontent.aspx?tID=193926","http://bbs.12365auto.com/postcontent.aspx?tID=193926")</f>
        <v>http://bbs.12365auto.com/postcontent.aspx?tID=193926</v>
      </c>
      <c r="G8652" s="2"/>
      <c r="H8652" s="2" t="s">
        <v>11743</v>
      </c>
      <c r="I8652" s="2" t="s">
        <v>15</v>
      </c>
      <c r="J8652" s="2" t="s">
        <v>4145</v>
      </c>
      <c r="K8652" s="2" t="s">
        <v>11740</v>
      </c>
      <c r="L8652" s="2">
        <f t="shared" si="135"/>
        <v>62</v>
      </c>
    </row>
    <row r="8653" spans="1:12" ht="25" customHeight="1">
      <c r="A8653" s="2" t="s">
        <v>12</v>
      </c>
      <c r="B8653" s="2" t="str">
        <f>HYPERLINK("http://m.12365auto.com/bbs/postcontent.aspx?tID=193926","途达电池没电启动不了质量不行")</f>
        <v>途达电池没电启动不了质量不行</v>
      </c>
      <c r="C8653" s="2" t="s">
        <v>13</v>
      </c>
      <c r="D8653" s="2" t="s">
        <v>23</v>
      </c>
      <c r="E8653" s="2"/>
      <c r="F8653" s="2" t="str">
        <f>HYPERLINK("http://m.12365auto.com/bbs/postcontent.aspx?tID=193926","http://m.12365auto.com/bbs/postcontent.aspx?tID=193926")</f>
        <v>http://m.12365auto.com/bbs/postcontent.aspx?tID=193926</v>
      </c>
      <c r="G8653" s="2"/>
      <c r="H8653" s="2" t="s">
        <v>11742</v>
      </c>
      <c r="I8653" s="2" t="s">
        <v>15</v>
      </c>
      <c r="J8653" s="2" t="s">
        <v>4145</v>
      </c>
      <c r="K8653" s="2" t="s">
        <v>11740</v>
      </c>
      <c r="L8653" s="2">
        <f t="shared" si="135"/>
        <v>48</v>
      </c>
    </row>
    <row r="8654" spans="1:12" ht="25" customHeight="1">
      <c r="A8654" s="2" t="s">
        <v>12</v>
      </c>
      <c r="B8654" s="2" t="str">
        <f>HYPERLINK("http://m.12365auto.com/bbs/postcontent.aspx?tID=193925","红旗HS5行驶时发动机车门异响不断呀")</f>
        <v>红旗HS5行驶时发动机车门异响不断呀</v>
      </c>
      <c r="C8654" s="2" t="s">
        <v>13</v>
      </c>
      <c r="D8654" s="2" t="s">
        <v>23</v>
      </c>
      <c r="E8654" s="2"/>
      <c r="F8654" s="2" t="str">
        <f>HYPERLINK("http://m.12365auto.com/bbs/postcontent.aspx?tID=193925","http://m.12365auto.com/bbs/postcontent.aspx?tID=193925")</f>
        <v>http://m.12365auto.com/bbs/postcontent.aspx?tID=193925</v>
      </c>
      <c r="G8654" s="2"/>
      <c r="H8654" s="2" t="s">
        <v>11741</v>
      </c>
      <c r="I8654" s="2" t="s">
        <v>15</v>
      </c>
      <c r="J8654" s="2" t="s">
        <v>4142</v>
      </c>
      <c r="K8654" s="2" t="s">
        <v>11740</v>
      </c>
      <c r="L8654" s="2">
        <f t="shared" si="135"/>
        <v>150</v>
      </c>
    </row>
    <row r="8655" spans="1:12" ht="25" customHeight="1">
      <c r="A8655" s="2" t="s">
        <v>12</v>
      </c>
      <c r="B8655" s="2" t="str">
        <f>HYPERLINK("http://bbs.12365auto.com/postcontent.aspx?tID=193924","高尔夫变速箱挂倒挡开不了车")</f>
        <v>高尔夫变速箱挂倒挡开不了车</v>
      </c>
      <c r="C8655" s="2" t="s">
        <v>13</v>
      </c>
      <c r="D8655" s="2" t="s">
        <v>12</v>
      </c>
      <c r="E8655" s="2" t="s">
        <v>67</v>
      </c>
      <c r="F8655" s="2" t="str">
        <f>HYPERLINK("http://bbs.12365auto.com/postcontent.aspx?tID=193924","http://bbs.12365auto.com/postcontent.aspx?tID=193924")</f>
        <v>http://bbs.12365auto.com/postcontent.aspx?tID=193924</v>
      </c>
      <c r="G8655" s="2"/>
      <c r="H8655" s="2" t="s">
        <v>11744</v>
      </c>
      <c r="I8655" s="2" t="s">
        <v>15</v>
      </c>
      <c r="J8655" s="2" t="s">
        <v>4152</v>
      </c>
      <c r="K8655" s="2" t="s">
        <v>11745</v>
      </c>
      <c r="L8655" s="2">
        <f t="shared" si="135"/>
        <v>68</v>
      </c>
    </row>
    <row r="8656" spans="1:12" ht="25" customHeight="1">
      <c r="A8656" s="2" t="s">
        <v>12</v>
      </c>
      <c r="B8656" s="2" t="str">
        <f>HYPERLINK("http://bbs.12365auto.com/postcontent.aspx?tId=193924","高尔夫变速箱挂倒挡开不了车")</f>
        <v>高尔夫变速箱挂倒挡开不了车</v>
      </c>
      <c r="C8656" s="2" t="s">
        <v>13</v>
      </c>
      <c r="D8656" s="2" t="s">
        <v>12</v>
      </c>
      <c r="E8656" s="2" t="s">
        <v>66</v>
      </c>
      <c r="F8656" s="2" t="str">
        <f>HYPERLINK("http://bbs.12365auto.com/postcontent.aspx?tId=193924","http://bbs.12365auto.com/postcontent.aspx?tId=193924")</f>
        <v>http://bbs.12365auto.com/postcontent.aspx?tId=193924</v>
      </c>
      <c r="G8656" s="2"/>
      <c r="H8656" s="2" t="s">
        <v>11746</v>
      </c>
      <c r="I8656" s="2" t="s">
        <v>15</v>
      </c>
      <c r="J8656" s="2" t="s">
        <v>4152</v>
      </c>
      <c r="K8656" s="2" t="s">
        <v>11745</v>
      </c>
      <c r="L8656" s="2">
        <f t="shared" si="135"/>
        <v>55</v>
      </c>
    </row>
    <row r="8657" spans="1:12" ht="25" customHeight="1">
      <c r="A8657" s="2" t="s">
        <v>12</v>
      </c>
      <c r="B8657" s="2" t="str">
        <f>HYPERLINK("http://m.12365auto.com/bbs/postcontent.aspx?tID=193924","高尔夫变速箱挂倒挡开不了车")</f>
        <v>高尔夫变速箱挂倒挡开不了车</v>
      </c>
      <c r="C8657" s="2" t="s">
        <v>13</v>
      </c>
      <c r="D8657" s="2" t="s">
        <v>23</v>
      </c>
      <c r="E8657" s="2"/>
      <c r="F8657" s="2" t="str">
        <f>HYPERLINK("http://m.12365auto.com/bbs/postcontent.aspx?tID=193924","http://m.12365auto.com/bbs/postcontent.aspx?tID=193924")</f>
        <v>http://m.12365auto.com/bbs/postcontent.aspx?tID=193924</v>
      </c>
      <c r="G8657" s="2"/>
      <c r="H8657" s="2" t="s">
        <v>11746</v>
      </c>
      <c r="I8657" s="2" t="s">
        <v>15</v>
      </c>
      <c r="J8657" s="2" t="s">
        <v>4152</v>
      </c>
      <c r="K8657" s="2" t="s">
        <v>11745</v>
      </c>
      <c r="L8657" s="2">
        <f t="shared" si="135"/>
        <v>55</v>
      </c>
    </row>
    <row r="8658" spans="1:12" ht="25" customHeight="1">
      <c r="A8658" s="2" t="s">
        <v>12</v>
      </c>
      <c r="B8658" s="2" t="str">
        <f>HYPERLINK("http://bbs.12365auto.com/postcontent.aspx?tID=193923","艾力绅仪表盘故障灯亮车门也打不开")</f>
        <v>艾力绅仪表盘故障灯亮车门也打不开</v>
      </c>
      <c r="C8658" s="2" t="s">
        <v>13</v>
      </c>
      <c r="D8658" s="2" t="s">
        <v>12</v>
      </c>
      <c r="E8658" s="2" t="s">
        <v>67</v>
      </c>
      <c r="F8658" s="2" t="str">
        <f>HYPERLINK("http://bbs.12365auto.com/postcontent.aspx?tID=193923","http://bbs.12365auto.com/postcontent.aspx?tID=193923")</f>
        <v>http://bbs.12365auto.com/postcontent.aspx?tID=193923</v>
      </c>
      <c r="G8658" s="2"/>
      <c r="H8658" s="2" t="s">
        <v>11747</v>
      </c>
      <c r="I8658" s="2" t="s">
        <v>15</v>
      </c>
      <c r="J8658" s="2" t="s">
        <v>4149</v>
      </c>
      <c r="K8658" s="2" t="s">
        <v>11748</v>
      </c>
      <c r="L8658" s="2">
        <f t="shared" si="135"/>
        <v>129</v>
      </c>
    </row>
    <row r="8659" spans="1:12" ht="25" customHeight="1">
      <c r="A8659" s="2" t="s">
        <v>12</v>
      </c>
      <c r="B8659" s="2" t="str">
        <f>HYPERLINK("http://bbs.12365auto.com/postcontent.aspx?tID=193922","风神AX7离合器卡住不回位不能挂挡了")</f>
        <v>风神AX7离合器卡住不回位不能挂挡了</v>
      </c>
      <c r="C8659" s="2" t="s">
        <v>13</v>
      </c>
      <c r="D8659" s="2" t="s">
        <v>12</v>
      </c>
      <c r="E8659" s="2" t="s">
        <v>67</v>
      </c>
      <c r="F8659" s="2" t="str">
        <f>HYPERLINK("http://bbs.12365auto.com/postcontent.aspx?tID=193922","http://bbs.12365auto.com/postcontent.aspx?tID=193922")</f>
        <v>http://bbs.12365auto.com/postcontent.aspx?tID=193922</v>
      </c>
      <c r="G8659" s="2"/>
      <c r="H8659" s="2" t="s">
        <v>11749</v>
      </c>
      <c r="I8659" s="2" t="s">
        <v>15</v>
      </c>
      <c r="J8659" s="2" t="s">
        <v>4156</v>
      </c>
      <c r="K8659" s="2" t="s">
        <v>11748</v>
      </c>
      <c r="L8659" s="2">
        <f t="shared" si="135"/>
        <v>63</v>
      </c>
    </row>
    <row r="8660" spans="1:12" ht="25" customHeight="1">
      <c r="A8660" s="2" t="s">
        <v>12</v>
      </c>
      <c r="B8660" s="2" t="str">
        <f>HYPERLINK("http://bbs.12365auto.com/postcontent.aspx?tId=193923","艾力绅仪表盘故障灯亮车门也打不开")</f>
        <v>艾力绅仪表盘故障灯亮车门也打不开</v>
      </c>
      <c r="C8660" s="2" t="s">
        <v>13</v>
      </c>
      <c r="D8660" s="2" t="s">
        <v>12</v>
      </c>
      <c r="E8660" s="2" t="s">
        <v>66</v>
      </c>
      <c r="F8660" s="2" t="str">
        <f>HYPERLINK("http://bbs.12365auto.com/postcontent.aspx?tId=193923","http://bbs.12365auto.com/postcontent.aspx?tId=193923")</f>
        <v>http://bbs.12365auto.com/postcontent.aspx?tId=193923</v>
      </c>
      <c r="G8660" s="2"/>
      <c r="H8660" s="2" t="s">
        <v>11750</v>
      </c>
      <c r="I8660" s="2" t="s">
        <v>15</v>
      </c>
      <c r="J8660" s="2" t="s">
        <v>4149</v>
      </c>
      <c r="K8660" s="2" t="s">
        <v>11748</v>
      </c>
      <c r="L8660" s="2">
        <f t="shared" si="135"/>
        <v>113</v>
      </c>
    </row>
    <row r="8661" spans="1:12" ht="25" customHeight="1">
      <c r="A8661" s="2" t="s">
        <v>12</v>
      </c>
      <c r="B8661" s="2" t="str">
        <f>HYPERLINK("http://bbs.12365auto.com/postcontent.aspx?tId=193922","风神AX7离合器卡住不回位不能挂挡了")</f>
        <v>风神AX7离合器卡住不回位不能挂挡了</v>
      </c>
      <c r="C8661" s="2" t="s">
        <v>13</v>
      </c>
      <c r="D8661" s="2" t="s">
        <v>12</v>
      </c>
      <c r="E8661" s="2" t="s">
        <v>66</v>
      </c>
      <c r="F8661" s="2" t="str">
        <f>HYPERLINK("http://bbs.12365auto.com/postcontent.aspx?tId=193922","http://bbs.12365auto.com/postcontent.aspx?tId=193922")</f>
        <v>http://bbs.12365auto.com/postcontent.aspx?tId=193922</v>
      </c>
      <c r="G8661" s="2"/>
      <c r="H8661" s="2" t="s">
        <v>11751</v>
      </c>
      <c r="I8661" s="2" t="s">
        <v>15</v>
      </c>
      <c r="J8661" s="2" t="s">
        <v>4156</v>
      </c>
      <c r="K8661" s="2" t="s">
        <v>11748</v>
      </c>
      <c r="L8661" s="2">
        <f t="shared" si="135"/>
        <v>45</v>
      </c>
    </row>
    <row r="8662" spans="1:12" ht="25" customHeight="1">
      <c r="A8662" s="2" t="s">
        <v>12</v>
      </c>
      <c r="B8662" s="2" t="str">
        <f>HYPERLINK("http://m.12365auto.com/bbs/postcontent.aspx?tID=193923","艾力绅仪表盘故障灯亮车门也打不开")</f>
        <v>艾力绅仪表盘故障灯亮车门也打不开</v>
      </c>
      <c r="C8662" s="2" t="s">
        <v>13</v>
      </c>
      <c r="D8662" s="2" t="s">
        <v>23</v>
      </c>
      <c r="E8662" s="2"/>
      <c r="F8662" s="2" t="str">
        <f>HYPERLINK("http://m.12365auto.com/bbs/postcontent.aspx?tID=193923","http://m.12365auto.com/bbs/postcontent.aspx?tID=193923")</f>
        <v>http://m.12365auto.com/bbs/postcontent.aspx?tID=193923</v>
      </c>
      <c r="G8662" s="2"/>
      <c r="H8662" s="2" t="s">
        <v>11750</v>
      </c>
      <c r="I8662" s="2" t="s">
        <v>15</v>
      </c>
      <c r="J8662" s="2" t="s">
        <v>4149</v>
      </c>
      <c r="K8662" s="2" t="s">
        <v>11748</v>
      </c>
      <c r="L8662" s="2">
        <f t="shared" si="135"/>
        <v>113</v>
      </c>
    </row>
    <row r="8663" spans="1:12" ht="25" customHeight="1">
      <c r="A8663" s="2" t="s">
        <v>12</v>
      </c>
      <c r="B8663" s="2" t="str">
        <f>HYPERLINK("http://bbs.12365auto.com/postcontent.aspx?tID=193921","高尔夫变速箱顿挫 厂家怎么看")</f>
        <v>高尔夫变速箱顿挫 厂家怎么看</v>
      </c>
      <c r="C8663" s="2" t="s">
        <v>13</v>
      </c>
      <c r="D8663" s="2" t="s">
        <v>12</v>
      </c>
      <c r="E8663" s="2" t="s">
        <v>67</v>
      </c>
      <c r="F8663" s="2" t="str">
        <f>HYPERLINK("http://bbs.12365auto.com/postcontent.aspx?tID=193921","http://bbs.12365auto.com/postcontent.aspx?tID=193921")</f>
        <v>http://bbs.12365auto.com/postcontent.aspx?tID=193921</v>
      </c>
      <c r="G8663" s="2"/>
      <c r="H8663" s="2" t="s">
        <v>11752</v>
      </c>
      <c r="I8663" s="2" t="s">
        <v>15</v>
      </c>
      <c r="J8663" s="2" t="s">
        <v>4160</v>
      </c>
      <c r="K8663" s="2" t="s">
        <v>11753</v>
      </c>
      <c r="L8663" s="2">
        <f t="shared" si="135"/>
        <v>65</v>
      </c>
    </row>
    <row r="8664" spans="1:12" ht="25" customHeight="1">
      <c r="A8664" s="2" t="s">
        <v>12</v>
      </c>
      <c r="B8664" s="2" t="str">
        <f>HYPERLINK("http://bbs.12365auto.com/postcontent.aspx?tId=193921","高尔夫变速箱顿挫 厂家怎么看")</f>
        <v>高尔夫变速箱顿挫 厂家怎么看</v>
      </c>
      <c r="C8664" s="2" t="s">
        <v>13</v>
      </c>
      <c r="D8664" s="2" t="s">
        <v>12</v>
      </c>
      <c r="E8664" s="2" t="s">
        <v>66</v>
      </c>
      <c r="F8664" s="2" t="str">
        <f>HYPERLINK("http://bbs.12365auto.com/postcontent.aspx?tId=193921","http://bbs.12365auto.com/postcontent.aspx?tId=193921")</f>
        <v>http://bbs.12365auto.com/postcontent.aspx?tId=193921</v>
      </c>
      <c r="G8664" s="2"/>
      <c r="H8664" s="2" t="s">
        <v>11754</v>
      </c>
      <c r="I8664" s="2" t="s">
        <v>15</v>
      </c>
      <c r="J8664" s="2" t="s">
        <v>4160</v>
      </c>
      <c r="K8664" s="2" t="s">
        <v>11753</v>
      </c>
      <c r="L8664" s="2">
        <f t="shared" si="135"/>
        <v>51</v>
      </c>
    </row>
    <row r="8665" spans="1:12" ht="25" customHeight="1">
      <c r="A8665" s="2" t="s">
        <v>12</v>
      </c>
      <c r="B8665" s="2" t="str">
        <f>HYPERLINK("http://bbs.12365auto.com/postcontent.aspx?tID=193920","标致308发动机烧机油越来越严重")</f>
        <v>标致308发动机烧机油越来越严重</v>
      </c>
      <c r="C8665" s="2" t="s">
        <v>13</v>
      </c>
      <c r="D8665" s="2" t="s">
        <v>12</v>
      </c>
      <c r="E8665" s="2" t="s">
        <v>67</v>
      </c>
      <c r="F8665" s="2" t="str">
        <f>HYPERLINK("http://bbs.12365auto.com/postcontent.aspx?tID=193920","http://bbs.12365auto.com/postcontent.aspx?tID=193920")</f>
        <v>http://bbs.12365auto.com/postcontent.aspx?tID=193920</v>
      </c>
      <c r="G8665" s="2"/>
      <c r="H8665" s="2" t="s">
        <v>11755</v>
      </c>
      <c r="I8665" s="2" t="s">
        <v>15</v>
      </c>
      <c r="J8665" s="2" t="s">
        <v>4163</v>
      </c>
      <c r="K8665" s="2" t="s">
        <v>11756</v>
      </c>
      <c r="L8665" s="2">
        <f t="shared" si="135"/>
        <v>76</v>
      </c>
    </row>
    <row r="8666" spans="1:12" ht="25" customHeight="1">
      <c r="A8666" s="2" t="s">
        <v>12</v>
      </c>
      <c r="B8666" s="2" t="str">
        <f>HYPERLINK("http://bbs.12365auto.com/postcontent.aspx?tId=193920","标致308发动机烧机油越来越严重")</f>
        <v>标致308发动机烧机油越来越严重</v>
      </c>
      <c r="C8666" s="2" t="s">
        <v>13</v>
      </c>
      <c r="D8666" s="2" t="s">
        <v>12</v>
      </c>
      <c r="E8666" s="2" t="s">
        <v>66</v>
      </c>
      <c r="F8666" s="2" t="str">
        <f>HYPERLINK("http://bbs.12365auto.com/postcontent.aspx?tId=193920","http://bbs.12365auto.com/postcontent.aspx?tId=193920")</f>
        <v>http://bbs.12365auto.com/postcontent.aspx?tId=193920</v>
      </c>
      <c r="G8666" s="2"/>
      <c r="H8666" s="2" t="s">
        <v>11757</v>
      </c>
      <c r="I8666" s="2" t="s">
        <v>15</v>
      </c>
      <c r="J8666" s="2" t="s">
        <v>4163</v>
      </c>
      <c r="K8666" s="2" t="s">
        <v>11756</v>
      </c>
      <c r="L8666" s="2">
        <f t="shared" si="135"/>
        <v>60</v>
      </c>
    </row>
    <row r="8667" spans="1:12" ht="25" customHeight="1">
      <c r="A8667" s="2" t="s">
        <v>12</v>
      </c>
      <c r="B8667" s="2" t="str">
        <f>HYPERLINK("http://bbs.12365auto.com/postcontent.aspx?tID=193919","瑞虎8LED大灯照射面积太小了这是原厂的灯吗？")</f>
        <v>瑞虎8LED大灯照射面积太小了这是原厂的灯吗？</v>
      </c>
      <c r="C8667" s="2" t="s">
        <v>13</v>
      </c>
      <c r="D8667" s="2" t="s">
        <v>12</v>
      </c>
      <c r="E8667" s="2" t="s">
        <v>67</v>
      </c>
      <c r="F8667" s="2" t="str">
        <f>HYPERLINK("http://bbs.12365auto.com/postcontent.aspx?tID=193919","http://bbs.12365auto.com/postcontent.aspx?tID=193919")</f>
        <v>http://bbs.12365auto.com/postcontent.aspx?tID=193919</v>
      </c>
      <c r="G8667" s="2"/>
      <c r="H8667" s="2" t="s">
        <v>11758</v>
      </c>
      <c r="I8667" s="2" t="s">
        <v>15</v>
      </c>
      <c r="J8667" s="2" t="s">
        <v>4166</v>
      </c>
      <c r="K8667" s="2" t="s">
        <v>11759</v>
      </c>
      <c r="L8667" s="2">
        <f t="shared" si="135"/>
        <v>89</v>
      </c>
    </row>
    <row r="8668" spans="1:12" ht="25" customHeight="1">
      <c r="A8668" s="2" t="s">
        <v>12</v>
      </c>
      <c r="B8668" s="2" t="str">
        <f>HYPERLINK("http://bbs.12365auto.com/postcontent.aspx?tId=193919","瑞虎8LED大灯照射面积太小了这是原厂的灯吗？")</f>
        <v>瑞虎8LED大灯照射面积太小了这是原厂的灯吗？</v>
      </c>
      <c r="C8668" s="2" t="s">
        <v>13</v>
      </c>
      <c r="D8668" s="2" t="s">
        <v>12</v>
      </c>
      <c r="E8668" s="2" t="s">
        <v>66</v>
      </c>
      <c r="F8668" s="2" t="str">
        <f>HYPERLINK("http://bbs.12365auto.com/postcontent.aspx?tId=193919","http://bbs.12365auto.com/postcontent.aspx?tId=193919")</f>
        <v>http://bbs.12365auto.com/postcontent.aspx?tId=193919</v>
      </c>
      <c r="G8668" s="2"/>
      <c r="H8668" s="2" t="s">
        <v>11760</v>
      </c>
      <c r="I8668" s="2" t="s">
        <v>15</v>
      </c>
      <c r="J8668" s="2" t="s">
        <v>4166</v>
      </c>
      <c r="K8668" s="2" t="s">
        <v>11759</v>
      </c>
      <c r="L8668" s="2">
        <f t="shared" si="135"/>
        <v>66</v>
      </c>
    </row>
    <row r="8669" spans="1:12" ht="25" customHeight="1">
      <c r="A8669" s="2" t="s">
        <v>12</v>
      </c>
      <c r="B8669" s="2" t="str">
        <f>HYPERLINK("http://bbs.12365auto.com/postcontent.aspx?tID=193918","索纳塔九真皮座椅裂开了而且不是一次两次")</f>
        <v>索纳塔九真皮座椅裂开了而且不是一次两次</v>
      </c>
      <c r="C8669" s="2" t="s">
        <v>13</v>
      </c>
      <c r="D8669" s="2" t="s">
        <v>12</v>
      </c>
      <c r="E8669" s="2" t="s">
        <v>67</v>
      </c>
      <c r="F8669" s="2" t="str">
        <f>HYPERLINK("http://bbs.12365auto.com/postcontent.aspx?tID=193918","http://bbs.12365auto.com/postcontent.aspx?tID=193918")</f>
        <v>http://bbs.12365auto.com/postcontent.aspx?tID=193918</v>
      </c>
      <c r="G8669" s="2"/>
      <c r="H8669" s="2" t="s">
        <v>11761</v>
      </c>
      <c r="I8669" s="2" t="s">
        <v>15</v>
      </c>
      <c r="J8669" s="2" t="s">
        <v>11762</v>
      </c>
      <c r="K8669" s="2" t="s">
        <v>11763</v>
      </c>
      <c r="L8669" s="2">
        <f t="shared" si="135"/>
        <v>99</v>
      </c>
    </row>
    <row r="8670" spans="1:12" ht="25" customHeight="1">
      <c r="A8670" s="2" t="s">
        <v>12</v>
      </c>
      <c r="B8670" s="2" t="str">
        <f>HYPERLINK("http://bbs.12365auto.com/postcontent.aspx?tId=193918","索纳塔九真皮座椅裂开了而且不是一次两次")</f>
        <v>索纳塔九真皮座椅裂开了而且不是一次两次</v>
      </c>
      <c r="C8670" s="2" t="s">
        <v>13</v>
      </c>
      <c r="D8670" s="2" t="s">
        <v>12</v>
      </c>
      <c r="E8670" s="2" t="s">
        <v>66</v>
      </c>
      <c r="F8670" s="2" t="str">
        <f>HYPERLINK("http://bbs.12365auto.com/postcontent.aspx?tId=193918","http://bbs.12365auto.com/postcontent.aspx?tId=193918")</f>
        <v>http://bbs.12365auto.com/postcontent.aspx?tId=193918</v>
      </c>
      <c r="G8670" s="2"/>
      <c r="H8670" s="2" t="s">
        <v>10485</v>
      </c>
      <c r="I8670" s="2" t="s">
        <v>15</v>
      </c>
      <c r="J8670" s="2" t="s">
        <v>11762</v>
      </c>
      <c r="K8670" s="2" t="s">
        <v>11763</v>
      </c>
      <c r="L8670" s="2">
        <f t="shared" si="135"/>
        <v>80</v>
      </c>
    </row>
    <row r="8671" spans="1:12" ht="25" customHeight="1">
      <c r="A8671" s="2" t="s">
        <v>12</v>
      </c>
      <c r="B8671" s="2" t="str">
        <f>HYPERLINK("http://bbs.12365auto.com/postcontent.aspx?tID=193917","江铃驭胜S350方向跑偏抖动")</f>
        <v>江铃驭胜S350方向跑偏抖动</v>
      </c>
      <c r="C8671" s="2" t="s">
        <v>13</v>
      </c>
      <c r="D8671" s="2" t="s">
        <v>12</v>
      </c>
      <c r="E8671" s="2" t="s">
        <v>67</v>
      </c>
      <c r="F8671" s="2" t="str">
        <f>HYPERLINK("http://bbs.12365auto.com/postcontent.aspx?tID=193917","http://bbs.12365auto.com/postcontent.aspx?tID=193917")</f>
        <v>http://bbs.12365auto.com/postcontent.aspx?tID=193917</v>
      </c>
      <c r="G8671" s="2"/>
      <c r="H8671" s="2" t="s">
        <v>11764</v>
      </c>
      <c r="I8671" s="2" t="s">
        <v>15</v>
      </c>
      <c r="J8671" s="2" t="s">
        <v>11765</v>
      </c>
      <c r="K8671" s="2" t="s">
        <v>11766</v>
      </c>
      <c r="L8671" s="2">
        <f t="shared" si="135"/>
        <v>150</v>
      </c>
    </row>
    <row r="8672" spans="1:12" ht="25" customHeight="1">
      <c r="A8672" s="2" t="s">
        <v>12</v>
      </c>
      <c r="B8672" s="2" t="str">
        <f>HYPERLINK("http://bbs.12365auto.com/postcontent.aspx?tId=193917","江铃驭胜S350方向跑偏抖动")</f>
        <v>江铃驭胜S350方向跑偏抖动</v>
      </c>
      <c r="C8672" s="2" t="s">
        <v>13</v>
      </c>
      <c r="D8672" s="2" t="s">
        <v>12</v>
      </c>
      <c r="E8672" s="2" t="s">
        <v>66</v>
      </c>
      <c r="F8672" s="2" t="str">
        <f>HYPERLINK("http://bbs.12365auto.com/postcontent.aspx?tId=193917","http://bbs.12365auto.com/postcontent.aspx?tId=193917")</f>
        <v>http://bbs.12365auto.com/postcontent.aspx?tId=193917</v>
      </c>
      <c r="G8672" s="2"/>
      <c r="H8672" s="2" t="s">
        <v>11767</v>
      </c>
      <c r="I8672" s="2" t="s">
        <v>15</v>
      </c>
      <c r="J8672" s="2" t="s">
        <v>11765</v>
      </c>
      <c r="K8672" s="2" t="s">
        <v>11766</v>
      </c>
      <c r="L8672" s="2">
        <f t="shared" si="135"/>
        <v>150</v>
      </c>
    </row>
    <row r="8673" spans="1:12" ht="25" customHeight="1">
      <c r="A8673" s="2" t="s">
        <v>12</v>
      </c>
      <c r="B8673" s="2" t="str">
        <f>HYPERLINK("http://m.12365auto.com/bbs/postcontent.aspx?tID=193917","江铃驭胜S350方向跑偏抖动")</f>
        <v>江铃驭胜S350方向跑偏抖动</v>
      </c>
      <c r="C8673" s="2" t="s">
        <v>13</v>
      </c>
      <c r="D8673" s="2" t="s">
        <v>23</v>
      </c>
      <c r="E8673" s="2"/>
      <c r="F8673" s="2" t="str">
        <f>HYPERLINK("http://m.12365auto.com/bbs/postcontent.aspx?tID=193917","http://m.12365auto.com/bbs/postcontent.aspx?tID=193917")</f>
        <v>http://m.12365auto.com/bbs/postcontent.aspx?tID=193917</v>
      </c>
      <c r="G8673" s="2"/>
      <c r="H8673" s="2" t="s">
        <v>11767</v>
      </c>
      <c r="I8673" s="2" t="s">
        <v>15</v>
      </c>
      <c r="J8673" s="2" t="s">
        <v>11765</v>
      </c>
      <c r="K8673" s="2" t="s">
        <v>11766</v>
      </c>
      <c r="L8673" s="2">
        <f t="shared" si="135"/>
        <v>150</v>
      </c>
    </row>
    <row r="8674" spans="1:12" ht="25" customHeight="1">
      <c r="A8674" s="2" t="s">
        <v>12</v>
      </c>
      <c r="B8674" s="2" t="str">
        <f>HYPERLINK("http://bbs.12365auto.com/postcontent.aspx?tId=193916","北京现代领动售后服务态度差")</f>
        <v>北京现代领动售后服务态度差</v>
      </c>
      <c r="C8674" s="2" t="s">
        <v>13</v>
      </c>
      <c r="D8674" s="2" t="s">
        <v>12</v>
      </c>
      <c r="E8674" s="2" t="s">
        <v>66</v>
      </c>
      <c r="F8674" s="2" t="str">
        <f>HYPERLINK("http://bbs.12365auto.com/postcontent.aspx?tId=193916","http://bbs.12365auto.com/postcontent.aspx?tId=193916")</f>
        <v>http://bbs.12365auto.com/postcontent.aspx?tId=193916</v>
      </c>
      <c r="G8674" s="2"/>
      <c r="H8674" s="2" t="s">
        <v>11768</v>
      </c>
      <c r="I8674" s="2" t="s">
        <v>15</v>
      </c>
      <c r="J8674" s="2" t="s">
        <v>11769</v>
      </c>
      <c r="K8674" s="2" t="s">
        <v>11770</v>
      </c>
      <c r="L8674" s="2">
        <f t="shared" si="135"/>
        <v>146</v>
      </c>
    </row>
    <row r="8675" spans="1:12" ht="25" customHeight="1">
      <c r="A8675" s="2" t="s">
        <v>12</v>
      </c>
      <c r="B8675" s="2" t="str">
        <f>HYPERLINK("http://bbs.12365auto.com/postcontent.aspx?tId=193914","北京现代途胜发动机噪音大真烦人")</f>
        <v>北京现代途胜发动机噪音大真烦人</v>
      </c>
      <c r="C8675" s="2" t="s">
        <v>13</v>
      </c>
      <c r="D8675" s="2" t="s">
        <v>12</v>
      </c>
      <c r="E8675" s="2" t="s">
        <v>66</v>
      </c>
      <c r="F8675" s="2" t="str">
        <f>HYPERLINK("http://bbs.12365auto.com/postcontent.aspx?tId=193914","http://bbs.12365auto.com/postcontent.aspx?tId=193914")</f>
        <v>http://bbs.12365auto.com/postcontent.aspx?tId=193914</v>
      </c>
      <c r="G8675" s="2"/>
      <c r="H8675" s="2" t="s">
        <v>11771</v>
      </c>
      <c r="I8675" s="2" t="s">
        <v>15</v>
      </c>
      <c r="J8675" s="2" t="s">
        <v>11772</v>
      </c>
      <c r="K8675" s="2" t="s">
        <v>11770</v>
      </c>
      <c r="L8675" s="2">
        <f t="shared" si="135"/>
        <v>27</v>
      </c>
    </row>
    <row r="8676" spans="1:12" ht="25" customHeight="1">
      <c r="A8676" s="2" t="s">
        <v>12</v>
      </c>
      <c r="B8676" s="2" t="str">
        <f>HYPERLINK("http://bbs.12365auto.com/postcontent.aspx?tId=193915","广汽本田飞度冷车发动机VTC动作器异响")</f>
        <v>广汽本田飞度冷车发动机VTC动作器异响</v>
      </c>
      <c r="C8676" s="2" t="s">
        <v>13</v>
      </c>
      <c r="D8676" s="2" t="s">
        <v>12</v>
      </c>
      <c r="E8676" s="2" t="s">
        <v>66</v>
      </c>
      <c r="F8676" s="2" t="str">
        <f>HYPERLINK("http://bbs.12365auto.com/postcontent.aspx?tId=193915","http://bbs.12365auto.com/postcontent.aspx?tId=193915")</f>
        <v>http://bbs.12365auto.com/postcontent.aspx?tId=193915</v>
      </c>
      <c r="G8676" s="2"/>
      <c r="H8676" s="2" t="s">
        <v>11773</v>
      </c>
      <c r="I8676" s="2" t="s">
        <v>15</v>
      </c>
      <c r="J8676" s="2" t="s">
        <v>11774</v>
      </c>
      <c r="K8676" s="2" t="s">
        <v>11770</v>
      </c>
      <c r="L8676" s="2">
        <f t="shared" si="135"/>
        <v>39</v>
      </c>
    </row>
    <row r="8677" spans="1:12" ht="25" customHeight="1">
      <c r="A8677" s="2" t="s">
        <v>12</v>
      </c>
      <c r="B8677" s="2" t="str">
        <f>HYPERLINK("http://m.12365auto.com/bbs/postcontent.aspx?tID=193914&amp;i=1","北京现代途胜发动机噪音大真烦人")</f>
        <v>北京现代途胜发动机噪音大真烦人</v>
      </c>
      <c r="C8677" s="2" t="s">
        <v>13</v>
      </c>
      <c r="D8677" s="2" t="s">
        <v>23</v>
      </c>
      <c r="E8677" s="2"/>
      <c r="F8677" s="2" t="str">
        <f>HYPERLINK("http://m.12365auto.com/bbs/postcontent.aspx?tID=193914&amp;i=1","http://m.12365auto.com/bbs/postcontent.aspx?tID=193914&amp;i=1")</f>
        <v>http://m.12365auto.com/bbs/postcontent.aspx?tID=193914&amp;i=1</v>
      </c>
      <c r="G8677" s="2"/>
      <c r="H8677" s="2" t="s">
        <v>11771</v>
      </c>
      <c r="I8677" s="2" t="s">
        <v>15</v>
      </c>
      <c r="J8677" s="2" t="s">
        <v>11772</v>
      </c>
      <c r="K8677" s="2" t="s">
        <v>11770</v>
      </c>
      <c r="L8677" s="2">
        <f t="shared" si="135"/>
        <v>27</v>
      </c>
    </row>
    <row r="8678" spans="1:12" ht="25" customHeight="1">
      <c r="A8678" s="2" t="s">
        <v>12</v>
      </c>
      <c r="B8678" s="2" t="str">
        <f>HYPERLINK("http://m.12365auto.com/bbs/postcontent.aspx?tID=193916","北京现代领动售后服务态度差")</f>
        <v>北京现代领动售后服务态度差</v>
      </c>
      <c r="C8678" s="2" t="s">
        <v>13</v>
      </c>
      <c r="D8678" s="2" t="s">
        <v>23</v>
      </c>
      <c r="E8678" s="2"/>
      <c r="F8678" s="2" t="str">
        <f>HYPERLINK("http://m.12365auto.com/bbs/postcontent.aspx?tID=193916","http://m.12365auto.com/bbs/postcontent.aspx?tID=193916")</f>
        <v>http://m.12365auto.com/bbs/postcontent.aspx?tID=193916</v>
      </c>
      <c r="G8678" s="2"/>
      <c r="H8678" s="2" t="s">
        <v>11768</v>
      </c>
      <c r="I8678" s="2" t="s">
        <v>15</v>
      </c>
      <c r="J8678" s="2" t="s">
        <v>11769</v>
      </c>
      <c r="K8678" s="2" t="s">
        <v>11770</v>
      </c>
      <c r="L8678" s="2">
        <f t="shared" si="135"/>
        <v>146</v>
      </c>
    </row>
    <row r="8679" spans="1:12" ht="25" customHeight="1">
      <c r="A8679" s="2" t="s">
        <v>12</v>
      </c>
      <c r="B8679" s="2" t="str">
        <f>HYPERLINK("http://m.12365auto.com/bbs/postcontent.aspx?tID=193914","北京现代途胜发动机噪音大真烦人")</f>
        <v>北京现代途胜发动机噪音大真烦人</v>
      </c>
      <c r="C8679" s="2" t="s">
        <v>13</v>
      </c>
      <c r="D8679" s="2" t="s">
        <v>23</v>
      </c>
      <c r="E8679" s="2"/>
      <c r="F8679" s="2" t="str">
        <f>HYPERLINK("http://m.12365auto.com/bbs/postcontent.aspx?tID=193914","http://m.12365auto.com/bbs/postcontent.aspx?tID=193914")</f>
        <v>http://m.12365auto.com/bbs/postcontent.aspx?tID=193914</v>
      </c>
      <c r="G8679" s="2"/>
      <c r="H8679" s="2" t="s">
        <v>11771</v>
      </c>
      <c r="I8679" s="2" t="s">
        <v>15</v>
      </c>
      <c r="J8679" s="2" t="s">
        <v>11772</v>
      </c>
      <c r="K8679" s="2" t="s">
        <v>11770</v>
      </c>
      <c r="L8679" s="2">
        <f t="shared" si="135"/>
        <v>27</v>
      </c>
    </row>
    <row r="8680" spans="1:12" ht="25" customHeight="1">
      <c r="A8680" s="2" t="s">
        <v>12</v>
      </c>
      <c r="B8680" s="2" t="str">
        <f>HYPERLINK("http://m.12365auto.com/bbs/postcontent.aspx?tID=193915","广汽本田飞度冷车发动机VTC动作器异响")</f>
        <v>广汽本田飞度冷车发动机VTC动作器异响</v>
      </c>
      <c r="C8680" s="2" t="s">
        <v>13</v>
      </c>
      <c r="D8680" s="2" t="s">
        <v>23</v>
      </c>
      <c r="E8680" s="2"/>
      <c r="F8680" s="2" t="str">
        <f>HYPERLINK("http://m.12365auto.com/bbs/postcontent.aspx?tID=193915","http://m.12365auto.com/bbs/postcontent.aspx?tID=193915")</f>
        <v>http://m.12365auto.com/bbs/postcontent.aspx?tID=193915</v>
      </c>
      <c r="G8680" s="2"/>
      <c r="H8680" s="2" t="s">
        <v>11773</v>
      </c>
      <c r="I8680" s="2" t="s">
        <v>15</v>
      </c>
      <c r="J8680" s="2" t="s">
        <v>11774</v>
      </c>
      <c r="K8680" s="2" t="s">
        <v>11770</v>
      </c>
      <c r="L8680" s="2">
        <f t="shared" si="135"/>
        <v>39</v>
      </c>
    </row>
    <row r="8681" spans="1:12" ht="25" customHeight="1">
      <c r="A8681" s="2" t="s">
        <v>12</v>
      </c>
      <c r="B8681" s="2" t="str">
        <f>HYPERLINK("http://bbs.12365auto.com/postcontent.aspx?tID=193914","北京现代途胜发动机噪音大真烦人")</f>
        <v>北京现代途胜发动机噪音大真烦人</v>
      </c>
      <c r="C8681" s="2" t="s">
        <v>13</v>
      </c>
      <c r="D8681" s="2" t="s">
        <v>12</v>
      </c>
      <c r="E8681" s="2" t="s">
        <v>67</v>
      </c>
      <c r="F8681" s="2" t="str">
        <f>HYPERLINK("http://bbs.12365auto.com/postcontent.aspx?tID=193914","http://bbs.12365auto.com/postcontent.aspx?tID=193914")</f>
        <v>http://bbs.12365auto.com/postcontent.aspx?tID=193914</v>
      </c>
      <c r="G8681" s="2"/>
      <c r="H8681" s="2" t="s">
        <v>11775</v>
      </c>
      <c r="I8681" s="2" t="s">
        <v>15</v>
      </c>
      <c r="J8681" s="2" t="s">
        <v>11772</v>
      </c>
      <c r="K8681" s="2" t="s">
        <v>11770</v>
      </c>
      <c r="L8681" s="2">
        <f t="shared" si="135"/>
        <v>48</v>
      </c>
    </row>
    <row r="8682" spans="1:12" ht="25" customHeight="1">
      <c r="A8682" s="2" t="s">
        <v>12</v>
      </c>
      <c r="B8682" s="2" t="str">
        <f>HYPERLINK("http://bbs.12365auto.com/postcontent.aspx?tID=193915","广汽本田飞度冷车发动机VTC动作器异响")</f>
        <v>广汽本田飞度冷车发动机VTC动作器异响</v>
      </c>
      <c r="C8682" s="2" t="s">
        <v>13</v>
      </c>
      <c r="D8682" s="2" t="s">
        <v>12</v>
      </c>
      <c r="E8682" s="2" t="s">
        <v>67</v>
      </c>
      <c r="F8682" s="2" t="str">
        <f>HYPERLINK("http://bbs.12365auto.com/postcontent.aspx?tID=193915","http://bbs.12365auto.com/postcontent.aspx?tID=193915")</f>
        <v>http://bbs.12365auto.com/postcontent.aspx?tID=193915</v>
      </c>
      <c r="G8682" s="2"/>
      <c r="H8682" s="2" t="s">
        <v>11776</v>
      </c>
      <c r="I8682" s="2" t="s">
        <v>15</v>
      </c>
      <c r="J8682" s="2" t="s">
        <v>11774</v>
      </c>
      <c r="K8682" s="2" t="s">
        <v>11770</v>
      </c>
      <c r="L8682" s="2">
        <f t="shared" si="135"/>
        <v>62</v>
      </c>
    </row>
    <row r="8683" spans="1:12" ht="25" customHeight="1">
      <c r="A8683" s="2" t="s">
        <v>12</v>
      </c>
      <c r="B8683" s="2" t="str">
        <f>HYPERLINK("http://bbs.12365auto.com/postcontent.aspx?tID=193916","北京现代领动售后服务态度差")</f>
        <v>北京现代领动售后服务态度差</v>
      </c>
      <c r="C8683" s="2" t="s">
        <v>13</v>
      </c>
      <c r="D8683" s="2" t="s">
        <v>12</v>
      </c>
      <c r="E8683" s="2" t="s">
        <v>67</v>
      </c>
      <c r="F8683" s="2" t="str">
        <f>HYPERLINK("http://bbs.12365auto.com/postcontent.aspx?tID=193916","http://bbs.12365auto.com/postcontent.aspx?tID=193916")</f>
        <v>http://bbs.12365auto.com/postcontent.aspx?tID=193916</v>
      </c>
      <c r="G8683" s="2"/>
      <c r="H8683" s="2" t="s">
        <v>11777</v>
      </c>
      <c r="I8683" s="2" t="s">
        <v>15</v>
      </c>
      <c r="J8683" s="2" t="s">
        <v>11769</v>
      </c>
      <c r="K8683" s="2" t="s">
        <v>11770</v>
      </c>
      <c r="L8683" s="2">
        <f t="shared" si="135"/>
        <v>150</v>
      </c>
    </row>
    <row r="8684" spans="1:12" ht="25" customHeight="1">
      <c r="A8684" s="2" t="s">
        <v>12</v>
      </c>
      <c r="B8684" s="2" t="str">
        <f>HYPERLINK("http://bbs.12365auto.com/postcontent.aspx?tId=193913","奇瑞瑞虎8车灯灯光照射角度过窄")</f>
        <v>奇瑞瑞虎8车灯灯光照射角度过窄</v>
      </c>
      <c r="C8684" s="2" t="s">
        <v>13</v>
      </c>
      <c r="D8684" s="2" t="s">
        <v>12</v>
      </c>
      <c r="E8684" s="2" t="s">
        <v>66</v>
      </c>
      <c r="F8684" s="2" t="str">
        <f>HYPERLINK("http://bbs.12365auto.com/postcontent.aspx?tId=193913","http://bbs.12365auto.com/postcontent.aspx?tId=193913")</f>
        <v>http://bbs.12365auto.com/postcontent.aspx?tId=193913</v>
      </c>
      <c r="G8684" s="2"/>
      <c r="H8684" s="2" t="s">
        <v>11778</v>
      </c>
      <c r="I8684" s="2" t="s">
        <v>15</v>
      </c>
      <c r="J8684" s="2" t="s">
        <v>11779</v>
      </c>
      <c r="K8684" s="2" t="s">
        <v>11780</v>
      </c>
      <c r="L8684" s="2">
        <f t="shared" si="135"/>
        <v>37</v>
      </c>
    </row>
    <row r="8685" spans="1:12" ht="25" customHeight="1">
      <c r="A8685" s="2" t="s">
        <v>12</v>
      </c>
      <c r="B8685" s="2" t="str">
        <f>HYPERLINK("http://m.12365auto.com/bbs/postcontent.aspx?tID=193913","奇瑞瑞虎8车灯灯光照射角度过窄")</f>
        <v>奇瑞瑞虎8车灯灯光照射角度过窄</v>
      </c>
      <c r="C8685" s="2" t="s">
        <v>13</v>
      </c>
      <c r="D8685" s="2" t="s">
        <v>23</v>
      </c>
      <c r="E8685" s="2"/>
      <c r="F8685" s="2" t="str">
        <f>HYPERLINK("http://m.12365auto.com/bbs/postcontent.aspx?tID=193913","http://m.12365auto.com/bbs/postcontent.aspx?tID=193913")</f>
        <v>http://m.12365auto.com/bbs/postcontent.aspx?tID=193913</v>
      </c>
      <c r="G8685" s="2"/>
      <c r="H8685" s="2" t="s">
        <v>11778</v>
      </c>
      <c r="I8685" s="2" t="s">
        <v>15</v>
      </c>
      <c r="J8685" s="2" t="s">
        <v>11779</v>
      </c>
      <c r="K8685" s="2" t="s">
        <v>11780</v>
      </c>
      <c r="L8685" s="2">
        <f t="shared" si="135"/>
        <v>37</v>
      </c>
    </row>
    <row r="8686" spans="1:12" ht="25" customHeight="1">
      <c r="A8686" s="2" t="s">
        <v>12</v>
      </c>
      <c r="B8686" s="2" t="str">
        <f>HYPERLINK("http://bbs.12365auto.com/postcontent.aspx?tID=193913","奇瑞瑞虎8车灯灯光照射角度过窄")</f>
        <v>奇瑞瑞虎8车灯灯光照射角度过窄</v>
      </c>
      <c r="C8686" s="2" t="s">
        <v>13</v>
      </c>
      <c r="D8686" s="2" t="s">
        <v>12</v>
      </c>
      <c r="E8686" s="2" t="s">
        <v>67</v>
      </c>
      <c r="F8686" s="2" t="str">
        <f>HYPERLINK("http://bbs.12365auto.com/postcontent.aspx?tID=193913","http://bbs.12365auto.com/postcontent.aspx?tID=193913")</f>
        <v>http://bbs.12365auto.com/postcontent.aspx?tID=193913</v>
      </c>
      <c r="G8686" s="2"/>
      <c r="H8686" s="2" t="s">
        <v>11781</v>
      </c>
      <c r="I8686" s="2" t="s">
        <v>15</v>
      </c>
      <c r="J8686" s="2" t="s">
        <v>11779</v>
      </c>
      <c r="K8686" s="2" t="s">
        <v>11780</v>
      </c>
      <c r="L8686" s="2">
        <f t="shared" si="135"/>
        <v>61</v>
      </c>
    </row>
    <row r="8687" spans="1:12" ht="25" customHeight="1">
      <c r="A8687" s="2" t="s">
        <v>12</v>
      </c>
      <c r="B8687" s="2" t="str">
        <f>HYPERLINK("http://bbs.12365auto.com/postcontent.aspx?tId=193912","哈弗H9发动机烧机油厂家拒绝质保")</f>
        <v>哈弗H9发动机烧机油厂家拒绝质保</v>
      </c>
      <c r="C8687" s="2" t="s">
        <v>13</v>
      </c>
      <c r="D8687" s="2" t="s">
        <v>12</v>
      </c>
      <c r="E8687" s="2" t="s">
        <v>66</v>
      </c>
      <c r="F8687" s="2" t="str">
        <f>HYPERLINK("http://bbs.12365auto.com/postcontent.aspx?tId=193912","http://bbs.12365auto.com/postcontent.aspx?tId=193912")</f>
        <v>http://bbs.12365auto.com/postcontent.aspx?tId=193912</v>
      </c>
      <c r="G8687" s="2"/>
      <c r="H8687" s="2" t="s">
        <v>6340</v>
      </c>
      <c r="I8687" s="2" t="s">
        <v>15</v>
      </c>
      <c r="J8687" s="2" t="s">
        <v>11779</v>
      </c>
      <c r="K8687" s="2" t="s">
        <v>11782</v>
      </c>
      <c r="L8687" s="2">
        <f t="shared" si="135"/>
        <v>150</v>
      </c>
    </row>
    <row r="8688" spans="1:12" ht="25" customHeight="1">
      <c r="A8688" s="2" t="s">
        <v>12</v>
      </c>
      <c r="B8688" s="2" t="str">
        <f>HYPERLINK("http://m.12365auto.com/bbs/postcontent.aspx?tID=193912&amp;i=1","哈弗H9发动机烧机油厂家拒绝质保")</f>
        <v>哈弗H9发动机烧机油厂家拒绝质保</v>
      </c>
      <c r="C8688" s="2" t="s">
        <v>13</v>
      </c>
      <c r="D8688" s="2" t="s">
        <v>23</v>
      </c>
      <c r="E8688" s="2"/>
      <c r="F8688" s="2" t="str">
        <f>HYPERLINK("http://m.12365auto.com/bbs/postcontent.aspx?tID=193912&amp;i=1","http://m.12365auto.com/bbs/postcontent.aspx?tID=193912&amp;i=1")</f>
        <v>http://m.12365auto.com/bbs/postcontent.aspx?tID=193912&amp;i=1</v>
      </c>
      <c r="G8688" s="2"/>
      <c r="H8688" s="2" t="s">
        <v>6340</v>
      </c>
      <c r="I8688" s="2" t="s">
        <v>15</v>
      </c>
      <c r="J8688" s="2" t="s">
        <v>11779</v>
      </c>
      <c r="K8688" s="2" t="s">
        <v>11782</v>
      </c>
      <c r="L8688" s="2">
        <f t="shared" si="135"/>
        <v>150</v>
      </c>
    </row>
    <row r="8689" spans="1:12" ht="25" customHeight="1">
      <c r="A8689" s="2" t="s">
        <v>12</v>
      </c>
      <c r="B8689" s="2" t="str">
        <f>HYPERLINK("http://m.12365auto.com/bbs/postcontent.aspx?tID=193912","哈弗H9发动机烧机油厂家拒绝质保")</f>
        <v>哈弗H9发动机烧机油厂家拒绝质保</v>
      </c>
      <c r="C8689" s="2" t="s">
        <v>13</v>
      </c>
      <c r="D8689" s="2" t="s">
        <v>23</v>
      </c>
      <c r="E8689" s="2"/>
      <c r="F8689" s="2" t="str">
        <f>HYPERLINK("http://m.12365auto.com/bbs/postcontent.aspx?tID=193912","http://m.12365auto.com/bbs/postcontent.aspx?tID=193912")</f>
        <v>http://m.12365auto.com/bbs/postcontent.aspx?tID=193912</v>
      </c>
      <c r="G8689" s="2"/>
      <c r="H8689" s="2" t="s">
        <v>6340</v>
      </c>
      <c r="I8689" s="2" t="s">
        <v>15</v>
      </c>
      <c r="J8689" s="2" t="s">
        <v>11779</v>
      </c>
      <c r="K8689" s="2" t="s">
        <v>11782</v>
      </c>
      <c r="L8689" s="2">
        <f t="shared" si="135"/>
        <v>150</v>
      </c>
    </row>
    <row r="8690" spans="1:12" ht="25" customHeight="1">
      <c r="A8690" s="2" t="s">
        <v>12</v>
      </c>
      <c r="B8690" s="2" t="str">
        <f>HYPERLINK("http://bbs.12365auto.com/postcontent.aspx?tID=193912","哈弗H9发动机烧机油厂家拒绝质保")</f>
        <v>哈弗H9发动机烧机油厂家拒绝质保</v>
      </c>
      <c r="C8690" s="2" t="s">
        <v>13</v>
      </c>
      <c r="D8690" s="2" t="s">
        <v>12</v>
      </c>
      <c r="E8690" s="2" t="s">
        <v>67</v>
      </c>
      <c r="F8690" s="2" t="str">
        <f>HYPERLINK("http://bbs.12365auto.com/postcontent.aspx?tID=193912","http://bbs.12365auto.com/postcontent.aspx?tID=193912")</f>
        <v>http://bbs.12365auto.com/postcontent.aspx?tID=193912</v>
      </c>
      <c r="G8690" s="2"/>
      <c r="H8690" s="2" t="s">
        <v>11783</v>
      </c>
      <c r="I8690" s="2" t="s">
        <v>15</v>
      </c>
      <c r="J8690" s="2" t="s">
        <v>11779</v>
      </c>
      <c r="K8690" s="2" t="s">
        <v>11782</v>
      </c>
      <c r="L8690" s="2">
        <f t="shared" si="135"/>
        <v>150</v>
      </c>
    </row>
    <row r="8691" spans="1:12" ht="25" customHeight="1">
      <c r="A8691" s="2" t="s">
        <v>12</v>
      </c>
      <c r="B8691" s="2" t="str">
        <f>HYPERLINK("http://bbs.12365auto.com/postcontent.aspx?tId=193910","郑州日产途达耗电过大致电池亏电无法启动")</f>
        <v>郑州日产途达耗电过大致电池亏电无法启动</v>
      </c>
      <c r="C8691" s="2" t="s">
        <v>13</v>
      </c>
      <c r="D8691" s="2" t="s">
        <v>12</v>
      </c>
      <c r="E8691" s="2" t="s">
        <v>66</v>
      </c>
      <c r="F8691" s="2" t="str">
        <f>HYPERLINK("http://bbs.12365auto.com/postcontent.aspx?tId=193910","http://bbs.12365auto.com/postcontent.aspx?tId=193910")</f>
        <v>http://bbs.12365auto.com/postcontent.aspx?tId=193910</v>
      </c>
      <c r="G8691" s="2"/>
      <c r="H8691" s="2" t="s">
        <v>11784</v>
      </c>
      <c r="I8691" s="2" t="s">
        <v>15</v>
      </c>
      <c r="J8691" s="2" t="s">
        <v>11785</v>
      </c>
      <c r="K8691" s="2" t="s">
        <v>11786</v>
      </c>
      <c r="L8691" s="2">
        <f t="shared" si="135"/>
        <v>55</v>
      </c>
    </row>
    <row r="8692" spans="1:12" ht="25" customHeight="1">
      <c r="A8692" s="2" t="s">
        <v>12</v>
      </c>
      <c r="B8692" s="2" t="str">
        <f>HYPERLINK("http://bbs.12365auto.com/postcontent.aspx?tId=193911","东风本田INSPIRE发动机变速箱接缝处漏油")</f>
        <v>东风本田INSPIRE发动机变速箱接缝处漏油</v>
      </c>
      <c r="C8692" s="2" t="s">
        <v>13</v>
      </c>
      <c r="D8692" s="2" t="s">
        <v>12</v>
      </c>
      <c r="E8692" s="2" t="s">
        <v>66</v>
      </c>
      <c r="F8692" s="2" t="str">
        <f>HYPERLINK("http://bbs.12365auto.com/postcontent.aspx?tId=193911","http://bbs.12365auto.com/postcontent.aspx?tId=193911")</f>
        <v>http://bbs.12365auto.com/postcontent.aspx?tId=193911</v>
      </c>
      <c r="G8692" s="2"/>
      <c r="H8692" s="2" t="s">
        <v>11787</v>
      </c>
      <c r="I8692" s="2" t="s">
        <v>15</v>
      </c>
      <c r="J8692" s="2" t="s">
        <v>2432</v>
      </c>
      <c r="K8692" s="2" t="s">
        <v>11786</v>
      </c>
      <c r="L8692" s="2">
        <f t="shared" si="135"/>
        <v>150</v>
      </c>
    </row>
    <row r="8693" spans="1:12" ht="25" customHeight="1">
      <c r="A8693" s="2" t="s">
        <v>12</v>
      </c>
      <c r="B8693" s="2" t="str">
        <f>HYPERLINK("http://bbs.12365auto.com/postcontent.aspx?tID=193910","郑州日产途达耗电过大致电池亏电无法启动")</f>
        <v>郑州日产途达耗电过大致电池亏电无法启动</v>
      </c>
      <c r="C8693" s="2" t="s">
        <v>13</v>
      </c>
      <c r="D8693" s="2" t="s">
        <v>12</v>
      </c>
      <c r="E8693" s="2" t="s">
        <v>67</v>
      </c>
      <c r="F8693" s="2" t="str">
        <f>HYPERLINK("http://bbs.12365auto.com/postcontent.aspx?tID=193910","http://bbs.12365auto.com/postcontent.aspx?tID=193910")</f>
        <v>http://bbs.12365auto.com/postcontent.aspx?tID=193910</v>
      </c>
      <c r="G8693" s="2"/>
      <c r="H8693" s="2" t="s">
        <v>11788</v>
      </c>
      <c r="I8693" s="2" t="s">
        <v>15</v>
      </c>
      <c r="J8693" s="2" t="s">
        <v>11785</v>
      </c>
      <c r="K8693" s="2" t="s">
        <v>11786</v>
      </c>
      <c r="L8693" s="2">
        <f t="shared" si="135"/>
        <v>74</v>
      </c>
    </row>
    <row r="8694" spans="1:12" ht="25" customHeight="1">
      <c r="A8694" s="2" t="s">
        <v>12</v>
      </c>
      <c r="B8694" s="2" t="str">
        <f>HYPERLINK("http://m.12365auto.com/bbs/postcontent.aspx?tID=193911","东风本田INSPIRE发动机变速箱接缝处漏油")</f>
        <v>东风本田INSPIRE发动机变速箱接缝处漏油</v>
      </c>
      <c r="C8694" s="2" t="s">
        <v>13</v>
      </c>
      <c r="D8694" s="2" t="s">
        <v>23</v>
      </c>
      <c r="E8694" s="2"/>
      <c r="F8694" s="2" t="str">
        <f>HYPERLINK("http://m.12365auto.com/bbs/postcontent.aspx?tID=193911","http://m.12365auto.com/bbs/postcontent.aspx?tID=193911")</f>
        <v>http://m.12365auto.com/bbs/postcontent.aspx?tID=193911</v>
      </c>
      <c r="G8694" s="2"/>
      <c r="H8694" s="2" t="s">
        <v>11787</v>
      </c>
      <c r="I8694" s="2" t="s">
        <v>15</v>
      </c>
      <c r="J8694" s="2" t="s">
        <v>2432</v>
      </c>
      <c r="K8694" s="2" t="s">
        <v>11786</v>
      </c>
      <c r="L8694" s="2">
        <f t="shared" si="135"/>
        <v>150</v>
      </c>
    </row>
    <row r="8695" spans="1:12" ht="25" customHeight="1">
      <c r="A8695" s="2" t="s">
        <v>12</v>
      </c>
      <c r="B8695" s="2" t="str">
        <f>HYPERLINK("http://m.12365auto.com/bbs/postcontent.aspx?tID=193910","郑州日产途达耗电过大致电池亏电无法启动")</f>
        <v>郑州日产途达耗电过大致电池亏电无法启动</v>
      </c>
      <c r="C8695" s="2" t="s">
        <v>13</v>
      </c>
      <c r="D8695" s="2" t="s">
        <v>23</v>
      </c>
      <c r="E8695" s="2"/>
      <c r="F8695" s="2" t="str">
        <f>HYPERLINK("http://m.12365auto.com/bbs/postcontent.aspx?tID=193910","http://m.12365auto.com/bbs/postcontent.aspx?tID=193910")</f>
        <v>http://m.12365auto.com/bbs/postcontent.aspx?tID=193910</v>
      </c>
      <c r="G8695" s="2"/>
      <c r="H8695" s="2" t="s">
        <v>11784</v>
      </c>
      <c r="I8695" s="2" t="s">
        <v>15</v>
      </c>
      <c r="J8695" s="2" t="s">
        <v>11785</v>
      </c>
      <c r="K8695" s="2" t="s">
        <v>11786</v>
      </c>
      <c r="L8695" s="2">
        <f t="shared" si="135"/>
        <v>55</v>
      </c>
    </row>
    <row r="8696" spans="1:12" ht="25" customHeight="1">
      <c r="A8696" s="2" t="s">
        <v>12</v>
      </c>
      <c r="B8696" s="2" t="str">
        <f>HYPERLINK("http://bbs.12365auto.com/postcontent.aspx?tID=193911","东风本田INSPIRE发动机变速箱接缝处漏油")</f>
        <v>东风本田INSPIRE发动机变速箱接缝处漏油</v>
      </c>
      <c r="C8696" s="2" t="s">
        <v>13</v>
      </c>
      <c r="D8696" s="2" t="s">
        <v>12</v>
      </c>
      <c r="E8696" s="2" t="s">
        <v>67</v>
      </c>
      <c r="F8696" s="2" t="str">
        <f>HYPERLINK("http://bbs.12365auto.com/postcontent.aspx?tID=193911","http://bbs.12365auto.com/postcontent.aspx?tID=193911")</f>
        <v>http://bbs.12365auto.com/postcontent.aspx?tID=193911</v>
      </c>
      <c r="G8696" s="2"/>
      <c r="H8696" s="2" t="s">
        <v>11789</v>
      </c>
      <c r="I8696" s="2" t="s">
        <v>15</v>
      </c>
      <c r="J8696" s="2" t="s">
        <v>2432</v>
      </c>
      <c r="K8696" s="2" t="s">
        <v>11786</v>
      </c>
      <c r="L8696" s="2">
        <f t="shared" si="135"/>
        <v>150</v>
      </c>
    </row>
    <row r="8697" spans="1:12" ht="25" customHeight="1">
      <c r="A8697" s="2" t="s">
        <v>12</v>
      </c>
      <c r="B8697" s="2" t="str">
        <f>HYPERLINK("http://bbs.12365auto.com/postcontent.aspx?tId=193908","长城风骏5发动机无法启动故障灯亮")</f>
        <v>长城风骏5发动机无法启动故障灯亮</v>
      </c>
      <c r="C8697" s="2" t="s">
        <v>13</v>
      </c>
      <c r="D8697" s="2" t="s">
        <v>12</v>
      </c>
      <c r="E8697" s="2" t="s">
        <v>66</v>
      </c>
      <c r="F8697" s="2" t="str">
        <f>HYPERLINK("http://bbs.12365auto.com/postcontent.aspx?tId=193908","http://bbs.12365auto.com/postcontent.aspx?tId=193908")</f>
        <v>http://bbs.12365auto.com/postcontent.aspx?tId=193908</v>
      </c>
      <c r="G8697" s="2"/>
      <c r="H8697" s="2" t="s">
        <v>11790</v>
      </c>
      <c r="I8697" s="2" t="s">
        <v>15</v>
      </c>
      <c r="J8697" s="2" t="s">
        <v>11791</v>
      </c>
      <c r="K8697" s="2" t="s">
        <v>11792</v>
      </c>
      <c r="L8697" s="2">
        <f t="shared" si="135"/>
        <v>27</v>
      </c>
    </row>
    <row r="8698" spans="1:12" ht="25" customHeight="1">
      <c r="A8698" s="2" t="s">
        <v>12</v>
      </c>
      <c r="B8698" s="2" t="str">
        <f>HYPERLINK("http://bbs.12365auto.com/postcontent.aspx?tID=193909","郑州日产途达电瓶亏电导致无法启动")</f>
        <v>郑州日产途达电瓶亏电导致无法启动</v>
      </c>
      <c r="C8698" s="2" t="s">
        <v>13</v>
      </c>
      <c r="D8698" s="2" t="s">
        <v>12</v>
      </c>
      <c r="E8698" s="2" t="s">
        <v>67</v>
      </c>
      <c r="F8698" s="2" t="str">
        <f>HYPERLINK("http://bbs.12365auto.com/postcontent.aspx?tID=193909","http://bbs.12365auto.com/postcontent.aspx?tID=193909")</f>
        <v>http://bbs.12365auto.com/postcontent.aspx?tID=193909</v>
      </c>
      <c r="G8698" s="2"/>
      <c r="H8698" s="2" t="s">
        <v>11793</v>
      </c>
      <c r="I8698" s="2" t="s">
        <v>15</v>
      </c>
      <c r="J8698" s="2" t="s">
        <v>11794</v>
      </c>
      <c r="K8698" s="2" t="s">
        <v>11792</v>
      </c>
      <c r="L8698" s="2">
        <f t="shared" si="135"/>
        <v>59</v>
      </c>
    </row>
    <row r="8699" spans="1:12" ht="25" customHeight="1">
      <c r="A8699" s="2" t="s">
        <v>12</v>
      </c>
      <c r="B8699" s="2" t="str">
        <f>HYPERLINK("http://bbs.12365auto.com/postcontent.aspx?tId=193909","郑州日产途达电瓶亏电导致无法启动")</f>
        <v>郑州日产途达电瓶亏电导致无法启动</v>
      </c>
      <c r="C8699" s="2" t="s">
        <v>13</v>
      </c>
      <c r="D8699" s="2" t="s">
        <v>12</v>
      </c>
      <c r="E8699" s="2" t="s">
        <v>66</v>
      </c>
      <c r="F8699" s="2" t="str">
        <f>HYPERLINK("http://bbs.12365auto.com/postcontent.aspx?tId=193909","http://bbs.12365auto.com/postcontent.aspx?tId=193909")</f>
        <v>http://bbs.12365auto.com/postcontent.aspx?tId=193909</v>
      </c>
      <c r="G8699" s="2"/>
      <c r="H8699" s="2" t="s">
        <v>11795</v>
      </c>
      <c r="I8699" s="2" t="s">
        <v>15</v>
      </c>
      <c r="J8699" s="2" t="s">
        <v>11794</v>
      </c>
      <c r="K8699" s="2" t="s">
        <v>11792</v>
      </c>
      <c r="L8699" s="2">
        <f t="shared" si="135"/>
        <v>38</v>
      </c>
    </row>
    <row r="8700" spans="1:12" ht="25" customHeight="1">
      <c r="A8700" s="2" t="s">
        <v>12</v>
      </c>
      <c r="B8700" s="2" t="str">
        <f>HYPERLINK("http://bbs.12365auto.com/postcontent.aspx?tID=193908","长城风骏5发动机无法启动故障灯亮")</f>
        <v>长城风骏5发动机无法启动故障灯亮</v>
      </c>
      <c r="C8700" s="2" t="s">
        <v>13</v>
      </c>
      <c r="D8700" s="2" t="s">
        <v>12</v>
      </c>
      <c r="E8700" s="2" t="s">
        <v>67</v>
      </c>
      <c r="F8700" s="2" t="str">
        <f>HYPERLINK("http://bbs.12365auto.com/postcontent.aspx?tID=193908","http://bbs.12365auto.com/postcontent.aspx?tID=193908")</f>
        <v>http://bbs.12365auto.com/postcontent.aspx?tID=193908</v>
      </c>
      <c r="G8700" s="2"/>
      <c r="H8700" s="2" t="s">
        <v>11796</v>
      </c>
      <c r="I8700" s="2" t="s">
        <v>15</v>
      </c>
      <c r="J8700" s="2" t="s">
        <v>11791</v>
      </c>
      <c r="K8700" s="2" t="s">
        <v>11792</v>
      </c>
      <c r="L8700" s="2">
        <f t="shared" si="135"/>
        <v>43</v>
      </c>
    </row>
    <row r="8701" spans="1:12" ht="25" customHeight="1">
      <c r="A8701" s="2" t="s">
        <v>12</v>
      </c>
      <c r="B8701" s="2" t="str">
        <f>HYPERLINK("http://m.12365auto.com/bbs/postcontent.aspx?tID=193908","长城风骏5发动机无法启动故障灯亮")</f>
        <v>长城风骏5发动机无法启动故障灯亮</v>
      </c>
      <c r="C8701" s="2" t="s">
        <v>13</v>
      </c>
      <c r="D8701" s="2" t="s">
        <v>23</v>
      </c>
      <c r="E8701" s="2"/>
      <c r="F8701" s="2" t="str">
        <f>HYPERLINK("http://m.12365auto.com/bbs/postcontent.aspx?tID=193908","http://m.12365auto.com/bbs/postcontent.aspx?tID=193908")</f>
        <v>http://m.12365auto.com/bbs/postcontent.aspx?tID=193908</v>
      </c>
      <c r="G8701" s="2"/>
      <c r="H8701" s="2" t="s">
        <v>11790</v>
      </c>
      <c r="I8701" s="2" t="s">
        <v>15</v>
      </c>
      <c r="J8701" s="2" t="s">
        <v>11791</v>
      </c>
      <c r="K8701" s="2" t="s">
        <v>11792</v>
      </c>
      <c r="L8701" s="2">
        <f t="shared" si="135"/>
        <v>27</v>
      </c>
    </row>
    <row r="8702" spans="1:12" ht="25" customHeight="1">
      <c r="A8702" s="2" t="s">
        <v>12</v>
      </c>
      <c r="B8702" s="2" t="str">
        <f>HYPERLINK("http://m.12365auto.com/bbs/postcontent.aspx?tID=193909","郑州日产途达电瓶亏电导致无法启动")</f>
        <v>郑州日产途达电瓶亏电导致无法启动</v>
      </c>
      <c r="C8702" s="2" t="s">
        <v>13</v>
      </c>
      <c r="D8702" s="2" t="s">
        <v>23</v>
      </c>
      <c r="E8702" s="2"/>
      <c r="F8702" s="2" t="str">
        <f>HYPERLINK("http://m.12365auto.com/bbs/postcontent.aspx?tID=193909","http://m.12365auto.com/bbs/postcontent.aspx?tID=193909")</f>
        <v>http://m.12365auto.com/bbs/postcontent.aspx?tID=193909</v>
      </c>
      <c r="G8702" s="2"/>
      <c r="H8702" s="2" t="s">
        <v>11795</v>
      </c>
      <c r="I8702" s="2" t="s">
        <v>15</v>
      </c>
      <c r="J8702" s="2" t="s">
        <v>11794</v>
      </c>
      <c r="K8702" s="2" t="s">
        <v>11792</v>
      </c>
      <c r="L8702" s="2">
        <f t="shared" si="135"/>
        <v>38</v>
      </c>
    </row>
    <row r="8703" spans="1:12" ht="25" customHeight="1">
      <c r="A8703" s="2" t="s">
        <v>12</v>
      </c>
      <c r="B8703" s="2" t="str">
        <f>HYPERLINK("http://www.12365auto.com/zlts/20200212/447005.shtml","前轮处没有挡泥板及隔音棉")</f>
        <v>前轮处没有挡泥板及隔音棉</v>
      </c>
      <c r="C8703" s="2" t="s">
        <v>13</v>
      </c>
      <c r="D8703" s="2" t="s">
        <v>12</v>
      </c>
      <c r="E8703" s="2"/>
      <c r="F8703" s="2" t="str">
        <f>HYPERLINK("http://www.12365auto.com/zlts/20200212/447005.shtml","http://www.12365auto.com/zlts/20200212/447005.shtml")</f>
        <v>http://www.12365auto.com/zlts/20200212/447005.shtml</v>
      </c>
      <c r="G8703" s="2"/>
      <c r="H8703" s="2" t="s">
        <v>11798</v>
      </c>
      <c r="I8703" s="2" t="s">
        <v>15</v>
      </c>
      <c r="J8703" s="2" t="s">
        <v>12</v>
      </c>
      <c r="K8703" s="2" t="s">
        <v>11797</v>
      </c>
      <c r="L8703" s="2">
        <f t="shared" si="135"/>
        <v>89</v>
      </c>
    </row>
    <row r="8704" spans="1:12" ht="25" customHeight="1">
      <c r="A8704" s="2" t="s">
        <v>12</v>
      </c>
      <c r="B8704" s="2" t="str">
        <f>HYPERLINK("http://bbs.12365auto.com/postcontent.aspx?tId=193907","吉利远景X6车机远程启动无法使用")</f>
        <v>吉利远景X6车机远程启动无法使用</v>
      </c>
      <c r="C8704" s="2" t="s">
        <v>13</v>
      </c>
      <c r="D8704" s="2" t="s">
        <v>12</v>
      </c>
      <c r="E8704" s="2" t="s">
        <v>66</v>
      </c>
      <c r="F8704" s="2" t="str">
        <f>HYPERLINK("http://bbs.12365auto.com/postcontent.aspx?tId=193907","http://bbs.12365auto.com/postcontent.aspx?tId=193907")</f>
        <v>http://bbs.12365auto.com/postcontent.aspx?tId=193907</v>
      </c>
      <c r="G8704" s="2"/>
      <c r="H8704" s="2" t="s">
        <v>11799</v>
      </c>
      <c r="I8704" s="2" t="s">
        <v>15</v>
      </c>
      <c r="J8704" s="2" t="s">
        <v>11800</v>
      </c>
      <c r="K8704" s="2" t="s">
        <v>11801</v>
      </c>
      <c r="L8704" s="2">
        <f t="shared" si="135"/>
        <v>117</v>
      </c>
    </row>
    <row r="8705" spans="1:12" ht="25" customHeight="1">
      <c r="A8705" s="2" t="s">
        <v>12</v>
      </c>
      <c r="B8705" s="2" t="str">
        <f>HYPERLINK("http://bbs.12365auto.com/postcontent.aspx?tID=193906","奇瑞艾瑞泽5车身多处生锈太烦人了")</f>
        <v>奇瑞艾瑞泽5车身多处生锈太烦人了</v>
      </c>
      <c r="C8705" s="2" t="s">
        <v>13</v>
      </c>
      <c r="D8705" s="2" t="s">
        <v>12</v>
      </c>
      <c r="E8705" s="2" t="s">
        <v>67</v>
      </c>
      <c r="F8705" s="2" t="str">
        <f>HYPERLINK("http://bbs.12365auto.com/postcontent.aspx?tID=193906","http://bbs.12365auto.com/postcontent.aspx?tID=193906")</f>
        <v>http://bbs.12365auto.com/postcontent.aspx?tID=193906</v>
      </c>
      <c r="G8705" s="2"/>
      <c r="H8705" s="2" t="s">
        <v>11802</v>
      </c>
      <c r="I8705" s="2" t="s">
        <v>15</v>
      </c>
      <c r="J8705" s="2" t="s">
        <v>11803</v>
      </c>
      <c r="K8705" s="2" t="s">
        <v>11801</v>
      </c>
      <c r="L8705" s="2">
        <f t="shared" si="135"/>
        <v>53</v>
      </c>
    </row>
    <row r="8706" spans="1:12" ht="25" customHeight="1">
      <c r="A8706" s="2" t="s">
        <v>12</v>
      </c>
      <c r="B8706" s="2" t="str">
        <f>HYPERLINK("http://bbs.12365auto.com/postcontent.aspx?tId=193906","奇瑞艾瑞泽5车身多处生锈太烦人了")</f>
        <v>奇瑞艾瑞泽5车身多处生锈太烦人了</v>
      </c>
      <c r="C8706" s="2" t="s">
        <v>13</v>
      </c>
      <c r="D8706" s="2" t="s">
        <v>12</v>
      </c>
      <c r="E8706" s="2" t="s">
        <v>66</v>
      </c>
      <c r="F8706" s="2" t="str">
        <f>HYPERLINK("http://bbs.12365auto.com/postcontent.aspx?tId=193906","http://bbs.12365auto.com/postcontent.aspx?tId=193906")</f>
        <v>http://bbs.12365auto.com/postcontent.aspx?tId=193906</v>
      </c>
      <c r="G8706" s="2"/>
      <c r="H8706" s="2" t="s">
        <v>11804</v>
      </c>
      <c r="I8706" s="2" t="s">
        <v>15</v>
      </c>
      <c r="J8706" s="2" t="s">
        <v>11803</v>
      </c>
      <c r="K8706" s="2" t="s">
        <v>11801</v>
      </c>
      <c r="L8706" s="2">
        <f t="shared" si="135"/>
        <v>37</v>
      </c>
    </row>
    <row r="8707" spans="1:12" ht="25" customHeight="1">
      <c r="A8707" s="2" t="s">
        <v>12</v>
      </c>
      <c r="B8707" s="2" t="str">
        <f>HYPERLINK("http://bbs.12365auto.com/postcontent.aspx?tID=193907","吉利远景X6车机远程启动无法使用")</f>
        <v>吉利远景X6车机远程启动无法使用</v>
      </c>
      <c r="C8707" s="2" t="s">
        <v>13</v>
      </c>
      <c r="D8707" s="2" t="s">
        <v>12</v>
      </c>
      <c r="E8707" s="2" t="s">
        <v>67</v>
      </c>
      <c r="F8707" s="2" t="str">
        <f>HYPERLINK("http://bbs.12365auto.com/postcontent.aspx?tID=193907","http://bbs.12365auto.com/postcontent.aspx?tID=193907")</f>
        <v>http://bbs.12365auto.com/postcontent.aspx?tID=193907</v>
      </c>
      <c r="G8707" s="2"/>
      <c r="H8707" s="2" t="s">
        <v>11805</v>
      </c>
      <c r="I8707" s="2" t="s">
        <v>15</v>
      </c>
      <c r="J8707" s="2" t="s">
        <v>11800</v>
      </c>
      <c r="K8707" s="2" t="s">
        <v>11801</v>
      </c>
      <c r="L8707" s="2">
        <f t="shared" ref="L8707:L8770" si="136">LEN(H8707)</f>
        <v>133</v>
      </c>
    </row>
    <row r="8708" spans="1:12" ht="25" customHeight="1">
      <c r="A8708" s="2" t="s">
        <v>12</v>
      </c>
      <c r="B8708" s="2" t="str">
        <f>HYPERLINK("http://bbs.12365auto.com/postcontent.aspx?tId=193905","广汽丰田凯美瑞前挡风玻璃碎了怎么办")</f>
        <v>广汽丰田凯美瑞前挡风玻璃碎了怎么办</v>
      </c>
      <c r="C8708" s="2" t="s">
        <v>13</v>
      </c>
      <c r="D8708" s="2" t="s">
        <v>12</v>
      </c>
      <c r="E8708" s="2" t="s">
        <v>66</v>
      </c>
      <c r="F8708" s="2" t="str">
        <f>HYPERLINK("http://bbs.12365auto.com/postcontent.aspx?tId=193905","http://bbs.12365auto.com/postcontent.aspx?tId=193905")</f>
        <v>http://bbs.12365auto.com/postcontent.aspx?tId=193905</v>
      </c>
      <c r="G8708" s="2"/>
      <c r="H8708" s="2" t="s">
        <v>11806</v>
      </c>
      <c r="I8708" s="2" t="s">
        <v>15</v>
      </c>
      <c r="J8708" s="2" t="s">
        <v>11807</v>
      </c>
      <c r="K8708" s="2" t="s">
        <v>11808</v>
      </c>
      <c r="L8708" s="2">
        <f t="shared" si="136"/>
        <v>120</v>
      </c>
    </row>
    <row r="8709" spans="1:12" ht="25" customHeight="1">
      <c r="A8709" s="2" t="s">
        <v>12</v>
      </c>
      <c r="B8709" s="2" t="str">
        <f>HYPERLINK("http://bbs.12365auto.com/postcontent.aspx?tID=193905","广汽丰田凯美瑞前挡风玻璃碎了怎么办")</f>
        <v>广汽丰田凯美瑞前挡风玻璃碎了怎么办</v>
      </c>
      <c r="C8709" s="2" t="s">
        <v>13</v>
      </c>
      <c r="D8709" s="2" t="s">
        <v>12</v>
      </c>
      <c r="E8709" s="2" t="s">
        <v>67</v>
      </c>
      <c r="F8709" s="2" t="str">
        <f>HYPERLINK("http://bbs.12365auto.com/postcontent.aspx?tID=193905","http://bbs.12365auto.com/postcontent.aspx?tID=193905")</f>
        <v>http://bbs.12365auto.com/postcontent.aspx?tID=193905</v>
      </c>
      <c r="G8709" s="2"/>
      <c r="H8709" s="2" t="s">
        <v>11809</v>
      </c>
      <c r="I8709" s="2" t="s">
        <v>15</v>
      </c>
      <c r="J8709" s="2" t="s">
        <v>11807</v>
      </c>
      <c r="K8709" s="2" t="s">
        <v>11808</v>
      </c>
      <c r="L8709" s="2">
        <f t="shared" si="136"/>
        <v>137</v>
      </c>
    </row>
    <row r="8710" spans="1:12" ht="25" customHeight="1">
      <c r="A8710" s="2" t="s">
        <v>12</v>
      </c>
      <c r="B8710" s="2" t="str">
        <f>HYPERLINK("http://bbs.12365auto.com/postcontent.aspx?tId=193904","广汽本田雅阁出现机油增多问题")</f>
        <v>广汽本田雅阁出现机油增多问题</v>
      </c>
      <c r="C8710" s="2" t="s">
        <v>13</v>
      </c>
      <c r="D8710" s="2" t="s">
        <v>12</v>
      </c>
      <c r="E8710" s="2" t="s">
        <v>66</v>
      </c>
      <c r="F8710" s="2" t="str">
        <f>HYPERLINK("http://bbs.12365auto.com/postcontent.aspx?tId=193904","http://bbs.12365auto.com/postcontent.aspx?tId=193904")</f>
        <v>http://bbs.12365auto.com/postcontent.aspx?tId=193904</v>
      </c>
      <c r="G8710" s="2"/>
      <c r="H8710" s="2" t="s">
        <v>11810</v>
      </c>
      <c r="I8710" s="2" t="s">
        <v>15</v>
      </c>
      <c r="J8710" s="2" t="s">
        <v>11811</v>
      </c>
      <c r="K8710" s="2" t="s">
        <v>11812</v>
      </c>
      <c r="L8710" s="2">
        <f t="shared" si="136"/>
        <v>150</v>
      </c>
    </row>
    <row r="8711" spans="1:12" ht="25" customHeight="1">
      <c r="A8711" s="2" t="s">
        <v>12</v>
      </c>
      <c r="B8711" s="2" t="str">
        <f>HYPERLINK("http://bbs.12365auto.com/postcontent.aspx?tID=193904","广汽本田雅阁出现机油增多问题")</f>
        <v>广汽本田雅阁出现机油增多问题</v>
      </c>
      <c r="C8711" s="2" t="s">
        <v>13</v>
      </c>
      <c r="D8711" s="2" t="s">
        <v>12</v>
      </c>
      <c r="E8711" s="2" t="s">
        <v>67</v>
      </c>
      <c r="F8711" s="2" t="str">
        <f>HYPERLINK("http://bbs.12365auto.com/postcontent.aspx?tID=193904","http://bbs.12365auto.com/postcontent.aspx?tID=193904")</f>
        <v>http://bbs.12365auto.com/postcontent.aspx?tID=193904</v>
      </c>
      <c r="G8711" s="2"/>
      <c r="H8711" s="2" t="s">
        <v>11813</v>
      </c>
      <c r="I8711" s="2" t="s">
        <v>15</v>
      </c>
      <c r="J8711" s="2" t="s">
        <v>11811</v>
      </c>
      <c r="K8711" s="2" t="s">
        <v>11812</v>
      </c>
      <c r="L8711" s="2">
        <f t="shared" si="136"/>
        <v>150</v>
      </c>
    </row>
    <row r="8712" spans="1:12" ht="25" customHeight="1">
      <c r="A8712" s="2" t="s">
        <v>12</v>
      </c>
      <c r="B8712" s="2" t="str">
        <f>HYPERLINK("http://bbs.12365auto.com/postcontent.aspx?tId=193903","广汽本田奥德赛发动机和变速箱漏油")</f>
        <v>广汽本田奥德赛发动机和变速箱漏油</v>
      </c>
      <c r="C8712" s="2" t="s">
        <v>13</v>
      </c>
      <c r="D8712" s="2" t="s">
        <v>12</v>
      </c>
      <c r="E8712" s="2" t="s">
        <v>66</v>
      </c>
      <c r="F8712" s="2" t="str">
        <f>HYPERLINK("http://bbs.12365auto.com/postcontent.aspx?tId=193903","http://bbs.12365auto.com/postcontent.aspx?tId=193903")</f>
        <v>http://bbs.12365auto.com/postcontent.aspx?tId=193903</v>
      </c>
      <c r="G8712" s="2"/>
      <c r="H8712" s="2" t="s">
        <v>11814</v>
      </c>
      <c r="I8712" s="2" t="s">
        <v>15</v>
      </c>
      <c r="J8712" s="2" t="s">
        <v>11815</v>
      </c>
      <c r="K8712" s="2" t="s">
        <v>11816</v>
      </c>
      <c r="L8712" s="2">
        <f t="shared" si="136"/>
        <v>150</v>
      </c>
    </row>
    <row r="8713" spans="1:12" ht="25" customHeight="1">
      <c r="A8713" s="2" t="s">
        <v>12</v>
      </c>
      <c r="B8713" s="2" t="str">
        <f>HYPERLINK("http://bbs.12365auto.com/postcontent.aspx?tID=193903","广汽本田奥德赛发动机和变速箱漏油")</f>
        <v>广汽本田奥德赛发动机和变速箱漏油</v>
      </c>
      <c r="C8713" s="2" t="s">
        <v>13</v>
      </c>
      <c r="D8713" s="2" t="s">
        <v>12</v>
      </c>
      <c r="E8713" s="2" t="s">
        <v>67</v>
      </c>
      <c r="F8713" s="2" t="str">
        <f>HYPERLINK("http://bbs.12365auto.com/postcontent.aspx?tID=193903","http://bbs.12365auto.com/postcontent.aspx?tID=193903")</f>
        <v>http://bbs.12365auto.com/postcontent.aspx?tID=193903</v>
      </c>
      <c r="G8713" s="2"/>
      <c r="H8713" s="2" t="s">
        <v>11817</v>
      </c>
      <c r="I8713" s="2" t="s">
        <v>15</v>
      </c>
      <c r="J8713" s="2" t="s">
        <v>11815</v>
      </c>
      <c r="K8713" s="2" t="s">
        <v>11816</v>
      </c>
      <c r="L8713" s="2">
        <f t="shared" si="136"/>
        <v>150</v>
      </c>
    </row>
    <row r="8714" spans="1:12" ht="25" customHeight="1">
      <c r="A8714" s="2" t="s">
        <v>12</v>
      </c>
      <c r="B8714" s="2" t="str">
        <f>HYPERLINK("http://www.12365auto.com/zlts/20200212/447011.shtml","上汽大众帕萨特中保研测试A柱严重变形")</f>
        <v>上汽大众帕萨特中保研测试A柱严重变形</v>
      </c>
      <c r="C8714" s="2" t="s">
        <v>13</v>
      </c>
      <c r="D8714" s="2" t="s">
        <v>12</v>
      </c>
      <c r="E8714" s="2" t="s">
        <v>17</v>
      </c>
      <c r="F8714" s="2" t="str">
        <f>HYPERLINK("http://www.12365auto.com/zlts/20200212/447011.shtml","http://www.12365auto.com/zlts/20200212/447011.shtml")</f>
        <v>http://www.12365auto.com/zlts/20200212/447011.shtml</v>
      </c>
      <c r="G8714" s="2"/>
      <c r="H8714" s="2" t="s">
        <v>11818</v>
      </c>
      <c r="I8714" s="2" t="s">
        <v>15</v>
      </c>
      <c r="J8714" s="2" t="s">
        <v>12</v>
      </c>
      <c r="K8714" s="2" t="s">
        <v>11819</v>
      </c>
      <c r="L8714" s="2">
        <f t="shared" si="136"/>
        <v>150</v>
      </c>
    </row>
    <row r="8715" spans="1:12" ht="25" customHeight="1">
      <c r="A8715" s="2" t="s">
        <v>12</v>
      </c>
      <c r="B8715" s="2" t="str">
        <f>HYPERLINK("http://m.12365auto.com/zjdy/20200212/121195.shtml","路虎发现神行的质量怎样值得购买吗？")</f>
        <v>路虎发现神行的质量怎样值得购买吗？</v>
      </c>
      <c r="C8715" s="2" t="s">
        <v>13</v>
      </c>
      <c r="D8715" s="2" t="s">
        <v>12</v>
      </c>
      <c r="E8715" s="2"/>
      <c r="F8715" s="2" t="str">
        <f>HYPERLINK("http://m.12365auto.com/zjdy/20200212/121195.shtml","http://m.12365auto.com/zjdy/20200212/121195.shtml")</f>
        <v>http://m.12365auto.com/zjdy/20200212/121195.shtml</v>
      </c>
      <c r="G8715" s="2"/>
      <c r="H8715" s="2" t="s">
        <v>11820</v>
      </c>
      <c r="I8715" s="2" t="s">
        <v>19</v>
      </c>
      <c r="J8715" s="2" t="s">
        <v>12</v>
      </c>
      <c r="K8715" s="2" t="s">
        <v>11821</v>
      </c>
      <c r="L8715" s="2">
        <f t="shared" si="136"/>
        <v>28</v>
      </c>
    </row>
    <row r="8716" spans="1:12" ht="25" customHeight="1">
      <c r="A8716" s="2" t="s">
        <v>12</v>
      </c>
      <c r="B8716" s="2" t="str">
        <f>HYPERLINK("http://www.12365auto.com/zlts/20200212/447009.shtml","斯柯达速派变速箱严重异响厂家不予解决")</f>
        <v>斯柯达速派变速箱严重异响厂家不予解决</v>
      </c>
      <c r="C8716" s="2" t="s">
        <v>13</v>
      </c>
      <c r="D8716" s="2" t="s">
        <v>12</v>
      </c>
      <c r="E8716" s="2" t="s">
        <v>17</v>
      </c>
      <c r="F8716" s="2" t="str">
        <f>HYPERLINK("http://www.12365auto.com/zlts/20200212/447009.shtml","http://www.12365auto.com/zlts/20200212/447009.shtml")</f>
        <v>http://www.12365auto.com/zlts/20200212/447009.shtml</v>
      </c>
      <c r="G8716" s="2"/>
      <c r="H8716" s="2" t="s">
        <v>11822</v>
      </c>
      <c r="I8716" s="2" t="s">
        <v>19</v>
      </c>
      <c r="J8716" s="2" t="s">
        <v>12</v>
      </c>
      <c r="K8716" s="2" t="s">
        <v>11823</v>
      </c>
      <c r="L8716" s="2">
        <f t="shared" si="136"/>
        <v>150</v>
      </c>
    </row>
    <row r="8717" spans="1:12" ht="25" customHeight="1">
      <c r="A8717" s="2" t="s">
        <v>12</v>
      </c>
      <c r="B8717" s="2" t="str">
        <f>HYPERLINK("http://m.12365auto.com/zjdy/20200212/121194.shtml","雪佛兰科鲁泽和科沃兹购买哪一款？")</f>
        <v>雪佛兰科鲁泽和科沃兹购买哪一款？</v>
      </c>
      <c r="C8717" s="2" t="s">
        <v>13</v>
      </c>
      <c r="D8717" s="2" t="s">
        <v>12</v>
      </c>
      <c r="E8717" s="2"/>
      <c r="F8717" s="2" t="str">
        <f>HYPERLINK("http://m.12365auto.com/zjdy/20200212/121194.shtml","http://m.12365auto.com/zjdy/20200212/121194.shtml")</f>
        <v>http://m.12365auto.com/zjdy/20200212/121194.shtml</v>
      </c>
      <c r="G8717" s="2"/>
      <c r="H8717" s="2" t="s">
        <v>11824</v>
      </c>
      <c r="I8717" s="2" t="s">
        <v>19</v>
      </c>
      <c r="J8717" s="2" t="s">
        <v>12</v>
      </c>
      <c r="K8717" s="2" t="s">
        <v>11825</v>
      </c>
      <c r="L8717" s="2">
        <f t="shared" si="136"/>
        <v>46</v>
      </c>
    </row>
    <row r="8718" spans="1:12" ht="25" customHeight="1">
      <c r="A8718" s="2" t="s">
        <v>12</v>
      </c>
      <c r="B8718" s="2" t="str">
        <f>HYPERLINK("http://www.12365auto.com/zlts/20200212/447008.shtml","广汽本田雅阁高速行驶过程中失速")</f>
        <v>广汽本田雅阁高速行驶过程中失速</v>
      </c>
      <c r="C8718" s="2" t="s">
        <v>13</v>
      </c>
      <c r="D8718" s="2" t="s">
        <v>12</v>
      </c>
      <c r="E8718" s="2" t="s">
        <v>17</v>
      </c>
      <c r="F8718" s="2" t="str">
        <f>HYPERLINK("http://www.12365auto.com/zlts/20200212/447008.shtml","http://www.12365auto.com/zlts/20200212/447008.shtml")</f>
        <v>http://www.12365auto.com/zlts/20200212/447008.shtml</v>
      </c>
      <c r="G8718" s="2"/>
      <c r="H8718" s="2" t="s">
        <v>11826</v>
      </c>
      <c r="I8718" s="2" t="s">
        <v>19</v>
      </c>
      <c r="J8718" s="2" t="s">
        <v>12</v>
      </c>
      <c r="K8718" s="2" t="s">
        <v>11827</v>
      </c>
      <c r="L8718" s="2">
        <f t="shared" si="136"/>
        <v>150</v>
      </c>
    </row>
    <row r="8719" spans="1:12" ht="25" customHeight="1">
      <c r="A8719" s="2" t="s">
        <v>12</v>
      </c>
      <c r="B8719" s="2" t="str">
        <f>HYPERLINK("http://m.12365auto.com/zjdy/20200212/121193.shtml","长安CS75离合器失灵是哪里出现了问题？")</f>
        <v>长安CS75离合器失灵是哪里出现了问题？</v>
      </c>
      <c r="C8719" s="2" t="s">
        <v>13</v>
      </c>
      <c r="D8719" s="2" t="s">
        <v>12</v>
      </c>
      <c r="E8719" s="2"/>
      <c r="F8719" s="2" t="str">
        <f>HYPERLINK("http://m.12365auto.com/zjdy/20200212/121193.shtml","http://m.12365auto.com/zjdy/20200212/121193.shtml")</f>
        <v>http://m.12365auto.com/zjdy/20200212/121193.shtml</v>
      </c>
      <c r="G8719" s="2"/>
      <c r="H8719" s="2" t="s">
        <v>11828</v>
      </c>
      <c r="I8719" s="2" t="s">
        <v>19</v>
      </c>
      <c r="J8719" s="2" t="s">
        <v>12</v>
      </c>
      <c r="K8719" s="2" t="s">
        <v>11829</v>
      </c>
      <c r="L8719" s="2">
        <f t="shared" si="136"/>
        <v>57</v>
      </c>
    </row>
    <row r="8720" spans="1:12" ht="25" customHeight="1">
      <c r="A8720" s="2" t="s">
        <v>12</v>
      </c>
      <c r="B8720" s="2" t="str">
        <f>HYPERLINK("http://www.12365auto.com/zlts/20200212/447006.shtml","比速M3气囊故障导致报警 喇叭不响")</f>
        <v>比速M3气囊故障导致报警 喇叭不响</v>
      </c>
      <c r="C8720" s="2" t="s">
        <v>13</v>
      </c>
      <c r="D8720" s="2" t="s">
        <v>12</v>
      </c>
      <c r="E8720" s="2" t="s">
        <v>17</v>
      </c>
      <c r="F8720" s="2" t="str">
        <f>HYPERLINK("http://www.12365auto.com/zlts/20200212/447006.shtml","http://www.12365auto.com/zlts/20200212/447006.shtml")</f>
        <v>http://www.12365auto.com/zlts/20200212/447006.shtml</v>
      </c>
      <c r="G8720" s="2"/>
      <c r="H8720" s="2" t="s">
        <v>11830</v>
      </c>
      <c r="I8720" s="2" t="s">
        <v>19</v>
      </c>
      <c r="J8720" s="2" t="s">
        <v>12</v>
      </c>
      <c r="K8720" s="2" t="s">
        <v>11831</v>
      </c>
      <c r="L8720" s="2">
        <f t="shared" si="136"/>
        <v>150</v>
      </c>
    </row>
    <row r="8721" spans="1:12" ht="25" customHeight="1">
      <c r="A8721" s="2" t="s">
        <v>12</v>
      </c>
      <c r="B8721" s="2" t="str">
        <f>HYPERLINK("http://m.12365auto.com/zjdy/20200212/121192.shtml","名爵6转向和牵引力控制故障灯亮怎么办？")</f>
        <v>名爵6转向和牵引力控制故障灯亮怎么办？</v>
      </c>
      <c r="C8721" s="2" t="s">
        <v>13</v>
      </c>
      <c r="D8721" s="2" t="s">
        <v>12</v>
      </c>
      <c r="E8721" s="2"/>
      <c r="F8721" s="2" t="str">
        <f>HYPERLINK("http://m.12365auto.com/zjdy/20200212/121192.shtml","http://m.12365auto.com/zjdy/20200212/121192.shtml")</f>
        <v>http://m.12365auto.com/zjdy/20200212/121192.shtml</v>
      </c>
      <c r="G8721" s="2"/>
      <c r="H8721" s="2" t="s">
        <v>11832</v>
      </c>
      <c r="I8721" s="2" t="s">
        <v>19</v>
      </c>
      <c r="J8721" s="2" t="s">
        <v>12</v>
      </c>
      <c r="K8721" s="2" t="s">
        <v>11833</v>
      </c>
      <c r="L8721" s="2">
        <f t="shared" si="136"/>
        <v>63</v>
      </c>
    </row>
    <row r="8722" spans="1:12" ht="25" customHeight="1">
      <c r="A8722" s="2" t="s">
        <v>12</v>
      </c>
      <c r="B8722" s="2" t="str">
        <f>HYPERLINK("http://m.12365auto.com/zjdy/20200212/121191.shtml","猎豹CS10中控显示屏黑屏是什么原因？")</f>
        <v>猎豹CS10中控显示屏黑屏是什么原因？</v>
      </c>
      <c r="C8722" s="2" t="s">
        <v>13</v>
      </c>
      <c r="D8722" s="2" t="s">
        <v>12</v>
      </c>
      <c r="E8722" s="2"/>
      <c r="F8722" s="2" t="str">
        <f>HYPERLINK("http://m.12365auto.com/zjdy/20200212/121191.shtml","http://m.12365auto.com/zjdy/20200212/121191.shtml")</f>
        <v>http://m.12365auto.com/zjdy/20200212/121191.shtml</v>
      </c>
      <c r="G8722" s="2"/>
      <c r="H8722" s="2" t="s">
        <v>11834</v>
      </c>
      <c r="I8722" s="2" t="s">
        <v>19</v>
      </c>
      <c r="J8722" s="2" t="s">
        <v>12</v>
      </c>
      <c r="K8722" s="2" t="s">
        <v>11835</v>
      </c>
      <c r="L8722" s="2">
        <f t="shared" si="136"/>
        <v>31</v>
      </c>
    </row>
    <row r="8723" spans="1:12" ht="25" customHeight="1">
      <c r="A8723" s="2" t="s">
        <v>12</v>
      </c>
      <c r="B8723" s="2" t="str">
        <f>HYPERLINK("http://m.12365auto.com/zjdy/20200212/121190.shtml","本田雅阁玻璃水无法喷出是什么原因？")</f>
        <v>本田雅阁玻璃水无法喷出是什么原因？</v>
      </c>
      <c r="C8723" s="2" t="s">
        <v>13</v>
      </c>
      <c r="D8723" s="2" t="s">
        <v>12</v>
      </c>
      <c r="E8723" s="2"/>
      <c r="F8723" s="2" t="str">
        <f>HYPERLINK("http://m.12365auto.com/zjdy/20200212/121190.shtml","http://m.12365auto.com/zjdy/20200212/121190.shtml")</f>
        <v>http://m.12365auto.com/zjdy/20200212/121190.shtml</v>
      </c>
      <c r="G8723" s="2"/>
      <c r="H8723" s="2" t="s">
        <v>11836</v>
      </c>
      <c r="I8723" s="2" t="s">
        <v>19</v>
      </c>
      <c r="J8723" s="2" t="s">
        <v>12</v>
      </c>
      <c r="K8723" s="2" t="s">
        <v>11837</v>
      </c>
      <c r="L8723" s="2">
        <f t="shared" si="136"/>
        <v>85</v>
      </c>
    </row>
    <row r="8724" spans="1:12" ht="25" customHeight="1">
      <c r="A8724" s="2" t="s">
        <v>12</v>
      </c>
      <c r="B8724" s="2" t="str">
        <f>HYPERLINK("http://m.12365auto.com/zjdy/20200212/121188.shtml","吉利车电瓶亏电是什么原因导致的？")</f>
        <v>吉利车电瓶亏电是什么原因导致的？</v>
      </c>
      <c r="C8724" s="2" t="s">
        <v>13</v>
      </c>
      <c r="D8724" s="2" t="s">
        <v>12</v>
      </c>
      <c r="E8724" s="2"/>
      <c r="F8724" s="2" t="str">
        <f>HYPERLINK("http://m.12365auto.com/zjdy/20200212/121188.shtml","http://m.12365auto.com/zjdy/20200212/121188.shtml")</f>
        <v>http://m.12365auto.com/zjdy/20200212/121188.shtml</v>
      </c>
      <c r="G8724" s="2"/>
      <c r="H8724" s="2" t="s">
        <v>11838</v>
      </c>
      <c r="I8724" s="2" t="s">
        <v>19</v>
      </c>
      <c r="J8724" s="2" t="s">
        <v>12</v>
      </c>
      <c r="K8724" s="2" t="s">
        <v>11839</v>
      </c>
      <c r="L8724" s="2">
        <f t="shared" si="136"/>
        <v>31</v>
      </c>
    </row>
    <row r="8725" spans="1:12" ht="25" customHeight="1">
      <c r="A8725" s="2" t="s">
        <v>12</v>
      </c>
      <c r="B8725" s="2" t="str">
        <f>HYPERLINK("http://m.12365auto.com/zjdy/20200212/121189.shtml","大众朗逸和现代领动这两款车选择哪一款？")</f>
        <v>大众朗逸和现代领动这两款车选择哪一款？</v>
      </c>
      <c r="C8725" s="2" t="s">
        <v>13</v>
      </c>
      <c r="D8725" s="2" t="s">
        <v>12</v>
      </c>
      <c r="E8725" s="2"/>
      <c r="F8725" s="2" t="str">
        <f>HYPERLINK("http://m.12365auto.com/zjdy/20200212/121189.shtml","http://m.12365auto.com/zjdy/20200212/121189.shtml")</f>
        <v>http://m.12365auto.com/zjdy/20200212/121189.shtml</v>
      </c>
      <c r="G8725" s="2"/>
      <c r="H8725" s="2" t="s">
        <v>11840</v>
      </c>
      <c r="I8725" s="2" t="s">
        <v>19</v>
      </c>
      <c r="J8725" s="2" t="s">
        <v>12</v>
      </c>
      <c r="K8725" s="2" t="s">
        <v>11841</v>
      </c>
      <c r="L8725" s="2">
        <f t="shared" si="136"/>
        <v>19</v>
      </c>
    </row>
    <row r="8726" spans="1:12" ht="25" customHeight="1">
      <c r="A8726" s="2" t="s">
        <v>12</v>
      </c>
      <c r="B8726" s="2" t="str">
        <f>HYPERLINK("http://www.12365auto.com/zlts/20200212/447002.shtml","奇瑞瑞虎8原厂LED大灯照射角度过小")</f>
        <v>奇瑞瑞虎8原厂LED大灯照射角度过小</v>
      </c>
      <c r="C8726" s="2" t="s">
        <v>13</v>
      </c>
      <c r="D8726" s="2" t="s">
        <v>12</v>
      </c>
      <c r="E8726" s="2" t="s">
        <v>17</v>
      </c>
      <c r="F8726" s="2" t="str">
        <f>HYPERLINK("http://www.12365auto.com/zlts/20200212/447002.shtml","http://www.12365auto.com/zlts/20200212/447002.shtml")</f>
        <v>http://www.12365auto.com/zlts/20200212/447002.shtml</v>
      </c>
      <c r="G8726" s="2"/>
      <c r="H8726" s="2" t="s">
        <v>11842</v>
      </c>
      <c r="I8726" s="2" t="s">
        <v>15</v>
      </c>
      <c r="J8726" s="2" t="s">
        <v>12</v>
      </c>
      <c r="K8726" s="2" t="s">
        <v>11843</v>
      </c>
      <c r="L8726" s="2">
        <f t="shared" si="136"/>
        <v>150</v>
      </c>
    </row>
    <row r="8727" spans="1:12" ht="25" customHeight="1">
      <c r="A8727" s="2" t="s">
        <v>12</v>
      </c>
      <c r="B8727" s="2" t="str">
        <f>HYPERLINK("http://www.12365auto.com/zlts/20200212/447001.shtml","北京奔驰GLC经销商以新车价格销售库存车")</f>
        <v>北京奔驰GLC经销商以新车价格销售库存车</v>
      </c>
      <c r="C8727" s="2" t="s">
        <v>13</v>
      </c>
      <c r="D8727" s="2" t="s">
        <v>12</v>
      </c>
      <c r="E8727" s="2" t="s">
        <v>17</v>
      </c>
      <c r="F8727" s="2" t="str">
        <f>HYPERLINK("http://www.12365auto.com/zlts/20200212/447001.shtml","http://www.12365auto.com/zlts/20200212/447001.shtml")</f>
        <v>http://www.12365auto.com/zlts/20200212/447001.shtml</v>
      </c>
      <c r="G8727" s="2"/>
      <c r="H8727" s="2" t="s">
        <v>11844</v>
      </c>
      <c r="I8727" s="2" t="s">
        <v>19</v>
      </c>
      <c r="J8727" s="2" t="s">
        <v>12</v>
      </c>
      <c r="K8727" s="2" t="s">
        <v>11845</v>
      </c>
      <c r="L8727" s="2">
        <f t="shared" si="136"/>
        <v>150</v>
      </c>
    </row>
    <row r="8728" spans="1:12" ht="25" customHeight="1">
      <c r="A8728" s="2" t="s">
        <v>12</v>
      </c>
      <c r="B8728" s="2" t="str">
        <f>HYPERLINK("http://www.12365auto.com/zlts/20200212/447000.shtml","东风标致308发动机烧机油问题严重")</f>
        <v>东风标致308发动机烧机油问题严重</v>
      </c>
      <c r="C8728" s="2" t="s">
        <v>13</v>
      </c>
      <c r="D8728" s="2" t="s">
        <v>12</v>
      </c>
      <c r="E8728" s="2" t="s">
        <v>17</v>
      </c>
      <c r="F8728" s="2" t="str">
        <f>HYPERLINK("http://www.12365auto.com/zlts/20200212/447000.shtml","http://www.12365auto.com/zlts/20200212/447000.shtml")</f>
        <v>http://www.12365auto.com/zlts/20200212/447000.shtml</v>
      </c>
      <c r="G8728" s="2"/>
      <c r="H8728" s="2" t="s">
        <v>11846</v>
      </c>
      <c r="I8728" s="2" t="s">
        <v>15</v>
      </c>
      <c r="J8728" s="2" t="s">
        <v>12</v>
      </c>
      <c r="K8728" s="2" t="s">
        <v>11847</v>
      </c>
      <c r="L8728" s="2">
        <f t="shared" si="136"/>
        <v>150</v>
      </c>
    </row>
    <row r="8729" spans="1:12" ht="25" customHeight="1">
      <c r="A8729" s="2" t="s">
        <v>12</v>
      </c>
      <c r="B8729" s="2" t="str">
        <f>HYPERLINK("http://www.12365auto.com/zlts/20200212/446997.shtml","本田雅阁出现机油增多问题")</f>
        <v>本田雅阁出现机油增多问题</v>
      </c>
      <c r="C8729" s="2" t="s">
        <v>13</v>
      </c>
      <c r="D8729" s="2" t="s">
        <v>12</v>
      </c>
      <c r="E8729" s="2"/>
      <c r="F8729" s="2" t="str">
        <f>HYPERLINK("http://www.12365auto.com/zlts/20200212/446997.shtml","http://www.12365auto.com/zlts/20200212/446997.shtml")</f>
        <v>http://www.12365auto.com/zlts/20200212/446997.shtml</v>
      </c>
      <c r="G8729" s="2"/>
      <c r="H8729" s="2" t="s">
        <v>11849</v>
      </c>
      <c r="I8729" s="2" t="s">
        <v>15</v>
      </c>
      <c r="J8729" s="2" t="s">
        <v>12</v>
      </c>
      <c r="K8729" s="2" t="s">
        <v>11848</v>
      </c>
      <c r="L8729" s="2">
        <f t="shared" si="136"/>
        <v>84</v>
      </c>
    </row>
    <row r="8730" spans="1:12" ht="25" customHeight="1">
      <c r="A8730" s="2" t="s">
        <v>12</v>
      </c>
      <c r="B8730" s="2" t="str">
        <f>HYPERLINK("http://www.12365auto.com/zlts/20200212/446998.shtml","广汽本田奥德赛发动机变速箱漏油 态度蛮横")</f>
        <v>广汽本田奥德赛发动机变速箱漏油 态度蛮横</v>
      </c>
      <c r="C8730" s="2" t="s">
        <v>13</v>
      </c>
      <c r="D8730" s="2" t="s">
        <v>12</v>
      </c>
      <c r="E8730" s="2" t="s">
        <v>17</v>
      </c>
      <c r="F8730" s="2" t="str">
        <f>HYPERLINK("http://www.12365auto.com/zlts/20200212/446998.shtml","http://www.12365auto.com/zlts/20200212/446998.shtml")</f>
        <v>http://www.12365auto.com/zlts/20200212/446998.shtml</v>
      </c>
      <c r="G8730" s="2"/>
      <c r="H8730" s="2" t="s">
        <v>11850</v>
      </c>
      <c r="I8730" s="2" t="s">
        <v>19</v>
      </c>
      <c r="J8730" s="2" t="s">
        <v>12</v>
      </c>
      <c r="K8730" s="2" t="s">
        <v>11851</v>
      </c>
      <c r="L8730" s="2">
        <f t="shared" si="136"/>
        <v>150</v>
      </c>
    </row>
    <row r="8731" spans="1:12" ht="25" customHeight="1">
      <c r="A8731" s="2" t="s">
        <v>12</v>
      </c>
      <c r="B8731" s="2" t="str">
        <f>HYPERLINK("http://www.12365auto.com/zlts/20200212/446995.shtml","广汽丰田凯美瑞前挡风玻璃破碎 方向盘异响")</f>
        <v>广汽丰田凯美瑞前挡风玻璃破碎 方向盘异响</v>
      </c>
      <c r="C8731" s="2" t="s">
        <v>13</v>
      </c>
      <c r="D8731" s="2" t="s">
        <v>12</v>
      </c>
      <c r="E8731" s="2" t="s">
        <v>17</v>
      </c>
      <c r="F8731" s="2" t="str">
        <f>HYPERLINK("http://www.12365auto.com/zlts/20200212/446995.shtml","http://www.12365auto.com/zlts/20200212/446995.shtml")</f>
        <v>http://www.12365auto.com/zlts/20200212/446995.shtml</v>
      </c>
      <c r="G8731" s="2"/>
      <c r="H8731" s="2" t="s">
        <v>11852</v>
      </c>
      <c r="I8731" s="2" t="s">
        <v>19</v>
      </c>
      <c r="J8731" s="2" t="s">
        <v>12</v>
      </c>
      <c r="K8731" s="2" t="s">
        <v>11853</v>
      </c>
      <c r="L8731" s="2">
        <f t="shared" si="136"/>
        <v>150</v>
      </c>
    </row>
    <row r="8732" spans="1:12" ht="25" customHeight="1">
      <c r="A8732" s="2" t="s">
        <v>12</v>
      </c>
      <c r="B8732" s="2" t="str">
        <f>HYPERLINK("http://www.12365auto.com/zlts/20200212/446994.shtml","奇瑞艾瑞泽5车身多处生锈要求处理")</f>
        <v>奇瑞艾瑞泽5车身多处生锈要求处理</v>
      </c>
      <c r="C8732" s="2" t="s">
        <v>13</v>
      </c>
      <c r="D8732" s="2" t="s">
        <v>12</v>
      </c>
      <c r="E8732" s="2" t="s">
        <v>17</v>
      </c>
      <c r="F8732" s="2" t="str">
        <f>HYPERLINK("http://www.12365auto.com/zlts/20200212/446994.shtml","http://www.12365auto.com/zlts/20200212/446994.shtml")</f>
        <v>http://www.12365auto.com/zlts/20200212/446994.shtml</v>
      </c>
      <c r="G8732" s="2"/>
      <c r="H8732" s="2" t="s">
        <v>11854</v>
      </c>
      <c r="I8732" s="2" t="s">
        <v>19</v>
      </c>
      <c r="J8732" s="2" t="s">
        <v>12</v>
      </c>
      <c r="K8732" s="2" t="s">
        <v>11855</v>
      </c>
      <c r="L8732" s="2">
        <f t="shared" si="136"/>
        <v>150</v>
      </c>
    </row>
    <row r="8733" spans="1:12" ht="25" customHeight="1">
      <c r="A8733" s="2" t="s">
        <v>12</v>
      </c>
      <c r="B8733" s="2" t="str">
        <f>HYPERLINK("http://www.12365auto.com/zlts/20200212/446986.shtml","电瓶亏电，换电瓶没用，修理厂找不出问题所在，")</f>
        <v>电瓶亏电，换电瓶没用，修理厂找不出问题所在，</v>
      </c>
      <c r="C8733" s="2" t="s">
        <v>13</v>
      </c>
      <c r="D8733" s="2" t="s">
        <v>12</v>
      </c>
      <c r="E8733" s="2"/>
      <c r="F8733" s="2" t="str">
        <f>HYPERLINK("http://www.12365auto.com/zlts/20200212/446986.shtml","http://www.12365auto.com/zlts/20200212/446986.shtml")</f>
        <v>http://www.12365auto.com/zlts/20200212/446986.shtml</v>
      </c>
      <c r="G8733" s="2"/>
      <c r="H8733" s="2" t="s">
        <v>11857</v>
      </c>
      <c r="I8733" s="2" t="s">
        <v>15</v>
      </c>
      <c r="J8733" s="2" t="s">
        <v>12</v>
      </c>
      <c r="K8733" s="2" t="s">
        <v>11856</v>
      </c>
      <c r="L8733" s="2">
        <f t="shared" si="136"/>
        <v>83</v>
      </c>
    </row>
    <row r="8734" spans="1:12" ht="25" customHeight="1">
      <c r="A8734" s="2" t="s">
        <v>12</v>
      </c>
      <c r="B8734" s="2" t="str">
        <f>HYPERLINK("http://www.12365auto.com/zlts/20200212/446987.shtml","车辆低速行驶中顿挫感非常严重")</f>
        <v>车辆低速行驶中顿挫感非常严重</v>
      </c>
      <c r="C8734" s="2" t="s">
        <v>13</v>
      </c>
      <c r="D8734" s="2" t="s">
        <v>12</v>
      </c>
      <c r="E8734" s="2"/>
      <c r="F8734" s="2" t="str">
        <f>HYPERLINK("http://www.12365auto.com/zlts/20200212/446987.shtml","http://www.12365auto.com/zlts/20200212/446987.shtml")</f>
        <v>http://www.12365auto.com/zlts/20200212/446987.shtml</v>
      </c>
      <c r="G8734" s="2"/>
      <c r="H8734" s="2" t="s">
        <v>11859</v>
      </c>
      <c r="I8734" s="2" t="s">
        <v>15</v>
      </c>
      <c r="J8734" s="2" t="s">
        <v>12</v>
      </c>
      <c r="K8734" s="2" t="s">
        <v>11858</v>
      </c>
      <c r="L8734" s="2">
        <f t="shared" si="136"/>
        <v>81</v>
      </c>
    </row>
    <row r="8735" spans="1:12" ht="25" customHeight="1">
      <c r="A8735" s="2" t="s">
        <v>12</v>
      </c>
      <c r="B8735" s="2" t="str">
        <f>HYPERLINK("http://www.12365auto.com/zlts/20200212/446992.shtml","吉利远景X6车机远程启动无法使用")</f>
        <v>吉利远景X6车机远程启动无法使用</v>
      </c>
      <c r="C8735" s="2" t="s">
        <v>13</v>
      </c>
      <c r="D8735" s="2" t="s">
        <v>12</v>
      </c>
      <c r="E8735" s="2" t="s">
        <v>17</v>
      </c>
      <c r="F8735" s="2" t="str">
        <f>HYPERLINK("http://www.12365auto.com/zlts/20200212/446992.shtml","http://www.12365auto.com/zlts/20200212/446992.shtml")</f>
        <v>http://www.12365auto.com/zlts/20200212/446992.shtml</v>
      </c>
      <c r="G8735" s="2"/>
      <c r="H8735" s="2" t="s">
        <v>11860</v>
      </c>
      <c r="I8735" s="2" t="s">
        <v>19</v>
      </c>
      <c r="J8735" s="2" t="s">
        <v>12</v>
      </c>
      <c r="K8735" s="2" t="s">
        <v>11861</v>
      </c>
      <c r="L8735" s="2">
        <f t="shared" si="136"/>
        <v>150</v>
      </c>
    </row>
    <row r="8736" spans="1:12" ht="25" customHeight="1">
      <c r="A8736" s="2" t="s">
        <v>12</v>
      </c>
      <c r="B8736" s="2" t="str">
        <f>HYPERLINK("http://www.12365auto.com/zlts/20200212/446985.shtml","冬天冷启动vtc异响")</f>
        <v>冬天冷启动vtc异响</v>
      </c>
      <c r="C8736" s="2" t="s">
        <v>13</v>
      </c>
      <c r="D8736" s="2" t="s">
        <v>12</v>
      </c>
      <c r="E8736" s="2"/>
      <c r="F8736" s="2" t="str">
        <f>HYPERLINK("http://www.12365auto.com/zlts/20200212/446985.shtml","http://www.12365auto.com/zlts/20200212/446985.shtml")</f>
        <v>http://www.12365auto.com/zlts/20200212/446985.shtml</v>
      </c>
      <c r="G8736" s="2"/>
      <c r="H8736" s="2" t="s">
        <v>11863</v>
      </c>
      <c r="I8736" s="2" t="s">
        <v>15</v>
      </c>
      <c r="J8736" s="2" t="s">
        <v>12</v>
      </c>
      <c r="K8736" s="2" t="s">
        <v>11862</v>
      </c>
      <c r="L8736" s="2">
        <f t="shared" si="136"/>
        <v>83</v>
      </c>
    </row>
    <row r="8737" spans="1:12" ht="25" customHeight="1">
      <c r="A8737" s="2" t="s">
        <v>12</v>
      </c>
      <c r="B8737" s="2" t="str">
        <f>HYPERLINK("http://www.12365auto.com/zlts/20200212/446980.shtml","别克英朗水箱内有机油要求尽快处理")</f>
        <v>别克英朗水箱内有机油要求尽快处理</v>
      </c>
      <c r="C8737" s="2" t="s">
        <v>13</v>
      </c>
      <c r="D8737" s="2" t="s">
        <v>12</v>
      </c>
      <c r="E8737" s="2"/>
      <c r="F8737" s="2" t="str">
        <f>HYPERLINK("http://www.12365auto.com/zlts/20200212/446980.shtml","http://www.12365auto.com/zlts/20200212/446980.shtml")</f>
        <v>http://www.12365auto.com/zlts/20200212/446980.shtml</v>
      </c>
      <c r="G8737" s="2"/>
      <c r="H8737" s="2" t="s">
        <v>11865</v>
      </c>
      <c r="I8737" s="2" t="s">
        <v>15</v>
      </c>
      <c r="J8737" s="2" t="s">
        <v>12</v>
      </c>
      <c r="K8737" s="2" t="s">
        <v>11864</v>
      </c>
      <c r="L8737" s="2">
        <f t="shared" si="136"/>
        <v>84</v>
      </c>
    </row>
    <row r="8738" spans="1:12" ht="25" customHeight="1">
      <c r="A8738" s="2" t="s">
        <v>12</v>
      </c>
      <c r="B8738" s="2" t="str">
        <f>HYPERLINK("http://www.12365auto.com/zlts/20200212/446983.shtml","东风风神AX7离合器卡住导致无法回弹")</f>
        <v>东风风神AX7离合器卡住导致无法回弹</v>
      </c>
      <c r="C8738" s="2" t="s">
        <v>13</v>
      </c>
      <c r="D8738" s="2" t="s">
        <v>12</v>
      </c>
      <c r="E8738" s="2" t="s">
        <v>17</v>
      </c>
      <c r="F8738" s="2" t="str">
        <f>HYPERLINK("http://www.12365auto.com/zlts/20200212/446983.shtml","http://www.12365auto.com/zlts/20200212/446983.shtml")</f>
        <v>http://www.12365auto.com/zlts/20200212/446983.shtml</v>
      </c>
      <c r="G8738" s="2"/>
      <c r="H8738" s="2" t="s">
        <v>11866</v>
      </c>
      <c r="I8738" s="2" t="s">
        <v>19</v>
      </c>
      <c r="J8738" s="2" t="s">
        <v>12</v>
      </c>
      <c r="K8738" s="2" t="s">
        <v>11867</v>
      </c>
      <c r="L8738" s="2">
        <f t="shared" si="136"/>
        <v>150</v>
      </c>
    </row>
    <row r="8739" spans="1:12" ht="25" customHeight="1">
      <c r="A8739" s="2" t="s">
        <v>12</v>
      </c>
      <c r="B8739" s="2" t="str">
        <f>HYPERLINK("http://m.12365auto.com/zjdy/20200212/121184.shtml","朗逸挂挡无法行驶重新挂挡正常怎么回事？")</f>
        <v>朗逸挂挡无法行驶重新挂挡正常怎么回事？</v>
      </c>
      <c r="C8739" s="2" t="s">
        <v>13</v>
      </c>
      <c r="D8739" s="2" t="s">
        <v>12</v>
      </c>
      <c r="E8739" s="2"/>
      <c r="F8739" s="2" t="str">
        <f>HYPERLINK("http://m.12365auto.com/zjdy/20200212/121184.shtml","http://m.12365auto.com/zjdy/20200212/121184.shtml")</f>
        <v>http://m.12365auto.com/zjdy/20200212/121184.shtml</v>
      </c>
      <c r="G8739" s="2"/>
      <c r="H8739" s="2" t="s">
        <v>11868</v>
      </c>
      <c r="I8739" s="2" t="s">
        <v>19</v>
      </c>
      <c r="J8739" s="2" t="s">
        <v>12</v>
      </c>
      <c r="K8739" s="2" t="s">
        <v>11869</v>
      </c>
      <c r="L8739" s="2">
        <f t="shared" si="136"/>
        <v>30</v>
      </c>
    </row>
    <row r="8740" spans="1:12" ht="25" customHeight="1">
      <c r="A8740" s="2" t="s">
        <v>12</v>
      </c>
      <c r="B8740" s="2" t="str">
        <f>HYPERLINK("http://m.12365auto.com/zjdy/20200212/121186.shtml","2019款日产轩逸挡杆处异响是什么原因？")</f>
        <v>2019款日产轩逸挡杆处异响是什么原因？</v>
      </c>
      <c r="C8740" s="2" t="s">
        <v>13</v>
      </c>
      <c r="D8740" s="2" t="s">
        <v>12</v>
      </c>
      <c r="E8740" s="2"/>
      <c r="F8740" s="2" t="str">
        <f>HYPERLINK("http://m.12365auto.com/zjdy/20200212/121186.shtml","http://m.12365auto.com/zjdy/20200212/121186.shtml")</f>
        <v>http://m.12365auto.com/zjdy/20200212/121186.shtml</v>
      </c>
      <c r="G8740" s="2"/>
      <c r="H8740" s="2" t="s">
        <v>11870</v>
      </c>
      <c r="I8740" s="2" t="s">
        <v>19</v>
      </c>
      <c r="J8740" s="2" t="s">
        <v>12</v>
      </c>
      <c r="K8740" s="2" t="s">
        <v>11869</v>
      </c>
      <c r="L8740" s="2">
        <f t="shared" si="136"/>
        <v>42</v>
      </c>
    </row>
    <row r="8741" spans="1:12" ht="25" customHeight="1">
      <c r="A8741" s="2" t="s">
        <v>12</v>
      </c>
      <c r="B8741" s="2" t="str">
        <f>HYPERLINK("http://m.12365auto.com/zjdy/20200212/121187.shtml","风骏5皮卡打不着火无法解除防盗怎么处理？")</f>
        <v>风骏5皮卡打不着火无法解除防盗怎么处理？</v>
      </c>
      <c r="C8741" s="2" t="s">
        <v>13</v>
      </c>
      <c r="D8741" s="2" t="s">
        <v>12</v>
      </c>
      <c r="E8741" s="2"/>
      <c r="F8741" s="2" t="str">
        <f>HYPERLINK("http://m.12365auto.com/zjdy/20200212/121187.shtml","http://m.12365auto.com/zjdy/20200212/121187.shtml")</f>
        <v>http://m.12365auto.com/zjdy/20200212/121187.shtml</v>
      </c>
      <c r="G8741" s="2"/>
      <c r="H8741" s="2" t="s">
        <v>11871</v>
      </c>
      <c r="I8741" s="2" t="s">
        <v>19</v>
      </c>
      <c r="J8741" s="2" t="s">
        <v>12</v>
      </c>
      <c r="K8741" s="2" t="s">
        <v>11872</v>
      </c>
      <c r="L8741" s="2">
        <f t="shared" si="136"/>
        <v>49</v>
      </c>
    </row>
    <row r="8742" spans="1:12" ht="25" customHeight="1">
      <c r="A8742" s="2" t="s">
        <v>12</v>
      </c>
      <c r="B8742" s="2" t="str">
        <f>HYPERLINK("http://www.12365auto.com/zlts/20200212/446981.shtml","轮胎开裂，车身共振")</f>
        <v>轮胎开裂，车身共振</v>
      </c>
      <c r="C8742" s="2" t="s">
        <v>13</v>
      </c>
      <c r="D8742" s="2" t="s">
        <v>12</v>
      </c>
      <c r="E8742" s="2"/>
      <c r="F8742" s="2" t="str">
        <f>HYPERLINK("http://www.12365auto.com/zlts/20200212/446981.shtml","http://www.12365auto.com/zlts/20200212/446981.shtml")</f>
        <v>http://www.12365auto.com/zlts/20200212/446981.shtml</v>
      </c>
      <c r="G8742" s="2"/>
      <c r="H8742" s="2" t="s">
        <v>11874</v>
      </c>
      <c r="I8742" s="2" t="s">
        <v>15</v>
      </c>
      <c r="J8742" s="2" t="s">
        <v>12</v>
      </c>
      <c r="K8742" s="2" t="s">
        <v>11873</v>
      </c>
      <c r="L8742" s="2">
        <f t="shared" si="136"/>
        <v>86</v>
      </c>
    </row>
    <row r="8743" spans="1:12" ht="25" customHeight="1">
      <c r="A8743" s="2" t="s">
        <v>12</v>
      </c>
      <c r="B8743" s="2" t="str">
        <f>HYPERLINK("http://www.12365auto.com/zlts/20200212/446979.shtml","长城风骏5发动机无法启动 故障灯亮")</f>
        <v>长城风骏5发动机无法启动 故障灯亮</v>
      </c>
      <c r="C8743" s="2" t="s">
        <v>13</v>
      </c>
      <c r="D8743" s="2" t="s">
        <v>12</v>
      </c>
      <c r="E8743" s="2" t="s">
        <v>17</v>
      </c>
      <c r="F8743" s="2" t="str">
        <f>HYPERLINK("http://www.12365auto.com/zlts/20200212/446979.shtml","http://www.12365auto.com/zlts/20200212/446979.shtml")</f>
        <v>http://www.12365auto.com/zlts/20200212/446979.shtml</v>
      </c>
      <c r="G8743" s="2"/>
      <c r="H8743" s="2" t="s">
        <v>11875</v>
      </c>
      <c r="I8743" s="2" t="s">
        <v>19</v>
      </c>
      <c r="J8743" s="2" t="s">
        <v>12</v>
      </c>
      <c r="K8743" s="2" t="s">
        <v>11876</v>
      </c>
      <c r="L8743" s="2">
        <f t="shared" si="136"/>
        <v>150</v>
      </c>
    </row>
    <row r="8744" spans="1:12" ht="25" customHeight="1">
      <c r="A8744" s="2" t="s">
        <v>12</v>
      </c>
      <c r="B8744" s="2" t="str">
        <f>HYPERLINK("http://www.12365auto.com/zlts/20200212/446978.shtml","行驶过程中变速箱有异响、发动机车架损坏")</f>
        <v>行驶过程中变速箱有异响、发动机车架损坏</v>
      </c>
      <c r="C8744" s="2" t="s">
        <v>13</v>
      </c>
      <c r="D8744" s="2" t="s">
        <v>12</v>
      </c>
      <c r="E8744" s="2"/>
      <c r="F8744" s="2" t="str">
        <f>HYPERLINK("http://www.12365auto.com/zlts/20200212/446978.shtml","http://www.12365auto.com/zlts/20200212/446978.shtml")</f>
        <v>http://www.12365auto.com/zlts/20200212/446978.shtml</v>
      </c>
      <c r="G8744" s="2"/>
      <c r="H8744" s="2" t="s">
        <v>11878</v>
      </c>
      <c r="I8744" s="2" t="s">
        <v>15</v>
      </c>
      <c r="J8744" s="2" t="s">
        <v>12</v>
      </c>
      <c r="K8744" s="2" t="s">
        <v>11877</v>
      </c>
      <c r="L8744" s="2">
        <f t="shared" si="136"/>
        <v>85</v>
      </c>
    </row>
    <row r="8745" spans="1:12" ht="25" customHeight="1">
      <c r="A8745" s="2" t="s">
        <v>12</v>
      </c>
      <c r="B8745" s="2" t="str">
        <f>HYPERLINK("http://www.12365auto.com/zlts/20200212/446977.shtml","郑州日产途达电瓶亏电导致无法启动")</f>
        <v>郑州日产途达电瓶亏电导致无法启动</v>
      </c>
      <c r="C8745" s="2" t="s">
        <v>13</v>
      </c>
      <c r="D8745" s="2" t="s">
        <v>12</v>
      </c>
      <c r="E8745" s="2" t="s">
        <v>17</v>
      </c>
      <c r="F8745" s="2" t="str">
        <f>HYPERLINK("http://www.12365auto.com/zlts/20200212/446977.shtml","http://www.12365auto.com/zlts/20200212/446977.shtml")</f>
        <v>http://www.12365auto.com/zlts/20200212/446977.shtml</v>
      </c>
      <c r="G8745" s="2"/>
      <c r="H8745" s="2" t="s">
        <v>11879</v>
      </c>
      <c r="I8745" s="2" t="s">
        <v>19</v>
      </c>
      <c r="J8745" s="2" t="s">
        <v>12</v>
      </c>
      <c r="K8745" s="2" t="s">
        <v>11880</v>
      </c>
      <c r="L8745" s="2">
        <f t="shared" si="136"/>
        <v>150</v>
      </c>
    </row>
    <row r="8746" spans="1:12" ht="25" customHeight="1">
      <c r="A8746" s="2" t="s">
        <v>12</v>
      </c>
      <c r="B8746" s="2" t="str">
        <f>HYPERLINK("http://www.12365auto.com/zlts/20200212/446973.shtml","郑州日产途达耗电过大致电池亏电无法启动")</f>
        <v>郑州日产途达耗电过大致电池亏电无法启动</v>
      </c>
      <c r="C8746" s="2" t="s">
        <v>13</v>
      </c>
      <c r="D8746" s="2" t="s">
        <v>12</v>
      </c>
      <c r="E8746" s="2"/>
      <c r="F8746" s="2" t="str">
        <f>HYPERLINK("http://www.12365auto.com/zlts/20200212/446973.shtml","http://www.12365auto.com/zlts/20200212/446973.shtml")</f>
        <v>http://www.12365auto.com/zlts/20200212/446973.shtml</v>
      </c>
      <c r="G8746" s="2"/>
      <c r="H8746" s="2" t="s">
        <v>11882</v>
      </c>
      <c r="I8746" s="2" t="s">
        <v>15</v>
      </c>
      <c r="J8746" s="2" t="s">
        <v>12</v>
      </c>
      <c r="K8746" s="2" t="s">
        <v>11881</v>
      </c>
      <c r="L8746" s="2">
        <f t="shared" si="136"/>
        <v>83</v>
      </c>
    </row>
    <row r="8747" spans="1:12" ht="25" customHeight="1">
      <c r="A8747" s="2" t="s">
        <v>12</v>
      </c>
      <c r="B8747" s="2" t="str">
        <f>HYPERLINK("http://www.12365auto.com/zlts/20200212/446976.shtml","东风本田艾力绅仪表盘故障灯亮 发动机熄火")</f>
        <v>东风本田艾力绅仪表盘故障灯亮 发动机熄火</v>
      </c>
      <c r="C8747" s="2" t="s">
        <v>13</v>
      </c>
      <c r="D8747" s="2" t="s">
        <v>12</v>
      </c>
      <c r="E8747" s="2" t="s">
        <v>17</v>
      </c>
      <c r="F8747" s="2" t="str">
        <f>HYPERLINK("http://www.12365auto.com/zlts/20200212/446976.shtml","http://www.12365auto.com/zlts/20200212/446976.shtml")</f>
        <v>http://www.12365auto.com/zlts/20200212/446976.shtml</v>
      </c>
      <c r="G8747" s="2"/>
      <c r="H8747" s="2" t="s">
        <v>11883</v>
      </c>
      <c r="I8747" s="2" t="s">
        <v>19</v>
      </c>
      <c r="J8747" s="2" t="s">
        <v>12</v>
      </c>
      <c r="K8747" s="2" t="s">
        <v>11884</v>
      </c>
      <c r="L8747" s="2">
        <f t="shared" si="136"/>
        <v>150</v>
      </c>
    </row>
    <row r="8748" spans="1:12" ht="25" customHeight="1">
      <c r="A8748" s="2" t="s">
        <v>12</v>
      </c>
      <c r="B8748" s="2" t="str">
        <f>HYPERLINK("http://www.12365auto.com/news/20200212/418382.shtml","汽车除雾技巧 四招教你快速除雾")</f>
        <v>汽车除雾技巧 四招教你快速除雾</v>
      </c>
      <c r="C8748" s="2" t="s">
        <v>13</v>
      </c>
      <c r="D8748" s="2" t="s">
        <v>12</v>
      </c>
      <c r="E8748" s="2" t="s">
        <v>372</v>
      </c>
      <c r="F8748" s="2" t="str">
        <f>HYPERLINK("http://www.12365auto.com/news/20200212/418382.shtml","http://www.12365auto.com/news/20200212/418382.shtml")</f>
        <v>http://www.12365auto.com/news/20200212/418382.shtml</v>
      </c>
      <c r="G8748" s="2"/>
      <c r="H8748" s="2" t="s">
        <v>11885</v>
      </c>
      <c r="I8748" s="2" t="s">
        <v>15</v>
      </c>
      <c r="J8748" s="2" t="s">
        <v>12</v>
      </c>
      <c r="K8748" s="2" t="s">
        <v>11886</v>
      </c>
      <c r="L8748" s="2">
        <f t="shared" si="136"/>
        <v>150</v>
      </c>
    </row>
    <row r="8749" spans="1:12" ht="25" customHeight="1">
      <c r="A8749" s="2" t="s">
        <v>12</v>
      </c>
      <c r="B8749" s="2" t="str">
        <f>HYPERLINK("http://m.12365auto.com/news/20200212/418382.shtml","汽车除雾技巧 四招教你快速除雾")</f>
        <v>汽车除雾技巧 四招教你快速除雾</v>
      </c>
      <c r="C8749" s="2" t="s">
        <v>13</v>
      </c>
      <c r="D8749" s="2" t="s">
        <v>12</v>
      </c>
      <c r="E8749" s="2"/>
      <c r="F8749" s="2" t="str">
        <f>HYPERLINK("http://m.12365auto.com/news/20200212/418382.shtml","http://m.12365auto.com/news/20200212/418382.shtml")</f>
        <v>http://m.12365auto.com/news/20200212/418382.shtml</v>
      </c>
      <c r="G8749" s="2"/>
      <c r="H8749" s="2" t="s">
        <v>11887</v>
      </c>
      <c r="I8749" s="2" t="s">
        <v>19</v>
      </c>
      <c r="J8749" s="2" t="s">
        <v>11888</v>
      </c>
      <c r="K8749" s="2" t="s">
        <v>11886</v>
      </c>
      <c r="L8749" s="2">
        <f t="shared" si="136"/>
        <v>150</v>
      </c>
    </row>
    <row r="8750" spans="1:12" ht="25" customHeight="1">
      <c r="A8750" s="2" t="s">
        <v>12</v>
      </c>
      <c r="B8750" s="2" t="str">
        <f>HYPERLINK("http://m.12365auto.com/xcdg/20200212/418381.shtml","2021年正式开始销售 奇瑞星途TX将登陆美国")</f>
        <v>2021年正式开始销售 奇瑞星途TX将登陆美国</v>
      </c>
      <c r="C8750" s="2" t="s">
        <v>13</v>
      </c>
      <c r="D8750" s="2" t="s">
        <v>12</v>
      </c>
      <c r="E8750" s="2"/>
      <c r="F8750" s="2" t="str">
        <f>HYPERLINK("http://m.12365auto.com/xcdg/20200212/418381.shtml","http://m.12365auto.com/xcdg/20200212/418381.shtml")</f>
        <v>http://m.12365auto.com/xcdg/20200212/418381.shtml</v>
      </c>
      <c r="G8750" s="2"/>
      <c r="H8750" s="2" t="s">
        <v>11889</v>
      </c>
      <c r="I8750" s="2" t="s">
        <v>19</v>
      </c>
      <c r="J8750" s="2" t="s">
        <v>12</v>
      </c>
      <c r="K8750" s="2" t="s">
        <v>11890</v>
      </c>
      <c r="L8750" s="2">
        <f t="shared" si="136"/>
        <v>150</v>
      </c>
    </row>
    <row r="8751" spans="1:12" ht="25" customHeight="1">
      <c r="A8751" s="2" t="s">
        <v>12</v>
      </c>
      <c r="B8751" s="2" t="str">
        <f>HYPERLINK("http://www.12365auto.com/xcdg/20200212/418381.shtml","2021年正式开始销售 奇瑞星途TX将登陆美国")</f>
        <v>2021年正式开始销售 奇瑞星途TX将登陆美国</v>
      </c>
      <c r="C8751" s="2" t="s">
        <v>13</v>
      </c>
      <c r="D8751" s="2" t="s">
        <v>12</v>
      </c>
      <c r="E8751" s="2" t="s">
        <v>216</v>
      </c>
      <c r="F8751" s="2" t="str">
        <f>HYPERLINK("http://www.12365auto.com/xcdg/20200212/418381.shtml","http://www.12365auto.com/xcdg/20200212/418381.shtml")</f>
        <v>http://www.12365auto.com/xcdg/20200212/418381.shtml</v>
      </c>
      <c r="G8751" s="2"/>
      <c r="H8751" s="2" t="s">
        <v>11891</v>
      </c>
      <c r="I8751" s="2" t="s">
        <v>15</v>
      </c>
      <c r="J8751" s="2" t="s">
        <v>12</v>
      </c>
      <c r="K8751" s="2" t="s">
        <v>11890</v>
      </c>
      <c r="L8751" s="2">
        <f t="shared" si="136"/>
        <v>150</v>
      </c>
    </row>
    <row r="8752" spans="1:12" ht="25" customHeight="1">
      <c r="A8752" s="2" t="s">
        <v>12</v>
      </c>
      <c r="B8752" s="2" t="str">
        <f>HYPERLINK("http://m.12365auto.com/xcdg/20200212/418380.shtml","大众I.D.的姊妹车 西雅特EL-BORN专利图曝光")</f>
        <v>大众I.D.的姊妹车 西雅特EL-BORN专利图曝光</v>
      </c>
      <c r="C8752" s="2" t="s">
        <v>13</v>
      </c>
      <c r="D8752" s="2" t="s">
        <v>12</v>
      </c>
      <c r="E8752" s="2"/>
      <c r="F8752" s="2" t="str">
        <f>HYPERLINK("http://m.12365auto.com/xcdg/20200212/418380.shtml","http://m.12365auto.com/xcdg/20200212/418380.shtml")</f>
        <v>http://m.12365auto.com/xcdg/20200212/418380.shtml</v>
      </c>
      <c r="G8752" s="2"/>
      <c r="H8752" s="2" t="s">
        <v>11892</v>
      </c>
      <c r="I8752" s="2" t="s">
        <v>19</v>
      </c>
      <c r="J8752" s="2" t="s">
        <v>230</v>
      </c>
      <c r="K8752" s="2" t="s">
        <v>11893</v>
      </c>
      <c r="L8752" s="2">
        <f t="shared" si="136"/>
        <v>150</v>
      </c>
    </row>
    <row r="8753" spans="1:12" ht="25" customHeight="1">
      <c r="A8753" s="2" t="s">
        <v>12</v>
      </c>
      <c r="B8753" s="2" t="str">
        <f>HYPERLINK("http://www.12365auto.com/xcdg/20200212/418380.shtml","大众I.D.的姊妹车 西雅特EL-BORN专利图曝光")</f>
        <v>大众I.D.的姊妹车 西雅特EL-BORN专利图曝光</v>
      </c>
      <c r="C8753" s="2" t="s">
        <v>13</v>
      </c>
      <c r="D8753" s="2" t="s">
        <v>12</v>
      </c>
      <c r="E8753" s="2" t="s">
        <v>245</v>
      </c>
      <c r="F8753" s="2" t="str">
        <f>HYPERLINK("http://www.12365auto.com/xcdg/20200212/418380.shtml","http://www.12365auto.com/xcdg/20200212/418380.shtml")</f>
        <v>http://www.12365auto.com/xcdg/20200212/418380.shtml</v>
      </c>
      <c r="G8753" s="2"/>
      <c r="H8753" s="2" t="s">
        <v>11894</v>
      </c>
      <c r="I8753" s="2" t="s">
        <v>19</v>
      </c>
      <c r="J8753" s="2" t="s">
        <v>12</v>
      </c>
      <c r="K8753" s="2" t="s">
        <v>11893</v>
      </c>
      <c r="L8753" s="2">
        <f t="shared" si="136"/>
        <v>150</v>
      </c>
    </row>
    <row r="8754" spans="1:12" ht="25" customHeight="1">
      <c r="A8754" s="2" t="s">
        <v>12</v>
      </c>
      <c r="B8754" s="2" t="str">
        <f>HYPERLINK("http://m.12365auto.com/xcdg/20200212/418379.shtml","3.6秒破百 新款奥迪RS6 Avant官图发布")</f>
        <v>3.6秒破百 新款奥迪RS6 Avant官图发布</v>
      </c>
      <c r="C8754" s="2" t="s">
        <v>13</v>
      </c>
      <c r="D8754" s="2" t="s">
        <v>12</v>
      </c>
      <c r="E8754" s="2"/>
      <c r="F8754" s="2" t="str">
        <f>HYPERLINK("http://m.12365auto.com/xcdg/20200212/418379.shtml","http://m.12365auto.com/xcdg/20200212/418379.shtml")</f>
        <v>http://m.12365auto.com/xcdg/20200212/418379.shtml</v>
      </c>
      <c r="G8754" s="2"/>
      <c r="H8754" s="2" t="s">
        <v>11895</v>
      </c>
      <c r="I8754" s="2" t="s">
        <v>19</v>
      </c>
      <c r="J8754" s="2" t="s">
        <v>702</v>
      </c>
      <c r="K8754" s="2" t="s">
        <v>11896</v>
      </c>
      <c r="L8754" s="2">
        <f t="shared" si="136"/>
        <v>150</v>
      </c>
    </row>
    <row r="8755" spans="1:12" ht="25" customHeight="1">
      <c r="A8755" s="2" t="s">
        <v>12</v>
      </c>
      <c r="B8755" s="2" t="str">
        <f>HYPERLINK("http://www.12365auto.com/xcdg/20200212/418379.shtml","3.6秒破百 新款奥迪RS6 Avant官图发布")</f>
        <v>3.6秒破百 新款奥迪RS6 Avant官图发布</v>
      </c>
      <c r="C8755" s="2" t="s">
        <v>13</v>
      </c>
      <c r="D8755" s="2" t="s">
        <v>12</v>
      </c>
      <c r="E8755" s="2" t="s">
        <v>245</v>
      </c>
      <c r="F8755" s="2" t="str">
        <f>HYPERLINK("http://www.12365auto.com/xcdg/20200212/418379.shtml","http://www.12365auto.com/xcdg/20200212/418379.shtml")</f>
        <v>http://www.12365auto.com/xcdg/20200212/418379.shtml</v>
      </c>
      <c r="G8755" s="2"/>
      <c r="H8755" s="2" t="s">
        <v>11897</v>
      </c>
      <c r="I8755" s="2" t="s">
        <v>19</v>
      </c>
      <c r="J8755" s="2" t="s">
        <v>12</v>
      </c>
      <c r="K8755" s="2" t="s">
        <v>11896</v>
      </c>
      <c r="L8755" s="2">
        <f t="shared" si="136"/>
        <v>150</v>
      </c>
    </row>
    <row r="8756" spans="1:12" ht="25" customHeight="1">
      <c r="A8756" s="2" t="s">
        <v>12</v>
      </c>
      <c r="B8756" s="2" t="str">
        <f>HYPERLINK("http://m.12365auto.com/xcdg/20200212/418378.shtml","2021款达契亚Logan谍照曝光 将亮相巴黎车展")</f>
        <v>2021款达契亚Logan谍照曝光 将亮相巴黎车展</v>
      </c>
      <c r="C8756" s="2" t="s">
        <v>13</v>
      </c>
      <c r="D8756" s="2" t="s">
        <v>12</v>
      </c>
      <c r="E8756" s="2"/>
      <c r="F8756" s="2" t="str">
        <f>HYPERLINK("http://m.12365auto.com/xcdg/20200212/418378.shtml","http://m.12365auto.com/xcdg/20200212/418378.shtml")</f>
        <v>http://m.12365auto.com/xcdg/20200212/418378.shtml</v>
      </c>
      <c r="G8756" s="2"/>
      <c r="H8756" s="2" t="s">
        <v>11898</v>
      </c>
      <c r="I8756" s="2" t="s">
        <v>19</v>
      </c>
      <c r="J8756" s="2" t="s">
        <v>702</v>
      </c>
      <c r="K8756" s="2" t="s">
        <v>11899</v>
      </c>
      <c r="L8756" s="2">
        <f t="shared" si="136"/>
        <v>150</v>
      </c>
    </row>
    <row r="8757" spans="1:12" ht="25" customHeight="1">
      <c r="A8757" s="2" t="s">
        <v>12</v>
      </c>
      <c r="B8757" s="2" t="str">
        <f>HYPERLINK("http://www.12365auto.com/xcdg/20200212/418378.shtml","2021款达契亚Logan谍照曝光 将亮相巴黎车展")</f>
        <v>2021款达契亚Logan谍照曝光 将亮相巴黎车展</v>
      </c>
      <c r="C8757" s="2" t="s">
        <v>13</v>
      </c>
      <c r="D8757" s="2" t="s">
        <v>12</v>
      </c>
      <c r="E8757" s="2" t="s">
        <v>224</v>
      </c>
      <c r="F8757" s="2" t="str">
        <f>HYPERLINK("http://www.12365auto.com/xcdg/20200212/418378.shtml","http://www.12365auto.com/xcdg/20200212/418378.shtml")</f>
        <v>http://www.12365auto.com/xcdg/20200212/418378.shtml</v>
      </c>
      <c r="G8757" s="2"/>
      <c r="H8757" s="2" t="s">
        <v>11900</v>
      </c>
      <c r="I8757" s="2" t="s">
        <v>15</v>
      </c>
      <c r="J8757" s="2" t="s">
        <v>12</v>
      </c>
      <c r="K8757" s="2" t="s">
        <v>11899</v>
      </c>
      <c r="L8757" s="2">
        <f t="shared" si="136"/>
        <v>150</v>
      </c>
    </row>
    <row r="8758" spans="1:12" ht="25" customHeight="1">
      <c r="A8758" s="2" t="s">
        <v>12</v>
      </c>
      <c r="B8758" s="2" t="str">
        <f>HYPERLINK("http://m.12365auto.com/xcdg/20200212/418377.shtml","全新起亚Sorento内饰公布 3月3日正式发布")</f>
        <v>全新起亚Sorento内饰公布 3月3日正式发布</v>
      </c>
      <c r="C8758" s="2" t="s">
        <v>13</v>
      </c>
      <c r="D8758" s="2" t="s">
        <v>12</v>
      </c>
      <c r="E8758" s="2"/>
      <c r="F8758" s="2" t="str">
        <f>HYPERLINK("http://m.12365auto.com/xcdg/20200212/418377.shtml","http://m.12365auto.com/xcdg/20200212/418377.shtml")</f>
        <v>http://m.12365auto.com/xcdg/20200212/418377.shtml</v>
      </c>
      <c r="G8758" s="2"/>
      <c r="H8758" s="2" t="s">
        <v>11901</v>
      </c>
      <c r="I8758" s="2" t="s">
        <v>19</v>
      </c>
      <c r="J8758" s="2" t="s">
        <v>702</v>
      </c>
      <c r="K8758" s="2" t="s">
        <v>11902</v>
      </c>
      <c r="L8758" s="2">
        <f t="shared" si="136"/>
        <v>150</v>
      </c>
    </row>
    <row r="8759" spans="1:12" ht="25" customHeight="1">
      <c r="A8759" s="2" t="s">
        <v>12</v>
      </c>
      <c r="B8759" s="2" t="str">
        <f>HYPERLINK("http://www.12365auto.com/xcdg/20200212/418377.shtml","全新起亚Sorento内饰公布 3月3日正式发布")</f>
        <v>全新起亚Sorento内饰公布 3月3日正式发布</v>
      </c>
      <c r="C8759" s="2" t="s">
        <v>13</v>
      </c>
      <c r="D8759" s="2" t="s">
        <v>12</v>
      </c>
      <c r="E8759" s="2" t="s">
        <v>245</v>
      </c>
      <c r="F8759" s="2" t="str">
        <f>HYPERLINK("http://www.12365auto.com/xcdg/20200212/418377.shtml","http://www.12365auto.com/xcdg/20200212/418377.shtml")</f>
        <v>http://www.12365auto.com/xcdg/20200212/418377.shtml</v>
      </c>
      <c r="G8759" s="2"/>
      <c r="H8759" s="2" t="s">
        <v>11903</v>
      </c>
      <c r="I8759" s="2" t="s">
        <v>19</v>
      </c>
      <c r="J8759" s="2" t="s">
        <v>12</v>
      </c>
      <c r="K8759" s="2" t="s">
        <v>11902</v>
      </c>
      <c r="L8759" s="2">
        <f t="shared" si="136"/>
        <v>150</v>
      </c>
    </row>
    <row r="8760" spans="1:12" ht="25" customHeight="1">
      <c r="A8760" s="2" t="s">
        <v>12</v>
      </c>
      <c r="B8760" s="2" t="str">
        <f>HYPERLINK("http://m.12365auto.com/xcdg/20200212/418376.shtml","雷诺EZ概念车实拍 配L4自动驾驶/内饰更吸睛")</f>
        <v>雷诺EZ概念车实拍 配L4自动驾驶/内饰更吸睛</v>
      </c>
      <c r="C8760" s="2" t="s">
        <v>13</v>
      </c>
      <c r="D8760" s="2" t="s">
        <v>12</v>
      </c>
      <c r="E8760" s="2"/>
      <c r="F8760" s="2" t="str">
        <f>HYPERLINK("http://m.12365auto.com/xcdg/20200212/418376.shtml","http://m.12365auto.com/xcdg/20200212/418376.shtml")</f>
        <v>http://m.12365auto.com/xcdg/20200212/418376.shtml</v>
      </c>
      <c r="G8760" s="2"/>
      <c r="H8760" s="2" t="s">
        <v>11904</v>
      </c>
      <c r="I8760" s="2" t="s">
        <v>19</v>
      </c>
      <c r="J8760" s="2" t="s">
        <v>220</v>
      </c>
      <c r="K8760" s="2" t="s">
        <v>11905</v>
      </c>
      <c r="L8760" s="2">
        <f t="shared" si="136"/>
        <v>150</v>
      </c>
    </row>
    <row r="8761" spans="1:12" ht="25" customHeight="1">
      <c r="A8761" s="2" t="s">
        <v>12</v>
      </c>
      <c r="B8761" s="2" t="str">
        <f>HYPERLINK("http://www.12365auto.com/xcdg/20200212/418376.shtml","雷诺EZ概念车实拍 配L4自动驾驶/内饰更吸睛")</f>
        <v>雷诺EZ概念车实拍 配L4自动驾驶/内饰更吸睛</v>
      </c>
      <c r="C8761" s="2" t="s">
        <v>13</v>
      </c>
      <c r="D8761" s="2" t="s">
        <v>12</v>
      </c>
      <c r="E8761" s="2" t="s">
        <v>245</v>
      </c>
      <c r="F8761" s="2" t="str">
        <f>HYPERLINK("http://www.12365auto.com/xcdg/20200212/418376.shtml","http://www.12365auto.com/xcdg/20200212/418376.shtml")</f>
        <v>http://www.12365auto.com/xcdg/20200212/418376.shtml</v>
      </c>
      <c r="G8761" s="2"/>
      <c r="H8761" s="2" t="s">
        <v>11906</v>
      </c>
      <c r="I8761" s="2" t="s">
        <v>19</v>
      </c>
      <c r="J8761" s="2" t="s">
        <v>12</v>
      </c>
      <c r="K8761" s="2" t="s">
        <v>11905</v>
      </c>
      <c r="L8761" s="2">
        <f t="shared" si="136"/>
        <v>150</v>
      </c>
    </row>
    <row r="8762" spans="1:12" ht="25" customHeight="1">
      <c r="A8762" s="2" t="s">
        <v>12</v>
      </c>
      <c r="B8762" s="2" t="str">
        <f>HYPERLINK("http://www.12365auto.com/xcdg/20200212/418375.shtml","奔驰全新EQS最新谍照 续航达700km")</f>
        <v>奔驰全新EQS最新谍照 续航达700km</v>
      </c>
      <c r="C8762" s="2" t="s">
        <v>13</v>
      </c>
      <c r="D8762" s="2" t="s">
        <v>12</v>
      </c>
      <c r="E8762" s="2" t="s">
        <v>224</v>
      </c>
      <c r="F8762" s="2" t="str">
        <f>HYPERLINK("http://www.12365auto.com/xcdg/20200212/418375.shtml","http://www.12365auto.com/xcdg/20200212/418375.shtml")</f>
        <v>http://www.12365auto.com/xcdg/20200212/418375.shtml</v>
      </c>
      <c r="G8762" s="2"/>
      <c r="H8762" s="2" t="s">
        <v>11907</v>
      </c>
      <c r="I8762" s="2" t="s">
        <v>15</v>
      </c>
      <c r="J8762" s="2" t="s">
        <v>12</v>
      </c>
      <c r="K8762" s="2" t="s">
        <v>11908</v>
      </c>
      <c r="L8762" s="2">
        <f t="shared" si="136"/>
        <v>150</v>
      </c>
    </row>
    <row r="8763" spans="1:12" ht="25" customHeight="1">
      <c r="A8763" s="2" t="s">
        <v>12</v>
      </c>
      <c r="B8763" s="2" t="str">
        <f>HYPERLINK("http://m.12365auto.com/xcdg/20200212/418375.shtml","奔驰全新EQS最新谍照 续航达700km")</f>
        <v>奔驰全新EQS最新谍照 续航达700km</v>
      </c>
      <c r="C8763" s="2" t="s">
        <v>13</v>
      </c>
      <c r="D8763" s="2" t="s">
        <v>12</v>
      </c>
      <c r="E8763" s="2"/>
      <c r="F8763" s="2" t="str">
        <f>HYPERLINK("http://m.12365auto.com/xcdg/20200212/418375.shtml","http://m.12365auto.com/xcdg/20200212/418375.shtml")</f>
        <v>http://m.12365auto.com/xcdg/20200212/418375.shtml</v>
      </c>
      <c r="G8763" s="2"/>
      <c r="H8763" s="2" t="s">
        <v>11909</v>
      </c>
      <c r="I8763" s="2" t="s">
        <v>19</v>
      </c>
      <c r="J8763" s="2" t="s">
        <v>220</v>
      </c>
      <c r="K8763" s="2" t="s">
        <v>11908</v>
      </c>
      <c r="L8763" s="2">
        <f t="shared" si="136"/>
        <v>150</v>
      </c>
    </row>
    <row r="8764" spans="1:12" ht="25" customHeight="1">
      <c r="A8764" s="2" t="s">
        <v>12</v>
      </c>
      <c r="B8764" s="2" t="str">
        <f>HYPERLINK("http://www.12365auto.com/xcdg/20200212/418374.shtml","曝吉利新缤越详细动力 搭1.4T+7DCT年内上市")</f>
        <v>曝吉利新缤越详细动力 搭1.4T+7DCT年内上市</v>
      </c>
      <c r="C8764" s="2" t="s">
        <v>13</v>
      </c>
      <c r="D8764" s="2" t="s">
        <v>12</v>
      </c>
      <c r="E8764" s="2" t="s">
        <v>216</v>
      </c>
      <c r="F8764" s="2" t="str">
        <f>HYPERLINK("http://www.12365auto.com/xcdg/20200212/418374.shtml","http://www.12365auto.com/xcdg/20200212/418374.shtml")</f>
        <v>http://www.12365auto.com/xcdg/20200212/418374.shtml</v>
      </c>
      <c r="G8764" s="2"/>
      <c r="H8764" s="2" t="s">
        <v>11910</v>
      </c>
      <c r="I8764" s="2" t="s">
        <v>15</v>
      </c>
      <c r="J8764" s="2" t="s">
        <v>12</v>
      </c>
      <c r="K8764" s="2" t="s">
        <v>11911</v>
      </c>
      <c r="L8764" s="2">
        <f t="shared" si="136"/>
        <v>150</v>
      </c>
    </row>
    <row r="8765" spans="1:12" ht="25" customHeight="1">
      <c r="A8765" s="2" t="s">
        <v>12</v>
      </c>
      <c r="B8765" s="2" t="str">
        <f>HYPERLINK("http://m.12365auto.com/xcdg/20200212/418374.shtml","曝吉利新缤越详细动力 搭1.4T+7DCT年内上市")</f>
        <v>曝吉利新缤越详细动力 搭1.4T+7DCT年内上市</v>
      </c>
      <c r="C8765" s="2" t="s">
        <v>13</v>
      </c>
      <c r="D8765" s="2" t="s">
        <v>12</v>
      </c>
      <c r="E8765" s="2"/>
      <c r="F8765" s="2" t="str">
        <f>HYPERLINK("http://m.12365auto.com/xcdg/20200212/418374.shtml","http://m.12365auto.com/xcdg/20200212/418374.shtml")</f>
        <v>http://m.12365auto.com/xcdg/20200212/418374.shtml</v>
      </c>
      <c r="G8765" s="2"/>
      <c r="H8765" s="2" t="s">
        <v>11912</v>
      </c>
      <c r="I8765" s="2" t="s">
        <v>19</v>
      </c>
      <c r="J8765" s="2" t="s">
        <v>6086</v>
      </c>
      <c r="K8765" s="2" t="s">
        <v>11911</v>
      </c>
      <c r="L8765" s="2">
        <f t="shared" si="136"/>
        <v>150</v>
      </c>
    </row>
    <row r="8766" spans="1:12" ht="25" customHeight="1">
      <c r="A8766" s="2" t="s">
        <v>12</v>
      </c>
      <c r="B8766" s="2" t="str">
        <f>HYPERLINK("http://www.12365auto.com/xcdg/20200212/418373.shtml","零跑年内将推2款新车 smart四门版/四月上市")</f>
        <v>零跑年内将推2款新车 smart四门版/四月上市</v>
      </c>
      <c r="C8766" s="2" t="s">
        <v>13</v>
      </c>
      <c r="D8766" s="2" t="s">
        <v>12</v>
      </c>
      <c r="E8766" s="2" t="s">
        <v>216</v>
      </c>
      <c r="F8766" s="2" t="str">
        <f>HYPERLINK("http://www.12365auto.com/xcdg/20200212/418373.shtml","http://www.12365auto.com/xcdg/20200212/418373.shtml")</f>
        <v>http://www.12365auto.com/xcdg/20200212/418373.shtml</v>
      </c>
      <c r="G8766" s="2"/>
      <c r="H8766" s="2" t="s">
        <v>11913</v>
      </c>
      <c r="I8766" s="2" t="s">
        <v>15</v>
      </c>
      <c r="J8766" s="2" t="s">
        <v>12</v>
      </c>
      <c r="K8766" s="2" t="s">
        <v>11914</v>
      </c>
      <c r="L8766" s="2">
        <f t="shared" si="136"/>
        <v>150</v>
      </c>
    </row>
    <row r="8767" spans="1:12" ht="25" customHeight="1">
      <c r="A8767" s="2" t="s">
        <v>12</v>
      </c>
      <c r="B8767" s="2" t="str">
        <f>HYPERLINK("http://m.12365auto.com/xcdg/20200212/418373.shtml","零跑年内将推2款新车 smart四门版/四月上市")</f>
        <v>零跑年内将推2款新车 smart四门版/四月上市</v>
      </c>
      <c r="C8767" s="2" t="s">
        <v>13</v>
      </c>
      <c r="D8767" s="2" t="s">
        <v>12</v>
      </c>
      <c r="E8767" s="2"/>
      <c r="F8767" s="2" t="str">
        <f>HYPERLINK("http://m.12365auto.com/xcdg/20200212/418373.shtml","http://m.12365auto.com/xcdg/20200212/418373.shtml")</f>
        <v>http://m.12365auto.com/xcdg/20200212/418373.shtml</v>
      </c>
      <c r="G8767" s="2"/>
      <c r="H8767" s="2" t="s">
        <v>11915</v>
      </c>
      <c r="I8767" s="2" t="s">
        <v>19</v>
      </c>
      <c r="J8767" s="2" t="s">
        <v>257</v>
      </c>
      <c r="K8767" s="2" t="s">
        <v>11914</v>
      </c>
      <c r="L8767" s="2">
        <f t="shared" si="136"/>
        <v>150</v>
      </c>
    </row>
    <row r="8768" spans="1:12" ht="25" customHeight="1">
      <c r="A8768" s="2" t="s">
        <v>12</v>
      </c>
      <c r="B8768" s="2" t="str">
        <f>HYPERLINK("http://www.12365auto.com/zlts/20200212/446970.shtml","蓄电池停车放电，不超过三天就启动不了。")</f>
        <v>蓄电池停车放电，不超过三天就启动不了。</v>
      </c>
      <c r="C8768" s="2" t="s">
        <v>13</v>
      </c>
      <c r="D8768" s="2" t="s">
        <v>12</v>
      </c>
      <c r="E8768" s="2"/>
      <c r="F8768" s="2" t="str">
        <f>HYPERLINK("http://www.12365auto.com/zlts/20200212/446970.shtml","http://www.12365auto.com/zlts/20200212/446970.shtml")</f>
        <v>http://www.12365auto.com/zlts/20200212/446970.shtml</v>
      </c>
      <c r="G8768" s="2"/>
      <c r="H8768" s="2" t="s">
        <v>11917</v>
      </c>
      <c r="I8768" s="2" t="s">
        <v>15</v>
      </c>
      <c r="J8768" s="2" t="s">
        <v>12</v>
      </c>
      <c r="K8768" s="2" t="s">
        <v>11916</v>
      </c>
      <c r="L8768" s="2">
        <f t="shared" si="136"/>
        <v>83</v>
      </c>
    </row>
    <row r="8769" spans="1:12" ht="25" customHeight="1">
      <c r="A8769" s="2" t="s">
        <v>12</v>
      </c>
      <c r="B8769" s="2" t="str">
        <f>HYPERLINK("http://www.12365auto.com/news/20200212/418372.shtml","首月皮卡销量 长城/五十铃/福田市占率提升")</f>
        <v>首月皮卡销量 长城/五十铃/福田市占率提升</v>
      </c>
      <c r="C8769" s="2" t="s">
        <v>13</v>
      </c>
      <c r="D8769" s="2" t="s">
        <v>12</v>
      </c>
      <c r="E8769" s="2" t="s">
        <v>276</v>
      </c>
      <c r="F8769" s="2" t="str">
        <f>HYPERLINK("http://www.12365auto.com/news/20200212/418372.shtml","http://www.12365auto.com/news/20200212/418372.shtml")</f>
        <v>http://www.12365auto.com/news/20200212/418372.shtml</v>
      </c>
      <c r="G8769" s="2"/>
      <c r="H8769" s="2" t="s">
        <v>11397</v>
      </c>
      <c r="I8769" s="2" t="s">
        <v>15</v>
      </c>
      <c r="J8769" s="2" t="s">
        <v>12</v>
      </c>
      <c r="K8769" s="2" t="s">
        <v>11918</v>
      </c>
      <c r="L8769" s="2">
        <f t="shared" si="136"/>
        <v>150</v>
      </c>
    </row>
    <row r="8770" spans="1:12" ht="25" customHeight="1">
      <c r="A8770" s="2" t="s">
        <v>12</v>
      </c>
      <c r="B8770" s="2" t="str">
        <f>HYPERLINK("http://m.12365auto.com/news/20200212/418372.shtml","首月皮卡销量 长城/五十铃/福田市占率提升")</f>
        <v>首月皮卡销量 长城/五十铃/福田市占率提升</v>
      </c>
      <c r="C8770" s="2" t="s">
        <v>13</v>
      </c>
      <c r="D8770" s="2" t="s">
        <v>12</v>
      </c>
      <c r="E8770" s="2"/>
      <c r="F8770" s="2" t="str">
        <f>HYPERLINK("http://m.12365auto.com/news/20200212/418372.shtml","http://m.12365auto.com/news/20200212/418372.shtml")</f>
        <v>http://m.12365auto.com/news/20200212/418372.shtml</v>
      </c>
      <c r="G8770" s="2"/>
      <c r="H8770" s="2" t="s">
        <v>11395</v>
      </c>
      <c r="I8770" s="2" t="s">
        <v>19</v>
      </c>
      <c r="J8770" s="2" t="s">
        <v>1933</v>
      </c>
      <c r="K8770" s="2" t="s">
        <v>11918</v>
      </c>
      <c r="L8770" s="2">
        <f t="shared" si="136"/>
        <v>150</v>
      </c>
    </row>
    <row r="8771" spans="1:12" ht="25" customHeight="1">
      <c r="A8771" s="2" t="s">
        <v>12</v>
      </c>
      <c r="B8771" s="2" t="str">
        <f>HYPERLINK("http://www.12365auto.com/xcdg/20200212/418371.shtml","更不羁 阿斯顿·马丁Vantage敞篷版官图")</f>
        <v>更不羁 阿斯顿·马丁Vantage敞篷版官图</v>
      </c>
      <c r="C8771" s="2" t="s">
        <v>13</v>
      </c>
      <c r="D8771" s="2" t="s">
        <v>12</v>
      </c>
      <c r="E8771" s="2" t="s">
        <v>216</v>
      </c>
      <c r="F8771" s="2" t="str">
        <f>HYPERLINK("http://www.12365auto.com/xcdg/20200212/418371.shtml","http://www.12365auto.com/xcdg/20200212/418371.shtml")</f>
        <v>http://www.12365auto.com/xcdg/20200212/418371.shtml</v>
      </c>
      <c r="G8771" s="2"/>
      <c r="H8771" s="2" t="s">
        <v>11919</v>
      </c>
      <c r="I8771" s="2" t="s">
        <v>15</v>
      </c>
      <c r="J8771" s="2" t="s">
        <v>12</v>
      </c>
      <c r="K8771" s="2" t="s">
        <v>11920</v>
      </c>
      <c r="L8771" s="2">
        <f t="shared" ref="L8771:L8834" si="137">LEN(H8771)</f>
        <v>150</v>
      </c>
    </row>
    <row r="8772" spans="1:12" ht="25" customHeight="1">
      <c r="A8772" s="2" t="s">
        <v>12</v>
      </c>
      <c r="B8772" s="2" t="str">
        <f>HYPERLINK("http://m.12365auto.com/xcdg/20200212/418371.shtml","更不羁 阿斯顿·马丁Vantage敞篷版官图")</f>
        <v>更不羁 阿斯顿·马丁Vantage敞篷版官图</v>
      </c>
      <c r="C8772" s="2" t="s">
        <v>13</v>
      </c>
      <c r="D8772" s="2" t="s">
        <v>12</v>
      </c>
      <c r="E8772" s="2"/>
      <c r="F8772" s="2" t="str">
        <f>HYPERLINK("http://m.12365auto.com/xcdg/20200212/418371.shtml","http://m.12365auto.com/xcdg/20200212/418371.shtml")</f>
        <v>http://m.12365auto.com/xcdg/20200212/418371.shtml</v>
      </c>
      <c r="G8772" s="2"/>
      <c r="H8772" s="2" t="s">
        <v>11921</v>
      </c>
      <c r="I8772" s="2" t="s">
        <v>19</v>
      </c>
      <c r="J8772" s="2" t="s">
        <v>2560</v>
      </c>
      <c r="K8772" s="2" t="s">
        <v>11920</v>
      </c>
      <c r="L8772" s="2">
        <f t="shared" si="137"/>
        <v>150</v>
      </c>
    </row>
    <row r="8773" spans="1:12" ht="25" customHeight="1">
      <c r="A8773" s="2" t="s">
        <v>12</v>
      </c>
      <c r="B8773" s="2" t="str">
        <f>HYPERLINK("http://www.12365auto.com/zlts/20200212/446967.shtml","变速箱漏油 地上都是油")</f>
        <v>变速箱漏油 地上都是油</v>
      </c>
      <c r="C8773" s="2" t="s">
        <v>13</v>
      </c>
      <c r="D8773" s="2" t="s">
        <v>12</v>
      </c>
      <c r="E8773" s="2"/>
      <c r="F8773" s="2" t="str">
        <f>HYPERLINK("http://www.12365auto.com/zlts/20200212/446967.shtml","http://www.12365auto.com/zlts/20200212/446967.shtml")</f>
        <v>http://www.12365auto.com/zlts/20200212/446967.shtml</v>
      </c>
      <c r="G8773" s="2"/>
      <c r="H8773" s="2" t="s">
        <v>11923</v>
      </c>
      <c r="I8773" s="2" t="s">
        <v>15</v>
      </c>
      <c r="J8773" s="2" t="s">
        <v>12</v>
      </c>
      <c r="K8773" s="2" t="s">
        <v>11922</v>
      </c>
      <c r="L8773" s="2">
        <f t="shared" si="137"/>
        <v>87</v>
      </c>
    </row>
    <row r="8774" spans="1:12" ht="25" customHeight="1">
      <c r="A8774" s="2" t="s">
        <v>12</v>
      </c>
      <c r="B8774" s="2" t="str">
        <f>HYPERLINK("http://m.12365auto.com/xcdg/20200212/418370.shtml","西雅特Tarraco FR/FR Sport官图发布")</f>
        <v>西雅特Tarraco FR/FR Sport官图发布</v>
      </c>
      <c r="C8774" s="2" t="s">
        <v>13</v>
      </c>
      <c r="D8774" s="2" t="s">
        <v>12</v>
      </c>
      <c r="E8774" s="2"/>
      <c r="F8774" s="2" t="str">
        <f>HYPERLINK("http://m.12365auto.com/xcdg/20200212/418370.shtml","http://m.12365auto.com/xcdg/20200212/418370.shtml")</f>
        <v>http://m.12365auto.com/xcdg/20200212/418370.shtml</v>
      </c>
      <c r="G8774" s="2"/>
      <c r="H8774" s="2" t="s">
        <v>11924</v>
      </c>
      <c r="I8774" s="2" t="s">
        <v>19</v>
      </c>
      <c r="J8774" s="2" t="s">
        <v>1197</v>
      </c>
      <c r="K8774" s="2" t="s">
        <v>11925</v>
      </c>
      <c r="L8774" s="2">
        <f t="shared" si="137"/>
        <v>150</v>
      </c>
    </row>
    <row r="8775" spans="1:12" ht="25" customHeight="1">
      <c r="A8775" s="2" t="s">
        <v>12</v>
      </c>
      <c r="B8775" s="2" t="str">
        <f>HYPERLINK("http://www.12365auto.com/xcdg/20200212/418370.shtml","西雅特Tarraco FR/FR Sport官图发布")</f>
        <v>西雅特Tarraco FR/FR Sport官图发布</v>
      </c>
      <c r="C8775" s="2" t="s">
        <v>13</v>
      </c>
      <c r="D8775" s="2" t="s">
        <v>12</v>
      </c>
      <c r="E8775" s="2" t="s">
        <v>216</v>
      </c>
      <c r="F8775" s="2" t="str">
        <f>HYPERLINK("http://www.12365auto.com/xcdg/20200212/418370.shtml","http://www.12365auto.com/xcdg/20200212/418370.shtml")</f>
        <v>http://www.12365auto.com/xcdg/20200212/418370.shtml</v>
      </c>
      <c r="G8775" s="2"/>
      <c r="H8775" s="2" t="s">
        <v>11926</v>
      </c>
      <c r="I8775" s="2" t="s">
        <v>15</v>
      </c>
      <c r="J8775" s="2" t="s">
        <v>12</v>
      </c>
      <c r="K8775" s="2" t="s">
        <v>11925</v>
      </c>
      <c r="L8775" s="2">
        <f t="shared" si="137"/>
        <v>150</v>
      </c>
    </row>
    <row r="8776" spans="1:12" ht="25" customHeight="1">
      <c r="A8776" s="2" t="s">
        <v>12</v>
      </c>
      <c r="B8776" s="2" t="str">
        <f>HYPERLINK("http://m.12365auto.com/xcdg/20200212/418369.shtml","跨界车身形式 大众Arteon猎装版谍照")</f>
        <v>跨界车身形式 大众Arteon猎装版谍照</v>
      </c>
      <c r="C8776" s="2" t="s">
        <v>13</v>
      </c>
      <c r="D8776" s="2" t="s">
        <v>12</v>
      </c>
      <c r="E8776" s="2"/>
      <c r="F8776" s="2" t="str">
        <f>HYPERLINK("http://m.12365auto.com/xcdg/20200212/418369.shtml","http://m.12365auto.com/xcdg/20200212/418369.shtml")</f>
        <v>http://m.12365auto.com/xcdg/20200212/418369.shtml</v>
      </c>
      <c r="G8776" s="2"/>
      <c r="H8776" s="2" t="s">
        <v>11927</v>
      </c>
      <c r="I8776" s="2" t="s">
        <v>19</v>
      </c>
      <c r="J8776" s="2" t="s">
        <v>295</v>
      </c>
      <c r="K8776" s="2" t="s">
        <v>11928</v>
      </c>
      <c r="L8776" s="2">
        <f t="shared" si="137"/>
        <v>150</v>
      </c>
    </row>
    <row r="8777" spans="1:12" ht="25" customHeight="1">
      <c r="A8777" s="2" t="s">
        <v>12</v>
      </c>
      <c r="B8777" s="2" t="str">
        <f>HYPERLINK("http://www.12365auto.com/xcdg/20200212/418369.shtml","跨界车身形式 大众Arteon猎装版谍照")</f>
        <v>跨界车身形式 大众Arteon猎装版谍照</v>
      </c>
      <c r="C8777" s="2" t="s">
        <v>13</v>
      </c>
      <c r="D8777" s="2" t="s">
        <v>12</v>
      </c>
      <c r="E8777" s="2" t="s">
        <v>224</v>
      </c>
      <c r="F8777" s="2" t="str">
        <f>HYPERLINK("http://www.12365auto.com/xcdg/20200212/418369.shtml","http://www.12365auto.com/xcdg/20200212/418369.shtml")</f>
        <v>http://www.12365auto.com/xcdg/20200212/418369.shtml</v>
      </c>
      <c r="G8777" s="2"/>
      <c r="H8777" s="2" t="s">
        <v>11929</v>
      </c>
      <c r="I8777" s="2" t="s">
        <v>15</v>
      </c>
      <c r="J8777" s="2" t="s">
        <v>12</v>
      </c>
      <c r="K8777" s="2" t="s">
        <v>11928</v>
      </c>
      <c r="L8777" s="2">
        <f t="shared" si="137"/>
        <v>150</v>
      </c>
    </row>
    <row r="8778" spans="1:12" ht="25" customHeight="1">
      <c r="A8778" s="2" t="s">
        <v>12</v>
      </c>
      <c r="B8778" s="2" t="str">
        <f>HYPERLINK("http://m.12365auto.com/xcdg/20200212/418368.shtml","增1.5T轻混动力？新款大众Tiguan谍照")</f>
        <v>增1.5T轻混动力？新款大众Tiguan谍照</v>
      </c>
      <c r="C8778" s="2" t="s">
        <v>13</v>
      </c>
      <c r="D8778" s="2" t="s">
        <v>12</v>
      </c>
      <c r="E8778" s="2"/>
      <c r="F8778" s="2" t="str">
        <f>HYPERLINK("http://m.12365auto.com/xcdg/20200212/418368.shtml","http://m.12365auto.com/xcdg/20200212/418368.shtml")</f>
        <v>http://m.12365auto.com/xcdg/20200212/418368.shtml</v>
      </c>
      <c r="G8778" s="2"/>
      <c r="H8778" s="2" t="s">
        <v>11930</v>
      </c>
      <c r="I8778" s="2" t="s">
        <v>19</v>
      </c>
      <c r="J8778" s="2" t="s">
        <v>338</v>
      </c>
      <c r="K8778" s="2" t="s">
        <v>11931</v>
      </c>
      <c r="L8778" s="2">
        <f t="shared" si="137"/>
        <v>150</v>
      </c>
    </row>
    <row r="8779" spans="1:12" ht="25" customHeight="1">
      <c r="A8779" s="2" t="s">
        <v>12</v>
      </c>
      <c r="B8779" s="2" t="str">
        <f>HYPERLINK("http://www.12365auto.com/xcdg/20200212/418368.shtml","增1.5T轻混动力？新款大众Tiguan谍照")</f>
        <v>增1.5T轻混动力？新款大众Tiguan谍照</v>
      </c>
      <c r="C8779" s="2" t="s">
        <v>13</v>
      </c>
      <c r="D8779" s="2" t="s">
        <v>12</v>
      </c>
      <c r="E8779" s="2" t="s">
        <v>224</v>
      </c>
      <c r="F8779" s="2" t="str">
        <f>HYPERLINK("http://www.12365auto.com/xcdg/20200212/418368.shtml","http://www.12365auto.com/xcdg/20200212/418368.shtml")</f>
        <v>http://www.12365auto.com/xcdg/20200212/418368.shtml</v>
      </c>
      <c r="G8779" s="2"/>
      <c r="H8779" s="2" t="s">
        <v>11932</v>
      </c>
      <c r="I8779" s="2" t="s">
        <v>15</v>
      </c>
      <c r="J8779" s="2" t="s">
        <v>12</v>
      </c>
      <c r="K8779" s="2" t="s">
        <v>11931</v>
      </c>
      <c r="L8779" s="2">
        <f t="shared" si="137"/>
        <v>150</v>
      </c>
    </row>
    <row r="8780" spans="1:12" ht="25" customHeight="1">
      <c r="A8780" s="2" t="s">
        <v>12</v>
      </c>
      <c r="B8780" s="2" t="str">
        <f>HYPERLINK("http://www.12365auto.com/zlts/20200212/446966.shtml","进口大众高尔夫变速箱挂倒挡加油没反应")</f>
        <v>进口大众高尔夫变速箱挂倒挡加油没反应</v>
      </c>
      <c r="C8780" s="2" t="s">
        <v>13</v>
      </c>
      <c r="D8780" s="2" t="s">
        <v>12</v>
      </c>
      <c r="E8780" s="2" t="s">
        <v>17</v>
      </c>
      <c r="F8780" s="2" t="str">
        <f>HYPERLINK("http://www.12365auto.com/zlts/20200212/446966.shtml","http://www.12365auto.com/zlts/20200212/446966.shtml")</f>
        <v>http://www.12365auto.com/zlts/20200212/446966.shtml</v>
      </c>
      <c r="G8780" s="2"/>
      <c r="H8780" s="2" t="s">
        <v>11933</v>
      </c>
      <c r="I8780" s="2" t="s">
        <v>19</v>
      </c>
      <c r="J8780" s="2" t="s">
        <v>12</v>
      </c>
      <c r="K8780" s="2" t="s">
        <v>11934</v>
      </c>
      <c r="L8780" s="2">
        <f t="shared" si="137"/>
        <v>150</v>
      </c>
    </row>
    <row r="8781" spans="1:12" ht="25" customHeight="1">
      <c r="A8781" s="2" t="s">
        <v>12</v>
      </c>
      <c r="B8781" s="2" t="str">
        <f>HYPERLINK("http://m.12365auto.com/news/20200212/418367.shtml","下降2% 2019年累计进口汽车108.6万辆")</f>
        <v>下降2% 2019年累计进口汽车108.6万辆</v>
      </c>
      <c r="C8781" s="2" t="s">
        <v>13</v>
      </c>
      <c r="D8781" s="2" t="s">
        <v>12</v>
      </c>
      <c r="E8781" s="2"/>
      <c r="F8781" s="2" t="str">
        <f>HYPERLINK("http://m.12365auto.com/news/20200212/418367.shtml","http://m.12365auto.com/news/20200212/418367.shtml")</f>
        <v>http://m.12365auto.com/news/20200212/418367.shtml</v>
      </c>
      <c r="G8781" s="2"/>
      <c r="H8781" s="2" t="s">
        <v>11935</v>
      </c>
      <c r="I8781" s="2" t="s">
        <v>19</v>
      </c>
      <c r="J8781" s="2" t="s">
        <v>11936</v>
      </c>
      <c r="K8781" s="2" t="s">
        <v>11937</v>
      </c>
      <c r="L8781" s="2">
        <f t="shared" si="137"/>
        <v>150</v>
      </c>
    </row>
    <row r="8782" spans="1:12" ht="25" customHeight="1">
      <c r="A8782" s="2" t="s">
        <v>12</v>
      </c>
      <c r="B8782" s="2" t="str">
        <f>HYPERLINK("http://www.12365auto.com/news/20200212/418367.shtml","下降2% 2019年累计进口汽车108.6万辆")</f>
        <v>下降2% 2019年累计进口汽车108.6万辆</v>
      </c>
      <c r="C8782" s="2" t="s">
        <v>13</v>
      </c>
      <c r="D8782" s="2" t="s">
        <v>12</v>
      </c>
      <c r="E8782" s="2" t="s">
        <v>276</v>
      </c>
      <c r="F8782" s="2" t="str">
        <f>HYPERLINK("http://www.12365auto.com/news/20200212/418367.shtml","http://www.12365auto.com/news/20200212/418367.shtml")</f>
        <v>http://www.12365auto.com/news/20200212/418367.shtml</v>
      </c>
      <c r="G8782" s="2"/>
      <c r="H8782" s="2" t="s">
        <v>11938</v>
      </c>
      <c r="I8782" s="2" t="s">
        <v>15</v>
      </c>
      <c r="J8782" s="2" t="s">
        <v>12</v>
      </c>
      <c r="K8782" s="2" t="s">
        <v>11937</v>
      </c>
      <c r="L8782" s="2">
        <f t="shared" si="137"/>
        <v>150</v>
      </c>
    </row>
    <row r="8783" spans="1:12" ht="25" customHeight="1">
      <c r="A8783" s="2" t="s">
        <v>12</v>
      </c>
      <c r="B8783" s="2" t="str">
        <f>HYPERLINK("http://m.12365auto.com/xcdg/20200212/418366.shtml","或纽约车展首发 全新起亚嘉华谍照曝光")</f>
        <v>或纽约车展首发 全新起亚嘉华谍照曝光</v>
      </c>
      <c r="C8783" s="2" t="s">
        <v>13</v>
      </c>
      <c r="D8783" s="2" t="s">
        <v>12</v>
      </c>
      <c r="E8783" s="2"/>
      <c r="F8783" s="2" t="str">
        <f>HYPERLINK("http://m.12365auto.com/xcdg/20200212/418366.shtml","http://m.12365auto.com/xcdg/20200212/418366.shtml")</f>
        <v>http://m.12365auto.com/xcdg/20200212/418366.shtml</v>
      </c>
      <c r="G8783" s="2"/>
      <c r="H8783" s="2" t="s">
        <v>11939</v>
      </c>
      <c r="I8783" s="2" t="s">
        <v>19</v>
      </c>
      <c r="J8783" s="2" t="s">
        <v>836</v>
      </c>
      <c r="K8783" s="2" t="s">
        <v>11940</v>
      </c>
      <c r="L8783" s="2">
        <f t="shared" si="137"/>
        <v>150</v>
      </c>
    </row>
    <row r="8784" spans="1:12" ht="25" customHeight="1">
      <c r="A8784" s="2" t="s">
        <v>12</v>
      </c>
      <c r="B8784" s="2" t="str">
        <f>HYPERLINK("http://www.12365auto.com/xcdg/20200212/418366.shtml","或纽约车展首发 全新起亚嘉华谍照曝光")</f>
        <v>或纽约车展首发 全新起亚嘉华谍照曝光</v>
      </c>
      <c r="C8784" s="2" t="s">
        <v>13</v>
      </c>
      <c r="D8784" s="2" t="s">
        <v>12</v>
      </c>
      <c r="E8784" s="2" t="s">
        <v>224</v>
      </c>
      <c r="F8784" s="2" t="str">
        <f>HYPERLINK("http://www.12365auto.com/xcdg/20200212/418366.shtml","http://www.12365auto.com/xcdg/20200212/418366.shtml")</f>
        <v>http://www.12365auto.com/xcdg/20200212/418366.shtml</v>
      </c>
      <c r="G8784" s="2"/>
      <c r="H8784" s="2" t="s">
        <v>11941</v>
      </c>
      <c r="I8784" s="2" t="s">
        <v>15</v>
      </c>
      <c r="J8784" s="2" t="s">
        <v>12</v>
      </c>
      <c r="K8784" s="2" t="s">
        <v>11940</v>
      </c>
      <c r="L8784" s="2">
        <f t="shared" si="137"/>
        <v>150</v>
      </c>
    </row>
    <row r="8785" spans="1:12" ht="25" customHeight="1">
      <c r="A8785" s="2" t="s">
        <v>12</v>
      </c>
      <c r="B8785" s="2" t="str">
        <f>HYPERLINK("http://m.12365auto.com/news/20200212/418365.shtml","特斯拉全球累计建设超级充电站1821座")</f>
        <v>特斯拉全球累计建设超级充电站1821座</v>
      </c>
      <c r="C8785" s="2" t="s">
        <v>13</v>
      </c>
      <c r="D8785" s="2" t="s">
        <v>12</v>
      </c>
      <c r="E8785" s="2"/>
      <c r="F8785" s="2" t="str">
        <f>HYPERLINK("http://m.12365auto.com/news/20200212/418365.shtml","http://m.12365auto.com/news/20200212/418365.shtml")</f>
        <v>http://m.12365auto.com/news/20200212/418365.shtml</v>
      </c>
      <c r="G8785" s="2"/>
      <c r="H8785" s="2" t="s">
        <v>11942</v>
      </c>
      <c r="I8785" s="2" t="s">
        <v>19</v>
      </c>
      <c r="J8785" s="2" t="s">
        <v>274</v>
      </c>
      <c r="K8785" s="2" t="s">
        <v>11943</v>
      </c>
      <c r="L8785" s="2">
        <f t="shared" si="137"/>
        <v>150</v>
      </c>
    </row>
    <row r="8786" spans="1:12" ht="25" customHeight="1">
      <c r="A8786" s="2" t="s">
        <v>12</v>
      </c>
      <c r="B8786" s="2" t="str">
        <f>HYPERLINK("http://www.12365auto.com/news/20200212/418365.shtml","特斯拉全球累计建设超级充电站1821座")</f>
        <v>特斯拉全球累计建设超级充电站1821座</v>
      </c>
      <c r="C8786" s="2" t="s">
        <v>13</v>
      </c>
      <c r="D8786" s="2" t="s">
        <v>12</v>
      </c>
      <c r="E8786" s="2" t="s">
        <v>282</v>
      </c>
      <c r="F8786" s="2" t="str">
        <f>HYPERLINK("http://www.12365auto.com/news/20200212/418365.shtml","http://www.12365auto.com/news/20200212/418365.shtml")</f>
        <v>http://www.12365auto.com/news/20200212/418365.shtml</v>
      </c>
      <c r="G8786" s="2"/>
      <c r="H8786" s="2" t="s">
        <v>11944</v>
      </c>
      <c r="I8786" s="2" t="s">
        <v>19</v>
      </c>
      <c r="J8786" s="2" t="s">
        <v>12</v>
      </c>
      <c r="K8786" s="2" t="s">
        <v>11943</v>
      </c>
      <c r="L8786" s="2">
        <f t="shared" si="137"/>
        <v>150</v>
      </c>
    </row>
    <row r="8787" spans="1:12" ht="25" customHeight="1">
      <c r="A8787" s="2" t="s">
        <v>12</v>
      </c>
      <c r="B8787" s="2" t="str">
        <f>HYPERLINK("http://m.12365auto.com/xcdg/20200212/418364.shtml","97种车身组合 新款雪铁龙C3官图发布")</f>
        <v>97种车身组合 新款雪铁龙C3官图发布</v>
      </c>
      <c r="C8787" s="2" t="s">
        <v>13</v>
      </c>
      <c r="D8787" s="2" t="s">
        <v>12</v>
      </c>
      <c r="E8787" s="2"/>
      <c r="F8787" s="2" t="str">
        <f>HYPERLINK("http://m.12365auto.com/xcdg/20200212/418364.shtml","http://m.12365auto.com/xcdg/20200212/418364.shtml")</f>
        <v>http://m.12365auto.com/xcdg/20200212/418364.shtml</v>
      </c>
      <c r="G8787" s="2"/>
      <c r="H8787" s="2" t="s">
        <v>11945</v>
      </c>
      <c r="I8787" s="2" t="s">
        <v>19</v>
      </c>
      <c r="J8787" s="2" t="s">
        <v>303</v>
      </c>
      <c r="K8787" s="2" t="s">
        <v>11946</v>
      </c>
      <c r="L8787" s="2">
        <f t="shared" si="137"/>
        <v>150</v>
      </c>
    </row>
    <row r="8788" spans="1:12" ht="25" customHeight="1">
      <c r="A8788" s="2" t="s">
        <v>12</v>
      </c>
      <c r="B8788" s="2" t="str">
        <f>HYPERLINK("http://www.12365auto.com/xcdg/20200212/418364.shtml","97种车身组合 新款雪铁龙C3官图发布")</f>
        <v>97种车身组合 新款雪铁龙C3官图发布</v>
      </c>
      <c r="C8788" s="2" t="s">
        <v>13</v>
      </c>
      <c r="D8788" s="2" t="s">
        <v>12</v>
      </c>
      <c r="E8788" s="2" t="s">
        <v>245</v>
      </c>
      <c r="F8788" s="2" t="str">
        <f>HYPERLINK("http://www.12365auto.com/xcdg/20200212/418364.shtml","http://www.12365auto.com/xcdg/20200212/418364.shtml")</f>
        <v>http://www.12365auto.com/xcdg/20200212/418364.shtml</v>
      </c>
      <c r="G8788" s="2"/>
      <c r="H8788" s="2" t="s">
        <v>11947</v>
      </c>
      <c r="I8788" s="2" t="s">
        <v>19</v>
      </c>
      <c r="J8788" s="2" t="s">
        <v>12</v>
      </c>
      <c r="K8788" s="2" t="s">
        <v>11946</v>
      </c>
      <c r="L8788" s="2">
        <f t="shared" si="137"/>
        <v>150</v>
      </c>
    </row>
    <row r="8789" spans="1:12" ht="25" customHeight="1">
      <c r="A8789" s="2" t="s">
        <v>12</v>
      </c>
      <c r="B8789" s="2" t="str">
        <f>HYPERLINK("http://m.12365auto.com/news/20200212/418363.shtml","付费10万次 宝马5系无人车测试成绩出炉")</f>
        <v>付费10万次 宝马5系无人车测试成绩出炉</v>
      </c>
      <c r="C8789" s="2" t="s">
        <v>13</v>
      </c>
      <c r="D8789" s="2" t="s">
        <v>12</v>
      </c>
      <c r="E8789" s="2"/>
      <c r="F8789" s="2" t="str">
        <f>HYPERLINK("http://m.12365auto.com/news/20200212/418363.shtml","http://m.12365auto.com/news/20200212/418363.shtml")</f>
        <v>http://m.12365auto.com/news/20200212/418363.shtml</v>
      </c>
      <c r="G8789" s="2"/>
      <c r="H8789" s="2" t="s">
        <v>11948</v>
      </c>
      <c r="I8789" s="2" t="s">
        <v>19</v>
      </c>
      <c r="J8789" s="2" t="s">
        <v>1543</v>
      </c>
      <c r="K8789" s="2" t="s">
        <v>11949</v>
      </c>
      <c r="L8789" s="2">
        <f t="shared" si="137"/>
        <v>150</v>
      </c>
    </row>
    <row r="8790" spans="1:12" ht="25" customHeight="1">
      <c r="A8790" s="2" t="s">
        <v>12</v>
      </c>
      <c r="B8790" s="2" t="str">
        <f>HYPERLINK("http://www.12365auto.com/news/20200212/418363.shtml","付费10万次 宝马5系无人车测试成绩出炉")</f>
        <v>付费10万次 宝马5系无人车测试成绩出炉</v>
      </c>
      <c r="C8790" s="2" t="s">
        <v>13</v>
      </c>
      <c r="D8790" s="2" t="s">
        <v>12</v>
      </c>
      <c r="E8790" s="2" t="s">
        <v>282</v>
      </c>
      <c r="F8790" s="2" t="str">
        <f>HYPERLINK("http://www.12365auto.com/news/20200212/418363.shtml","http://www.12365auto.com/news/20200212/418363.shtml")</f>
        <v>http://www.12365auto.com/news/20200212/418363.shtml</v>
      </c>
      <c r="G8790" s="2"/>
      <c r="H8790" s="2" t="s">
        <v>11950</v>
      </c>
      <c r="I8790" s="2" t="s">
        <v>19</v>
      </c>
      <c r="J8790" s="2" t="s">
        <v>12</v>
      </c>
      <c r="K8790" s="2" t="s">
        <v>11949</v>
      </c>
      <c r="L8790" s="2">
        <f t="shared" si="137"/>
        <v>150</v>
      </c>
    </row>
    <row r="8791" spans="1:12" ht="25" customHeight="1">
      <c r="A8791" s="2" t="s">
        <v>12</v>
      </c>
      <c r="B8791" s="2" t="str">
        <f>HYPERLINK("http://www.12365auto.com/zlts/20200212/446965.shtml","一汽红旗HS5行驶时发动机异响 车门异响")</f>
        <v>一汽红旗HS5行驶时发动机异响 车门异响</v>
      </c>
      <c r="C8791" s="2" t="s">
        <v>13</v>
      </c>
      <c r="D8791" s="2" t="s">
        <v>12</v>
      </c>
      <c r="E8791" s="2" t="s">
        <v>17</v>
      </c>
      <c r="F8791" s="2" t="str">
        <f>HYPERLINK("http://www.12365auto.com/zlts/20200212/446965.shtml","http://www.12365auto.com/zlts/20200212/446965.shtml")</f>
        <v>http://www.12365auto.com/zlts/20200212/446965.shtml</v>
      </c>
      <c r="G8791" s="2"/>
      <c r="H8791" s="2" t="s">
        <v>11951</v>
      </c>
      <c r="I8791" s="2" t="s">
        <v>19</v>
      </c>
      <c r="J8791" s="2" t="s">
        <v>12</v>
      </c>
      <c r="K8791" s="2" t="s">
        <v>11952</v>
      </c>
      <c r="L8791" s="2">
        <f t="shared" si="137"/>
        <v>150</v>
      </c>
    </row>
    <row r="8792" spans="1:12" ht="25" customHeight="1">
      <c r="A8792" s="2" t="s">
        <v>12</v>
      </c>
      <c r="B8792" s="2" t="str">
        <f>HYPERLINK("http://m.12365auto.com/xcdg/20200212/418362.shtml","兰德酷路泽撒哈拉地平线限量版官图发布")</f>
        <v>兰德酷路泽撒哈拉地平线限量版官图发布</v>
      </c>
      <c r="C8792" s="2" t="s">
        <v>13</v>
      </c>
      <c r="D8792" s="2" t="s">
        <v>12</v>
      </c>
      <c r="E8792" s="2"/>
      <c r="F8792" s="2" t="str">
        <f>HYPERLINK("http://m.12365auto.com/xcdg/20200212/418362.shtml","http://m.12365auto.com/xcdg/20200212/418362.shtml")</f>
        <v>http://m.12365auto.com/xcdg/20200212/418362.shtml</v>
      </c>
      <c r="G8792" s="2"/>
      <c r="H8792" s="2" t="s">
        <v>11953</v>
      </c>
      <c r="I8792" s="2" t="s">
        <v>19</v>
      </c>
      <c r="J8792" s="2" t="s">
        <v>1197</v>
      </c>
      <c r="K8792" s="2" t="s">
        <v>11954</v>
      </c>
      <c r="L8792" s="2">
        <f t="shared" si="137"/>
        <v>150</v>
      </c>
    </row>
    <row r="8793" spans="1:12" ht="25" customHeight="1">
      <c r="A8793" s="2" t="s">
        <v>12</v>
      </c>
      <c r="B8793" s="2" t="str">
        <f>HYPERLINK("http://www.12365auto.com/xcdg/20200212/418362.shtml","兰德酷路泽撒哈拉地平线限量版官图发布")</f>
        <v>兰德酷路泽撒哈拉地平线限量版官图发布</v>
      </c>
      <c r="C8793" s="2" t="s">
        <v>13</v>
      </c>
      <c r="D8793" s="2" t="s">
        <v>12</v>
      </c>
      <c r="E8793" s="2" t="s">
        <v>245</v>
      </c>
      <c r="F8793" s="2" t="str">
        <f>HYPERLINK("http://www.12365auto.com/xcdg/20200212/418362.shtml","http://www.12365auto.com/xcdg/20200212/418362.shtml")</f>
        <v>http://www.12365auto.com/xcdg/20200212/418362.shtml</v>
      </c>
      <c r="G8793" s="2"/>
      <c r="H8793" s="2" t="s">
        <v>11955</v>
      </c>
      <c r="I8793" s="2" t="s">
        <v>19</v>
      </c>
      <c r="J8793" s="2" t="s">
        <v>12</v>
      </c>
      <c r="K8793" s="2" t="s">
        <v>11954</v>
      </c>
      <c r="L8793" s="2">
        <f t="shared" si="137"/>
        <v>150</v>
      </c>
    </row>
    <row r="8794" spans="1:12" ht="25" customHeight="1">
      <c r="A8794" s="2" t="s">
        <v>12</v>
      </c>
      <c r="B8794" s="2" t="str">
        <f>HYPERLINK("http://www.12365auto.com/zlts/20200212/446964.shtml","郑州日产途达停放二天全车没电 无法启动")</f>
        <v>郑州日产途达停放二天全车没电 无法启动</v>
      </c>
      <c r="C8794" s="2" t="s">
        <v>13</v>
      </c>
      <c r="D8794" s="2" t="s">
        <v>12</v>
      </c>
      <c r="E8794" s="2" t="s">
        <v>17</v>
      </c>
      <c r="F8794" s="2" t="str">
        <f>HYPERLINK("http://www.12365auto.com/zlts/20200212/446964.shtml","http://www.12365auto.com/zlts/20200212/446964.shtml")</f>
        <v>http://www.12365auto.com/zlts/20200212/446964.shtml</v>
      </c>
      <c r="G8794" s="2"/>
      <c r="H8794" s="2" t="s">
        <v>11956</v>
      </c>
      <c r="I8794" s="2" t="s">
        <v>19</v>
      </c>
      <c r="J8794" s="2" t="s">
        <v>12</v>
      </c>
      <c r="K8794" s="2" t="s">
        <v>11954</v>
      </c>
      <c r="L8794" s="2">
        <f t="shared" si="137"/>
        <v>150</v>
      </c>
    </row>
    <row r="8795" spans="1:12" ht="25" customHeight="1">
      <c r="A8795" s="2" t="s">
        <v>12</v>
      </c>
      <c r="B8795" s="2" t="str">
        <f>HYPERLINK("http://www.12365auto.com/zlts/20200212/446963.shtml","吉利GX7安全气囊故障灯亮 车身生锈")</f>
        <v>吉利GX7安全气囊故障灯亮 车身生锈</v>
      </c>
      <c r="C8795" s="2" t="s">
        <v>13</v>
      </c>
      <c r="D8795" s="2" t="s">
        <v>12</v>
      </c>
      <c r="E8795" s="2" t="s">
        <v>17</v>
      </c>
      <c r="F8795" s="2" t="str">
        <f>HYPERLINK("http://www.12365auto.com/zlts/20200212/446963.shtml","http://www.12365auto.com/zlts/20200212/446963.shtml")</f>
        <v>http://www.12365auto.com/zlts/20200212/446963.shtml</v>
      </c>
      <c r="G8795" s="2"/>
      <c r="H8795" s="2" t="s">
        <v>11957</v>
      </c>
      <c r="I8795" s="2" t="s">
        <v>19</v>
      </c>
      <c r="J8795" s="2" t="s">
        <v>12</v>
      </c>
      <c r="K8795" s="2" t="s">
        <v>11954</v>
      </c>
      <c r="L8795" s="2">
        <f t="shared" si="137"/>
        <v>150</v>
      </c>
    </row>
    <row r="8796" spans="1:12" ht="25" customHeight="1">
      <c r="A8796" s="2" t="s">
        <v>12</v>
      </c>
      <c r="B8796" s="2" t="str">
        <f>HYPERLINK("http://www.12365auto.com/zlts/20200212/446962.shtml","郑州日产途达停放时间不长电瓶出现亏电现象")</f>
        <v>郑州日产途达停放时间不长电瓶出现亏电现象</v>
      </c>
      <c r="C8796" s="2" t="s">
        <v>13</v>
      </c>
      <c r="D8796" s="2" t="s">
        <v>12</v>
      </c>
      <c r="E8796" s="2" t="s">
        <v>17</v>
      </c>
      <c r="F8796" s="2" t="str">
        <f>HYPERLINK("http://www.12365auto.com/zlts/20200212/446962.shtml","http://www.12365auto.com/zlts/20200212/446962.shtml")</f>
        <v>http://www.12365auto.com/zlts/20200212/446962.shtml</v>
      </c>
      <c r="G8796" s="2"/>
      <c r="H8796" s="2" t="s">
        <v>11958</v>
      </c>
      <c r="I8796" s="2" t="s">
        <v>19</v>
      </c>
      <c r="J8796" s="2" t="s">
        <v>12</v>
      </c>
      <c r="K8796" s="2" t="s">
        <v>11959</v>
      </c>
      <c r="L8796" s="2">
        <f t="shared" si="137"/>
        <v>150</v>
      </c>
    </row>
    <row r="8797" spans="1:12" ht="25" customHeight="1">
      <c r="A8797" s="2" t="s">
        <v>12</v>
      </c>
      <c r="B8797" s="2" t="str">
        <f>HYPERLINK("http://m.12365auto.com/xcdg/20200212/418361.shtml","“Track Only” 兰博基尼发布新车预告")</f>
        <v>“Track Only” 兰博基尼发布新车预告</v>
      </c>
      <c r="C8797" s="2" t="s">
        <v>13</v>
      </c>
      <c r="D8797" s="2" t="s">
        <v>12</v>
      </c>
      <c r="E8797" s="2"/>
      <c r="F8797" s="2" t="str">
        <f>HYPERLINK("http://m.12365auto.com/xcdg/20200212/418361.shtml","http://m.12365auto.com/xcdg/20200212/418361.shtml")</f>
        <v>http://m.12365auto.com/xcdg/20200212/418361.shtml</v>
      </c>
      <c r="G8797" s="2"/>
      <c r="H8797" s="2" t="s">
        <v>11960</v>
      </c>
      <c r="I8797" s="2" t="s">
        <v>19</v>
      </c>
      <c r="J8797" s="2" t="s">
        <v>295</v>
      </c>
      <c r="K8797" s="2" t="s">
        <v>11961</v>
      </c>
      <c r="L8797" s="2">
        <f t="shared" si="137"/>
        <v>150</v>
      </c>
    </row>
    <row r="8798" spans="1:12" ht="25" customHeight="1">
      <c r="A8798" s="2" t="s">
        <v>12</v>
      </c>
      <c r="B8798" s="2" t="str">
        <f>HYPERLINK("http://www.12365auto.com/xcdg/20200212/418361.shtml","“Track Only” 兰博基尼发布新车预告")</f>
        <v>“Track Only” 兰博基尼发布新车预告</v>
      </c>
      <c r="C8798" s="2" t="s">
        <v>13</v>
      </c>
      <c r="D8798" s="2" t="s">
        <v>12</v>
      </c>
      <c r="E8798" s="2" t="s">
        <v>245</v>
      </c>
      <c r="F8798" s="2" t="str">
        <f>HYPERLINK("http://www.12365auto.com/xcdg/20200212/418361.shtml","http://www.12365auto.com/xcdg/20200212/418361.shtml")</f>
        <v>http://www.12365auto.com/xcdg/20200212/418361.shtml</v>
      </c>
      <c r="G8798" s="2"/>
      <c r="H8798" s="2" t="s">
        <v>11962</v>
      </c>
      <c r="I8798" s="2" t="s">
        <v>19</v>
      </c>
      <c r="J8798" s="2" t="s">
        <v>12</v>
      </c>
      <c r="K8798" s="2" t="s">
        <v>11961</v>
      </c>
      <c r="L8798" s="2">
        <f t="shared" si="137"/>
        <v>150</v>
      </c>
    </row>
    <row r="8799" spans="1:12" ht="25" customHeight="1">
      <c r="A8799" s="2" t="s">
        <v>12</v>
      </c>
      <c r="B8799" s="2" t="str">
        <f>HYPERLINK("http://www.12365auto.com/zlts/20200212/446961.shtml","一汽大众探岳大灯透镜混浊 车灯不亮")</f>
        <v>一汽大众探岳大灯透镜混浊 车灯不亮</v>
      </c>
      <c r="C8799" s="2" t="s">
        <v>13</v>
      </c>
      <c r="D8799" s="2" t="s">
        <v>12</v>
      </c>
      <c r="E8799" s="2" t="s">
        <v>17</v>
      </c>
      <c r="F8799" s="2" t="str">
        <f>HYPERLINK("http://www.12365auto.com/zlts/20200212/446961.shtml","http://www.12365auto.com/zlts/20200212/446961.shtml")</f>
        <v>http://www.12365auto.com/zlts/20200212/446961.shtml</v>
      </c>
      <c r="G8799" s="2"/>
      <c r="H8799" s="2" t="s">
        <v>11963</v>
      </c>
      <c r="I8799" s="2" t="s">
        <v>19</v>
      </c>
      <c r="J8799" s="2" t="s">
        <v>12</v>
      </c>
      <c r="K8799" s="2" t="s">
        <v>11964</v>
      </c>
      <c r="L8799" s="2">
        <f t="shared" si="137"/>
        <v>150</v>
      </c>
    </row>
    <row r="8800" spans="1:12" ht="25" customHeight="1">
      <c r="A8800" s="2" t="s">
        <v>12</v>
      </c>
      <c r="B8800" s="2" t="str">
        <f>HYPERLINK("http://m.12365auto.com/xcdg/20200212/418360.shtml","漂亮实用不廉价 4款10万元左右轿车推荐")</f>
        <v>漂亮实用不廉价 4款10万元左右轿车推荐</v>
      </c>
      <c r="C8800" s="2" t="s">
        <v>13</v>
      </c>
      <c r="D8800" s="2" t="s">
        <v>12</v>
      </c>
      <c r="E8800" s="2"/>
      <c r="F8800" s="2" t="str">
        <f>HYPERLINK("http://m.12365auto.com/xcdg/20200212/418360.shtml","http://m.12365auto.com/xcdg/20200212/418360.shtml")</f>
        <v>http://m.12365auto.com/xcdg/20200212/418360.shtml</v>
      </c>
      <c r="G8800" s="2"/>
      <c r="H8800" s="2" t="s">
        <v>11965</v>
      </c>
      <c r="I8800" s="2" t="s">
        <v>19</v>
      </c>
      <c r="J8800" s="2" t="s">
        <v>1730</v>
      </c>
      <c r="K8800" s="2" t="s">
        <v>11966</v>
      </c>
      <c r="L8800" s="2">
        <f t="shared" si="137"/>
        <v>150</v>
      </c>
    </row>
    <row r="8801" spans="1:12" ht="25" customHeight="1">
      <c r="A8801" s="2" t="s">
        <v>12</v>
      </c>
      <c r="B8801" s="2" t="str">
        <f>HYPERLINK("http://m.12365auto.com/xcdg/20200212/418359.shtml","超跑变柴犬 全新本田飞度到底实力如何")</f>
        <v>超跑变柴犬 全新本田飞度到底实力如何</v>
      </c>
      <c r="C8801" s="2" t="s">
        <v>13</v>
      </c>
      <c r="D8801" s="2" t="s">
        <v>12</v>
      </c>
      <c r="E8801" s="2"/>
      <c r="F8801" s="2" t="str">
        <f>HYPERLINK("http://m.12365auto.com/xcdg/20200212/418359.shtml","http://m.12365auto.com/xcdg/20200212/418359.shtml")</f>
        <v>http://m.12365auto.com/xcdg/20200212/418359.shtml</v>
      </c>
      <c r="G8801" s="2"/>
      <c r="H8801" s="2" t="s">
        <v>11967</v>
      </c>
      <c r="I8801" s="2" t="s">
        <v>19</v>
      </c>
      <c r="J8801" s="2" t="s">
        <v>1713</v>
      </c>
      <c r="K8801" s="2" t="s">
        <v>11968</v>
      </c>
      <c r="L8801" s="2">
        <f t="shared" si="137"/>
        <v>150</v>
      </c>
    </row>
    <row r="8802" spans="1:12" ht="25" customHeight="1">
      <c r="A8802" s="2" t="s">
        <v>12</v>
      </c>
      <c r="B8802" s="2" t="str">
        <f>HYPERLINK("http://m.12365auto.com/xcdg/20200212/418358.shtml","无框车门/豪华轿跑 30万买台CLA值不？")</f>
        <v>无框车门/豪华轿跑 30万买台CLA值不？</v>
      </c>
      <c r="C8802" s="2" t="s">
        <v>13</v>
      </c>
      <c r="D8802" s="2" t="s">
        <v>12</v>
      </c>
      <c r="E8802" s="2"/>
      <c r="F8802" s="2" t="str">
        <f>HYPERLINK("http://m.12365auto.com/xcdg/20200212/418358.shtml","http://m.12365auto.com/xcdg/20200212/418358.shtml")</f>
        <v>http://m.12365auto.com/xcdg/20200212/418358.shtml</v>
      </c>
      <c r="G8802" s="2"/>
      <c r="H8802" s="2" t="s">
        <v>11969</v>
      </c>
      <c r="I8802" s="2" t="s">
        <v>19</v>
      </c>
      <c r="J8802" s="2" t="s">
        <v>1733</v>
      </c>
      <c r="K8802" s="2" t="s">
        <v>11970</v>
      </c>
      <c r="L8802" s="2">
        <f t="shared" si="137"/>
        <v>150</v>
      </c>
    </row>
    <row r="8803" spans="1:12" ht="25" customHeight="1">
      <c r="A8803" s="2" t="s">
        <v>12</v>
      </c>
      <c r="B8803" s="2" t="str">
        <f>HYPERLINK("http://m.12365auto.com/xcdg/20200212/418357.shtml","15万元运动轿车之选 领克03对比福克斯")</f>
        <v>15万元运动轿车之选 领克03对比福克斯</v>
      </c>
      <c r="C8803" s="2" t="s">
        <v>13</v>
      </c>
      <c r="D8803" s="2" t="s">
        <v>12</v>
      </c>
      <c r="E8803" s="2"/>
      <c r="F8803" s="2" t="str">
        <f>HYPERLINK("http://m.12365auto.com/xcdg/20200212/418357.shtml","http://m.12365auto.com/xcdg/20200212/418357.shtml")</f>
        <v>http://m.12365auto.com/xcdg/20200212/418357.shtml</v>
      </c>
      <c r="G8803" s="2"/>
      <c r="H8803" s="2" t="s">
        <v>11971</v>
      </c>
      <c r="I8803" s="2" t="s">
        <v>19</v>
      </c>
      <c r="J8803" s="2" t="s">
        <v>1716</v>
      </c>
      <c r="K8803" s="2" t="s">
        <v>11972</v>
      </c>
      <c r="L8803" s="2">
        <f t="shared" si="137"/>
        <v>150</v>
      </c>
    </row>
    <row r="8804" spans="1:12" ht="25" customHeight="1">
      <c r="A8804" s="2" t="s">
        <v>12</v>
      </c>
      <c r="B8804" s="2" t="str">
        <f>HYPERLINK("http://www.12365auto.com/zlts/20200212/446953.shtml","郑州日产途达蓄电池亏电导致全车无法")</f>
        <v>郑州日产途达蓄电池亏电导致全车无法</v>
      </c>
      <c r="C8804" s="2" t="s">
        <v>13</v>
      </c>
      <c r="D8804" s="2" t="s">
        <v>12</v>
      </c>
      <c r="E8804" s="2"/>
      <c r="F8804" s="2" t="str">
        <f>HYPERLINK("http://www.12365auto.com/zlts/20200212/446953.shtml","http://www.12365auto.com/zlts/20200212/446953.shtml")</f>
        <v>http://www.12365auto.com/zlts/20200212/446953.shtml</v>
      </c>
      <c r="G8804" s="2"/>
      <c r="H8804" s="2" t="s">
        <v>11974</v>
      </c>
      <c r="I8804" s="2" t="s">
        <v>15</v>
      </c>
      <c r="J8804" s="2" t="s">
        <v>12</v>
      </c>
      <c r="K8804" s="2" t="s">
        <v>11973</v>
      </c>
      <c r="L8804" s="2">
        <f t="shared" si="137"/>
        <v>83</v>
      </c>
    </row>
    <row r="8805" spans="1:12" ht="25" customHeight="1">
      <c r="A8805" s="2" t="s">
        <v>12</v>
      </c>
      <c r="B8805" s="2" t="str">
        <f>HYPERLINK("http://m.12365auto.com/xcdg/20200212/418356.shtml","优惠3万元 如今入手大众探岳值不值？")</f>
        <v>优惠3万元 如今入手大众探岳值不值？</v>
      </c>
      <c r="C8805" s="2" t="s">
        <v>13</v>
      </c>
      <c r="D8805" s="2" t="s">
        <v>12</v>
      </c>
      <c r="E8805" s="2"/>
      <c r="F8805" s="2" t="str">
        <f>HYPERLINK("http://m.12365auto.com/xcdg/20200212/418356.shtml","http://m.12365auto.com/xcdg/20200212/418356.shtml")</f>
        <v>http://m.12365auto.com/xcdg/20200212/418356.shtml</v>
      </c>
      <c r="G8805" s="2"/>
      <c r="H8805" s="2" t="s">
        <v>11975</v>
      </c>
      <c r="I8805" s="2" t="s">
        <v>19</v>
      </c>
      <c r="J8805" s="2" t="s">
        <v>1722</v>
      </c>
      <c r="K8805" s="2" t="s">
        <v>11976</v>
      </c>
      <c r="L8805" s="2">
        <f t="shared" si="137"/>
        <v>150</v>
      </c>
    </row>
    <row r="8806" spans="1:12" ht="25" customHeight="1">
      <c r="A8806" s="2" t="s">
        <v>12</v>
      </c>
      <c r="B8806" s="2" t="str">
        <f>HYPERLINK("http://www.12365auto.com/news/20200212/418355.shtml","日产要求戈恩偿还730万欧元工资和奖金")</f>
        <v>日产要求戈恩偿还730万欧元工资和奖金</v>
      </c>
      <c r="C8806" s="2" t="s">
        <v>13</v>
      </c>
      <c r="D8806" s="2" t="s">
        <v>12</v>
      </c>
      <c r="E8806" s="2" t="s">
        <v>276</v>
      </c>
      <c r="F8806" s="2" t="str">
        <f>HYPERLINK("http://www.12365auto.com/news/20200212/418355.shtml","http://www.12365auto.com/news/20200212/418355.shtml")</f>
        <v>http://www.12365auto.com/news/20200212/418355.shtml</v>
      </c>
      <c r="G8806" s="2"/>
      <c r="H8806" s="2" t="s">
        <v>11977</v>
      </c>
      <c r="I8806" s="2" t="s">
        <v>15</v>
      </c>
      <c r="J8806" s="2" t="s">
        <v>12</v>
      </c>
      <c r="K8806" s="2" t="s">
        <v>11978</v>
      </c>
      <c r="L8806" s="2">
        <f t="shared" si="137"/>
        <v>150</v>
      </c>
    </row>
    <row r="8807" spans="1:12" ht="25" customHeight="1">
      <c r="A8807" s="2" t="s">
        <v>12</v>
      </c>
      <c r="B8807" s="2" t="str">
        <f>HYPERLINK("http://m.12365auto.com/news/20200212/418355.shtml","日产要求戈恩偿还730万欧元工资和奖金")</f>
        <v>日产要求戈恩偿还730万欧元工资和奖金</v>
      </c>
      <c r="C8807" s="2" t="s">
        <v>13</v>
      </c>
      <c r="D8807" s="2" t="s">
        <v>12</v>
      </c>
      <c r="E8807" s="2"/>
      <c r="F8807" s="2" t="str">
        <f>HYPERLINK("http://m.12365auto.com/news/20200212/418355.shtml","http://m.12365auto.com/news/20200212/418355.shtml")</f>
        <v>http://m.12365auto.com/news/20200212/418355.shtml</v>
      </c>
      <c r="G8807" s="2"/>
      <c r="H8807" s="2" t="s">
        <v>11979</v>
      </c>
      <c r="I8807" s="2" t="s">
        <v>19</v>
      </c>
      <c r="J8807" s="2" t="s">
        <v>958</v>
      </c>
      <c r="K8807" s="2" t="s">
        <v>11978</v>
      </c>
      <c r="L8807" s="2">
        <f t="shared" si="137"/>
        <v>150</v>
      </c>
    </row>
    <row r="8808" spans="1:12" ht="25" customHeight="1">
      <c r="A8808" s="2" t="s">
        <v>12</v>
      </c>
      <c r="B8808" s="2" t="str">
        <f>HYPERLINK("http://m.12365auto.com/news/20200212/418354.shtml","奇瑞与HAAH达成分销合作协议 计划在美销售")</f>
        <v>奇瑞与HAAH达成分销合作协议 计划在美销售</v>
      </c>
      <c r="C8808" s="2" t="s">
        <v>13</v>
      </c>
      <c r="D8808" s="2" t="s">
        <v>12</v>
      </c>
      <c r="E8808" s="2"/>
      <c r="F8808" s="2" t="str">
        <f>HYPERLINK("http://m.12365auto.com/news/20200212/418354.shtml","http://m.12365auto.com/news/20200212/418354.shtml")</f>
        <v>http://m.12365auto.com/news/20200212/418354.shtml</v>
      </c>
      <c r="G8808" s="2"/>
      <c r="H8808" s="2" t="s">
        <v>11980</v>
      </c>
      <c r="I8808" s="2" t="s">
        <v>19</v>
      </c>
      <c r="J8808" s="2" t="s">
        <v>958</v>
      </c>
      <c r="K8808" s="2" t="s">
        <v>11981</v>
      </c>
      <c r="L8808" s="2">
        <f t="shared" si="137"/>
        <v>150</v>
      </c>
    </row>
    <row r="8809" spans="1:12" ht="25" customHeight="1">
      <c r="A8809" s="2" t="s">
        <v>12</v>
      </c>
      <c r="B8809" s="2" t="str">
        <f>HYPERLINK("http://www.12365auto.com/news/20200212/418354.shtml","奇瑞与HAAH达成分销合作协议 计划在美销售")</f>
        <v>奇瑞与HAAH达成分销合作协议 计划在美销售</v>
      </c>
      <c r="C8809" s="2" t="s">
        <v>13</v>
      </c>
      <c r="D8809" s="2" t="s">
        <v>12</v>
      </c>
      <c r="E8809" s="2" t="s">
        <v>276</v>
      </c>
      <c r="F8809" s="2" t="str">
        <f>HYPERLINK("http://www.12365auto.com/news/20200212/418354.shtml","http://www.12365auto.com/news/20200212/418354.shtml")</f>
        <v>http://www.12365auto.com/news/20200212/418354.shtml</v>
      </c>
      <c r="G8809" s="2"/>
      <c r="H8809" s="2" t="s">
        <v>11982</v>
      </c>
      <c r="I8809" s="2" t="s">
        <v>15</v>
      </c>
      <c r="J8809" s="2" t="s">
        <v>12</v>
      </c>
      <c r="K8809" s="2" t="s">
        <v>11981</v>
      </c>
      <c r="L8809" s="2">
        <f t="shared" si="137"/>
        <v>150</v>
      </c>
    </row>
    <row r="8810" spans="1:12" ht="25" customHeight="1">
      <c r="A8810" s="2" t="s">
        <v>12</v>
      </c>
      <c r="B8810" s="2" t="str">
        <f>HYPERLINK("http://www.12365auto.com/zlts/20200212/446955.shtml","车辆蓄电池")</f>
        <v>车辆蓄电池</v>
      </c>
      <c r="C8810" s="2" t="s">
        <v>13</v>
      </c>
      <c r="D8810" s="2" t="s">
        <v>12</v>
      </c>
      <c r="E8810" s="2"/>
      <c r="F8810" s="2" t="str">
        <f>HYPERLINK("http://www.12365auto.com/zlts/20200212/446955.shtml","http://www.12365auto.com/zlts/20200212/446955.shtml")</f>
        <v>http://www.12365auto.com/zlts/20200212/446955.shtml</v>
      </c>
      <c r="G8810" s="2"/>
      <c r="H8810" s="2" t="s">
        <v>11984</v>
      </c>
      <c r="I8810" s="2" t="s">
        <v>15</v>
      </c>
      <c r="J8810" s="2" t="s">
        <v>12</v>
      </c>
      <c r="K8810" s="2" t="s">
        <v>11983</v>
      </c>
      <c r="L8810" s="2">
        <f t="shared" si="137"/>
        <v>81</v>
      </c>
    </row>
    <row r="8811" spans="1:12" ht="25" customHeight="1">
      <c r="A8811" s="2" t="s">
        <v>12</v>
      </c>
      <c r="B8811" s="2" t="str">
        <f>HYPERLINK("http://m.12365auto.com/news/20200212/418353.shtml","本田最早将于2月17日恢复在华工厂生产")</f>
        <v>本田最早将于2月17日恢复在华工厂生产</v>
      </c>
      <c r="C8811" s="2" t="s">
        <v>13</v>
      </c>
      <c r="D8811" s="2" t="s">
        <v>12</v>
      </c>
      <c r="E8811" s="2"/>
      <c r="F8811" s="2" t="str">
        <f>HYPERLINK("http://m.12365auto.com/news/20200212/418353.shtml","http://m.12365auto.com/news/20200212/418353.shtml")</f>
        <v>http://m.12365auto.com/news/20200212/418353.shtml</v>
      </c>
      <c r="G8811" s="2"/>
      <c r="H8811" s="2" t="s">
        <v>11985</v>
      </c>
      <c r="I8811" s="2" t="s">
        <v>19</v>
      </c>
      <c r="J8811" s="2" t="s">
        <v>958</v>
      </c>
      <c r="K8811" s="2" t="s">
        <v>11986</v>
      </c>
      <c r="L8811" s="2">
        <f t="shared" si="137"/>
        <v>150</v>
      </c>
    </row>
    <row r="8812" spans="1:12" ht="25" customHeight="1">
      <c r="A8812" s="2" t="s">
        <v>12</v>
      </c>
      <c r="B8812" s="2" t="str">
        <f>HYPERLINK("http://www.12365auto.com/news/20200212/418353.shtml","本田最早将于2月17日恢复在华工厂生产")</f>
        <v>本田最早将于2月17日恢复在华工厂生产</v>
      </c>
      <c r="C8812" s="2" t="s">
        <v>13</v>
      </c>
      <c r="D8812" s="2" t="s">
        <v>12</v>
      </c>
      <c r="E8812" s="2" t="s">
        <v>276</v>
      </c>
      <c r="F8812" s="2" t="str">
        <f>HYPERLINK("http://www.12365auto.com/news/20200212/418353.shtml","http://www.12365auto.com/news/20200212/418353.shtml")</f>
        <v>http://www.12365auto.com/news/20200212/418353.shtml</v>
      </c>
      <c r="G8812" s="2"/>
      <c r="H8812" s="2" t="s">
        <v>11987</v>
      </c>
      <c r="I8812" s="2" t="s">
        <v>15</v>
      </c>
      <c r="J8812" s="2" t="s">
        <v>12</v>
      </c>
      <c r="K8812" s="2" t="s">
        <v>11986</v>
      </c>
      <c r="L8812" s="2">
        <f t="shared" si="137"/>
        <v>150</v>
      </c>
    </row>
    <row r="8813" spans="1:12" ht="25" customHeight="1">
      <c r="A8813" s="2" t="s">
        <v>12</v>
      </c>
      <c r="B8813" s="2" t="str">
        <f>HYPERLINK("http://m.12365auto.com/news/20200212/418352.shtml","奔驰在华工厂已复工 生产和销售将加大力度")</f>
        <v>奔驰在华工厂已复工 生产和销售将加大力度</v>
      </c>
      <c r="C8813" s="2" t="s">
        <v>13</v>
      </c>
      <c r="D8813" s="2" t="s">
        <v>12</v>
      </c>
      <c r="E8813" s="2"/>
      <c r="F8813" s="2" t="str">
        <f>HYPERLINK("http://m.12365auto.com/news/20200212/418352.shtml","http://m.12365auto.com/news/20200212/418352.shtml")</f>
        <v>http://m.12365auto.com/news/20200212/418352.shtml</v>
      </c>
      <c r="G8813" s="2"/>
      <c r="H8813" s="2" t="s">
        <v>11988</v>
      </c>
      <c r="I8813" s="2" t="s">
        <v>19</v>
      </c>
      <c r="J8813" s="2" t="s">
        <v>958</v>
      </c>
      <c r="K8813" s="2" t="s">
        <v>11989</v>
      </c>
      <c r="L8813" s="2">
        <f t="shared" si="137"/>
        <v>150</v>
      </c>
    </row>
    <row r="8814" spans="1:12" ht="25" customHeight="1">
      <c r="A8814" s="2" t="s">
        <v>12</v>
      </c>
      <c r="B8814" s="2" t="str">
        <f>HYPERLINK("http://www.12365auto.com/news/20200212/418352.shtml","奔驰在华工厂已复工 生产和销售将加大力度")</f>
        <v>奔驰在华工厂已复工 生产和销售将加大力度</v>
      </c>
      <c r="C8814" s="2" t="s">
        <v>13</v>
      </c>
      <c r="D8814" s="2" t="s">
        <v>12</v>
      </c>
      <c r="E8814" s="2" t="s">
        <v>276</v>
      </c>
      <c r="F8814" s="2" t="str">
        <f>HYPERLINK("http://www.12365auto.com/news/20200212/418352.shtml","http://www.12365auto.com/news/20200212/418352.shtml")</f>
        <v>http://www.12365auto.com/news/20200212/418352.shtml</v>
      </c>
      <c r="G8814" s="2"/>
      <c r="H8814" s="2" t="s">
        <v>11990</v>
      </c>
      <c r="I8814" s="2" t="s">
        <v>15</v>
      </c>
      <c r="J8814" s="2" t="s">
        <v>12</v>
      </c>
      <c r="K8814" s="2" t="s">
        <v>11989</v>
      </c>
      <c r="L8814" s="2">
        <f t="shared" si="137"/>
        <v>150</v>
      </c>
    </row>
    <row r="8815" spans="1:12" ht="25" customHeight="1">
      <c r="A8815" s="2" t="s">
        <v>12</v>
      </c>
      <c r="B8815" s="2" t="str">
        <f>HYPERLINK("http://www.12365auto.com/zlts/20200212/446959.shtml","东风本田INSPIRE发动机变速箱接缝处漏油")</f>
        <v>东风本田INSPIRE发动机变速箱接缝处漏油</v>
      </c>
      <c r="C8815" s="2" t="s">
        <v>13</v>
      </c>
      <c r="D8815" s="2" t="s">
        <v>12</v>
      </c>
      <c r="E8815" s="2" t="s">
        <v>17</v>
      </c>
      <c r="F8815" s="2" t="str">
        <f>HYPERLINK("http://www.12365auto.com/zlts/20200212/446959.shtml","http://www.12365auto.com/zlts/20200212/446959.shtml")</f>
        <v>http://www.12365auto.com/zlts/20200212/446959.shtml</v>
      </c>
      <c r="G8815" s="2"/>
      <c r="H8815" s="2" t="s">
        <v>11991</v>
      </c>
      <c r="I8815" s="2" t="s">
        <v>15</v>
      </c>
      <c r="J8815" s="2" t="s">
        <v>12</v>
      </c>
      <c r="K8815" s="2" t="s">
        <v>11989</v>
      </c>
      <c r="L8815" s="2">
        <f t="shared" si="137"/>
        <v>150</v>
      </c>
    </row>
    <row r="8816" spans="1:12" ht="25" customHeight="1">
      <c r="A8816" s="2" t="s">
        <v>12</v>
      </c>
      <c r="B8816" s="2" t="str">
        <f>HYPERLINK("http://m.12365auto.com/parts/20200212/418351.shtml","雪天行车学问多 前驱/后驱/四驱车型解读")</f>
        <v>雪天行车学问多 前驱/后驱/四驱车型解读</v>
      </c>
      <c r="C8816" s="2" t="s">
        <v>13</v>
      </c>
      <c r="D8816" s="2" t="s">
        <v>12</v>
      </c>
      <c r="E8816" s="2"/>
      <c r="F8816" s="2" t="str">
        <f>HYPERLINK("http://m.12365auto.com/parts/20200212/418351.shtml","http://m.12365auto.com/parts/20200212/418351.shtml")</f>
        <v>http://m.12365auto.com/parts/20200212/418351.shtml</v>
      </c>
      <c r="G8816" s="2"/>
      <c r="H8816" s="2" t="s">
        <v>11992</v>
      </c>
      <c r="I8816" s="2" t="s">
        <v>19</v>
      </c>
      <c r="J8816" s="2" t="s">
        <v>1775</v>
      </c>
      <c r="K8816" s="2" t="s">
        <v>11993</v>
      </c>
      <c r="L8816" s="2">
        <f t="shared" si="137"/>
        <v>150</v>
      </c>
    </row>
    <row r="8817" spans="1:12" ht="25" customHeight="1">
      <c r="A8817" s="2" t="s">
        <v>12</v>
      </c>
      <c r="B8817" s="2" t="str">
        <f>HYPERLINK("http://www.12365auto.com/parts/20200212/418351.shtml","雪天行车学问多 前驱/后驱/四驱车型解读")</f>
        <v>雪天行车学问多 前驱/后驱/四驱车型解读</v>
      </c>
      <c r="C8817" s="2" t="s">
        <v>13</v>
      </c>
      <c r="D8817" s="2" t="s">
        <v>12</v>
      </c>
      <c r="E8817" s="2" t="s">
        <v>240</v>
      </c>
      <c r="F8817" s="2" t="str">
        <f>HYPERLINK("http://www.12365auto.com/parts/20200212/418351.shtml","http://www.12365auto.com/parts/20200212/418351.shtml")</f>
        <v>http://www.12365auto.com/parts/20200212/418351.shtml</v>
      </c>
      <c r="G8817" s="2"/>
      <c r="H8817" s="2" t="s">
        <v>11994</v>
      </c>
      <c r="I8817" s="2" t="s">
        <v>15</v>
      </c>
      <c r="J8817" s="2" t="s">
        <v>12</v>
      </c>
      <c r="K8817" s="2" t="s">
        <v>11993</v>
      </c>
      <c r="L8817" s="2">
        <f t="shared" si="137"/>
        <v>150</v>
      </c>
    </row>
    <row r="8818" spans="1:12" ht="25" customHeight="1">
      <c r="A8818" s="2" t="s">
        <v>12</v>
      </c>
      <c r="B8818" s="2" t="str">
        <f>HYPERLINK("http://m.12365auto.com/xcdg/20200212/418350.shtml","采用最新家族化设计 新款三菱Mirage官图")</f>
        <v>采用最新家族化设计 新款三菱Mirage官图</v>
      </c>
      <c r="C8818" s="2" t="s">
        <v>13</v>
      </c>
      <c r="D8818" s="2" t="s">
        <v>12</v>
      </c>
      <c r="E8818" s="2"/>
      <c r="F8818" s="2" t="str">
        <f>HYPERLINK("http://m.12365auto.com/xcdg/20200212/418350.shtml","http://m.12365auto.com/xcdg/20200212/418350.shtml")</f>
        <v>http://m.12365auto.com/xcdg/20200212/418350.shtml</v>
      </c>
      <c r="G8818" s="2"/>
      <c r="H8818" s="2" t="s">
        <v>11995</v>
      </c>
      <c r="I8818" s="2" t="s">
        <v>19</v>
      </c>
      <c r="J8818" s="2" t="s">
        <v>768</v>
      </c>
      <c r="K8818" s="2" t="s">
        <v>11996</v>
      </c>
      <c r="L8818" s="2">
        <f t="shared" si="137"/>
        <v>150</v>
      </c>
    </row>
    <row r="8819" spans="1:12" ht="25" customHeight="1">
      <c r="A8819" s="2" t="s">
        <v>12</v>
      </c>
      <c r="B8819" s="2" t="str">
        <f>HYPERLINK("http://www.12365auto.com/xcdg/20200212/418350.shtml","采用最新家族化设计 新款三菱Mirage官图")</f>
        <v>采用最新家族化设计 新款三菱Mirage官图</v>
      </c>
      <c r="C8819" s="2" t="s">
        <v>13</v>
      </c>
      <c r="D8819" s="2" t="s">
        <v>12</v>
      </c>
      <c r="E8819" s="2" t="s">
        <v>216</v>
      </c>
      <c r="F8819" s="2" t="str">
        <f>HYPERLINK("http://www.12365auto.com/xcdg/20200212/418350.shtml","http://www.12365auto.com/xcdg/20200212/418350.shtml")</f>
        <v>http://www.12365auto.com/xcdg/20200212/418350.shtml</v>
      </c>
      <c r="G8819" s="2"/>
      <c r="H8819" s="2" t="s">
        <v>11997</v>
      </c>
      <c r="I8819" s="2" t="s">
        <v>15</v>
      </c>
      <c r="J8819" s="2" t="s">
        <v>12</v>
      </c>
      <c r="K8819" s="2" t="s">
        <v>11996</v>
      </c>
      <c r="L8819" s="2">
        <f t="shared" si="137"/>
        <v>150</v>
      </c>
    </row>
    <row r="8820" spans="1:12" ht="25" customHeight="1">
      <c r="A8820" s="2" t="s">
        <v>12</v>
      </c>
      <c r="B8820" s="2" t="str">
        <f>HYPERLINK("http://www.12365auto.com/xcdg/20200212/418349.shtml","大众高性能纯电动车假想图曝光 配四驱系统")</f>
        <v>大众高性能纯电动车假想图曝光 配四驱系统</v>
      </c>
      <c r="C8820" s="2" t="s">
        <v>13</v>
      </c>
      <c r="D8820" s="2" t="s">
        <v>12</v>
      </c>
      <c r="E8820" s="2" t="s">
        <v>216</v>
      </c>
      <c r="F8820" s="2" t="str">
        <f>HYPERLINK("http://www.12365auto.com/xcdg/20200212/418349.shtml","http://www.12365auto.com/xcdg/20200212/418349.shtml")</f>
        <v>http://www.12365auto.com/xcdg/20200212/418349.shtml</v>
      </c>
      <c r="G8820" s="2"/>
      <c r="H8820" s="2" t="s">
        <v>11998</v>
      </c>
      <c r="I8820" s="2" t="s">
        <v>15</v>
      </c>
      <c r="J8820" s="2" t="s">
        <v>12</v>
      </c>
      <c r="K8820" s="2" t="s">
        <v>11999</v>
      </c>
      <c r="L8820" s="2">
        <f t="shared" si="137"/>
        <v>150</v>
      </c>
    </row>
    <row r="8821" spans="1:12" ht="25" customHeight="1">
      <c r="A8821" s="2" t="s">
        <v>12</v>
      </c>
      <c r="B8821" s="2" t="str">
        <f>HYPERLINK("http://m.12365auto.com/xcdg/20200212/418349.shtml","大众高性能纯电动车假想图曝光 配四驱系统")</f>
        <v>大众高性能纯电动车假想图曝光 配四驱系统</v>
      </c>
      <c r="C8821" s="2" t="s">
        <v>13</v>
      </c>
      <c r="D8821" s="2" t="s">
        <v>12</v>
      </c>
      <c r="E8821" s="2"/>
      <c r="F8821" s="2" t="str">
        <f>HYPERLINK("http://m.12365auto.com/xcdg/20200212/418349.shtml","http://m.12365auto.com/xcdg/20200212/418349.shtml")</f>
        <v>http://m.12365auto.com/xcdg/20200212/418349.shtml</v>
      </c>
      <c r="G8821" s="2"/>
      <c r="H8821" s="2" t="s">
        <v>12000</v>
      </c>
      <c r="I8821" s="2" t="s">
        <v>19</v>
      </c>
      <c r="J8821" s="2" t="s">
        <v>1105</v>
      </c>
      <c r="K8821" s="2" t="s">
        <v>11999</v>
      </c>
      <c r="L8821" s="2">
        <f t="shared" si="137"/>
        <v>150</v>
      </c>
    </row>
    <row r="8822" spans="1:12" ht="25" customHeight="1">
      <c r="A8822" s="2" t="s">
        <v>12</v>
      </c>
      <c r="B8822" s="2" t="str">
        <f>HYPERLINK("http://www.12365auto.com/xcdg/20200212/418348.shtml","2021款雪佛兰Equinox发布 预计今秋上市")</f>
        <v>2021款雪佛兰Equinox发布 预计今秋上市</v>
      </c>
      <c r="C8822" s="2" t="s">
        <v>13</v>
      </c>
      <c r="D8822" s="2" t="s">
        <v>12</v>
      </c>
      <c r="E8822" s="2" t="s">
        <v>216</v>
      </c>
      <c r="F8822" s="2" t="str">
        <f>HYPERLINK("http://www.12365auto.com/xcdg/20200212/418348.shtml","http://www.12365auto.com/xcdg/20200212/418348.shtml")</f>
        <v>http://www.12365auto.com/xcdg/20200212/418348.shtml</v>
      </c>
      <c r="G8822" s="2"/>
      <c r="H8822" s="2" t="s">
        <v>12001</v>
      </c>
      <c r="I8822" s="2" t="s">
        <v>15</v>
      </c>
      <c r="J8822" s="2" t="s">
        <v>12</v>
      </c>
      <c r="K8822" s="2" t="s">
        <v>12002</v>
      </c>
      <c r="L8822" s="2">
        <f t="shared" si="137"/>
        <v>150</v>
      </c>
    </row>
    <row r="8823" spans="1:12" ht="25" customHeight="1">
      <c r="A8823" s="2" t="s">
        <v>12</v>
      </c>
      <c r="B8823" s="2" t="str">
        <f>HYPERLINK("http://m.12365auto.com/xcdg/20200212/418348.shtml","2021款雪佛兰Equinox发布 预计今秋上市")</f>
        <v>2021款雪佛兰Equinox发布 预计今秋上市</v>
      </c>
      <c r="C8823" s="2" t="s">
        <v>13</v>
      </c>
      <c r="D8823" s="2" t="s">
        <v>12</v>
      </c>
      <c r="E8823" s="2"/>
      <c r="F8823" s="2" t="str">
        <f>HYPERLINK("http://m.12365auto.com/xcdg/20200212/418348.shtml","http://m.12365auto.com/xcdg/20200212/418348.shtml")</f>
        <v>http://m.12365auto.com/xcdg/20200212/418348.shtml</v>
      </c>
      <c r="G8823" s="2"/>
      <c r="H8823" s="2" t="s">
        <v>12003</v>
      </c>
      <c r="I8823" s="2" t="s">
        <v>19</v>
      </c>
      <c r="J8823" s="2" t="s">
        <v>702</v>
      </c>
      <c r="K8823" s="2" t="s">
        <v>12002</v>
      </c>
      <c r="L8823" s="2">
        <f t="shared" si="137"/>
        <v>150</v>
      </c>
    </row>
    <row r="8824" spans="1:12" ht="25" customHeight="1">
      <c r="A8824" s="2" t="s">
        <v>12</v>
      </c>
      <c r="B8824" s="2" t="str">
        <f>HYPERLINK("http://www.12365auto.com/xcdg/20200212/418347.shtml","日产新款Juke基于CMF-B平台打造 提供四驱版")</f>
        <v>日产新款Juke基于CMF-B平台打造 提供四驱版</v>
      </c>
      <c r="C8824" s="2" t="s">
        <v>13</v>
      </c>
      <c r="D8824" s="2" t="s">
        <v>12</v>
      </c>
      <c r="E8824" s="2" t="s">
        <v>216</v>
      </c>
      <c r="F8824" s="2" t="str">
        <f>HYPERLINK("http://www.12365auto.com/xcdg/20200212/418347.shtml","http://www.12365auto.com/xcdg/20200212/418347.shtml")</f>
        <v>http://www.12365auto.com/xcdg/20200212/418347.shtml</v>
      </c>
      <c r="G8824" s="2"/>
      <c r="H8824" s="2" t="s">
        <v>12004</v>
      </c>
      <c r="I8824" s="2" t="s">
        <v>15</v>
      </c>
      <c r="J8824" s="2" t="s">
        <v>12</v>
      </c>
      <c r="K8824" s="2" t="s">
        <v>12005</v>
      </c>
      <c r="L8824" s="2">
        <f t="shared" si="137"/>
        <v>150</v>
      </c>
    </row>
    <row r="8825" spans="1:12" ht="25" customHeight="1">
      <c r="A8825" s="2" t="s">
        <v>12</v>
      </c>
      <c r="B8825" s="2" t="str">
        <f>HYPERLINK("http://m.12365auto.com/xcdg/20200212/418347.shtml","日产新款Juke基于CMF-B平台打造 提供四驱版")</f>
        <v>日产新款Juke基于CMF-B平台打造 提供四驱版</v>
      </c>
      <c r="C8825" s="2" t="s">
        <v>13</v>
      </c>
      <c r="D8825" s="2" t="s">
        <v>12</v>
      </c>
      <c r="E8825" s="2"/>
      <c r="F8825" s="2" t="str">
        <f>HYPERLINK("http://m.12365auto.com/xcdg/20200212/418347.shtml","http://m.12365auto.com/xcdg/20200212/418347.shtml")</f>
        <v>http://m.12365auto.com/xcdg/20200212/418347.shtml</v>
      </c>
      <c r="G8825" s="2"/>
      <c r="H8825" s="2" t="s">
        <v>12006</v>
      </c>
      <c r="I8825" s="2" t="s">
        <v>19</v>
      </c>
      <c r="J8825" s="2" t="s">
        <v>702</v>
      </c>
      <c r="K8825" s="2" t="s">
        <v>12005</v>
      </c>
      <c r="L8825" s="2">
        <f t="shared" si="137"/>
        <v>150</v>
      </c>
    </row>
    <row r="8826" spans="1:12" ht="25" customHeight="1">
      <c r="A8826" s="2" t="s">
        <v>12</v>
      </c>
      <c r="B8826" s="2" t="str">
        <f>HYPERLINK("http://www.12365auto.com/xcdg/20200212/418346.shtml","剑指法拉利458 Italia 全新科尔维特Z06谍照")</f>
        <v>剑指法拉利458 Italia 全新科尔维特Z06谍照</v>
      </c>
      <c r="C8826" s="2" t="s">
        <v>13</v>
      </c>
      <c r="D8826" s="2" t="s">
        <v>12</v>
      </c>
      <c r="E8826" s="2" t="s">
        <v>224</v>
      </c>
      <c r="F8826" s="2" t="str">
        <f>HYPERLINK("http://www.12365auto.com/xcdg/20200212/418346.shtml","http://www.12365auto.com/xcdg/20200212/418346.shtml")</f>
        <v>http://www.12365auto.com/xcdg/20200212/418346.shtml</v>
      </c>
      <c r="G8826" s="2"/>
      <c r="H8826" s="2" t="s">
        <v>12007</v>
      </c>
      <c r="I8826" s="2" t="s">
        <v>15</v>
      </c>
      <c r="J8826" s="2" t="s">
        <v>12</v>
      </c>
      <c r="K8826" s="2" t="s">
        <v>12008</v>
      </c>
      <c r="L8826" s="2">
        <f t="shared" si="137"/>
        <v>150</v>
      </c>
    </row>
    <row r="8827" spans="1:12" ht="25" customHeight="1">
      <c r="A8827" s="2" t="s">
        <v>12</v>
      </c>
      <c r="B8827" s="2" t="str">
        <f>HYPERLINK("http://m.12365auto.com/xcdg/20200212/418346.shtml","剑指法拉利458 Italia 全新科尔维特Z06谍照")</f>
        <v>剑指法拉利458 Italia 全新科尔维特Z06谍照</v>
      </c>
      <c r="C8827" s="2" t="s">
        <v>13</v>
      </c>
      <c r="D8827" s="2" t="s">
        <v>12</v>
      </c>
      <c r="E8827" s="2"/>
      <c r="F8827" s="2" t="str">
        <f>HYPERLINK("http://m.12365auto.com/xcdg/20200212/418346.shtml","http://m.12365auto.com/xcdg/20200212/418346.shtml")</f>
        <v>http://m.12365auto.com/xcdg/20200212/418346.shtml</v>
      </c>
      <c r="G8827" s="2"/>
      <c r="H8827" s="2" t="s">
        <v>12009</v>
      </c>
      <c r="I8827" s="2" t="s">
        <v>19</v>
      </c>
      <c r="J8827" s="2" t="s">
        <v>702</v>
      </c>
      <c r="K8827" s="2" t="s">
        <v>12008</v>
      </c>
      <c r="L8827" s="2">
        <f t="shared" si="137"/>
        <v>150</v>
      </c>
    </row>
    <row r="8828" spans="1:12" ht="25" customHeight="1">
      <c r="A8828" s="2" t="s">
        <v>12</v>
      </c>
      <c r="B8828" s="2" t="str">
        <f>HYPERLINK("http://www.12365auto.com/scbg/20200212/418345.shtml","全新丰田雅力士海外首测 动力充沛/性能出色")</f>
        <v>全新丰田雅力士海外首测 动力充沛/性能出色</v>
      </c>
      <c r="C8828" s="2" t="s">
        <v>13</v>
      </c>
      <c r="D8828" s="2" t="s">
        <v>12</v>
      </c>
      <c r="E8828" s="2" t="s">
        <v>1548</v>
      </c>
      <c r="F8828" s="2" t="str">
        <f>HYPERLINK("http://www.12365auto.com/scbg/20200212/418345.shtml","http://www.12365auto.com/scbg/20200212/418345.shtml")</f>
        <v>http://www.12365auto.com/scbg/20200212/418345.shtml</v>
      </c>
      <c r="G8828" s="2"/>
      <c r="H8828" s="2" t="s">
        <v>12010</v>
      </c>
      <c r="I8828" s="2" t="s">
        <v>15</v>
      </c>
      <c r="J8828" s="2" t="s">
        <v>12</v>
      </c>
      <c r="K8828" s="2" t="s">
        <v>12011</v>
      </c>
      <c r="L8828" s="2">
        <f t="shared" si="137"/>
        <v>150</v>
      </c>
    </row>
    <row r="8829" spans="1:12" ht="25" customHeight="1">
      <c r="A8829" s="2" t="s">
        <v>12</v>
      </c>
      <c r="B8829" s="2" t="str">
        <f>HYPERLINK("http://www.12365auto.com/xcdg/20200212/418345.shtml","全新丰田雅力士海外首测 动力充沛/性能出色")</f>
        <v>全新丰田雅力士海外首测 动力充沛/性能出色</v>
      </c>
      <c r="C8829" s="2" t="s">
        <v>13</v>
      </c>
      <c r="D8829" s="2" t="s">
        <v>12</v>
      </c>
      <c r="E8829" s="2" t="s">
        <v>216</v>
      </c>
      <c r="F8829" s="2" t="str">
        <f>HYPERLINK("http://www.12365auto.com/xcdg/20200212/418345.shtml","http://www.12365auto.com/xcdg/20200212/418345.shtml")</f>
        <v>http://www.12365auto.com/xcdg/20200212/418345.shtml</v>
      </c>
      <c r="G8829" s="2"/>
      <c r="H8829" s="2" t="s">
        <v>12010</v>
      </c>
      <c r="I8829" s="2" t="s">
        <v>15</v>
      </c>
      <c r="J8829" s="2" t="s">
        <v>12</v>
      </c>
      <c r="K8829" s="2" t="s">
        <v>12011</v>
      </c>
      <c r="L8829" s="2">
        <f t="shared" si="137"/>
        <v>150</v>
      </c>
    </row>
    <row r="8830" spans="1:12" ht="25" customHeight="1">
      <c r="A8830" s="2" t="s">
        <v>12</v>
      </c>
      <c r="B8830" s="2" t="str">
        <f>HYPERLINK("http://m.12365auto.com/xcdg/20200212/418345.shtml","全新丰田雅力士海外首测 动力充沛/性能出色")</f>
        <v>全新丰田雅力士海外首测 动力充沛/性能出色</v>
      </c>
      <c r="C8830" s="2" t="s">
        <v>13</v>
      </c>
      <c r="D8830" s="2" t="s">
        <v>12</v>
      </c>
      <c r="E8830" s="2"/>
      <c r="F8830" s="2" t="str">
        <f>HYPERLINK("http://m.12365auto.com/xcdg/20200212/418345.shtml","http://m.12365auto.com/xcdg/20200212/418345.shtml")</f>
        <v>http://m.12365auto.com/xcdg/20200212/418345.shtml</v>
      </c>
      <c r="G8830" s="2"/>
      <c r="H8830" s="2" t="s">
        <v>12012</v>
      </c>
      <c r="I8830" s="2" t="s">
        <v>19</v>
      </c>
      <c r="J8830" s="2" t="s">
        <v>702</v>
      </c>
      <c r="K8830" s="2" t="s">
        <v>12011</v>
      </c>
      <c r="L8830" s="2">
        <f t="shared" si="137"/>
        <v>150</v>
      </c>
    </row>
    <row r="8831" spans="1:12" ht="25" customHeight="1">
      <c r="A8831" s="2" t="s">
        <v>12</v>
      </c>
      <c r="B8831" s="2" t="str">
        <f>HYPERLINK("http://www.12365auto.com/zlts/20200212/446957.shtml","郑州日产途达电瓶亏电无法启动已有两次了")</f>
        <v>郑州日产途达电瓶亏电无法启动已有两次了</v>
      </c>
      <c r="C8831" s="2" t="s">
        <v>13</v>
      </c>
      <c r="D8831" s="2" t="s">
        <v>12</v>
      </c>
      <c r="E8831" s="2" t="s">
        <v>17</v>
      </c>
      <c r="F8831" s="2" t="str">
        <f>HYPERLINK("http://www.12365auto.com/zlts/20200212/446957.shtml","http://www.12365auto.com/zlts/20200212/446957.shtml")</f>
        <v>http://www.12365auto.com/zlts/20200212/446957.shtml</v>
      </c>
      <c r="G8831" s="2"/>
      <c r="H8831" s="2" t="s">
        <v>12013</v>
      </c>
      <c r="I8831" s="2" t="s">
        <v>15</v>
      </c>
      <c r="J8831" s="2" t="s">
        <v>12</v>
      </c>
      <c r="K8831" s="2" t="s">
        <v>12014</v>
      </c>
      <c r="L8831" s="2">
        <f t="shared" si="137"/>
        <v>150</v>
      </c>
    </row>
    <row r="8832" spans="1:12" ht="25" customHeight="1">
      <c r="A8832" s="2" t="s">
        <v>12</v>
      </c>
      <c r="B8832" s="2" t="str">
        <f>HYPERLINK("http://www.12365auto.com/news/20200212/418344.shtml","丰田控股斯巴鲁:持股增至20% 继续独立")</f>
        <v>丰田控股斯巴鲁:持股增至20% 继续独立</v>
      </c>
      <c r="C8832" s="2" t="s">
        <v>13</v>
      </c>
      <c r="D8832" s="2" t="s">
        <v>12</v>
      </c>
      <c r="E8832" s="2" t="s">
        <v>276</v>
      </c>
      <c r="F8832" s="2" t="str">
        <f>HYPERLINK("http://www.12365auto.com/news/20200212/418344.shtml","http://www.12365auto.com/news/20200212/418344.shtml")</f>
        <v>http://www.12365auto.com/news/20200212/418344.shtml</v>
      </c>
      <c r="G8832" s="2"/>
      <c r="H8832" s="2" t="s">
        <v>12015</v>
      </c>
      <c r="I8832" s="2" t="s">
        <v>15</v>
      </c>
      <c r="J8832" s="2" t="s">
        <v>12</v>
      </c>
      <c r="K8832" s="2" t="s">
        <v>12016</v>
      </c>
      <c r="L8832" s="2">
        <f t="shared" si="137"/>
        <v>150</v>
      </c>
    </row>
    <row r="8833" spans="1:12" ht="25" customHeight="1">
      <c r="A8833" s="2" t="s">
        <v>12</v>
      </c>
      <c r="B8833" s="2" t="str">
        <f>HYPERLINK("http://m.12365auto.com/news/20200212/418344.shtml","丰田控股斯巴鲁:持股增至20% 继续独立")</f>
        <v>丰田控股斯巴鲁:持股增至20% 继续独立</v>
      </c>
      <c r="C8833" s="2" t="s">
        <v>13</v>
      </c>
      <c r="D8833" s="2" t="s">
        <v>12</v>
      </c>
      <c r="E8833" s="2"/>
      <c r="F8833" s="2" t="str">
        <f>HYPERLINK("http://m.12365auto.com/news/20200212/418344.shtml","http://m.12365auto.com/news/20200212/418344.shtml")</f>
        <v>http://m.12365auto.com/news/20200212/418344.shtml</v>
      </c>
      <c r="G8833" s="2"/>
      <c r="H8833" s="2" t="s">
        <v>12017</v>
      </c>
      <c r="I8833" s="2" t="s">
        <v>19</v>
      </c>
      <c r="J8833" s="2" t="s">
        <v>12018</v>
      </c>
      <c r="K8833" s="2" t="s">
        <v>12016</v>
      </c>
      <c r="L8833" s="2">
        <f t="shared" si="137"/>
        <v>150</v>
      </c>
    </row>
    <row r="8834" spans="1:12" ht="25" customHeight="1">
      <c r="A8834" s="2" t="s">
        <v>12</v>
      </c>
      <c r="B8834" s="2" t="str">
        <f>HYPERLINK("http://www.12365auto.com/zlts/20200212/446948.shtml","仪表台衬板开胶，翘起。")</f>
        <v>仪表台衬板开胶，翘起。</v>
      </c>
      <c r="C8834" s="2" t="s">
        <v>13</v>
      </c>
      <c r="D8834" s="2" t="s">
        <v>12</v>
      </c>
      <c r="E8834" s="2"/>
      <c r="F8834" s="2" t="str">
        <f>HYPERLINK("http://www.12365auto.com/zlts/20200212/446948.shtml","http://www.12365auto.com/zlts/20200212/446948.shtml")</f>
        <v>http://www.12365auto.com/zlts/20200212/446948.shtml</v>
      </c>
      <c r="G8834" s="2"/>
      <c r="H8834" s="2" t="s">
        <v>12020</v>
      </c>
      <c r="I8834" s="2" t="s">
        <v>15</v>
      </c>
      <c r="J8834" s="2" t="s">
        <v>12</v>
      </c>
      <c r="K8834" s="2" t="s">
        <v>12019</v>
      </c>
      <c r="L8834" s="2">
        <f t="shared" si="137"/>
        <v>82</v>
      </c>
    </row>
    <row r="8835" spans="1:12" ht="25" customHeight="1">
      <c r="A8835" s="2" t="s">
        <v>12</v>
      </c>
      <c r="B8835" s="2" t="str">
        <f>HYPERLINK("http://www.12365auto.com/xcdg/20200212/418343.shtml","关于全新一代瑞虎7 你应该知道的一切")</f>
        <v>关于全新一代瑞虎7 你应该知道的一切</v>
      </c>
      <c r="C8835" s="2" t="s">
        <v>13</v>
      </c>
      <c r="D8835" s="2" t="s">
        <v>12</v>
      </c>
      <c r="E8835" s="2" t="s">
        <v>216</v>
      </c>
      <c r="F8835" s="2" t="str">
        <f>HYPERLINK("http://www.12365auto.com/xcdg/20200212/418343.shtml","http://www.12365auto.com/xcdg/20200212/418343.shtml")</f>
        <v>http://www.12365auto.com/xcdg/20200212/418343.shtml</v>
      </c>
      <c r="G8835" s="2"/>
      <c r="H8835" s="2" t="s">
        <v>12021</v>
      </c>
      <c r="I8835" s="2" t="s">
        <v>15</v>
      </c>
      <c r="J8835" s="2" t="s">
        <v>12</v>
      </c>
      <c r="K8835" s="2" t="s">
        <v>12022</v>
      </c>
      <c r="L8835" s="2">
        <f t="shared" ref="L8835:L8898" si="138">LEN(H8835)</f>
        <v>150</v>
      </c>
    </row>
    <row r="8836" spans="1:12" ht="25" customHeight="1">
      <c r="A8836" s="2" t="s">
        <v>12</v>
      </c>
      <c r="B8836" s="2" t="str">
        <f>HYPERLINK("http://m.12365auto.com/xcdg/20200212/418343.shtml","关于全新一代瑞虎7 你应该知道的一切")</f>
        <v>关于全新一代瑞虎7 你应该知道的一切</v>
      </c>
      <c r="C8836" s="2" t="s">
        <v>13</v>
      </c>
      <c r="D8836" s="2" t="s">
        <v>12</v>
      </c>
      <c r="E8836" s="2"/>
      <c r="F8836" s="2" t="str">
        <f>HYPERLINK("http://m.12365auto.com/xcdg/20200212/418343.shtml","http://m.12365auto.com/xcdg/20200212/418343.shtml")</f>
        <v>http://m.12365auto.com/xcdg/20200212/418343.shtml</v>
      </c>
      <c r="G8836" s="2"/>
      <c r="H8836" s="2" t="s">
        <v>12023</v>
      </c>
      <c r="I8836" s="2" t="s">
        <v>19</v>
      </c>
      <c r="J8836" s="2" t="s">
        <v>4467</v>
      </c>
      <c r="K8836" s="2" t="s">
        <v>12022</v>
      </c>
      <c r="L8836" s="2">
        <f t="shared" si="138"/>
        <v>150</v>
      </c>
    </row>
    <row r="8837" spans="1:12" ht="25" customHeight="1">
      <c r="A8837" s="2" t="s">
        <v>12</v>
      </c>
      <c r="B8837" s="2" t="str">
        <f>HYPERLINK("http://m.12365auto.com/xcdg/20200212/418342.shtml","内外皆有升级 新款捷豹F-TYPE车展发布")</f>
        <v>内外皆有升级 新款捷豹F-TYPE车展发布</v>
      </c>
      <c r="C8837" s="2" t="s">
        <v>13</v>
      </c>
      <c r="D8837" s="2" t="s">
        <v>12</v>
      </c>
      <c r="E8837" s="2"/>
      <c r="F8837" s="2" t="str">
        <f>HYPERLINK("http://m.12365auto.com/xcdg/20200212/418342.shtml","http://m.12365auto.com/xcdg/20200212/418342.shtml")</f>
        <v>http://m.12365auto.com/xcdg/20200212/418342.shtml</v>
      </c>
      <c r="G8837" s="2"/>
      <c r="H8837" s="2" t="s">
        <v>12024</v>
      </c>
      <c r="I8837" s="2" t="s">
        <v>19</v>
      </c>
      <c r="J8837" s="2" t="s">
        <v>4467</v>
      </c>
      <c r="K8837" s="2" t="s">
        <v>12025</v>
      </c>
      <c r="L8837" s="2">
        <f t="shared" si="138"/>
        <v>150</v>
      </c>
    </row>
    <row r="8838" spans="1:12" ht="25" customHeight="1">
      <c r="A8838" s="2" t="s">
        <v>12</v>
      </c>
      <c r="B8838" s="2" t="str">
        <f>HYPERLINK("http://www.12365auto.com/xcdg/20200212/418342.shtml","内外皆有升级 新款捷豹F-TYPE车展发布")</f>
        <v>内外皆有升级 新款捷豹F-TYPE车展发布</v>
      </c>
      <c r="C8838" s="2" t="s">
        <v>13</v>
      </c>
      <c r="D8838" s="2" t="s">
        <v>12</v>
      </c>
      <c r="E8838" s="2" t="s">
        <v>216</v>
      </c>
      <c r="F8838" s="2" t="str">
        <f>HYPERLINK("http://www.12365auto.com/xcdg/20200212/418342.shtml","http://www.12365auto.com/xcdg/20200212/418342.shtml")</f>
        <v>http://www.12365auto.com/xcdg/20200212/418342.shtml</v>
      </c>
      <c r="G8838" s="2"/>
      <c r="H8838" s="2" t="s">
        <v>12026</v>
      </c>
      <c r="I8838" s="2" t="s">
        <v>15</v>
      </c>
      <c r="J8838" s="2" t="s">
        <v>12</v>
      </c>
      <c r="K8838" s="2" t="s">
        <v>12025</v>
      </c>
      <c r="L8838" s="2">
        <f t="shared" si="138"/>
        <v>150</v>
      </c>
    </row>
    <row r="8839" spans="1:12" ht="25" customHeight="1">
      <c r="A8839" s="2" t="s">
        <v>12</v>
      </c>
      <c r="B8839" s="2" t="str">
        <f>HYPERLINK("http://bbs.12365auto.com/postcontent.aspx?tId=193901","全新的汽车体验 联网汽车时代即将到来")</f>
        <v>全新的汽车体验 联网汽车时代即将到来</v>
      </c>
      <c r="C8839" s="2" t="s">
        <v>13</v>
      </c>
      <c r="D8839" s="2" t="s">
        <v>12</v>
      </c>
      <c r="E8839" s="2" t="s">
        <v>4212</v>
      </c>
      <c r="F8839" s="2" t="str">
        <f>HYPERLINK("http://bbs.12365auto.com/postcontent.aspx?tId=193901","http://bbs.12365auto.com/postcontent.aspx?tId=193901")</f>
        <v>http://bbs.12365auto.com/postcontent.aspx?tId=193901</v>
      </c>
      <c r="G8839" s="2"/>
      <c r="H8839" s="2" t="s">
        <v>12027</v>
      </c>
      <c r="I8839" s="2" t="s">
        <v>15</v>
      </c>
      <c r="J8839" s="2" t="s">
        <v>2651</v>
      </c>
      <c r="K8839" s="2" t="s">
        <v>12028</v>
      </c>
      <c r="L8839" s="2">
        <f t="shared" si="138"/>
        <v>150</v>
      </c>
    </row>
    <row r="8840" spans="1:12" ht="25" customHeight="1">
      <c r="A8840" s="2" t="s">
        <v>12</v>
      </c>
      <c r="B8840" s="2" t="str">
        <f>HYPERLINK("http://bbs.12365auto.com/postcontent.aspx?tId=193902","汽车都有哪几种驱动方式 各有什么优缺点")</f>
        <v>汽车都有哪几种驱动方式 各有什么优缺点</v>
      </c>
      <c r="C8840" s="2" t="s">
        <v>13</v>
      </c>
      <c r="D8840" s="2" t="s">
        <v>12</v>
      </c>
      <c r="E8840" s="2" t="s">
        <v>4212</v>
      </c>
      <c r="F8840" s="2" t="str">
        <f>HYPERLINK("http://bbs.12365auto.com/postcontent.aspx?tId=193902","http://bbs.12365auto.com/postcontent.aspx?tId=193902")</f>
        <v>http://bbs.12365auto.com/postcontent.aspx?tId=193902</v>
      </c>
      <c r="G8840" s="2"/>
      <c r="H8840" s="2" t="s">
        <v>12029</v>
      </c>
      <c r="I8840" s="2" t="s">
        <v>15</v>
      </c>
      <c r="J8840" s="2" t="s">
        <v>2651</v>
      </c>
      <c r="K8840" s="2" t="s">
        <v>12028</v>
      </c>
      <c r="L8840" s="2">
        <f t="shared" si="138"/>
        <v>150</v>
      </c>
    </row>
    <row r="8841" spans="1:12" ht="25" customHeight="1">
      <c r="A8841" s="2" t="s">
        <v>12</v>
      </c>
      <c r="B8841" s="2" t="str">
        <f>HYPERLINK("http://m.12365auto.com/xcdg/20200212/418341.shtml","BAC Mono最终版官图发布 将亮相日内瓦车展")</f>
        <v>BAC Mono最终版官图发布 将亮相日内瓦车展</v>
      </c>
      <c r="C8841" s="2" t="s">
        <v>13</v>
      </c>
      <c r="D8841" s="2" t="s">
        <v>12</v>
      </c>
      <c r="E8841" s="2"/>
      <c r="F8841" s="2" t="str">
        <f>HYPERLINK("http://m.12365auto.com/xcdg/20200212/418341.shtml","http://m.12365auto.com/xcdg/20200212/418341.shtml")</f>
        <v>http://m.12365auto.com/xcdg/20200212/418341.shtml</v>
      </c>
      <c r="G8841" s="2"/>
      <c r="H8841" s="2" t="s">
        <v>12030</v>
      </c>
      <c r="I8841" s="2" t="s">
        <v>19</v>
      </c>
      <c r="J8841" s="2" t="s">
        <v>1701</v>
      </c>
      <c r="K8841" s="2" t="s">
        <v>12028</v>
      </c>
      <c r="L8841" s="2">
        <f t="shared" si="138"/>
        <v>150</v>
      </c>
    </row>
    <row r="8842" spans="1:12" ht="25" customHeight="1">
      <c r="A8842" s="2" t="s">
        <v>12</v>
      </c>
      <c r="B8842" s="2" t="str">
        <f>HYPERLINK("http://www.12365auto.com/xcdg/20200212/418341.shtml","BAC Mono最终版官图发布 将亮相日内瓦车展")</f>
        <v>BAC Mono最终版官图发布 将亮相日内瓦车展</v>
      </c>
      <c r="C8842" s="2" t="s">
        <v>13</v>
      </c>
      <c r="D8842" s="2" t="s">
        <v>12</v>
      </c>
      <c r="E8842" s="2" t="s">
        <v>216</v>
      </c>
      <c r="F8842" s="2" t="str">
        <f>HYPERLINK("http://www.12365auto.com/xcdg/20200212/418341.shtml","http://www.12365auto.com/xcdg/20200212/418341.shtml")</f>
        <v>http://www.12365auto.com/xcdg/20200212/418341.shtml</v>
      </c>
      <c r="G8842" s="2"/>
      <c r="H8842" s="2" t="s">
        <v>12031</v>
      </c>
      <c r="I8842" s="2" t="s">
        <v>15</v>
      </c>
      <c r="J8842" s="2" t="s">
        <v>12</v>
      </c>
      <c r="K8842" s="2" t="s">
        <v>12028</v>
      </c>
      <c r="L8842" s="2">
        <f t="shared" si="138"/>
        <v>150</v>
      </c>
    </row>
    <row r="8843" spans="1:12" ht="25" customHeight="1">
      <c r="A8843" s="2" t="s">
        <v>12</v>
      </c>
      <c r="B8843" s="2" t="str">
        <f>HYPERLINK("http://bbs.12365auto.com/postcontent.aspx?tID=193901","全新的汽车体验 联网汽车时代即将到来")</f>
        <v>全新的汽车体验 联网汽车时代即将到来</v>
      </c>
      <c r="C8843" s="2" t="s">
        <v>13</v>
      </c>
      <c r="D8843" s="2" t="s">
        <v>12</v>
      </c>
      <c r="E8843" s="2" t="s">
        <v>4209</v>
      </c>
      <c r="F8843" s="2" t="str">
        <f>HYPERLINK("http://bbs.12365auto.com/postcontent.aspx?tID=193901","http://bbs.12365auto.com/postcontent.aspx?tID=193901")</f>
        <v>http://bbs.12365auto.com/postcontent.aspx?tID=193901</v>
      </c>
      <c r="G8843" s="2"/>
      <c r="H8843" s="2" t="s">
        <v>12032</v>
      </c>
      <c r="I8843" s="2" t="s">
        <v>15</v>
      </c>
      <c r="J8843" s="2" t="s">
        <v>2651</v>
      </c>
      <c r="K8843" s="2" t="s">
        <v>12028</v>
      </c>
      <c r="L8843" s="2">
        <f t="shared" si="138"/>
        <v>150</v>
      </c>
    </row>
    <row r="8844" spans="1:12" ht="25" customHeight="1">
      <c r="A8844" s="2" t="s">
        <v>12</v>
      </c>
      <c r="B8844" s="2" t="str">
        <f>HYPERLINK("http://bbs.12365auto.com/postcontent.aspx?tID=193902","汽车都有哪几种驱动方式 各有什么优缺点")</f>
        <v>汽车都有哪几种驱动方式 各有什么优缺点</v>
      </c>
      <c r="C8844" s="2" t="s">
        <v>13</v>
      </c>
      <c r="D8844" s="2" t="s">
        <v>12</v>
      </c>
      <c r="E8844" s="2" t="s">
        <v>4209</v>
      </c>
      <c r="F8844" s="2" t="str">
        <f>HYPERLINK("http://bbs.12365auto.com/postcontent.aspx?tID=193902","http://bbs.12365auto.com/postcontent.aspx?tID=193902")</f>
        <v>http://bbs.12365auto.com/postcontent.aspx?tID=193902</v>
      </c>
      <c r="G8844" s="2"/>
      <c r="H8844" s="2" t="s">
        <v>12033</v>
      </c>
      <c r="I8844" s="2" t="s">
        <v>15</v>
      </c>
      <c r="J8844" s="2" t="s">
        <v>2651</v>
      </c>
      <c r="K8844" s="2" t="s">
        <v>12028</v>
      </c>
      <c r="L8844" s="2">
        <f t="shared" si="138"/>
        <v>150</v>
      </c>
    </row>
    <row r="8845" spans="1:12" ht="25" customHeight="1">
      <c r="A8845" s="2" t="s">
        <v>12</v>
      </c>
      <c r="B8845" s="2" t="str">
        <f>HYPERLINK("http://m.12365auto.com/bbs/postcontent.aspx?tID=193902","汽车都有哪几种驱动方式 各有什么优缺点")</f>
        <v>汽车都有哪几种驱动方式 各有什么优缺点</v>
      </c>
      <c r="C8845" s="2" t="s">
        <v>13</v>
      </c>
      <c r="D8845" s="2" t="s">
        <v>23</v>
      </c>
      <c r="E8845" s="2"/>
      <c r="F8845" s="2" t="str">
        <f>HYPERLINK("http://m.12365auto.com/bbs/postcontent.aspx?tID=193902","http://m.12365auto.com/bbs/postcontent.aspx?tID=193902")</f>
        <v>http://m.12365auto.com/bbs/postcontent.aspx?tID=193902</v>
      </c>
      <c r="G8845" s="2"/>
      <c r="H8845" s="2" t="s">
        <v>12029</v>
      </c>
      <c r="I8845" s="2" t="s">
        <v>15</v>
      </c>
      <c r="J8845" s="2" t="s">
        <v>2651</v>
      </c>
      <c r="K8845" s="2" t="s">
        <v>12028</v>
      </c>
      <c r="L8845" s="2">
        <f t="shared" si="138"/>
        <v>150</v>
      </c>
    </row>
    <row r="8846" spans="1:12" ht="25" customHeight="1">
      <c r="A8846" s="2" t="s">
        <v>12</v>
      </c>
      <c r="B8846" s="2" t="str">
        <f>HYPERLINK("http://m.12365auto.com/bbs/postcontent.aspx?tID=193901","全新的汽车体验 联网汽车时代即将到来")</f>
        <v>全新的汽车体验 联网汽车时代即将到来</v>
      </c>
      <c r="C8846" s="2" t="s">
        <v>13</v>
      </c>
      <c r="D8846" s="2" t="s">
        <v>23</v>
      </c>
      <c r="E8846" s="2"/>
      <c r="F8846" s="2" t="str">
        <f>HYPERLINK("http://m.12365auto.com/bbs/postcontent.aspx?tID=193901","http://m.12365auto.com/bbs/postcontent.aspx?tID=193901")</f>
        <v>http://m.12365auto.com/bbs/postcontent.aspx?tID=193901</v>
      </c>
      <c r="G8846" s="2"/>
      <c r="H8846" s="2" t="s">
        <v>12027</v>
      </c>
      <c r="I8846" s="2" t="s">
        <v>15</v>
      </c>
      <c r="J8846" s="2" t="s">
        <v>2651</v>
      </c>
      <c r="K8846" s="2" t="s">
        <v>12028</v>
      </c>
      <c r="L8846" s="2">
        <f t="shared" si="138"/>
        <v>150</v>
      </c>
    </row>
    <row r="8847" spans="1:12" ht="25" customHeight="1">
      <c r="A8847" s="2" t="s">
        <v>12</v>
      </c>
      <c r="B8847" s="2" t="str">
        <f>HYPERLINK("http://m.12365auto.com/bbs/postcontent.aspx?tID=193897","影响动力电池轻量化设计的关键是什么")</f>
        <v>影响动力电池轻量化设计的关键是什么</v>
      </c>
      <c r="C8847" s="2" t="s">
        <v>13</v>
      </c>
      <c r="D8847" s="2" t="s">
        <v>23</v>
      </c>
      <c r="E8847" s="2"/>
      <c r="F8847" s="2" t="str">
        <f>HYPERLINK("http://m.12365auto.com/bbs/postcontent.aspx?tID=193897","http://m.12365auto.com/bbs/postcontent.aspx?tID=193897")</f>
        <v>http://m.12365auto.com/bbs/postcontent.aspx?tID=193897</v>
      </c>
      <c r="G8847" s="2"/>
      <c r="H8847" s="2" t="s">
        <v>12034</v>
      </c>
      <c r="I8847" s="2" t="s">
        <v>15</v>
      </c>
      <c r="J8847" s="2" t="s">
        <v>2651</v>
      </c>
      <c r="K8847" s="2" t="s">
        <v>12035</v>
      </c>
      <c r="L8847" s="2">
        <f t="shared" si="138"/>
        <v>150</v>
      </c>
    </row>
    <row r="8848" spans="1:12" ht="25" customHeight="1">
      <c r="A8848" s="2" t="s">
        <v>12</v>
      </c>
      <c r="B8848" s="2" t="str">
        <f>HYPERLINK("http://bbs.12365auto.com/postcontent.aspx?tId=193898","目前对于新能源车你还希望增加哪些配置")</f>
        <v>目前对于新能源车你还希望增加哪些配置</v>
      </c>
      <c r="C8848" s="2" t="s">
        <v>13</v>
      </c>
      <c r="D8848" s="2" t="s">
        <v>12</v>
      </c>
      <c r="E8848" s="2" t="s">
        <v>4212</v>
      </c>
      <c r="F8848" s="2" t="str">
        <f>HYPERLINK("http://bbs.12365auto.com/postcontent.aspx?tId=193898","http://bbs.12365auto.com/postcontent.aspx?tId=193898")</f>
        <v>http://bbs.12365auto.com/postcontent.aspx?tId=193898</v>
      </c>
      <c r="G8848" s="2"/>
      <c r="H8848" s="2" t="s">
        <v>12036</v>
      </c>
      <c r="I8848" s="2" t="s">
        <v>15</v>
      </c>
      <c r="J8848" s="2" t="s">
        <v>2651</v>
      </c>
      <c r="K8848" s="2" t="s">
        <v>12035</v>
      </c>
      <c r="L8848" s="2">
        <f t="shared" si="138"/>
        <v>150</v>
      </c>
    </row>
    <row r="8849" spans="1:12" ht="25" customHeight="1">
      <c r="A8849" s="2" t="s">
        <v>12</v>
      </c>
      <c r="B8849" s="2" t="str">
        <f>HYPERLINK("http://bbs.12365auto.com/postcontent.aspx?tId=193899","纯电超跑新悍将")</f>
        <v>纯电超跑新悍将</v>
      </c>
      <c r="C8849" s="2" t="s">
        <v>13</v>
      </c>
      <c r="D8849" s="2" t="s">
        <v>12</v>
      </c>
      <c r="E8849" s="2" t="s">
        <v>27</v>
      </c>
      <c r="F8849" s="2" t="str">
        <f>HYPERLINK("http://bbs.12365auto.com/postcontent.aspx?tId=193899","http://bbs.12365auto.com/postcontent.aspx?tId=193899")</f>
        <v>http://bbs.12365auto.com/postcontent.aspx?tId=193899</v>
      </c>
      <c r="G8849" s="2"/>
      <c r="H8849" s="2" t="s">
        <v>12037</v>
      </c>
      <c r="I8849" s="2" t="s">
        <v>15</v>
      </c>
      <c r="J8849" s="2" t="s">
        <v>5640</v>
      </c>
      <c r="K8849" s="2" t="s">
        <v>12035</v>
      </c>
      <c r="L8849" s="2">
        <f t="shared" si="138"/>
        <v>150</v>
      </c>
    </row>
    <row r="8850" spans="1:12" ht="25" customHeight="1">
      <c r="A8850" s="2" t="s">
        <v>12</v>
      </c>
      <c r="B8850" s="2" t="str">
        <f>HYPERLINK("http://bbs.12365auto.com/postcontent.aspx?tId=193900","信我 别买电动车")</f>
        <v>信我 别买电动车</v>
      </c>
      <c r="C8850" s="2" t="s">
        <v>13</v>
      </c>
      <c r="D8850" s="2" t="s">
        <v>12</v>
      </c>
      <c r="E8850" s="2" t="s">
        <v>27</v>
      </c>
      <c r="F8850" s="2" t="str">
        <f>HYPERLINK("http://bbs.12365auto.com/postcontent.aspx?tId=193900","http://bbs.12365auto.com/postcontent.aspx?tId=193900")</f>
        <v>http://bbs.12365auto.com/postcontent.aspx?tId=193900</v>
      </c>
      <c r="G8850" s="2"/>
      <c r="H8850" s="2" t="s">
        <v>12038</v>
      </c>
      <c r="I8850" s="2" t="s">
        <v>15</v>
      </c>
      <c r="J8850" s="2" t="s">
        <v>5640</v>
      </c>
      <c r="K8850" s="2" t="s">
        <v>12035</v>
      </c>
      <c r="L8850" s="2">
        <f t="shared" si="138"/>
        <v>150</v>
      </c>
    </row>
    <row r="8851" spans="1:12" ht="25" customHeight="1">
      <c r="A8851" s="2" t="s">
        <v>12</v>
      </c>
      <c r="B8851" s="2" t="str">
        <f>HYPERLINK("http://bbs.12365auto.com/postcontent.aspx?tId=193897","影响动力电池轻量化设计的关键是什么")</f>
        <v>影响动力电池轻量化设计的关键是什么</v>
      </c>
      <c r="C8851" s="2" t="s">
        <v>13</v>
      </c>
      <c r="D8851" s="2" t="s">
        <v>12</v>
      </c>
      <c r="E8851" s="2" t="s">
        <v>4212</v>
      </c>
      <c r="F8851" s="2" t="str">
        <f>HYPERLINK("http://bbs.12365auto.com/postcontent.aspx?tId=193897","http://bbs.12365auto.com/postcontent.aspx?tId=193897")</f>
        <v>http://bbs.12365auto.com/postcontent.aspx?tId=193897</v>
      </c>
      <c r="G8851" s="2"/>
      <c r="H8851" s="2" t="s">
        <v>12034</v>
      </c>
      <c r="I8851" s="2" t="s">
        <v>15</v>
      </c>
      <c r="J8851" s="2" t="s">
        <v>2651</v>
      </c>
      <c r="K8851" s="2" t="s">
        <v>12035</v>
      </c>
      <c r="L8851" s="2">
        <f t="shared" si="138"/>
        <v>150</v>
      </c>
    </row>
    <row r="8852" spans="1:12" ht="25" customHeight="1">
      <c r="A8852" s="2" t="s">
        <v>12</v>
      </c>
      <c r="B8852" s="2" t="str">
        <f>HYPERLINK("http://bbs.12365auto.com/postcontent.aspx?tID=193898","目前对于新能源车你还希望增加哪些配置")</f>
        <v>目前对于新能源车你还希望增加哪些配置</v>
      </c>
      <c r="C8852" s="2" t="s">
        <v>13</v>
      </c>
      <c r="D8852" s="2" t="s">
        <v>12</v>
      </c>
      <c r="E8852" s="2" t="s">
        <v>4209</v>
      </c>
      <c r="F8852" s="2" t="str">
        <f>HYPERLINK("http://bbs.12365auto.com/postcontent.aspx?tID=193898","http://bbs.12365auto.com/postcontent.aspx?tID=193898")</f>
        <v>http://bbs.12365auto.com/postcontent.aspx?tID=193898</v>
      </c>
      <c r="G8852" s="2"/>
      <c r="H8852" s="2" t="s">
        <v>12039</v>
      </c>
      <c r="I8852" s="2" t="s">
        <v>15</v>
      </c>
      <c r="J8852" s="2" t="s">
        <v>2651</v>
      </c>
      <c r="K8852" s="2" t="s">
        <v>12035</v>
      </c>
      <c r="L8852" s="2">
        <f t="shared" si="138"/>
        <v>150</v>
      </c>
    </row>
    <row r="8853" spans="1:12" ht="25" customHeight="1">
      <c r="A8853" s="2" t="s">
        <v>12</v>
      </c>
      <c r="B8853" s="2" t="str">
        <f>HYPERLINK("http://bbs.12365auto.com/postcontent.aspx?tID=193897","影响动力电池轻量化设计的关键是什么")</f>
        <v>影响动力电池轻量化设计的关键是什么</v>
      </c>
      <c r="C8853" s="2" t="s">
        <v>13</v>
      </c>
      <c r="D8853" s="2" t="s">
        <v>12</v>
      </c>
      <c r="E8853" s="2" t="s">
        <v>4209</v>
      </c>
      <c r="F8853" s="2" t="str">
        <f>HYPERLINK("http://bbs.12365auto.com/postcontent.aspx?tID=193897","http://bbs.12365auto.com/postcontent.aspx?tID=193897")</f>
        <v>http://bbs.12365auto.com/postcontent.aspx?tID=193897</v>
      </c>
      <c r="G8853" s="2"/>
      <c r="H8853" s="2" t="s">
        <v>12040</v>
      </c>
      <c r="I8853" s="2" t="s">
        <v>15</v>
      </c>
      <c r="J8853" s="2" t="s">
        <v>2651</v>
      </c>
      <c r="K8853" s="2" t="s">
        <v>12035</v>
      </c>
      <c r="L8853" s="2">
        <f t="shared" si="138"/>
        <v>150</v>
      </c>
    </row>
    <row r="8854" spans="1:12" ht="25" customHeight="1">
      <c r="A8854" s="2" t="s">
        <v>12</v>
      </c>
      <c r="B8854" s="2" t="str">
        <f>HYPERLINK("http://m.12365auto.com/xcdg/20200212/418340.shtml","布加迪新车型或命名为Chiron R 3月3日首发")</f>
        <v>布加迪新车型或命名为Chiron R 3月3日首发</v>
      </c>
      <c r="C8854" s="2" t="s">
        <v>13</v>
      </c>
      <c r="D8854" s="2" t="s">
        <v>12</v>
      </c>
      <c r="E8854" s="2"/>
      <c r="F8854" s="2" t="str">
        <f>HYPERLINK("http://m.12365auto.com/xcdg/20200212/418340.shtml","http://m.12365auto.com/xcdg/20200212/418340.shtml")</f>
        <v>http://m.12365auto.com/xcdg/20200212/418340.shtml</v>
      </c>
      <c r="G8854" s="2"/>
      <c r="H8854" s="2" t="s">
        <v>12041</v>
      </c>
      <c r="I8854" s="2" t="s">
        <v>19</v>
      </c>
      <c r="J8854" s="2" t="s">
        <v>1701</v>
      </c>
      <c r="K8854" s="2" t="s">
        <v>12035</v>
      </c>
      <c r="L8854" s="2">
        <f t="shared" si="138"/>
        <v>150</v>
      </c>
    </row>
    <row r="8855" spans="1:12" ht="25" customHeight="1">
      <c r="A8855" s="2" t="s">
        <v>12</v>
      </c>
      <c r="B8855" s="2" t="str">
        <f>HYPERLINK("http://www.12365auto.com/xcdg/20200212/418340.shtml","布加迪新车型或命名为Chiron R 3月3日首发")</f>
        <v>布加迪新车型或命名为Chiron R 3月3日首发</v>
      </c>
      <c r="C8855" s="2" t="s">
        <v>13</v>
      </c>
      <c r="D8855" s="2" t="s">
        <v>12</v>
      </c>
      <c r="E8855" s="2" t="s">
        <v>216</v>
      </c>
      <c r="F8855" s="2" t="str">
        <f>HYPERLINK("http://www.12365auto.com/xcdg/20200212/418340.shtml","http://www.12365auto.com/xcdg/20200212/418340.shtml")</f>
        <v>http://www.12365auto.com/xcdg/20200212/418340.shtml</v>
      </c>
      <c r="G8855" s="2"/>
      <c r="H8855" s="2" t="s">
        <v>12042</v>
      </c>
      <c r="I8855" s="2" t="s">
        <v>15</v>
      </c>
      <c r="J8855" s="2" t="s">
        <v>12</v>
      </c>
      <c r="K8855" s="2" t="s">
        <v>12035</v>
      </c>
      <c r="L8855" s="2">
        <f t="shared" si="138"/>
        <v>150</v>
      </c>
    </row>
    <row r="8856" spans="1:12" ht="25" customHeight="1">
      <c r="A8856" s="2" t="s">
        <v>12</v>
      </c>
      <c r="B8856" s="2" t="str">
        <f>HYPERLINK("http://bbs.12365auto.com/postcontent.aspx?tID=193899","纯电超跑新悍将")</f>
        <v>纯电超跑新悍将</v>
      </c>
      <c r="C8856" s="2" t="s">
        <v>13</v>
      </c>
      <c r="D8856" s="2" t="s">
        <v>12</v>
      </c>
      <c r="E8856" s="2" t="s">
        <v>28</v>
      </c>
      <c r="F8856" s="2" t="str">
        <f>HYPERLINK("http://bbs.12365auto.com/postcontent.aspx?tID=193899","http://bbs.12365auto.com/postcontent.aspx?tID=193899")</f>
        <v>http://bbs.12365auto.com/postcontent.aspx?tID=193899</v>
      </c>
      <c r="G8856" s="2"/>
      <c r="H8856" s="2" t="s">
        <v>12043</v>
      </c>
      <c r="I8856" s="2" t="s">
        <v>15</v>
      </c>
      <c r="J8856" s="2" t="s">
        <v>5640</v>
      </c>
      <c r="K8856" s="2" t="s">
        <v>12035</v>
      </c>
      <c r="L8856" s="2">
        <f t="shared" si="138"/>
        <v>150</v>
      </c>
    </row>
    <row r="8857" spans="1:12" ht="25" customHeight="1">
      <c r="A8857" s="2" t="s">
        <v>12</v>
      </c>
      <c r="B8857" s="2" t="str">
        <f>HYPERLINK("http://bbs.12365auto.com/postcontent.aspx?tID=193900","信我 别买电动车")</f>
        <v>信我 别买电动车</v>
      </c>
      <c r="C8857" s="2" t="s">
        <v>13</v>
      </c>
      <c r="D8857" s="2" t="s">
        <v>12</v>
      </c>
      <c r="E8857" s="2" t="s">
        <v>28</v>
      </c>
      <c r="F8857" s="2" t="str">
        <f>HYPERLINK("http://bbs.12365auto.com/postcontent.aspx?tID=193900","http://bbs.12365auto.com/postcontent.aspx?tID=193900")</f>
        <v>http://bbs.12365auto.com/postcontent.aspx?tID=193900</v>
      </c>
      <c r="G8857" s="2"/>
      <c r="H8857" s="2" t="s">
        <v>12044</v>
      </c>
      <c r="I8857" s="2" t="s">
        <v>15</v>
      </c>
      <c r="J8857" s="2" t="s">
        <v>5640</v>
      </c>
      <c r="K8857" s="2" t="s">
        <v>12035</v>
      </c>
      <c r="L8857" s="2">
        <f t="shared" si="138"/>
        <v>150</v>
      </c>
    </row>
    <row r="8858" spans="1:12" ht="25" customHeight="1">
      <c r="A8858" s="2" t="s">
        <v>12</v>
      </c>
      <c r="B8858" s="2" t="str">
        <f>HYPERLINK("http://m.12365auto.com/bbs/postcontent.aspx?tID=193900","信我 别买电动车")</f>
        <v>信我 别买电动车</v>
      </c>
      <c r="C8858" s="2" t="s">
        <v>13</v>
      </c>
      <c r="D8858" s="2" t="s">
        <v>23</v>
      </c>
      <c r="E8858" s="2"/>
      <c r="F8858" s="2" t="str">
        <f>HYPERLINK("http://m.12365auto.com/bbs/postcontent.aspx?tID=193900","http://m.12365auto.com/bbs/postcontent.aspx?tID=193900")</f>
        <v>http://m.12365auto.com/bbs/postcontent.aspx?tID=193900</v>
      </c>
      <c r="G8858" s="2"/>
      <c r="H8858" s="2" t="s">
        <v>12038</v>
      </c>
      <c r="I8858" s="2" t="s">
        <v>15</v>
      </c>
      <c r="J8858" s="2" t="s">
        <v>5640</v>
      </c>
      <c r="K8858" s="2" t="s">
        <v>12035</v>
      </c>
      <c r="L8858" s="2">
        <f t="shared" si="138"/>
        <v>150</v>
      </c>
    </row>
    <row r="8859" spans="1:12" ht="25" customHeight="1">
      <c r="A8859" s="2" t="s">
        <v>12</v>
      </c>
      <c r="B8859" s="2" t="str">
        <f>HYPERLINK("http://m.12365auto.com/bbs/postcontent.aspx?tID=193899","纯电超跑新悍将")</f>
        <v>纯电超跑新悍将</v>
      </c>
      <c r="C8859" s="2" t="s">
        <v>13</v>
      </c>
      <c r="D8859" s="2" t="s">
        <v>23</v>
      </c>
      <c r="E8859" s="2"/>
      <c r="F8859" s="2" t="str">
        <f>HYPERLINK("http://m.12365auto.com/bbs/postcontent.aspx?tID=193899","http://m.12365auto.com/bbs/postcontent.aspx?tID=193899")</f>
        <v>http://m.12365auto.com/bbs/postcontent.aspx?tID=193899</v>
      </c>
      <c r="G8859" s="2"/>
      <c r="H8859" s="2" t="s">
        <v>12037</v>
      </c>
      <c r="I8859" s="2" t="s">
        <v>15</v>
      </c>
      <c r="J8859" s="2" t="s">
        <v>5640</v>
      </c>
      <c r="K8859" s="2" t="s">
        <v>12035</v>
      </c>
      <c r="L8859" s="2">
        <f t="shared" si="138"/>
        <v>150</v>
      </c>
    </row>
    <row r="8860" spans="1:12" ht="25" customHeight="1">
      <c r="A8860" s="2" t="s">
        <v>12</v>
      </c>
      <c r="B8860" s="2" t="str">
        <f>HYPERLINK("http://m.12365auto.com/bbs/postcontent.aspx?tID=193898","目前对于新能源车你还希望增加哪些配置")</f>
        <v>目前对于新能源车你还希望增加哪些配置</v>
      </c>
      <c r="C8860" s="2" t="s">
        <v>13</v>
      </c>
      <c r="D8860" s="2" t="s">
        <v>23</v>
      </c>
      <c r="E8860" s="2"/>
      <c r="F8860" s="2" t="str">
        <f>HYPERLINK("http://m.12365auto.com/bbs/postcontent.aspx?tID=193898","http://m.12365auto.com/bbs/postcontent.aspx?tID=193898")</f>
        <v>http://m.12365auto.com/bbs/postcontent.aspx?tID=193898</v>
      </c>
      <c r="G8860" s="2"/>
      <c r="H8860" s="2" t="s">
        <v>12036</v>
      </c>
      <c r="I8860" s="2" t="s">
        <v>15</v>
      </c>
      <c r="J8860" s="2" t="s">
        <v>2651</v>
      </c>
      <c r="K8860" s="2" t="s">
        <v>12035</v>
      </c>
      <c r="L8860" s="2">
        <f t="shared" si="138"/>
        <v>150</v>
      </c>
    </row>
    <row r="8861" spans="1:12" ht="25" customHeight="1">
      <c r="A8861" s="2" t="s">
        <v>12</v>
      </c>
      <c r="B8861" s="2" t="str">
        <f>HYPERLINK("http://m.12365auto.com/bbs/postcontent.aspx?tID=193893","跑滴滴用纯电动汽车划算还是用燃油车划算")</f>
        <v>跑滴滴用纯电动汽车划算还是用燃油车划算</v>
      </c>
      <c r="C8861" s="2" t="s">
        <v>13</v>
      </c>
      <c r="D8861" s="2" t="s">
        <v>23</v>
      </c>
      <c r="E8861" s="2"/>
      <c r="F8861" s="2" t="str">
        <f>HYPERLINK("http://m.12365auto.com/bbs/postcontent.aspx?tID=193893","http://m.12365auto.com/bbs/postcontent.aspx?tID=193893")</f>
        <v>http://m.12365auto.com/bbs/postcontent.aspx?tID=193893</v>
      </c>
      <c r="G8861" s="2"/>
      <c r="H8861" s="2" t="s">
        <v>12045</v>
      </c>
      <c r="I8861" s="2" t="s">
        <v>15</v>
      </c>
      <c r="J8861" s="2" t="s">
        <v>2651</v>
      </c>
      <c r="K8861" s="2" t="s">
        <v>12046</v>
      </c>
      <c r="L8861" s="2">
        <f t="shared" si="138"/>
        <v>150</v>
      </c>
    </row>
    <row r="8862" spans="1:12" ht="25" customHeight="1">
      <c r="A8862" s="2" t="s">
        <v>12</v>
      </c>
      <c r="B8862" s="2" t="str">
        <f>HYPERLINK("http://m.12365auto.com/bbs/postcontent.aspx?tID=193895","新能源汽车的安全性能由什么决定")</f>
        <v>新能源汽车的安全性能由什么决定</v>
      </c>
      <c r="C8862" s="2" t="s">
        <v>13</v>
      </c>
      <c r="D8862" s="2" t="s">
        <v>23</v>
      </c>
      <c r="E8862" s="2"/>
      <c r="F8862" s="2" t="str">
        <f>HYPERLINK("http://m.12365auto.com/bbs/postcontent.aspx?tID=193895","http://m.12365auto.com/bbs/postcontent.aspx?tID=193895")</f>
        <v>http://m.12365auto.com/bbs/postcontent.aspx?tID=193895</v>
      </c>
      <c r="G8862" s="2"/>
      <c r="H8862" s="2" t="s">
        <v>12047</v>
      </c>
      <c r="I8862" s="2" t="s">
        <v>15</v>
      </c>
      <c r="J8862" s="2" t="s">
        <v>2651</v>
      </c>
      <c r="K8862" s="2" t="s">
        <v>12046</v>
      </c>
      <c r="L8862" s="2">
        <f t="shared" si="138"/>
        <v>150</v>
      </c>
    </row>
    <row r="8863" spans="1:12" ht="25" customHeight="1">
      <c r="A8863" s="2" t="s">
        <v>12</v>
      </c>
      <c r="B8863" s="2" t="str">
        <f>HYPERLINK("http://m.12365auto.com/bbs/postcontent.aspx?tID=193894","这些车看起来很贵")</f>
        <v>这些车看起来很贵</v>
      </c>
      <c r="C8863" s="2" t="s">
        <v>13</v>
      </c>
      <c r="D8863" s="2" t="s">
        <v>23</v>
      </c>
      <c r="E8863" s="2"/>
      <c r="F8863" s="2" t="str">
        <f>HYPERLINK("http://m.12365auto.com/bbs/postcontent.aspx?tID=193894","http://m.12365auto.com/bbs/postcontent.aspx?tID=193894")</f>
        <v>http://m.12365auto.com/bbs/postcontent.aspx?tID=193894</v>
      </c>
      <c r="G8863" s="2"/>
      <c r="H8863" s="2" t="s">
        <v>12048</v>
      </c>
      <c r="I8863" s="2" t="s">
        <v>15</v>
      </c>
      <c r="J8863" s="2" t="s">
        <v>5640</v>
      </c>
      <c r="K8863" s="2" t="s">
        <v>12046</v>
      </c>
      <c r="L8863" s="2">
        <f t="shared" si="138"/>
        <v>150</v>
      </c>
    </row>
    <row r="8864" spans="1:12" ht="25" customHeight="1">
      <c r="A8864" s="2" t="s">
        <v>12</v>
      </c>
      <c r="B8864" s="2" t="str">
        <f>HYPERLINK("http://bbs.12365auto.com/postcontent.aspx?tId=193896","轿车保值率新鲜出炉")</f>
        <v>轿车保值率新鲜出炉</v>
      </c>
      <c r="C8864" s="2" t="s">
        <v>13</v>
      </c>
      <c r="D8864" s="2" t="s">
        <v>12</v>
      </c>
      <c r="E8864" s="2" t="s">
        <v>27</v>
      </c>
      <c r="F8864" s="2" t="str">
        <f>HYPERLINK("http://bbs.12365auto.com/postcontent.aspx?tId=193896","http://bbs.12365auto.com/postcontent.aspx?tId=193896")</f>
        <v>http://bbs.12365auto.com/postcontent.aspx?tId=193896</v>
      </c>
      <c r="G8864" s="2"/>
      <c r="H8864" s="2" t="s">
        <v>3743</v>
      </c>
      <c r="I8864" s="2" t="s">
        <v>15</v>
      </c>
      <c r="J8864" s="2" t="s">
        <v>5640</v>
      </c>
      <c r="K8864" s="2" t="s">
        <v>12046</v>
      </c>
      <c r="L8864" s="2">
        <f t="shared" si="138"/>
        <v>150</v>
      </c>
    </row>
    <row r="8865" spans="1:12" ht="25" customHeight="1">
      <c r="A8865" s="2" t="s">
        <v>12</v>
      </c>
      <c r="B8865" s="2" t="str">
        <f>HYPERLINK("http://bbs.12365auto.com/postcontent.aspx?tId=193894","这些车看起来很贵")</f>
        <v>这些车看起来很贵</v>
      </c>
      <c r="C8865" s="2" t="s">
        <v>13</v>
      </c>
      <c r="D8865" s="2" t="s">
        <v>12</v>
      </c>
      <c r="E8865" s="2" t="s">
        <v>27</v>
      </c>
      <c r="F8865" s="2" t="str">
        <f>HYPERLINK("http://bbs.12365auto.com/postcontent.aspx?tId=193894","http://bbs.12365auto.com/postcontent.aspx?tId=193894")</f>
        <v>http://bbs.12365auto.com/postcontent.aspx?tId=193894</v>
      </c>
      <c r="G8865" s="2"/>
      <c r="H8865" s="2" t="s">
        <v>12048</v>
      </c>
      <c r="I8865" s="2" t="s">
        <v>15</v>
      </c>
      <c r="J8865" s="2" t="s">
        <v>5640</v>
      </c>
      <c r="K8865" s="2" t="s">
        <v>12046</v>
      </c>
      <c r="L8865" s="2">
        <f t="shared" si="138"/>
        <v>150</v>
      </c>
    </row>
    <row r="8866" spans="1:12" ht="25" customHeight="1">
      <c r="A8866" s="2" t="s">
        <v>12</v>
      </c>
      <c r="B8866" s="2" t="str">
        <f>HYPERLINK("http://bbs.12365auto.com/postcontent.aspx?tId=193895","新能源汽车的安全性能由什么决定")</f>
        <v>新能源汽车的安全性能由什么决定</v>
      </c>
      <c r="C8866" s="2" t="s">
        <v>13</v>
      </c>
      <c r="D8866" s="2" t="s">
        <v>12</v>
      </c>
      <c r="E8866" s="2" t="s">
        <v>4212</v>
      </c>
      <c r="F8866" s="2" t="str">
        <f>HYPERLINK("http://bbs.12365auto.com/postcontent.aspx?tId=193895","http://bbs.12365auto.com/postcontent.aspx?tId=193895")</f>
        <v>http://bbs.12365auto.com/postcontent.aspx?tId=193895</v>
      </c>
      <c r="G8866" s="2"/>
      <c r="H8866" s="2" t="s">
        <v>12047</v>
      </c>
      <c r="I8866" s="2" t="s">
        <v>15</v>
      </c>
      <c r="J8866" s="2" t="s">
        <v>2651</v>
      </c>
      <c r="K8866" s="2" t="s">
        <v>12046</v>
      </c>
      <c r="L8866" s="2">
        <f t="shared" si="138"/>
        <v>150</v>
      </c>
    </row>
    <row r="8867" spans="1:12" ht="25" customHeight="1">
      <c r="A8867" s="2" t="s">
        <v>12</v>
      </c>
      <c r="B8867" s="2" t="str">
        <f>HYPERLINK("http://bbs.12365auto.com/postcontent.aspx?tId=193893","跑滴滴用纯电动汽车划算还是用燃油车划算")</f>
        <v>跑滴滴用纯电动汽车划算还是用燃油车划算</v>
      </c>
      <c r="C8867" s="2" t="s">
        <v>13</v>
      </c>
      <c r="D8867" s="2" t="s">
        <v>12</v>
      </c>
      <c r="E8867" s="2" t="s">
        <v>4212</v>
      </c>
      <c r="F8867" s="2" t="str">
        <f>HYPERLINK("http://bbs.12365auto.com/postcontent.aspx?tId=193893","http://bbs.12365auto.com/postcontent.aspx?tId=193893")</f>
        <v>http://bbs.12365auto.com/postcontent.aspx?tId=193893</v>
      </c>
      <c r="G8867" s="2"/>
      <c r="H8867" s="2" t="s">
        <v>12045</v>
      </c>
      <c r="I8867" s="2" t="s">
        <v>15</v>
      </c>
      <c r="J8867" s="2" t="s">
        <v>2651</v>
      </c>
      <c r="K8867" s="2" t="s">
        <v>12046</v>
      </c>
      <c r="L8867" s="2">
        <f t="shared" si="138"/>
        <v>150</v>
      </c>
    </row>
    <row r="8868" spans="1:12" ht="25" customHeight="1">
      <c r="A8868" s="2" t="s">
        <v>12</v>
      </c>
      <c r="B8868" s="2" t="str">
        <f>HYPERLINK("http://bbs.12365auto.com/postcontent.aspx?tID=193894","这些车看起来很贵")</f>
        <v>这些车看起来很贵</v>
      </c>
      <c r="C8868" s="2" t="s">
        <v>13</v>
      </c>
      <c r="D8868" s="2" t="s">
        <v>12</v>
      </c>
      <c r="E8868" s="2" t="s">
        <v>28</v>
      </c>
      <c r="F8868" s="2" t="str">
        <f>HYPERLINK("http://bbs.12365auto.com/postcontent.aspx?tID=193894","http://bbs.12365auto.com/postcontent.aspx?tID=193894")</f>
        <v>http://bbs.12365auto.com/postcontent.aspx?tID=193894</v>
      </c>
      <c r="G8868" s="2"/>
      <c r="H8868" s="2" t="s">
        <v>12049</v>
      </c>
      <c r="I8868" s="2" t="s">
        <v>15</v>
      </c>
      <c r="J8868" s="2" t="s">
        <v>5640</v>
      </c>
      <c r="K8868" s="2" t="s">
        <v>12046</v>
      </c>
      <c r="L8868" s="2">
        <f t="shared" si="138"/>
        <v>150</v>
      </c>
    </row>
    <row r="8869" spans="1:12" ht="25" customHeight="1">
      <c r="A8869" s="2" t="s">
        <v>12</v>
      </c>
      <c r="B8869" s="2" t="str">
        <f>HYPERLINK("http://bbs.12365auto.com/postcontent.aspx?tID=193896","轿车保值率新鲜出炉")</f>
        <v>轿车保值率新鲜出炉</v>
      </c>
      <c r="C8869" s="2" t="s">
        <v>13</v>
      </c>
      <c r="D8869" s="2" t="s">
        <v>12</v>
      </c>
      <c r="E8869" s="2" t="s">
        <v>28</v>
      </c>
      <c r="F8869" s="2" t="str">
        <f>HYPERLINK("http://bbs.12365auto.com/postcontent.aspx?tID=193896","http://bbs.12365auto.com/postcontent.aspx?tID=193896")</f>
        <v>http://bbs.12365auto.com/postcontent.aspx?tID=193896</v>
      </c>
      <c r="G8869" s="2"/>
      <c r="H8869" s="2" t="s">
        <v>12050</v>
      </c>
      <c r="I8869" s="2" t="s">
        <v>15</v>
      </c>
      <c r="J8869" s="2" t="s">
        <v>5640</v>
      </c>
      <c r="K8869" s="2" t="s">
        <v>12046</v>
      </c>
      <c r="L8869" s="2">
        <f t="shared" si="138"/>
        <v>150</v>
      </c>
    </row>
    <row r="8870" spans="1:12" ht="25" customHeight="1">
      <c r="A8870" s="2" t="s">
        <v>12</v>
      </c>
      <c r="B8870" s="2" t="str">
        <f>HYPERLINK("http://bbs.12365auto.com/postcontent.aspx?tID=193893","跑滴滴用纯电动汽车划算还是用燃油车划算")</f>
        <v>跑滴滴用纯电动汽车划算还是用燃油车划算</v>
      </c>
      <c r="C8870" s="2" t="s">
        <v>13</v>
      </c>
      <c r="D8870" s="2" t="s">
        <v>12</v>
      </c>
      <c r="E8870" s="2" t="s">
        <v>4209</v>
      </c>
      <c r="F8870" s="2" t="str">
        <f>HYPERLINK("http://bbs.12365auto.com/postcontent.aspx?tID=193893","http://bbs.12365auto.com/postcontent.aspx?tID=193893")</f>
        <v>http://bbs.12365auto.com/postcontent.aspx?tID=193893</v>
      </c>
      <c r="G8870" s="2"/>
      <c r="H8870" s="2" t="s">
        <v>12051</v>
      </c>
      <c r="I8870" s="2" t="s">
        <v>15</v>
      </c>
      <c r="J8870" s="2" t="s">
        <v>2651</v>
      </c>
      <c r="K8870" s="2" t="s">
        <v>12046</v>
      </c>
      <c r="L8870" s="2">
        <f t="shared" si="138"/>
        <v>150</v>
      </c>
    </row>
    <row r="8871" spans="1:12" ht="25" customHeight="1">
      <c r="A8871" s="2" t="s">
        <v>12</v>
      </c>
      <c r="B8871" s="2" t="str">
        <f>HYPERLINK("http://bbs.12365auto.com/postcontent.aspx?tID=193895","新能源汽车的安全性能由什么决定")</f>
        <v>新能源汽车的安全性能由什么决定</v>
      </c>
      <c r="C8871" s="2" t="s">
        <v>13</v>
      </c>
      <c r="D8871" s="2" t="s">
        <v>12</v>
      </c>
      <c r="E8871" s="2" t="s">
        <v>4209</v>
      </c>
      <c r="F8871" s="2" t="str">
        <f>HYPERLINK("http://bbs.12365auto.com/postcontent.aspx?tID=193895","http://bbs.12365auto.com/postcontent.aspx?tID=193895")</f>
        <v>http://bbs.12365auto.com/postcontent.aspx?tID=193895</v>
      </c>
      <c r="G8871" s="2"/>
      <c r="H8871" s="2" t="s">
        <v>12052</v>
      </c>
      <c r="I8871" s="2" t="s">
        <v>15</v>
      </c>
      <c r="J8871" s="2" t="s">
        <v>2651</v>
      </c>
      <c r="K8871" s="2" t="s">
        <v>12046</v>
      </c>
      <c r="L8871" s="2">
        <f t="shared" si="138"/>
        <v>150</v>
      </c>
    </row>
    <row r="8872" spans="1:12" ht="25" customHeight="1">
      <c r="A8872" s="2" t="s">
        <v>12</v>
      </c>
      <c r="B8872" s="2" t="str">
        <f>HYPERLINK("http://m.12365auto.com/bbs/postcontent.aspx?tID=193896","轿车保值率新鲜出炉")</f>
        <v>轿车保值率新鲜出炉</v>
      </c>
      <c r="C8872" s="2" t="s">
        <v>13</v>
      </c>
      <c r="D8872" s="2" t="s">
        <v>23</v>
      </c>
      <c r="E8872" s="2"/>
      <c r="F8872" s="2" t="str">
        <f>HYPERLINK("http://m.12365auto.com/bbs/postcontent.aspx?tID=193896","http://m.12365auto.com/bbs/postcontent.aspx?tID=193896")</f>
        <v>http://m.12365auto.com/bbs/postcontent.aspx?tID=193896</v>
      </c>
      <c r="G8872" s="2"/>
      <c r="H8872" s="2" t="s">
        <v>3743</v>
      </c>
      <c r="I8872" s="2" t="s">
        <v>15</v>
      </c>
      <c r="J8872" s="2" t="s">
        <v>5640</v>
      </c>
      <c r="K8872" s="2" t="s">
        <v>12046</v>
      </c>
      <c r="L8872" s="2">
        <f t="shared" si="138"/>
        <v>150</v>
      </c>
    </row>
    <row r="8873" spans="1:12" ht="25" customHeight="1">
      <c r="A8873" s="2" t="s">
        <v>12</v>
      </c>
      <c r="B8873" s="2" t="str">
        <f>HYPERLINK("http://bbs.12365auto.com/postcontent.aspx?tId=193892","新能源汽车的安全系数与什么有关")</f>
        <v>新能源汽车的安全系数与什么有关</v>
      </c>
      <c r="C8873" s="2" t="s">
        <v>13</v>
      </c>
      <c r="D8873" s="2" t="s">
        <v>12</v>
      </c>
      <c r="E8873" s="2" t="s">
        <v>4212</v>
      </c>
      <c r="F8873" s="2" t="str">
        <f>HYPERLINK("http://bbs.12365auto.com/postcontent.aspx?tId=193892","http://bbs.12365auto.com/postcontent.aspx?tId=193892")</f>
        <v>http://bbs.12365auto.com/postcontent.aspx?tId=193892</v>
      </c>
      <c r="G8873" s="2"/>
      <c r="H8873" s="2" t="s">
        <v>12053</v>
      </c>
      <c r="I8873" s="2" t="s">
        <v>15</v>
      </c>
      <c r="J8873" s="2" t="s">
        <v>2651</v>
      </c>
      <c r="K8873" s="2" t="s">
        <v>12054</v>
      </c>
      <c r="L8873" s="2">
        <f t="shared" si="138"/>
        <v>150</v>
      </c>
    </row>
    <row r="8874" spans="1:12" ht="25" customHeight="1">
      <c r="A8874" s="2" t="s">
        <v>12</v>
      </c>
      <c r="B8874" s="2" t="str">
        <f>HYPERLINK("http://bbs.12365auto.com/postcontent.aspx?tId=193890","纯电动汽车强还是混合动力汽车更强呢")</f>
        <v>纯电动汽车强还是混合动力汽车更强呢</v>
      </c>
      <c r="C8874" s="2" t="s">
        <v>13</v>
      </c>
      <c r="D8874" s="2" t="s">
        <v>12</v>
      </c>
      <c r="E8874" s="2" t="s">
        <v>4212</v>
      </c>
      <c r="F8874" s="2" t="str">
        <f>HYPERLINK("http://bbs.12365auto.com/postcontent.aspx?tId=193890","http://bbs.12365auto.com/postcontent.aspx?tId=193890")</f>
        <v>http://bbs.12365auto.com/postcontent.aspx?tId=193890</v>
      </c>
      <c r="G8874" s="2"/>
      <c r="H8874" s="2" t="s">
        <v>12055</v>
      </c>
      <c r="I8874" s="2" t="s">
        <v>15</v>
      </c>
      <c r="J8874" s="2" t="s">
        <v>2651</v>
      </c>
      <c r="K8874" s="2" t="s">
        <v>12054</v>
      </c>
      <c r="L8874" s="2">
        <f t="shared" si="138"/>
        <v>150</v>
      </c>
    </row>
    <row r="8875" spans="1:12" ht="25" customHeight="1">
      <c r="A8875" s="2" t="s">
        <v>12</v>
      </c>
      <c r="B8875" s="2" t="str">
        <f>HYPERLINK("http://bbs.12365auto.com/postcontent.aspx?tId=193889","固态电池会取代现在使用的锂电池么")</f>
        <v>固态电池会取代现在使用的锂电池么</v>
      </c>
      <c r="C8875" s="2" t="s">
        <v>13</v>
      </c>
      <c r="D8875" s="2" t="s">
        <v>12</v>
      </c>
      <c r="E8875" s="2" t="s">
        <v>4212</v>
      </c>
      <c r="F8875" s="2" t="str">
        <f>HYPERLINK("http://bbs.12365auto.com/postcontent.aspx?tId=193889","http://bbs.12365auto.com/postcontent.aspx?tId=193889")</f>
        <v>http://bbs.12365auto.com/postcontent.aspx?tId=193889</v>
      </c>
      <c r="G8875" s="2"/>
      <c r="H8875" s="2" t="s">
        <v>12056</v>
      </c>
      <c r="I8875" s="2" t="s">
        <v>15</v>
      </c>
      <c r="J8875" s="2" t="s">
        <v>2651</v>
      </c>
      <c r="K8875" s="2" t="s">
        <v>12054</v>
      </c>
      <c r="L8875" s="2">
        <f t="shared" si="138"/>
        <v>150</v>
      </c>
    </row>
    <row r="8876" spans="1:12" ht="25" customHeight="1">
      <c r="A8876" s="2" t="s">
        <v>12</v>
      </c>
      <c r="B8876" s="2" t="str">
        <f>HYPERLINK("http://bbs.12365auto.com/postcontent.aspx?tID=193891","特斯拉新专利显示将在方向盘加入触摸屏")</f>
        <v>特斯拉新专利显示将在方向盘加入触摸屏</v>
      </c>
      <c r="C8876" s="2" t="s">
        <v>13</v>
      </c>
      <c r="D8876" s="2" t="s">
        <v>12</v>
      </c>
      <c r="E8876" s="2" t="s">
        <v>28</v>
      </c>
      <c r="F8876" s="2" t="str">
        <f>HYPERLINK("http://bbs.12365auto.com/postcontent.aspx?tID=193891","http://bbs.12365auto.com/postcontent.aspx?tID=193891")</f>
        <v>http://bbs.12365auto.com/postcontent.aspx?tID=193891</v>
      </c>
      <c r="G8876" s="2"/>
      <c r="H8876" s="2" t="s">
        <v>10650</v>
      </c>
      <c r="I8876" s="2" t="s">
        <v>15</v>
      </c>
      <c r="J8876" s="2" t="s">
        <v>5640</v>
      </c>
      <c r="K8876" s="2" t="s">
        <v>12054</v>
      </c>
      <c r="L8876" s="2">
        <f t="shared" si="138"/>
        <v>150</v>
      </c>
    </row>
    <row r="8877" spans="1:12" ht="25" customHeight="1">
      <c r="A8877" s="2" t="s">
        <v>12</v>
      </c>
      <c r="B8877" s="2" t="str">
        <f>HYPERLINK("http://bbs.12365auto.com/postcontent.aspx?tID=193889","固态电池会取代现在使用的锂电池么")</f>
        <v>固态电池会取代现在使用的锂电池么</v>
      </c>
      <c r="C8877" s="2" t="s">
        <v>13</v>
      </c>
      <c r="D8877" s="2" t="s">
        <v>12</v>
      </c>
      <c r="E8877" s="2" t="s">
        <v>4209</v>
      </c>
      <c r="F8877" s="2" t="str">
        <f>HYPERLINK("http://bbs.12365auto.com/postcontent.aspx?tID=193889","http://bbs.12365auto.com/postcontent.aspx?tID=193889")</f>
        <v>http://bbs.12365auto.com/postcontent.aspx?tID=193889</v>
      </c>
      <c r="G8877" s="2"/>
      <c r="H8877" s="2" t="s">
        <v>12057</v>
      </c>
      <c r="I8877" s="2" t="s">
        <v>15</v>
      </c>
      <c r="J8877" s="2" t="s">
        <v>2651</v>
      </c>
      <c r="K8877" s="2" t="s">
        <v>12054</v>
      </c>
      <c r="L8877" s="2">
        <f t="shared" si="138"/>
        <v>150</v>
      </c>
    </row>
    <row r="8878" spans="1:12" ht="25" customHeight="1">
      <c r="A8878" s="2" t="s">
        <v>12</v>
      </c>
      <c r="B8878" s="2" t="str">
        <f>HYPERLINK("http://bbs.12365auto.com/postcontent.aspx?tID=193890","纯电动汽车强还是混合动力汽车更强呢")</f>
        <v>纯电动汽车强还是混合动力汽车更强呢</v>
      </c>
      <c r="C8878" s="2" t="s">
        <v>13</v>
      </c>
      <c r="D8878" s="2" t="s">
        <v>12</v>
      </c>
      <c r="E8878" s="2" t="s">
        <v>4209</v>
      </c>
      <c r="F8878" s="2" t="str">
        <f>HYPERLINK("http://bbs.12365auto.com/postcontent.aspx?tID=193890","http://bbs.12365auto.com/postcontent.aspx?tID=193890")</f>
        <v>http://bbs.12365auto.com/postcontent.aspx?tID=193890</v>
      </c>
      <c r="G8878" s="2"/>
      <c r="H8878" s="2" t="s">
        <v>12058</v>
      </c>
      <c r="I8878" s="2" t="s">
        <v>15</v>
      </c>
      <c r="J8878" s="2" t="s">
        <v>2651</v>
      </c>
      <c r="K8878" s="2" t="s">
        <v>12054</v>
      </c>
      <c r="L8878" s="2">
        <f t="shared" si="138"/>
        <v>150</v>
      </c>
    </row>
    <row r="8879" spans="1:12" ht="25" customHeight="1">
      <c r="A8879" s="2" t="s">
        <v>12</v>
      </c>
      <c r="B8879" s="2" t="str">
        <f>HYPERLINK("http://bbs.12365auto.com/postcontent.aspx?tID=193892","新能源汽车的安全系数与什么有关")</f>
        <v>新能源汽车的安全系数与什么有关</v>
      </c>
      <c r="C8879" s="2" t="s">
        <v>13</v>
      </c>
      <c r="D8879" s="2" t="s">
        <v>12</v>
      </c>
      <c r="E8879" s="2" t="s">
        <v>4209</v>
      </c>
      <c r="F8879" s="2" t="str">
        <f>HYPERLINK("http://bbs.12365auto.com/postcontent.aspx?tID=193892","http://bbs.12365auto.com/postcontent.aspx?tID=193892")</f>
        <v>http://bbs.12365auto.com/postcontent.aspx?tID=193892</v>
      </c>
      <c r="G8879" s="2"/>
      <c r="H8879" s="2" t="s">
        <v>12059</v>
      </c>
      <c r="I8879" s="2" t="s">
        <v>15</v>
      </c>
      <c r="J8879" s="2" t="s">
        <v>2651</v>
      </c>
      <c r="K8879" s="2" t="s">
        <v>12054</v>
      </c>
      <c r="L8879" s="2">
        <f t="shared" si="138"/>
        <v>150</v>
      </c>
    </row>
    <row r="8880" spans="1:12" ht="25" customHeight="1">
      <c r="A8880" s="2" t="s">
        <v>12</v>
      </c>
      <c r="B8880" s="2" t="str">
        <f>HYPERLINK("http://bbs.12365auto.com/postcontent.aspx?tId=193891","特斯拉新专利显示将在方向盘加入触摸屏")</f>
        <v>特斯拉新专利显示将在方向盘加入触摸屏</v>
      </c>
      <c r="C8880" s="2" t="s">
        <v>13</v>
      </c>
      <c r="D8880" s="2" t="s">
        <v>12</v>
      </c>
      <c r="E8880" s="2" t="s">
        <v>27</v>
      </c>
      <c r="F8880" s="2" t="str">
        <f>HYPERLINK("http://bbs.12365auto.com/postcontent.aspx?tId=193891","http://bbs.12365auto.com/postcontent.aspx?tId=193891")</f>
        <v>http://bbs.12365auto.com/postcontent.aspx?tId=193891</v>
      </c>
      <c r="G8880" s="2"/>
      <c r="H8880" s="2" t="s">
        <v>10646</v>
      </c>
      <c r="I8880" s="2" t="s">
        <v>15</v>
      </c>
      <c r="J8880" s="2" t="s">
        <v>5640</v>
      </c>
      <c r="K8880" s="2" t="s">
        <v>12054</v>
      </c>
      <c r="L8880" s="2">
        <f t="shared" si="138"/>
        <v>150</v>
      </c>
    </row>
    <row r="8881" spans="1:12" ht="25" customHeight="1">
      <c r="A8881" s="2" t="s">
        <v>12</v>
      </c>
      <c r="B8881" s="2" t="str">
        <f>HYPERLINK("http://www.12365auto.com/zlts/20200212/446954.shtml","一汽大众高尔夫变速箱机电单元故障")</f>
        <v>一汽大众高尔夫变速箱机电单元故障</v>
      </c>
      <c r="C8881" s="2" t="s">
        <v>13</v>
      </c>
      <c r="D8881" s="2" t="s">
        <v>12</v>
      </c>
      <c r="E8881" s="2" t="s">
        <v>17</v>
      </c>
      <c r="F8881" s="2" t="str">
        <f>HYPERLINK("http://www.12365auto.com/zlts/20200212/446954.shtml","http://www.12365auto.com/zlts/20200212/446954.shtml")</f>
        <v>http://www.12365auto.com/zlts/20200212/446954.shtml</v>
      </c>
      <c r="G8881" s="2"/>
      <c r="H8881" s="2" t="s">
        <v>12060</v>
      </c>
      <c r="I8881" s="2" t="s">
        <v>19</v>
      </c>
      <c r="J8881" s="2" t="s">
        <v>12</v>
      </c>
      <c r="K8881" s="2" t="s">
        <v>12054</v>
      </c>
      <c r="L8881" s="2">
        <f t="shared" si="138"/>
        <v>150</v>
      </c>
    </row>
    <row r="8882" spans="1:12" ht="25" customHeight="1">
      <c r="A8882" s="2" t="s">
        <v>12</v>
      </c>
      <c r="B8882" s="2" t="str">
        <f>HYPERLINK("http://bbs.12365auto.com/postcontent.aspx?tId=193888","纯电动车维护有哪些注意事项")</f>
        <v>纯电动车维护有哪些注意事项</v>
      </c>
      <c r="C8882" s="2" t="s">
        <v>13</v>
      </c>
      <c r="D8882" s="2" t="s">
        <v>12</v>
      </c>
      <c r="E8882" s="2" t="s">
        <v>4212</v>
      </c>
      <c r="F8882" s="2" t="str">
        <f>HYPERLINK("http://bbs.12365auto.com/postcontent.aspx?tId=193888","http://bbs.12365auto.com/postcontent.aspx?tId=193888")</f>
        <v>http://bbs.12365auto.com/postcontent.aspx?tId=193888</v>
      </c>
      <c r="G8882" s="2"/>
      <c r="H8882" s="2" t="s">
        <v>12061</v>
      </c>
      <c r="I8882" s="2" t="s">
        <v>15</v>
      </c>
      <c r="J8882" s="2" t="s">
        <v>2651</v>
      </c>
      <c r="K8882" s="2" t="s">
        <v>12062</v>
      </c>
      <c r="L8882" s="2">
        <f t="shared" si="138"/>
        <v>150</v>
      </c>
    </row>
    <row r="8883" spans="1:12" ht="25" customHeight="1">
      <c r="A8883" s="2" t="s">
        <v>12</v>
      </c>
      <c r="B8883" s="2" t="str">
        <f>HYPERLINK("http://bbs.12365auto.com/postcontent.aspx?tID=193888","纯电动车维护有哪些注意事项")</f>
        <v>纯电动车维护有哪些注意事项</v>
      </c>
      <c r="C8883" s="2" t="s">
        <v>13</v>
      </c>
      <c r="D8883" s="2" t="s">
        <v>12</v>
      </c>
      <c r="E8883" s="2" t="s">
        <v>4209</v>
      </c>
      <c r="F8883" s="2" t="str">
        <f>HYPERLINK("http://bbs.12365auto.com/postcontent.aspx?tID=193888","http://bbs.12365auto.com/postcontent.aspx?tID=193888")</f>
        <v>http://bbs.12365auto.com/postcontent.aspx?tID=193888</v>
      </c>
      <c r="G8883" s="2"/>
      <c r="H8883" s="2" t="s">
        <v>12063</v>
      </c>
      <c r="I8883" s="2" t="s">
        <v>15</v>
      </c>
      <c r="J8883" s="2" t="s">
        <v>2651</v>
      </c>
      <c r="K8883" s="2" t="s">
        <v>12062</v>
      </c>
      <c r="L8883" s="2">
        <f t="shared" si="138"/>
        <v>150</v>
      </c>
    </row>
    <row r="8884" spans="1:12" ht="25" customHeight="1">
      <c r="A8884" s="2" t="s">
        <v>12</v>
      </c>
      <c r="B8884" s="2" t="str">
        <f>HYPERLINK("http://www.12365auto.com/xcdg/20200212/418339.shtml","保时捷Taycan Sport Turismo谍照  接近量产")</f>
        <v>保时捷Taycan Sport Turismo谍照  接近量产</v>
      </c>
      <c r="C8884" s="2" t="s">
        <v>13</v>
      </c>
      <c r="D8884" s="2" t="s">
        <v>12</v>
      </c>
      <c r="E8884" s="2" t="s">
        <v>224</v>
      </c>
      <c r="F8884" s="2" t="str">
        <f>HYPERLINK("http://www.12365auto.com/xcdg/20200212/418339.shtml","http://www.12365auto.com/xcdg/20200212/418339.shtml")</f>
        <v>http://www.12365auto.com/xcdg/20200212/418339.shtml</v>
      </c>
      <c r="G8884" s="2"/>
      <c r="H8884" s="2" t="s">
        <v>12064</v>
      </c>
      <c r="I8884" s="2" t="s">
        <v>15</v>
      </c>
      <c r="J8884" s="2" t="s">
        <v>12</v>
      </c>
      <c r="K8884" s="2" t="s">
        <v>12062</v>
      </c>
      <c r="L8884" s="2">
        <f t="shared" si="138"/>
        <v>150</v>
      </c>
    </row>
    <row r="8885" spans="1:12" ht="25" customHeight="1">
      <c r="A8885" s="2" t="s">
        <v>12</v>
      </c>
      <c r="B8885" s="2" t="str">
        <f>HYPERLINK("http://m.12365auto.com/xcdg/20200212/418339.shtml","保时捷Taycan Sport Turismo谍照  接近量产")</f>
        <v>保时捷Taycan Sport Turismo谍照  接近量产</v>
      </c>
      <c r="C8885" s="2" t="s">
        <v>13</v>
      </c>
      <c r="D8885" s="2" t="s">
        <v>12</v>
      </c>
      <c r="E8885" s="2"/>
      <c r="F8885" s="2" t="str">
        <f>HYPERLINK("http://m.12365auto.com/xcdg/20200212/418339.shtml","http://m.12365auto.com/xcdg/20200212/418339.shtml")</f>
        <v>http://m.12365auto.com/xcdg/20200212/418339.shtml</v>
      </c>
      <c r="G8885" s="2"/>
      <c r="H8885" s="2" t="s">
        <v>12065</v>
      </c>
      <c r="I8885" s="2" t="s">
        <v>19</v>
      </c>
      <c r="J8885" s="2" t="s">
        <v>992</v>
      </c>
      <c r="K8885" s="2" t="s">
        <v>12062</v>
      </c>
      <c r="L8885" s="2">
        <f t="shared" si="138"/>
        <v>150</v>
      </c>
    </row>
    <row r="8886" spans="1:12" ht="25" customHeight="1">
      <c r="A8886" s="2" t="s">
        <v>12</v>
      </c>
      <c r="B8886" s="2" t="str">
        <f>HYPERLINK("http://bbs.12365auto.com/postcontent.aspx?tId=193887","“丰田比亚迪”来了 双方到底有何居心")</f>
        <v>“丰田比亚迪”来了 双方到底有何居心</v>
      </c>
      <c r="C8886" s="2" t="s">
        <v>13</v>
      </c>
      <c r="D8886" s="2" t="s">
        <v>12</v>
      </c>
      <c r="E8886" s="2" t="s">
        <v>27</v>
      </c>
      <c r="F8886" s="2" t="str">
        <f>HYPERLINK("http://bbs.12365auto.com/postcontent.aspx?tId=193887","http://bbs.12365auto.com/postcontent.aspx?tId=193887")</f>
        <v>http://bbs.12365auto.com/postcontent.aspx?tId=193887</v>
      </c>
      <c r="G8886" s="2"/>
      <c r="H8886" s="2" t="s">
        <v>12066</v>
      </c>
      <c r="I8886" s="2" t="s">
        <v>15</v>
      </c>
      <c r="J8886" s="2" t="s">
        <v>5640</v>
      </c>
      <c r="K8886" s="2" t="s">
        <v>12062</v>
      </c>
      <c r="L8886" s="2">
        <f t="shared" si="138"/>
        <v>150</v>
      </c>
    </row>
    <row r="8887" spans="1:12" ht="25" customHeight="1">
      <c r="A8887" s="2" t="s">
        <v>12</v>
      </c>
      <c r="B8887" s="2" t="str">
        <f>HYPERLINK("http://bbs.12365auto.com/postcontent.aspx?tID=193887","“丰田比亚迪”来了 双方到底有何居心")</f>
        <v>“丰田比亚迪”来了 双方到底有何居心</v>
      </c>
      <c r="C8887" s="2" t="s">
        <v>13</v>
      </c>
      <c r="D8887" s="2" t="s">
        <v>12</v>
      </c>
      <c r="E8887" s="2" t="s">
        <v>28</v>
      </c>
      <c r="F8887" s="2" t="str">
        <f>HYPERLINK("http://bbs.12365auto.com/postcontent.aspx?tID=193887","http://bbs.12365auto.com/postcontent.aspx?tID=193887")</f>
        <v>http://bbs.12365auto.com/postcontent.aspx?tID=193887</v>
      </c>
      <c r="G8887" s="2"/>
      <c r="H8887" s="2" t="s">
        <v>12067</v>
      </c>
      <c r="I8887" s="2" t="s">
        <v>15</v>
      </c>
      <c r="J8887" s="2" t="s">
        <v>5640</v>
      </c>
      <c r="K8887" s="2" t="s">
        <v>12062</v>
      </c>
      <c r="L8887" s="2">
        <f t="shared" si="138"/>
        <v>150</v>
      </c>
    </row>
    <row r="8888" spans="1:12" ht="25" customHeight="1">
      <c r="A8888" s="2" t="s">
        <v>12</v>
      </c>
      <c r="B8888" s="2" t="str">
        <f>HYPERLINK("http://www.12365auto.com/xcdg/20200212/418338.shtml","保时捷明年推出Macan纯电版 2022年开始交付")</f>
        <v>保时捷明年推出Macan纯电版 2022年开始交付</v>
      </c>
      <c r="C8888" s="2" t="s">
        <v>13</v>
      </c>
      <c r="D8888" s="2" t="s">
        <v>12</v>
      </c>
      <c r="E8888" s="2" t="s">
        <v>245</v>
      </c>
      <c r="F8888" s="2" t="str">
        <f>HYPERLINK("http://www.12365auto.com/xcdg/20200212/418338.shtml","http://www.12365auto.com/xcdg/20200212/418338.shtml")</f>
        <v>http://www.12365auto.com/xcdg/20200212/418338.shtml</v>
      </c>
      <c r="G8888" s="2"/>
      <c r="H8888" s="2" t="s">
        <v>12068</v>
      </c>
      <c r="I8888" s="2" t="s">
        <v>19</v>
      </c>
      <c r="J8888" s="2" t="s">
        <v>12</v>
      </c>
      <c r="K8888" s="2" t="s">
        <v>12069</v>
      </c>
      <c r="L8888" s="2">
        <f t="shared" si="138"/>
        <v>150</v>
      </c>
    </row>
    <row r="8889" spans="1:12" ht="25" customHeight="1">
      <c r="A8889" s="2" t="s">
        <v>12</v>
      </c>
      <c r="B8889" s="2" t="str">
        <f>HYPERLINK("http://m.12365auto.com/xcdg/20200212/418338.shtml","保时捷明年推出Macan纯电版 2022年开始交付")</f>
        <v>保时捷明年推出Macan纯电版 2022年开始交付</v>
      </c>
      <c r="C8889" s="2" t="s">
        <v>13</v>
      </c>
      <c r="D8889" s="2" t="s">
        <v>12</v>
      </c>
      <c r="E8889" s="2"/>
      <c r="F8889" s="2" t="str">
        <f>HYPERLINK("http://m.12365auto.com/xcdg/20200212/418338.shtml","http://m.12365auto.com/xcdg/20200212/418338.shtml")</f>
        <v>http://m.12365auto.com/xcdg/20200212/418338.shtml</v>
      </c>
      <c r="G8889" s="2"/>
      <c r="H8889" s="2" t="s">
        <v>12070</v>
      </c>
      <c r="I8889" s="2" t="s">
        <v>19</v>
      </c>
      <c r="J8889" s="2" t="s">
        <v>1701</v>
      </c>
      <c r="K8889" s="2" t="s">
        <v>12069</v>
      </c>
      <c r="L8889" s="2">
        <f t="shared" si="138"/>
        <v>150</v>
      </c>
    </row>
    <row r="8890" spans="1:12" ht="25" customHeight="1">
      <c r="A8890" s="2" t="s">
        <v>12</v>
      </c>
      <c r="B8890" s="2" t="str">
        <f>HYPERLINK("http://www.12365auto.com/xcdg/20200212/418337.shtml","保时捷718 Cayman GT4将于年底推出PDK版本")</f>
        <v>保时捷718 Cayman GT4将于年底推出PDK版本</v>
      </c>
      <c r="C8890" s="2" t="s">
        <v>13</v>
      </c>
      <c r="D8890" s="2" t="s">
        <v>12</v>
      </c>
      <c r="E8890" s="2" t="s">
        <v>245</v>
      </c>
      <c r="F8890" s="2" t="str">
        <f>HYPERLINK("http://www.12365auto.com/xcdg/20200212/418337.shtml","http://www.12365auto.com/xcdg/20200212/418337.shtml")</f>
        <v>http://www.12365auto.com/xcdg/20200212/418337.shtml</v>
      </c>
      <c r="G8890" s="2"/>
      <c r="H8890" s="2" t="s">
        <v>12071</v>
      </c>
      <c r="I8890" s="2" t="s">
        <v>19</v>
      </c>
      <c r="J8890" s="2" t="s">
        <v>12</v>
      </c>
      <c r="K8890" s="2" t="s">
        <v>12072</v>
      </c>
      <c r="L8890" s="2">
        <f t="shared" si="138"/>
        <v>150</v>
      </c>
    </row>
    <row r="8891" spans="1:12" ht="25" customHeight="1">
      <c r="A8891" s="2" t="s">
        <v>12</v>
      </c>
      <c r="B8891" s="2" t="str">
        <f>HYPERLINK("http://m.12365auto.com/xcdg/20200212/418337.shtml","保时捷718 Cayman GT4将于年底推出PDK版本")</f>
        <v>保时捷718 Cayman GT4将于年底推出PDK版本</v>
      </c>
      <c r="C8891" s="2" t="s">
        <v>13</v>
      </c>
      <c r="D8891" s="2" t="s">
        <v>12</v>
      </c>
      <c r="E8891" s="2"/>
      <c r="F8891" s="2" t="str">
        <f>HYPERLINK("http://m.12365auto.com/xcdg/20200212/418337.shtml","http://m.12365auto.com/xcdg/20200212/418337.shtml")</f>
        <v>http://m.12365auto.com/xcdg/20200212/418337.shtml</v>
      </c>
      <c r="G8891" s="2"/>
      <c r="H8891" s="2" t="s">
        <v>12073</v>
      </c>
      <c r="I8891" s="2" t="s">
        <v>19</v>
      </c>
      <c r="J8891" s="2" t="s">
        <v>999</v>
      </c>
      <c r="K8891" s="2" t="s">
        <v>12072</v>
      </c>
      <c r="L8891" s="2">
        <f t="shared" si="138"/>
        <v>150</v>
      </c>
    </row>
    <row r="8892" spans="1:12" ht="25" customHeight="1">
      <c r="A8892" s="2" t="s">
        <v>12</v>
      </c>
      <c r="B8892" s="2" t="str">
        <f>HYPERLINK("http://bbs.12365auto.com/postcontent.aspx?tID=193885","开了辆电动车回400km 的老家")</f>
        <v>开了辆电动车回400km 的老家</v>
      </c>
      <c r="C8892" s="2" t="s">
        <v>13</v>
      </c>
      <c r="D8892" s="2" t="s">
        <v>12</v>
      </c>
      <c r="E8892" s="2" t="s">
        <v>28</v>
      </c>
      <c r="F8892" s="2" t="str">
        <f>HYPERLINK("http://bbs.12365auto.com/postcontent.aspx?tID=193885","http://bbs.12365auto.com/postcontent.aspx?tID=193885")</f>
        <v>http://bbs.12365auto.com/postcontent.aspx?tID=193885</v>
      </c>
      <c r="G8892" s="2"/>
      <c r="H8892" s="2" t="s">
        <v>12074</v>
      </c>
      <c r="I8892" s="2" t="s">
        <v>15</v>
      </c>
      <c r="J8892" s="2" t="s">
        <v>5640</v>
      </c>
      <c r="K8892" s="2" t="s">
        <v>12075</v>
      </c>
      <c r="L8892" s="2">
        <f t="shared" si="138"/>
        <v>150</v>
      </c>
    </row>
    <row r="8893" spans="1:12" ht="25" customHeight="1">
      <c r="A8893" s="2" t="s">
        <v>12</v>
      </c>
      <c r="B8893" s="2" t="str">
        <f>HYPERLINK("http://bbs.12365auto.com/postcontent.aspx?tID=193886","新能源汽车的旧电池该去哪")</f>
        <v>新能源汽车的旧电池该去哪</v>
      </c>
      <c r="C8893" s="2" t="s">
        <v>13</v>
      </c>
      <c r="D8893" s="2" t="s">
        <v>12</v>
      </c>
      <c r="E8893" s="2" t="s">
        <v>28</v>
      </c>
      <c r="F8893" s="2" t="str">
        <f>HYPERLINK("http://bbs.12365auto.com/postcontent.aspx?tID=193886","http://bbs.12365auto.com/postcontent.aspx?tID=193886")</f>
        <v>http://bbs.12365auto.com/postcontent.aspx?tID=193886</v>
      </c>
      <c r="G8893" s="2"/>
      <c r="H8893" s="2" t="s">
        <v>12076</v>
      </c>
      <c r="I8893" s="2" t="s">
        <v>15</v>
      </c>
      <c r="J8893" s="2" t="s">
        <v>5640</v>
      </c>
      <c r="K8893" s="2" t="s">
        <v>12075</v>
      </c>
      <c r="L8893" s="2">
        <f t="shared" si="138"/>
        <v>150</v>
      </c>
    </row>
    <row r="8894" spans="1:12" ht="25" customHeight="1">
      <c r="A8894" s="2" t="s">
        <v>12</v>
      </c>
      <c r="B8894" s="2" t="str">
        <f>HYPERLINK("http://bbs.12365auto.com/postcontent.aspx?tId=193886","新能源汽车的旧电池该去哪")</f>
        <v>新能源汽车的旧电池该去哪</v>
      </c>
      <c r="C8894" s="2" t="s">
        <v>13</v>
      </c>
      <c r="D8894" s="2" t="s">
        <v>12</v>
      </c>
      <c r="E8894" s="2" t="s">
        <v>27</v>
      </c>
      <c r="F8894" s="2" t="str">
        <f>HYPERLINK("http://bbs.12365auto.com/postcontent.aspx?tId=193886","http://bbs.12365auto.com/postcontent.aspx?tId=193886")</f>
        <v>http://bbs.12365auto.com/postcontent.aspx?tId=193886</v>
      </c>
      <c r="G8894" s="2"/>
      <c r="H8894" s="2" t="s">
        <v>12077</v>
      </c>
      <c r="I8894" s="2" t="s">
        <v>15</v>
      </c>
      <c r="J8894" s="2" t="s">
        <v>5640</v>
      </c>
      <c r="K8894" s="2" t="s">
        <v>12075</v>
      </c>
      <c r="L8894" s="2">
        <f t="shared" si="138"/>
        <v>150</v>
      </c>
    </row>
    <row r="8895" spans="1:12" ht="25" customHeight="1">
      <c r="A8895" s="2" t="s">
        <v>12</v>
      </c>
      <c r="B8895" s="2" t="str">
        <f>HYPERLINK("http://bbs.12365auto.com/postcontent.aspx?tId=193885","开了辆电动车回400km 的老家")</f>
        <v>开了辆电动车回400km 的老家</v>
      </c>
      <c r="C8895" s="2" t="s">
        <v>13</v>
      </c>
      <c r="D8895" s="2" t="s">
        <v>12</v>
      </c>
      <c r="E8895" s="2" t="s">
        <v>27</v>
      </c>
      <c r="F8895" s="2" t="str">
        <f>HYPERLINK("http://bbs.12365auto.com/postcontent.aspx?tId=193885","http://bbs.12365auto.com/postcontent.aspx?tId=193885")</f>
        <v>http://bbs.12365auto.com/postcontent.aspx?tId=193885</v>
      </c>
      <c r="G8895" s="2"/>
      <c r="H8895" s="2" t="s">
        <v>12078</v>
      </c>
      <c r="I8895" s="2" t="s">
        <v>15</v>
      </c>
      <c r="J8895" s="2" t="s">
        <v>5640</v>
      </c>
      <c r="K8895" s="2" t="s">
        <v>12075</v>
      </c>
      <c r="L8895" s="2">
        <f t="shared" si="138"/>
        <v>150</v>
      </c>
    </row>
    <row r="8896" spans="1:12" ht="25" customHeight="1">
      <c r="A8896" s="2" t="s">
        <v>12</v>
      </c>
      <c r="B8896" s="2" t="str">
        <f>HYPERLINK("http://bbs.12365auto.com/postcontent.aspx?tID=193883","汽车仪表盘指示灯大全")</f>
        <v>汽车仪表盘指示灯大全</v>
      </c>
      <c r="C8896" s="2" t="s">
        <v>13</v>
      </c>
      <c r="D8896" s="2" t="s">
        <v>12</v>
      </c>
      <c r="E8896" s="2" t="s">
        <v>28</v>
      </c>
      <c r="F8896" s="2" t="str">
        <f>HYPERLINK("http://bbs.12365auto.com/postcontent.aspx?tID=193883","http://bbs.12365auto.com/postcontent.aspx?tID=193883")</f>
        <v>http://bbs.12365auto.com/postcontent.aspx?tID=193883</v>
      </c>
      <c r="G8896" s="2"/>
      <c r="H8896" s="2" t="s">
        <v>4341</v>
      </c>
      <c r="I8896" s="2" t="s">
        <v>15</v>
      </c>
      <c r="J8896" s="2" t="s">
        <v>5640</v>
      </c>
      <c r="K8896" s="2" t="s">
        <v>12079</v>
      </c>
      <c r="L8896" s="2">
        <f t="shared" si="138"/>
        <v>66</v>
      </c>
    </row>
    <row r="8897" spans="1:12" ht="25" customHeight="1">
      <c r="A8897" s="2" t="s">
        <v>12</v>
      </c>
      <c r="B8897" s="2" t="str">
        <f>HYPERLINK("http://bbs.12365auto.com/postcontent.aspx?tID=193884","2020年最值得期待拥有的10款电动汽车")</f>
        <v>2020年最值得期待拥有的10款电动汽车</v>
      </c>
      <c r="C8897" s="2" t="s">
        <v>13</v>
      </c>
      <c r="D8897" s="2" t="s">
        <v>12</v>
      </c>
      <c r="E8897" s="2" t="s">
        <v>28</v>
      </c>
      <c r="F8897" s="2" t="str">
        <f>HYPERLINK("http://bbs.12365auto.com/postcontent.aspx?tID=193884","http://bbs.12365auto.com/postcontent.aspx?tID=193884")</f>
        <v>http://bbs.12365auto.com/postcontent.aspx?tID=193884</v>
      </c>
      <c r="G8897" s="2"/>
      <c r="H8897" s="2" t="s">
        <v>7853</v>
      </c>
      <c r="I8897" s="2" t="s">
        <v>15</v>
      </c>
      <c r="J8897" s="2" t="s">
        <v>5640</v>
      </c>
      <c r="K8897" s="2" t="s">
        <v>12079</v>
      </c>
      <c r="L8897" s="2">
        <f t="shared" si="138"/>
        <v>150</v>
      </c>
    </row>
    <row r="8898" spans="1:12" ht="25" customHeight="1">
      <c r="A8898" s="2" t="s">
        <v>12</v>
      </c>
      <c r="B8898" s="2" t="str">
        <f>HYPERLINK("http://bbs.12365auto.com/postcontent.aspx?tId=193883","汽车仪表盘指示灯大全")</f>
        <v>汽车仪表盘指示灯大全</v>
      </c>
      <c r="C8898" s="2" t="s">
        <v>13</v>
      </c>
      <c r="D8898" s="2" t="s">
        <v>12</v>
      </c>
      <c r="E8898" s="2" t="s">
        <v>27</v>
      </c>
      <c r="F8898" s="2" t="str">
        <f>HYPERLINK("http://bbs.12365auto.com/postcontent.aspx?tId=193883","http://bbs.12365auto.com/postcontent.aspx?tId=193883")</f>
        <v>http://bbs.12365auto.com/postcontent.aspx?tId=193883</v>
      </c>
      <c r="G8898" s="2"/>
      <c r="H8898" s="2" t="s">
        <v>4339</v>
      </c>
      <c r="I8898" s="2" t="s">
        <v>15</v>
      </c>
      <c r="J8898" s="2" t="s">
        <v>5640</v>
      </c>
      <c r="K8898" s="2" t="s">
        <v>12079</v>
      </c>
      <c r="L8898" s="2">
        <f t="shared" si="138"/>
        <v>56</v>
      </c>
    </row>
    <row r="8899" spans="1:12" ht="25" customHeight="1">
      <c r="A8899" s="2" t="s">
        <v>12</v>
      </c>
      <c r="B8899" s="2" t="str">
        <f>HYPERLINK("http://bbs.12365auto.com/postcontent.aspx?tId=193884","2020年最值得期待拥有的10款电动汽车")</f>
        <v>2020年最值得期待拥有的10款电动汽车</v>
      </c>
      <c r="C8899" s="2" t="s">
        <v>13</v>
      </c>
      <c r="D8899" s="2" t="s">
        <v>12</v>
      </c>
      <c r="E8899" s="2" t="s">
        <v>27</v>
      </c>
      <c r="F8899" s="2" t="str">
        <f>HYPERLINK("http://bbs.12365auto.com/postcontent.aspx?tId=193884","http://bbs.12365auto.com/postcontent.aspx?tId=193884")</f>
        <v>http://bbs.12365auto.com/postcontent.aspx?tId=193884</v>
      </c>
      <c r="G8899" s="2"/>
      <c r="H8899" s="2" t="s">
        <v>7847</v>
      </c>
      <c r="I8899" s="2" t="s">
        <v>15</v>
      </c>
      <c r="J8899" s="2" t="s">
        <v>5640</v>
      </c>
      <c r="K8899" s="2" t="s">
        <v>12079</v>
      </c>
      <c r="L8899" s="2">
        <f t="shared" ref="L8899:L8962" si="139">LEN(H8899)</f>
        <v>150</v>
      </c>
    </row>
    <row r="8900" spans="1:12" ht="25" customHeight="1">
      <c r="A8900" s="2" t="s">
        <v>12</v>
      </c>
      <c r="B8900" s="2" t="str">
        <f>HYPERLINK("http://m.12365auto.com/xcdg/20200212/418336.shtml","CT5已加入后驱漂移套餐 买它到底值不值")</f>
        <v>CT5已加入后驱漂移套餐 买它到底值不值</v>
      </c>
      <c r="C8900" s="2" t="s">
        <v>13</v>
      </c>
      <c r="D8900" s="2" t="s">
        <v>12</v>
      </c>
      <c r="E8900" s="2"/>
      <c r="F8900" s="2" t="str">
        <f>HYPERLINK("http://m.12365auto.com/xcdg/20200212/418336.shtml","http://m.12365auto.com/xcdg/20200212/418336.shtml")</f>
        <v>http://m.12365auto.com/xcdg/20200212/418336.shtml</v>
      </c>
      <c r="G8900" s="2"/>
      <c r="H8900" s="2" t="s">
        <v>12080</v>
      </c>
      <c r="I8900" s="2" t="s">
        <v>19</v>
      </c>
      <c r="J8900" s="2" t="s">
        <v>12</v>
      </c>
      <c r="K8900" s="2" t="s">
        <v>12081</v>
      </c>
      <c r="L8900" s="2">
        <f t="shared" si="139"/>
        <v>150</v>
      </c>
    </row>
    <row r="8901" spans="1:12" ht="25" customHeight="1">
      <c r="A8901" s="2" t="s">
        <v>12</v>
      </c>
      <c r="B8901" s="2" t="str">
        <f>HYPERLINK("http://m.12365auto.com/xcdg/20200212/418335.shtml","空间够大的10万级MPV 欧尚科尚值不值？")</f>
        <v>空间够大的10万级MPV 欧尚科尚值不值？</v>
      </c>
      <c r="C8901" s="2" t="s">
        <v>13</v>
      </c>
      <c r="D8901" s="2" t="s">
        <v>12</v>
      </c>
      <c r="E8901" s="2"/>
      <c r="F8901" s="2" t="str">
        <f>HYPERLINK("http://m.12365auto.com/xcdg/20200212/418335.shtml","http://m.12365auto.com/xcdg/20200212/418335.shtml")</f>
        <v>http://m.12365auto.com/xcdg/20200212/418335.shtml</v>
      </c>
      <c r="G8901" s="2"/>
      <c r="H8901" s="2" t="s">
        <v>12082</v>
      </c>
      <c r="I8901" s="2" t="s">
        <v>19</v>
      </c>
      <c r="J8901" s="2" t="s">
        <v>12</v>
      </c>
      <c r="K8901" s="2" t="s">
        <v>12083</v>
      </c>
      <c r="L8901" s="2">
        <f t="shared" si="139"/>
        <v>150</v>
      </c>
    </row>
    <row r="8902" spans="1:12" ht="25" customHeight="1">
      <c r="A8902" s="2" t="s">
        <v>12</v>
      </c>
      <c r="B8902" s="2" t="str">
        <f>HYPERLINK("http://m.12365auto.com/xcdg/20200212/418334.shtml","角逐高端市场 星途-LX那个配置最值？")</f>
        <v>角逐高端市场 星途-LX那个配置最值？</v>
      </c>
      <c r="C8902" s="2" t="s">
        <v>13</v>
      </c>
      <c r="D8902" s="2" t="s">
        <v>12</v>
      </c>
      <c r="E8902" s="2"/>
      <c r="F8902" s="2" t="str">
        <f>HYPERLINK("http://m.12365auto.com/xcdg/20200212/418334.shtml","http://m.12365auto.com/xcdg/20200212/418334.shtml")</f>
        <v>http://m.12365auto.com/xcdg/20200212/418334.shtml</v>
      </c>
      <c r="G8902" s="2"/>
      <c r="H8902" s="2" t="s">
        <v>12084</v>
      </c>
      <c r="I8902" s="2" t="s">
        <v>19</v>
      </c>
      <c r="J8902" s="2" t="s">
        <v>12</v>
      </c>
      <c r="K8902" s="2" t="s">
        <v>12085</v>
      </c>
      <c r="L8902" s="2">
        <f t="shared" si="139"/>
        <v>150</v>
      </c>
    </row>
    <row r="8903" spans="1:12" ht="25" customHeight="1">
      <c r="A8903" s="2" t="s">
        <v>12</v>
      </c>
      <c r="B8903" s="2" t="str">
        <f>HYPERLINK("http://www.12365auto.com/zlts/20200212/446949.shtml","北京现代领动方向盘沉重 4S店不予维修")</f>
        <v>北京现代领动方向盘沉重 4S店不予维修</v>
      </c>
      <c r="C8903" s="2" t="s">
        <v>13</v>
      </c>
      <c r="D8903" s="2" t="s">
        <v>12</v>
      </c>
      <c r="E8903" s="2" t="s">
        <v>17</v>
      </c>
      <c r="F8903" s="2" t="str">
        <f>HYPERLINK("http://www.12365auto.com/zlts/20200212/446949.shtml","http://www.12365auto.com/zlts/20200212/446949.shtml")</f>
        <v>http://www.12365auto.com/zlts/20200212/446949.shtml</v>
      </c>
      <c r="G8903" s="2"/>
      <c r="H8903" s="2" t="s">
        <v>12086</v>
      </c>
      <c r="I8903" s="2" t="s">
        <v>19</v>
      </c>
      <c r="J8903" s="2" t="s">
        <v>12</v>
      </c>
      <c r="K8903" s="2" t="s">
        <v>12087</v>
      </c>
      <c r="L8903" s="2">
        <f t="shared" si="139"/>
        <v>150</v>
      </c>
    </row>
    <row r="8904" spans="1:12" ht="25" customHeight="1">
      <c r="A8904" s="2" t="s">
        <v>12</v>
      </c>
      <c r="B8904" s="2" t="str">
        <f>HYPERLINK("http://m.12365auto.com/xcdg/20200212/418333.shtml","配置比汉兰达丰富  30万合资大七座就选它")</f>
        <v>配置比汉兰达丰富  30万合资大七座就选它</v>
      </c>
      <c r="C8904" s="2" t="s">
        <v>13</v>
      </c>
      <c r="D8904" s="2" t="s">
        <v>12</v>
      </c>
      <c r="E8904" s="2"/>
      <c r="F8904" s="2" t="str">
        <f>HYPERLINK("http://m.12365auto.com/xcdg/20200212/418333.shtml","http://m.12365auto.com/xcdg/20200212/418333.shtml")</f>
        <v>http://m.12365auto.com/xcdg/20200212/418333.shtml</v>
      </c>
      <c r="G8904" s="2"/>
      <c r="H8904" s="2" t="s">
        <v>12088</v>
      </c>
      <c r="I8904" s="2" t="s">
        <v>19</v>
      </c>
      <c r="J8904" s="2" t="s">
        <v>1006</v>
      </c>
      <c r="K8904" s="2" t="s">
        <v>12089</v>
      </c>
      <c r="L8904" s="2">
        <f t="shared" si="139"/>
        <v>150</v>
      </c>
    </row>
    <row r="8905" spans="1:12" ht="25" customHeight="1">
      <c r="A8905" s="2" t="s">
        <v>12</v>
      </c>
      <c r="B8905" s="2" t="str">
        <f>HYPERLINK("http://m.12365auto.com/xcdg/20200212/418332.shtml","挑战传统派 宋Pro EV/小鹏G3/威马EX5对比")</f>
        <v>挑战传统派 宋Pro EV/小鹏G3/威马EX5对比</v>
      </c>
      <c r="C8905" s="2" t="s">
        <v>13</v>
      </c>
      <c r="D8905" s="2" t="s">
        <v>12</v>
      </c>
      <c r="E8905" s="2"/>
      <c r="F8905" s="2" t="str">
        <f>HYPERLINK("http://m.12365auto.com/xcdg/20200212/418332.shtml","http://m.12365auto.com/xcdg/20200212/418332.shtml")</f>
        <v>http://m.12365auto.com/xcdg/20200212/418332.shtml</v>
      </c>
      <c r="G8905" s="2"/>
      <c r="H8905" s="2" t="s">
        <v>12090</v>
      </c>
      <c r="I8905" s="2" t="s">
        <v>19</v>
      </c>
      <c r="J8905" s="2" t="s">
        <v>2697</v>
      </c>
      <c r="K8905" s="2" t="s">
        <v>12091</v>
      </c>
      <c r="L8905" s="2">
        <f t="shared" si="139"/>
        <v>150</v>
      </c>
    </row>
    <row r="8906" spans="1:12" ht="25" customHeight="1">
      <c r="A8906" s="2" t="s">
        <v>12</v>
      </c>
      <c r="B8906" s="2" t="str">
        <f>HYPERLINK("http://www.12365auto.com/zlts/20200212/446946.shtml","一汽大众捷达点火开关设计缺陷 全车断电")</f>
        <v>一汽大众捷达点火开关设计缺陷 全车断电</v>
      </c>
      <c r="C8906" s="2" t="s">
        <v>13</v>
      </c>
      <c r="D8906" s="2" t="s">
        <v>12</v>
      </c>
      <c r="E8906" s="2" t="s">
        <v>17</v>
      </c>
      <c r="F8906" s="2" t="str">
        <f>HYPERLINK("http://www.12365auto.com/zlts/20200212/446946.shtml","http://www.12365auto.com/zlts/20200212/446946.shtml")</f>
        <v>http://www.12365auto.com/zlts/20200212/446946.shtml</v>
      </c>
      <c r="G8906" s="2"/>
      <c r="H8906" s="2" t="s">
        <v>12092</v>
      </c>
      <c r="I8906" s="2" t="s">
        <v>19</v>
      </c>
      <c r="J8906" s="2" t="s">
        <v>12</v>
      </c>
      <c r="K8906" s="2" t="s">
        <v>12093</v>
      </c>
      <c r="L8906" s="2">
        <f t="shared" si="139"/>
        <v>150</v>
      </c>
    </row>
    <row r="8907" spans="1:12" ht="25" customHeight="1">
      <c r="A8907" s="2" t="s">
        <v>12</v>
      </c>
      <c r="B8907" s="2" t="str">
        <f>HYPERLINK("http://www.12365auto.com/news/20200212/418331.shtml","线上商城可预购保养套餐 奥迪官网体验")</f>
        <v>线上商城可预购保养套餐 奥迪官网体验</v>
      </c>
      <c r="C8907" s="2" t="s">
        <v>13</v>
      </c>
      <c r="D8907" s="2" t="s">
        <v>12</v>
      </c>
      <c r="E8907" s="2" t="s">
        <v>276</v>
      </c>
      <c r="F8907" s="2" t="str">
        <f>HYPERLINK("http://www.12365auto.com/news/20200212/418331.shtml","http://www.12365auto.com/news/20200212/418331.shtml")</f>
        <v>http://www.12365auto.com/news/20200212/418331.shtml</v>
      </c>
      <c r="G8907" s="2"/>
      <c r="H8907" s="2" t="s">
        <v>12094</v>
      </c>
      <c r="I8907" s="2" t="s">
        <v>15</v>
      </c>
      <c r="J8907" s="2" t="s">
        <v>12</v>
      </c>
      <c r="K8907" s="2" t="s">
        <v>12095</v>
      </c>
      <c r="L8907" s="2">
        <f t="shared" si="139"/>
        <v>150</v>
      </c>
    </row>
    <row r="8908" spans="1:12" ht="25" customHeight="1">
      <c r="A8908" s="2" t="s">
        <v>12</v>
      </c>
      <c r="B8908" s="2" t="str">
        <f>HYPERLINK("http://m.12365auto.com/news/20200212/418331.shtml","线上商城可预购保养套餐 奥迪官网体验")</f>
        <v>线上商城可预购保养套餐 奥迪官网体验</v>
      </c>
      <c r="C8908" s="2" t="s">
        <v>13</v>
      </c>
      <c r="D8908" s="2" t="s">
        <v>12</v>
      </c>
      <c r="E8908" s="2"/>
      <c r="F8908" s="2" t="str">
        <f>HYPERLINK("http://m.12365auto.com/news/20200212/418331.shtml","http://m.12365auto.com/news/20200212/418331.shtml")</f>
        <v>http://m.12365auto.com/news/20200212/418331.shtml</v>
      </c>
      <c r="G8908" s="2"/>
      <c r="H8908" s="2" t="s">
        <v>12096</v>
      </c>
      <c r="I8908" s="2" t="s">
        <v>19</v>
      </c>
      <c r="J8908" s="2" t="s">
        <v>8579</v>
      </c>
      <c r="K8908" s="2" t="s">
        <v>12095</v>
      </c>
      <c r="L8908" s="2">
        <f t="shared" si="139"/>
        <v>150</v>
      </c>
    </row>
    <row r="8909" spans="1:12" ht="25" customHeight="1">
      <c r="A8909" s="2" t="s">
        <v>12</v>
      </c>
      <c r="B8909" s="2" t="str">
        <f>HYPERLINK("http://www.12365auto.com/xcdg/20200212/418330.shtml","新一代钢炮之王 大众全新GTI TCR原型车曝光")</f>
        <v>新一代钢炮之王 大众全新GTI TCR原型车曝光</v>
      </c>
      <c r="C8909" s="2" t="s">
        <v>13</v>
      </c>
      <c r="D8909" s="2" t="s">
        <v>12</v>
      </c>
      <c r="E8909" s="2" t="s">
        <v>224</v>
      </c>
      <c r="F8909" s="2" t="str">
        <f>HYPERLINK("http://www.12365auto.com/xcdg/20200212/418330.shtml","http://www.12365auto.com/xcdg/20200212/418330.shtml")</f>
        <v>http://www.12365auto.com/xcdg/20200212/418330.shtml</v>
      </c>
      <c r="G8909" s="2"/>
      <c r="H8909" s="2" t="s">
        <v>12097</v>
      </c>
      <c r="I8909" s="2" t="s">
        <v>15</v>
      </c>
      <c r="J8909" s="2" t="s">
        <v>12</v>
      </c>
      <c r="K8909" s="2" t="s">
        <v>12098</v>
      </c>
      <c r="L8909" s="2">
        <f t="shared" si="139"/>
        <v>150</v>
      </c>
    </row>
    <row r="8910" spans="1:12" ht="25" customHeight="1">
      <c r="A8910" s="2" t="s">
        <v>12</v>
      </c>
      <c r="B8910" s="2" t="str">
        <f>HYPERLINK("http://m.12365auto.com/xcdg/20200212/418330.shtml","新一代钢炮之王 大众全新GTI TCR原型车曝光")</f>
        <v>新一代钢炮之王 大众全新GTI TCR原型车曝光</v>
      </c>
      <c r="C8910" s="2" t="s">
        <v>13</v>
      </c>
      <c r="D8910" s="2" t="s">
        <v>12</v>
      </c>
      <c r="E8910" s="2"/>
      <c r="F8910" s="2" t="str">
        <f>HYPERLINK("http://m.12365auto.com/xcdg/20200212/418330.shtml","http://m.12365auto.com/xcdg/20200212/418330.shtml")</f>
        <v>http://m.12365auto.com/xcdg/20200212/418330.shtml</v>
      </c>
      <c r="G8910" s="2"/>
      <c r="H8910" s="2" t="s">
        <v>12099</v>
      </c>
      <c r="I8910" s="2" t="s">
        <v>19</v>
      </c>
      <c r="J8910" s="2" t="s">
        <v>238</v>
      </c>
      <c r="K8910" s="2" t="s">
        <v>12098</v>
      </c>
      <c r="L8910" s="2">
        <f t="shared" si="139"/>
        <v>150</v>
      </c>
    </row>
    <row r="8911" spans="1:12" ht="25" customHeight="1">
      <c r="A8911" s="2" t="s">
        <v>12</v>
      </c>
      <c r="B8911" s="2" t="str">
        <f>HYPERLINK("http://www.12365auto.com/xcdg/20200212/418329.shtml","尺寸增大/更像SUV 宝马2系旅行车谍照曝光")</f>
        <v>尺寸增大/更像SUV 宝马2系旅行车谍照曝光</v>
      </c>
      <c r="C8911" s="2" t="s">
        <v>13</v>
      </c>
      <c r="D8911" s="2" t="s">
        <v>12</v>
      </c>
      <c r="E8911" s="2" t="s">
        <v>224</v>
      </c>
      <c r="F8911" s="2" t="str">
        <f>HYPERLINK("http://www.12365auto.com/xcdg/20200212/418329.shtml","http://www.12365auto.com/xcdg/20200212/418329.shtml")</f>
        <v>http://www.12365auto.com/xcdg/20200212/418329.shtml</v>
      </c>
      <c r="G8911" s="2"/>
      <c r="H8911" s="2" t="s">
        <v>12100</v>
      </c>
      <c r="I8911" s="2" t="s">
        <v>15</v>
      </c>
      <c r="J8911" s="2" t="s">
        <v>12</v>
      </c>
      <c r="K8911" s="2" t="s">
        <v>12101</v>
      </c>
      <c r="L8911" s="2">
        <f t="shared" si="139"/>
        <v>150</v>
      </c>
    </row>
    <row r="8912" spans="1:12" ht="25" customHeight="1">
      <c r="A8912" s="2" t="s">
        <v>12</v>
      </c>
      <c r="B8912" s="2" t="str">
        <f>HYPERLINK("http://m.12365auto.com/xcdg/20200212/418329.shtml","尺寸增大/更像SUV 宝马2系旅行车谍照曝光")</f>
        <v>尺寸增大/更像SUV 宝马2系旅行车谍照曝光</v>
      </c>
      <c r="C8912" s="2" t="s">
        <v>13</v>
      </c>
      <c r="D8912" s="2" t="s">
        <v>12</v>
      </c>
      <c r="E8912" s="2"/>
      <c r="F8912" s="2" t="str">
        <f>HYPERLINK("http://m.12365auto.com/xcdg/20200212/418329.shtml","http://m.12365auto.com/xcdg/20200212/418329.shtml")</f>
        <v>http://m.12365auto.com/xcdg/20200212/418329.shtml</v>
      </c>
      <c r="G8912" s="2"/>
      <c r="H8912" s="2" t="s">
        <v>12102</v>
      </c>
      <c r="I8912" s="2" t="s">
        <v>19</v>
      </c>
      <c r="J8912" s="2" t="s">
        <v>1117</v>
      </c>
      <c r="K8912" s="2" t="s">
        <v>12101</v>
      </c>
      <c r="L8912" s="2">
        <f t="shared" si="139"/>
        <v>150</v>
      </c>
    </row>
    <row r="8913" spans="1:12" ht="25" customHeight="1">
      <c r="A8913" s="2" t="s">
        <v>12</v>
      </c>
      <c r="B8913" s="2" t="str">
        <f>HYPERLINK("http://bbs.12365auto.com/postcontent.aspx?tId=193882","没有这几个配置的车都是耍流氓 再便宜也不能买")</f>
        <v>没有这几个配置的车都是耍流氓 再便宜也不能买</v>
      </c>
      <c r="C8913" s="2" t="s">
        <v>13</v>
      </c>
      <c r="D8913" s="2" t="s">
        <v>12</v>
      </c>
      <c r="E8913" s="2" t="s">
        <v>210</v>
      </c>
      <c r="F8913" s="2" t="str">
        <f>HYPERLINK("http://bbs.12365auto.com/postcontent.aspx?tId=193882","http://bbs.12365auto.com/postcontent.aspx?tId=193882")</f>
        <v>http://bbs.12365auto.com/postcontent.aspx?tId=193882</v>
      </c>
      <c r="G8913" s="2"/>
      <c r="H8913" s="2" t="s">
        <v>12103</v>
      </c>
      <c r="I8913" s="2" t="s">
        <v>15</v>
      </c>
      <c r="J8913" s="2" t="s">
        <v>12104</v>
      </c>
      <c r="K8913" s="2" t="s">
        <v>12105</v>
      </c>
      <c r="L8913" s="2">
        <f t="shared" si="139"/>
        <v>150</v>
      </c>
    </row>
    <row r="8914" spans="1:12" ht="25" customHeight="1">
      <c r="A8914" s="2" t="s">
        <v>12</v>
      </c>
      <c r="B8914" s="2" t="str">
        <f>HYPERLINK("http://bbs.12365auto.com/postcontent.aspx?tID=193882","没有这几个配置的车都是耍流氓 再便宜也不能买")</f>
        <v>没有这几个配置的车都是耍流氓 再便宜也不能买</v>
      </c>
      <c r="C8914" s="2" t="s">
        <v>13</v>
      </c>
      <c r="D8914" s="2" t="s">
        <v>12</v>
      </c>
      <c r="E8914" s="2" t="s">
        <v>214</v>
      </c>
      <c r="F8914" s="2" t="str">
        <f>HYPERLINK("http://bbs.12365auto.com/postcontent.aspx?tID=193882","http://bbs.12365auto.com/postcontent.aspx?tID=193882")</f>
        <v>http://bbs.12365auto.com/postcontent.aspx?tID=193882</v>
      </c>
      <c r="G8914" s="2"/>
      <c r="H8914" s="2" t="s">
        <v>12106</v>
      </c>
      <c r="I8914" s="2" t="s">
        <v>15</v>
      </c>
      <c r="J8914" s="2" t="s">
        <v>12104</v>
      </c>
      <c r="K8914" s="2" t="s">
        <v>12105</v>
      </c>
      <c r="L8914" s="2">
        <f t="shared" si="139"/>
        <v>150</v>
      </c>
    </row>
    <row r="8915" spans="1:12" ht="25" customHeight="1">
      <c r="A8915" s="2" t="s">
        <v>12</v>
      </c>
      <c r="B8915" s="2" t="str">
        <f>HYPERLINK("http://m.12365auto.com/bbs/postcontent.aspx?tID=193882","没有这几个配置的车都是耍流氓 再便宜也不能买")</f>
        <v>没有这几个配置的车都是耍流氓 再便宜也不能买</v>
      </c>
      <c r="C8915" s="2" t="s">
        <v>13</v>
      </c>
      <c r="D8915" s="2" t="s">
        <v>23</v>
      </c>
      <c r="E8915" s="2"/>
      <c r="F8915" s="2" t="str">
        <f>HYPERLINK("http://m.12365auto.com/bbs/postcontent.aspx?tID=193882","http://m.12365auto.com/bbs/postcontent.aspx?tID=193882")</f>
        <v>http://m.12365auto.com/bbs/postcontent.aspx?tID=193882</v>
      </c>
      <c r="G8915" s="2"/>
      <c r="H8915" s="2" t="s">
        <v>12103</v>
      </c>
      <c r="I8915" s="2" t="s">
        <v>15</v>
      </c>
      <c r="J8915" s="2" t="s">
        <v>12104</v>
      </c>
      <c r="K8915" s="2" t="s">
        <v>12105</v>
      </c>
      <c r="L8915" s="2">
        <f t="shared" si="139"/>
        <v>150</v>
      </c>
    </row>
    <row r="8916" spans="1:12" ht="25" customHeight="1">
      <c r="A8916" s="2" t="s">
        <v>12</v>
      </c>
      <c r="B8916" s="2" t="str">
        <f>HYPERLINK("http://m.12365auto.com/xcdg/20200212/418328.shtml","限量50台 宝马X5 Timeless Edition特别版")</f>
        <v>限量50台 宝马X5 Timeless Edition特别版</v>
      </c>
      <c r="C8916" s="2" t="s">
        <v>13</v>
      </c>
      <c r="D8916" s="2" t="s">
        <v>12</v>
      </c>
      <c r="E8916" s="2"/>
      <c r="F8916" s="2" t="str">
        <f>HYPERLINK("http://m.12365auto.com/xcdg/20200212/418328.shtml","http://m.12365auto.com/xcdg/20200212/418328.shtml")</f>
        <v>http://m.12365auto.com/xcdg/20200212/418328.shtml</v>
      </c>
      <c r="G8916" s="2"/>
      <c r="H8916" s="2" t="s">
        <v>12107</v>
      </c>
      <c r="I8916" s="2" t="s">
        <v>19</v>
      </c>
      <c r="J8916" s="2" t="s">
        <v>238</v>
      </c>
      <c r="K8916" s="2" t="s">
        <v>12108</v>
      </c>
      <c r="L8916" s="2">
        <f t="shared" si="139"/>
        <v>150</v>
      </c>
    </row>
    <row r="8917" spans="1:12" ht="25" customHeight="1">
      <c r="A8917" s="2" t="s">
        <v>12</v>
      </c>
      <c r="B8917" s="2" t="str">
        <f>HYPERLINK("http://www.12365auto.com/xcdg/20200212/418328.shtml","限量50台 宝马X5 Timeless Edition特别版")</f>
        <v>限量50台 宝马X5 Timeless Edition特别版</v>
      </c>
      <c r="C8917" s="2" t="s">
        <v>13</v>
      </c>
      <c r="D8917" s="2" t="s">
        <v>12</v>
      </c>
      <c r="E8917" s="2" t="s">
        <v>216</v>
      </c>
      <c r="F8917" s="2" t="str">
        <f>HYPERLINK("http://www.12365auto.com/xcdg/20200212/418328.shtml","http://www.12365auto.com/xcdg/20200212/418328.shtml")</f>
        <v>http://www.12365auto.com/xcdg/20200212/418328.shtml</v>
      </c>
      <c r="G8917" s="2"/>
      <c r="H8917" s="2" t="s">
        <v>12109</v>
      </c>
      <c r="I8917" s="2" t="s">
        <v>15</v>
      </c>
      <c r="J8917" s="2" t="s">
        <v>12</v>
      </c>
      <c r="K8917" s="2" t="s">
        <v>12108</v>
      </c>
      <c r="L8917" s="2">
        <f t="shared" si="139"/>
        <v>150</v>
      </c>
    </row>
    <row r="8918" spans="1:12" ht="25" customHeight="1">
      <c r="A8918" s="2" t="s">
        <v>12</v>
      </c>
      <c r="B8918" s="2" t="str">
        <f>HYPERLINK("http://m.12365auto.com/xcdg/20200212/418327.shtml","来自未来的城市通勤精灵 曝新宝骏E300内饰")</f>
        <v>来自未来的城市通勤精灵 曝新宝骏E300内饰</v>
      </c>
      <c r="C8918" s="2" t="s">
        <v>13</v>
      </c>
      <c r="D8918" s="2" t="s">
        <v>12</v>
      </c>
      <c r="E8918" s="2"/>
      <c r="F8918" s="2" t="str">
        <f>HYPERLINK("http://m.12365auto.com/xcdg/20200212/418327.shtml","http://m.12365auto.com/xcdg/20200212/418327.shtml")</f>
        <v>http://m.12365auto.com/xcdg/20200212/418327.shtml</v>
      </c>
      <c r="G8918" s="2"/>
      <c r="H8918" s="2" t="s">
        <v>12110</v>
      </c>
      <c r="I8918" s="2" t="s">
        <v>19</v>
      </c>
      <c r="J8918" s="2" t="s">
        <v>238</v>
      </c>
      <c r="K8918" s="2" t="s">
        <v>12111</v>
      </c>
      <c r="L8918" s="2">
        <f t="shared" si="139"/>
        <v>150</v>
      </c>
    </row>
    <row r="8919" spans="1:12" ht="25" customHeight="1">
      <c r="A8919" s="2" t="s">
        <v>12</v>
      </c>
      <c r="B8919" s="2" t="str">
        <f>HYPERLINK("http://www.12365auto.com/xcdg/20200212/418327.shtml","来自未来的城市通勤精灵 曝新宝骏E300内饰")</f>
        <v>来自未来的城市通勤精灵 曝新宝骏E300内饰</v>
      </c>
      <c r="C8919" s="2" t="s">
        <v>13</v>
      </c>
      <c r="D8919" s="2" t="s">
        <v>12</v>
      </c>
      <c r="E8919" s="2" t="s">
        <v>216</v>
      </c>
      <c r="F8919" s="2" t="str">
        <f>HYPERLINK("http://www.12365auto.com/xcdg/20200212/418327.shtml","http://www.12365auto.com/xcdg/20200212/418327.shtml")</f>
        <v>http://www.12365auto.com/xcdg/20200212/418327.shtml</v>
      </c>
      <c r="G8919" s="2"/>
      <c r="H8919" s="2" t="s">
        <v>12112</v>
      </c>
      <c r="I8919" s="2" t="s">
        <v>15</v>
      </c>
      <c r="J8919" s="2" t="s">
        <v>12</v>
      </c>
      <c r="K8919" s="2" t="s">
        <v>12111</v>
      </c>
      <c r="L8919" s="2">
        <f t="shared" si="139"/>
        <v>150</v>
      </c>
    </row>
    <row r="8920" spans="1:12" ht="25" customHeight="1">
      <c r="A8920" s="2" t="s">
        <v>12</v>
      </c>
      <c r="B8920" s="2" t="str">
        <f>HYPERLINK("http://m.12365auto.com/xcdg/20200212/418326.shtml","奔驰EQA即将在今年海外上市 打造新能源阵容")</f>
        <v>奔驰EQA即将在今年海外上市 打造新能源阵容</v>
      </c>
      <c r="C8920" s="2" t="s">
        <v>13</v>
      </c>
      <c r="D8920" s="2" t="s">
        <v>12</v>
      </c>
      <c r="E8920" s="2"/>
      <c r="F8920" s="2" t="str">
        <f>HYPERLINK("http://m.12365auto.com/xcdg/20200212/418326.shtml","http://m.12365auto.com/xcdg/20200212/418326.shtml")</f>
        <v>http://m.12365auto.com/xcdg/20200212/418326.shtml</v>
      </c>
      <c r="G8920" s="2"/>
      <c r="H8920" s="2" t="s">
        <v>12113</v>
      </c>
      <c r="I8920" s="2" t="s">
        <v>19</v>
      </c>
      <c r="J8920" s="2" t="s">
        <v>1099</v>
      </c>
      <c r="K8920" s="2" t="s">
        <v>12114</v>
      </c>
      <c r="L8920" s="2">
        <f t="shared" si="139"/>
        <v>150</v>
      </c>
    </row>
    <row r="8921" spans="1:12" ht="25" customHeight="1">
      <c r="A8921" s="2" t="s">
        <v>12</v>
      </c>
      <c r="B8921" s="2" t="str">
        <f>HYPERLINK("http://www.12365auto.com/xcdg/20200212/418326.shtml","奔驰EQA即将在今年海外上市 打造新能源阵容")</f>
        <v>奔驰EQA即将在今年海外上市 打造新能源阵容</v>
      </c>
      <c r="C8921" s="2" t="s">
        <v>13</v>
      </c>
      <c r="D8921" s="2" t="s">
        <v>12</v>
      </c>
      <c r="E8921" s="2" t="s">
        <v>216</v>
      </c>
      <c r="F8921" s="2" t="str">
        <f>HYPERLINK("http://www.12365auto.com/xcdg/20200212/418326.shtml","http://www.12365auto.com/xcdg/20200212/418326.shtml")</f>
        <v>http://www.12365auto.com/xcdg/20200212/418326.shtml</v>
      </c>
      <c r="G8921" s="2"/>
      <c r="H8921" s="2" t="s">
        <v>12115</v>
      </c>
      <c r="I8921" s="2" t="s">
        <v>15</v>
      </c>
      <c r="J8921" s="2" t="s">
        <v>12</v>
      </c>
      <c r="K8921" s="2" t="s">
        <v>12114</v>
      </c>
      <c r="L8921" s="2">
        <f t="shared" si="139"/>
        <v>150</v>
      </c>
    </row>
    <row r="8922" spans="1:12" ht="25" customHeight="1">
      <c r="A8922" s="2" t="s">
        <v>12</v>
      </c>
      <c r="B8922" s="2" t="str">
        <f>HYPERLINK("http://m.12365auto.com/xcdg/20200212/418325.shtml","不是跨界这么简单 福克斯Active竞争力分析")</f>
        <v>不是跨界这么简单 福克斯Active竞争力分析</v>
      </c>
      <c r="C8922" s="2" t="s">
        <v>13</v>
      </c>
      <c r="D8922" s="2" t="s">
        <v>12</v>
      </c>
      <c r="E8922" s="2"/>
      <c r="F8922" s="2" t="str">
        <f>HYPERLINK("http://m.12365auto.com/xcdg/20200212/418325.shtml","http://m.12365auto.com/xcdg/20200212/418325.shtml")</f>
        <v>http://m.12365auto.com/xcdg/20200212/418325.shtml</v>
      </c>
      <c r="G8922" s="2"/>
      <c r="H8922" s="2" t="s">
        <v>12116</v>
      </c>
      <c r="I8922" s="2" t="s">
        <v>19</v>
      </c>
      <c r="J8922" s="2" t="s">
        <v>1069</v>
      </c>
      <c r="K8922" s="2" t="s">
        <v>12117</v>
      </c>
      <c r="L8922" s="2">
        <f t="shared" si="139"/>
        <v>150</v>
      </c>
    </row>
    <row r="8923" spans="1:12" ht="25" customHeight="1">
      <c r="A8923" s="2" t="s">
        <v>12</v>
      </c>
      <c r="B8923" s="2" t="str">
        <f>HYPERLINK("http://m.12365auto.com/xcdg/20200212/418324.shtml","全新Ei6/i5 CROSS等 荣威2020年新车规划")</f>
        <v>全新Ei6/i5 CROSS等 荣威2020年新车规划</v>
      </c>
      <c r="C8923" s="2" t="s">
        <v>13</v>
      </c>
      <c r="D8923" s="2" t="s">
        <v>12</v>
      </c>
      <c r="E8923" s="2"/>
      <c r="F8923" s="2" t="str">
        <f>HYPERLINK("http://m.12365auto.com/xcdg/20200212/418324.shtml","http://m.12365auto.com/xcdg/20200212/418324.shtml")</f>
        <v>http://m.12365auto.com/xcdg/20200212/418324.shtml</v>
      </c>
      <c r="G8923" s="2"/>
      <c r="H8923" s="2" t="s">
        <v>12118</v>
      </c>
      <c r="I8923" s="2" t="s">
        <v>19</v>
      </c>
      <c r="J8923" s="2" t="s">
        <v>768</v>
      </c>
      <c r="K8923" s="2" t="s">
        <v>12119</v>
      </c>
      <c r="L8923" s="2">
        <f t="shared" si="139"/>
        <v>150</v>
      </c>
    </row>
    <row r="8924" spans="1:12" ht="25" customHeight="1">
      <c r="A8924" s="2" t="s">
        <v>12</v>
      </c>
      <c r="B8924" s="2" t="str">
        <f>HYPERLINK("http://bbs.12365auto.com/postcontent.aspx?tId=193880","汽车开十年以上是一种什么感觉？真的有人把车开这么久吗？")</f>
        <v>汽车开十年以上是一种什么感觉？真的有人把车开这么久吗？</v>
      </c>
      <c r="C8924" s="2" t="s">
        <v>13</v>
      </c>
      <c r="D8924" s="2" t="s">
        <v>12</v>
      </c>
      <c r="E8924" s="2" t="s">
        <v>210</v>
      </c>
      <c r="F8924" s="2" t="str">
        <f>HYPERLINK("http://bbs.12365auto.com/postcontent.aspx?tId=193880","http://bbs.12365auto.com/postcontent.aspx?tId=193880")</f>
        <v>http://bbs.12365auto.com/postcontent.aspx?tId=193880</v>
      </c>
      <c r="G8924" s="2"/>
      <c r="H8924" s="2" t="s">
        <v>12120</v>
      </c>
      <c r="I8924" s="2" t="s">
        <v>15</v>
      </c>
      <c r="J8924" s="2" t="s">
        <v>12104</v>
      </c>
      <c r="K8924" s="2" t="s">
        <v>12119</v>
      </c>
      <c r="L8924" s="2">
        <f t="shared" si="139"/>
        <v>150</v>
      </c>
    </row>
    <row r="8925" spans="1:12" ht="25" customHeight="1">
      <c r="A8925" s="2" t="s">
        <v>12</v>
      </c>
      <c r="B8925" s="2" t="str">
        <f>HYPERLINK("http://bbs.12365auto.com/postcontent.aspx?tId=193881","新车六年免检政策踩“坑” 分分钟被交警罚款又扣车")</f>
        <v>新车六年免检政策踩“坑” 分分钟被交警罚款又扣车</v>
      </c>
      <c r="C8925" s="2" t="s">
        <v>13</v>
      </c>
      <c r="D8925" s="2" t="s">
        <v>12</v>
      </c>
      <c r="E8925" s="2" t="s">
        <v>210</v>
      </c>
      <c r="F8925" s="2" t="str">
        <f>HYPERLINK("http://bbs.12365auto.com/postcontent.aspx?tId=193881","http://bbs.12365auto.com/postcontent.aspx?tId=193881")</f>
        <v>http://bbs.12365auto.com/postcontent.aspx?tId=193881</v>
      </c>
      <c r="G8925" s="2"/>
      <c r="H8925" s="2" t="s">
        <v>12121</v>
      </c>
      <c r="I8925" s="2" t="s">
        <v>15</v>
      </c>
      <c r="J8925" s="2" t="s">
        <v>12104</v>
      </c>
      <c r="K8925" s="2" t="s">
        <v>12119</v>
      </c>
      <c r="L8925" s="2">
        <f t="shared" si="139"/>
        <v>150</v>
      </c>
    </row>
    <row r="8926" spans="1:12" ht="25" customHeight="1">
      <c r="A8926" s="2" t="s">
        <v>12</v>
      </c>
      <c r="B8926" s="2" t="str">
        <f>HYPERLINK("http://bbs.12365auto.com/postcontent.aspx?tID=193880","汽车开十年以上是一种什么感觉？真的有人把车开这么久吗？")</f>
        <v>汽车开十年以上是一种什么感觉？真的有人把车开这么久吗？</v>
      </c>
      <c r="C8926" s="2" t="s">
        <v>13</v>
      </c>
      <c r="D8926" s="2" t="s">
        <v>12</v>
      </c>
      <c r="E8926" s="2" t="s">
        <v>214</v>
      </c>
      <c r="F8926" s="2" t="str">
        <f>HYPERLINK("http://bbs.12365auto.com/postcontent.aspx?tID=193880","http://bbs.12365auto.com/postcontent.aspx?tID=193880")</f>
        <v>http://bbs.12365auto.com/postcontent.aspx?tID=193880</v>
      </c>
      <c r="G8926" s="2"/>
      <c r="H8926" s="2" t="s">
        <v>12122</v>
      </c>
      <c r="I8926" s="2" t="s">
        <v>15</v>
      </c>
      <c r="J8926" s="2" t="s">
        <v>12104</v>
      </c>
      <c r="K8926" s="2" t="s">
        <v>12119</v>
      </c>
      <c r="L8926" s="2">
        <f t="shared" si="139"/>
        <v>150</v>
      </c>
    </row>
    <row r="8927" spans="1:12" ht="25" customHeight="1">
      <c r="A8927" s="2" t="s">
        <v>12</v>
      </c>
      <c r="B8927" s="2" t="str">
        <f>HYPERLINK("http://bbs.12365auto.com/postcontent.aspx?tID=193881","新车六年免检政策踩“坑” 分分钟被交警罚款又扣车")</f>
        <v>新车六年免检政策踩“坑” 分分钟被交警罚款又扣车</v>
      </c>
      <c r="C8927" s="2" t="s">
        <v>13</v>
      </c>
      <c r="D8927" s="2" t="s">
        <v>12</v>
      </c>
      <c r="E8927" s="2" t="s">
        <v>214</v>
      </c>
      <c r="F8927" s="2" t="str">
        <f>HYPERLINK("http://bbs.12365auto.com/postcontent.aspx?tID=193881","http://bbs.12365auto.com/postcontent.aspx?tID=193881")</f>
        <v>http://bbs.12365auto.com/postcontent.aspx?tID=193881</v>
      </c>
      <c r="G8927" s="2"/>
      <c r="H8927" s="2" t="s">
        <v>12123</v>
      </c>
      <c r="I8927" s="2" t="s">
        <v>15</v>
      </c>
      <c r="J8927" s="2" t="s">
        <v>12104</v>
      </c>
      <c r="K8927" s="2" t="s">
        <v>12119</v>
      </c>
      <c r="L8927" s="2">
        <f t="shared" si="139"/>
        <v>150</v>
      </c>
    </row>
    <row r="8928" spans="1:12" ht="25" customHeight="1">
      <c r="A8928" s="2" t="s">
        <v>12</v>
      </c>
      <c r="B8928" s="2" t="str">
        <f>HYPERLINK("http://m.12365auto.com/bbs/postcontent.aspx?tID=193881","新车六年免检政策踩“坑” 分分钟被交警罚款又扣车")</f>
        <v>新车六年免检政策踩“坑” 分分钟被交警罚款又扣车</v>
      </c>
      <c r="C8928" s="2" t="s">
        <v>13</v>
      </c>
      <c r="D8928" s="2" t="s">
        <v>23</v>
      </c>
      <c r="E8928" s="2"/>
      <c r="F8928" s="2" t="str">
        <f>HYPERLINK("http://m.12365auto.com/bbs/postcontent.aspx?tID=193881","http://m.12365auto.com/bbs/postcontent.aspx?tID=193881")</f>
        <v>http://m.12365auto.com/bbs/postcontent.aspx?tID=193881</v>
      </c>
      <c r="G8928" s="2"/>
      <c r="H8928" s="2" t="s">
        <v>12121</v>
      </c>
      <c r="I8928" s="2" t="s">
        <v>15</v>
      </c>
      <c r="J8928" s="2" t="s">
        <v>12104</v>
      </c>
      <c r="K8928" s="2" t="s">
        <v>12119</v>
      </c>
      <c r="L8928" s="2">
        <f t="shared" si="139"/>
        <v>150</v>
      </c>
    </row>
    <row r="8929" spans="1:12" ht="25" customHeight="1">
      <c r="A8929" s="2" t="s">
        <v>12</v>
      </c>
      <c r="B8929" s="2" t="str">
        <f>HYPERLINK("http://m.12365auto.com/bbs/postcontent.aspx?tID=193880","汽车开十年以上是一种什么感觉？真的有人把车开这么久吗？")</f>
        <v>汽车开十年以上是一种什么感觉？真的有人把车开这么久吗？</v>
      </c>
      <c r="C8929" s="2" t="s">
        <v>13</v>
      </c>
      <c r="D8929" s="2" t="s">
        <v>23</v>
      </c>
      <c r="E8929" s="2"/>
      <c r="F8929" s="2" t="str">
        <f>HYPERLINK("http://m.12365auto.com/bbs/postcontent.aspx?tID=193880","http://m.12365auto.com/bbs/postcontent.aspx?tID=193880")</f>
        <v>http://m.12365auto.com/bbs/postcontent.aspx?tID=193880</v>
      </c>
      <c r="G8929" s="2"/>
      <c r="H8929" s="2" t="s">
        <v>12120</v>
      </c>
      <c r="I8929" s="2" t="s">
        <v>15</v>
      </c>
      <c r="J8929" s="2" t="s">
        <v>12104</v>
      </c>
      <c r="K8929" s="2" t="s">
        <v>12119</v>
      </c>
      <c r="L8929" s="2">
        <f t="shared" si="139"/>
        <v>150</v>
      </c>
    </row>
    <row r="8930" spans="1:12" ht="25" customHeight="1">
      <c r="A8930" s="2" t="s">
        <v>12</v>
      </c>
      <c r="B8930" s="2" t="str">
        <f>HYPERLINK("http://www.12365auto.com/xcdg/20200212/418324.shtml","全新Ei6/i5 CROSS等 荣威2020年新车规划")</f>
        <v>全新Ei6/i5 CROSS等 荣威2020年新车规划</v>
      </c>
      <c r="C8930" s="2" t="s">
        <v>13</v>
      </c>
      <c r="D8930" s="2" t="s">
        <v>12</v>
      </c>
      <c r="E8930" s="2" t="s">
        <v>216</v>
      </c>
      <c r="F8930" s="2" t="str">
        <f>HYPERLINK("http://www.12365auto.com/xcdg/20200212/418324.shtml","http://www.12365auto.com/xcdg/20200212/418324.shtml")</f>
        <v>http://www.12365auto.com/xcdg/20200212/418324.shtml</v>
      </c>
      <c r="G8930" s="2"/>
      <c r="H8930" s="2" t="s">
        <v>12124</v>
      </c>
      <c r="I8930" s="2" t="s">
        <v>15</v>
      </c>
      <c r="J8930" s="2" t="s">
        <v>12</v>
      </c>
      <c r="K8930" s="2" t="s">
        <v>12119</v>
      </c>
      <c r="L8930" s="2">
        <f t="shared" si="139"/>
        <v>150</v>
      </c>
    </row>
    <row r="8931" spans="1:12" ht="25" customHeight="1">
      <c r="A8931" s="2" t="s">
        <v>12</v>
      </c>
      <c r="B8931" s="2" t="str">
        <f>HYPERLINK("http://bbs.12365auto.com/postcontent.aspx?tID=193879","别用流血换教训 别拿生命换时间")</f>
        <v>别用流血换教训 别拿生命换时间</v>
      </c>
      <c r="C8931" s="2" t="s">
        <v>13</v>
      </c>
      <c r="D8931" s="2" t="s">
        <v>12</v>
      </c>
      <c r="E8931" s="2" t="s">
        <v>214</v>
      </c>
      <c r="F8931" s="2" t="str">
        <f>HYPERLINK("http://bbs.12365auto.com/postcontent.aspx?tID=193879","http://bbs.12365auto.com/postcontent.aspx?tID=193879")</f>
        <v>http://bbs.12365auto.com/postcontent.aspx?tID=193879</v>
      </c>
      <c r="G8931" s="2"/>
      <c r="H8931" s="2" t="s">
        <v>12126</v>
      </c>
      <c r="I8931" s="2" t="s">
        <v>15</v>
      </c>
      <c r="J8931" s="2" t="s">
        <v>12104</v>
      </c>
      <c r="K8931" s="2" t="s">
        <v>12125</v>
      </c>
      <c r="L8931" s="2">
        <f t="shared" si="139"/>
        <v>15</v>
      </c>
    </row>
    <row r="8932" spans="1:12" ht="25" customHeight="1">
      <c r="A8932" s="2" t="s">
        <v>12</v>
      </c>
      <c r="B8932" s="2" t="str">
        <f>HYPERLINK("http://bbs.12365auto.com/postcontent.aspx?tId=193878","打蜡镀晶加隐形车衣——论我为啥不用把车裱起来挂墙上")</f>
        <v>打蜡镀晶加隐形车衣——论我为啥不用把车裱起来挂墙上</v>
      </c>
      <c r="C8932" s="2" t="s">
        <v>13</v>
      </c>
      <c r="D8932" s="2" t="s">
        <v>12</v>
      </c>
      <c r="E8932" s="2" t="s">
        <v>210</v>
      </c>
      <c r="F8932" s="2" t="str">
        <f>HYPERLINK("http://bbs.12365auto.com/postcontent.aspx?tId=193878","http://bbs.12365auto.com/postcontent.aspx?tId=193878")</f>
        <v>http://bbs.12365auto.com/postcontent.aspx?tId=193878</v>
      </c>
      <c r="G8932" s="2"/>
      <c r="H8932" s="2" t="s">
        <v>12127</v>
      </c>
      <c r="I8932" s="2" t="s">
        <v>15</v>
      </c>
      <c r="J8932" s="2" t="s">
        <v>12104</v>
      </c>
      <c r="K8932" s="2" t="s">
        <v>12128</v>
      </c>
      <c r="L8932" s="2">
        <f t="shared" si="139"/>
        <v>150</v>
      </c>
    </row>
    <row r="8933" spans="1:12" ht="25" customHeight="1">
      <c r="A8933" s="2" t="s">
        <v>12</v>
      </c>
      <c r="B8933" s="2" t="str">
        <f>HYPERLINK("http://m.12365auto.com/bbs/postcontent.aspx?tID=193878","打蜡镀晶加隐形车衣——论我为啥不用把车裱起来挂墙上")</f>
        <v>打蜡镀晶加隐形车衣——论我为啥不用把车裱起来挂墙上</v>
      </c>
      <c r="C8933" s="2" t="s">
        <v>13</v>
      </c>
      <c r="D8933" s="2" t="s">
        <v>23</v>
      </c>
      <c r="E8933" s="2"/>
      <c r="F8933" s="2" t="str">
        <f>HYPERLINK("http://m.12365auto.com/bbs/postcontent.aspx?tID=193878","http://m.12365auto.com/bbs/postcontent.aspx?tID=193878")</f>
        <v>http://m.12365auto.com/bbs/postcontent.aspx?tID=193878</v>
      </c>
      <c r="G8933" s="2"/>
      <c r="H8933" s="2" t="s">
        <v>12127</v>
      </c>
      <c r="I8933" s="2" t="s">
        <v>15</v>
      </c>
      <c r="J8933" s="2" t="s">
        <v>12104</v>
      </c>
      <c r="K8933" s="2" t="s">
        <v>12128</v>
      </c>
      <c r="L8933" s="2">
        <f t="shared" si="139"/>
        <v>150</v>
      </c>
    </row>
    <row r="8934" spans="1:12" ht="25" customHeight="1">
      <c r="A8934" s="2" t="s">
        <v>12</v>
      </c>
      <c r="B8934" s="2" t="str">
        <f>HYPERLINK("http://bbs.12365auto.com/postcontent.aspx?tID=193878","打蜡镀晶加隐形车衣——论我为啥不用把车裱起来挂墙上")</f>
        <v>打蜡镀晶加隐形车衣——论我为啥不用把车裱起来挂墙上</v>
      </c>
      <c r="C8934" s="2" t="s">
        <v>13</v>
      </c>
      <c r="D8934" s="2" t="s">
        <v>12</v>
      </c>
      <c r="E8934" s="2" t="s">
        <v>214</v>
      </c>
      <c r="F8934" s="2" t="str">
        <f>HYPERLINK("http://bbs.12365auto.com/postcontent.aspx?tID=193878","http://bbs.12365auto.com/postcontent.aspx?tID=193878")</f>
        <v>http://bbs.12365auto.com/postcontent.aspx?tID=193878</v>
      </c>
      <c r="G8934" s="2"/>
      <c r="H8934" s="2" t="s">
        <v>12129</v>
      </c>
      <c r="I8934" s="2" t="s">
        <v>15</v>
      </c>
      <c r="J8934" s="2" t="s">
        <v>12104</v>
      </c>
      <c r="K8934" s="2" t="s">
        <v>12128</v>
      </c>
      <c r="L8934" s="2">
        <f t="shared" si="139"/>
        <v>150</v>
      </c>
    </row>
    <row r="8935" spans="1:12" ht="25" customHeight="1">
      <c r="A8935" s="2" t="s">
        <v>12</v>
      </c>
      <c r="B8935" s="2" t="str">
        <f>HYPERLINK("http://www.12365auto.com/xcdg/20200212/418323.shtml","荣威全新一代RX5将上市 换1.5T引擎")</f>
        <v>荣威全新一代RX5将上市 换1.5T引擎</v>
      </c>
      <c r="C8935" s="2" t="s">
        <v>13</v>
      </c>
      <c r="D8935" s="2" t="s">
        <v>12</v>
      </c>
      <c r="E8935" s="2" t="s">
        <v>216</v>
      </c>
      <c r="F8935" s="2" t="str">
        <f>HYPERLINK("http://www.12365auto.com/xcdg/20200212/418323.shtml","http://www.12365auto.com/xcdg/20200212/418323.shtml")</f>
        <v>http://www.12365auto.com/xcdg/20200212/418323.shtml</v>
      </c>
      <c r="G8935" s="2"/>
      <c r="H8935" s="2" t="s">
        <v>12130</v>
      </c>
      <c r="I8935" s="2" t="s">
        <v>15</v>
      </c>
      <c r="J8935" s="2" t="s">
        <v>12</v>
      </c>
      <c r="K8935" s="2" t="s">
        <v>12131</v>
      </c>
      <c r="L8935" s="2">
        <f t="shared" si="139"/>
        <v>150</v>
      </c>
    </row>
    <row r="8936" spans="1:12" ht="25" customHeight="1">
      <c r="A8936" s="2" t="s">
        <v>12</v>
      </c>
      <c r="B8936" s="2" t="str">
        <f>HYPERLINK("http://m.12365auto.com/xcdg/20200212/418323.shtml","荣威全新一代RX5将上市 换1.5T引擎")</f>
        <v>荣威全新一代RX5将上市 换1.5T引擎</v>
      </c>
      <c r="C8936" s="2" t="s">
        <v>13</v>
      </c>
      <c r="D8936" s="2" t="s">
        <v>12</v>
      </c>
      <c r="E8936" s="2"/>
      <c r="F8936" s="2" t="str">
        <f>HYPERLINK("http://m.12365auto.com/xcdg/20200212/418323.shtml","http://m.12365auto.com/xcdg/20200212/418323.shtml")</f>
        <v>http://m.12365auto.com/xcdg/20200212/418323.shtml</v>
      </c>
      <c r="G8936" s="2"/>
      <c r="H8936" s="2" t="s">
        <v>12132</v>
      </c>
      <c r="I8936" s="2" t="s">
        <v>19</v>
      </c>
      <c r="J8936" s="2" t="s">
        <v>3053</v>
      </c>
      <c r="K8936" s="2" t="s">
        <v>12131</v>
      </c>
      <c r="L8936" s="2">
        <f t="shared" si="139"/>
        <v>150</v>
      </c>
    </row>
    <row r="8937" spans="1:12" ht="25" customHeight="1">
      <c r="A8937" s="2" t="s">
        <v>12</v>
      </c>
      <c r="B8937" s="2" t="str">
        <f>HYPERLINK("http://www.12365auto.com/xcdg/20200212/418322.shtml","奥迪新款Q7售价曝光 搭2.0T引擎")</f>
        <v>奥迪新款Q7售价曝光 搭2.0T引擎</v>
      </c>
      <c r="C8937" s="2" t="s">
        <v>13</v>
      </c>
      <c r="D8937" s="2" t="s">
        <v>12</v>
      </c>
      <c r="E8937" s="2" t="s">
        <v>216</v>
      </c>
      <c r="F8937" s="2" t="str">
        <f>HYPERLINK("http://www.12365auto.com/xcdg/20200212/418322.shtml","http://www.12365auto.com/xcdg/20200212/418322.shtml")</f>
        <v>http://www.12365auto.com/xcdg/20200212/418322.shtml</v>
      </c>
      <c r="G8937" s="2"/>
      <c r="H8937" s="2" t="s">
        <v>12133</v>
      </c>
      <c r="I8937" s="2" t="s">
        <v>15</v>
      </c>
      <c r="J8937" s="2" t="s">
        <v>12</v>
      </c>
      <c r="K8937" s="2" t="s">
        <v>12134</v>
      </c>
      <c r="L8937" s="2">
        <f t="shared" si="139"/>
        <v>150</v>
      </c>
    </row>
    <row r="8938" spans="1:12" ht="25" customHeight="1">
      <c r="A8938" s="2" t="s">
        <v>12</v>
      </c>
      <c r="B8938" s="2" t="str">
        <f>HYPERLINK("http://m.12365auto.com/xcdg/20200212/418322.shtml","奥迪新款Q7售价曝光 搭2.0T引擎")</f>
        <v>奥迪新款Q7售价曝光 搭2.0T引擎</v>
      </c>
      <c r="C8938" s="2" t="s">
        <v>13</v>
      </c>
      <c r="D8938" s="2" t="s">
        <v>12</v>
      </c>
      <c r="E8938" s="2"/>
      <c r="F8938" s="2" t="str">
        <f>HYPERLINK("http://m.12365auto.com/xcdg/20200212/418322.shtml","http://m.12365auto.com/xcdg/20200212/418322.shtml")</f>
        <v>http://m.12365auto.com/xcdg/20200212/418322.shtml</v>
      </c>
      <c r="G8938" s="2"/>
      <c r="H8938" s="2" t="s">
        <v>12135</v>
      </c>
      <c r="I8938" s="2" t="s">
        <v>19</v>
      </c>
      <c r="J8938" s="2" t="s">
        <v>220</v>
      </c>
      <c r="K8938" s="2" t="s">
        <v>12134</v>
      </c>
      <c r="L8938" s="2">
        <f t="shared" si="139"/>
        <v>150</v>
      </c>
    </row>
    <row r="8939" spans="1:12" ht="25" customHeight="1">
      <c r="A8939" s="2" t="s">
        <v>12</v>
      </c>
      <c r="B8939" s="2" t="str">
        <f>HYPERLINK("http://www.12365auto.com/xcdg/20200212/418321.shtml","奇瑞新能源年内将推3款新车 SUV将下月预售")</f>
        <v>奇瑞新能源年内将推3款新车 SUV将下月预售</v>
      </c>
      <c r="C8939" s="2" t="s">
        <v>13</v>
      </c>
      <c r="D8939" s="2" t="s">
        <v>12</v>
      </c>
      <c r="E8939" s="2" t="s">
        <v>216</v>
      </c>
      <c r="F8939" s="2" t="str">
        <f>HYPERLINK("http://www.12365auto.com/xcdg/20200212/418321.shtml","http://www.12365auto.com/xcdg/20200212/418321.shtml")</f>
        <v>http://www.12365auto.com/xcdg/20200212/418321.shtml</v>
      </c>
      <c r="G8939" s="2"/>
      <c r="H8939" s="2" t="s">
        <v>12136</v>
      </c>
      <c r="I8939" s="2" t="s">
        <v>15</v>
      </c>
      <c r="J8939" s="2" t="s">
        <v>12</v>
      </c>
      <c r="K8939" s="2" t="s">
        <v>12137</v>
      </c>
      <c r="L8939" s="2">
        <f t="shared" si="139"/>
        <v>150</v>
      </c>
    </row>
    <row r="8940" spans="1:12" ht="25" customHeight="1">
      <c r="A8940" s="2" t="s">
        <v>12</v>
      </c>
      <c r="B8940" s="2" t="str">
        <f>HYPERLINK("http://m.12365auto.com/xcdg/20200212/418321.shtml","奇瑞新能源年内将推3款新车 SUV将下月预售")</f>
        <v>奇瑞新能源年内将推3款新车 SUV将下月预售</v>
      </c>
      <c r="C8940" s="2" t="s">
        <v>13</v>
      </c>
      <c r="D8940" s="2" t="s">
        <v>12</v>
      </c>
      <c r="E8940" s="2"/>
      <c r="F8940" s="2" t="str">
        <f>HYPERLINK("http://m.12365auto.com/xcdg/20200212/418321.shtml","http://m.12365auto.com/xcdg/20200212/418321.shtml")</f>
        <v>http://m.12365auto.com/xcdg/20200212/418321.shtml</v>
      </c>
      <c r="G8940" s="2"/>
      <c r="H8940" s="2" t="s">
        <v>12138</v>
      </c>
      <c r="I8940" s="2" t="s">
        <v>19</v>
      </c>
      <c r="J8940" s="2" t="s">
        <v>257</v>
      </c>
      <c r="K8940" s="2" t="s">
        <v>12137</v>
      </c>
      <c r="L8940" s="2">
        <f t="shared" si="139"/>
        <v>150</v>
      </c>
    </row>
    <row r="8941" spans="1:12" ht="25" customHeight="1">
      <c r="A8941" s="2" t="s">
        <v>12</v>
      </c>
      <c r="B8941" s="2" t="str">
        <f>HYPERLINK("http://m.12365auto.com/bbs/postcontent.aspx?tID=193877","盘点五款值得买的低配车型")</f>
        <v>盘点五款值得买的低配车型</v>
      </c>
      <c r="C8941" s="2" t="s">
        <v>13</v>
      </c>
      <c r="D8941" s="2" t="s">
        <v>23</v>
      </c>
      <c r="E8941" s="2"/>
      <c r="F8941" s="2" t="str">
        <f>HYPERLINK("http://m.12365auto.com/bbs/postcontent.aspx?tID=193877","http://m.12365auto.com/bbs/postcontent.aspx?tID=193877")</f>
        <v>http://m.12365auto.com/bbs/postcontent.aspx?tID=193877</v>
      </c>
      <c r="G8941" s="2"/>
      <c r="H8941" s="2" t="s">
        <v>4737</v>
      </c>
      <c r="I8941" s="2" t="s">
        <v>15</v>
      </c>
      <c r="J8941" s="2" t="s">
        <v>12139</v>
      </c>
      <c r="K8941" s="2" t="s">
        <v>12140</v>
      </c>
      <c r="L8941" s="2">
        <f t="shared" si="139"/>
        <v>150</v>
      </c>
    </row>
    <row r="8942" spans="1:12" ht="25" customHeight="1">
      <c r="A8942" s="2" t="s">
        <v>12</v>
      </c>
      <c r="B8942" s="2" t="str">
        <f>HYPERLINK("http://m.12365auto.com/bbs/postcontent.aspx?tID=193876","2019年销量滑坡的SUV车型")</f>
        <v>2019年销量滑坡的SUV车型</v>
      </c>
      <c r="C8942" s="2" t="s">
        <v>13</v>
      </c>
      <c r="D8942" s="2" t="s">
        <v>23</v>
      </c>
      <c r="E8942" s="2"/>
      <c r="F8942" s="2" t="str">
        <f>HYPERLINK("http://m.12365auto.com/bbs/postcontent.aspx?tID=193876","http://m.12365auto.com/bbs/postcontent.aspx?tID=193876")</f>
        <v>http://m.12365auto.com/bbs/postcontent.aspx?tID=193876</v>
      </c>
      <c r="G8942" s="2"/>
      <c r="H8942" s="2" t="s">
        <v>12141</v>
      </c>
      <c r="I8942" s="2" t="s">
        <v>15</v>
      </c>
      <c r="J8942" s="2" t="s">
        <v>12139</v>
      </c>
      <c r="K8942" s="2" t="s">
        <v>12140</v>
      </c>
      <c r="L8942" s="2">
        <f t="shared" si="139"/>
        <v>150</v>
      </c>
    </row>
    <row r="8943" spans="1:12" ht="25" customHeight="1">
      <c r="A8943" s="2" t="s">
        <v>12</v>
      </c>
      <c r="B8943" s="2" t="str">
        <f>HYPERLINK("http://bbs.12365auto.com/postcontent.aspx?tID=193877","盘点五款值得买的低配车型")</f>
        <v>盘点五款值得买的低配车型</v>
      </c>
      <c r="C8943" s="2" t="s">
        <v>13</v>
      </c>
      <c r="D8943" s="2" t="s">
        <v>12</v>
      </c>
      <c r="E8943" s="2" t="s">
        <v>214</v>
      </c>
      <c r="F8943" s="2" t="str">
        <f>HYPERLINK("http://bbs.12365auto.com/postcontent.aspx?tID=193877","http://bbs.12365auto.com/postcontent.aspx?tID=193877")</f>
        <v>http://bbs.12365auto.com/postcontent.aspx?tID=193877</v>
      </c>
      <c r="G8943" s="2"/>
      <c r="H8943" s="2" t="s">
        <v>4739</v>
      </c>
      <c r="I8943" s="2" t="s">
        <v>15</v>
      </c>
      <c r="J8943" s="2" t="s">
        <v>12139</v>
      </c>
      <c r="K8943" s="2" t="s">
        <v>12140</v>
      </c>
      <c r="L8943" s="2">
        <f t="shared" si="139"/>
        <v>150</v>
      </c>
    </row>
    <row r="8944" spans="1:12" ht="25" customHeight="1">
      <c r="A8944" s="2" t="s">
        <v>12</v>
      </c>
      <c r="B8944" s="2" t="str">
        <f>HYPERLINK("http://bbs.12365auto.com/postcontent.aspx?tID=193876","2019年销量滑坡的SUV车型")</f>
        <v>2019年销量滑坡的SUV车型</v>
      </c>
      <c r="C8944" s="2" t="s">
        <v>13</v>
      </c>
      <c r="D8944" s="2" t="s">
        <v>12</v>
      </c>
      <c r="E8944" s="2" t="s">
        <v>214</v>
      </c>
      <c r="F8944" s="2" t="str">
        <f>HYPERLINK("http://bbs.12365auto.com/postcontent.aspx?tID=193876","http://bbs.12365auto.com/postcontent.aspx?tID=193876")</f>
        <v>http://bbs.12365auto.com/postcontent.aspx?tID=193876</v>
      </c>
      <c r="G8944" s="2"/>
      <c r="H8944" s="2" t="s">
        <v>12142</v>
      </c>
      <c r="I8944" s="2" t="s">
        <v>15</v>
      </c>
      <c r="J8944" s="2" t="s">
        <v>12139</v>
      </c>
      <c r="K8944" s="2" t="s">
        <v>12140</v>
      </c>
      <c r="L8944" s="2">
        <f t="shared" si="139"/>
        <v>150</v>
      </c>
    </row>
    <row r="8945" spans="1:12" ht="25" customHeight="1">
      <c r="A8945" s="2" t="s">
        <v>12</v>
      </c>
      <c r="B8945" s="2" t="str">
        <f>HYPERLINK("http://bbs.12365auto.com/postcontent.aspx?tId=193877","盘点五款值得买的低配车型")</f>
        <v>盘点五款值得买的低配车型</v>
      </c>
      <c r="C8945" s="2" t="s">
        <v>13</v>
      </c>
      <c r="D8945" s="2" t="s">
        <v>12</v>
      </c>
      <c r="E8945" s="2" t="s">
        <v>210</v>
      </c>
      <c r="F8945" s="2" t="str">
        <f>HYPERLINK("http://bbs.12365auto.com/postcontent.aspx?tId=193877","http://bbs.12365auto.com/postcontent.aspx?tId=193877")</f>
        <v>http://bbs.12365auto.com/postcontent.aspx?tId=193877</v>
      </c>
      <c r="G8945" s="2"/>
      <c r="H8945" s="2" t="s">
        <v>4737</v>
      </c>
      <c r="I8945" s="2" t="s">
        <v>15</v>
      </c>
      <c r="J8945" s="2" t="s">
        <v>12139</v>
      </c>
      <c r="K8945" s="2" t="s">
        <v>12140</v>
      </c>
      <c r="L8945" s="2">
        <f t="shared" si="139"/>
        <v>150</v>
      </c>
    </row>
    <row r="8946" spans="1:12" ht="25" customHeight="1">
      <c r="A8946" s="2" t="s">
        <v>12</v>
      </c>
      <c r="B8946" s="2" t="str">
        <f>HYPERLINK("http://bbs.12365auto.com/postcontent.aspx?tId=193876","2019年销量滑坡的SUV车型")</f>
        <v>2019年销量滑坡的SUV车型</v>
      </c>
      <c r="C8946" s="2" t="s">
        <v>13</v>
      </c>
      <c r="D8946" s="2" t="s">
        <v>12</v>
      </c>
      <c r="E8946" s="2" t="s">
        <v>210</v>
      </c>
      <c r="F8946" s="2" t="str">
        <f>HYPERLINK("http://bbs.12365auto.com/postcontent.aspx?tId=193876","http://bbs.12365auto.com/postcontent.aspx?tId=193876")</f>
        <v>http://bbs.12365auto.com/postcontent.aspx?tId=193876</v>
      </c>
      <c r="G8946" s="2"/>
      <c r="H8946" s="2" t="s">
        <v>12141</v>
      </c>
      <c r="I8946" s="2" t="s">
        <v>15</v>
      </c>
      <c r="J8946" s="2" t="s">
        <v>12139</v>
      </c>
      <c r="K8946" s="2" t="s">
        <v>12140</v>
      </c>
      <c r="L8946" s="2">
        <f t="shared" si="139"/>
        <v>150</v>
      </c>
    </row>
    <row r="8947" spans="1:12" ht="25" customHeight="1">
      <c r="A8947" s="2" t="s">
        <v>12</v>
      </c>
      <c r="B8947" s="2" t="str">
        <f>HYPERLINK("http://m.12365auto.com/bbs/postcontent.aspx?tID=193875","自主品牌的无奈：10万元以下已是烂泥一片")</f>
        <v>自主品牌的无奈：10万元以下已是烂泥一片</v>
      </c>
      <c r="C8947" s="2" t="s">
        <v>13</v>
      </c>
      <c r="D8947" s="2" t="s">
        <v>23</v>
      </c>
      <c r="E8947" s="2"/>
      <c r="F8947" s="2" t="str">
        <f>HYPERLINK("http://m.12365auto.com/bbs/postcontent.aspx?tID=193875","http://m.12365auto.com/bbs/postcontent.aspx?tID=193875")</f>
        <v>http://m.12365auto.com/bbs/postcontent.aspx?tID=193875</v>
      </c>
      <c r="G8947" s="2"/>
      <c r="H8947" s="2" t="s">
        <v>12143</v>
      </c>
      <c r="I8947" s="2" t="s">
        <v>15</v>
      </c>
      <c r="J8947" s="2" t="s">
        <v>12139</v>
      </c>
      <c r="K8947" s="2" t="s">
        <v>12144</v>
      </c>
      <c r="L8947" s="2">
        <f t="shared" si="139"/>
        <v>150</v>
      </c>
    </row>
    <row r="8948" spans="1:12" ht="25" customHeight="1">
      <c r="A8948" s="2" t="s">
        <v>12</v>
      </c>
      <c r="B8948" s="2" t="str">
        <f>HYPERLINK("http://m.12365auto.com/bbs/postcontent.aspx?tID=193874","五款不保值的好车，购买二手车人群的福音")</f>
        <v>五款不保值的好车，购买二手车人群的福音</v>
      </c>
      <c r="C8948" s="2" t="s">
        <v>13</v>
      </c>
      <c r="D8948" s="2" t="s">
        <v>23</v>
      </c>
      <c r="E8948" s="2"/>
      <c r="F8948" s="2" t="str">
        <f>HYPERLINK("http://m.12365auto.com/bbs/postcontent.aspx?tID=193874","http://m.12365auto.com/bbs/postcontent.aspx?tID=193874")</f>
        <v>http://m.12365auto.com/bbs/postcontent.aspx?tID=193874</v>
      </c>
      <c r="G8948" s="2"/>
      <c r="H8948" s="2" t="s">
        <v>8658</v>
      </c>
      <c r="I8948" s="2" t="s">
        <v>15</v>
      </c>
      <c r="J8948" s="2" t="s">
        <v>12139</v>
      </c>
      <c r="K8948" s="2" t="s">
        <v>12144</v>
      </c>
      <c r="L8948" s="2">
        <f t="shared" si="139"/>
        <v>150</v>
      </c>
    </row>
    <row r="8949" spans="1:12" ht="25" customHeight="1">
      <c r="A8949" s="2" t="s">
        <v>12</v>
      </c>
      <c r="B8949" s="2" t="str">
        <f>HYPERLINK("http://bbs.12365auto.com/postcontent.aspx?tID=193875","自主品牌的无奈：10万元以下已是烂泥一片")</f>
        <v>自主品牌的无奈：10万元以下已是烂泥一片</v>
      </c>
      <c r="C8949" s="2" t="s">
        <v>13</v>
      </c>
      <c r="D8949" s="2" t="s">
        <v>12</v>
      </c>
      <c r="E8949" s="2" t="s">
        <v>214</v>
      </c>
      <c r="F8949" s="2" t="str">
        <f>HYPERLINK("http://bbs.12365auto.com/postcontent.aspx?tID=193875","http://bbs.12365auto.com/postcontent.aspx?tID=193875")</f>
        <v>http://bbs.12365auto.com/postcontent.aspx?tID=193875</v>
      </c>
      <c r="G8949" s="2"/>
      <c r="H8949" s="2" t="s">
        <v>12145</v>
      </c>
      <c r="I8949" s="2" t="s">
        <v>15</v>
      </c>
      <c r="J8949" s="2" t="s">
        <v>12139</v>
      </c>
      <c r="K8949" s="2" t="s">
        <v>12144</v>
      </c>
      <c r="L8949" s="2">
        <f t="shared" si="139"/>
        <v>150</v>
      </c>
    </row>
    <row r="8950" spans="1:12" ht="25" customHeight="1">
      <c r="A8950" s="2" t="s">
        <v>12</v>
      </c>
      <c r="B8950" s="2" t="str">
        <f>HYPERLINK("http://bbs.12365auto.com/postcontent.aspx?tID=193874","五款不保值的好车，购买二手车人群的福音")</f>
        <v>五款不保值的好车，购买二手车人群的福音</v>
      </c>
      <c r="C8950" s="2" t="s">
        <v>13</v>
      </c>
      <c r="D8950" s="2" t="s">
        <v>12</v>
      </c>
      <c r="E8950" s="2" t="s">
        <v>214</v>
      </c>
      <c r="F8950" s="2" t="str">
        <f>HYPERLINK("http://bbs.12365auto.com/postcontent.aspx?tID=193874","http://bbs.12365auto.com/postcontent.aspx?tID=193874")</f>
        <v>http://bbs.12365auto.com/postcontent.aspx?tID=193874</v>
      </c>
      <c r="G8950" s="2"/>
      <c r="H8950" s="2" t="s">
        <v>11516</v>
      </c>
      <c r="I8950" s="2" t="s">
        <v>15</v>
      </c>
      <c r="J8950" s="2" t="s">
        <v>12139</v>
      </c>
      <c r="K8950" s="2" t="s">
        <v>12144</v>
      </c>
      <c r="L8950" s="2">
        <f t="shared" si="139"/>
        <v>150</v>
      </c>
    </row>
    <row r="8951" spans="1:12" ht="25" customHeight="1">
      <c r="A8951" s="2" t="s">
        <v>12</v>
      </c>
      <c r="B8951" s="2" t="str">
        <f>HYPERLINK("http://bbs.12365auto.com/postcontent.aspx?tId=193875","自主品牌的无奈：10万元以下已是烂泥一片")</f>
        <v>自主品牌的无奈：10万元以下已是烂泥一片</v>
      </c>
      <c r="C8951" s="2" t="s">
        <v>13</v>
      </c>
      <c r="D8951" s="2" t="s">
        <v>12</v>
      </c>
      <c r="E8951" s="2" t="s">
        <v>210</v>
      </c>
      <c r="F8951" s="2" t="str">
        <f>HYPERLINK("http://bbs.12365auto.com/postcontent.aspx?tId=193875","http://bbs.12365auto.com/postcontent.aspx?tId=193875")</f>
        <v>http://bbs.12365auto.com/postcontent.aspx?tId=193875</v>
      </c>
      <c r="G8951" s="2"/>
      <c r="H8951" s="2" t="s">
        <v>12143</v>
      </c>
      <c r="I8951" s="2" t="s">
        <v>15</v>
      </c>
      <c r="J8951" s="2" t="s">
        <v>12139</v>
      </c>
      <c r="K8951" s="2" t="s">
        <v>12144</v>
      </c>
      <c r="L8951" s="2">
        <f t="shared" si="139"/>
        <v>150</v>
      </c>
    </row>
    <row r="8952" spans="1:12" ht="25" customHeight="1">
      <c r="A8952" s="2" t="s">
        <v>12</v>
      </c>
      <c r="B8952" s="2" t="str">
        <f>HYPERLINK("http://bbs.12365auto.com/postcontent.aspx?tId=193874","五款不保值的好车，购买二手车人群的福音")</f>
        <v>五款不保值的好车，购买二手车人群的福音</v>
      </c>
      <c r="C8952" s="2" t="s">
        <v>13</v>
      </c>
      <c r="D8952" s="2" t="s">
        <v>12</v>
      </c>
      <c r="E8952" s="2" t="s">
        <v>210</v>
      </c>
      <c r="F8952" s="2" t="str">
        <f>HYPERLINK("http://bbs.12365auto.com/postcontent.aspx?tId=193874","http://bbs.12365auto.com/postcontent.aspx?tId=193874")</f>
        <v>http://bbs.12365auto.com/postcontent.aspx?tId=193874</v>
      </c>
      <c r="G8952" s="2"/>
      <c r="H8952" s="2" t="s">
        <v>8658</v>
      </c>
      <c r="I8952" s="2" t="s">
        <v>15</v>
      </c>
      <c r="J8952" s="2" t="s">
        <v>12139</v>
      </c>
      <c r="K8952" s="2" t="s">
        <v>12144</v>
      </c>
      <c r="L8952" s="2">
        <f t="shared" si="139"/>
        <v>150</v>
      </c>
    </row>
    <row r="8953" spans="1:12" ht="25" customHeight="1">
      <c r="A8953" s="2" t="s">
        <v>12</v>
      </c>
      <c r="B8953" s="2" t="str">
        <f>HYPERLINK("http://www.12365auto.com/xcdg/20200212/418320.shtml","丰田全新Yaris实车曝 搭1.5L引擎/春季开售")</f>
        <v>丰田全新Yaris实车曝 搭1.5L引擎/春季开售</v>
      </c>
      <c r="C8953" s="2" t="s">
        <v>13</v>
      </c>
      <c r="D8953" s="2" t="s">
        <v>12</v>
      </c>
      <c r="E8953" s="2" t="s">
        <v>216</v>
      </c>
      <c r="F8953" s="2" t="str">
        <f>HYPERLINK("http://www.12365auto.com/xcdg/20200212/418320.shtml","http://www.12365auto.com/xcdg/20200212/418320.shtml")</f>
        <v>http://www.12365auto.com/xcdg/20200212/418320.shtml</v>
      </c>
      <c r="G8953" s="2"/>
      <c r="H8953" s="2" t="s">
        <v>12146</v>
      </c>
      <c r="I8953" s="2" t="s">
        <v>15</v>
      </c>
      <c r="J8953" s="2" t="s">
        <v>12</v>
      </c>
      <c r="K8953" s="2" t="s">
        <v>12147</v>
      </c>
      <c r="L8953" s="2">
        <f t="shared" si="139"/>
        <v>150</v>
      </c>
    </row>
    <row r="8954" spans="1:12" ht="25" customHeight="1">
      <c r="A8954" s="2" t="s">
        <v>12</v>
      </c>
      <c r="B8954" s="2" t="str">
        <f>HYPERLINK("http://m.12365auto.com/bbs/postcontent.aspx?tID=193873","盘点2019年叫好不叫座的自主SUV")</f>
        <v>盘点2019年叫好不叫座的自主SUV</v>
      </c>
      <c r="C8954" s="2" t="s">
        <v>13</v>
      </c>
      <c r="D8954" s="2" t="s">
        <v>23</v>
      </c>
      <c r="E8954" s="2"/>
      <c r="F8954" s="2" t="str">
        <f>HYPERLINK("http://m.12365auto.com/bbs/postcontent.aspx?tID=193873","http://m.12365auto.com/bbs/postcontent.aspx?tID=193873")</f>
        <v>http://m.12365auto.com/bbs/postcontent.aspx?tID=193873</v>
      </c>
      <c r="G8954" s="2"/>
      <c r="H8954" s="2" t="s">
        <v>12148</v>
      </c>
      <c r="I8954" s="2" t="s">
        <v>15</v>
      </c>
      <c r="J8954" s="2" t="s">
        <v>12139</v>
      </c>
      <c r="K8954" s="2" t="s">
        <v>12147</v>
      </c>
      <c r="L8954" s="2">
        <f t="shared" si="139"/>
        <v>150</v>
      </c>
    </row>
    <row r="8955" spans="1:12" ht="25" customHeight="1">
      <c r="A8955" s="2" t="s">
        <v>12</v>
      </c>
      <c r="B8955" s="2" t="str">
        <f>HYPERLINK("http://m.12365auto.com/bbs/postcontent.aspx?tID=193872","大众最便宜的中型SUV，起步就有双LED")</f>
        <v>大众最便宜的中型SUV，起步就有双LED</v>
      </c>
      <c r="C8955" s="2" t="s">
        <v>13</v>
      </c>
      <c r="D8955" s="2" t="s">
        <v>23</v>
      </c>
      <c r="E8955" s="2"/>
      <c r="F8955" s="2" t="str">
        <f>HYPERLINK("http://m.12365auto.com/bbs/postcontent.aspx?tID=193872","http://m.12365auto.com/bbs/postcontent.aspx?tID=193872")</f>
        <v>http://m.12365auto.com/bbs/postcontent.aspx?tID=193872</v>
      </c>
      <c r="G8955" s="2"/>
      <c r="H8955" s="2" t="s">
        <v>12149</v>
      </c>
      <c r="I8955" s="2" t="s">
        <v>15</v>
      </c>
      <c r="J8955" s="2" t="s">
        <v>12139</v>
      </c>
      <c r="K8955" s="2" t="s">
        <v>12147</v>
      </c>
      <c r="L8955" s="2">
        <f t="shared" si="139"/>
        <v>150</v>
      </c>
    </row>
    <row r="8956" spans="1:12" ht="25" customHeight="1">
      <c r="A8956" s="2" t="s">
        <v>12</v>
      </c>
      <c r="B8956" s="2" t="str">
        <f>HYPERLINK("http://bbs.12365auto.com/postcontent.aspx?tID=193872","大众最便宜的中型SUV，起步就有双LED")</f>
        <v>大众最便宜的中型SUV，起步就有双LED</v>
      </c>
      <c r="C8956" s="2" t="s">
        <v>13</v>
      </c>
      <c r="D8956" s="2" t="s">
        <v>12</v>
      </c>
      <c r="E8956" s="2" t="s">
        <v>214</v>
      </c>
      <c r="F8956" s="2" t="str">
        <f>HYPERLINK("http://bbs.12365auto.com/postcontent.aspx?tID=193872","http://bbs.12365auto.com/postcontent.aspx?tID=193872")</f>
        <v>http://bbs.12365auto.com/postcontent.aspx?tID=193872</v>
      </c>
      <c r="G8956" s="2"/>
      <c r="H8956" s="2" t="s">
        <v>12150</v>
      </c>
      <c r="I8956" s="2" t="s">
        <v>15</v>
      </c>
      <c r="J8956" s="2" t="s">
        <v>12139</v>
      </c>
      <c r="K8956" s="2" t="s">
        <v>12147</v>
      </c>
      <c r="L8956" s="2">
        <f t="shared" si="139"/>
        <v>150</v>
      </c>
    </row>
    <row r="8957" spans="1:12" ht="25" customHeight="1">
      <c r="A8957" s="2" t="s">
        <v>12</v>
      </c>
      <c r="B8957" s="2" t="str">
        <f>HYPERLINK("http://bbs.12365auto.com/postcontent.aspx?tID=193873","盘点2019年叫好不叫座的自主SUV")</f>
        <v>盘点2019年叫好不叫座的自主SUV</v>
      </c>
      <c r="C8957" s="2" t="s">
        <v>13</v>
      </c>
      <c r="D8957" s="2" t="s">
        <v>12</v>
      </c>
      <c r="E8957" s="2" t="s">
        <v>214</v>
      </c>
      <c r="F8957" s="2" t="str">
        <f>HYPERLINK("http://bbs.12365auto.com/postcontent.aspx?tID=193873","http://bbs.12365auto.com/postcontent.aspx?tID=193873")</f>
        <v>http://bbs.12365auto.com/postcontent.aspx?tID=193873</v>
      </c>
      <c r="G8957" s="2"/>
      <c r="H8957" s="2" t="s">
        <v>12151</v>
      </c>
      <c r="I8957" s="2" t="s">
        <v>15</v>
      </c>
      <c r="J8957" s="2" t="s">
        <v>12139</v>
      </c>
      <c r="K8957" s="2" t="s">
        <v>12147</v>
      </c>
      <c r="L8957" s="2">
        <f t="shared" si="139"/>
        <v>150</v>
      </c>
    </row>
    <row r="8958" spans="1:12" ht="25" customHeight="1">
      <c r="A8958" s="2" t="s">
        <v>12</v>
      </c>
      <c r="B8958" s="2" t="str">
        <f>HYPERLINK("http://m.12365auto.com/xcdg/20200212/418320.shtml","丰田全新Yaris实车曝 搭1.5L引擎/春季开售")</f>
        <v>丰田全新Yaris实车曝 搭1.5L引擎/春季开售</v>
      </c>
      <c r="C8958" s="2" t="s">
        <v>13</v>
      </c>
      <c r="D8958" s="2" t="s">
        <v>12</v>
      </c>
      <c r="E8958" s="2"/>
      <c r="F8958" s="2" t="str">
        <f>HYPERLINK("http://m.12365auto.com/xcdg/20200212/418320.shtml","http://m.12365auto.com/xcdg/20200212/418320.shtml")</f>
        <v>http://m.12365auto.com/xcdg/20200212/418320.shtml</v>
      </c>
      <c r="G8958" s="2"/>
      <c r="H8958" s="2" t="s">
        <v>12152</v>
      </c>
      <c r="I8958" s="2" t="s">
        <v>19</v>
      </c>
      <c r="J8958" s="2" t="s">
        <v>220</v>
      </c>
      <c r="K8958" s="2" t="s">
        <v>12147</v>
      </c>
      <c r="L8958" s="2">
        <f t="shared" si="139"/>
        <v>150</v>
      </c>
    </row>
    <row r="8959" spans="1:12" ht="25" customHeight="1">
      <c r="A8959" s="2" t="s">
        <v>12</v>
      </c>
      <c r="B8959" s="2" t="str">
        <f>HYPERLINK("http://bbs.12365auto.com/postcontent.aspx?tId=193872","大众最便宜的中型SUV，起步就有双LED")</f>
        <v>大众最便宜的中型SUV，起步就有双LED</v>
      </c>
      <c r="C8959" s="2" t="s">
        <v>13</v>
      </c>
      <c r="D8959" s="2" t="s">
        <v>12</v>
      </c>
      <c r="E8959" s="2" t="s">
        <v>210</v>
      </c>
      <c r="F8959" s="2" t="str">
        <f>HYPERLINK("http://bbs.12365auto.com/postcontent.aspx?tId=193872","http://bbs.12365auto.com/postcontent.aspx?tId=193872")</f>
        <v>http://bbs.12365auto.com/postcontent.aspx?tId=193872</v>
      </c>
      <c r="G8959" s="2"/>
      <c r="H8959" s="2" t="s">
        <v>12149</v>
      </c>
      <c r="I8959" s="2" t="s">
        <v>15</v>
      </c>
      <c r="J8959" s="2" t="s">
        <v>12139</v>
      </c>
      <c r="K8959" s="2" t="s">
        <v>12147</v>
      </c>
      <c r="L8959" s="2">
        <f t="shared" si="139"/>
        <v>150</v>
      </c>
    </row>
    <row r="8960" spans="1:12" ht="25" customHeight="1">
      <c r="A8960" s="2" t="s">
        <v>12</v>
      </c>
      <c r="B8960" s="2" t="str">
        <f>HYPERLINK("http://bbs.12365auto.com/postcontent.aspx?tId=193873","盘点2019年叫好不叫座的自主SUV")</f>
        <v>盘点2019年叫好不叫座的自主SUV</v>
      </c>
      <c r="C8960" s="2" t="s">
        <v>13</v>
      </c>
      <c r="D8960" s="2" t="s">
        <v>12</v>
      </c>
      <c r="E8960" s="2" t="s">
        <v>210</v>
      </c>
      <c r="F8960" s="2" t="str">
        <f>HYPERLINK("http://bbs.12365auto.com/postcontent.aspx?tId=193873","http://bbs.12365auto.com/postcontent.aspx?tId=193873")</f>
        <v>http://bbs.12365auto.com/postcontent.aspx?tId=193873</v>
      </c>
      <c r="G8960" s="2"/>
      <c r="H8960" s="2" t="s">
        <v>12148</v>
      </c>
      <c r="I8960" s="2" t="s">
        <v>15</v>
      </c>
      <c r="J8960" s="2" t="s">
        <v>12139</v>
      </c>
      <c r="K8960" s="2" t="s">
        <v>12147</v>
      </c>
      <c r="L8960" s="2">
        <f t="shared" si="139"/>
        <v>150</v>
      </c>
    </row>
    <row r="8961" spans="1:12" ht="25" customHeight="1">
      <c r="A8961" s="2" t="s">
        <v>12</v>
      </c>
      <c r="B8961" s="2" t="str">
        <f>HYPERLINK("http://m.12365auto.com/bbs/postcontent.aspx?tID=193871","四款高保值率SUV 买它们值了")</f>
        <v>四款高保值率SUV 买它们值了</v>
      </c>
      <c r="C8961" s="2" t="s">
        <v>13</v>
      </c>
      <c r="D8961" s="2" t="s">
        <v>23</v>
      </c>
      <c r="E8961" s="2"/>
      <c r="F8961" s="2" t="str">
        <f>HYPERLINK("http://m.12365auto.com/bbs/postcontent.aspx?tID=193871","http://m.12365auto.com/bbs/postcontent.aspx?tID=193871")</f>
        <v>http://m.12365auto.com/bbs/postcontent.aspx?tID=193871</v>
      </c>
      <c r="G8961" s="2"/>
      <c r="H8961" s="2" t="s">
        <v>12153</v>
      </c>
      <c r="I8961" s="2" t="s">
        <v>15</v>
      </c>
      <c r="J8961" s="2" t="s">
        <v>12139</v>
      </c>
      <c r="K8961" s="2" t="s">
        <v>12154</v>
      </c>
      <c r="L8961" s="2">
        <f t="shared" si="139"/>
        <v>150</v>
      </c>
    </row>
    <row r="8962" spans="1:12" ht="25" customHeight="1">
      <c r="A8962" s="2" t="s">
        <v>12</v>
      </c>
      <c r="B8962" s="2" t="str">
        <f>HYPERLINK("http://m.12365auto.com/bbs/postcontent.aspx?tID=193870","3款全新SUV预售价曝光，值得掏出钞票吗")</f>
        <v>3款全新SUV预售价曝光，值得掏出钞票吗</v>
      </c>
      <c r="C8962" s="2" t="s">
        <v>13</v>
      </c>
      <c r="D8962" s="2" t="s">
        <v>23</v>
      </c>
      <c r="E8962" s="2"/>
      <c r="F8962" s="2" t="str">
        <f>HYPERLINK("http://m.12365auto.com/bbs/postcontent.aspx?tID=193870","http://m.12365auto.com/bbs/postcontent.aspx?tID=193870")</f>
        <v>http://m.12365auto.com/bbs/postcontent.aspx?tID=193870</v>
      </c>
      <c r="G8962" s="2"/>
      <c r="H8962" s="2" t="s">
        <v>12155</v>
      </c>
      <c r="I8962" s="2" t="s">
        <v>15</v>
      </c>
      <c r="J8962" s="2" t="s">
        <v>12139</v>
      </c>
      <c r="K8962" s="2" t="s">
        <v>12154</v>
      </c>
      <c r="L8962" s="2">
        <f t="shared" si="139"/>
        <v>150</v>
      </c>
    </row>
    <row r="8963" spans="1:12" ht="25" customHeight="1">
      <c r="A8963" s="2" t="s">
        <v>12</v>
      </c>
      <c r="B8963" s="2" t="str">
        <f>HYPERLINK("http://bbs.12365auto.com/postcontent.aspx?tID=193870","3款全新SUV预售价曝光，值得掏出钞票吗")</f>
        <v>3款全新SUV预售价曝光，值得掏出钞票吗</v>
      </c>
      <c r="C8963" s="2" t="s">
        <v>13</v>
      </c>
      <c r="D8963" s="2" t="s">
        <v>12</v>
      </c>
      <c r="E8963" s="2" t="s">
        <v>214</v>
      </c>
      <c r="F8963" s="2" t="str">
        <f>HYPERLINK("http://bbs.12365auto.com/postcontent.aspx?tID=193870","http://bbs.12365auto.com/postcontent.aspx?tID=193870")</f>
        <v>http://bbs.12365auto.com/postcontent.aspx?tID=193870</v>
      </c>
      <c r="G8963" s="2"/>
      <c r="H8963" s="2" t="s">
        <v>12156</v>
      </c>
      <c r="I8963" s="2" t="s">
        <v>15</v>
      </c>
      <c r="J8963" s="2" t="s">
        <v>12139</v>
      </c>
      <c r="K8963" s="2" t="s">
        <v>12154</v>
      </c>
      <c r="L8963" s="2">
        <f t="shared" ref="L8963:L9026" si="140">LEN(H8963)</f>
        <v>150</v>
      </c>
    </row>
    <row r="8964" spans="1:12" ht="25" customHeight="1">
      <c r="A8964" s="2" t="s">
        <v>12</v>
      </c>
      <c r="B8964" s="2" t="str">
        <f>HYPERLINK("http://bbs.12365auto.com/postcontent.aspx?tID=193871","四款高保值率SUV 买它们值了")</f>
        <v>四款高保值率SUV 买它们值了</v>
      </c>
      <c r="C8964" s="2" t="s">
        <v>13</v>
      </c>
      <c r="D8964" s="2" t="s">
        <v>12</v>
      </c>
      <c r="E8964" s="2" t="s">
        <v>214</v>
      </c>
      <c r="F8964" s="2" t="str">
        <f>HYPERLINK("http://bbs.12365auto.com/postcontent.aspx?tID=193871","http://bbs.12365auto.com/postcontent.aspx?tID=193871")</f>
        <v>http://bbs.12365auto.com/postcontent.aspx?tID=193871</v>
      </c>
      <c r="G8964" s="2"/>
      <c r="H8964" s="2" t="s">
        <v>12157</v>
      </c>
      <c r="I8964" s="2" t="s">
        <v>15</v>
      </c>
      <c r="J8964" s="2" t="s">
        <v>12139</v>
      </c>
      <c r="K8964" s="2" t="s">
        <v>12154</v>
      </c>
      <c r="L8964" s="2">
        <f t="shared" si="140"/>
        <v>150</v>
      </c>
    </row>
    <row r="8965" spans="1:12" ht="25" customHeight="1">
      <c r="A8965" s="2" t="s">
        <v>12</v>
      </c>
      <c r="B8965" s="2" t="str">
        <f>HYPERLINK("http://bbs.12365auto.com/postcontent.aspx?tId=193871","四款高保值率SUV 买它们值了")</f>
        <v>四款高保值率SUV 买它们值了</v>
      </c>
      <c r="C8965" s="2" t="s">
        <v>13</v>
      </c>
      <c r="D8965" s="2" t="s">
        <v>12</v>
      </c>
      <c r="E8965" s="2" t="s">
        <v>210</v>
      </c>
      <c r="F8965" s="2" t="str">
        <f>HYPERLINK("http://bbs.12365auto.com/postcontent.aspx?tId=193871","http://bbs.12365auto.com/postcontent.aspx?tId=193871")</f>
        <v>http://bbs.12365auto.com/postcontent.aspx?tId=193871</v>
      </c>
      <c r="G8965" s="2"/>
      <c r="H8965" s="2" t="s">
        <v>12153</v>
      </c>
      <c r="I8965" s="2" t="s">
        <v>15</v>
      </c>
      <c r="J8965" s="2" t="s">
        <v>12139</v>
      </c>
      <c r="K8965" s="2" t="s">
        <v>12154</v>
      </c>
      <c r="L8965" s="2">
        <f t="shared" si="140"/>
        <v>150</v>
      </c>
    </row>
    <row r="8966" spans="1:12" ht="25" customHeight="1">
      <c r="A8966" s="2" t="s">
        <v>12</v>
      </c>
      <c r="B8966" s="2" t="str">
        <f>HYPERLINK("http://bbs.12365auto.com/postcontent.aspx?tId=193870","3款全新SUV预售价曝光，值得掏出钞票吗")</f>
        <v>3款全新SUV预售价曝光，值得掏出钞票吗</v>
      </c>
      <c r="C8966" s="2" t="s">
        <v>13</v>
      </c>
      <c r="D8966" s="2" t="s">
        <v>12</v>
      </c>
      <c r="E8966" s="2" t="s">
        <v>210</v>
      </c>
      <c r="F8966" s="2" t="str">
        <f>HYPERLINK("http://bbs.12365auto.com/postcontent.aspx?tId=193870","http://bbs.12365auto.com/postcontent.aspx?tId=193870")</f>
        <v>http://bbs.12365auto.com/postcontent.aspx?tId=193870</v>
      </c>
      <c r="G8966" s="2"/>
      <c r="H8966" s="2" t="s">
        <v>12155</v>
      </c>
      <c r="I8966" s="2" t="s">
        <v>15</v>
      </c>
      <c r="J8966" s="2" t="s">
        <v>12139</v>
      </c>
      <c r="K8966" s="2" t="s">
        <v>12154</v>
      </c>
      <c r="L8966" s="2">
        <f t="shared" si="140"/>
        <v>150</v>
      </c>
    </row>
    <row r="8967" spans="1:12" ht="25" customHeight="1">
      <c r="A8967" s="2" t="s">
        <v>12</v>
      </c>
      <c r="B8967" s="2" t="str">
        <f>HYPERLINK("http://www.12365auto.com/zlts/20200212/446944.shtml","电瓶亏电不着车，启动不了")</f>
        <v>电瓶亏电不着车，启动不了</v>
      </c>
      <c r="C8967" s="2" t="s">
        <v>13</v>
      </c>
      <c r="D8967" s="2" t="s">
        <v>12</v>
      </c>
      <c r="E8967" s="2"/>
      <c r="F8967" s="2" t="str">
        <f>HYPERLINK("http://www.12365auto.com/zlts/20200212/446944.shtml","http://www.12365auto.com/zlts/20200212/446944.shtml")</f>
        <v>http://www.12365auto.com/zlts/20200212/446944.shtml</v>
      </c>
      <c r="G8967" s="2"/>
      <c r="H8967" s="2" t="s">
        <v>12159</v>
      </c>
      <c r="I8967" s="2" t="s">
        <v>15</v>
      </c>
      <c r="J8967" s="2" t="s">
        <v>12</v>
      </c>
      <c r="K8967" s="2" t="s">
        <v>12158</v>
      </c>
      <c r="L8967" s="2">
        <f t="shared" si="140"/>
        <v>83</v>
      </c>
    </row>
    <row r="8968" spans="1:12" ht="25" customHeight="1">
      <c r="A8968" s="2" t="s">
        <v>12</v>
      </c>
      <c r="B8968" s="2" t="str">
        <f>HYPERLINK("http://www.12365auto.com/xcdg/20200212/418319.shtml","奔腾新款T77将发布 搭1.5T发动机")</f>
        <v>奔腾新款T77将发布 搭1.5T发动机</v>
      </c>
      <c r="C8968" s="2" t="s">
        <v>13</v>
      </c>
      <c r="D8968" s="2" t="s">
        <v>12</v>
      </c>
      <c r="E8968" s="2" t="s">
        <v>216</v>
      </c>
      <c r="F8968" s="2" t="str">
        <f>HYPERLINK("http://www.12365auto.com/xcdg/20200212/418319.shtml","http://www.12365auto.com/xcdg/20200212/418319.shtml")</f>
        <v>http://www.12365auto.com/xcdg/20200212/418319.shtml</v>
      </c>
      <c r="G8968" s="2"/>
      <c r="H8968" s="2" t="s">
        <v>12160</v>
      </c>
      <c r="I8968" s="2" t="s">
        <v>15</v>
      </c>
      <c r="J8968" s="2" t="s">
        <v>12</v>
      </c>
      <c r="K8968" s="2" t="s">
        <v>12161</v>
      </c>
      <c r="L8968" s="2">
        <f t="shared" si="140"/>
        <v>150</v>
      </c>
    </row>
    <row r="8969" spans="1:12" ht="25" customHeight="1">
      <c r="A8969" s="2" t="s">
        <v>12</v>
      </c>
      <c r="B8969" s="2" t="str">
        <f>HYPERLINK("http://m.12365auto.com/bbs/postcontent.aspx?tID=193869","保值率非常高的几款车，大家买车可以借鉴下")</f>
        <v>保值率非常高的几款车，大家买车可以借鉴下</v>
      </c>
      <c r="C8969" s="2" t="s">
        <v>13</v>
      </c>
      <c r="D8969" s="2" t="s">
        <v>23</v>
      </c>
      <c r="E8969" s="2"/>
      <c r="F8969" s="2" t="str">
        <f>HYPERLINK("http://m.12365auto.com/bbs/postcontent.aspx?tID=193869","http://m.12365auto.com/bbs/postcontent.aspx?tID=193869")</f>
        <v>http://m.12365auto.com/bbs/postcontent.aspx?tID=193869</v>
      </c>
      <c r="G8969" s="2"/>
      <c r="H8969" s="2" t="s">
        <v>12162</v>
      </c>
      <c r="I8969" s="2" t="s">
        <v>15</v>
      </c>
      <c r="J8969" s="2" t="s">
        <v>12139</v>
      </c>
      <c r="K8969" s="2" t="s">
        <v>12161</v>
      </c>
      <c r="L8969" s="2">
        <f t="shared" si="140"/>
        <v>150</v>
      </c>
    </row>
    <row r="8970" spans="1:12" ht="25" customHeight="1">
      <c r="A8970" s="2" t="s">
        <v>12</v>
      </c>
      <c r="B8970" s="2" t="str">
        <f>HYPERLINK("http://bbs.12365auto.com/postcontent.aspx?tID=193869","保值率非常高的几款车，大家买车可以借鉴下")</f>
        <v>保值率非常高的几款车，大家买车可以借鉴下</v>
      </c>
      <c r="C8970" s="2" t="s">
        <v>13</v>
      </c>
      <c r="D8970" s="2" t="s">
        <v>12</v>
      </c>
      <c r="E8970" s="2" t="s">
        <v>214</v>
      </c>
      <c r="F8970" s="2" t="str">
        <f>HYPERLINK("http://bbs.12365auto.com/postcontent.aspx?tID=193869","http://bbs.12365auto.com/postcontent.aspx?tID=193869")</f>
        <v>http://bbs.12365auto.com/postcontent.aspx?tID=193869</v>
      </c>
      <c r="G8970" s="2"/>
      <c r="H8970" s="2" t="s">
        <v>12163</v>
      </c>
      <c r="I8970" s="2" t="s">
        <v>15</v>
      </c>
      <c r="J8970" s="2" t="s">
        <v>12139</v>
      </c>
      <c r="K8970" s="2" t="s">
        <v>12161</v>
      </c>
      <c r="L8970" s="2">
        <f t="shared" si="140"/>
        <v>150</v>
      </c>
    </row>
    <row r="8971" spans="1:12" ht="25" customHeight="1">
      <c r="A8971" s="2" t="s">
        <v>12</v>
      </c>
      <c r="B8971" s="2" t="str">
        <f>HYPERLINK("http://m.12365auto.com/xcdg/20200212/418319.shtml","奔腾新款T77将发布 搭1.5T发动机")</f>
        <v>奔腾新款T77将发布 搭1.5T发动机</v>
      </c>
      <c r="C8971" s="2" t="s">
        <v>13</v>
      </c>
      <c r="D8971" s="2" t="s">
        <v>12</v>
      </c>
      <c r="E8971" s="2"/>
      <c r="F8971" s="2" t="str">
        <f>HYPERLINK("http://m.12365auto.com/xcdg/20200212/418319.shtml","http://m.12365auto.com/xcdg/20200212/418319.shtml")</f>
        <v>http://m.12365auto.com/xcdg/20200212/418319.shtml</v>
      </c>
      <c r="G8971" s="2"/>
      <c r="H8971" s="2" t="s">
        <v>12164</v>
      </c>
      <c r="I8971" s="2" t="s">
        <v>19</v>
      </c>
      <c r="J8971" s="2" t="s">
        <v>3053</v>
      </c>
      <c r="K8971" s="2" t="s">
        <v>12161</v>
      </c>
      <c r="L8971" s="2">
        <f t="shared" si="140"/>
        <v>150</v>
      </c>
    </row>
    <row r="8972" spans="1:12" ht="25" customHeight="1">
      <c r="A8972" s="2" t="s">
        <v>12</v>
      </c>
      <c r="B8972" s="2" t="str">
        <f>HYPERLINK("http://bbs.12365auto.com/postcontent.aspx?tId=193869","保值率非常高的几款车，大家买车可以借鉴下")</f>
        <v>保值率非常高的几款车，大家买车可以借鉴下</v>
      </c>
      <c r="C8972" s="2" t="s">
        <v>13</v>
      </c>
      <c r="D8972" s="2" t="s">
        <v>12</v>
      </c>
      <c r="E8972" s="2" t="s">
        <v>210</v>
      </c>
      <c r="F8972" s="2" t="str">
        <f>HYPERLINK("http://bbs.12365auto.com/postcontent.aspx?tId=193869","http://bbs.12365auto.com/postcontent.aspx?tId=193869")</f>
        <v>http://bbs.12365auto.com/postcontent.aspx?tId=193869</v>
      </c>
      <c r="G8972" s="2"/>
      <c r="H8972" s="2" t="s">
        <v>12162</v>
      </c>
      <c r="I8972" s="2" t="s">
        <v>15</v>
      </c>
      <c r="J8972" s="2" t="s">
        <v>12139</v>
      </c>
      <c r="K8972" s="2" t="s">
        <v>12161</v>
      </c>
      <c r="L8972" s="2">
        <f t="shared" si="140"/>
        <v>150</v>
      </c>
    </row>
    <row r="8973" spans="1:12" ht="25" customHeight="1">
      <c r="A8973" s="2" t="s">
        <v>12</v>
      </c>
      <c r="B8973" s="2" t="str">
        <f>HYPERLINK("http://m.12365auto.com/bbs/postcontent.aspx?tID=193868","不懂车的买丰田，半懂车的买大众")</f>
        <v>不懂车的买丰田，半懂车的买大众</v>
      </c>
      <c r="C8973" s="2" t="s">
        <v>13</v>
      </c>
      <c r="D8973" s="2" t="s">
        <v>23</v>
      </c>
      <c r="E8973" s="2"/>
      <c r="F8973" s="2" t="str">
        <f>HYPERLINK("http://m.12365auto.com/bbs/postcontent.aspx?tID=193868","http://m.12365auto.com/bbs/postcontent.aspx?tID=193868")</f>
        <v>http://m.12365auto.com/bbs/postcontent.aspx?tID=193868</v>
      </c>
      <c r="G8973" s="2"/>
      <c r="H8973" s="2" t="s">
        <v>11514</v>
      </c>
      <c r="I8973" s="2" t="s">
        <v>15</v>
      </c>
      <c r="J8973" s="2" t="s">
        <v>12139</v>
      </c>
      <c r="K8973" s="2" t="s">
        <v>12165</v>
      </c>
      <c r="L8973" s="2">
        <f t="shared" si="140"/>
        <v>150</v>
      </c>
    </row>
    <row r="8974" spans="1:12" ht="25" customHeight="1">
      <c r="A8974" s="2" t="s">
        <v>12</v>
      </c>
      <c r="B8974" s="2" t="str">
        <f>HYPERLINK("http://bbs.12365auto.com/postcontent.aspx?tID=193868","不懂车的买丰田，半懂车的买大众")</f>
        <v>不懂车的买丰田，半懂车的买大众</v>
      </c>
      <c r="C8974" s="2" t="s">
        <v>13</v>
      </c>
      <c r="D8974" s="2" t="s">
        <v>12</v>
      </c>
      <c r="E8974" s="2" t="s">
        <v>214</v>
      </c>
      <c r="F8974" s="2" t="str">
        <f>HYPERLINK("http://bbs.12365auto.com/postcontent.aspx?tID=193868","http://bbs.12365auto.com/postcontent.aspx?tID=193868")</f>
        <v>http://bbs.12365auto.com/postcontent.aspx?tID=193868</v>
      </c>
      <c r="G8974" s="2"/>
      <c r="H8974" s="2" t="s">
        <v>12166</v>
      </c>
      <c r="I8974" s="2" t="s">
        <v>15</v>
      </c>
      <c r="J8974" s="2" t="s">
        <v>12139</v>
      </c>
      <c r="K8974" s="2" t="s">
        <v>12165</v>
      </c>
      <c r="L8974" s="2">
        <f t="shared" si="140"/>
        <v>150</v>
      </c>
    </row>
    <row r="8975" spans="1:12" ht="25" customHeight="1">
      <c r="A8975" s="2" t="s">
        <v>12</v>
      </c>
      <c r="B8975" s="2" t="str">
        <f>HYPERLINK("http://bbs.12365auto.com/postcontent.aspx?tId=193868","不懂车的买丰田，半懂车的买大众")</f>
        <v>不懂车的买丰田，半懂车的买大众</v>
      </c>
      <c r="C8975" s="2" t="s">
        <v>13</v>
      </c>
      <c r="D8975" s="2" t="s">
        <v>12</v>
      </c>
      <c r="E8975" s="2" t="s">
        <v>210</v>
      </c>
      <c r="F8975" s="2" t="str">
        <f>HYPERLINK("http://bbs.12365auto.com/postcontent.aspx?tId=193868","http://bbs.12365auto.com/postcontent.aspx?tId=193868")</f>
        <v>http://bbs.12365auto.com/postcontent.aspx?tId=193868</v>
      </c>
      <c r="G8975" s="2"/>
      <c r="H8975" s="2" t="s">
        <v>11514</v>
      </c>
      <c r="I8975" s="2" t="s">
        <v>15</v>
      </c>
      <c r="J8975" s="2" t="s">
        <v>12139</v>
      </c>
      <c r="K8975" s="2" t="s">
        <v>12165</v>
      </c>
      <c r="L8975" s="2">
        <f t="shared" si="140"/>
        <v>150</v>
      </c>
    </row>
    <row r="8976" spans="1:12" ht="25" customHeight="1">
      <c r="A8976" s="2" t="s">
        <v>12</v>
      </c>
      <c r="B8976" s="2" t="str">
        <f>HYPERLINK("http://bbs.12365auto.com/postcontent.aspx?tID=193867","你不知道的汽车冷知识，但很实用")</f>
        <v>你不知道的汽车冷知识，但很实用</v>
      </c>
      <c r="C8976" s="2" t="s">
        <v>13</v>
      </c>
      <c r="D8976" s="2" t="s">
        <v>12</v>
      </c>
      <c r="E8976" s="2" t="s">
        <v>28</v>
      </c>
      <c r="F8976" s="2" t="str">
        <f>HYPERLINK("http://bbs.12365auto.com/postcontent.aspx?tID=193867","http://bbs.12365auto.com/postcontent.aspx?tID=193867")</f>
        <v>http://bbs.12365auto.com/postcontent.aspx?tID=193867</v>
      </c>
      <c r="G8976" s="2"/>
      <c r="H8976" s="2" t="s">
        <v>12167</v>
      </c>
      <c r="I8976" s="2" t="s">
        <v>15</v>
      </c>
      <c r="J8976" s="2" t="s">
        <v>2699</v>
      </c>
      <c r="K8976" s="2" t="s">
        <v>12168</v>
      </c>
      <c r="L8976" s="2">
        <f t="shared" si="140"/>
        <v>150</v>
      </c>
    </row>
    <row r="8977" spans="1:12" ht="25" customHeight="1">
      <c r="A8977" s="2" t="s">
        <v>12</v>
      </c>
      <c r="B8977" s="2" t="str">
        <f>HYPERLINK("http://bbs.12365auto.com/postcontent.aspx?tId=193867","你不知道的汽车冷知识，但很实用")</f>
        <v>你不知道的汽车冷知识，但很实用</v>
      </c>
      <c r="C8977" s="2" t="s">
        <v>13</v>
      </c>
      <c r="D8977" s="2" t="s">
        <v>12</v>
      </c>
      <c r="E8977" s="2" t="s">
        <v>27</v>
      </c>
      <c r="F8977" s="2" t="str">
        <f>HYPERLINK("http://bbs.12365auto.com/postcontent.aspx?tId=193867","http://bbs.12365auto.com/postcontent.aspx?tId=193867")</f>
        <v>http://bbs.12365auto.com/postcontent.aspx?tId=193867</v>
      </c>
      <c r="G8977" s="2"/>
      <c r="H8977" s="2" t="s">
        <v>12169</v>
      </c>
      <c r="I8977" s="2" t="s">
        <v>15</v>
      </c>
      <c r="J8977" s="2" t="s">
        <v>2699</v>
      </c>
      <c r="K8977" s="2" t="s">
        <v>12168</v>
      </c>
      <c r="L8977" s="2">
        <f t="shared" si="140"/>
        <v>150</v>
      </c>
    </row>
    <row r="8978" spans="1:12" ht="25" customHeight="1">
      <c r="A8978" s="2" t="s">
        <v>12</v>
      </c>
      <c r="B8978" s="2" t="str">
        <f>HYPERLINK("http://m.12365auto.com/bbs/postcontent.aspx?tID=193867","你不知道的汽车冷知识，但很实用")</f>
        <v>你不知道的汽车冷知识，但很实用</v>
      </c>
      <c r="C8978" s="2" t="s">
        <v>13</v>
      </c>
      <c r="D8978" s="2" t="s">
        <v>23</v>
      </c>
      <c r="E8978" s="2"/>
      <c r="F8978" s="2" t="str">
        <f>HYPERLINK("http://m.12365auto.com/bbs/postcontent.aspx?tID=193867","http://m.12365auto.com/bbs/postcontent.aspx?tID=193867")</f>
        <v>http://m.12365auto.com/bbs/postcontent.aspx?tID=193867</v>
      </c>
      <c r="G8978" s="2"/>
      <c r="H8978" s="2" t="s">
        <v>12169</v>
      </c>
      <c r="I8978" s="2" t="s">
        <v>15</v>
      </c>
      <c r="J8978" s="2" t="s">
        <v>2699</v>
      </c>
      <c r="K8978" s="2" t="s">
        <v>12168</v>
      </c>
      <c r="L8978" s="2">
        <f t="shared" si="140"/>
        <v>150</v>
      </c>
    </row>
    <row r="8979" spans="1:12" ht="25" customHeight="1">
      <c r="A8979" s="2" t="s">
        <v>12</v>
      </c>
      <c r="B8979" s="2" t="str">
        <f>HYPERLINK("http://bbs.12365auto.com/postcontent.aspx?tID=193866","又给国人长脸了 个个都是中国骄傲")</f>
        <v>又给国人长脸了 个个都是中国骄傲</v>
      </c>
      <c r="C8979" s="2" t="s">
        <v>13</v>
      </c>
      <c r="D8979" s="2" t="s">
        <v>12</v>
      </c>
      <c r="E8979" s="2" t="s">
        <v>28</v>
      </c>
      <c r="F8979" s="2" t="str">
        <f>HYPERLINK("http://bbs.12365auto.com/postcontent.aspx?tID=193866","http://bbs.12365auto.com/postcontent.aspx?tID=193866")</f>
        <v>http://bbs.12365auto.com/postcontent.aspx?tID=193866</v>
      </c>
      <c r="G8979" s="2"/>
      <c r="H8979" s="2" t="s">
        <v>12170</v>
      </c>
      <c r="I8979" s="2" t="s">
        <v>15</v>
      </c>
      <c r="J8979" s="2" t="s">
        <v>5704</v>
      </c>
      <c r="K8979" s="2" t="s">
        <v>12171</v>
      </c>
      <c r="L8979" s="2">
        <f t="shared" si="140"/>
        <v>150</v>
      </c>
    </row>
    <row r="8980" spans="1:12" ht="25" customHeight="1">
      <c r="A8980" s="2" t="s">
        <v>12</v>
      </c>
      <c r="B8980" s="2" t="str">
        <f>HYPERLINK("http://bbs.12365auto.com/postcontent.aspx?tId=193866","又给国人长脸了 个个都是中国骄傲")</f>
        <v>又给国人长脸了 个个都是中国骄傲</v>
      </c>
      <c r="C8980" s="2" t="s">
        <v>13</v>
      </c>
      <c r="D8980" s="2" t="s">
        <v>12</v>
      </c>
      <c r="E8980" s="2" t="s">
        <v>27</v>
      </c>
      <c r="F8980" s="2" t="str">
        <f>HYPERLINK("http://bbs.12365auto.com/postcontent.aspx?tId=193866","http://bbs.12365auto.com/postcontent.aspx?tId=193866")</f>
        <v>http://bbs.12365auto.com/postcontent.aspx?tId=193866</v>
      </c>
      <c r="G8980" s="2"/>
      <c r="H8980" s="2" t="s">
        <v>7099</v>
      </c>
      <c r="I8980" s="2" t="s">
        <v>15</v>
      </c>
      <c r="J8980" s="2" t="s">
        <v>5704</v>
      </c>
      <c r="K8980" s="2" t="s">
        <v>12171</v>
      </c>
      <c r="L8980" s="2">
        <f t="shared" si="140"/>
        <v>150</v>
      </c>
    </row>
    <row r="8981" spans="1:12" ht="25" customHeight="1">
      <c r="A8981" s="2" t="s">
        <v>12</v>
      </c>
      <c r="B8981" s="2" t="str">
        <f>HYPERLINK("http://www.12365auto.com/xcdg/20200212/418318.shtml","BEIJING大7座SUV谍照 车侧酷似凯迪拉克XT6")</f>
        <v>BEIJING大7座SUV谍照 车侧酷似凯迪拉克XT6</v>
      </c>
      <c r="C8981" s="2" t="s">
        <v>13</v>
      </c>
      <c r="D8981" s="2" t="s">
        <v>12</v>
      </c>
      <c r="E8981" s="2" t="s">
        <v>224</v>
      </c>
      <c r="F8981" s="2" t="str">
        <f>HYPERLINK("http://www.12365auto.com/xcdg/20200212/418318.shtml","http://www.12365auto.com/xcdg/20200212/418318.shtml")</f>
        <v>http://www.12365auto.com/xcdg/20200212/418318.shtml</v>
      </c>
      <c r="G8981" s="2"/>
      <c r="H8981" s="2" t="s">
        <v>12172</v>
      </c>
      <c r="I8981" s="2" t="s">
        <v>15</v>
      </c>
      <c r="J8981" s="2" t="s">
        <v>12</v>
      </c>
      <c r="K8981" s="2" t="s">
        <v>12171</v>
      </c>
      <c r="L8981" s="2">
        <f t="shared" si="140"/>
        <v>150</v>
      </c>
    </row>
    <row r="8982" spans="1:12" ht="25" customHeight="1">
      <c r="A8982" s="2" t="s">
        <v>12</v>
      </c>
      <c r="B8982" s="2" t="str">
        <f>HYPERLINK("http://m.12365auto.com/xcdg/20200212/418318.shtml","BEIJING大7座SUV谍照 车侧酷似凯迪拉克XT6")</f>
        <v>BEIJING大7座SUV谍照 车侧酷似凯迪拉克XT6</v>
      </c>
      <c r="C8982" s="2" t="s">
        <v>13</v>
      </c>
      <c r="D8982" s="2" t="s">
        <v>12</v>
      </c>
      <c r="E8982" s="2"/>
      <c r="F8982" s="2" t="str">
        <f>HYPERLINK("http://m.12365auto.com/xcdg/20200212/418318.shtml","http://m.12365auto.com/xcdg/20200212/418318.shtml")</f>
        <v>http://m.12365auto.com/xcdg/20200212/418318.shtml</v>
      </c>
      <c r="G8982" s="2"/>
      <c r="H8982" s="2" t="s">
        <v>12173</v>
      </c>
      <c r="I8982" s="2" t="s">
        <v>19</v>
      </c>
      <c r="J8982" s="2" t="s">
        <v>3053</v>
      </c>
      <c r="K8982" s="2" t="s">
        <v>12171</v>
      </c>
      <c r="L8982" s="2">
        <f t="shared" si="140"/>
        <v>150</v>
      </c>
    </row>
    <row r="8983" spans="1:12" ht="25" customHeight="1">
      <c r="A8983" s="2" t="s">
        <v>12</v>
      </c>
      <c r="B8983" s="2" t="str">
        <f>HYPERLINK("http://m.12365auto.com/bbs/postcontent.aspx?tID=193866","又给国人长脸了 个个都是中国骄傲")</f>
        <v>又给国人长脸了 个个都是中国骄傲</v>
      </c>
      <c r="C8983" s="2" t="s">
        <v>13</v>
      </c>
      <c r="D8983" s="2" t="s">
        <v>23</v>
      </c>
      <c r="E8983" s="2"/>
      <c r="F8983" s="2" t="str">
        <f>HYPERLINK("http://m.12365auto.com/bbs/postcontent.aspx?tID=193866","http://m.12365auto.com/bbs/postcontent.aspx?tID=193866")</f>
        <v>http://m.12365auto.com/bbs/postcontent.aspx?tID=193866</v>
      </c>
      <c r="G8983" s="2"/>
      <c r="H8983" s="2" t="s">
        <v>7099</v>
      </c>
      <c r="I8983" s="2" t="s">
        <v>15</v>
      </c>
      <c r="J8983" s="2" t="s">
        <v>5704</v>
      </c>
      <c r="K8983" s="2" t="s">
        <v>12171</v>
      </c>
      <c r="L8983" s="2">
        <f t="shared" si="140"/>
        <v>150</v>
      </c>
    </row>
    <row r="8984" spans="1:12" ht="25" customHeight="1">
      <c r="A8984" s="2" t="s">
        <v>12</v>
      </c>
      <c r="B8984" s="2" t="str">
        <f>HYPERLINK("http://m.12365auto.com/xcdg/20200212/418317.shtml","菲亚特发布Strada预告图 将圣保罗车展亮相")</f>
        <v>菲亚特发布Strada预告图 将圣保罗车展亮相</v>
      </c>
      <c r="C8984" s="2" t="s">
        <v>13</v>
      </c>
      <c r="D8984" s="2" t="s">
        <v>12</v>
      </c>
      <c r="E8984" s="2"/>
      <c r="F8984" s="2" t="str">
        <f>HYPERLINK("http://m.12365auto.com/xcdg/20200212/418317.shtml","http://m.12365auto.com/xcdg/20200212/418317.shtml")</f>
        <v>http://m.12365auto.com/xcdg/20200212/418317.shtml</v>
      </c>
      <c r="G8984" s="2"/>
      <c r="H8984" s="2" t="s">
        <v>12174</v>
      </c>
      <c r="I8984" s="2" t="s">
        <v>19</v>
      </c>
      <c r="J8984" s="2" t="s">
        <v>249</v>
      </c>
      <c r="K8984" s="2" t="s">
        <v>12175</v>
      </c>
      <c r="L8984" s="2">
        <f t="shared" si="140"/>
        <v>150</v>
      </c>
    </row>
    <row r="8985" spans="1:12" ht="25" customHeight="1">
      <c r="A8985" s="2" t="s">
        <v>12</v>
      </c>
      <c r="B8985" s="2" t="str">
        <f>HYPERLINK("http://www.12365auto.com/xcdg/20200212/418317.shtml","菲亚特发布Strada预告图 将圣保罗车展亮相")</f>
        <v>菲亚特发布Strada预告图 将圣保罗车展亮相</v>
      </c>
      <c r="C8985" s="2" t="s">
        <v>13</v>
      </c>
      <c r="D8985" s="2" t="s">
        <v>12</v>
      </c>
      <c r="E8985" s="2" t="s">
        <v>216</v>
      </c>
      <c r="F8985" s="2" t="str">
        <f>HYPERLINK("http://www.12365auto.com/xcdg/20200212/418317.shtml","http://www.12365auto.com/xcdg/20200212/418317.shtml")</f>
        <v>http://www.12365auto.com/xcdg/20200212/418317.shtml</v>
      </c>
      <c r="G8985" s="2"/>
      <c r="H8985" s="2" t="s">
        <v>12176</v>
      </c>
      <c r="I8985" s="2" t="s">
        <v>15</v>
      </c>
      <c r="J8985" s="2" t="s">
        <v>12</v>
      </c>
      <c r="K8985" s="2" t="s">
        <v>12175</v>
      </c>
      <c r="L8985" s="2">
        <f t="shared" si="140"/>
        <v>150</v>
      </c>
    </row>
    <row r="8986" spans="1:12" ht="25" customHeight="1">
      <c r="A8986" s="2" t="s">
        <v>12</v>
      </c>
      <c r="B8986" s="2" t="str">
        <f>HYPERLINK("http://bbs.12365auto.com/postcontent.aspx?tID=193865","理性分析凯迪拉克CT5的保价策略 这台车最多能优惠多少")</f>
        <v>理性分析凯迪拉克CT5的保价策略 这台车最多能优惠多少</v>
      </c>
      <c r="C8986" s="2" t="s">
        <v>13</v>
      </c>
      <c r="D8986" s="2" t="s">
        <v>12</v>
      </c>
      <c r="E8986" s="2" t="s">
        <v>28</v>
      </c>
      <c r="F8986" s="2" t="str">
        <f>HYPERLINK("http://bbs.12365auto.com/postcontent.aspx?tID=193865","http://bbs.12365auto.com/postcontent.aspx?tID=193865")</f>
        <v>http://bbs.12365auto.com/postcontent.aspx?tID=193865</v>
      </c>
      <c r="G8986" s="2"/>
      <c r="H8986" s="2" t="s">
        <v>666</v>
      </c>
      <c r="I8986" s="2" t="s">
        <v>15</v>
      </c>
      <c r="J8986" s="2" t="s">
        <v>10637</v>
      </c>
      <c r="K8986" s="2" t="s">
        <v>12177</v>
      </c>
      <c r="L8986" s="2">
        <f t="shared" si="140"/>
        <v>150</v>
      </c>
    </row>
    <row r="8987" spans="1:12" ht="25" customHeight="1">
      <c r="A8987" s="2" t="s">
        <v>12</v>
      </c>
      <c r="B8987" s="2" t="str">
        <f>HYPERLINK("http://bbs.12365auto.com/postcontent.aspx?tID=193864","一半人拆掉行车记录仪，开车清晰无盲区")</f>
        <v>一半人拆掉行车记录仪，开车清晰无盲区</v>
      </c>
      <c r="C8987" s="2" t="s">
        <v>13</v>
      </c>
      <c r="D8987" s="2" t="s">
        <v>12</v>
      </c>
      <c r="E8987" s="2" t="s">
        <v>28</v>
      </c>
      <c r="F8987" s="2" t="str">
        <f>HYPERLINK("http://bbs.12365auto.com/postcontent.aspx?tID=193864","http://bbs.12365auto.com/postcontent.aspx?tID=193864")</f>
        <v>http://bbs.12365auto.com/postcontent.aspx?tID=193864</v>
      </c>
      <c r="G8987" s="2"/>
      <c r="H8987" s="2" t="s">
        <v>12178</v>
      </c>
      <c r="I8987" s="2" t="s">
        <v>15</v>
      </c>
      <c r="J8987" s="2" t="s">
        <v>2699</v>
      </c>
      <c r="K8987" s="2" t="s">
        <v>12177</v>
      </c>
      <c r="L8987" s="2">
        <f t="shared" si="140"/>
        <v>150</v>
      </c>
    </row>
    <row r="8988" spans="1:12" ht="25" customHeight="1">
      <c r="A8988" s="2" t="s">
        <v>12</v>
      </c>
      <c r="B8988" s="2" t="str">
        <f>HYPERLINK("http://bbs.12365auto.com/postcontent.aspx?tID=193863","这些车看起来很贵 实则很便宜")</f>
        <v>这些车看起来很贵 实则很便宜</v>
      </c>
      <c r="C8988" s="2" t="s">
        <v>13</v>
      </c>
      <c r="D8988" s="2" t="s">
        <v>12</v>
      </c>
      <c r="E8988" s="2" t="s">
        <v>28</v>
      </c>
      <c r="F8988" s="2" t="str">
        <f>HYPERLINK("http://bbs.12365auto.com/postcontent.aspx?tID=193863","http://bbs.12365auto.com/postcontent.aspx?tID=193863")</f>
        <v>http://bbs.12365auto.com/postcontent.aspx?tID=193863</v>
      </c>
      <c r="G8988" s="2"/>
      <c r="H8988" s="2" t="s">
        <v>12179</v>
      </c>
      <c r="I8988" s="2" t="s">
        <v>15</v>
      </c>
      <c r="J8988" s="2" t="s">
        <v>10637</v>
      </c>
      <c r="K8988" s="2" t="s">
        <v>12177</v>
      </c>
      <c r="L8988" s="2">
        <f t="shared" si="140"/>
        <v>150</v>
      </c>
    </row>
    <row r="8989" spans="1:12" ht="25" customHeight="1">
      <c r="A8989" s="2" t="s">
        <v>12</v>
      </c>
      <c r="B8989" s="2" t="str">
        <f>HYPERLINK("http://bbs.12365auto.com/postcontent.aspx?tId=193864","一半人拆掉行车记录仪，开车清晰无盲区")</f>
        <v>一半人拆掉行车记录仪，开车清晰无盲区</v>
      </c>
      <c r="C8989" s="2" t="s">
        <v>13</v>
      </c>
      <c r="D8989" s="2" t="s">
        <v>12</v>
      </c>
      <c r="E8989" s="2" t="s">
        <v>27</v>
      </c>
      <c r="F8989" s="2" t="str">
        <f>HYPERLINK("http://bbs.12365auto.com/postcontent.aspx?tId=193864","http://bbs.12365auto.com/postcontent.aspx?tId=193864")</f>
        <v>http://bbs.12365auto.com/postcontent.aspx?tId=193864</v>
      </c>
      <c r="G8989" s="2"/>
      <c r="H8989" s="2" t="s">
        <v>12180</v>
      </c>
      <c r="I8989" s="2" t="s">
        <v>15</v>
      </c>
      <c r="J8989" s="2" t="s">
        <v>2699</v>
      </c>
      <c r="K8989" s="2" t="s">
        <v>12177</v>
      </c>
      <c r="L8989" s="2">
        <f t="shared" si="140"/>
        <v>150</v>
      </c>
    </row>
    <row r="8990" spans="1:12" ht="25" customHeight="1">
      <c r="A8990" s="2" t="s">
        <v>12</v>
      </c>
      <c r="B8990" s="2" t="str">
        <f>HYPERLINK("http://m.12365auto.com/bbs/postcontent.aspx?tID=193863","这些车看起来很贵 实则很便宜")</f>
        <v>这些车看起来很贵 实则很便宜</v>
      </c>
      <c r="C8990" s="2" t="s">
        <v>13</v>
      </c>
      <c r="D8990" s="2" t="s">
        <v>23</v>
      </c>
      <c r="E8990" s="2"/>
      <c r="F8990" s="2" t="str">
        <f>HYPERLINK("http://m.12365auto.com/bbs/postcontent.aspx?tID=193863","http://m.12365auto.com/bbs/postcontent.aspx?tID=193863")</f>
        <v>http://m.12365auto.com/bbs/postcontent.aspx?tID=193863</v>
      </c>
      <c r="G8990" s="2"/>
      <c r="H8990" s="2" t="s">
        <v>12048</v>
      </c>
      <c r="I8990" s="2" t="s">
        <v>15</v>
      </c>
      <c r="J8990" s="2" t="s">
        <v>10637</v>
      </c>
      <c r="K8990" s="2" t="s">
        <v>12177</v>
      </c>
      <c r="L8990" s="2">
        <f t="shared" si="140"/>
        <v>150</v>
      </c>
    </row>
    <row r="8991" spans="1:12" ht="25" customHeight="1">
      <c r="A8991" s="2" t="s">
        <v>12</v>
      </c>
      <c r="B8991" s="2" t="str">
        <f>HYPERLINK("http://m.12365auto.com/bbs/postcontent.aspx?tID=193865","理性分析凯迪拉克CT5的保价策略 这台车最多能优惠多少")</f>
        <v>理性分析凯迪拉克CT5的保价策略 这台车最多能优惠多少</v>
      </c>
      <c r="C8991" s="2" t="s">
        <v>13</v>
      </c>
      <c r="D8991" s="2" t="s">
        <v>23</v>
      </c>
      <c r="E8991" s="2"/>
      <c r="F8991" s="2" t="str">
        <f>HYPERLINK("http://m.12365auto.com/bbs/postcontent.aspx?tID=193865","http://m.12365auto.com/bbs/postcontent.aspx?tID=193865")</f>
        <v>http://m.12365auto.com/bbs/postcontent.aspx?tID=193865</v>
      </c>
      <c r="G8991" s="2"/>
      <c r="H8991" s="2" t="s">
        <v>664</v>
      </c>
      <c r="I8991" s="2" t="s">
        <v>15</v>
      </c>
      <c r="J8991" s="2" t="s">
        <v>10637</v>
      </c>
      <c r="K8991" s="2" t="s">
        <v>12177</v>
      </c>
      <c r="L8991" s="2">
        <f t="shared" si="140"/>
        <v>150</v>
      </c>
    </row>
    <row r="8992" spans="1:12" ht="25" customHeight="1">
      <c r="A8992" s="2" t="s">
        <v>12</v>
      </c>
      <c r="B8992" s="2" t="str">
        <f>HYPERLINK("http://m.12365auto.com/bbs/postcontent.aspx?tID=193864","一半人拆掉行车记录仪，开车清晰无盲区")</f>
        <v>一半人拆掉行车记录仪，开车清晰无盲区</v>
      </c>
      <c r="C8992" s="2" t="s">
        <v>13</v>
      </c>
      <c r="D8992" s="2" t="s">
        <v>23</v>
      </c>
      <c r="E8992" s="2"/>
      <c r="F8992" s="2" t="str">
        <f>HYPERLINK("http://m.12365auto.com/bbs/postcontent.aspx?tID=193864","http://m.12365auto.com/bbs/postcontent.aspx?tID=193864")</f>
        <v>http://m.12365auto.com/bbs/postcontent.aspx?tID=193864</v>
      </c>
      <c r="G8992" s="2"/>
      <c r="H8992" s="2" t="s">
        <v>12180</v>
      </c>
      <c r="I8992" s="2" t="s">
        <v>15</v>
      </c>
      <c r="J8992" s="2" t="s">
        <v>2699</v>
      </c>
      <c r="K8992" s="2" t="s">
        <v>12177</v>
      </c>
      <c r="L8992" s="2">
        <f t="shared" si="140"/>
        <v>150</v>
      </c>
    </row>
    <row r="8993" spans="1:12" ht="25" customHeight="1">
      <c r="A8993" s="2" t="s">
        <v>12</v>
      </c>
      <c r="B8993" s="2" t="str">
        <f>HYPERLINK("http://bbs.12365auto.com/postcontent.aspx?tId=193865","理性分析凯迪拉克CT5的保价策略 这台车最多能优惠多少")</f>
        <v>理性分析凯迪拉克CT5的保价策略 这台车最多能优惠多少</v>
      </c>
      <c r="C8993" s="2" t="s">
        <v>13</v>
      </c>
      <c r="D8993" s="2" t="s">
        <v>12</v>
      </c>
      <c r="E8993" s="2" t="s">
        <v>27</v>
      </c>
      <c r="F8993" s="2" t="str">
        <f>HYPERLINK("http://bbs.12365auto.com/postcontent.aspx?tId=193865","http://bbs.12365auto.com/postcontent.aspx?tId=193865")</f>
        <v>http://bbs.12365auto.com/postcontent.aspx?tId=193865</v>
      </c>
      <c r="G8993" s="2"/>
      <c r="H8993" s="2" t="s">
        <v>664</v>
      </c>
      <c r="I8993" s="2" t="s">
        <v>15</v>
      </c>
      <c r="J8993" s="2" t="s">
        <v>10637</v>
      </c>
      <c r="K8993" s="2" t="s">
        <v>12177</v>
      </c>
      <c r="L8993" s="2">
        <f t="shared" si="140"/>
        <v>150</v>
      </c>
    </row>
    <row r="8994" spans="1:12" ht="25" customHeight="1">
      <c r="A8994" s="2" t="s">
        <v>12</v>
      </c>
      <c r="B8994" s="2" t="str">
        <f>HYPERLINK("http://bbs.12365auto.com/postcontent.aspx?tId=193863","这些车看起来很贵 实则很便宜")</f>
        <v>这些车看起来很贵 实则很便宜</v>
      </c>
      <c r="C8994" s="2" t="s">
        <v>13</v>
      </c>
      <c r="D8994" s="2" t="s">
        <v>12</v>
      </c>
      <c r="E8994" s="2" t="s">
        <v>27</v>
      </c>
      <c r="F8994" s="2" t="str">
        <f>HYPERLINK("http://bbs.12365auto.com/postcontent.aspx?tId=193863","http://bbs.12365auto.com/postcontent.aspx?tId=193863")</f>
        <v>http://bbs.12365auto.com/postcontent.aspx?tId=193863</v>
      </c>
      <c r="G8994" s="2"/>
      <c r="H8994" s="2" t="s">
        <v>12048</v>
      </c>
      <c r="I8994" s="2" t="s">
        <v>15</v>
      </c>
      <c r="J8994" s="2" t="s">
        <v>10637</v>
      </c>
      <c r="K8994" s="2" t="s">
        <v>12177</v>
      </c>
      <c r="L8994" s="2">
        <f t="shared" si="140"/>
        <v>150</v>
      </c>
    </row>
    <row r="8995" spans="1:12" ht="25" customHeight="1">
      <c r="A8995" s="2" t="s">
        <v>12</v>
      </c>
      <c r="B8995" s="2" t="str">
        <f>HYPERLINK("http://bbs.12365auto.com/postcontent.aspx?tId=193861","提前知晓能带你远离喧嚣 跋山涉水的车型")</f>
        <v>提前知晓能带你远离喧嚣 跋山涉水的车型</v>
      </c>
      <c r="C8995" s="2" t="s">
        <v>13</v>
      </c>
      <c r="D8995" s="2" t="s">
        <v>12</v>
      </c>
      <c r="E8995" s="2" t="s">
        <v>27</v>
      </c>
      <c r="F8995" s="2" t="str">
        <f>HYPERLINK("http://bbs.12365auto.com/postcontent.aspx?tId=193861","http://bbs.12365auto.com/postcontent.aspx?tId=193861")</f>
        <v>http://bbs.12365auto.com/postcontent.aspx?tId=193861</v>
      </c>
      <c r="G8995" s="2"/>
      <c r="H8995" s="2" t="s">
        <v>12181</v>
      </c>
      <c r="I8995" s="2" t="s">
        <v>15</v>
      </c>
      <c r="J8995" s="2" t="s">
        <v>10637</v>
      </c>
      <c r="K8995" s="2" t="s">
        <v>12182</v>
      </c>
      <c r="L8995" s="2">
        <f t="shared" si="140"/>
        <v>150</v>
      </c>
    </row>
    <row r="8996" spans="1:12" ht="25" customHeight="1">
      <c r="A8996" s="2" t="s">
        <v>12</v>
      </c>
      <c r="B8996" s="2" t="str">
        <f>HYPERLINK("http://bbs.12365auto.com/postcontent.aspx?tID=193862","车载微信来了！我们开车就真不会看手机了？")</f>
        <v>车载微信来了！我们开车就真不会看手机了？</v>
      </c>
      <c r="C8996" s="2" t="s">
        <v>13</v>
      </c>
      <c r="D8996" s="2" t="s">
        <v>12</v>
      </c>
      <c r="E8996" s="2" t="s">
        <v>28</v>
      </c>
      <c r="F8996" s="2" t="str">
        <f>HYPERLINK("http://bbs.12365auto.com/postcontent.aspx?tID=193862","http://bbs.12365auto.com/postcontent.aspx?tID=193862")</f>
        <v>http://bbs.12365auto.com/postcontent.aspx?tID=193862</v>
      </c>
      <c r="G8996" s="2"/>
      <c r="H8996" s="2" t="s">
        <v>12183</v>
      </c>
      <c r="I8996" s="2" t="s">
        <v>15</v>
      </c>
      <c r="J8996" s="2" t="s">
        <v>2699</v>
      </c>
      <c r="K8996" s="2" t="s">
        <v>12182</v>
      </c>
      <c r="L8996" s="2">
        <f t="shared" si="140"/>
        <v>150</v>
      </c>
    </row>
    <row r="8997" spans="1:12" ht="25" customHeight="1">
      <c r="A8997" s="2" t="s">
        <v>12</v>
      </c>
      <c r="B8997" s="2" t="str">
        <f>HYPERLINK("http://bbs.12365auto.com/postcontent.aspx?tID=193861","提前知晓能带你远离喧嚣 跋山涉水的车型")</f>
        <v>提前知晓能带你远离喧嚣 跋山涉水的车型</v>
      </c>
      <c r="C8997" s="2" t="s">
        <v>13</v>
      </c>
      <c r="D8997" s="2" t="s">
        <v>12</v>
      </c>
      <c r="E8997" s="2" t="s">
        <v>28</v>
      </c>
      <c r="F8997" s="2" t="str">
        <f>HYPERLINK("http://bbs.12365auto.com/postcontent.aspx?tID=193861","http://bbs.12365auto.com/postcontent.aspx?tID=193861")</f>
        <v>http://bbs.12365auto.com/postcontent.aspx?tID=193861</v>
      </c>
      <c r="G8997" s="2"/>
      <c r="H8997" s="2" t="s">
        <v>12184</v>
      </c>
      <c r="I8997" s="2" t="s">
        <v>15</v>
      </c>
      <c r="J8997" s="2" t="s">
        <v>10637</v>
      </c>
      <c r="K8997" s="2" t="s">
        <v>12182</v>
      </c>
      <c r="L8997" s="2">
        <f t="shared" si="140"/>
        <v>150</v>
      </c>
    </row>
    <row r="8998" spans="1:12" ht="25" customHeight="1">
      <c r="A8998" s="2" t="s">
        <v>12</v>
      </c>
      <c r="B8998" s="2" t="str">
        <f>HYPERLINK("http://m.12365auto.com/xcdg/20200212/418316.shtml","广汽丰田将国产全新MPV 配混动系统")</f>
        <v>广汽丰田将国产全新MPV 配混动系统</v>
      </c>
      <c r="C8998" s="2" t="s">
        <v>13</v>
      </c>
      <c r="D8998" s="2" t="s">
        <v>12</v>
      </c>
      <c r="E8998" s="2"/>
      <c r="F8998" s="2" t="str">
        <f>HYPERLINK("http://m.12365auto.com/xcdg/20200212/418316.shtml","http://m.12365auto.com/xcdg/20200212/418316.shtml")</f>
        <v>http://m.12365auto.com/xcdg/20200212/418316.shtml</v>
      </c>
      <c r="G8998" s="2"/>
      <c r="H8998" s="2" t="s">
        <v>12185</v>
      </c>
      <c r="I8998" s="2" t="s">
        <v>19</v>
      </c>
      <c r="J8998" s="2" t="s">
        <v>2603</v>
      </c>
      <c r="K8998" s="2" t="s">
        <v>12182</v>
      </c>
      <c r="L8998" s="2">
        <f t="shared" si="140"/>
        <v>150</v>
      </c>
    </row>
    <row r="8999" spans="1:12" ht="25" customHeight="1">
      <c r="A8999" s="2" t="s">
        <v>12</v>
      </c>
      <c r="B8999" s="2" t="str">
        <f>HYPERLINK("http://www.12365auto.com/zlts/20200212/446943.shtml","广汽本田飞度启动时发动机有嗒嗒嗒异响")</f>
        <v>广汽本田飞度启动时发动机有嗒嗒嗒异响</v>
      </c>
      <c r="C8999" s="2" t="s">
        <v>13</v>
      </c>
      <c r="D8999" s="2" t="s">
        <v>12</v>
      </c>
      <c r="E8999" s="2" t="s">
        <v>17</v>
      </c>
      <c r="F8999" s="2" t="str">
        <f>HYPERLINK("http://www.12365auto.com/zlts/20200212/446943.shtml","http://www.12365auto.com/zlts/20200212/446943.shtml")</f>
        <v>http://www.12365auto.com/zlts/20200212/446943.shtml</v>
      </c>
      <c r="G8999" s="2"/>
      <c r="H8999" s="2" t="s">
        <v>12186</v>
      </c>
      <c r="I8999" s="2" t="s">
        <v>19</v>
      </c>
      <c r="J8999" s="2" t="s">
        <v>12</v>
      </c>
      <c r="K8999" s="2" t="s">
        <v>12182</v>
      </c>
      <c r="L8999" s="2">
        <f t="shared" si="140"/>
        <v>150</v>
      </c>
    </row>
    <row r="9000" spans="1:12" ht="25" customHeight="1">
      <c r="A9000" s="2" t="s">
        <v>12</v>
      </c>
      <c r="B9000" s="2" t="str">
        <f>HYPERLINK("http://www.12365auto.com/xcdg/20200212/418316.shtml","广汽丰田将国产全新MPV 配混动系统")</f>
        <v>广汽丰田将国产全新MPV 配混动系统</v>
      </c>
      <c r="C9000" s="2" t="s">
        <v>13</v>
      </c>
      <c r="D9000" s="2" t="s">
        <v>12</v>
      </c>
      <c r="E9000" s="2" t="s">
        <v>216</v>
      </c>
      <c r="F9000" s="2" t="str">
        <f>HYPERLINK("http://www.12365auto.com/xcdg/20200212/418316.shtml","http://www.12365auto.com/xcdg/20200212/418316.shtml")</f>
        <v>http://www.12365auto.com/xcdg/20200212/418316.shtml</v>
      </c>
      <c r="G9000" s="2"/>
      <c r="H9000" s="2" t="s">
        <v>12187</v>
      </c>
      <c r="I9000" s="2" t="s">
        <v>15</v>
      </c>
      <c r="J9000" s="2" t="s">
        <v>12</v>
      </c>
      <c r="K9000" s="2" t="s">
        <v>12182</v>
      </c>
      <c r="L9000" s="2">
        <f t="shared" si="140"/>
        <v>150</v>
      </c>
    </row>
    <row r="9001" spans="1:12" ht="25" customHeight="1">
      <c r="A9001" s="2" t="s">
        <v>12</v>
      </c>
      <c r="B9001" s="2" t="str">
        <f>HYPERLINK("http://bbs.12365auto.com/postcontent.aspx?tId=193862","车载微信来了！我们开车就真不会看手机了？")</f>
        <v>车载微信来了！我们开车就真不会看手机了？</v>
      </c>
      <c r="C9001" s="2" t="s">
        <v>13</v>
      </c>
      <c r="D9001" s="2" t="s">
        <v>12</v>
      </c>
      <c r="E9001" s="2" t="s">
        <v>27</v>
      </c>
      <c r="F9001" s="2" t="str">
        <f>HYPERLINK("http://bbs.12365auto.com/postcontent.aspx?tId=193862","http://bbs.12365auto.com/postcontent.aspx?tId=193862")</f>
        <v>http://bbs.12365auto.com/postcontent.aspx?tId=193862</v>
      </c>
      <c r="G9001" s="2"/>
      <c r="H9001" s="2" t="s">
        <v>12188</v>
      </c>
      <c r="I9001" s="2" t="s">
        <v>15</v>
      </c>
      <c r="J9001" s="2" t="s">
        <v>2699</v>
      </c>
      <c r="K9001" s="2" t="s">
        <v>12182</v>
      </c>
      <c r="L9001" s="2">
        <f t="shared" si="140"/>
        <v>150</v>
      </c>
    </row>
    <row r="9002" spans="1:12" ht="25" customHeight="1">
      <c r="A9002" s="2" t="s">
        <v>12</v>
      </c>
      <c r="B9002" s="2" t="str">
        <f>HYPERLINK("http://m.12365auto.com/bbs/postcontent.aspx?tID=193862","车载微信来了！我们开车就真不会看手机了？")</f>
        <v>车载微信来了！我们开车就真不会看手机了？</v>
      </c>
      <c r="C9002" s="2" t="s">
        <v>13</v>
      </c>
      <c r="D9002" s="2" t="s">
        <v>23</v>
      </c>
      <c r="E9002" s="2"/>
      <c r="F9002" s="2" t="str">
        <f>HYPERLINK("http://m.12365auto.com/bbs/postcontent.aspx?tID=193862","http://m.12365auto.com/bbs/postcontent.aspx?tID=193862")</f>
        <v>http://m.12365auto.com/bbs/postcontent.aspx?tID=193862</v>
      </c>
      <c r="G9002" s="2"/>
      <c r="H9002" s="2" t="s">
        <v>12188</v>
      </c>
      <c r="I9002" s="2" t="s">
        <v>15</v>
      </c>
      <c r="J9002" s="2" t="s">
        <v>2699</v>
      </c>
      <c r="K9002" s="2" t="s">
        <v>12182</v>
      </c>
      <c r="L9002" s="2">
        <f t="shared" si="140"/>
        <v>150</v>
      </c>
    </row>
    <row r="9003" spans="1:12" ht="25" customHeight="1">
      <c r="A9003" s="2" t="s">
        <v>12</v>
      </c>
      <c r="B9003" s="2" t="str">
        <f>HYPERLINK("http://m.12365auto.com/bbs/postcontent.aspx?tID=193861","提前知晓能带你远离喧嚣 跋山涉水的车型")</f>
        <v>提前知晓能带你远离喧嚣 跋山涉水的车型</v>
      </c>
      <c r="C9003" s="2" t="s">
        <v>13</v>
      </c>
      <c r="D9003" s="2" t="s">
        <v>23</v>
      </c>
      <c r="E9003" s="2"/>
      <c r="F9003" s="2" t="str">
        <f>HYPERLINK("http://m.12365auto.com/bbs/postcontent.aspx?tID=193861","http://m.12365auto.com/bbs/postcontent.aspx?tID=193861")</f>
        <v>http://m.12365auto.com/bbs/postcontent.aspx?tID=193861</v>
      </c>
      <c r="G9003" s="2"/>
      <c r="H9003" s="2" t="s">
        <v>12181</v>
      </c>
      <c r="I9003" s="2" t="s">
        <v>15</v>
      </c>
      <c r="J9003" s="2" t="s">
        <v>10637</v>
      </c>
      <c r="K9003" s="2" t="s">
        <v>12182</v>
      </c>
      <c r="L9003" s="2">
        <f t="shared" si="140"/>
        <v>150</v>
      </c>
    </row>
    <row r="9004" spans="1:12" ht="25" customHeight="1">
      <c r="A9004" s="2" t="s">
        <v>12</v>
      </c>
      <c r="B9004" s="2" t="str">
        <f>HYPERLINK("http://bbs.12365auto.com/postcontent.aspx?tID=193860","本田雅阁和丰田凯美瑞哪个档次高？车主：月收入6000养得起吗？")</f>
        <v>本田雅阁和丰田凯美瑞哪个档次高？车主：月收入6000养得起吗？</v>
      </c>
      <c r="C9004" s="2" t="s">
        <v>13</v>
      </c>
      <c r="D9004" s="2" t="s">
        <v>12</v>
      </c>
      <c r="E9004" s="2" t="s">
        <v>28</v>
      </c>
      <c r="F9004" s="2" t="str">
        <f>HYPERLINK("http://bbs.12365auto.com/postcontent.aspx?tID=193860","http://bbs.12365auto.com/postcontent.aspx?tID=193860")</f>
        <v>http://bbs.12365auto.com/postcontent.aspx?tID=193860</v>
      </c>
      <c r="G9004" s="2"/>
      <c r="H9004" s="2" t="s">
        <v>12189</v>
      </c>
      <c r="I9004" s="2" t="s">
        <v>15</v>
      </c>
      <c r="J9004" s="2" t="s">
        <v>2699</v>
      </c>
      <c r="K9004" s="2" t="s">
        <v>12190</v>
      </c>
      <c r="L9004" s="2">
        <f t="shared" si="140"/>
        <v>150</v>
      </c>
    </row>
    <row r="9005" spans="1:12" ht="25" customHeight="1">
      <c r="A9005" s="2" t="s">
        <v>12</v>
      </c>
      <c r="B9005" s="2" t="str">
        <f>HYPERLINK("http://bbs.12365auto.com/postcontent.aspx?tID=193859","购车前记得先算账 年入多少才能负担得起一台奥迪A6L呢")</f>
        <v>购车前记得先算账 年入多少才能负担得起一台奥迪A6L呢</v>
      </c>
      <c r="C9005" s="2" t="s">
        <v>13</v>
      </c>
      <c r="D9005" s="2" t="s">
        <v>12</v>
      </c>
      <c r="E9005" s="2" t="s">
        <v>28</v>
      </c>
      <c r="F9005" s="2" t="str">
        <f>HYPERLINK("http://bbs.12365auto.com/postcontent.aspx?tID=193859","http://bbs.12365auto.com/postcontent.aspx?tID=193859")</f>
        <v>http://bbs.12365auto.com/postcontent.aspx?tID=193859</v>
      </c>
      <c r="G9005" s="2"/>
      <c r="H9005" s="2" t="s">
        <v>12191</v>
      </c>
      <c r="I9005" s="2" t="s">
        <v>15</v>
      </c>
      <c r="J9005" s="2" t="s">
        <v>10637</v>
      </c>
      <c r="K9005" s="2" t="s">
        <v>12190</v>
      </c>
      <c r="L9005" s="2">
        <f t="shared" si="140"/>
        <v>150</v>
      </c>
    </row>
    <row r="9006" spans="1:12" ht="25" customHeight="1">
      <c r="A9006" s="2" t="s">
        <v>12</v>
      </c>
      <c r="B9006" s="2" t="str">
        <f>HYPERLINK("http://bbs.12365auto.com/postcontent.aspx?tId=193860","本田雅阁和丰田凯美瑞哪个档次高？车主：月收入6000养得起吗？")</f>
        <v>本田雅阁和丰田凯美瑞哪个档次高？车主：月收入6000养得起吗？</v>
      </c>
      <c r="C9006" s="2" t="s">
        <v>13</v>
      </c>
      <c r="D9006" s="2" t="s">
        <v>12</v>
      </c>
      <c r="E9006" s="2" t="s">
        <v>27</v>
      </c>
      <c r="F9006" s="2" t="str">
        <f>HYPERLINK("http://bbs.12365auto.com/postcontent.aspx?tId=193860","http://bbs.12365auto.com/postcontent.aspx?tId=193860")</f>
        <v>http://bbs.12365auto.com/postcontent.aspx?tId=193860</v>
      </c>
      <c r="G9006" s="2"/>
      <c r="H9006" s="2" t="s">
        <v>12192</v>
      </c>
      <c r="I9006" s="2" t="s">
        <v>15</v>
      </c>
      <c r="J9006" s="2" t="s">
        <v>2699</v>
      </c>
      <c r="K9006" s="2" t="s">
        <v>12190</v>
      </c>
      <c r="L9006" s="2">
        <f t="shared" si="140"/>
        <v>150</v>
      </c>
    </row>
    <row r="9007" spans="1:12" ht="25" customHeight="1">
      <c r="A9007" s="2" t="s">
        <v>12</v>
      </c>
      <c r="B9007" s="2" t="str">
        <f>HYPERLINK("http://m.12365auto.com/bbs/postcontent.aspx?tID=193860","本田雅阁和丰田凯美瑞哪个档次高？车主：月收入6000养得起吗？")</f>
        <v>本田雅阁和丰田凯美瑞哪个档次高？车主：月收入6000养得起吗？</v>
      </c>
      <c r="C9007" s="2" t="s">
        <v>13</v>
      </c>
      <c r="D9007" s="2" t="s">
        <v>23</v>
      </c>
      <c r="E9007" s="2"/>
      <c r="F9007" s="2" t="str">
        <f>HYPERLINK("http://m.12365auto.com/bbs/postcontent.aspx?tID=193860","http://m.12365auto.com/bbs/postcontent.aspx?tID=193860")</f>
        <v>http://m.12365auto.com/bbs/postcontent.aspx?tID=193860</v>
      </c>
      <c r="G9007" s="2"/>
      <c r="H9007" s="2" t="s">
        <v>12192</v>
      </c>
      <c r="I9007" s="2" t="s">
        <v>15</v>
      </c>
      <c r="J9007" s="2" t="s">
        <v>2699</v>
      </c>
      <c r="K9007" s="2" t="s">
        <v>12190</v>
      </c>
      <c r="L9007" s="2">
        <f t="shared" si="140"/>
        <v>150</v>
      </c>
    </row>
    <row r="9008" spans="1:12" ht="25" customHeight="1">
      <c r="A9008" s="2" t="s">
        <v>12</v>
      </c>
      <c r="B9008" s="2" t="str">
        <f>HYPERLINK("http://m.12365auto.com/bbs/postcontent.aspx?tID=193859","购车前记得先算账 年入多少才能负担得起一台奥迪A6L呢")</f>
        <v>购车前记得先算账 年入多少才能负担得起一台奥迪A6L呢</v>
      </c>
      <c r="C9008" s="2" t="s">
        <v>13</v>
      </c>
      <c r="D9008" s="2" t="s">
        <v>23</v>
      </c>
      <c r="E9008" s="2"/>
      <c r="F9008" s="2" t="str">
        <f>HYPERLINK("http://m.12365auto.com/bbs/postcontent.aspx?tID=193859","http://m.12365auto.com/bbs/postcontent.aspx?tID=193859")</f>
        <v>http://m.12365auto.com/bbs/postcontent.aspx?tID=193859</v>
      </c>
      <c r="G9008" s="2"/>
      <c r="H9008" s="2" t="s">
        <v>10676</v>
      </c>
      <c r="I9008" s="2" t="s">
        <v>15</v>
      </c>
      <c r="J9008" s="2" t="s">
        <v>10637</v>
      </c>
      <c r="K9008" s="2" t="s">
        <v>12190</v>
      </c>
      <c r="L9008" s="2">
        <f t="shared" si="140"/>
        <v>150</v>
      </c>
    </row>
    <row r="9009" spans="1:12" ht="25" customHeight="1">
      <c r="A9009" s="2" t="s">
        <v>12</v>
      </c>
      <c r="B9009" s="2" t="str">
        <f>HYPERLINK("http://bbs.12365auto.com/postcontent.aspx?tId=193859","购车前记得先算账 年入多少才能负担得起一台奥迪A6L呢")</f>
        <v>购车前记得先算账 年入多少才能负担得起一台奥迪A6L呢</v>
      </c>
      <c r="C9009" s="2" t="s">
        <v>13</v>
      </c>
      <c r="D9009" s="2" t="s">
        <v>12</v>
      </c>
      <c r="E9009" s="2" t="s">
        <v>27</v>
      </c>
      <c r="F9009" s="2" t="str">
        <f>HYPERLINK("http://bbs.12365auto.com/postcontent.aspx?tId=193859","http://bbs.12365auto.com/postcontent.aspx?tId=193859")</f>
        <v>http://bbs.12365auto.com/postcontent.aspx?tId=193859</v>
      </c>
      <c r="G9009" s="2"/>
      <c r="H9009" s="2" t="s">
        <v>10676</v>
      </c>
      <c r="I9009" s="2" t="s">
        <v>15</v>
      </c>
      <c r="J9009" s="2" t="s">
        <v>10637</v>
      </c>
      <c r="K9009" s="2" t="s">
        <v>12190</v>
      </c>
      <c r="L9009" s="2">
        <f t="shared" si="140"/>
        <v>150</v>
      </c>
    </row>
    <row r="9010" spans="1:12" ht="25" customHeight="1">
      <c r="A9010" s="2" t="s">
        <v>12</v>
      </c>
      <c r="B9010" s="2" t="str">
        <f>HYPERLINK("http://bbs.12365auto.com/postcontent.aspx?tId=193857","国产Model 3官降5万 造车新势力们招架的住吗")</f>
        <v>国产Model 3官降5万 造车新势力们招架的住吗</v>
      </c>
      <c r="C9010" s="2" t="s">
        <v>13</v>
      </c>
      <c r="D9010" s="2" t="s">
        <v>12</v>
      </c>
      <c r="E9010" s="2" t="s">
        <v>27</v>
      </c>
      <c r="F9010" s="2" t="str">
        <f>HYPERLINK("http://bbs.12365auto.com/postcontent.aspx?tId=193857","http://bbs.12365auto.com/postcontent.aspx?tId=193857")</f>
        <v>http://bbs.12365auto.com/postcontent.aspx?tId=193857</v>
      </c>
      <c r="G9010" s="2"/>
      <c r="H9010" s="2" t="s">
        <v>12193</v>
      </c>
      <c r="I9010" s="2" t="s">
        <v>15</v>
      </c>
      <c r="J9010" s="2" t="s">
        <v>10637</v>
      </c>
      <c r="K9010" s="2" t="s">
        <v>12194</v>
      </c>
      <c r="L9010" s="2">
        <f t="shared" si="140"/>
        <v>150</v>
      </c>
    </row>
    <row r="9011" spans="1:12" ht="25" customHeight="1">
      <c r="A9011" s="2" t="s">
        <v>12</v>
      </c>
      <c r="B9011" s="2" t="str">
        <f>HYPERLINK("http://bbs.12365auto.com/postcontent.aspx?tID=193858","用车小知识，你的车是不是也有这种情况")</f>
        <v>用车小知识，你的车是不是也有这种情况</v>
      </c>
      <c r="C9011" s="2" t="s">
        <v>13</v>
      </c>
      <c r="D9011" s="2" t="s">
        <v>12</v>
      </c>
      <c r="E9011" s="2" t="s">
        <v>28</v>
      </c>
      <c r="F9011" s="2" t="str">
        <f>HYPERLINK("http://bbs.12365auto.com/postcontent.aspx?tID=193858","http://bbs.12365auto.com/postcontent.aspx?tID=193858")</f>
        <v>http://bbs.12365auto.com/postcontent.aspx?tID=193858</v>
      </c>
      <c r="G9011" s="2"/>
      <c r="H9011" s="2" t="s">
        <v>12195</v>
      </c>
      <c r="I9011" s="2" t="s">
        <v>15</v>
      </c>
      <c r="J9011" s="2" t="s">
        <v>2699</v>
      </c>
      <c r="K9011" s="2" t="s">
        <v>12194</v>
      </c>
      <c r="L9011" s="2">
        <f t="shared" si="140"/>
        <v>101</v>
      </c>
    </row>
    <row r="9012" spans="1:12" ht="25" customHeight="1">
      <c r="A9012" s="2" t="s">
        <v>12</v>
      </c>
      <c r="B9012" s="2" t="str">
        <f>HYPERLINK("http://bbs.12365auto.com/postcontent.aspx?tID=193857","国产Model 3官降5万 造车新势力们招架的住吗")</f>
        <v>国产Model 3官降5万 造车新势力们招架的住吗</v>
      </c>
      <c r="C9012" s="2" t="s">
        <v>13</v>
      </c>
      <c r="D9012" s="2" t="s">
        <v>12</v>
      </c>
      <c r="E9012" s="2" t="s">
        <v>28</v>
      </c>
      <c r="F9012" s="2" t="str">
        <f>HYPERLINK("http://bbs.12365auto.com/postcontent.aspx?tID=193857","http://bbs.12365auto.com/postcontent.aspx?tID=193857")</f>
        <v>http://bbs.12365auto.com/postcontent.aspx?tID=193857</v>
      </c>
      <c r="G9012" s="2"/>
      <c r="H9012" s="2" t="s">
        <v>12196</v>
      </c>
      <c r="I9012" s="2" t="s">
        <v>15</v>
      </c>
      <c r="J9012" s="2" t="s">
        <v>10637</v>
      </c>
      <c r="K9012" s="2" t="s">
        <v>12194</v>
      </c>
      <c r="L9012" s="2">
        <f t="shared" si="140"/>
        <v>150</v>
      </c>
    </row>
    <row r="9013" spans="1:12" ht="25" customHeight="1">
      <c r="A9013" s="2" t="s">
        <v>12</v>
      </c>
      <c r="B9013" s="2" t="str">
        <f>HYPERLINK("http://bbs.12365auto.com/postcontent.aspx?tID=193856","中国式养车“3大怪象”，维修工分析针针见血，穷人的惯性思维")</f>
        <v>中国式养车“3大怪象”，维修工分析针针见血，穷人的惯性思维</v>
      </c>
      <c r="C9013" s="2" t="s">
        <v>13</v>
      </c>
      <c r="D9013" s="2" t="s">
        <v>12</v>
      </c>
      <c r="E9013" s="2" t="s">
        <v>28</v>
      </c>
      <c r="F9013" s="2" t="str">
        <f>HYPERLINK("http://bbs.12365auto.com/postcontent.aspx?tID=193856","http://bbs.12365auto.com/postcontent.aspx?tID=193856")</f>
        <v>http://bbs.12365auto.com/postcontent.aspx?tID=193856</v>
      </c>
      <c r="G9013" s="2"/>
      <c r="H9013" s="2" t="s">
        <v>12197</v>
      </c>
      <c r="I9013" s="2" t="s">
        <v>15</v>
      </c>
      <c r="J9013" s="2" t="s">
        <v>2699</v>
      </c>
      <c r="K9013" s="2" t="s">
        <v>12194</v>
      </c>
      <c r="L9013" s="2">
        <f t="shared" si="140"/>
        <v>150</v>
      </c>
    </row>
    <row r="9014" spans="1:12" ht="25" customHeight="1">
      <c r="A9014" s="2" t="s">
        <v>12</v>
      </c>
      <c r="B9014" s="2" t="str">
        <f>HYPERLINK("http://www.12365auto.com/xcdg/20200212/418315.shtml","奔驰年内将推18款新车 中期改款E级下月亮相")</f>
        <v>奔驰年内将推18款新车 中期改款E级下月亮相</v>
      </c>
      <c r="C9014" s="2" t="s">
        <v>13</v>
      </c>
      <c r="D9014" s="2" t="s">
        <v>12</v>
      </c>
      <c r="E9014" s="2" t="s">
        <v>216</v>
      </c>
      <c r="F9014" s="2" t="str">
        <f>HYPERLINK("http://www.12365auto.com/xcdg/20200212/418315.shtml","http://www.12365auto.com/xcdg/20200212/418315.shtml")</f>
        <v>http://www.12365auto.com/xcdg/20200212/418315.shtml</v>
      </c>
      <c r="G9014" s="2"/>
      <c r="H9014" s="2" t="s">
        <v>12198</v>
      </c>
      <c r="I9014" s="2" t="s">
        <v>15</v>
      </c>
      <c r="J9014" s="2" t="s">
        <v>12</v>
      </c>
      <c r="K9014" s="2" t="s">
        <v>12194</v>
      </c>
      <c r="L9014" s="2">
        <f t="shared" si="140"/>
        <v>150</v>
      </c>
    </row>
    <row r="9015" spans="1:12" ht="25" customHeight="1">
      <c r="A9015" s="2" t="s">
        <v>12</v>
      </c>
      <c r="B9015" s="2" t="str">
        <f>HYPERLINK("http://bbs.12365auto.com/postcontent.aspx?tId=193856","中国式养车“3大怪象”，维修工分析针针见血，穷人的惯性思维")</f>
        <v>中国式养车“3大怪象”，维修工分析针针见血，穷人的惯性思维</v>
      </c>
      <c r="C9015" s="2" t="s">
        <v>13</v>
      </c>
      <c r="D9015" s="2" t="s">
        <v>12</v>
      </c>
      <c r="E9015" s="2" t="s">
        <v>27</v>
      </c>
      <c r="F9015" s="2" t="str">
        <f>HYPERLINK("http://bbs.12365auto.com/postcontent.aspx?tId=193856","http://bbs.12365auto.com/postcontent.aspx?tId=193856")</f>
        <v>http://bbs.12365auto.com/postcontent.aspx?tId=193856</v>
      </c>
      <c r="G9015" s="2"/>
      <c r="H9015" s="2" t="s">
        <v>12199</v>
      </c>
      <c r="I9015" s="2" t="s">
        <v>15</v>
      </c>
      <c r="J9015" s="2" t="s">
        <v>2699</v>
      </c>
      <c r="K9015" s="2" t="s">
        <v>12194</v>
      </c>
      <c r="L9015" s="2">
        <f t="shared" si="140"/>
        <v>150</v>
      </c>
    </row>
    <row r="9016" spans="1:12" ht="25" customHeight="1">
      <c r="A9016" s="2" t="s">
        <v>12</v>
      </c>
      <c r="B9016" s="2" t="str">
        <f>HYPERLINK("http://bbs.12365auto.com/postcontent.aspx?tId=193858","用车小知识，你的车是不是也有这种情况")</f>
        <v>用车小知识，你的车是不是也有这种情况</v>
      </c>
      <c r="C9016" s="2" t="s">
        <v>13</v>
      </c>
      <c r="D9016" s="2" t="s">
        <v>12</v>
      </c>
      <c r="E9016" s="2" t="s">
        <v>27</v>
      </c>
      <c r="F9016" s="2" t="str">
        <f>HYPERLINK("http://bbs.12365auto.com/postcontent.aspx?tId=193858","http://bbs.12365auto.com/postcontent.aspx?tId=193858")</f>
        <v>http://bbs.12365auto.com/postcontent.aspx?tId=193858</v>
      </c>
      <c r="G9016" s="2"/>
      <c r="H9016" s="2" t="s">
        <v>12200</v>
      </c>
      <c r="I9016" s="2" t="s">
        <v>15</v>
      </c>
      <c r="J9016" s="2" t="s">
        <v>2699</v>
      </c>
      <c r="K9016" s="2" t="s">
        <v>12194</v>
      </c>
      <c r="L9016" s="2">
        <f t="shared" si="140"/>
        <v>83</v>
      </c>
    </row>
    <row r="9017" spans="1:12" ht="25" customHeight="1">
      <c r="A9017" s="2" t="s">
        <v>12</v>
      </c>
      <c r="B9017" s="2" t="str">
        <f>HYPERLINK("http://m.12365auto.com/xcdg/20200212/418315.shtml","奔驰年内将推18款新车 中期改款E级下月亮相")</f>
        <v>奔驰年内将推18款新车 中期改款E级下月亮相</v>
      </c>
      <c r="C9017" s="2" t="s">
        <v>13</v>
      </c>
      <c r="D9017" s="2" t="s">
        <v>12</v>
      </c>
      <c r="E9017" s="2"/>
      <c r="F9017" s="2" t="str">
        <f>HYPERLINK("http://m.12365auto.com/xcdg/20200212/418315.shtml","http://m.12365auto.com/xcdg/20200212/418315.shtml")</f>
        <v>http://m.12365auto.com/xcdg/20200212/418315.shtml</v>
      </c>
      <c r="G9017" s="2"/>
      <c r="H9017" s="2" t="s">
        <v>12201</v>
      </c>
      <c r="I9017" s="2" t="s">
        <v>19</v>
      </c>
      <c r="J9017" s="2" t="s">
        <v>732</v>
      </c>
      <c r="K9017" s="2" t="s">
        <v>12194</v>
      </c>
      <c r="L9017" s="2">
        <f t="shared" si="140"/>
        <v>150</v>
      </c>
    </row>
    <row r="9018" spans="1:12" ht="25" customHeight="1">
      <c r="A9018" s="2" t="s">
        <v>12</v>
      </c>
      <c r="B9018" s="2" t="str">
        <f>HYPERLINK("http://m.12365auto.com/bbs/postcontent.aspx?tID=193858","用车小知识，你的车是不是也有这种情况")</f>
        <v>用车小知识，你的车是不是也有这种情况</v>
      </c>
      <c r="C9018" s="2" t="s">
        <v>13</v>
      </c>
      <c r="D9018" s="2" t="s">
        <v>23</v>
      </c>
      <c r="E9018" s="2"/>
      <c r="F9018" s="2" t="str">
        <f>HYPERLINK("http://m.12365auto.com/bbs/postcontent.aspx?tID=193858","http://m.12365auto.com/bbs/postcontent.aspx?tID=193858")</f>
        <v>http://m.12365auto.com/bbs/postcontent.aspx?tID=193858</v>
      </c>
      <c r="G9018" s="2"/>
      <c r="H9018" s="2" t="s">
        <v>12200</v>
      </c>
      <c r="I9018" s="2" t="s">
        <v>15</v>
      </c>
      <c r="J9018" s="2" t="s">
        <v>2699</v>
      </c>
      <c r="K9018" s="2" t="s">
        <v>12194</v>
      </c>
      <c r="L9018" s="2">
        <f t="shared" si="140"/>
        <v>83</v>
      </c>
    </row>
    <row r="9019" spans="1:12" ht="25" customHeight="1">
      <c r="A9019" s="2" t="s">
        <v>12</v>
      </c>
      <c r="B9019" s="2" t="str">
        <f>HYPERLINK("http://m.12365auto.com/bbs/postcontent.aspx?tID=193857","国产Model 3官降5万 造车新势力们招架的住吗")</f>
        <v>国产Model 3官降5万 造车新势力们招架的住吗</v>
      </c>
      <c r="C9019" s="2" t="s">
        <v>13</v>
      </c>
      <c r="D9019" s="2" t="s">
        <v>23</v>
      </c>
      <c r="E9019" s="2"/>
      <c r="F9019" s="2" t="str">
        <f>HYPERLINK("http://m.12365auto.com/bbs/postcontent.aspx?tID=193857","http://m.12365auto.com/bbs/postcontent.aspx?tID=193857")</f>
        <v>http://m.12365auto.com/bbs/postcontent.aspx?tID=193857</v>
      </c>
      <c r="G9019" s="2"/>
      <c r="H9019" s="2" t="s">
        <v>12193</v>
      </c>
      <c r="I9019" s="2" t="s">
        <v>15</v>
      </c>
      <c r="J9019" s="2" t="s">
        <v>10637</v>
      </c>
      <c r="K9019" s="2" t="s">
        <v>12194</v>
      </c>
      <c r="L9019" s="2">
        <f t="shared" si="140"/>
        <v>150</v>
      </c>
    </row>
    <row r="9020" spans="1:12" ht="25" customHeight="1">
      <c r="A9020" s="2" t="s">
        <v>12</v>
      </c>
      <c r="B9020" s="2" t="str">
        <f>HYPERLINK("http://bbs.12365auto.com/postcontent.aspx?tID=193853","动图警示|应急车道不是要命车道")</f>
        <v>动图警示|应急车道不是要命车道</v>
      </c>
      <c r="C9020" s="2" t="s">
        <v>13</v>
      </c>
      <c r="D9020" s="2" t="s">
        <v>12</v>
      </c>
      <c r="E9020" s="2" t="s">
        <v>28</v>
      </c>
      <c r="F9020" s="2" t="str">
        <f>HYPERLINK("http://bbs.12365auto.com/postcontent.aspx?tID=193853","http://bbs.12365auto.com/postcontent.aspx?tID=193853")</f>
        <v>http://bbs.12365auto.com/postcontent.aspx?tID=193853</v>
      </c>
      <c r="G9020" s="2"/>
      <c r="H9020" s="2" t="s">
        <v>12202</v>
      </c>
      <c r="I9020" s="2" t="s">
        <v>15</v>
      </c>
      <c r="J9020" s="2" t="s">
        <v>2699</v>
      </c>
      <c r="K9020" s="2" t="s">
        <v>12203</v>
      </c>
      <c r="L9020" s="2">
        <f t="shared" si="140"/>
        <v>98</v>
      </c>
    </row>
    <row r="9021" spans="1:12" ht="25" customHeight="1">
      <c r="A9021" s="2" t="s">
        <v>12</v>
      </c>
      <c r="B9021" s="2" t="str">
        <f>HYPERLINK("http://bbs.12365auto.com/postcontent.aspx?tID=193854","车上 .一键启动.功能很多的")</f>
        <v>车上 .一键启动.功能很多的</v>
      </c>
      <c r="C9021" s="2" t="s">
        <v>13</v>
      </c>
      <c r="D9021" s="2" t="s">
        <v>12</v>
      </c>
      <c r="E9021" s="2" t="s">
        <v>28</v>
      </c>
      <c r="F9021" s="2" t="str">
        <f>HYPERLINK("http://bbs.12365auto.com/postcontent.aspx?tID=193854","http://bbs.12365auto.com/postcontent.aspx?tID=193854")</f>
        <v>http://bbs.12365auto.com/postcontent.aspx?tID=193854</v>
      </c>
      <c r="G9021" s="2"/>
      <c r="H9021" s="2" t="s">
        <v>12204</v>
      </c>
      <c r="I9021" s="2" t="s">
        <v>15</v>
      </c>
      <c r="J9021" s="2" t="s">
        <v>2699</v>
      </c>
      <c r="K9021" s="2" t="s">
        <v>12203</v>
      </c>
      <c r="L9021" s="2">
        <f t="shared" si="140"/>
        <v>150</v>
      </c>
    </row>
    <row r="9022" spans="1:12" ht="25" customHeight="1">
      <c r="A9022" s="2" t="s">
        <v>12</v>
      </c>
      <c r="B9022" s="2" t="str">
        <f>HYPERLINK("http://bbs.12365auto.com/postcontent.aspx?tID=193855","新车没上市就推升级版 丰田2020版全新汉兰达 XSE车型详细介绍")</f>
        <v>新车没上市就推升级版 丰田2020版全新汉兰达 XSE车型详细介绍</v>
      </c>
      <c r="C9022" s="2" t="s">
        <v>13</v>
      </c>
      <c r="D9022" s="2" t="s">
        <v>12</v>
      </c>
      <c r="E9022" s="2" t="s">
        <v>28</v>
      </c>
      <c r="F9022" s="2" t="str">
        <f>HYPERLINK("http://bbs.12365auto.com/postcontent.aspx?tID=193855","http://bbs.12365auto.com/postcontent.aspx?tID=193855")</f>
        <v>http://bbs.12365auto.com/postcontent.aspx?tID=193855</v>
      </c>
      <c r="G9022" s="2"/>
      <c r="H9022" s="2" t="s">
        <v>12205</v>
      </c>
      <c r="I9022" s="2" t="s">
        <v>15</v>
      </c>
      <c r="J9022" s="2" t="s">
        <v>10637</v>
      </c>
      <c r="K9022" s="2" t="s">
        <v>12203</v>
      </c>
      <c r="L9022" s="2">
        <f t="shared" si="140"/>
        <v>150</v>
      </c>
    </row>
    <row r="9023" spans="1:12" ht="25" customHeight="1">
      <c r="A9023" s="2" t="s">
        <v>12</v>
      </c>
      <c r="B9023" s="2" t="str">
        <f>HYPERLINK("http://bbs.12365auto.com/postcontent.aspx?tId=193854","车上 .一键启动.功能很多的")</f>
        <v>车上 .一键启动.功能很多的</v>
      </c>
      <c r="C9023" s="2" t="s">
        <v>13</v>
      </c>
      <c r="D9023" s="2" t="s">
        <v>12</v>
      </c>
      <c r="E9023" s="2" t="s">
        <v>27</v>
      </c>
      <c r="F9023" s="2" t="str">
        <f>HYPERLINK("http://bbs.12365auto.com/postcontent.aspx?tId=193854","http://bbs.12365auto.com/postcontent.aspx?tId=193854")</f>
        <v>http://bbs.12365auto.com/postcontent.aspx?tId=193854</v>
      </c>
      <c r="G9023" s="2"/>
      <c r="H9023" s="2" t="s">
        <v>12206</v>
      </c>
      <c r="I9023" s="2" t="s">
        <v>15</v>
      </c>
      <c r="J9023" s="2" t="s">
        <v>2699</v>
      </c>
      <c r="K9023" s="2" t="s">
        <v>12203</v>
      </c>
      <c r="L9023" s="2">
        <f t="shared" si="140"/>
        <v>150</v>
      </c>
    </row>
    <row r="9024" spans="1:12" ht="25" customHeight="1">
      <c r="A9024" s="2" t="s">
        <v>12</v>
      </c>
      <c r="B9024" s="2" t="str">
        <f>HYPERLINK("http://bbs.12365auto.com/postcontent.aspx?tId=193853","动图警示|应急车道不是要命车道")</f>
        <v>动图警示|应急车道不是要命车道</v>
      </c>
      <c r="C9024" s="2" t="s">
        <v>13</v>
      </c>
      <c r="D9024" s="2" t="s">
        <v>12</v>
      </c>
      <c r="E9024" s="2" t="s">
        <v>27</v>
      </c>
      <c r="F9024" s="2" t="str">
        <f>HYPERLINK("http://bbs.12365auto.com/postcontent.aspx?tId=193853","http://bbs.12365auto.com/postcontent.aspx?tId=193853")</f>
        <v>http://bbs.12365auto.com/postcontent.aspx?tId=193853</v>
      </c>
      <c r="G9024" s="2"/>
      <c r="H9024" s="2" t="s">
        <v>12207</v>
      </c>
      <c r="I9024" s="2" t="s">
        <v>15</v>
      </c>
      <c r="J9024" s="2" t="s">
        <v>2699</v>
      </c>
      <c r="K9024" s="2" t="s">
        <v>12203</v>
      </c>
      <c r="L9024" s="2">
        <f t="shared" si="140"/>
        <v>83</v>
      </c>
    </row>
    <row r="9025" spans="1:12" ht="25" customHeight="1">
      <c r="A9025" s="2" t="s">
        <v>12</v>
      </c>
      <c r="B9025" s="2" t="str">
        <f>HYPERLINK("http://bbs.12365auto.com/postcontent.aspx?tId=193855","新车没上市就推升级版 丰田2020版全新汉兰达 XSE车型详细介绍")</f>
        <v>新车没上市就推升级版 丰田2020版全新汉兰达 XSE车型详细介绍</v>
      </c>
      <c r="C9025" s="2" t="s">
        <v>13</v>
      </c>
      <c r="D9025" s="2" t="s">
        <v>12</v>
      </c>
      <c r="E9025" s="2" t="s">
        <v>27</v>
      </c>
      <c r="F9025" s="2" t="str">
        <f>HYPERLINK("http://bbs.12365auto.com/postcontent.aspx?tId=193855","http://bbs.12365auto.com/postcontent.aspx?tId=193855")</f>
        <v>http://bbs.12365auto.com/postcontent.aspx?tId=193855</v>
      </c>
      <c r="G9025" s="2"/>
      <c r="H9025" s="2" t="s">
        <v>12208</v>
      </c>
      <c r="I9025" s="2" t="s">
        <v>15</v>
      </c>
      <c r="J9025" s="2" t="s">
        <v>10637</v>
      </c>
      <c r="K9025" s="2" t="s">
        <v>12203</v>
      </c>
      <c r="L9025" s="2">
        <f t="shared" si="140"/>
        <v>150</v>
      </c>
    </row>
    <row r="9026" spans="1:12" ht="25" customHeight="1">
      <c r="A9026" s="2" t="s">
        <v>12</v>
      </c>
      <c r="B9026" s="2" t="str">
        <f>HYPERLINK("http://m.12365auto.com/bbs/postcontent.aspx?tID=193855","新车没上市就推升级版 丰田2020版全新汉兰达 XSE车型详细介绍")</f>
        <v>新车没上市就推升级版 丰田2020版全新汉兰达 XSE车型详细介绍</v>
      </c>
      <c r="C9026" s="2" t="s">
        <v>13</v>
      </c>
      <c r="D9026" s="2" t="s">
        <v>23</v>
      </c>
      <c r="E9026" s="2"/>
      <c r="F9026" s="2" t="str">
        <f>HYPERLINK("http://m.12365auto.com/bbs/postcontent.aspx?tID=193855","http://m.12365auto.com/bbs/postcontent.aspx?tID=193855")</f>
        <v>http://m.12365auto.com/bbs/postcontent.aspx?tID=193855</v>
      </c>
      <c r="G9026" s="2"/>
      <c r="H9026" s="2" t="s">
        <v>12208</v>
      </c>
      <c r="I9026" s="2" t="s">
        <v>15</v>
      </c>
      <c r="J9026" s="2" t="s">
        <v>10637</v>
      </c>
      <c r="K9026" s="2" t="s">
        <v>12203</v>
      </c>
      <c r="L9026" s="2">
        <f t="shared" si="140"/>
        <v>150</v>
      </c>
    </row>
    <row r="9027" spans="1:12" ht="25" customHeight="1">
      <c r="A9027" s="2" t="s">
        <v>12</v>
      </c>
      <c r="B9027" s="2" t="str">
        <f>HYPERLINK("http://bbs.12365auto.com/postcontent.aspx?tID=193851","没有这几个配置的车都是耍流氓，再便宜也不能买")</f>
        <v>没有这几个配置的车都是耍流氓，再便宜也不能买</v>
      </c>
      <c r="C9027" s="2" t="s">
        <v>13</v>
      </c>
      <c r="D9027" s="2" t="s">
        <v>12</v>
      </c>
      <c r="E9027" s="2" t="s">
        <v>28</v>
      </c>
      <c r="F9027" s="2" t="str">
        <f>HYPERLINK("http://bbs.12365auto.com/postcontent.aspx?tID=193851","http://bbs.12365auto.com/postcontent.aspx?tID=193851")</f>
        <v>http://bbs.12365auto.com/postcontent.aspx?tID=193851</v>
      </c>
      <c r="G9027" s="2"/>
      <c r="H9027" s="2" t="s">
        <v>12209</v>
      </c>
      <c r="I9027" s="2" t="s">
        <v>15</v>
      </c>
      <c r="J9027" s="2" t="s">
        <v>2699</v>
      </c>
      <c r="K9027" s="2" t="s">
        <v>12210</v>
      </c>
      <c r="L9027" s="2">
        <f t="shared" ref="L9027:L9090" si="141">LEN(H9027)</f>
        <v>150</v>
      </c>
    </row>
    <row r="9028" spans="1:12" ht="25" customHeight="1">
      <c r="A9028" s="2" t="s">
        <v>12</v>
      </c>
      <c r="B9028" s="2" t="str">
        <f>HYPERLINK("http://bbs.12365auto.com/postcontent.aspx?tID=193852","奇瑞的车要卖到美国了 但是用的不是奇瑞标")</f>
        <v>奇瑞的车要卖到美国了 但是用的不是奇瑞标</v>
      </c>
      <c r="C9028" s="2" t="s">
        <v>13</v>
      </c>
      <c r="D9028" s="2" t="s">
        <v>12</v>
      </c>
      <c r="E9028" s="2" t="s">
        <v>28</v>
      </c>
      <c r="F9028" s="2" t="str">
        <f>HYPERLINK("http://bbs.12365auto.com/postcontent.aspx?tID=193852","http://bbs.12365auto.com/postcontent.aspx?tID=193852")</f>
        <v>http://bbs.12365auto.com/postcontent.aspx?tID=193852</v>
      </c>
      <c r="G9028" s="2"/>
      <c r="H9028" s="2" t="s">
        <v>12211</v>
      </c>
      <c r="I9028" s="2" t="s">
        <v>15</v>
      </c>
      <c r="J9028" s="2" t="s">
        <v>10637</v>
      </c>
      <c r="K9028" s="2" t="s">
        <v>12210</v>
      </c>
      <c r="L9028" s="2">
        <f t="shared" si="141"/>
        <v>150</v>
      </c>
    </row>
    <row r="9029" spans="1:12" ht="25" customHeight="1">
      <c r="A9029" s="2" t="s">
        <v>12</v>
      </c>
      <c r="B9029" s="2" t="str">
        <f>HYPERLINK("http://www.12365auto.com/news/20200212/418314.shtml","将生产承载式皮卡 乘用化皮卡再添新装备")</f>
        <v>将生产承载式皮卡 乘用化皮卡再添新装备</v>
      </c>
      <c r="C9029" s="2" t="s">
        <v>13</v>
      </c>
      <c r="D9029" s="2" t="s">
        <v>12</v>
      </c>
      <c r="E9029" s="2" t="s">
        <v>276</v>
      </c>
      <c r="F9029" s="2" t="str">
        <f>HYPERLINK("http://www.12365auto.com/news/20200212/418314.shtml","http://www.12365auto.com/news/20200212/418314.shtml")</f>
        <v>http://www.12365auto.com/news/20200212/418314.shtml</v>
      </c>
      <c r="G9029" s="2"/>
      <c r="H9029" s="2" t="s">
        <v>12212</v>
      </c>
      <c r="I9029" s="2" t="s">
        <v>15</v>
      </c>
      <c r="J9029" s="2" t="s">
        <v>12</v>
      </c>
      <c r="K9029" s="2" t="s">
        <v>12210</v>
      </c>
      <c r="L9029" s="2">
        <f t="shared" si="141"/>
        <v>150</v>
      </c>
    </row>
    <row r="9030" spans="1:12" ht="25" customHeight="1">
      <c r="A9030" s="2" t="s">
        <v>12</v>
      </c>
      <c r="B9030" s="2" t="str">
        <f>HYPERLINK("http://m.12365auto.com/news/20200212/418314.shtml","将生产承载式皮卡 乘用化皮卡再添新装备")</f>
        <v>将生产承载式皮卡 乘用化皮卡再添新装备</v>
      </c>
      <c r="C9030" s="2" t="s">
        <v>13</v>
      </c>
      <c r="D9030" s="2" t="s">
        <v>12</v>
      </c>
      <c r="E9030" s="2"/>
      <c r="F9030" s="2" t="str">
        <f>HYPERLINK("http://m.12365auto.com/news/20200212/418314.shtml","http://m.12365auto.com/news/20200212/418314.shtml")</f>
        <v>http://m.12365auto.com/news/20200212/418314.shtml</v>
      </c>
      <c r="G9030" s="2"/>
      <c r="H9030" s="2" t="s">
        <v>12213</v>
      </c>
      <c r="I9030" s="2" t="s">
        <v>19</v>
      </c>
      <c r="J9030" s="2" t="s">
        <v>1933</v>
      </c>
      <c r="K9030" s="2" t="s">
        <v>12210</v>
      </c>
      <c r="L9030" s="2">
        <f t="shared" si="141"/>
        <v>150</v>
      </c>
    </row>
    <row r="9031" spans="1:12" ht="25" customHeight="1">
      <c r="A9031" s="2" t="s">
        <v>12</v>
      </c>
      <c r="B9031" s="2" t="str">
        <f>HYPERLINK("http://bbs.12365auto.com/postcontent.aspx?tId=193852","奇瑞的车要卖到美国了 但是用的不是奇瑞标")</f>
        <v>奇瑞的车要卖到美国了 但是用的不是奇瑞标</v>
      </c>
      <c r="C9031" s="2" t="s">
        <v>13</v>
      </c>
      <c r="D9031" s="2" t="s">
        <v>12</v>
      </c>
      <c r="E9031" s="2" t="s">
        <v>27</v>
      </c>
      <c r="F9031" s="2" t="str">
        <f>HYPERLINK("http://bbs.12365auto.com/postcontent.aspx?tId=193852","http://bbs.12365auto.com/postcontent.aspx?tId=193852")</f>
        <v>http://bbs.12365auto.com/postcontent.aspx?tId=193852</v>
      </c>
      <c r="G9031" s="2"/>
      <c r="H9031" s="2" t="s">
        <v>12214</v>
      </c>
      <c r="I9031" s="2" t="s">
        <v>15</v>
      </c>
      <c r="J9031" s="2" t="s">
        <v>10637</v>
      </c>
      <c r="K9031" s="2" t="s">
        <v>12210</v>
      </c>
      <c r="L9031" s="2">
        <f t="shared" si="141"/>
        <v>150</v>
      </c>
    </row>
    <row r="9032" spans="1:12" ht="25" customHeight="1">
      <c r="A9032" s="2" t="s">
        <v>12</v>
      </c>
      <c r="B9032" s="2" t="str">
        <f>HYPERLINK("http://bbs.12365auto.com/postcontent.aspx?tId=193851","没有这几个配置的车都是耍流氓，再便宜也不能买")</f>
        <v>没有这几个配置的车都是耍流氓，再便宜也不能买</v>
      </c>
      <c r="C9032" s="2" t="s">
        <v>13</v>
      </c>
      <c r="D9032" s="2" t="s">
        <v>12</v>
      </c>
      <c r="E9032" s="2" t="s">
        <v>27</v>
      </c>
      <c r="F9032" s="2" t="str">
        <f>HYPERLINK("http://bbs.12365auto.com/postcontent.aspx?tId=193851","http://bbs.12365auto.com/postcontent.aspx?tId=193851")</f>
        <v>http://bbs.12365auto.com/postcontent.aspx?tId=193851</v>
      </c>
      <c r="G9032" s="2"/>
      <c r="H9032" s="2" t="s">
        <v>12103</v>
      </c>
      <c r="I9032" s="2" t="s">
        <v>15</v>
      </c>
      <c r="J9032" s="2" t="s">
        <v>2699</v>
      </c>
      <c r="K9032" s="2" t="s">
        <v>12210</v>
      </c>
      <c r="L9032" s="2">
        <f t="shared" si="141"/>
        <v>150</v>
      </c>
    </row>
    <row r="9033" spans="1:12" ht="25" customHeight="1">
      <c r="A9033" s="2" t="s">
        <v>12</v>
      </c>
      <c r="B9033" s="2" t="str">
        <f>HYPERLINK("http://m.12365auto.com/bbs/postcontent.aspx?tID=193852","奇瑞的车要卖到美国了 但是用的不是奇瑞标")</f>
        <v>奇瑞的车要卖到美国了 但是用的不是奇瑞标</v>
      </c>
      <c r="C9033" s="2" t="s">
        <v>13</v>
      </c>
      <c r="D9033" s="2" t="s">
        <v>23</v>
      </c>
      <c r="E9033" s="2"/>
      <c r="F9033" s="2" t="str">
        <f>HYPERLINK("http://m.12365auto.com/bbs/postcontent.aspx?tID=193852","http://m.12365auto.com/bbs/postcontent.aspx?tID=193852")</f>
        <v>http://m.12365auto.com/bbs/postcontent.aspx?tID=193852</v>
      </c>
      <c r="G9033" s="2"/>
      <c r="H9033" s="2" t="s">
        <v>12214</v>
      </c>
      <c r="I9033" s="2" t="s">
        <v>15</v>
      </c>
      <c r="J9033" s="2" t="s">
        <v>10637</v>
      </c>
      <c r="K9033" s="2" t="s">
        <v>12210</v>
      </c>
      <c r="L9033" s="2">
        <f t="shared" si="141"/>
        <v>150</v>
      </c>
    </row>
    <row r="9034" spans="1:12" ht="25" customHeight="1">
      <c r="A9034" s="2" t="s">
        <v>12</v>
      </c>
      <c r="B9034" s="2" t="str">
        <f>HYPERLINK("http://bbs.12365auto.com/postcontent.aspx?tID=193850","汽车上滴LSD是什么意思？你知道吗？让我们来一起看下吧")</f>
        <v>汽车上滴LSD是什么意思？你知道吗？让我们来一起看下吧</v>
      </c>
      <c r="C9034" s="2" t="s">
        <v>13</v>
      </c>
      <c r="D9034" s="2" t="s">
        <v>12</v>
      </c>
      <c r="E9034" s="2" t="s">
        <v>28</v>
      </c>
      <c r="F9034" s="2" t="str">
        <f>HYPERLINK("http://bbs.12365auto.com/postcontent.aspx?tID=193850","http://bbs.12365auto.com/postcontent.aspx?tID=193850")</f>
        <v>http://bbs.12365auto.com/postcontent.aspx?tID=193850</v>
      </c>
      <c r="G9034" s="2"/>
      <c r="H9034" s="2" t="s">
        <v>12215</v>
      </c>
      <c r="I9034" s="2" t="s">
        <v>15</v>
      </c>
      <c r="J9034" s="2" t="s">
        <v>2699</v>
      </c>
      <c r="K9034" s="2" t="s">
        <v>12216</v>
      </c>
      <c r="L9034" s="2">
        <f t="shared" si="141"/>
        <v>150</v>
      </c>
    </row>
    <row r="9035" spans="1:12" ht="25" customHeight="1">
      <c r="A9035" s="2" t="s">
        <v>12</v>
      </c>
      <c r="B9035" s="2" t="str">
        <f>HYPERLINK("http://bbs.12365auto.com/postcontent.aspx?tId=193850","汽车上滴LSD是什么意思？你知道吗？让我们来一起看下吧")</f>
        <v>汽车上滴LSD是什么意思？你知道吗？让我们来一起看下吧</v>
      </c>
      <c r="C9035" s="2" t="s">
        <v>13</v>
      </c>
      <c r="D9035" s="2" t="s">
        <v>12</v>
      </c>
      <c r="E9035" s="2" t="s">
        <v>27</v>
      </c>
      <c r="F9035" s="2" t="str">
        <f>HYPERLINK("http://bbs.12365auto.com/postcontent.aspx?tId=193850","http://bbs.12365auto.com/postcontent.aspx?tId=193850")</f>
        <v>http://bbs.12365auto.com/postcontent.aspx?tId=193850</v>
      </c>
      <c r="G9035" s="2"/>
      <c r="H9035" s="2" t="s">
        <v>12217</v>
      </c>
      <c r="I9035" s="2" t="s">
        <v>15</v>
      </c>
      <c r="J9035" s="2" t="s">
        <v>2699</v>
      </c>
      <c r="K9035" s="2" t="s">
        <v>12216</v>
      </c>
      <c r="L9035" s="2">
        <f t="shared" si="141"/>
        <v>150</v>
      </c>
    </row>
    <row r="9036" spans="1:12" ht="25" customHeight="1">
      <c r="A9036" s="2" t="s">
        <v>12</v>
      </c>
      <c r="B9036" s="2" t="str">
        <f>HYPERLINK("http://bbs.12365auto.com/postcontent.aspx?tID=193849","就算是全新的蒙迪欧来了 福特也难翻身")</f>
        <v>就算是全新的蒙迪欧来了 福特也难翻身</v>
      </c>
      <c r="C9036" s="2" t="s">
        <v>13</v>
      </c>
      <c r="D9036" s="2" t="s">
        <v>12</v>
      </c>
      <c r="E9036" s="2" t="s">
        <v>28</v>
      </c>
      <c r="F9036" s="2" t="str">
        <f>HYPERLINK("http://bbs.12365auto.com/postcontent.aspx?tID=193849","http://bbs.12365auto.com/postcontent.aspx?tID=193849")</f>
        <v>http://bbs.12365auto.com/postcontent.aspx?tID=193849</v>
      </c>
      <c r="G9036" s="2"/>
      <c r="H9036" s="2" t="s">
        <v>12218</v>
      </c>
      <c r="I9036" s="2" t="s">
        <v>15</v>
      </c>
      <c r="J9036" s="2" t="s">
        <v>10637</v>
      </c>
      <c r="K9036" s="2" t="s">
        <v>12219</v>
      </c>
      <c r="L9036" s="2">
        <f t="shared" si="141"/>
        <v>150</v>
      </c>
    </row>
    <row r="9037" spans="1:12" ht="25" customHeight="1">
      <c r="A9037" s="2" t="s">
        <v>12</v>
      </c>
      <c r="B9037" s="2" t="str">
        <f>HYPERLINK("http://www.12365auto.com/news/20200212/418313.shtml","奔驰利润下滑 2020年将重回增长")</f>
        <v>奔驰利润下滑 2020年将重回增长</v>
      </c>
      <c r="C9037" s="2" t="s">
        <v>13</v>
      </c>
      <c r="D9037" s="2" t="s">
        <v>12</v>
      </c>
      <c r="E9037" s="2" t="s">
        <v>276</v>
      </c>
      <c r="F9037" s="2" t="str">
        <f>HYPERLINK("http://www.12365auto.com/news/20200212/418313.shtml","http://www.12365auto.com/news/20200212/418313.shtml")</f>
        <v>http://www.12365auto.com/news/20200212/418313.shtml</v>
      </c>
      <c r="G9037" s="2"/>
      <c r="H9037" s="2" t="s">
        <v>12220</v>
      </c>
      <c r="I9037" s="2" t="s">
        <v>15</v>
      </c>
      <c r="J9037" s="2" t="s">
        <v>12</v>
      </c>
      <c r="K9037" s="2" t="s">
        <v>12219</v>
      </c>
      <c r="L9037" s="2">
        <f t="shared" si="141"/>
        <v>150</v>
      </c>
    </row>
    <row r="9038" spans="1:12" ht="25" customHeight="1">
      <c r="A9038" s="2" t="s">
        <v>12</v>
      </c>
      <c r="B9038" s="2" t="str">
        <f>HYPERLINK("http://bbs.12365auto.com/postcontent.aspx?tId=193849","就算是全新的蒙迪欧来了 福特也难翻身")</f>
        <v>就算是全新的蒙迪欧来了 福特也难翻身</v>
      </c>
      <c r="C9038" s="2" t="s">
        <v>13</v>
      </c>
      <c r="D9038" s="2" t="s">
        <v>12</v>
      </c>
      <c r="E9038" s="2" t="s">
        <v>27</v>
      </c>
      <c r="F9038" s="2" t="str">
        <f>HYPERLINK("http://bbs.12365auto.com/postcontent.aspx?tId=193849","http://bbs.12365auto.com/postcontent.aspx?tId=193849")</f>
        <v>http://bbs.12365auto.com/postcontent.aspx?tId=193849</v>
      </c>
      <c r="G9038" s="2"/>
      <c r="H9038" s="2" t="s">
        <v>12221</v>
      </c>
      <c r="I9038" s="2" t="s">
        <v>15</v>
      </c>
      <c r="J9038" s="2" t="s">
        <v>10637</v>
      </c>
      <c r="K9038" s="2" t="s">
        <v>12219</v>
      </c>
      <c r="L9038" s="2">
        <f t="shared" si="141"/>
        <v>150</v>
      </c>
    </row>
    <row r="9039" spans="1:12" ht="25" customHeight="1">
      <c r="A9039" s="2" t="s">
        <v>12</v>
      </c>
      <c r="B9039" s="2" t="str">
        <f>HYPERLINK("http://m.12365auto.com/news/20200212/418313.shtml","奔驰利润下滑 2020年将重回增长")</f>
        <v>奔驰利润下滑 2020年将重回增长</v>
      </c>
      <c r="C9039" s="2" t="s">
        <v>13</v>
      </c>
      <c r="D9039" s="2" t="s">
        <v>12</v>
      </c>
      <c r="E9039" s="2"/>
      <c r="F9039" s="2" t="str">
        <f>HYPERLINK("http://m.12365auto.com/news/20200212/418313.shtml","http://m.12365auto.com/news/20200212/418313.shtml")</f>
        <v>http://m.12365auto.com/news/20200212/418313.shtml</v>
      </c>
      <c r="G9039" s="2"/>
      <c r="H9039" s="2" t="s">
        <v>12222</v>
      </c>
      <c r="I9039" s="2" t="s">
        <v>19</v>
      </c>
      <c r="J9039" s="2" t="s">
        <v>1266</v>
      </c>
      <c r="K9039" s="2" t="s">
        <v>12219</v>
      </c>
      <c r="L9039" s="2">
        <f t="shared" si="141"/>
        <v>150</v>
      </c>
    </row>
    <row r="9040" spans="1:12" ht="25" customHeight="1">
      <c r="A9040" s="2" t="s">
        <v>12</v>
      </c>
      <c r="B9040" s="2" t="str">
        <f>HYPERLINK("http://m.12365auto.com/bbs/postcontent.aspx?tID=193849","就算是全新的蒙迪欧来了 福特也难翻身")</f>
        <v>就算是全新的蒙迪欧来了 福特也难翻身</v>
      </c>
      <c r="C9040" s="2" t="s">
        <v>13</v>
      </c>
      <c r="D9040" s="2" t="s">
        <v>23</v>
      </c>
      <c r="E9040" s="2"/>
      <c r="F9040" s="2" t="str">
        <f>HYPERLINK("http://m.12365auto.com/bbs/postcontent.aspx?tID=193849","http://m.12365auto.com/bbs/postcontent.aspx?tID=193849")</f>
        <v>http://m.12365auto.com/bbs/postcontent.aspx?tID=193849</v>
      </c>
      <c r="G9040" s="2"/>
      <c r="H9040" s="2" t="s">
        <v>12221</v>
      </c>
      <c r="I9040" s="2" t="s">
        <v>15</v>
      </c>
      <c r="J9040" s="2" t="s">
        <v>10637</v>
      </c>
      <c r="K9040" s="2" t="s">
        <v>12219</v>
      </c>
      <c r="L9040" s="2">
        <f t="shared" si="141"/>
        <v>150</v>
      </c>
    </row>
    <row r="9041" spans="1:12" ht="25" customHeight="1">
      <c r="A9041" s="2" t="s">
        <v>12</v>
      </c>
      <c r="B9041" s="2" t="str">
        <f>HYPERLINK("http://bbs.12365auto.com/postcontent.aspx?tID=193848","我来告诉你 我们为什么造不出飞度这样的神车")</f>
        <v>我来告诉你 我们为什么造不出飞度这样的神车</v>
      </c>
      <c r="C9041" s="2" t="s">
        <v>13</v>
      </c>
      <c r="D9041" s="2" t="s">
        <v>12</v>
      </c>
      <c r="E9041" s="2" t="s">
        <v>28</v>
      </c>
      <c r="F9041" s="2" t="str">
        <f>HYPERLINK("http://bbs.12365auto.com/postcontent.aspx?tID=193848","http://bbs.12365auto.com/postcontent.aspx?tID=193848")</f>
        <v>http://bbs.12365auto.com/postcontent.aspx?tID=193848</v>
      </c>
      <c r="G9041" s="2"/>
      <c r="H9041" s="2" t="s">
        <v>12223</v>
      </c>
      <c r="I9041" s="2" t="s">
        <v>15</v>
      </c>
      <c r="J9041" s="2" t="s">
        <v>10637</v>
      </c>
      <c r="K9041" s="2" t="s">
        <v>12224</v>
      </c>
      <c r="L9041" s="2">
        <f t="shared" si="141"/>
        <v>150</v>
      </c>
    </row>
    <row r="9042" spans="1:12" ht="25" customHeight="1">
      <c r="A9042" s="2" t="s">
        <v>12</v>
      </c>
      <c r="B9042" s="2" t="str">
        <f>HYPERLINK("http://bbs.12365auto.com/postcontent.aspx?tId=193848","我来告诉你 我们为什么造不出飞度这样的神车")</f>
        <v>我来告诉你 我们为什么造不出飞度这样的神车</v>
      </c>
      <c r="C9042" s="2" t="s">
        <v>13</v>
      </c>
      <c r="D9042" s="2" t="s">
        <v>12</v>
      </c>
      <c r="E9042" s="2" t="s">
        <v>27</v>
      </c>
      <c r="F9042" s="2" t="str">
        <f>HYPERLINK("http://bbs.12365auto.com/postcontent.aspx?tId=193848","http://bbs.12365auto.com/postcontent.aspx?tId=193848")</f>
        <v>http://bbs.12365auto.com/postcontent.aspx?tId=193848</v>
      </c>
      <c r="G9042" s="2"/>
      <c r="H9042" s="2" t="s">
        <v>12225</v>
      </c>
      <c r="I9042" s="2" t="s">
        <v>15</v>
      </c>
      <c r="J9042" s="2" t="s">
        <v>10637</v>
      </c>
      <c r="K9042" s="2" t="s">
        <v>12224</v>
      </c>
      <c r="L9042" s="2">
        <f t="shared" si="141"/>
        <v>150</v>
      </c>
    </row>
    <row r="9043" spans="1:12" ht="25" customHeight="1">
      <c r="A9043" s="2" t="s">
        <v>12</v>
      </c>
      <c r="B9043" s="2" t="str">
        <f>HYPERLINK("http://m.12365auto.com/bbs/postcontent.aspx?tID=193848","我来告诉你 我们为什么造不出飞度这样的神车")</f>
        <v>我来告诉你 我们为什么造不出飞度这样的神车</v>
      </c>
      <c r="C9043" s="2" t="s">
        <v>13</v>
      </c>
      <c r="D9043" s="2" t="s">
        <v>23</v>
      </c>
      <c r="E9043" s="2"/>
      <c r="F9043" s="2" t="str">
        <f>HYPERLINK("http://m.12365auto.com/bbs/postcontent.aspx?tID=193848","http://m.12365auto.com/bbs/postcontent.aspx?tID=193848")</f>
        <v>http://m.12365auto.com/bbs/postcontent.aspx?tID=193848</v>
      </c>
      <c r="G9043" s="2"/>
      <c r="H9043" s="2" t="s">
        <v>12225</v>
      </c>
      <c r="I9043" s="2" t="s">
        <v>15</v>
      </c>
      <c r="J9043" s="2" t="s">
        <v>10637</v>
      </c>
      <c r="K9043" s="2" t="s">
        <v>12224</v>
      </c>
      <c r="L9043" s="2">
        <f t="shared" si="141"/>
        <v>150</v>
      </c>
    </row>
    <row r="9044" spans="1:12" ht="25" customHeight="1">
      <c r="A9044" s="2" t="s">
        <v>12</v>
      </c>
      <c r="B9044" s="2" t="str">
        <f>HYPERLINK("http://bbs.12365auto.com/postcontent.aspx?tID=193847","好看但不一定好用的大众 大众CC旅行版谍照曝光")</f>
        <v>好看但不一定好用的大众 大众CC旅行版谍照曝光</v>
      </c>
      <c r="C9044" s="2" t="s">
        <v>13</v>
      </c>
      <c r="D9044" s="2" t="s">
        <v>12</v>
      </c>
      <c r="E9044" s="2" t="s">
        <v>28</v>
      </c>
      <c r="F9044" s="2" t="str">
        <f>HYPERLINK("http://bbs.12365auto.com/postcontent.aspx?tID=193847","http://bbs.12365auto.com/postcontent.aspx?tID=193847")</f>
        <v>http://bbs.12365auto.com/postcontent.aspx?tID=193847</v>
      </c>
      <c r="G9044" s="2"/>
      <c r="H9044" s="2" t="s">
        <v>12226</v>
      </c>
      <c r="I9044" s="2" t="s">
        <v>15</v>
      </c>
      <c r="J9044" s="2" t="s">
        <v>10637</v>
      </c>
      <c r="K9044" s="2" t="s">
        <v>12227</v>
      </c>
      <c r="L9044" s="2">
        <f t="shared" si="141"/>
        <v>150</v>
      </c>
    </row>
    <row r="9045" spans="1:12" ht="25" customHeight="1">
      <c r="A9045" s="2" t="s">
        <v>12</v>
      </c>
      <c r="B9045" s="2" t="str">
        <f>HYPERLINK("http://m.12365auto.com/xcdg/20200212/418312.shtml","标配自动刹车辅助 新款途昂“开箱”解读")</f>
        <v>标配自动刹车辅助 新款途昂“开箱”解读</v>
      </c>
      <c r="C9045" s="2" t="s">
        <v>13</v>
      </c>
      <c r="D9045" s="2" t="s">
        <v>12</v>
      </c>
      <c r="E9045" s="2"/>
      <c r="F9045" s="2" t="str">
        <f>HYPERLINK("http://m.12365auto.com/xcdg/20200212/418312.shtml","http://m.12365auto.com/xcdg/20200212/418312.shtml")</f>
        <v>http://m.12365auto.com/xcdg/20200212/418312.shtml</v>
      </c>
      <c r="G9045" s="2"/>
      <c r="H9045" s="2" t="s">
        <v>12228</v>
      </c>
      <c r="I9045" s="2" t="s">
        <v>19</v>
      </c>
      <c r="J9045" s="2" t="s">
        <v>1247</v>
      </c>
      <c r="K9045" s="2" t="s">
        <v>12227</v>
      </c>
      <c r="L9045" s="2">
        <f t="shared" si="141"/>
        <v>150</v>
      </c>
    </row>
    <row r="9046" spans="1:12" ht="25" customHeight="1">
      <c r="A9046" s="2" t="s">
        <v>12</v>
      </c>
      <c r="B9046" s="2" t="str">
        <f>HYPERLINK("http://bbs.12365auto.com/postcontent.aspx?tId=193847","好看但不一定好用的大众 大众CC旅行版谍照曝光")</f>
        <v>好看但不一定好用的大众 大众CC旅行版谍照曝光</v>
      </c>
      <c r="C9046" s="2" t="s">
        <v>13</v>
      </c>
      <c r="D9046" s="2" t="s">
        <v>12</v>
      </c>
      <c r="E9046" s="2" t="s">
        <v>27</v>
      </c>
      <c r="F9046" s="2" t="str">
        <f>HYPERLINK("http://bbs.12365auto.com/postcontent.aspx?tId=193847","http://bbs.12365auto.com/postcontent.aspx?tId=193847")</f>
        <v>http://bbs.12365auto.com/postcontent.aspx?tId=193847</v>
      </c>
      <c r="G9046" s="2"/>
      <c r="H9046" s="2" t="s">
        <v>12229</v>
      </c>
      <c r="I9046" s="2" t="s">
        <v>15</v>
      </c>
      <c r="J9046" s="2" t="s">
        <v>10637</v>
      </c>
      <c r="K9046" s="2" t="s">
        <v>12227</v>
      </c>
      <c r="L9046" s="2">
        <f t="shared" si="141"/>
        <v>150</v>
      </c>
    </row>
    <row r="9047" spans="1:12" ht="25" customHeight="1">
      <c r="A9047" s="2" t="s">
        <v>12</v>
      </c>
      <c r="B9047" s="2" t="str">
        <f>HYPERLINK("http://m.12365auto.com/bbs/postcontent.aspx?tID=193847","好看但不一定好用的大众 大众CC旅行版谍照曝光")</f>
        <v>好看但不一定好用的大众 大众CC旅行版谍照曝光</v>
      </c>
      <c r="C9047" s="2" t="s">
        <v>13</v>
      </c>
      <c r="D9047" s="2" t="s">
        <v>23</v>
      </c>
      <c r="E9047" s="2"/>
      <c r="F9047" s="2" t="str">
        <f>HYPERLINK("http://m.12365auto.com/bbs/postcontent.aspx?tID=193847","http://m.12365auto.com/bbs/postcontent.aspx?tID=193847")</f>
        <v>http://m.12365auto.com/bbs/postcontent.aspx?tID=193847</v>
      </c>
      <c r="G9047" s="2"/>
      <c r="H9047" s="2" t="s">
        <v>12229</v>
      </c>
      <c r="I9047" s="2" t="s">
        <v>15</v>
      </c>
      <c r="J9047" s="2" t="s">
        <v>10637</v>
      </c>
      <c r="K9047" s="2" t="s">
        <v>12227</v>
      </c>
      <c r="L9047" s="2">
        <f t="shared" si="141"/>
        <v>150</v>
      </c>
    </row>
    <row r="9048" spans="1:12" ht="25" customHeight="1">
      <c r="A9048" s="2" t="s">
        <v>12</v>
      </c>
      <c r="B9048" s="2" t="str">
        <f>HYPERLINK("http://m.12365auto.com/xcdg/20200212/418311.shtml","斯巴鲁全新力狮即将入华 外观更运动")</f>
        <v>斯巴鲁全新力狮即将入华 外观更运动</v>
      </c>
      <c r="C9048" s="2" t="s">
        <v>13</v>
      </c>
      <c r="D9048" s="2" t="s">
        <v>12</v>
      </c>
      <c r="E9048" s="2"/>
      <c r="F9048" s="2" t="str">
        <f>HYPERLINK("http://m.12365auto.com/xcdg/20200212/418311.shtml","http://m.12365auto.com/xcdg/20200212/418311.shtml")</f>
        <v>http://m.12365auto.com/xcdg/20200212/418311.shtml</v>
      </c>
      <c r="G9048" s="2"/>
      <c r="H9048" s="2" t="s">
        <v>12230</v>
      </c>
      <c r="I9048" s="2" t="s">
        <v>19</v>
      </c>
      <c r="J9048" s="2" t="s">
        <v>265</v>
      </c>
      <c r="K9048" s="2" t="s">
        <v>12231</v>
      </c>
      <c r="L9048" s="2">
        <f t="shared" si="141"/>
        <v>150</v>
      </c>
    </row>
    <row r="9049" spans="1:12" ht="25" customHeight="1">
      <c r="A9049" s="2" t="s">
        <v>12</v>
      </c>
      <c r="B9049" s="2" t="str">
        <f>HYPERLINK("http://www.12365auto.com/xcdg/20200212/418311.shtml","斯巴鲁全新力狮即将入华 外观更运动")</f>
        <v>斯巴鲁全新力狮即将入华 外观更运动</v>
      </c>
      <c r="C9049" s="2" t="s">
        <v>13</v>
      </c>
      <c r="D9049" s="2" t="s">
        <v>12</v>
      </c>
      <c r="E9049" s="2" t="s">
        <v>216</v>
      </c>
      <c r="F9049" s="2" t="str">
        <f>HYPERLINK("http://www.12365auto.com/xcdg/20200212/418311.shtml","http://www.12365auto.com/xcdg/20200212/418311.shtml")</f>
        <v>http://www.12365auto.com/xcdg/20200212/418311.shtml</v>
      </c>
      <c r="G9049" s="2"/>
      <c r="H9049" s="2" t="s">
        <v>12232</v>
      </c>
      <c r="I9049" s="2" t="s">
        <v>15</v>
      </c>
      <c r="J9049" s="2" t="s">
        <v>12</v>
      </c>
      <c r="K9049" s="2" t="s">
        <v>12231</v>
      </c>
      <c r="L9049" s="2">
        <f t="shared" si="141"/>
        <v>150</v>
      </c>
    </row>
    <row r="9050" spans="1:12" ht="25" customHeight="1">
      <c r="A9050" s="2" t="s">
        <v>12</v>
      </c>
      <c r="B9050" s="2" t="str">
        <f>HYPERLINK("http://m.12365auto.com/news/20200212/418310.shtml","快速识别物体 Waymo开发自动驾驶新工具")</f>
        <v>快速识别物体 Waymo开发自动驾驶新工具</v>
      </c>
      <c r="C9050" s="2" t="s">
        <v>13</v>
      </c>
      <c r="D9050" s="2" t="s">
        <v>12</v>
      </c>
      <c r="E9050" s="2"/>
      <c r="F9050" s="2" t="str">
        <f>HYPERLINK("http://m.12365auto.com/news/20200212/418310.shtml","http://m.12365auto.com/news/20200212/418310.shtml")</f>
        <v>http://m.12365auto.com/news/20200212/418310.shtml</v>
      </c>
      <c r="G9050" s="2"/>
      <c r="H9050" s="2" t="s">
        <v>12233</v>
      </c>
      <c r="I9050" s="2" t="s">
        <v>19</v>
      </c>
      <c r="J9050" s="2" t="s">
        <v>1188</v>
      </c>
      <c r="K9050" s="2" t="s">
        <v>12234</v>
      </c>
      <c r="L9050" s="2">
        <f t="shared" si="141"/>
        <v>150</v>
      </c>
    </row>
    <row r="9051" spans="1:12" ht="25" customHeight="1">
      <c r="A9051" s="2" t="s">
        <v>12</v>
      </c>
      <c r="B9051" s="2" t="str">
        <f>HYPERLINK("http://www.12365auto.com/news/20200212/418310.shtml","快速识别物体 Waymo开发自动驾驶新工具")</f>
        <v>快速识别物体 Waymo开发自动驾驶新工具</v>
      </c>
      <c r="C9051" s="2" t="s">
        <v>13</v>
      </c>
      <c r="D9051" s="2" t="s">
        <v>12</v>
      </c>
      <c r="E9051" s="2" t="s">
        <v>276</v>
      </c>
      <c r="F9051" s="2" t="str">
        <f>HYPERLINK("http://www.12365auto.com/news/20200212/418310.shtml","http://www.12365auto.com/news/20200212/418310.shtml")</f>
        <v>http://www.12365auto.com/news/20200212/418310.shtml</v>
      </c>
      <c r="G9051" s="2"/>
      <c r="H9051" s="2" t="s">
        <v>12235</v>
      </c>
      <c r="I9051" s="2" t="s">
        <v>15</v>
      </c>
      <c r="J9051" s="2" t="s">
        <v>12</v>
      </c>
      <c r="K9051" s="2" t="s">
        <v>12234</v>
      </c>
      <c r="L9051" s="2">
        <f t="shared" si="141"/>
        <v>150</v>
      </c>
    </row>
    <row r="9052" spans="1:12" ht="25" customHeight="1">
      <c r="A9052" s="2" t="s">
        <v>12</v>
      </c>
      <c r="B9052" s="2" t="str">
        <f>HYPERLINK("http://bbs.12365auto.com/postcontent.aspx?tID=193846","北方人开车不知道谁穷 南方人开车不知道谁有钱")</f>
        <v>北方人开车不知道谁穷 南方人开车不知道谁有钱</v>
      </c>
      <c r="C9052" s="2" t="s">
        <v>13</v>
      </c>
      <c r="D9052" s="2" t="s">
        <v>12</v>
      </c>
      <c r="E9052" s="2" t="s">
        <v>214</v>
      </c>
      <c r="F9052" s="2" t="str">
        <f>HYPERLINK("http://bbs.12365auto.com/postcontent.aspx?tID=193846","http://bbs.12365auto.com/postcontent.aspx?tID=193846")</f>
        <v>http://bbs.12365auto.com/postcontent.aspx?tID=193846</v>
      </c>
      <c r="G9052" s="2"/>
      <c r="H9052" s="2" t="s">
        <v>12236</v>
      </c>
      <c r="I9052" s="2" t="s">
        <v>15</v>
      </c>
      <c r="J9052" s="2" t="s">
        <v>12104</v>
      </c>
      <c r="K9052" s="2" t="s">
        <v>12234</v>
      </c>
      <c r="L9052" s="2">
        <f t="shared" si="141"/>
        <v>150</v>
      </c>
    </row>
    <row r="9053" spans="1:12" ht="25" customHeight="1">
      <c r="A9053" s="2" t="s">
        <v>12</v>
      </c>
      <c r="B9053" s="2" t="str">
        <f>HYPERLINK("http://m.12365auto.com/news/20200212/418309.shtml","下滑64% 戴姆勒集团2019年净利27亿欧元")</f>
        <v>下滑64% 戴姆勒集团2019年净利27亿欧元</v>
      </c>
      <c r="C9053" s="2" t="s">
        <v>13</v>
      </c>
      <c r="D9053" s="2" t="s">
        <v>12</v>
      </c>
      <c r="E9053" s="2"/>
      <c r="F9053" s="2" t="str">
        <f>HYPERLINK("http://m.12365auto.com/news/20200212/418309.shtml","http://m.12365auto.com/news/20200212/418309.shtml")</f>
        <v>http://m.12365auto.com/news/20200212/418309.shtml</v>
      </c>
      <c r="G9053" s="2"/>
      <c r="H9053" s="2" t="s">
        <v>12237</v>
      </c>
      <c r="I9053" s="2" t="s">
        <v>19</v>
      </c>
      <c r="J9053" s="2" t="s">
        <v>274</v>
      </c>
      <c r="K9053" s="2" t="s">
        <v>12238</v>
      </c>
      <c r="L9053" s="2">
        <f t="shared" si="141"/>
        <v>150</v>
      </c>
    </row>
    <row r="9054" spans="1:12" ht="25" customHeight="1">
      <c r="A9054" s="2" t="s">
        <v>12</v>
      </c>
      <c r="B9054" s="2" t="str">
        <f>HYPERLINK("http://www.12365auto.com/news/20200212/418309.shtml","下滑64% 戴姆勒集团2019年净利27亿欧元")</f>
        <v>下滑64% 戴姆勒集团2019年净利27亿欧元</v>
      </c>
      <c r="C9054" s="2" t="s">
        <v>13</v>
      </c>
      <c r="D9054" s="2" t="s">
        <v>12</v>
      </c>
      <c r="E9054" s="2" t="s">
        <v>276</v>
      </c>
      <c r="F9054" s="2" t="str">
        <f>HYPERLINK("http://www.12365auto.com/news/20200212/418309.shtml","http://www.12365auto.com/news/20200212/418309.shtml")</f>
        <v>http://www.12365auto.com/news/20200212/418309.shtml</v>
      </c>
      <c r="G9054" s="2"/>
      <c r="H9054" s="2" t="s">
        <v>12239</v>
      </c>
      <c r="I9054" s="2" t="s">
        <v>15</v>
      </c>
      <c r="J9054" s="2" t="s">
        <v>12</v>
      </c>
      <c r="K9054" s="2" t="s">
        <v>12238</v>
      </c>
      <c r="L9054" s="2">
        <f t="shared" si="141"/>
        <v>150</v>
      </c>
    </row>
    <row r="9055" spans="1:12" ht="25" customHeight="1">
      <c r="A9055" s="2" t="s">
        <v>12</v>
      </c>
      <c r="B9055" s="2" t="str">
        <f>HYPERLINK("http://bbs.12365auto.com/postcontent.aspx?tID=193845","“买车容易养车难”还没买车的看好了")</f>
        <v>“买车容易养车难”还没买车的看好了</v>
      </c>
      <c r="C9055" s="2" t="s">
        <v>13</v>
      </c>
      <c r="D9055" s="2" t="s">
        <v>12</v>
      </c>
      <c r="E9055" s="2" t="s">
        <v>214</v>
      </c>
      <c r="F9055" s="2" t="str">
        <f>HYPERLINK("http://bbs.12365auto.com/postcontent.aspx?tID=193845","http://bbs.12365auto.com/postcontent.aspx?tID=193845")</f>
        <v>http://bbs.12365auto.com/postcontent.aspx?tID=193845</v>
      </c>
      <c r="G9055" s="2"/>
      <c r="H9055" s="2" t="s">
        <v>12240</v>
      </c>
      <c r="I9055" s="2" t="s">
        <v>15</v>
      </c>
      <c r="J9055" s="2" t="s">
        <v>12104</v>
      </c>
      <c r="K9055" s="2" t="s">
        <v>12238</v>
      </c>
      <c r="L9055" s="2">
        <f t="shared" si="141"/>
        <v>150</v>
      </c>
    </row>
    <row r="9056" spans="1:12" ht="25" customHeight="1">
      <c r="A9056" s="2" t="s">
        <v>12</v>
      </c>
      <c r="B9056" s="2" t="str">
        <f>HYPERLINK("http://m.12365auto.com/scbg/20200212/418308.shtml","上路比拼 保时捷Taycan Turbo成绩揭晓")</f>
        <v>上路比拼 保时捷Taycan Turbo成绩揭晓</v>
      </c>
      <c r="C9056" s="2" t="s">
        <v>13</v>
      </c>
      <c r="D9056" s="2" t="s">
        <v>12</v>
      </c>
      <c r="E9056" s="2"/>
      <c r="F9056" s="2" t="str">
        <f>HYPERLINK("http://m.12365auto.com/scbg/20200212/418308.shtml","http://m.12365auto.com/scbg/20200212/418308.shtml")</f>
        <v>http://m.12365auto.com/scbg/20200212/418308.shtml</v>
      </c>
      <c r="G9056" s="2"/>
      <c r="H9056" s="2" t="s">
        <v>12241</v>
      </c>
      <c r="I9056" s="2" t="s">
        <v>19</v>
      </c>
      <c r="J9056" s="2" t="s">
        <v>1543</v>
      </c>
      <c r="K9056" s="2" t="s">
        <v>12242</v>
      </c>
      <c r="L9056" s="2">
        <f t="shared" si="141"/>
        <v>150</v>
      </c>
    </row>
    <row r="9057" spans="1:12" ht="25" customHeight="1">
      <c r="A9057" s="2" t="s">
        <v>12</v>
      </c>
      <c r="B9057" s="2" t="str">
        <f>HYPERLINK("http://www.12365auto.com/scbg/20200212/418308.shtml","上路比拼 保时捷Taycan Turbo成绩揭晓")</f>
        <v>上路比拼 保时捷Taycan Turbo成绩揭晓</v>
      </c>
      <c r="C9057" s="2" t="s">
        <v>13</v>
      </c>
      <c r="D9057" s="2" t="s">
        <v>12</v>
      </c>
      <c r="E9057" s="2" t="s">
        <v>1548</v>
      </c>
      <c r="F9057" s="2" t="str">
        <f>HYPERLINK("http://www.12365auto.com/scbg/20200212/418308.shtml","http://www.12365auto.com/scbg/20200212/418308.shtml")</f>
        <v>http://www.12365auto.com/scbg/20200212/418308.shtml</v>
      </c>
      <c r="G9057" s="2"/>
      <c r="H9057" s="2" t="s">
        <v>12243</v>
      </c>
      <c r="I9057" s="2" t="s">
        <v>15</v>
      </c>
      <c r="J9057" s="2" t="s">
        <v>12</v>
      </c>
      <c r="K9057" s="2" t="s">
        <v>12242</v>
      </c>
      <c r="L9057" s="2">
        <f t="shared" si="141"/>
        <v>150</v>
      </c>
    </row>
    <row r="9058" spans="1:12" ht="25" customHeight="1">
      <c r="A9058" s="2" t="s">
        <v>12</v>
      </c>
      <c r="B9058" s="2" t="str">
        <f>HYPERLINK("http://www.12365auto.com/news/20200212/418308.shtml","上路比拼 保时捷Taycan Turbo成绩揭晓")</f>
        <v>上路比拼 保时捷Taycan Turbo成绩揭晓</v>
      </c>
      <c r="C9058" s="2" t="s">
        <v>13</v>
      </c>
      <c r="D9058" s="2" t="s">
        <v>12</v>
      </c>
      <c r="E9058" s="2" t="s">
        <v>282</v>
      </c>
      <c r="F9058" s="2" t="str">
        <f>HYPERLINK("http://www.12365auto.com/news/20200212/418308.shtml","http://www.12365auto.com/news/20200212/418308.shtml")</f>
        <v>http://www.12365auto.com/news/20200212/418308.shtml</v>
      </c>
      <c r="G9058" s="2"/>
      <c r="H9058" s="2" t="s">
        <v>12243</v>
      </c>
      <c r="I9058" s="2" t="s">
        <v>19</v>
      </c>
      <c r="J9058" s="2" t="s">
        <v>12</v>
      </c>
      <c r="K9058" s="2" t="s">
        <v>12242</v>
      </c>
      <c r="L9058" s="2">
        <f t="shared" si="141"/>
        <v>150</v>
      </c>
    </row>
    <row r="9059" spans="1:12" ht="25" customHeight="1">
      <c r="A9059" s="2" t="s">
        <v>12</v>
      </c>
      <c r="B9059" s="2" t="str">
        <f>HYPERLINK("http://bbs.12365auto.com/postcontent.aspx?tID=193844","汽车仪表盘指示灯大全")</f>
        <v>汽车仪表盘指示灯大全</v>
      </c>
      <c r="C9059" s="2" t="s">
        <v>13</v>
      </c>
      <c r="D9059" s="2" t="s">
        <v>12</v>
      </c>
      <c r="E9059" s="2" t="s">
        <v>214</v>
      </c>
      <c r="F9059" s="2" t="str">
        <f>HYPERLINK("http://bbs.12365auto.com/postcontent.aspx?tID=193844","http://bbs.12365auto.com/postcontent.aspx?tID=193844")</f>
        <v>http://bbs.12365auto.com/postcontent.aspx?tID=193844</v>
      </c>
      <c r="G9059" s="2"/>
      <c r="H9059" s="2" t="s">
        <v>4341</v>
      </c>
      <c r="I9059" s="2" t="s">
        <v>15</v>
      </c>
      <c r="J9059" s="2" t="s">
        <v>12104</v>
      </c>
      <c r="K9059" s="2" t="s">
        <v>12242</v>
      </c>
      <c r="L9059" s="2">
        <f t="shared" si="141"/>
        <v>66</v>
      </c>
    </row>
    <row r="9060" spans="1:12" ht="25" customHeight="1">
      <c r="A9060" s="2" t="s">
        <v>12</v>
      </c>
      <c r="B9060" s="2" t="str">
        <f>HYPERLINK("http://bbs.12365auto.com/postcontent.aspx?tID=193842","汽车上滴LSD是什么意思？你知道吗？让我们来一起看下吧")</f>
        <v>汽车上滴LSD是什么意思？你知道吗？让我们来一起看下吧</v>
      </c>
      <c r="C9060" s="2" t="s">
        <v>13</v>
      </c>
      <c r="D9060" s="2" t="s">
        <v>12</v>
      </c>
      <c r="E9060" s="2" t="s">
        <v>214</v>
      </c>
      <c r="F9060" s="2" t="str">
        <f>HYPERLINK("http://bbs.12365auto.com/postcontent.aspx?tID=193842","http://bbs.12365auto.com/postcontent.aspx?tID=193842")</f>
        <v>http://bbs.12365auto.com/postcontent.aspx?tID=193842</v>
      </c>
      <c r="G9060" s="2"/>
      <c r="H9060" s="2" t="s">
        <v>12215</v>
      </c>
      <c r="I9060" s="2" t="s">
        <v>15</v>
      </c>
      <c r="J9060" s="2" t="s">
        <v>12104</v>
      </c>
      <c r="K9060" s="2" t="s">
        <v>12244</v>
      </c>
      <c r="L9060" s="2">
        <f t="shared" si="141"/>
        <v>150</v>
      </c>
    </row>
    <row r="9061" spans="1:12" ht="25" customHeight="1">
      <c r="A9061" s="2" t="s">
        <v>12</v>
      </c>
      <c r="B9061" s="2" t="str">
        <f>HYPERLINK("http://bbs.12365auto.com/postcontent.aspx?tID=193843","倒车雷达”与“倒车影像”哪个好？内行人：老司机会选择它")</f>
        <v>倒车雷达”与“倒车影像”哪个好？内行人：老司机会选择它</v>
      </c>
      <c r="C9061" s="2" t="s">
        <v>13</v>
      </c>
      <c r="D9061" s="2" t="s">
        <v>12</v>
      </c>
      <c r="E9061" s="2" t="s">
        <v>214</v>
      </c>
      <c r="F9061" s="2" t="str">
        <f>HYPERLINK("http://bbs.12365auto.com/postcontent.aspx?tID=193843","http://bbs.12365auto.com/postcontent.aspx?tID=193843")</f>
        <v>http://bbs.12365auto.com/postcontent.aspx?tID=193843</v>
      </c>
      <c r="G9061" s="2"/>
      <c r="H9061" s="2" t="s">
        <v>12245</v>
      </c>
      <c r="I9061" s="2" t="s">
        <v>15</v>
      </c>
      <c r="J9061" s="2" t="s">
        <v>12104</v>
      </c>
      <c r="K9061" s="2" t="s">
        <v>12244</v>
      </c>
      <c r="L9061" s="2">
        <f t="shared" si="141"/>
        <v>150</v>
      </c>
    </row>
    <row r="9062" spans="1:12" ht="25" customHeight="1">
      <c r="A9062" s="2" t="s">
        <v>12</v>
      </c>
      <c r="B9062" s="2" t="str">
        <f>HYPERLINK("http://www.12365auto.com/zlts/20200212/446942.shtml","广汽本田飞度冷车启动VTC机构有异响")</f>
        <v>广汽本田飞度冷车启动VTC机构有异响</v>
      </c>
      <c r="C9062" s="2" t="s">
        <v>13</v>
      </c>
      <c r="D9062" s="2" t="s">
        <v>12</v>
      </c>
      <c r="E9062" s="2" t="s">
        <v>17</v>
      </c>
      <c r="F9062" s="2" t="str">
        <f>HYPERLINK("http://www.12365auto.com/zlts/20200212/446942.shtml","http://www.12365auto.com/zlts/20200212/446942.shtml")</f>
        <v>http://www.12365auto.com/zlts/20200212/446942.shtml</v>
      </c>
      <c r="G9062" s="2"/>
      <c r="H9062" s="2" t="s">
        <v>12246</v>
      </c>
      <c r="I9062" s="2" t="s">
        <v>19</v>
      </c>
      <c r="J9062" s="2" t="s">
        <v>12</v>
      </c>
      <c r="K9062" s="2" t="s">
        <v>12247</v>
      </c>
      <c r="L9062" s="2">
        <f t="shared" si="141"/>
        <v>150</v>
      </c>
    </row>
    <row r="9063" spans="1:12" ht="25" customHeight="1">
      <c r="A9063" s="2" t="s">
        <v>12</v>
      </c>
      <c r="B9063" s="2" t="str">
        <f>HYPERLINK("http://bbs.12365auto.com/postcontent.aspx?tID=193841","开车前一定检查下 可能挽救一只或一窝小生命")</f>
        <v>开车前一定检查下 可能挽救一只或一窝小生命</v>
      </c>
      <c r="C9063" s="2" t="s">
        <v>13</v>
      </c>
      <c r="D9063" s="2" t="s">
        <v>12</v>
      </c>
      <c r="E9063" s="2" t="s">
        <v>214</v>
      </c>
      <c r="F9063" s="2" t="str">
        <f>HYPERLINK("http://bbs.12365auto.com/postcontent.aspx?tID=193841","http://bbs.12365auto.com/postcontent.aspx?tID=193841")</f>
        <v>http://bbs.12365auto.com/postcontent.aspx?tID=193841</v>
      </c>
      <c r="G9063" s="2"/>
      <c r="H9063" s="2" t="s">
        <v>12248</v>
      </c>
      <c r="I9063" s="2" t="s">
        <v>15</v>
      </c>
      <c r="J9063" s="2" t="s">
        <v>12104</v>
      </c>
      <c r="K9063" s="2" t="s">
        <v>12249</v>
      </c>
      <c r="L9063" s="2">
        <f t="shared" si="141"/>
        <v>150</v>
      </c>
    </row>
    <row r="9064" spans="1:12" ht="25" customHeight="1">
      <c r="A9064" s="2" t="s">
        <v>12</v>
      </c>
      <c r="B9064" s="2" t="str">
        <f>HYPERLINK("http://m.12365auto.com/xcdg/20200212/418307.shtml","解读低配车 思域180TURBO CVT尚悦版")</f>
        <v>解读低配车 思域180TURBO CVT尚悦版</v>
      </c>
      <c r="C9064" s="2" t="s">
        <v>13</v>
      </c>
      <c r="D9064" s="2" t="s">
        <v>12</v>
      </c>
      <c r="E9064" s="2"/>
      <c r="F9064" s="2" t="str">
        <f>HYPERLINK("http://m.12365auto.com/xcdg/20200212/418307.shtml","http://m.12365auto.com/xcdg/20200212/418307.shtml")</f>
        <v>http://m.12365auto.com/xcdg/20200212/418307.shtml</v>
      </c>
      <c r="G9064" s="2"/>
      <c r="H9064" s="2" t="s">
        <v>12250</v>
      </c>
      <c r="I9064" s="2" t="s">
        <v>19</v>
      </c>
      <c r="J9064" s="2" t="s">
        <v>4753</v>
      </c>
      <c r="K9064" s="2" t="s">
        <v>12251</v>
      </c>
      <c r="L9064" s="2">
        <f t="shared" si="141"/>
        <v>150</v>
      </c>
    </row>
    <row r="9065" spans="1:12" ht="25" customHeight="1">
      <c r="A9065" s="2" t="s">
        <v>12</v>
      </c>
      <c r="B9065" s="2" t="str">
        <f>HYPERLINK("http://m.12365auto.com/parts/20200212/418306.shtml","最大功率200千瓦 雅马哈开发车用电机")</f>
        <v>最大功率200千瓦 雅马哈开发车用电机</v>
      </c>
      <c r="C9065" s="2" t="s">
        <v>13</v>
      </c>
      <c r="D9065" s="2" t="s">
        <v>12</v>
      </c>
      <c r="E9065" s="2"/>
      <c r="F9065" s="2" t="str">
        <f>HYPERLINK("http://m.12365auto.com/parts/20200212/418306.shtml","http://m.12365auto.com/parts/20200212/418306.shtml")</f>
        <v>http://m.12365auto.com/parts/20200212/418306.shtml</v>
      </c>
      <c r="G9065" s="2"/>
      <c r="H9065" s="2" t="s">
        <v>12252</v>
      </c>
      <c r="I9065" s="2" t="s">
        <v>19</v>
      </c>
      <c r="J9065" s="2" t="s">
        <v>781</v>
      </c>
      <c r="K9065" s="2" t="s">
        <v>12253</v>
      </c>
      <c r="L9065" s="2">
        <f t="shared" si="141"/>
        <v>150</v>
      </c>
    </row>
    <row r="9066" spans="1:12" ht="25" customHeight="1">
      <c r="A9066" s="2" t="s">
        <v>12</v>
      </c>
      <c r="B9066" s="2" t="str">
        <f>HYPERLINK("http://www.12365auto.com/parts/20200212/418306.shtml","最大功率200千瓦 雅马哈开发车用电机")</f>
        <v>最大功率200千瓦 雅马哈开发车用电机</v>
      </c>
      <c r="C9066" s="2" t="s">
        <v>13</v>
      </c>
      <c r="D9066" s="2" t="s">
        <v>12</v>
      </c>
      <c r="E9066" s="2" t="s">
        <v>240</v>
      </c>
      <c r="F9066" s="2" t="str">
        <f>HYPERLINK("http://www.12365auto.com/parts/20200212/418306.shtml","http://www.12365auto.com/parts/20200212/418306.shtml")</f>
        <v>http://www.12365auto.com/parts/20200212/418306.shtml</v>
      </c>
      <c r="G9066" s="2"/>
      <c r="H9066" s="2" t="s">
        <v>12254</v>
      </c>
      <c r="I9066" s="2" t="s">
        <v>15</v>
      </c>
      <c r="J9066" s="2" t="s">
        <v>12</v>
      </c>
      <c r="K9066" s="2" t="s">
        <v>12253</v>
      </c>
      <c r="L9066" s="2">
        <f t="shared" si="141"/>
        <v>150</v>
      </c>
    </row>
    <row r="9067" spans="1:12" ht="25" customHeight="1">
      <c r="A9067" s="2" t="s">
        <v>12</v>
      </c>
      <c r="B9067" s="2" t="str">
        <f>HYPERLINK("http://m.12365auto.com/news/20200212/418305.shtml","捷豹路虎预警中国以外供应链有中断风险")</f>
        <v>捷豹路虎预警中国以外供应链有中断风险</v>
      </c>
      <c r="C9067" s="2" t="s">
        <v>13</v>
      </c>
      <c r="D9067" s="2" t="s">
        <v>12</v>
      </c>
      <c r="E9067" s="2"/>
      <c r="F9067" s="2" t="str">
        <f>HYPERLINK("http://m.12365auto.com/news/20200212/418305.shtml","http://m.12365auto.com/news/20200212/418305.shtml")</f>
        <v>http://m.12365auto.com/news/20200212/418305.shtml</v>
      </c>
      <c r="G9067" s="2"/>
      <c r="H9067" s="2" t="s">
        <v>12255</v>
      </c>
      <c r="I9067" s="2" t="s">
        <v>19</v>
      </c>
      <c r="J9067" s="2" t="s">
        <v>1643</v>
      </c>
      <c r="K9067" s="2" t="s">
        <v>12256</v>
      </c>
      <c r="L9067" s="2">
        <f t="shared" si="141"/>
        <v>150</v>
      </c>
    </row>
    <row r="9068" spans="1:12" ht="25" customHeight="1">
      <c r="A9068" s="2" t="s">
        <v>12</v>
      </c>
      <c r="B9068" s="2" t="str">
        <f>HYPERLINK("http://bbs.12365auto.com/postcontent.aspx?tID=193840","看不上宝马X5？别着急，梅赛德斯-迈巴赫GLS要来了")</f>
        <v>看不上宝马X5？别着急，梅赛德斯-迈巴赫GLS要来了</v>
      </c>
      <c r="C9068" s="2" t="s">
        <v>13</v>
      </c>
      <c r="D9068" s="2" t="s">
        <v>12</v>
      </c>
      <c r="E9068" s="2" t="s">
        <v>28</v>
      </c>
      <c r="F9068" s="2" t="str">
        <f>HYPERLINK("http://bbs.12365auto.com/postcontent.aspx?tID=193840","http://bbs.12365auto.com/postcontent.aspx?tID=193840")</f>
        <v>http://bbs.12365auto.com/postcontent.aspx?tID=193840</v>
      </c>
      <c r="G9068" s="2"/>
      <c r="H9068" s="2" t="s">
        <v>12257</v>
      </c>
      <c r="I9068" s="2" t="s">
        <v>15</v>
      </c>
      <c r="J9068" s="2" t="s">
        <v>12258</v>
      </c>
      <c r="K9068" s="2" t="s">
        <v>12256</v>
      </c>
      <c r="L9068" s="2">
        <f t="shared" si="141"/>
        <v>150</v>
      </c>
    </row>
    <row r="9069" spans="1:12" ht="25" customHeight="1">
      <c r="A9069" s="2" t="s">
        <v>12</v>
      </c>
      <c r="B9069" s="2" t="str">
        <f>HYPERLINK("http://bbs.12365auto.com/postcontent.aspx?tId=193840","看不上宝马X5？别着急，梅赛德斯-迈巴赫GLS要来了")</f>
        <v>看不上宝马X5？别着急，梅赛德斯-迈巴赫GLS要来了</v>
      </c>
      <c r="C9069" s="2" t="s">
        <v>13</v>
      </c>
      <c r="D9069" s="2" t="s">
        <v>12</v>
      </c>
      <c r="E9069" s="2" t="s">
        <v>27</v>
      </c>
      <c r="F9069" s="2" t="str">
        <f>HYPERLINK("http://bbs.12365auto.com/postcontent.aspx?tId=193840","http://bbs.12365auto.com/postcontent.aspx?tId=193840")</f>
        <v>http://bbs.12365auto.com/postcontent.aspx?tId=193840</v>
      </c>
      <c r="G9069" s="2"/>
      <c r="H9069" s="2" t="s">
        <v>12259</v>
      </c>
      <c r="I9069" s="2" t="s">
        <v>15</v>
      </c>
      <c r="J9069" s="2" t="s">
        <v>12258</v>
      </c>
      <c r="K9069" s="2" t="s">
        <v>12256</v>
      </c>
      <c r="L9069" s="2">
        <f t="shared" si="141"/>
        <v>150</v>
      </c>
    </row>
    <row r="9070" spans="1:12" ht="25" customHeight="1">
      <c r="A9070" s="2" t="s">
        <v>12</v>
      </c>
      <c r="B9070" s="2" t="str">
        <f>HYPERLINK("http://m.12365auto.com/bbs/postcontent.aspx?tID=193840","看不上宝马X5？别着急，梅赛德斯-迈巴赫GLS要来了")</f>
        <v>看不上宝马X5？别着急，梅赛德斯-迈巴赫GLS要来了</v>
      </c>
      <c r="C9070" s="2" t="s">
        <v>13</v>
      </c>
      <c r="D9070" s="2" t="s">
        <v>23</v>
      </c>
      <c r="E9070" s="2"/>
      <c r="F9070" s="2" t="str">
        <f>HYPERLINK("http://m.12365auto.com/bbs/postcontent.aspx?tID=193840","http://m.12365auto.com/bbs/postcontent.aspx?tID=193840")</f>
        <v>http://m.12365auto.com/bbs/postcontent.aspx?tID=193840</v>
      </c>
      <c r="G9070" s="2"/>
      <c r="H9070" s="2" t="s">
        <v>12259</v>
      </c>
      <c r="I9070" s="2" t="s">
        <v>15</v>
      </c>
      <c r="J9070" s="2" t="s">
        <v>12258</v>
      </c>
      <c r="K9070" s="2" t="s">
        <v>12256</v>
      </c>
      <c r="L9070" s="2">
        <f t="shared" si="141"/>
        <v>150</v>
      </c>
    </row>
    <row r="9071" spans="1:12" ht="25" customHeight="1">
      <c r="A9071" s="2" t="s">
        <v>12</v>
      </c>
      <c r="B9071" s="2" t="str">
        <f>HYPERLINK("http://www.12365auto.com/news/20200212/418305.shtml","捷豹路虎预警中国以外供应链有中断风险")</f>
        <v>捷豹路虎预警中国以外供应链有中断风险</v>
      </c>
      <c r="C9071" s="2" t="s">
        <v>13</v>
      </c>
      <c r="D9071" s="2" t="s">
        <v>12</v>
      </c>
      <c r="E9071" s="2" t="s">
        <v>276</v>
      </c>
      <c r="F9071" s="2" t="str">
        <f>HYPERLINK("http://www.12365auto.com/news/20200212/418305.shtml","http://www.12365auto.com/news/20200212/418305.shtml")</f>
        <v>http://www.12365auto.com/news/20200212/418305.shtml</v>
      </c>
      <c r="G9071" s="2"/>
      <c r="H9071" s="2" t="s">
        <v>12260</v>
      </c>
      <c r="I9071" s="2" t="s">
        <v>15</v>
      </c>
      <c r="J9071" s="2" t="s">
        <v>12</v>
      </c>
      <c r="K9071" s="2" t="s">
        <v>12256</v>
      </c>
      <c r="L9071" s="2">
        <f t="shared" si="141"/>
        <v>150</v>
      </c>
    </row>
    <row r="9072" spans="1:12" ht="25" customHeight="1">
      <c r="A9072" s="2" t="s">
        <v>12</v>
      </c>
      <c r="B9072" s="2" t="str">
        <f>HYPERLINK("http://m.12365auto.com/news/20200212/418304.shtml","多举措抗疫 哪吒汽车捐应急用车共111辆")</f>
        <v>多举措抗疫 哪吒汽车捐应急用车共111辆</v>
      </c>
      <c r="C9072" s="2" t="s">
        <v>13</v>
      </c>
      <c r="D9072" s="2" t="s">
        <v>12</v>
      </c>
      <c r="E9072" s="2"/>
      <c r="F9072" s="2" t="str">
        <f>HYPERLINK("http://m.12365auto.com/news/20200212/418304.shtml","http://m.12365auto.com/news/20200212/418304.shtml")</f>
        <v>http://m.12365auto.com/news/20200212/418304.shtml</v>
      </c>
      <c r="G9072" s="2"/>
      <c r="H9072" s="2" t="s">
        <v>12261</v>
      </c>
      <c r="I9072" s="2" t="s">
        <v>19</v>
      </c>
      <c r="J9072" s="2" t="s">
        <v>1657</v>
      </c>
      <c r="K9072" s="2" t="s">
        <v>12262</v>
      </c>
      <c r="L9072" s="2">
        <f t="shared" si="141"/>
        <v>150</v>
      </c>
    </row>
    <row r="9073" spans="1:12" ht="25" customHeight="1">
      <c r="A9073" s="2" t="s">
        <v>12</v>
      </c>
      <c r="B9073" s="2" t="str">
        <f>HYPERLINK("http://bbs.12365auto.com/postcontent.aspx?tID=193839","全新丰田YARiS日本售价公布 折合8.85万人民币起售")</f>
        <v>全新丰田YARiS日本售价公布 折合8.85万人民币起售</v>
      </c>
      <c r="C9073" s="2" t="s">
        <v>13</v>
      </c>
      <c r="D9073" s="2" t="s">
        <v>12</v>
      </c>
      <c r="E9073" s="2" t="s">
        <v>28</v>
      </c>
      <c r="F9073" s="2" t="str">
        <f>HYPERLINK("http://bbs.12365auto.com/postcontent.aspx?tID=193839","http://bbs.12365auto.com/postcontent.aspx?tID=193839")</f>
        <v>http://bbs.12365auto.com/postcontent.aspx?tID=193839</v>
      </c>
      <c r="G9073" s="2"/>
      <c r="H9073" s="2" t="s">
        <v>12263</v>
      </c>
      <c r="I9073" s="2" t="s">
        <v>15</v>
      </c>
      <c r="J9073" s="2" t="s">
        <v>12258</v>
      </c>
      <c r="K9073" s="2" t="s">
        <v>12262</v>
      </c>
      <c r="L9073" s="2">
        <f t="shared" si="141"/>
        <v>150</v>
      </c>
    </row>
    <row r="9074" spans="1:12" ht="25" customHeight="1">
      <c r="A9074" s="2" t="s">
        <v>12</v>
      </c>
      <c r="B9074" s="2" t="str">
        <f>HYPERLINK("http://m.12365auto.com/bbs/postcontent.aspx?tID=193839","全新丰田YARiS日本售价公布 折合8.85万人民币起售")</f>
        <v>全新丰田YARiS日本售价公布 折合8.85万人民币起售</v>
      </c>
      <c r="C9074" s="2" t="s">
        <v>13</v>
      </c>
      <c r="D9074" s="2" t="s">
        <v>23</v>
      </c>
      <c r="E9074" s="2"/>
      <c r="F9074" s="2" t="str">
        <f>HYPERLINK("http://m.12365auto.com/bbs/postcontent.aspx?tID=193839","http://m.12365auto.com/bbs/postcontent.aspx?tID=193839")</f>
        <v>http://m.12365auto.com/bbs/postcontent.aspx?tID=193839</v>
      </c>
      <c r="G9074" s="2"/>
      <c r="H9074" s="2" t="s">
        <v>12264</v>
      </c>
      <c r="I9074" s="2" t="s">
        <v>15</v>
      </c>
      <c r="J9074" s="2" t="s">
        <v>12258</v>
      </c>
      <c r="K9074" s="2" t="s">
        <v>12262</v>
      </c>
      <c r="L9074" s="2">
        <f t="shared" si="141"/>
        <v>150</v>
      </c>
    </row>
    <row r="9075" spans="1:12" ht="25" customHeight="1">
      <c r="A9075" s="2" t="s">
        <v>12</v>
      </c>
      <c r="B9075" s="2" t="str">
        <f>HYPERLINK("http://bbs.12365auto.com/postcontent.aspx?tId=193839","全新丰田YARiS日本售价公布 折合8.85万人民币起售")</f>
        <v>全新丰田YARiS日本售价公布 折合8.85万人民币起售</v>
      </c>
      <c r="C9075" s="2" t="s">
        <v>13</v>
      </c>
      <c r="D9075" s="2" t="s">
        <v>12</v>
      </c>
      <c r="E9075" s="2" t="s">
        <v>27</v>
      </c>
      <c r="F9075" s="2" t="str">
        <f>HYPERLINK("http://bbs.12365auto.com/postcontent.aspx?tId=193839","http://bbs.12365auto.com/postcontent.aspx?tId=193839")</f>
        <v>http://bbs.12365auto.com/postcontent.aspx?tId=193839</v>
      </c>
      <c r="G9075" s="2"/>
      <c r="H9075" s="2" t="s">
        <v>12264</v>
      </c>
      <c r="I9075" s="2" t="s">
        <v>15</v>
      </c>
      <c r="J9075" s="2" t="s">
        <v>12258</v>
      </c>
      <c r="K9075" s="2" t="s">
        <v>12262</v>
      </c>
      <c r="L9075" s="2">
        <f t="shared" si="141"/>
        <v>150</v>
      </c>
    </row>
    <row r="9076" spans="1:12" ht="25" customHeight="1">
      <c r="A9076" s="2" t="s">
        <v>12</v>
      </c>
      <c r="B9076" s="2" t="str">
        <f>HYPERLINK("http://www.12365auto.com/news/20200212/418304.shtml","多举措抗疫 哪吒汽车捐应急用车共111辆")</f>
        <v>多举措抗疫 哪吒汽车捐应急用车共111辆</v>
      </c>
      <c r="C9076" s="2" t="s">
        <v>13</v>
      </c>
      <c r="D9076" s="2" t="s">
        <v>12</v>
      </c>
      <c r="E9076" s="2" t="s">
        <v>276</v>
      </c>
      <c r="F9076" s="2" t="str">
        <f>HYPERLINK("http://www.12365auto.com/news/20200212/418304.shtml","http://www.12365auto.com/news/20200212/418304.shtml")</f>
        <v>http://www.12365auto.com/news/20200212/418304.shtml</v>
      </c>
      <c r="G9076" s="2"/>
      <c r="H9076" s="2" t="s">
        <v>12265</v>
      </c>
      <c r="I9076" s="2" t="s">
        <v>15</v>
      </c>
      <c r="J9076" s="2" t="s">
        <v>12</v>
      </c>
      <c r="K9076" s="2" t="s">
        <v>12262</v>
      </c>
      <c r="L9076" s="2">
        <f t="shared" si="141"/>
        <v>150</v>
      </c>
    </row>
    <row r="9077" spans="1:12" ht="25" customHeight="1">
      <c r="A9077" s="2" t="s">
        <v>12</v>
      </c>
      <c r="B9077" s="2" t="str">
        <f>HYPERLINK("http://m.12365auto.com/news/20200212/418303.shtml","比亚迪1月销量2.5万辆 同比下滑42.1%")</f>
        <v>比亚迪1月销量2.5万辆 同比下滑42.1%</v>
      </c>
      <c r="C9077" s="2" t="s">
        <v>13</v>
      </c>
      <c r="D9077" s="2" t="s">
        <v>12</v>
      </c>
      <c r="E9077" s="2"/>
      <c r="F9077" s="2" t="str">
        <f>HYPERLINK("http://m.12365auto.com/news/20200212/418303.shtml","http://m.12365auto.com/news/20200212/418303.shtml")</f>
        <v>http://m.12365auto.com/news/20200212/418303.shtml</v>
      </c>
      <c r="G9077" s="2"/>
      <c r="H9077" s="2" t="s">
        <v>12266</v>
      </c>
      <c r="I9077" s="2" t="s">
        <v>19</v>
      </c>
      <c r="J9077" s="2" t="s">
        <v>1205</v>
      </c>
      <c r="K9077" s="2" t="s">
        <v>12267</v>
      </c>
      <c r="L9077" s="2">
        <f t="shared" si="141"/>
        <v>150</v>
      </c>
    </row>
    <row r="9078" spans="1:12" ht="25" customHeight="1">
      <c r="A9078" s="2" t="s">
        <v>12</v>
      </c>
      <c r="B9078" s="2" t="str">
        <f>HYPERLINK("http://bbs.12365auto.com/postcontent.aspx?tID=193838","十代索纳塔来了，前所未有的科技感，若还定16万恐不愁销")</f>
        <v>十代索纳塔来了，前所未有的科技感，若还定16万恐不愁销</v>
      </c>
      <c r="C9078" s="2" t="s">
        <v>13</v>
      </c>
      <c r="D9078" s="2" t="s">
        <v>12</v>
      </c>
      <c r="E9078" s="2" t="s">
        <v>28</v>
      </c>
      <c r="F9078" s="2" t="str">
        <f>HYPERLINK("http://bbs.12365auto.com/postcontent.aspx?tID=193838","http://bbs.12365auto.com/postcontent.aspx?tID=193838")</f>
        <v>http://bbs.12365auto.com/postcontent.aspx?tID=193838</v>
      </c>
      <c r="G9078" s="2"/>
      <c r="H9078" s="2" t="s">
        <v>12268</v>
      </c>
      <c r="I9078" s="2" t="s">
        <v>15</v>
      </c>
      <c r="J9078" s="2" t="s">
        <v>12258</v>
      </c>
      <c r="K9078" s="2" t="s">
        <v>12267</v>
      </c>
      <c r="L9078" s="2">
        <f t="shared" si="141"/>
        <v>150</v>
      </c>
    </row>
    <row r="9079" spans="1:12" ht="25" customHeight="1">
      <c r="A9079" s="2" t="s">
        <v>12</v>
      </c>
      <c r="B9079" s="2" t="str">
        <f>HYPERLINK("http://bbs.12365auto.com/postcontent.aspx?tId=193838","十代索纳塔来了，前所未有的科技感，若还定16万恐不愁销")</f>
        <v>十代索纳塔来了，前所未有的科技感，若还定16万恐不愁销</v>
      </c>
      <c r="C9079" s="2" t="s">
        <v>13</v>
      </c>
      <c r="D9079" s="2" t="s">
        <v>12</v>
      </c>
      <c r="E9079" s="2" t="s">
        <v>27</v>
      </c>
      <c r="F9079" s="2" t="str">
        <f>HYPERLINK("http://bbs.12365auto.com/postcontent.aspx?tId=193838","http://bbs.12365auto.com/postcontent.aspx?tId=193838")</f>
        <v>http://bbs.12365auto.com/postcontent.aspx?tId=193838</v>
      </c>
      <c r="G9079" s="2"/>
      <c r="H9079" s="2" t="s">
        <v>12269</v>
      </c>
      <c r="I9079" s="2" t="s">
        <v>15</v>
      </c>
      <c r="J9079" s="2" t="s">
        <v>12258</v>
      </c>
      <c r="K9079" s="2" t="s">
        <v>12267</v>
      </c>
      <c r="L9079" s="2">
        <f t="shared" si="141"/>
        <v>150</v>
      </c>
    </row>
    <row r="9080" spans="1:12" ht="25" customHeight="1">
      <c r="A9080" s="2" t="s">
        <v>12</v>
      </c>
      <c r="B9080" s="2" t="str">
        <f>HYPERLINK("http://m.12365auto.com/bbs/postcontent.aspx?tID=193838","十代索纳塔来了，前所未有的科技感，若还定16万恐不愁销")</f>
        <v>十代索纳塔来了，前所未有的科技感，若还定16万恐不愁销</v>
      </c>
      <c r="C9080" s="2" t="s">
        <v>13</v>
      </c>
      <c r="D9080" s="2" t="s">
        <v>23</v>
      </c>
      <c r="E9080" s="2"/>
      <c r="F9080" s="2" t="str">
        <f>HYPERLINK("http://m.12365auto.com/bbs/postcontent.aspx?tID=193838","http://m.12365auto.com/bbs/postcontent.aspx?tID=193838")</f>
        <v>http://m.12365auto.com/bbs/postcontent.aspx?tID=193838</v>
      </c>
      <c r="G9080" s="2"/>
      <c r="H9080" s="2" t="s">
        <v>12269</v>
      </c>
      <c r="I9080" s="2" t="s">
        <v>15</v>
      </c>
      <c r="J9080" s="2" t="s">
        <v>12258</v>
      </c>
      <c r="K9080" s="2" t="s">
        <v>12267</v>
      </c>
      <c r="L9080" s="2">
        <f t="shared" si="141"/>
        <v>150</v>
      </c>
    </row>
    <row r="9081" spans="1:12" ht="25" customHeight="1">
      <c r="A9081" s="2" t="s">
        <v>12</v>
      </c>
      <c r="B9081" s="2" t="str">
        <f>HYPERLINK("http://www.12365auto.com/news/20200212/418303.shtml","比亚迪1月销量2.5万辆 同比下滑42.1%")</f>
        <v>比亚迪1月销量2.5万辆 同比下滑42.1%</v>
      </c>
      <c r="C9081" s="2" t="s">
        <v>13</v>
      </c>
      <c r="D9081" s="2" t="s">
        <v>12</v>
      </c>
      <c r="E9081" s="2" t="s">
        <v>276</v>
      </c>
      <c r="F9081" s="2" t="str">
        <f>HYPERLINK("http://www.12365auto.com/news/20200212/418303.shtml","http://www.12365auto.com/news/20200212/418303.shtml")</f>
        <v>http://www.12365auto.com/news/20200212/418303.shtml</v>
      </c>
      <c r="G9081" s="2"/>
      <c r="H9081" s="2" t="s">
        <v>12270</v>
      </c>
      <c r="I9081" s="2" t="s">
        <v>15</v>
      </c>
      <c r="J9081" s="2" t="s">
        <v>12</v>
      </c>
      <c r="K9081" s="2" t="s">
        <v>12267</v>
      </c>
      <c r="L9081" s="2">
        <f t="shared" si="141"/>
        <v>150</v>
      </c>
    </row>
    <row r="9082" spans="1:12" ht="25" customHeight="1">
      <c r="A9082" s="2" t="s">
        <v>12</v>
      </c>
      <c r="B9082" s="2" t="str">
        <f>HYPERLINK("http://bbs.12365auto.com/postcontent.aspx?tID=193837","北汽昌河q25蓝牙闪断")</f>
        <v>北汽昌河q25蓝牙闪断</v>
      </c>
      <c r="C9082" s="2" t="s">
        <v>13</v>
      </c>
      <c r="D9082" s="2" t="s">
        <v>12</v>
      </c>
      <c r="E9082" s="2" t="s">
        <v>67</v>
      </c>
      <c r="F9082" s="2" t="str">
        <f>HYPERLINK("http://bbs.12365auto.com/postcontent.aspx?tID=193837","http://bbs.12365auto.com/postcontent.aspx?tID=193837")</f>
        <v>http://bbs.12365auto.com/postcontent.aspx?tID=193837</v>
      </c>
      <c r="G9082" s="2"/>
      <c r="H9082" s="2" t="s">
        <v>12271</v>
      </c>
      <c r="I9082" s="2" t="s">
        <v>15</v>
      </c>
      <c r="J9082" s="2" t="s">
        <v>12272</v>
      </c>
      <c r="K9082" s="2" t="s">
        <v>12273</v>
      </c>
      <c r="L9082" s="2">
        <f t="shared" si="141"/>
        <v>22</v>
      </c>
    </row>
    <row r="9083" spans="1:12" ht="25" customHeight="1">
      <c r="A9083" s="2" t="s">
        <v>12</v>
      </c>
      <c r="B9083" s="2" t="str">
        <f>HYPERLINK("http://www.12365auto.com/zlts/20200212/446941.shtml","上汽通用五菱宏光S3经销商不予退还续保押金")</f>
        <v>上汽通用五菱宏光S3经销商不予退还续保押金</v>
      </c>
      <c r="C9083" s="2" t="s">
        <v>13</v>
      </c>
      <c r="D9083" s="2" t="s">
        <v>12</v>
      </c>
      <c r="E9083" s="2" t="s">
        <v>17</v>
      </c>
      <c r="F9083" s="2" t="str">
        <f>HYPERLINK("http://www.12365auto.com/zlts/20200212/446941.shtml","http://www.12365auto.com/zlts/20200212/446941.shtml")</f>
        <v>http://www.12365auto.com/zlts/20200212/446941.shtml</v>
      </c>
      <c r="G9083" s="2"/>
      <c r="H9083" s="2" t="s">
        <v>12274</v>
      </c>
      <c r="I9083" s="2" t="s">
        <v>19</v>
      </c>
      <c r="J9083" s="2" t="s">
        <v>12</v>
      </c>
      <c r="K9083" s="2" t="s">
        <v>12275</v>
      </c>
      <c r="L9083" s="2">
        <f t="shared" si="141"/>
        <v>150</v>
      </c>
    </row>
    <row r="9084" spans="1:12" ht="25" customHeight="1">
      <c r="A9084" s="2" t="s">
        <v>12</v>
      </c>
      <c r="B9084" s="2" t="str">
        <f>HYPERLINK("http://bbs.12365auto.com/postcontent.aspx?tID=193835","采用更加动感的设计元素 路虎揽胜运动版测试谍照")</f>
        <v>采用更加动感的设计元素 路虎揽胜运动版测试谍照</v>
      </c>
      <c r="C9084" s="2" t="s">
        <v>13</v>
      </c>
      <c r="D9084" s="2" t="s">
        <v>12</v>
      </c>
      <c r="E9084" s="2" t="s">
        <v>28</v>
      </c>
      <c r="F9084" s="2" t="str">
        <f>HYPERLINK("http://bbs.12365auto.com/postcontent.aspx?tID=193835","http://bbs.12365auto.com/postcontent.aspx?tID=193835")</f>
        <v>http://bbs.12365auto.com/postcontent.aspx?tID=193835</v>
      </c>
      <c r="G9084" s="2"/>
      <c r="H9084" s="2" t="s">
        <v>12276</v>
      </c>
      <c r="I9084" s="2" t="s">
        <v>15</v>
      </c>
      <c r="J9084" s="2" t="s">
        <v>12258</v>
      </c>
      <c r="K9084" s="2" t="s">
        <v>12275</v>
      </c>
      <c r="L9084" s="2">
        <f t="shared" si="141"/>
        <v>150</v>
      </c>
    </row>
    <row r="9085" spans="1:12" ht="25" customHeight="1">
      <c r="A9085" s="2" t="s">
        <v>12</v>
      </c>
      <c r="B9085" s="2" t="str">
        <f>HYPERLINK("http://bbs.12365auto.com/postcontent.aspx?tID=193836","30多万买7座奔驰GLB？倒不如考虑这三款！")</f>
        <v>30多万买7座奔驰GLB？倒不如考虑这三款！</v>
      </c>
      <c r="C9085" s="2" t="s">
        <v>13</v>
      </c>
      <c r="D9085" s="2" t="s">
        <v>12</v>
      </c>
      <c r="E9085" s="2" t="s">
        <v>28</v>
      </c>
      <c r="F9085" s="2" t="str">
        <f>HYPERLINK("http://bbs.12365auto.com/postcontent.aspx?tID=193836","http://bbs.12365auto.com/postcontent.aspx?tID=193836")</f>
        <v>http://bbs.12365auto.com/postcontent.aspx?tID=193836</v>
      </c>
      <c r="G9085" s="2"/>
      <c r="H9085" s="2" t="s">
        <v>12277</v>
      </c>
      <c r="I9085" s="2" t="s">
        <v>15</v>
      </c>
      <c r="J9085" s="2" t="s">
        <v>12258</v>
      </c>
      <c r="K9085" s="2" t="s">
        <v>12275</v>
      </c>
      <c r="L9085" s="2">
        <f t="shared" si="141"/>
        <v>150</v>
      </c>
    </row>
    <row r="9086" spans="1:12" ht="25" customHeight="1">
      <c r="A9086" s="2" t="s">
        <v>12</v>
      </c>
      <c r="B9086" s="2" t="str">
        <f>HYPERLINK("http://m.12365auto.com/bbs/postcontent.aspx?tID=193835","采用更加动感的设计元素 路虎揽胜运动版测试谍照")</f>
        <v>采用更加动感的设计元素 路虎揽胜运动版测试谍照</v>
      </c>
      <c r="C9086" s="2" t="s">
        <v>13</v>
      </c>
      <c r="D9086" s="2" t="s">
        <v>23</v>
      </c>
      <c r="E9086" s="2"/>
      <c r="F9086" s="2" t="str">
        <f>HYPERLINK("http://m.12365auto.com/bbs/postcontent.aspx?tID=193835","http://m.12365auto.com/bbs/postcontent.aspx?tID=193835")</f>
        <v>http://m.12365auto.com/bbs/postcontent.aspx?tID=193835</v>
      </c>
      <c r="G9086" s="2"/>
      <c r="H9086" s="2" t="s">
        <v>12278</v>
      </c>
      <c r="I9086" s="2" t="s">
        <v>15</v>
      </c>
      <c r="J9086" s="2" t="s">
        <v>12258</v>
      </c>
      <c r="K9086" s="2" t="s">
        <v>12275</v>
      </c>
      <c r="L9086" s="2">
        <f t="shared" si="141"/>
        <v>150</v>
      </c>
    </row>
    <row r="9087" spans="1:12" ht="25" customHeight="1">
      <c r="A9087" s="2" t="s">
        <v>12</v>
      </c>
      <c r="B9087" s="2" t="str">
        <f>HYPERLINK("http://www.12365auto.com/news/20200212/418302.shtml","强强联合 吉利/沃尔沃拟整合组全球集团")</f>
        <v>强强联合 吉利/沃尔沃拟整合组全球集团</v>
      </c>
      <c r="C9087" s="2" t="s">
        <v>13</v>
      </c>
      <c r="D9087" s="2" t="s">
        <v>12</v>
      </c>
      <c r="E9087" s="2" t="s">
        <v>276</v>
      </c>
      <c r="F9087" s="2" t="str">
        <f>HYPERLINK("http://www.12365auto.com/news/20200212/418302.shtml","http://www.12365auto.com/news/20200212/418302.shtml")</f>
        <v>http://www.12365auto.com/news/20200212/418302.shtml</v>
      </c>
      <c r="G9087" s="2"/>
      <c r="H9087" s="2" t="s">
        <v>12279</v>
      </c>
      <c r="I9087" s="2" t="s">
        <v>15</v>
      </c>
      <c r="J9087" s="2" t="s">
        <v>12</v>
      </c>
      <c r="K9087" s="2" t="s">
        <v>12275</v>
      </c>
      <c r="L9087" s="2">
        <f t="shared" si="141"/>
        <v>150</v>
      </c>
    </row>
    <row r="9088" spans="1:12" ht="25" customHeight="1">
      <c r="A9088" s="2" t="s">
        <v>12</v>
      </c>
      <c r="B9088" s="2" t="str">
        <f>HYPERLINK("http://m.12365auto.com/news/20200212/418302.shtml","强强联合 吉利/沃尔沃拟整合组全球集团")</f>
        <v>强强联合 吉利/沃尔沃拟整合组全球集团</v>
      </c>
      <c r="C9088" s="2" t="s">
        <v>13</v>
      </c>
      <c r="D9088" s="2" t="s">
        <v>12</v>
      </c>
      <c r="E9088" s="2"/>
      <c r="F9088" s="2" t="str">
        <f>HYPERLINK("http://m.12365auto.com/news/20200212/418302.shtml","http://m.12365auto.com/news/20200212/418302.shtml")</f>
        <v>http://m.12365auto.com/news/20200212/418302.shtml</v>
      </c>
      <c r="G9088" s="2"/>
      <c r="H9088" s="2" t="s">
        <v>12280</v>
      </c>
      <c r="I9088" s="2" t="s">
        <v>19</v>
      </c>
      <c r="J9088" s="2" t="s">
        <v>1218</v>
      </c>
      <c r="K9088" s="2" t="s">
        <v>12275</v>
      </c>
      <c r="L9088" s="2">
        <f t="shared" si="141"/>
        <v>150</v>
      </c>
    </row>
    <row r="9089" spans="1:12" ht="25" customHeight="1">
      <c r="A9089" s="2" t="s">
        <v>12</v>
      </c>
      <c r="B9089" s="2" t="str">
        <f>HYPERLINK("http://bbs.12365auto.com/postcontent.aspx?tId=193835","采用更加动感的设计元素 路虎揽胜运动版测试谍照")</f>
        <v>采用更加动感的设计元素 路虎揽胜运动版测试谍照</v>
      </c>
      <c r="C9089" s="2" t="s">
        <v>13</v>
      </c>
      <c r="D9089" s="2" t="s">
        <v>12</v>
      </c>
      <c r="E9089" s="2" t="s">
        <v>27</v>
      </c>
      <c r="F9089" s="2" t="str">
        <f>HYPERLINK("http://bbs.12365auto.com/postcontent.aspx?tId=193835","http://bbs.12365auto.com/postcontent.aspx?tId=193835")</f>
        <v>http://bbs.12365auto.com/postcontent.aspx?tId=193835</v>
      </c>
      <c r="G9089" s="2"/>
      <c r="H9089" s="2" t="s">
        <v>12278</v>
      </c>
      <c r="I9089" s="2" t="s">
        <v>15</v>
      </c>
      <c r="J9089" s="2" t="s">
        <v>12258</v>
      </c>
      <c r="K9089" s="2" t="s">
        <v>12275</v>
      </c>
      <c r="L9089" s="2">
        <f t="shared" si="141"/>
        <v>150</v>
      </c>
    </row>
    <row r="9090" spans="1:12" ht="25" customHeight="1">
      <c r="A9090" s="2" t="s">
        <v>12</v>
      </c>
      <c r="B9090" s="2" t="str">
        <f>HYPERLINK("http://bbs.12365auto.com/postcontent.aspx?tId=193836","30多万买7座奔驰GLB？倒不如考虑这三款！")</f>
        <v>30多万买7座奔驰GLB？倒不如考虑这三款！</v>
      </c>
      <c r="C9090" s="2" t="s">
        <v>13</v>
      </c>
      <c r="D9090" s="2" t="s">
        <v>12</v>
      </c>
      <c r="E9090" s="2" t="s">
        <v>27</v>
      </c>
      <c r="F9090" s="2" t="str">
        <f>HYPERLINK("http://bbs.12365auto.com/postcontent.aspx?tId=193836","http://bbs.12365auto.com/postcontent.aspx?tId=193836")</f>
        <v>http://bbs.12365auto.com/postcontent.aspx?tId=193836</v>
      </c>
      <c r="G9090" s="2"/>
      <c r="H9090" s="2" t="s">
        <v>12281</v>
      </c>
      <c r="I9090" s="2" t="s">
        <v>15</v>
      </c>
      <c r="J9090" s="2" t="s">
        <v>12258</v>
      </c>
      <c r="K9090" s="2" t="s">
        <v>12275</v>
      </c>
      <c r="L9090" s="2">
        <f t="shared" si="141"/>
        <v>150</v>
      </c>
    </row>
    <row r="9091" spans="1:12" ht="25" customHeight="1">
      <c r="A9091" s="2" t="s">
        <v>12</v>
      </c>
      <c r="B9091" s="2" t="str">
        <f>HYPERLINK("http://m.12365auto.com/bbs/postcontent.aspx?tID=193836","30多万买7座奔驰GLB？倒不如考虑这三款！")</f>
        <v>30多万买7座奔驰GLB？倒不如考虑这三款！</v>
      </c>
      <c r="C9091" s="2" t="s">
        <v>13</v>
      </c>
      <c r="D9091" s="2" t="s">
        <v>23</v>
      </c>
      <c r="E9091" s="2"/>
      <c r="F9091" s="2" t="str">
        <f>HYPERLINK("http://m.12365auto.com/bbs/postcontent.aspx?tID=193836","http://m.12365auto.com/bbs/postcontent.aspx?tID=193836")</f>
        <v>http://m.12365auto.com/bbs/postcontent.aspx?tID=193836</v>
      </c>
      <c r="G9091" s="2"/>
      <c r="H9091" s="2" t="s">
        <v>12281</v>
      </c>
      <c r="I9091" s="2" t="s">
        <v>15</v>
      </c>
      <c r="J9091" s="2" t="s">
        <v>12258</v>
      </c>
      <c r="K9091" s="2" t="s">
        <v>12275</v>
      </c>
      <c r="L9091" s="2">
        <f t="shared" ref="L9091:L9154" si="142">LEN(H9091)</f>
        <v>150</v>
      </c>
    </row>
    <row r="9092" spans="1:12" ht="25" customHeight="1">
      <c r="A9092" s="2" t="s">
        <v>12</v>
      </c>
      <c r="B9092" s="2" t="str">
        <f>HYPERLINK("http://bbs.12365auto.com/postcontent.aspx?tID=193834","2020年这堆新车，能让韩系品牌翻身为实力派吗？")</f>
        <v>2020年这堆新车，能让韩系品牌翻身为实力派吗？</v>
      </c>
      <c r="C9092" s="2" t="s">
        <v>13</v>
      </c>
      <c r="D9092" s="2" t="s">
        <v>12</v>
      </c>
      <c r="E9092" s="2" t="s">
        <v>28</v>
      </c>
      <c r="F9092" s="2" t="str">
        <f>HYPERLINK("http://bbs.12365auto.com/postcontent.aspx?tID=193834","http://bbs.12365auto.com/postcontent.aspx?tID=193834")</f>
        <v>http://bbs.12365auto.com/postcontent.aspx?tID=193834</v>
      </c>
      <c r="G9092" s="2"/>
      <c r="H9092" s="2" t="s">
        <v>12282</v>
      </c>
      <c r="I9092" s="2" t="s">
        <v>15</v>
      </c>
      <c r="J9092" s="2" t="s">
        <v>12258</v>
      </c>
      <c r="K9092" s="2" t="s">
        <v>12283</v>
      </c>
      <c r="L9092" s="2">
        <f t="shared" si="142"/>
        <v>150</v>
      </c>
    </row>
    <row r="9093" spans="1:12" ht="25" customHeight="1">
      <c r="A9093" s="2" t="s">
        <v>12</v>
      </c>
      <c r="B9093" s="2" t="str">
        <f>HYPERLINK("http://www.12365auto.com/news/20200212/418301.shtml","蔚来汽车发布1月销量表现 交付1,598辆")</f>
        <v>蔚来汽车发布1月销量表现 交付1,598辆</v>
      </c>
      <c r="C9093" s="2" t="s">
        <v>13</v>
      </c>
      <c r="D9093" s="2" t="s">
        <v>12</v>
      </c>
      <c r="E9093" s="2" t="s">
        <v>276</v>
      </c>
      <c r="F9093" s="2" t="str">
        <f>HYPERLINK("http://www.12365auto.com/news/20200212/418301.shtml","http://www.12365auto.com/news/20200212/418301.shtml")</f>
        <v>http://www.12365auto.com/news/20200212/418301.shtml</v>
      </c>
      <c r="G9093" s="2"/>
      <c r="H9093" s="2" t="s">
        <v>12284</v>
      </c>
      <c r="I9093" s="2" t="s">
        <v>15</v>
      </c>
      <c r="J9093" s="2" t="s">
        <v>12</v>
      </c>
      <c r="K9093" s="2" t="s">
        <v>12283</v>
      </c>
      <c r="L9093" s="2">
        <f t="shared" si="142"/>
        <v>150</v>
      </c>
    </row>
    <row r="9094" spans="1:12" ht="25" customHeight="1">
      <c r="A9094" s="2" t="s">
        <v>12</v>
      </c>
      <c r="B9094" s="2" t="str">
        <f>HYPERLINK("http://m.12365auto.com/news/20200212/418301.shtml","蔚来汽车发布1月销量表现 交付1,598辆")</f>
        <v>蔚来汽车发布1月销量表现 交付1,598辆</v>
      </c>
      <c r="C9094" s="2" t="s">
        <v>13</v>
      </c>
      <c r="D9094" s="2" t="s">
        <v>12</v>
      </c>
      <c r="E9094" s="2"/>
      <c r="F9094" s="2" t="str">
        <f>HYPERLINK("http://m.12365auto.com/news/20200212/418301.shtml","http://m.12365auto.com/news/20200212/418301.shtml")</f>
        <v>http://m.12365auto.com/news/20200212/418301.shtml</v>
      </c>
      <c r="G9094" s="2"/>
      <c r="H9094" s="2" t="s">
        <v>12285</v>
      </c>
      <c r="I9094" s="2" t="s">
        <v>19</v>
      </c>
      <c r="J9094" s="2" t="s">
        <v>1205</v>
      </c>
      <c r="K9094" s="2" t="s">
        <v>12283</v>
      </c>
      <c r="L9094" s="2">
        <f t="shared" si="142"/>
        <v>150</v>
      </c>
    </row>
    <row r="9095" spans="1:12" ht="25" customHeight="1">
      <c r="A9095" s="2" t="s">
        <v>12</v>
      </c>
      <c r="B9095" s="2" t="str">
        <f>HYPERLINK("http://bbs.12365auto.com/postcontent.aspx?tId=193834","2020年这堆新车，能让韩系品牌翻身为实力派吗？")</f>
        <v>2020年这堆新车，能让韩系品牌翻身为实力派吗？</v>
      </c>
      <c r="C9095" s="2" t="s">
        <v>13</v>
      </c>
      <c r="D9095" s="2" t="s">
        <v>12</v>
      </c>
      <c r="E9095" s="2" t="s">
        <v>27</v>
      </c>
      <c r="F9095" s="2" t="str">
        <f>HYPERLINK("http://bbs.12365auto.com/postcontent.aspx?tId=193834","http://bbs.12365auto.com/postcontent.aspx?tId=193834")</f>
        <v>http://bbs.12365auto.com/postcontent.aspx?tId=193834</v>
      </c>
      <c r="G9095" s="2"/>
      <c r="H9095" s="2" t="s">
        <v>12286</v>
      </c>
      <c r="I9095" s="2" t="s">
        <v>15</v>
      </c>
      <c r="J9095" s="2" t="s">
        <v>12258</v>
      </c>
      <c r="K9095" s="2" t="s">
        <v>12283</v>
      </c>
      <c r="L9095" s="2">
        <f t="shared" si="142"/>
        <v>150</v>
      </c>
    </row>
    <row r="9096" spans="1:12" ht="25" customHeight="1">
      <c r="A9096" s="2" t="s">
        <v>12</v>
      </c>
      <c r="B9096" s="2" t="str">
        <f>HYPERLINK("http://m.12365auto.com/bbs/postcontent.aspx?tID=193834","2020年这堆新车，能让韩系品牌翻身为实力派吗？")</f>
        <v>2020年这堆新车，能让韩系品牌翻身为实力派吗？</v>
      </c>
      <c r="C9096" s="2" t="s">
        <v>13</v>
      </c>
      <c r="D9096" s="2" t="s">
        <v>23</v>
      </c>
      <c r="E9096" s="2"/>
      <c r="F9096" s="2" t="str">
        <f>HYPERLINK("http://m.12365auto.com/bbs/postcontent.aspx?tID=193834","http://m.12365auto.com/bbs/postcontent.aspx?tID=193834")</f>
        <v>http://m.12365auto.com/bbs/postcontent.aspx?tID=193834</v>
      </c>
      <c r="G9096" s="2"/>
      <c r="H9096" s="2" t="s">
        <v>12286</v>
      </c>
      <c r="I9096" s="2" t="s">
        <v>15</v>
      </c>
      <c r="J9096" s="2" t="s">
        <v>12258</v>
      </c>
      <c r="K9096" s="2" t="s">
        <v>12283</v>
      </c>
      <c r="L9096" s="2">
        <f t="shared" si="142"/>
        <v>150</v>
      </c>
    </row>
    <row r="9097" spans="1:12" ht="25" customHeight="1">
      <c r="A9097" s="2" t="s">
        <v>12</v>
      </c>
      <c r="B9097" s="2" t="str">
        <f>HYPERLINK("http://bbs.12365auto.com/postcontent.aspx?tID=193833","2020年不容错过的纯电动新车")</f>
        <v>2020年不容错过的纯电动新车</v>
      </c>
      <c r="C9097" s="2" t="s">
        <v>13</v>
      </c>
      <c r="D9097" s="2" t="s">
        <v>12</v>
      </c>
      <c r="E9097" s="2" t="s">
        <v>28</v>
      </c>
      <c r="F9097" s="2" t="str">
        <f>HYPERLINK("http://bbs.12365auto.com/postcontent.aspx?tID=193833","http://bbs.12365auto.com/postcontent.aspx?tID=193833")</f>
        <v>http://bbs.12365auto.com/postcontent.aspx?tID=193833</v>
      </c>
      <c r="G9097" s="2"/>
      <c r="H9097" s="2" t="s">
        <v>12287</v>
      </c>
      <c r="I9097" s="2" t="s">
        <v>15</v>
      </c>
      <c r="J9097" s="2" t="s">
        <v>12258</v>
      </c>
      <c r="K9097" s="2" t="s">
        <v>12288</v>
      </c>
      <c r="L9097" s="2">
        <f t="shared" si="142"/>
        <v>150</v>
      </c>
    </row>
    <row r="9098" spans="1:12" ht="25" customHeight="1">
      <c r="A9098" s="2" t="s">
        <v>12</v>
      </c>
      <c r="B9098" s="2" t="str">
        <f>HYPERLINK("http://bbs.12365auto.com/postcontent.aspx?tID=193832","新增1.5T+48V轻混 2021款大众途观谍照曝光")</f>
        <v>新增1.5T+48V轻混 2021款大众途观谍照曝光</v>
      </c>
      <c r="C9098" s="2" t="s">
        <v>13</v>
      </c>
      <c r="D9098" s="2" t="s">
        <v>12</v>
      </c>
      <c r="E9098" s="2" t="s">
        <v>28</v>
      </c>
      <c r="F9098" s="2" t="str">
        <f>HYPERLINK("http://bbs.12365auto.com/postcontent.aspx?tID=193832","http://bbs.12365auto.com/postcontent.aspx?tID=193832")</f>
        <v>http://bbs.12365auto.com/postcontent.aspx?tID=193832</v>
      </c>
      <c r="G9098" s="2"/>
      <c r="H9098" s="2" t="s">
        <v>12289</v>
      </c>
      <c r="I9098" s="2" t="s">
        <v>15</v>
      </c>
      <c r="J9098" s="2" t="s">
        <v>12258</v>
      </c>
      <c r="K9098" s="2" t="s">
        <v>12288</v>
      </c>
      <c r="L9098" s="2">
        <f t="shared" si="142"/>
        <v>150</v>
      </c>
    </row>
    <row r="9099" spans="1:12" ht="25" customHeight="1">
      <c r="A9099" s="2" t="s">
        <v>12</v>
      </c>
      <c r="B9099" s="2" t="str">
        <f>HYPERLINK("http://m.12365auto.com/bbs/postcontent.aspx?tID=193833","2020年不容错过的纯电动新车")</f>
        <v>2020年不容错过的纯电动新车</v>
      </c>
      <c r="C9099" s="2" t="s">
        <v>13</v>
      </c>
      <c r="D9099" s="2" t="s">
        <v>23</v>
      </c>
      <c r="E9099" s="2"/>
      <c r="F9099" s="2" t="str">
        <f>HYPERLINK("http://m.12365auto.com/bbs/postcontent.aspx?tID=193833","http://m.12365auto.com/bbs/postcontent.aspx?tID=193833")</f>
        <v>http://m.12365auto.com/bbs/postcontent.aspx?tID=193833</v>
      </c>
      <c r="G9099" s="2"/>
      <c r="H9099" s="2" t="s">
        <v>12290</v>
      </c>
      <c r="I9099" s="2" t="s">
        <v>15</v>
      </c>
      <c r="J9099" s="2" t="s">
        <v>12258</v>
      </c>
      <c r="K9099" s="2" t="s">
        <v>12288</v>
      </c>
      <c r="L9099" s="2">
        <f t="shared" si="142"/>
        <v>150</v>
      </c>
    </row>
    <row r="9100" spans="1:12" ht="25" customHeight="1">
      <c r="A9100" s="2" t="s">
        <v>12</v>
      </c>
      <c r="B9100" s="2" t="str">
        <f>HYPERLINK("http://www.12365auto.com/news/20200212/418300.shtml","疫情影响零部件供应 日产日本工厂停产")</f>
        <v>疫情影响零部件供应 日产日本工厂停产</v>
      </c>
      <c r="C9100" s="2" t="s">
        <v>13</v>
      </c>
      <c r="D9100" s="2" t="s">
        <v>12</v>
      </c>
      <c r="E9100" s="2" t="s">
        <v>276</v>
      </c>
      <c r="F9100" s="2" t="str">
        <f>HYPERLINK("http://www.12365auto.com/news/20200212/418300.shtml","http://www.12365auto.com/news/20200212/418300.shtml")</f>
        <v>http://www.12365auto.com/news/20200212/418300.shtml</v>
      </c>
      <c r="G9100" s="2"/>
      <c r="H9100" s="2" t="s">
        <v>12291</v>
      </c>
      <c r="I9100" s="2" t="s">
        <v>15</v>
      </c>
      <c r="J9100" s="2" t="s">
        <v>12</v>
      </c>
      <c r="K9100" s="2" t="s">
        <v>12288</v>
      </c>
      <c r="L9100" s="2">
        <f t="shared" si="142"/>
        <v>150</v>
      </c>
    </row>
    <row r="9101" spans="1:12" ht="25" customHeight="1">
      <c r="A9101" s="2" t="s">
        <v>12</v>
      </c>
      <c r="B9101" s="2" t="str">
        <f>HYPERLINK("http://m.12365auto.com/news/20200212/418300.shtml","疫情影响零部件供应 日产日本工厂停产")</f>
        <v>疫情影响零部件供应 日产日本工厂停产</v>
      </c>
      <c r="C9101" s="2" t="s">
        <v>13</v>
      </c>
      <c r="D9101" s="2" t="s">
        <v>12</v>
      </c>
      <c r="E9101" s="2"/>
      <c r="F9101" s="2" t="str">
        <f>HYPERLINK("http://m.12365auto.com/news/20200212/418300.shtml","http://m.12365auto.com/news/20200212/418300.shtml")</f>
        <v>http://m.12365auto.com/news/20200212/418300.shtml</v>
      </c>
      <c r="G9101" s="2"/>
      <c r="H9101" s="2" t="s">
        <v>12292</v>
      </c>
      <c r="I9101" s="2" t="s">
        <v>19</v>
      </c>
      <c r="J9101" s="2" t="s">
        <v>1218</v>
      </c>
      <c r="K9101" s="2" t="s">
        <v>12288</v>
      </c>
      <c r="L9101" s="2">
        <f t="shared" si="142"/>
        <v>150</v>
      </c>
    </row>
    <row r="9102" spans="1:12" ht="25" customHeight="1">
      <c r="A9102" s="2" t="s">
        <v>12</v>
      </c>
      <c r="B9102" s="2" t="str">
        <f>HYPERLINK("http://bbs.12365auto.com/postcontent.aspx?tId=193832","新增1.5T+48V轻混 2021款大众途观谍照曝光")</f>
        <v>新增1.5T+48V轻混 2021款大众途观谍照曝光</v>
      </c>
      <c r="C9102" s="2" t="s">
        <v>13</v>
      </c>
      <c r="D9102" s="2" t="s">
        <v>12</v>
      </c>
      <c r="E9102" s="2" t="s">
        <v>27</v>
      </c>
      <c r="F9102" s="2" t="str">
        <f>HYPERLINK("http://bbs.12365auto.com/postcontent.aspx?tId=193832","http://bbs.12365auto.com/postcontent.aspx?tId=193832")</f>
        <v>http://bbs.12365auto.com/postcontent.aspx?tId=193832</v>
      </c>
      <c r="G9102" s="2"/>
      <c r="H9102" s="2" t="s">
        <v>12293</v>
      </c>
      <c r="I9102" s="2" t="s">
        <v>15</v>
      </c>
      <c r="J9102" s="2" t="s">
        <v>12258</v>
      </c>
      <c r="K9102" s="2" t="s">
        <v>12288</v>
      </c>
      <c r="L9102" s="2">
        <f t="shared" si="142"/>
        <v>150</v>
      </c>
    </row>
    <row r="9103" spans="1:12" ht="25" customHeight="1">
      <c r="A9103" s="2" t="s">
        <v>12</v>
      </c>
      <c r="B9103" s="2" t="str">
        <f>HYPERLINK("http://bbs.12365auto.com/postcontent.aspx?tId=193833","2020年不容错过的纯电动新车")</f>
        <v>2020年不容错过的纯电动新车</v>
      </c>
      <c r="C9103" s="2" t="s">
        <v>13</v>
      </c>
      <c r="D9103" s="2" t="s">
        <v>12</v>
      </c>
      <c r="E9103" s="2" t="s">
        <v>27</v>
      </c>
      <c r="F9103" s="2" t="str">
        <f>HYPERLINK("http://bbs.12365auto.com/postcontent.aspx?tId=193833","http://bbs.12365auto.com/postcontent.aspx?tId=193833")</f>
        <v>http://bbs.12365auto.com/postcontent.aspx?tId=193833</v>
      </c>
      <c r="G9103" s="2"/>
      <c r="H9103" s="2" t="s">
        <v>12290</v>
      </c>
      <c r="I9103" s="2" t="s">
        <v>15</v>
      </c>
      <c r="J9103" s="2" t="s">
        <v>12258</v>
      </c>
      <c r="K9103" s="2" t="s">
        <v>12288</v>
      </c>
      <c r="L9103" s="2">
        <f t="shared" si="142"/>
        <v>150</v>
      </c>
    </row>
    <row r="9104" spans="1:12" ht="25" customHeight="1">
      <c r="A9104" s="2" t="s">
        <v>12</v>
      </c>
      <c r="B9104" s="2" t="str">
        <f>HYPERLINK("http://m.12365auto.com/bbs/postcontent.aspx?tID=193832","新增1.5T+48V轻混 2021款大众途观谍照曝光")</f>
        <v>新增1.5T+48V轻混 2021款大众途观谍照曝光</v>
      </c>
      <c r="C9104" s="2" t="s">
        <v>13</v>
      </c>
      <c r="D9104" s="2" t="s">
        <v>23</v>
      </c>
      <c r="E9104" s="2"/>
      <c r="F9104" s="2" t="str">
        <f>HYPERLINK("http://m.12365auto.com/bbs/postcontent.aspx?tID=193832","http://m.12365auto.com/bbs/postcontent.aspx?tID=193832")</f>
        <v>http://m.12365auto.com/bbs/postcontent.aspx?tID=193832</v>
      </c>
      <c r="G9104" s="2"/>
      <c r="H9104" s="2" t="s">
        <v>12293</v>
      </c>
      <c r="I9104" s="2" t="s">
        <v>15</v>
      </c>
      <c r="J9104" s="2" t="s">
        <v>12258</v>
      </c>
      <c r="K9104" s="2" t="s">
        <v>12288</v>
      </c>
      <c r="L9104" s="2">
        <f t="shared" si="142"/>
        <v>150</v>
      </c>
    </row>
    <row r="9105" spans="1:12" ht="25" customHeight="1">
      <c r="A9105" s="2" t="s">
        <v>12</v>
      </c>
      <c r="B9105" s="2" t="str">
        <f>HYPERLINK("http://bbs.12365auto.com/postcontent.aspx?tID=193831","这次不改奥迪了？ 大众T系列ABT改装版")</f>
        <v>这次不改奥迪了？ 大众T系列ABT改装版</v>
      </c>
      <c r="C9105" s="2" t="s">
        <v>13</v>
      </c>
      <c r="D9105" s="2" t="s">
        <v>12</v>
      </c>
      <c r="E9105" s="2" t="s">
        <v>28</v>
      </c>
      <c r="F9105" s="2" t="str">
        <f>HYPERLINK("http://bbs.12365auto.com/postcontent.aspx?tID=193831","http://bbs.12365auto.com/postcontent.aspx?tID=193831")</f>
        <v>http://bbs.12365auto.com/postcontent.aspx?tID=193831</v>
      </c>
      <c r="G9105" s="2"/>
      <c r="H9105" s="2" t="s">
        <v>12294</v>
      </c>
      <c r="I9105" s="2" t="s">
        <v>15</v>
      </c>
      <c r="J9105" s="2" t="s">
        <v>12258</v>
      </c>
      <c r="K9105" s="2" t="s">
        <v>12295</v>
      </c>
      <c r="L9105" s="2">
        <f t="shared" si="142"/>
        <v>150</v>
      </c>
    </row>
    <row r="9106" spans="1:12" ht="25" customHeight="1">
      <c r="A9106" s="2" t="s">
        <v>12</v>
      </c>
      <c r="B9106" s="2" t="str">
        <f>HYPERLINK("http://m.12365auto.com/bbs/postcontent.aspx?tID=193830","搭1.3T发动机，全新菲亚特发布Strada预告图曝光")</f>
        <v>搭1.3T发动机，全新菲亚特发布Strada预告图曝光</v>
      </c>
      <c r="C9106" s="2" t="s">
        <v>13</v>
      </c>
      <c r="D9106" s="2" t="s">
        <v>23</v>
      </c>
      <c r="E9106" s="2"/>
      <c r="F9106" s="2" t="str">
        <f>HYPERLINK("http://m.12365auto.com/bbs/postcontent.aspx?tID=193830","http://m.12365auto.com/bbs/postcontent.aspx?tID=193830")</f>
        <v>http://m.12365auto.com/bbs/postcontent.aspx?tID=193830</v>
      </c>
      <c r="G9106" s="2"/>
      <c r="H9106" s="2" t="s">
        <v>12296</v>
      </c>
      <c r="I9106" s="2" t="s">
        <v>15</v>
      </c>
      <c r="J9106" s="2" t="s">
        <v>12258</v>
      </c>
      <c r="K9106" s="2" t="s">
        <v>12295</v>
      </c>
      <c r="L9106" s="2">
        <f t="shared" si="142"/>
        <v>150</v>
      </c>
    </row>
    <row r="9107" spans="1:12" ht="25" customHeight="1">
      <c r="A9107" s="2" t="s">
        <v>12</v>
      </c>
      <c r="B9107" s="2" t="str">
        <f>HYPERLINK("http://www.12365auto.com/news/20200212/418299.shtml","减5000元 蔚来推医疗系统人员购车福利")</f>
        <v>减5000元 蔚来推医疗系统人员购车福利</v>
      </c>
      <c r="C9107" s="2" t="s">
        <v>13</v>
      </c>
      <c r="D9107" s="2" t="s">
        <v>12</v>
      </c>
      <c r="E9107" s="2" t="s">
        <v>276</v>
      </c>
      <c r="F9107" s="2" t="str">
        <f>HYPERLINK("http://www.12365auto.com/news/20200212/418299.shtml","http://www.12365auto.com/news/20200212/418299.shtml")</f>
        <v>http://www.12365auto.com/news/20200212/418299.shtml</v>
      </c>
      <c r="G9107" s="2"/>
      <c r="H9107" s="2" t="s">
        <v>12297</v>
      </c>
      <c r="I9107" s="2" t="s">
        <v>15</v>
      </c>
      <c r="J9107" s="2" t="s">
        <v>12</v>
      </c>
      <c r="K9107" s="2" t="s">
        <v>12295</v>
      </c>
      <c r="L9107" s="2">
        <f t="shared" si="142"/>
        <v>150</v>
      </c>
    </row>
    <row r="9108" spans="1:12" ht="25" customHeight="1">
      <c r="A9108" s="2" t="s">
        <v>12</v>
      </c>
      <c r="B9108" s="2" t="str">
        <f>HYPERLINK("http://m.12365auto.com/news/20200212/418299.shtml","减5000元 蔚来推医疗系统人员购车福利")</f>
        <v>减5000元 蔚来推医疗系统人员购车福利</v>
      </c>
      <c r="C9108" s="2" t="s">
        <v>13</v>
      </c>
      <c r="D9108" s="2" t="s">
        <v>12</v>
      </c>
      <c r="E9108" s="2"/>
      <c r="F9108" s="2" t="str">
        <f>HYPERLINK("http://m.12365auto.com/news/20200212/418299.shtml","http://m.12365auto.com/news/20200212/418299.shtml")</f>
        <v>http://m.12365auto.com/news/20200212/418299.shtml</v>
      </c>
      <c r="G9108" s="2"/>
      <c r="H9108" s="2" t="s">
        <v>12298</v>
      </c>
      <c r="I9108" s="2" t="s">
        <v>19</v>
      </c>
      <c r="J9108" s="2" t="s">
        <v>1657</v>
      </c>
      <c r="K9108" s="2" t="s">
        <v>12295</v>
      </c>
      <c r="L9108" s="2">
        <f t="shared" si="142"/>
        <v>150</v>
      </c>
    </row>
    <row r="9109" spans="1:12" ht="25" customHeight="1">
      <c r="A9109" s="2" t="s">
        <v>12</v>
      </c>
      <c r="B9109" s="2" t="str">
        <f>HYPERLINK("http://bbs.12365auto.com/postcontent.aspx?tId=193831","这次不改奥迪了？ 大众T系列ABT改装版")</f>
        <v>这次不改奥迪了？ 大众T系列ABT改装版</v>
      </c>
      <c r="C9109" s="2" t="s">
        <v>13</v>
      </c>
      <c r="D9109" s="2" t="s">
        <v>12</v>
      </c>
      <c r="E9109" s="2" t="s">
        <v>27</v>
      </c>
      <c r="F9109" s="2" t="str">
        <f>HYPERLINK("http://bbs.12365auto.com/postcontent.aspx?tId=193831","http://bbs.12365auto.com/postcontent.aspx?tId=193831")</f>
        <v>http://bbs.12365auto.com/postcontent.aspx?tId=193831</v>
      </c>
      <c r="G9109" s="2"/>
      <c r="H9109" s="2" t="s">
        <v>12299</v>
      </c>
      <c r="I9109" s="2" t="s">
        <v>15</v>
      </c>
      <c r="J9109" s="2" t="s">
        <v>12258</v>
      </c>
      <c r="K9109" s="2" t="s">
        <v>12295</v>
      </c>
      <c r="L9109" s="2">
        <f t="shared" si="142"/>
        <v>150</v>
      </c>
    </row>
    <row r="9110" spans="1:12" ht="25" customHeight="1">
      <c r="A9110" s="2" t="s">
        <v>12</v>
      </c>
      <c r="B9110" s="2" t="str">
        <f>HYPERLINK("http://bbs.12365auto.com/postcontent.aspx?tId=193830","搭1.3T发动机，全新菲亚特发布Strada预告图曝光")</f>
        <v>搭1.3T发动机，全新菲亚特发布Strada预告图曝光</v>
      </c>
      <c r="C9110" s="2" t="s">
        <v>13</v>
      </c>
      <c r="D9110" s="2" t="s">
        <v>12</v>
      </c>
      <c r="E9110" s="2" t="s">
        <v>27</v>
      </c>
      <c r="F9110" s="2" t="str">
        <f>HYPERLINK("http://bbs.12365auto.com/postcontent.aspx?tId=193830","http://bbs.12365auto.com/postcontent.aspx?tId=193830")</f>
        <v>http://bbs.12365auto.com/postcontent.aspx?tId=193830</v>
      </c>
      <c r="G9110" s="2"/>
      <c r="H9110" s="2" t="s">
        <v>12296</v>
      </c>
      <c r="I9110" s="2" t="s">
        <v>15</v>
      </c>
      <c r="J9110" s="2" t="s">
        <v>12258</v>
      </c>
      <c r="K9110" s="2" t="s">
        <v>12295</v>
      </c>
      <c r="L9110" s="2">
        <f t="shared" si="142"/>
        <v>150</v>
      </c>
    </row>
    <row r="9111" spans="1:12" ht="25" customHeight="1">
      <c r="A9111" s="2" t="s">
        <v>12</v>
      </c>
      <c r="B9111" s="2" t="str">
        <f>HYPERLINK("http://m.12365auto.com/bbs/postcontent.aspx?tID=193831","这次不改奥迪了？ 大众T系列ABT改装版")</f>
        <v>这次不改奥迪了？ 大众T系列ABT改装版</v>
      </c>
      <c r="C9111" s="2" t="s">
        <v>13</v>
      </c>
      <c r="D9111" s="2" t="s">
        <v>23</v>
      </c>
      <c r="E9111" s="2"/>
      <c r="F9111" s="2" t="str">
        <f>HYPERLINK("http://m.12365auto.com/bbs/postcontent.aspx?tID=193831","http://m.12365auto.com/bbs/postcontent.aspx?tID=193831")</f>
        <v>http://m.12365auto.com/bbs/postcontent.aspx?tID=193831</v>
      </c>
      <c r="G9111" s="2"/>
      <c r="H9111" s="2" t="s">
        <v>12299</v>
      </c>
      <c r="I9111" s="2" t="s">
        <v>15</v>
      </c>
      <c r="J9111" s="2" t="s">
        <v>12258</v>
      </c>
      <c r="K9111" s="2" t="s">
        <v>12295</v>
      </c>
      <c r="L9111" s="2">
        <f t="shared" si="142"/>
        <v>150</v>
      </c>
    </row>
    <row r="9112" spans="1:12" ht="25" customHeight="1">
      <c r="A9112" s="2" t="s">
        <v>12</v>
      </c>
      <c r="B9112" s="2" t="str">
        <f>HYPERLINK("http://bbs.12365auto.com/postcontent.aspx?tID=193830","搭1.3T发动机，全新菲亚特发布Strada预告图曝光")</f>
        <v>搭1.3T发动机，全新菲亚特发布Strada预告图曝光</v>
      </c>
      <c r="C9112" s="2" t="s">
        <v>13</v>
      </c>
      <c r="D9112" s="2" t="s">
        <v>12</v>
      </c>
      <c r="E9112" s="2" t="s">
        <v>28</v>
      </c>
      <c r="F9112" s="2" t="str">
        <f>HYPERLINK("http://bbs.12365auto.com/postcontent.aspx?tID=193830","http://bbs.12365auto.com/postcontent.aspx?tID=193830")</f>
        <v>http://bbs.12365auto.com/postcontent.aspx?tID=193830</v>
      </c>
      <c r="G9112" s="2"/>
      <c r="H9112" s="2" t="s">
        <v>12300</v>
      </c>
      <c r="I9112" s="2" t="s">
        <v>15</v>
      </c>
      <c r="J9112" s="2" t="s">
        <v>12258</v>
      </c>
      <c r="K9112" s="2" t="s">
        <v>12295</v>
      </c>
      <c r="L9112" s="2">
        <f t="shared" si="142"/>
        <v>150</v>
      </c>
    </row>
    <row r="9113" spans="1:12" ht="25" customHeight="1">
      <c r="A9113" s="2" t="s">
        <v>12</v>
      </c>
      <c r="B9113" s="2" t="str">
        <f>HYPERLINK("http://www.12365auto.com/zlts/20200212/446940.shtml","知豆D2受到轻微磕碰无法行驶 无法重启")</f>
        <v>知豆D2受到轻微磕碰无法行驶 无法重启</v>
      </c>
      <c r="C9113" s="2" t="s">
        <v>13</v>
      </c>
      <c r="D9113" s="2" t="s">
        <v>12</v>
      </c>
      <c r="E9113" s="2" t="s">
        <v>17</v>
      </c>
      <c r="F9113" s="2" t="str">
        <f>HYPERLINK("http://www.12365auto.com/zlts/20200212/446940.shtml","http://www.12365auto.com/zlts/20200212/446940.shtml")</f>
        <v>http://www.12365auto.com/zlts/20200212/446940.shtml</v>
      </c>
      <c r="G9113" s="2"/>
      <c r="H9113" s="2" t="s">
        <v>12301</v>
      </c>
      <c r="I9113" s="2" t="s">
        <v>15</v>
      </c>
      <c r="J9113" s="2" t="s">
        <v>12</v>
      </c>
      <c r="K9113" s="2" t="s">
        <v>12302</v>
      </c>
      <c r="L9113" s="2">
        <f t="shared" si="142"/>
        <v>150</v>
      </c>
    </row>
    <row r="9114" spans="1:12" ht="25" customHeight="1">
      <c r="A9114" s="2" t="s">
        <v>12</v>
      </c>
      <c r="B9114" s="2" t="str">
        <f>HYPERLINK("http://www.12365auto.com/news/20200212/418298.shtml","银保监会：车险保障期限疫情期间应延长")</f>
        <v>银保监会：车险保障期限疫情期间应延长</v>
      </c>
      <c r="C9114" s="2" t="s">
        <v>13</v>
      </c>
      <c r="D9114" s="2" t="s">
        <v>12</v>
      </c>
      <c r="E9114" s="2" t="s">
        <v>276</v>
      </c>
      <c r="F9114" s="2" t="str">
        <f>HYPERLINK("http://www.12365auto.com/news/20200212/418298.shtml","http://www.12365auto.com/news/20200212/418298.shtml")</f>
        <v>http://www.12365auto.com/news/20200212/418298.shtml</v>
      </c>
      <c r="G9114" s="2"/>
      <c r="H9114" s="2" t="s">
        <v>12303</v>
      </c>
      <c r="I9114" s="2" t="s">
        <v>15</v>
      </c>
      <c r="J9114" s="2" t="s">
        <v>12</v>
      </c>
      <c r="K9114" s="2" t="s">
        <v>12302</v>
      </c>
      <c r="L9114" s="2">
        <f t="shared" si="142"/>
        <v>150</v>
      </c>
    </row>
    <row r="9115" spans="1:12" ht="25" customHeight="1">
      <c r="A9115" s="2" t="s">
        <v>12</v>
      </c>
      <c r="B9115" s="2" t="str">
        <f>HYPERLINK("http://www.12365auto.com/zlts/20200212/446939.shtml","猎豹CS10发动机抖动 故障灯亮 刹车偏软")</f>
        <v>猎豹CS10发动机抖动 故障灯亮 刹车偏软</v>
      </c>
      <c r="C9115" s="2" t="s">
        <v>13</v>
      </c>
      <c r="D9115" s="2" t="s">
        <v>12</v>
      </c>
      <c r="E9115" s="2" t="s">
        <v>17</v>
      </c>
      <c r="F9115" s="2" t="str">
        <f>HYPERLINK("http://www.12365auto.com/zlts/20200212/446939.shtml","http://www.12365auto.com/zlts/20200212/446939.shtml")</f>
        <v>http://www.12365auto.com/zlts/20200212/446939.shtml</v>
      </c>
      <c r="G9115" s="2"/>
      <c r="H9115" s="2" t="s">
        <v>12304</v>
      </c>
      <c r="I9115" s="2" t="s">
        <v>19</v>
      </c>
      <c r="J9115" s="2" t="s">
        <v>12</v>
      </c>
      <c r="K9115" s="2" t="s">
        <v>12302</v>
      </c>
      <c r="L9115" s="2">
        <f t="shared" si="142"/>
        <v>150</v>
      </c>
    </row>
    <row r="9116" spans="1:12" ht="25" customHeight="1">
      <c r="A9116" s="2" t="s">
        <v>12</v>
      </c>
      <c r="B9116" s="2" t="str">
        <f>HYPERLINK("http://m.12365auto.com/news/20200212/418298.shtml","银保监会：车险保障期限疫情期间应延长")</f>
        <v>银保监会：车险保障期限疫情期间应延长</v>
      </c>
      <c r="C9116" s="2" t="s">
        <v>13</v>
      </c>
      <c r="D9116" s="2" t="s">
        <v>12</v>
      </c>
      <c r="E9116" s="2"/>
      <c r="F9116" s="2" t="str">
        <f>HYPERLINK("http://m.12365auto.com/news/20200212/418298.shtml","http://m.12365auto.com/news/20200212/418298.shtml")</f>
        <v>http://m.12365auto.com/news/20200212/418298.shtml</v>
      </c>
      <c r="G9116" s="2"/>
      <c r="H9116" s="2" t="s">
        <v>12305</v>
      </c>
      <c r="I9116" s="2" t="s">
        <v>19</v>
      </c>
      <c r="J9116" s="2" t="s">
        <v>1218</v>
      </c>
      <c r="K9116" s="2" t="s">
        <v>12302</v>
      </c>
      <c r="L9116" s="2">
        <f t="shared" si="142"/>
        <v>150</v>
      </c>
    </row>
    <row r="9117" spans="1:12" ht="25" customHeight="1">
      <c r="A9117" s="2" t="s">
        <v>12</v>
      </c>
      <c r="B9117" s="2" t="str">
        <f>HYPERLINK("http://m.12365auto.com/news/20200212/418297.shtml","累计800万元 东风日产捐款捐物驰援疫情")</f>
        <v>累计800万元 东风日产捐款捐物驰援疫情</v>
      </c>
      <c r="C9117" s="2" t="s">
        <v>13</v>
      </c>
      <c r="D9117" s="2" t="s">
        <v>12</v>
      </c>
      <c r="E9117" s="2"/>
      <c r="F9117" s="2" t="str">
        <f>HYPERLINK("http://m.12365auto.com/news/20200212/418297.shtml","http://m.12365auto.com/news/20200212/418297.shtml")</f>
        <v>http://m.12365auto.com/news/20200212/418297.shtml</v>
      </c>
      <c r="G9117" s="2"/>
      <c r="H9117" s="2" t="s">
        <v>12306</v>
      </c>
      <c r="I9117" s="2" t="s">
        <v>19</v>
      </c>
      <c r="J9117" s="2" t="s">
        <v>1222</v>
      </c>
      <c r="K9117" s="2" t="s">
        <v>12307</v>
      </c>
      <c r="L9117" s="2">
        <f t="shared" si="142"/>
        <v>150</v>
      </c>
    </row>
    <row r="9118" spans="1:12" ht="25" customHeight="1">
      <c r="A9118" s="2" t="s">
        <v>12</v>
      </c>
      <c r="B9118" s="2" t="str">
        <f>HYPERLINK("http://www.12365auto.com/news/20200212/418297.shtml","累计800万元 东风日产捐款捐物驰援疫情")</f>
        <v>累计800万元 东风日产捐款捐物驰援疫情</v>
      </c>
      <c r="C9118" s="2" t="s">
        <v>13</v>
      </c>
      <c r="D9118" s="2" t="s">
        <v>12</v>
      </c>
      <c r="E9118" s="2" t="s">
        <v>276</v>
      </c>
      <c r="F9118" s="2" t="str">
        <f>HYPERLINK("http://www.12365auto.com/news/20200212/418297.shtml","http://www.12365auto.com/news/20200212/418297.shtml")</f>
        <v>http://www.12365auto.com/news/20200212/418297.shtml</v>
      </c>
      <c r="G9118" s="2"/>
      <c r="H9118" s="2" t="s">
        <v>12308</v>
      </c>
      <c r="I9118" s="2" t="s">
        <v>15</v>
      </c>
      <c r="J9118" s="2" t="s">
        <v>12</v>
      </c>
      <c r="K9118" s="2" t="s">
        <v>12307</v>
      </c>
      <c r="L9118" s="2">
        <f t="shared" si="142"/>
        <v>150</v>
      </c>
    </row>
    <row r="9119" spans="1:12" ht="25" customHeight="1">
      <c r="A9119" s="2" t="s">
        <v>12</v>
      </c>
      <c r="B9119" s="2" t="str">
        <f>HYPERLINK("http://m.12365auto.com/news/20200212/418296.shtml","广汇汽车推出线上4S店 提供零接触服务")</f>
        <v>广汇汽车推出线上4S店 提供零接触服务</v>
      </c>
      <c r="C9119" s="2" t="s">
        <v>13</v>
      </c>
      <c r="D9119" s="2" t="s">
        <v>12</v>
      </c>
      <c r="E9119" s="2"/>
      <c r="F9119" s="2" t="str">
        <f>HYPERLINK("http://m.12365auto.com/news/20200212/418296.shtml","http://m.12365auto.com/news/20200212/418296.shtml")</f>
        <v>http://m.12365auto.com/news/20200212/418296.shtml</v>
      </c>
      <c r="G9119" s="2"/>
      <c r="H9119" s="2" t="s">
        <v>12309</v>
      </c>
      <c r="I9119" s="2" t="s">
        <v>19</v>
      </c>
      <c r="J9119" s="2" t="s">
        <v>1657</v>
      </c>
      <c r="K9119" s="2" t="s">
        <v>12310</v>
      </c>
      <c r="L9119" s="2">
        <f t="shared" si="142"/>
        <v>150</v>
      </c>
    </row>
    <row r="9120" spans="1:12" ht="25" customHeight="1">
      <c r="A9120" s="2" t="s">
        <v>12</v>
      </c>
      <c r="B9120" s="2" t="str">
        <f>HYPERLINK("http://www.12365auto.com/news/20200212/418296.shtml","广汇汽车推出线上4S店 提供零接触服务")</f>
        <v>广汇汽车推出线上4S店 提供零接触服务</v>
      </c>
      <c r="C9120" s="2" t="s">
        <v>13</v>
      </c>
      <c r="D9120" s="2" t="s">
        <v>12</v>
      </c>
      <c r="E9120" s="2" t="s">
        <v>276</v>
      </c>
      <c r="F9120" s="2" t="str">
        <f>HYPERLINK("http://www.12365auto.com/news/20200212/418296.shtml","http://www.12365auto.com/news/20200212/418296.shtml")</f>
        <v>http://www.12365auto.com/news/20200212/418296.shtml</v>
      </c>
      <c r="G9120" s="2"/>
      <c r="H9120" s="2" t="s">
        <v>12311</v>
      </c>
      <c r="I9120" s="2" t="s">
        <v>15</v>
      </c>
      <c r="J9120" s="2" t="s">
        <v>12</v>
      </c>
      <c r="K9120" s="2" t="s">
        <v>12310</v>
      </c>
      <c r="L9120" s="2">
        <f t="shared" si="142"/>
        <v>150</v>
      </c>
    </row>
    <row r="9121" spans="1:12" ht="25" customHeight="1">
      <c r="A9121" s="2" t="s">
        <v>12</v>
      </c>
      <c r="B9121" s="2" t="str">
        <f>HYPERLINK("http://m.12365auto.com/news/20200212/418295.shtml","支援抗击疫情 大陆集团宣布捐赠500万元")</f>
        <v>支援抗击疫情 大陆集团宣布捐赠500万元</v>
      </c>
      <c r="C9121" s="2" t="s">
        <v>13</v>
      </c>
      <c r="D9121" s="2" t="s">
        <v>12</v>
      </c>
      <c r="E9121" s="2"/>
      <c r="F9121" s="2" t="str">
        <f>HYPERLINK("http://m.12365auto.com/news/20200212/418295.shtml","http://m.12365auto.com/news/20200212/418295.shtml")</f>
        <v>http://m.12365auto.com/news/20200212/418295.shtml</v>
      </c>
      <c r="G9121" s="2"/>
      <c r="H9121" s="2" t="s">
        <v>12312</v>
      </c>
      <c r="I9121" s="2" t="s">
        <v>19</v>
      </c>
      <c r="J9121" s="2" t="s">
        <v>1218</v>
      </c>
      <c r="K9121" s="2" t="s">
        <v>12313</v>
      </c>
      <c r="L9121" s="2">
        <f t="shared" si="142"/>
        <v>150</v>
      </c>
    </row>
    <row r="9122" spans="1:12" ht="25" customHeight="1">
      <c r="A9122" s="2" t="s">
        <v>12</v>
      </c>
      <c r="B9122" s="2" t="str">
        <f>HYPERLINK("http://www.12365auto.com/news/20200212/418295.shtml","支援抗击疫情 大陆集团宣布捐赠500万元")</f>
        <v>支援抗击疫情 大陆集团宣布捐赠500万元</v>
      </c>
      <c r="C9122" s="2" t="s">
        <v>13</v>
      </c>
      <c r="D9122" s="2" t="s">
        <v>12</v>
      </c>
      <c r="E9122" s="2" t="s">
        <v>276</v>
      </c>
      <c r="F9122" s="2" t="str">
        <f>HYPERLINK("http://www.12365auto.com/news/20200212/418295.shtml","http://www.12365auto.com/news/20200212/418295.shtml")</f>
        <v>http://www.12365auto.com/news/20200212/418295.shtml</v>
      </c>
      <c r="G9122" s="2"/>
      <c r="H9122" s="2" t="s">
        <v>12314</v>
      </c>
      <c r="I9122" s="2" t="s">
        <v>15</v>
      </c>
      <c r="J9122" s="2" t="s">
        <v>12</v>
      </c>
      <c r="K9122" s="2" t="s">
        <v>12313</v>
      </c>
      <c r="L9122" s="2">
        <f t="shared" si="142"/>
        <v>150</v>
      </c>
    </row>
    <row r="9123" spans="1:12" ht="25" customHeight="1">
      <c r="A9123" s="2" t="s">
        <v>12</v>
      </c>
      <c r="B9123" s="2" t="str">
        <f>HYPERLINK("http://m.12365auto.com/xcdg/20200212/418294.shtml","宝马530Le里程升级版上市 售49.99万起")</f>
        <v>宝马530Le里程升级版上市 售49.99万起</v>
      </c>
      <c r="C9123" s="2" t="s">
        <v>13</v>
      </c>
      <c r="D9123" s="2" t="s">
        <v>12</v>
      </c>
      <c r="E9123" s="2"/>
      <c r="F9123" s="2" t="str">
        <f>HYPERLINK("http://m.12365auto.com/xcdg/20200212/418294.shtml","http://m.12365auto.com/xcdg/20200212/418294.shtml")</f>
        <v>http://m.12365auto.com/xcdg/20200212/418294.shtml</v>
      </c>
      <c r="G9123" s="2"/>
      <c r="H9123" s="2" t="s">
        <v>12315</v>
      </c>
      <c r="I9123" s="2" t="s">
        <v>19</v>
      </c>
      <c r="J9123" s="2" t="s">
        <v>1218</v>
      </c>
      <c r="K9123" s="2" t="s">
        <v>12316</v>
      </c>
      <c r="L9123" s="2">
        <f t="shared" si="142"/>
        <v>150</v>
      </c>
    </row>
    <row r="9124" spans="1:12" ht="25" customHeight="1">
      <c r="A9124" s="2" t="s">
        <v>12</v>
      </c>
      <c r="B9124" s="2" t="str">
        <f>HYPERLINK("http://www.12365auto.com/xcdg/20200212/418294.shtml","宝马530Le里程升级版上市 售49.99万起")</f>
        <v>宝马530Le里程升级版上市 售49.99万起</v>
      </c>
      <c r="C9124" s="2" t="s">
        <v>13</v>
      </c>
      <c r="D9124" s="2" t="s">
        <v>12</v>
      </c>
      <c r="E9124" s="2" t="s">
        <v>216</v>
      </c>
      <c r="F9124" s="2" t="str">
        <f>HYPERLINK("http://www.12365auto.com/xcdg/20200212/418294.shtml","http://www.12365auto.com/xcdg/20200212/418294.shtml")</f>
        <v>http://www.12365auto.com/xcdg/20200212/418294.shtml</v>
      </c>
      <c r="G9124" s="2"/>
      <c r="H9124" s="2" t="s">
        <v>12317</v>
      </c>
      <c r="I9124" s="2" t="s">
        <v>15</v>
      </c>
      <c r="J9124" s="2" t="s">
        <v>12</v>
      </c>
      <c r="K9124" s="2" t="s">
        <v>12316</v>
      </c>
      <c r="L9124" s="2">
        <f t="shared" si="142"/>
        <v>150</v>
      </c>
    </row>
    <row r="9125" spans="1:12" ht="25" customHeight="1">
      <c r="A9125" s="2" t="s">
        <v>12</v>
      </c>
      <c r="B9125" s="2" t="str">
        <f>HYPERLINK("http://www.12365auto.com/zlts/20200212/446938.shtml","哈弗H9发动机烧机油厂家拒绝质保")</f>
        <v>哈弗H9发动机烧机油厂家拒绝质保</v>
      </c>
      <c r="C9125" s="2" t="s">
        <v>13</v>
      </c>
      <c r="D9125" s="2" t="s">
        <v>12</v>
      </c>
      <c r="E9125" s="2" t="s">
        <v>17</v>
      </c>
      <c r="F9125" s="2" t="str">
        <f>HYPERLINK("http://www.12365auto.com/zlts/20200212/446938.shtml","http://www.12365auto.com/zlts/20200212/446938.shtml")</f>
        <v>http://www.12365auto.com/zlts/20200212/446938.shtml</v>
      </c>
      <c r="G9125" s="2"/>
      <c r="H9125" s="2" t="s">
        <v>12318</v>
      </c>
      <c r="I9125" s="2" t="s">
        <v>19</v>
      </c>
      <c r="J9125" s="2" t="s">
        <v>12</v>
      </c>
      <c r="K9125" s="2" t="s">
        <v>12319</v>
      </c>
      <c r="L9125" s="2">
        <f t="shared" si="142"/>
        <v>150</v>
      </c>
    </row>
    <row r="9126" spans="1:12" ht="25" customHeight="1">
      <c r="A9126" s="2" t="s">
        <v>12</v>
      </c>
      <c r="B9126" s="2" t="str">
        <f>HYPERLINK("http://m.12365auto.com/xcdg/20200212/418292.shtml","宝马i8极夜流星限量版上市 售202.80万")</f>
        <v>宝马i8极夜流星限量版上市 售202.80万</v>
      </c>
      <c r="C9126" s="2" t="s">
        <v>13</v>
      </c>
      <c r="D9126" s="2" t="s">
        <v>12</v>
      </c>
      <c r="E9126" s="2"/>
      <c r="F9126" s="2" t="str">
        <f>HYPERLINK("http://m.12365auto.com/xcdg/20200212/418292.shtml","http://m.12365auto.com/xcdg/20200212/418292.shtml")</f>
        <v>http://m.12365auto.com/xcdg/20200212/418292.shtml</v>
      </c>
      <c r="G9126" s="2"/>
      <c r="H9126" s="2" t="s">
        <v>12320</v>
      </c>
      <c r="I9126" s="2" t="s">
        <v>19</v>
      </c>
      <c r="J9126" s="2" t="s">
        <v>1657</v>
      </c>
      <c r="K9126" s="2" t="s">
        <v>12321</v>
      </c>
      <c r="L9126" s="2">
        <f t="shared" si="142"/>
        <v>150</v>
      </c>
    </row>
    <row r="9127" spans="1:12" ht="25" customHeight="1">
      <c r="A9127" s="2" t="s">
        <v>12</v>
      </c>
      <c r="B9127" s="2" t="str">
        <f>HYPERLINK("http://www.12365auto.com/xcdg/20200212/418292.shtml","宝马i8极夜流星限量版上市 售202.80万")</f>
        <v>宝马i8极夜流星限量版上市 售202.80万</v>
      </c>
      <c r="C9127" s="2" t="s">
        <v>13</v>
      </c>
      <c r="D9127" s="2" t="s">
        <v>12</v>
      </c>
      <c r="E9127" s="2" t="s">
        <v>216</v>
      </c>
      <c r="F9127" s="2" t="str">
        <f>HYPERLINK("http://www.12365auto.com/xcdg/20200212/418292.shtml","http://www.12365auto.com/xcdg/20200212/418292.shtml")</f>
        <v>http://www.12365auto.com/xcdg/20200212/418292.shtml</v>
      </c>
      <c r="G9127" s="2"/>
      <c r="H9127" s="2" t="s">
        <v>12322</v>
      </c>
      <c r="I9127" s="2" t="s">
        <v>15</v>
      </c>
      <c r="J9127" s="2" t="s">
        <v>12</v>
      </c>
      <c r="K9127" s="2" t="s">
        <v>12321</v>
      </c>
      <c r="L9127" s="2">
        <f t="shared" si="142"/>
        <v>150</v>
      </c>
    </row>
    <row r="9128" spans="1:12" ht="25" customHeight="1">
      <c r="A9128" s="2" t="s">
        <v>12</v>
      </c>
      <c r="B9128" s="2" t="str">
        <f>HYPERLINK("http://www.12365auto.com/xcdg/20200212/418288.shtml","广汽丰田威兰达于4月上市 预售17万元起")</f>
        <v>广汽丰田威兰达于4月上市 预售17万元起</v>
      </c>
      <c r="C9128" s="2" t="s">
        <v>13</v>
      </c>
      <c r="D9128" s="2" t="s">
        <v>12</v>
      </c>
      <c r="E9128" s="2" t="s">
        <v>216</v>
      </c>
      <c r="F9128" s="2" t="str">
        <f>HYPERLINK("http://www.12365auto.com/xcdg/20200212/418288.shtml","http://www.12365auto.com/xcdg/20200212/418288.shtml")</f>
        <v>http://www.12365auto.com/xcdg/20200212/418288.shtml</v>
      </c>
      <c r="G9128" s="2"/>
      <c r="H9128" s="2" t="s">
        <v>12323</v>
      </c>
      <c r="I9128" s="2" t="s">
        <v>15</v>
      </c>
      <c r="J9128" s="2" t="s">
        <v>12</v>
      </c>
      <c r="K9128" s="2" t="s">
        <v>12324</v>
      </c>
      <c r="L9128" s="2">
        <f t="shared" si="142"/>
        <v>150</v>
      </c>
    </row>
    <row r="9129" spans="1:12" ht="25" customHeight="1">
      <c r="A9129" s="2" t="s">
        <v>12</v>
      </c>
      <c r="B9129" s="2" t="str">
        <f>HYPERLINK("http://m.12365auto.com/xcdg/20200212/418288.shtml","广汽丰田威兰达于4月上市 预售17万元起")</f>
        <v>广汽丰田威兰达于4月上市 预售17万元起</v>
      </c>
      <c r="C9129" s="2" t="s">
        <v>13</v>
      </c>
      <c r="D9129" s="2" t="s">
        <v>12</v>
      </c>
      <c r="E9129" s="2"/>
      <c r="F9129" s="2" t="str">
        <f>HYPERLINK("http://m.12365auto.com/xcdg/20200212/418288.shtml","http://m.12365auto.com/xcdg/20200212/418288.shtml")</f>
        <v>http://m.12365auto.com/xcdg/20200212/418288.shtml</v>
      </c>
      <c r="G9129" s="2"/>
      <c r="H9129" s="2" t="s">
        <v>12325</v>
      </c>
      <c r="I9129" s="2" t="s">
        <v>19</v>
      </c>
      <c r="J9129" s="2" t="s">
        <v>1222</v>
      </c>
      <c r="K9129" s="2" t="s">
        <v>12324</v>
      </c>
      <c r="L9129" s="2">
        <f t="shared" si="142"/>
        <v>150</v>
      </c>
    </row>
    <row r="9130" spans="1:12" ht="25" customHeight="1">
      <c r="A9130" s="2" t="s">
        <v>12</v>
      </c>
      <c r="B9130" s="2" t="str">
        <f>HYPERLINK("http://m.12365auto.com/xcdg/20200212/418289.shtml","撤掉伪装 曝全新保时捷911 Targa GTS实拍图")</f>
        <v>撤掉伪装 曝全新保时捷911 Targa GTS实拍图</v>
      </c>
      <c r="C9130" s="2" t="s">
        <v>13</v>
      </c>
      <c r="D9130" s="2" t="s">
        <v>12</v>
      </c>
      <c r="E9130" s="2"/>
      <c r="F9130" s="2" t="str">
        <f>HYPERLINK("http://m.12365auto.com/xcdg/20200212/418289.shtml","http://m.12365auto.com/xcdg/20200212/418289.shtml")</f>
        <v>http://m.12365auto.com/xcdg/20200212/418289.shtml</v>
      </c>
      <c r="G9130" s="2"/>
      <c r="H9130" s="2" t="s">
        <v>12326</v>
      </c>
      <c r="I9130" s="2" t="s">
        <v>19</v>
      </c>
      <c r="J9130" s="2" t="s">
        <v>1241</v>
      </c>
      <c r="K9130" s="2" t="s">
        <v>12327</v>
      </c>
      <c r="L9130" s="2">
        <f t="shared" si="142"/>
        <v>150</v>
      </c>
    </row>
    <row r="9131" spans="1:12" ht="25" customHeight="1">
      <c r="A9131" s="2" t="s">
        <v>12</v>
      </c>
      <c r="B9131" s="2" t="str">
        <f>HYPERLINK("http://www.12365auto.com/xcdg/20200212/418289.shtml","撤掉伪装 曝全新保时捷911 Targa GTS实拍图")</f>
        <v>撤掉伪装 曝全新保时捷911 Targa GTS实拍图</v>
      </c>
      <c r="C9131" s="2" t="s">
        <v>13</v>
      </c>
      <c r="D9131" s="2" t="s">
        <v>12</v>
      </c>
      <c r="E9131" s="2" t="s">
        <v>224</v>
      </c>
      <c r="F9131" s="2" t="str">
        <f>HYPERLINK("http://www.12365auto.com/xcdg/20200212/418289.shtml","http://www.12365auto.com/xcdg/20200212/418289.shtml")</f>
        <v>http://www.12365auto.com/xcdg/20200212/418289.shtml</v>
      </c>
      <c r="G9131" s="2"/>
      <c r="H9131" s="2" t="s">
        <v>12328</v>
      </c>
      <c r="I9131" s="2" t="s">
        <v>15</v>
      </c>
      <c r="J9131" s="2" t="s">
        <v>12</v>
      </c>
      <c r="K9131" s="2" t="s">
        <v>12327</v>
      </c>
      <c r="L9131" s="2">
        <f t="shared" si="142"/>
        <v>150</v>
      </c>
    </row>
    <row r="9132" spans="1:12" ht="25" customHeight="1">
      <c r="A9132" s="2" t="s">
        <v>12</v>
      </c>
      <c r="B9132" s="2" t="str">
        <f>HYPERLINK("http://www.12365auto.com/xcdg/20200212/418286.shtml","连体式双屏 新宝骏RS-7内饰谍照曝光")</f>
        <v>连体式双屏 新宝骏RS-7内饰谍照曝光</v>
      </c>
      <c r="C9132" s="2" t="s">
        <v>13</v>
      </c>
      <c r="D9132" s="2" t="s">
        <v>12</v>
      </c>
      <c r="E9132" s="2" t="s">
        <v>224</v>
      </c>
      <c r="F9132" s="2" t="str">
        <f>HYPERLINK("http://www.12365auto.com/xcdg/20200212/418286.shtml","http://www.12365auto.com/xcdg/20200212/418286.shtml")</f>
        <v>http://www.12365auto.com/xcdg/20200212/418286.shtml</v>
      </c>
      <c r="G9132" s="2"/>
      <c r="H9132" s="2" t="s">
        <v>12329</v>
      </c>
      <c r="I9132" s="2" t="s">
        <v>15</v>
      </c>
      <c r="J9132" s="2" t="s">
        <v>12</v>
      </c>
      <c r="K9132" s="2" t="s">
        <v>12330</v>
      </c>
      <c r="L9132" s="2">
        <f t="shared" si="142"/>
        <v>150</v>
      </c>
    </row>
    <row r="9133" spans="1:12" ht="25" customHeight="1">
      <c r="A9133" s="2" t="s">
        <v>12</v>
      </c>
      <c r="B9133" s="2" t="str">
        <f>HYPERLINK("http://m.12365auto.com/xcdg/20200212/418286.shtml","连体式双屏 新宝骏RS-7内饰谍照曝光")</f>
        <v>连体式双屏 新宝骏RS-7内饰谍照曝光</v>
      </c>
      <c r="C9133" s="2" t="s">
        <v>13</v>
      </c>
      <c r="D9133" s="2" t="s">
        <v>12</v>
      </c>
      <c r="E9133" s="2"/>
      <c r="F9133" s="2" t="str">
        <f>HYPERLINK("http://m.12365auto.com/xcdg/20200212/418286.shtml","http://m.12365auto.com/xcdg/20200212/418286.shtml")</f>
        <v>http://m.12365auto.com/xcdg/20200212/418286.shtml</v>
      </c>
      <c r="G9133" s="2"/>
      <c r="H9133" s="2" t="s">
        <v>12331</v>
      </c>
      <c r="I9133" s="2" t="s">
        <v>19</v>
      </c>
      <c r="J9133" s="2" t="s">
        <v>4467</v>
      </c>
      <c r="K9133" s="2" t="s">
        <v>12330</v>
      </c>
      <c r="L9133" s="2">
        <f t="shared" si="142"/>
        <v>150</v>
      </c>
    </row>
    <row r="9134" spans="1:12" ht="25" customHeight="1">
      <c r="A9134" s="2" t="s">
        <v>12</v>
      </c>
      <c r="B9134" s="2" t="str">
        <f>HYPERLINK("http://www.12365auto.com/xcdg/20200212/418284.shtml","车长超过A8L 全新凯雷德长轴版将4月发布")</f>
        <v>车长超过A8L 全新凯雷德长轴版将4月发布</v>
      </c>
      <c r="C9134" s="2" t="s">
        <v>13</v>
      </c>
      <c r="D9134" s="2" t="s">
        <v>12</v>
      </c>
      <c r="E9134" s="2" t="s">
        <v>216</v>
      </c>
      <c r="F9134" s="2" t="str">
        <f>HYPERLINK("http://www.12365auto.com/xcdg/20200212/418284.shtml","http://www.12365auto.com/xcdg/20200212/418284.shtml")</f>
        <v>http://www.12365auto.com/xcdg/20200212/418284.shtml</v>
      </c>
      <c r="G9134" s="2"/>
      <c r="H9134" s="2" t="s">
        <v>12332</v>
      </c>
      <c r="I9134" s="2" t="s">
        <v>15</v>
      </c>
      <c r="J9134" s="2" t="s">
        <v>12</v>
      </c>
      <c r="K9134" s="2" t="s">
        <v>12333</v>
      </c>
      <c r="L9134" s="2">
        <f t="shared" si="142"/>
        <v>150</v>
      </c>
    </row>
    <row r="9135" spans="1:12" ht="25" customHeight="1">
      <c r="A9135" s="2" t="s">
        <v>12</v>
      </c>
      <c r="B9135" s="2" t="str">
        <f>HYPERLINK("http://m.12365auto.com/xcdg/20200212/418284.shtml","车长超过A8L 全新凯雷德长轴版将4月发布")</f>
        <v>车长超过A8L 全新凯雷德长轴版将4月发布</v>
      </c>
      <c r="C9135" s="2" t="s">
        <v>13</v>
      </c>
      <c r="D9135" s="2" t="s">
        <v>12</v>
      </c>
      <c r="E9135" s="2"/>
      <c r="F9135" s="2" t="str">
        <f>HYPERLINK("http://m.12365auto.com/xcdg/20200212/418284.shtml","http://m.12365auto.com/xcdg/20200212/418284.shtml")</f>
        <v>http://m.12365auto.com/xcdg/20200212/418284.shtml</v>
      </c>
      <c r="G9135" s="2"/>
      <c r="H9135" s="2" t="s">
        <v>12334</v>
      </c>
      <c r="I9135" s="2" t="s">
        <v>19</v>
      </c>
      <c r="J9135" s="2" t="s">
        <v>7937</v>
      </c>
      <c r="K9135" s="2" t="s">
        <v>12333</v>
      </c>
      <c r="L9135" s="2">
        <f t="shared" si="142"/>
        <v>150</v>
      </c>
    </row>
    <row r="9136" spans="1:12" ht="25" customHeight="1">
      <c r="A9136" s="2" t="s">
        <v>12</v>
      </c>
      <c r="B9136" s="2" t="str">
        <f>HYPERLINK("http://www.12365auto.com/xcdg/20200212/418293.shtml","或取代帕萨特 大众将推全新纯电动车ID.5")</f>
        <v>或取代帕萨特 大众将推全新纯电动车ID.5</v>
      </c>
      <c r="C9136" s="2" t="s">
        <v>13</v>
      </c>
      <c r="D9136" s="2" t="s">
        <v>12</v>
      </c>
      <c r="E9136" s="2" t="s">
        <v>216</v>
      </c>
      <c r="F9136" s="2" t="str">
        <f>HYPERLINK("http://www.12365auto.com/xcdg/20200212/418293.shtml","http://www.12365auto.com/xcdg/20200212/418293.shtml")</f>
        <v>http://www.12365auto.com/xcdg/20200212/418293.shtml</v>
      </c>
      <c r="G9136" s="2"/>
      <c r="H9136" s="2" t="s">
        <v>12335</v>
      </c>
      <c r="I9136" s="2" t="s">
        <v>15</v>
      </c>
      <c r="J9136" s="2" t="s">
        <v>12</v>
      </c>
      <c r="K9136" s="2" t="s">
        <v>12336</v>
      </c>
      <c r="L9136" s="2">
        <f t="shared" si="142"/>
        <v>150</v>
      </c>
    </row>
    <row r="9137" spans="1:12" ht="25" customHeight="1">
      <c r="A9137" s="2" t="s">
        <v>12</v>
      </c>
      <c r="B9137" s="2" t="str">
        <f>HYPERLINK("http://www.12365auto.com/news/20200212/418283.shtml","汽车自己保养并不难 注意这几点就可以")</f>
        <v>汽车自己保养并不难 注意这几点就可以</v>
      </c>
      <c r="C9137" s="2" t="s">
        <v>13</v>
      </c>
      <c r="D9137" s="2" t="s">
        <v>12</v>
      </c>
      <c r="E9137" s="2" t="s">
        <v>372</v>
      </c>
      <c r="F9137" s="2" t="str">
        <f>HYPERLINK("http://www.12365auto.com/news/20200212/418283.shtml","http://www.12365auto.com/news/20200212/418283.shtml")</f>
        <v>http://www.12365auto.com/news/20200212/418283.shtml</v>
      </c>
      <c r="G9137" s="2"/>
      <c r="H9137" s="2" t="s">
        <v>12337</v>
      </c>
      <c r="I9137" s="2" t="s">
        <v>15</v>
      </c>
      <c r="J9137" s="2" t="s">
        <v>12</v>
      </c>
      <c r="K9137" s="2" t="s">
        <v>12336</v>
      </c>
      <c r="L9137" s="2">
        <f t="shared" si="142"/>
        <v>150</v>
      </c>
    </row>
    <row r="9138" spans="1:12" ht="25" customHeight="1">
      <c r="A9138" s="2" t="s">
        <v>12</v>
      </c>
      <c r="B9138" s="2" t="str">
        <f>HYPERLINK("http://m.12365auto.com/news/20200212/418283.shtml","汽车自己保养并不难 注意这几点就可以")</f>
        <v>汽车自己保养并不难 注意这几点就可以</v>
      </c>
      <c r="C9138" s="2" t="s">
        <v>13</v>
      </c>
      <c r="D9138" s="2" t="s">
        <v>12</v>
      </c>
      <c r="E9138" s="2"/>
      <c r="F9138" s="2" t="str">
        <f>HYPERLINK("http://m.12365auto.com/news/20200212/418283.shtml","http://m.12365auto.com/news/20200212/418283.shtml")</f>
        <v>http://m.12365auto.com/news/20200212/418283.shtml</v>
      </c>
      <c r="G9138" s="2"/>
      <c r="H9138" s="2" t="s">
        <v>12338</v>
      </c>
      <c r="I9138" s="2" t="s">
        <v>19</v>
      </c>
      <c r="J9138" s="2" t="s">
        <v>12</v>
      </c>
      <c r="K9138" s="2" t="s">
        <v>12336</v>
      </c>
      <c r="L9138" s="2">
        <f t="shared" si="142"/>
        <v>150</v>
      </c>
    </row>
    <row r="9139" spans="1:12" ht="25" customHeight="1">
      <c r="A9139" s="2" t="s">
        <v>12</v>
      </c>
      <c r="B9139" s="2" t="str">
        <f>HYPERLINK("http://www.12365auto.com/zlts/20200212/446935.shtml","奇瑞瑞虎8车灯灯光照射角度过窄")</f>
        <v>奇瑞瑞虎8车灯灯光照射角度过窄</v>
      </c>
      <c r="C9139" s="2" t="s">
        <v>13</v>
      </c>
      <c r="D9139" s="2" t="s">
        <v>12</v>
      </c>
      <c r="E9139" s="2" t="s">
        <v>17</v>
      </c>
      <c r="F9139" s="2" t="str">
        <f>HYPERLINK("http://www.12365auto.com/zlts/20200212/446935.shtml","http://www.12365auto.com/zlts/20200212/446935.shtml")</f>
        <v>http://www.12365auto.com/zlts/20200212/446935.shtml</v>
      </c>
      <c r="G9139" s="2"/>
      <c r="H9139" s="2" t="s">
        <v>12339</v>
      </c>
      <c r="I9139" s="2" t="s">
        <v>15</v>
      </c>
      <c r="J9139" s="2" t="s">
        <v>12</v>
      </c>
      <c r="K9139" s="2" t="s">
        <v>12340</v>
      </c>
      <c r="L9139" s="2">
        <f t="shared" si="142"/>
        <v>150</v>
      </c>
    </row>
    <row r="9140" spans="1:12" ht="25" customHeight="1">
      <c r="A9140" s="2" t="s">
        <v>12</v>
      </c>
      <c r="B9140" s="2" t="str">
        <f>HYPERLINK("http://www.12365auto.com/xcdg/20200212/418282.shtml","更具运动风格 探险者XLT官图发布")</f>
        <v>更具运动风格 探险者XLT官图发布</v>
      </c>
      <c r="C9140" s="2" t="s">
        <v>13</v>
      </c>
      <c r="D9140" s="2" t="s">
        <v>12</v>
      </c>
      <c r="E9140" s="2" t="s">
        <v>216</v>
      </c>
      <c r="F9140" s="2" t="str">
        <f>HYPERLINK("http://www.12365auto.com/xcdg/20200212/418282.shtml","http://www.12365auto.com/xcdg/20200212/418282.shtml")</f>
        <v>http://www.12365auto.com/xcdg/20200212/418282.shtml</v>
      </c>
      <c r="G9140" s="2"/>
      <c r="H9140" s="2" t="s">
        <v>12341</v>
      </c>
      <c r="I9140" s="2" t="s">
        <v>15</v>
      </c>
      <c r="J9140" s="2" t="s">
        <v>12</v>
      </c>
      <c r="K9140" s="2" t="s">
        <v>12340</v>
      </c>
      <c r="L9140" s="2">
        <f t="shared" si="142"/>
        <v>150</v>
      </c>
    </row>
    <row r="9141" spans="1:12" ht="25" customHeight="1">
      <c r="A9141" s="2" t="s">
        <v>12</v>
      </c>
      <c r="B9141" s="2" t="str">
        <f>HYPERLINK("http://m.12365auto.com/xcdg/20200212/418282.shtml","更具运动风格 探险者XLT官图发布")</f>
        <v>更具运动风格 探险者XLT官图发布</v>
      </c>
      <c r="C9141" s="2" t="s">
        <v>13</v>
      </c>
      <c r="D9141" s="2" t="s">
        <v>12</v>
      </c>
      <c r="E9141" s="2"/>
      <c r="F9141" s="2" t="str">
        <f>HYPERLINK("http://m.12365auto.com/xcdg/20200212/418282.shtml","http://m.12365auto.com/xcdg/20200212/418282.shtml")</f>
        <v>http://m.12365auto.com/xcdg/20200212/418282.shtml</v>
      </c>
      <c r="G9141" s="2"/>
      <c r="H9141" s="2" t="s">
        <v>12342</v>
      </c>
      <c r="I9141" s="2" t="s">
        <v>19</v>
      </c>
      <c r="J9141" s="2" t="s">
        <v>1562</v>
      </c>
      <c r="K9141" s="2" t="s">
        <v>12340</v>
      </c>
      <c r="L9141" s="2">
        <f t="shared" si="142"/>
        <v>150</v>
      </c>
    </row>
    <row r="9142" spans="1:12" ht="25" customHeight="1">
      <c r="A9142" s="2" t="s">
        <v>12</v>
      </c>
      <c r="B9142" s="2" t="str">
        <f>HYPERLINK("http://www.12365auto.com/xcdg/20200212/418281.shtml","首批4万辆全部售罄 科尔维特C8正式投产")</f>
        <v>首批4万辆全部售罄 科尔维特C8正式投产</v>
      </c>
      <c r="C9142" s="2" t="s">
        <v>13</v>
      </c>
      <c r="D9142" s="2" t="s">
        <v>12</v>
      </c>
      <c r="E9142" s="2" t="s">
        <v>216</v>
      </c>
      <c r="F9142" s="2" t="str">
        <f>HYPERLINK("http://www.12365auto.com/xcdg/20200212/418281.shtml","http://www.12365auto.com/xcdg/20200212/418281.shtml")</f>
        <v>http://www.12365auto.com/xcdg/20200212/418281.shtml</v>
      </c>
      <c r="G9142" s="2"/>
      <c r="H9142" s="2" t="s">
        <v>12343</v>
      </c>
      <c r="I9142" s="2" t="s">
        <v>15</v>
      </c>
      <c r="J9142" s="2" t="s">
        <v>12</v>
      </c>
      <c r="K9142" s="2" t="s">
        <v>12344</v>
      </c>
      <c r="L9142" s="2">
        <f t="shared" si="142"/>
        <v>150</v>
      </c>
    </row>
    <row r="9143" spans="1:12" ht="25" customHeight="1">
      <c r="A9143" s="2" t="s">
        <v>12</v>
      </c>
      <c r="B9143" s="2" t="str">
        <f>HYPERLINK("http://m.12365auto.com/xcdg/20200212/418281.shtml","首批4万辆全部售罄 科尔维特C8正式投产")</f>
        <v>首批4万辆全部售罄 科尔维特C8正式投产</v>
      </c>
      <c r="C9143" s="2" t="s">
        <v>13</v>
      </c>
      <c r="D9143" s="2" t="s">
        <v>12</v>
      </c>
      <c r="E9143" s="2"/>
      <c r="F9143" s="2" t="str">
        <f>HYPERLINK("http://m.12365auto.com/xcdg/20200212/418281.shtml","http://m.12365auto.com/xcdg/20200212/418281.shtml")</f>
        <v>http://m.12365auto.com/xcdg/20200212/418281.shtml</v>
      </c>
      <c r="G9143" s="2"/>
      <c r="H9143" s="2" t="s">
        <v>12345</v>
      </c>
      <c r="I9143" s="2" t="s">
        <v>19</v>
      </c>
      <c r="J9143" s="2" t="s">
        <v>1558</v>
      </c>
      <c r="K9143" s="2" t="s">
        <v>12344</v>
      </c>
      <c r="L9143" s="2">
        <f t="shared" si="142"/>
        <v>150</v>
      </c>
    </row>
    <row r="9144" spans="1:12" ht="25" customHeight="1">
      <c r="A9144" s="2" t="s">
        <v>12</v>
      </c>
      <c r="B9144" s="2" t="str">
        <f>HYPERLINK("http://www.12365auto.com/xcdg/20200212/418280.shtml","搭载6.2T动力 全新Durango SRT官图发布")</f>
        <v>搭载6.2T动力 全新Durango SRT官图发布</v>
      </c>
      <c r="C9144" s="2" t="s">
        <v>13</v>
      </c>
      <c r="D9144" s="2" t="s">
        <v>12</v>
      </c>
      <c r="E9144" s="2" t="s">
        <v>216</v>
      </c>
      <c r="F9144" s="2" t="str">
        <f>HYPERLINK("http://www.12365auto.com/xcdg/20200212/418280.shtml","http://www.12365auto.com/xcdg/20200212/418280.shtml")</f>
        <v>http://www.12365auto.com/xcdg/20200212/418280.shtml</v>
      </c>
      <c r="G9144" s="2"/>
      <c r="H9144" s="2" t="s">
        <v>12346</v>
      </c>
      <c r="I9144" s="2" t="s">
        <v>15</v>
      </c>
      <c r="J9144" s="2" t="s">
        <v>12</v>
      </c>
      <c r="K9144" s="2" t="s">
        <v>12347</v>
      </c>
      <c r="L9144" s="2">
        <f t="shared" si="142"/>
        <v>150</v>
      </c>
    </row>
    <row r="9145" spans="1:12" ht="25" customHeight="1">
      <c r="A9145" s="2" t="s">
        <v>12</v>
      </c>
      <c r="B9145" s="2" t="str">
        <f>HYPERLINK("http://m.12365auto.com/xcdg/20200212/418280.shtml","搭载6.2T动力 全新Durango SRT官图发布")</f>
        <v>搭载6.2T动力 全新Durango SRT官图发布</v>
      </c>
      <c r="C9145" s="2" t="s">
        <v>13</v>
      </c>
      <c r="D9145" s="2" t="s">
        <v>12</v>
      </c>
      <c r="E9145" s="2"/>
      <c r="F9145" s="2" t="str">
        <f>HYPERLINK("http://m.12365auto.com/xcdg/20200212/418280.shtml","http://m.12365auto.com/xcdg/20200212/418280.shtml")</f>
        <v>http://m.12365auto.com/xcdg/20200212/418280.shtml</v>
      </c>
      <c r="G9145" s="2"/>
      <c r="H9145" s="2" t="s">
        <v>12348</v>
      </c>
      <c r="I9145" s="2" t="s">
        <v>19</v>
      </c>
      <c r="J9145" s="2" t="s">
        <v>1562</v>
      </c>
      <c r="K9145" s="2" t="s">
        <v>12347</v>
      </c>
      <c r="L9145" s="2">
        <f t="shared" si="142"/>
        <v>150</v>
      </c>
    </row>
    <row r="9146" spans="1:12" ht="25" customHeight="1">
      <c r="A9146" s="2" t="s">
        <v>12</v>
      </c>
      <c r="B9146" s="2" t="str">
        <f>HYPERLINK("http://www.12365auto.com/zlts/20200212/446934.shtml","知豆D2电池包损坏厂家无法提供配件")</f>
        <v>知豆D2电池包损坏厂家无法提供配件</v>
      </c>
      <c r="C9146" s="2" t="s">
        <v>13</v>
      </c>
      <c r="D9146" s="2" t="s">
        <v>12</v>
      </c>
      <c r="E9146" s="2" t="s">
        <v>17</v>
      </c>
      <c r="F9146" s="2" t="str">
        <f>HYPERLINK("http://www.12365auto.com/zlts/20200212/446934.shtml","http://www.12365auto.com/zlts/20200212/446934.shtml")</f>
        <v>http://www.12365auto.com/zlts/20200212/446934.shtml</v>
      </c>
      <c r="G9146" s="2"/>
      <c r="H9146" s="2" t="s">
        <v>12349</v>
      </c>
      <c r="I9146" s="2" t="s">
        <v>19</v>
      </c>
      <c r="J9146" s="2" t="s">
        <v>12</v>
      </c>
      <c r="K9146" s="2" t="s">
        <v>12350</v>
      </c>
      <c r="L9146" s="2">
        <f t="shared" si="142"/>
        <v>150</v>
      </c>
    </row>
    <row r="9147" spans="1:12" ht="25" customHeight="1">
      <c r="A9147" s="2" t="s">
        <v>12</v>
      </c>
      <c r="B9147" s="2" t="str">
        <f>HYPERLINK("http://www.12365auto.com/xcdg/20200212/418279.shtml","轿跑范儿十足 长安UNI-T设计图曝光")</f>
        <v>轿跑范儿十足 长安UNI-T设计图曝光</v>
      </c>
      <c r="C9147" s="2" t="s">
        <v>13</v>
      </c>
      <c r="D9147" s="2" t="s">
        <v>12</v>
      </c>
      <c r="E9147" s="2" t="s">
        <v>216</v>
      </c>
      <c r="F9147" s="2" t="str">
        <f>HYPERLINK("http://www.12365auto.com/xcdg/20200212/418279.shtml","http://www.12365auto.com/xcdg/20200212/418279.shtml")</f>
        <v>http://www.12365auto.com/xcdg/20200212/418279.shtml</v>
      </c>
      <c r="G9147" s="2"/>
      <c r="H9147" s="2" t="s">
        <v>12351</v>
      </c>
      <c r="I9147" s="2" t="s">
        <v>15</v>
      </c>
      <c r="J9147" s="2" t="s">
        <v>12</v>
      </c>
      <c r="K9147" s="2" t="s">
        <v>12352</v>
      </c>
      <c r="L9147" s="2">
        <f t="shared" si="142"/>
        <v>150</v>
      </c>
    </row>
    <row r="9148" spans="1:12" ht="25" customHeight="1">
      <c r="A9148" s="2" t="s">
        <v>12</v>
      </c>
      <c r="B9148" s="2" t="str">
        <f>HYPERLINK("http://m.12365auto.com/xcdg/20200212/418279.shtml","轿跑范儿十足 长安UNI-T设计图曝光")</f>
        <v>轿跑范儿十足 长安UNI-T设计图曝光</v>
      </c>
      <c r="C9148" s="2" t="s">
        <v>13</v>
      </c>
      <c r="D9148" s="2" t="s">
        <v>12</v>
      </c>
      <c r="E9148" s="2"/>
      <c r="F9148" s="2" t="str">
        <f>HYPERLINK("http://m.12365auto.com/xcdg/20200212/418279.shtml","http://m.12365auto.com/xcdg/20200212/418279.shtml")</f>
        <v>http://m.12365auto.com/xcdg/20200212/418279.shtml</v>
      </c>
      <c r="G9148" s="2"/>
      <c r="H9148" s="2" t="s">
        <v>12353</v>
      </c>
      <c r="I9148" s="2" t="s">
        <v>19</v>
      </c>
      <c r="J9148" s="2" t="s">
        <v>4467</v>
      </c>
      <c r="K9148" s="2" t="s">
        <v>12352</v>
      </c>
      <c r="L9148" s="2">
        <f t="shared" si="142"/>
        <v>150</v>
      </c>
    </row>
    <row r="9149" spans="1:12" ht="25" customHeight="1">
      <c r="A9149" s="2" t="s">
        <v>12</v>
      </c>
      <c r="B9149" s="2" t="str">
        <f>HYPERLINK("http://www.12365auto.com/xcdg/20200212/418278.shtml","运动感十足 丰田全新汉兰达XSE车展发布")</f>
        <v>运动感十足 丰田全新汉兰达XSE车展发布</v>
      </c>
      <c r="C9149" s="2" t="s">
        <v>13</v>
      </c>
      <c r="D9149" s="2" t="s">
        <v>12</v>
      </c>
      <c r="E9149" s="2" t="s">
        <v>216</v>
      </c>
      <c r="F9149" s="2" t="str">
        <f>HYPERLINK("http://www.12365auto.com/xcdg/20200212/418278.shtml","http://www.12365auto.com/xcdg/20200212/418278.shtml")</f>
        <v>http://www.12365auto.com/xcdg/20200212/418278.shtml</v>
      </c>
      <c r="G9149" s="2"/>
      <c r="H9149" s="2" t="s">
        <v>12354</v>
      </c>
      <c r="I9149" s="2" t="s">
        <v>15</v>
      </c>
      <c r="J9149" s="2" t="s">
        <v>12</v>
      </c>
      <c r="K9149" s="2" t="s">
        <v>12355</v>
      </c>
      <c r="L9149" s="2">
        <f t="shared" si="142"/>
        <v>150</v>
      </c>
    </row>
    <row r="9150" spans="1:12" ht="25" customHeight="1">
      <c r="A9150" s="2" t="s">
        <v>12</v>
      </c>
      <c r="B9150" s="2" t="str">
        <f>HYPERLINK("http://m.12365auto.com/xcdg/20200212/418278.shtml","运动感十足 丰田全新汉兰达XSE车展发布")</f>
        <v>运动感十足 丰田全新汉兰达XSE车展发布</v>
      </c>
      <c r="C9150" s="2" t="s">
        <v>13</v>
      </c>
      <c r="D9150" s="2" t="s">
        <v>12</v>
      </c>
      <c r="E9150" s="2"/>
      <c r="F9150" s="2" t="str">
        <f>HYPERLINK("http://m.12365auto.com/xcdg/20200212/418278.shtml","http://m.12365auto.com/xcdg/20200212/418278.shtml")</f>
        <v>http://m.12365auto.com/xcdg/20200212/418278.shtml</v>
      </c>
      <c r="G9150" s="2"/>
      <c r="H9150" s="2" t="s">
        <v>12356</v>
      </c>
      <c r="I9150" s="2" t="s">
        <v>19</v>
      </c>
      <c r="J9150" s="2" t="s">
        <v>2077</v>
      </c>
      <c r="K9150" s="2" t="s">
        <v>12355</v>
      </c>
      <c r="L9150" s="2">
        <f t="shared" si="142"/>
        <v>150</v>
      </c>
    </row>
    <row r="9151" spans="1:12" ht="25" customHeight="1">
      <c r="A9151" s="2" t="s">
        <v>12</v>
      </c>
      <c r="B9151" s="2" t="str">
        <f>HYPERLINK("http://www.12365auto.com/xcdg/20200212/418277.shtml","途昂的外国表哥 新款大众Atlas车展发布")</f>
        <v>途昂的外国表哥 新款大众Atlas车展发布</v>
      </c>
      <c r="C9151" s="2" t="s">
        <v>13</v>
      </c>
      <c r="D9151" s="2" t="s">
        <v>12</v>
      </c>
      <c r="E9151" s="2" t="s">
        <v>216</v>
      </c>
      <c r="F9151" s="2" t="str">
        <f>HYPERLINK("http://www.12365auto.com/xcdg/20200212/418277.shtml","http://www.12365auto.com/xcdg/20200212/418277.shtml")</f>
        <v>http://www.12365auto.com/xcdg/20200212/418277.shtml</v>
      </c>
      <c r="G9151" s="2"/>
      <c r="H9151" s="2" t="s">
        <v>12357</v>
      </c>
      <c r="I9151" s="2" t="s">
        <v>15</v>
      </c>
      <c r="J9151" s="2" t="s">
        <v>12</v>
      </c>
      <c r="K9151" s="2" t="s">
        <v>12358</v>
      </c>
      <c r="L9151" s="2">
        <f t="shared" si="142"/>
        <v>150</v>
      </c>
    </row>
    <row r="9152" spans="1:12" ht="25" customHeight="1">
      <c r="A9152" s="2" t="s">
        <v>12</v>
      </c>
      <c r="B9152" s="2" t="str">
        <f>HYPERLINK("http://m.12365auto.com/xcdg/20200212/418277.shtml","途昂的外国表哥 新款大众Atlas车展发布")</f>
        <v>途昂的外国表哥 新款大众Atlas车展发布</v>
      </c>
      <c r="C9152" s="2" t="s">
        <v>13</v>
      </c>
      <c r="D9152" s="2" t="s">
        <v>12</v>
      </c>
      <c r="E9152" s="2"/>
      <c r="F9152" s="2" t="str">
        <f>HYPERLINK("http://m.12365auto.com/xcdg/20200212/418277.shtml","http://m.12365auto.com/xcdg/20200212/418277.shtml")</f>
        <v>http://m.12365auto.com/xcdg/20200212/418277.shtml</v>
      </c>
      <c r="G9152" s="2"/>
      <c r="H9152" s="2" t="s">
        <v>12359</v>
      </c>
      <c r="I9152" s="2" t="s">
        <v>19</v>
      </c>
      <c r="J9152" s="2" t="s">
        <v>4467</v>
      </c>
      <c r="K9152" s="2" t="s">
        <v>12358</v>
      </c>
      <c r="L9152" s="2">
        <f t="shared" si="142"/>
        <v>150</v>
      </c>
    </row>
    <row r="9153" spans="1:12" ht="25" customHeight="1">
      <c r="A9153" s="2" t="s">
        <v>12</v>
      </c>
      <c r="B9153" s="2" t="str">
        <f>HYPERLINK("http://www.12365auto.com/news/20200212/418287.shtml","因电池供货短缺 捷豹I-PACE将面临停产")</f>
        <v>因电池供货短缺 捷豹I-PACE将面临停产</v>
      </c>
      <c r="C9153" s="2" t="s">
        <v>13</v>
      </c>
      <c r="D9153" s="2" t="s">
        <v>12</v>
      </c>
      <c r="E9153" s="2" t="s">
        <v>282</v>
      </c>
      <c r="F9153" s="2" t="str">
        <f>HYPERLINK("http://www.12365auto.com/news/20200212/418287.shtml","http://www.12365auto.com/news/20200212/418287.shtml")</f>
        <v>http://www.12365auto.com/news/20200212/418287.shtml</v>
      </c>
      <c r="G9153" s="2"/>
      <c r="H9153" s="2" t="s">
        <v>12360</v>
      </c>
      <c r="I9153" s="2" t="s">
        <v>19</v>
      </c>
      <c r="J9153" s="2" t="s">
        <v>12</v>
      </c>
      <c r="K9153" s="2" t="s">
        <v>12361</v>
      </c>
      <c r="L9153" s="2">
        <f t="shared" si="142"/>
        <v>150</v>
      </c>
    </row>
    <row r="9154" spans="1:12" ht="25" customHeight="1">
      <c r="A9154" s="2" t="s">
        <v>12</v>
      </c>
      <c r="B9154" s="2" t="str">
        <f>HYPERLINK("http://www.12365auto.com/xcdg/20200212/418290.shtml","外观更精致 斯巴鲁全新一代傲虎专利图曝光")</f>
        <v>外观更精致 斯巴鲁全新一代傲虎专利图曝光</v>
      </c>
      <c r="C9154" s="2" t="s">
        <v>13</v>
      </c>
      <c r="D9154" s="2" t="s">
        <v>12</v>
      </c>
      <c r="E9154" s="2" t="s">
        <v>216</v>
      </c>
      <c r="F9154" s="2" t="str">
        <f>HYPERLINK("http://www.12365auto.com/xcdg/20200212/418290.shtml","http://www.12365auto.com/xcdg/20200212/418290.shtml")</f>
        <v>http://www.12365auto.com/xcdg/20200212/418290.shtml</v>
      </c>
      <c r="G9154" s="2"/>
      <c r="H9154" s="2" t="s">
        <v>12362</v>
      </c>
      <c r="I9154" s="2" t="s">
        <v>15</v>
      </c>
      <c r="J9154" s="2" t="s">
        <v>12</v>
      </c>
      <c r="K9154" s="2" t="s">
        <v>12363</v>
      </c>
      <c r="L9154" s="2">
        <f t="shared" si="142"/>
        <v>150</v>
      </c>
    </row>
    <row r="9155" spans="1:12" ht="25" customHeight="1">
      <c r="A9155" s="2" t="s">
        <v>12</v>
      </c>
      <c r="B9155" s="2" t="str">
        <f>HYPERLINK("http://www.12365auto.com/xcdg/20200212/418291.shtml","丰田卡罗拉性能版渲染图曝光 或2023年发布")</f>
        <v>丰田卡罗拉性能版渲染图曝光 或2023年发布</v>
      </c>
      <c r="C9155" s="2" t="s">
        <v>13</v>
      </c>
      <c r="D9155" s="2" t="s">
        <v>12</v>
      </c>
      <c r="E9155" s="2" t="s">
        <v>216</v>
      </c>
      <c r="F9155" s="2" t="str">
        <f>HYPERLINK("http://www.12365auto.com/xcdg/20200212/418291.shtml","http://www.12365auto.com/xcdg/20200212/418291.shtml")</f>
        <v>http://www.12365auto.com/xcdg/20200212/418291.shtml</v>
      </c>
      <c r="G9155" s="2"/>
      <c r="H9155" s="2" t="s">
        <v>12364</v>
      </c>
      <c r="I9155" s="2" t="s">
        <v>15</v>
      </c>
      <c r="J9155" s="2" t="s">
        <v>12</v>
      </c>
      <c r="K9155" s="2" t="s">
        <v>12365</v>
      </c>
      <c r="L9155" s="2">
        <f t="shared" ref="L9155:L9218" si="143">LEN(H9155)</f>
        <v>150</v>
      </c>
    </row>
    <row r="9156" spans="1:12" ht="25" customHeight="1">
      <c r="A9156" s="2" t="s">
        <v>12</v>
      </c>
      <c r="B9156" s="2" t="str">
        <f>HYPERLINK("http://m.12365auto.com/xcdg/20200212/418291.shtml","丰田卡罗拉性能版渲染图曝光 或2023年发布")</f>
        <v>丰田卡罗拉性能版渲染图曝光 或2023年发布</v>
      </c>
      <c r="C9156" s="2" t="s">
        <v>13</v>
      </c>
      <c r="D9156" s="2" t="s">
        <v>12</v>
      </c>
      <c r="E9156" s="2"/>
      <c r="F9156" s="2" t="str">
        <f>HYPERLINK("http://m.12365auto.com/xcdg/20200212/418291.shtml","http://m.12365auto.com/xcdg/20200212/418291.shtml")</f>
        <v>http://m.12365auto.com/xcdg/20200212/418291.shtml</v>
      </c>
      <c r="G9156" s="2"/>
      <c r="H9156" s="2" t="s">
        <v>12366</v>
      </c>
      <c r="I9156" s="2" t="s">
        <v>19</v>
      </c>
      <c r="J9156" s="2" t="s">
        <v>1305</v>
      </c>
      <c r="K9156" s="2" t="s">
        <v>12365</v>
      </c>
      <c r="L9156" s="2">
        <f t="shared" si="143"/>
        <v>150</v>
      </c>
    </row>
    <row r="9157" spans="1:12" ht="25" customHeight="1">
      <c r="A9157" s="2" t="s">
        <v>12</v>
      </c>
      <c r="B9157" s="2" t="str">
        <f>HYPERLINK("http://www.12365auto.com/xcdg/20200212/418276.shtml","采用旋钮式换挡 全新索兰托内饰预告图曝光")</f>
        <v>采用旋钮式换挡 全新索兰托内饰预告图曝光</v>
      </c>
      <c r="C9157" s="2" t="s">
        <v>13</v>
      </c>
      <c r="D9157" s="2" t="s">
        <v>12</v>
      </c>
      <c r="E9157" s="2" t="s">
        <v>216</v>
      </c>
      <c r="F9157" s="2" t="str">
        <f>HYPERLINK("http://www.12365auto.com/xcdg/20200212/418276.shtml","http://www.12365auto.com/xcdg/20200212/418276.shtml")</f>
        <v>http://www.12365auto.com/xcdg/20200212/418276.shtml</v>
      </c>
      <c r="G9157" s="2"/>
      <c r="H9157" s="2" t="s">
        <v>12367</v>
      </c>
      <c r="I9157" s="2" t="s">
        <v>15</v>
      </c>
      <c r="J9157" s="2" t="s">
        <v>12</v>
      </c>
      <c r="K9157" s="2" t="s">
        <v>12368</v>
      </c>
      <c r="L9157" s="2">
        <f t="shared" si="143"/>
        <v>150</v>
      </c>
    </row>
    <row r="9158" spans="1:12" ht="25" customHeight="1">
      <c r="A9158" s="2" t="s">
        <v>12</v>
      </c>
      <c r="B9158" s="2" t="str">
        <f>HYPERLINK("http://m.12365auto.com/zjdy/20200211/121173.shtml","众泰T700五挡加速行驶时车身抖动怎么办？")</f>
        <v>众泰T700五挡加速行驶时车身抖动怎么办？</v>
      </c>
      <c r="C9158" s="2" t="s">
        <v>13</v>
      </c>
      <c r="D9158" s="2" t="s">
        <v>12</v>
      </c>
      <c r="E9158" s="2"/>
      <c r="F9158" s="2" t="str">
        <f>HYPERLINK("http://m.12365auto.com/zjdy/20200211/121173.shtml","http://m.12365auto.com/zjdy/20200211/121173.shtml")</f>
        <v>http://m.12365auto.com/zjdy/20200211/121173.shtml</v>
      </c>
      <c r="G9158" s="2"/>
      <c r="H9158" s="2" t="s">
        <v>12369</v>
      </c>
      <c r="I9158" s="2" t="s">
        <v>19</v>
      </c>
      <c r="J9158" s="2" t="s">
        <v>12</v>
      </c>
      <c r="K9158" s="2" t="s">
        <v>12370</v>
      </c>
      <c r="L9158" s="2">
        <f t="shared" si="143"/>
        <v>45</v>
      </c>
    </row>
    <row r="9159" spans="1:12" ht="25" customHeight="1">
      <c r="A9159" s="2" t="s">
        <v>12</v>
      </c>
      <c r="B9159" s="2" t="str">
        <f>HYPERLINK("http://m.12365auto.com/zjdy/20200211/121175.shtml","15万至20万左右哪款SUV质量比较好？")</f>
        <v>15万至20万左右哪款SUV质量比较好？</v>
      </c>
      <c r="C9159" s="2" t="s">
        <v>13</v>
      </c>
      <c r="D9159" s="2" t="s">
        <v>12</v>
      </c>
      <c r="E9159" s="2"/>
      <c r="F9159" s="2" t="str">
        <f>HYPERLINK("http://m.12365auto.com/zjdy/20200211/121175.shtml","http://m.12365auto.com/zjdy/20200211/121175.shtml")</f>
        <v>http://m.12365auto.com/zjdy/20200211/121175.shtml</v>
      </c>
      <c r="G9159" s="2"/>
      <c r="H9159" s="2" t="s">
        <v>12371</v>
      </c>
      <c r="I9159" s="2" t="s">
        <v>19</v>
      </c>
      <c r="J9159" s="2" t="s">
        <v>12</v>
      </c>
      <c r="K9159" s="2" t="s">
        <v>12372</v>
      </c>
      <c r="L9159" s="2">
        <f t="shared" si="143"/>
        <v>21</v>
      </c>
    </row>
    <row r="9160" spans="1:12" ht="25" customHeight="1">
      <c r="A9160" s="2" t="s">
        <v>12</v>
      </c>
      <c r="B9160" s="2" t="str">
        <f>HYPERLINK("http://m.12365auto.com/zjdy/20200211/121171.shtml","车辆的发动机水温高应该如何处理？")</f>
        <v>车辆的发动机水温高应该如何处理？</v>
      </c>
      <c r="C9160" s="2" t="s">
        <v>13</v>
      </c>
      <c r="D9160" s="2" t="s">
        <v>12</v>
      </c>
      <c r="E9160" s="2"/>
      <c r="F9160" s="2" t="str">
        <f>HYPERLINK("http://m.12365auto.com/zjdy/20200211/121171.shtml","http://m.12365auto.com/zjdy/20200211/121171.shtml")</f>
        <v>http://m.12365auto.com/zjdy/20200211/121171.shtml</v>
      </c>
      <c r="G9160" s="2"/>
      <c r="H9160" s="2" t="s">
        <v>12373</v>
      </c>
      <c r="I9160" s="2" t="s">
        <v>19</v>
      </c>
      <c r="J9160" s="2" t="s">
        <v>12</v>
      </c>
      <c r="K9160" s="2" t="s">
        <v>12372</v>
      </c>
      <c r="L9160" s="2">
        <f t="shared" si="143"/>
        <v>62</v>
      </c>
    </row>
    <row r="9161" spans="1:12" ht="25" customHeight="1">
      <c r="A9161" s="2" t="s">
        <v>12</v>
      </c>
      <c r="B9161" s="2" t="str">
        <f>HYPERLINK("http://m.12365auto.com/zjdy/20200211/121174.shtml","10款520li的2.5自吸发动机是几缸发动机？")</f>
        <v>10款520li的2.5自吸发动机是几缸发动机？</v>
      </c>
      <c r="C9161" s="2" t="s">
        <v>13</v>
      </c>
      <c r="D9161" s="2" t="s">
        <v>12</v>
      </c>
      <c r="E9161" s="2"/>
      <c r="F9161" s="2" t="str">
        <f>HYPERLINK("http://m.12365auto.com/zjdy/20200211/121174.shtml","http://m.12365auto.com/zjdy/20200211/121174.shtml")</f>
        <v>http://m.12365auto.com/zjdy/20200211/121174.shtml</v>
      </c>
      <c r="G9161" s="2"/>
      <c r="H9161" s="2" t="s">
        <v>12374</v>
      </c>
      <c r="I9161" s="2" t="s">
        <v>19</v>
      </c>
      <c r="J9161" s="2" t="s">
        <v>12</v>
      </c>
      <c r="K9161" s="2" t="s">
        <v>12372</v>
      </c>
      <c r="L9161" s="2">
        <f t="shared" si="143"/>
        <v>24</v>
      </c>
    </row>
    <row r="9162" spans="1:12" ht="25" customHeight="1">
      <c r="A9162" s="2" t="s">
        <v>12</v>
      </c>
      <c r="B9162" s="2" t="str">
        <f>HYPERLINK("http://m.12365auto.com/zjdy/20200211/121177.shtml","10万以内的合资车选择购买哪一款？")</f>
        <v>10万以内的合资车选择购买哪一款？</v>
      </c>
      <c r="C9162" s="2" t="s">
        <v>13</v>
      </c>
      <c r="D9162" s="2" t="s">
        <v>12</v>
      </c>
      <c r="E9162" s="2"/>
      <c r="F9162" s="2" t="str">
        <f>HYPERLINK("http://m.12365auto.com/zjdy/20200211/121177.shtml","http://m.12365auto.com/zjdy/20200211/121177.shtml")</f>
        <v>http://m.12365auto.com/zjdy/20200211/121177.shtml</v>
      </c>
      <c r="G9162" s="2"/>
      <c r="H9162" s="2" t="s">
        <v>12375</v>
      </c>
      <c r="I9162" s="2" t="s">
        <v>19</v>
      </c>
      <c r="J9162" s="2" t="s">
        <v>12</v>
      </c>
      <c r="K9162" s="2" t="s">
        <v>12376</v>
      </c>
      <c r="L9162" s="2">
        <f t="shared" si="143"/>
        <v>19</v>
      </c>
    </row>
    <row r="9163" spans="1:12" ht="25" customHeight="1">
      <c r="A9163" s="2" t="s">
        <v>12</v>
      </c>
      <c r="B9163" s="2" t="str">
        <f>HYPERLINK("http://m.12365auto.com/zjdy/20200211/121178.shtml","2019轩逸经典舒适版加速延迟怎么处理？")</f>
        <v>2019轩逸经典舒适版加速延迟怎么处理？</v>
      </c>
      <c r="C9163" s="2" t="s">
        <v>13</v>
      </c>
      <c r="D9163" s="2" t="s">
        <v>12</v>
      </c>
      <c r="E9163" s="2"/>
      <c r="F9163" s="2" t="str">
        <f>HYPERLINK("http://m.12365auto.com/zjdy/20200211/121178.shtml","http://m.12365auto.com/zjdy/20200211/121178.shtml")</f>
        <v>http://m.12365auto.com/zjdy/20200211/121178.shtml</v>
      </c>
      <c r="G9163" s="2"/>
      <c r="H9163" s="2" t="s">
        <v>12377</v>
      </c>
      <c r="I9163" s="2" t="s">
        <v>19</v>
      </c>
      <c r="J9163" s="2" t="s">
        <v>12</v>
      </c>
      <c r="K9163" s="2" t="s">
        <v>12376</v>
      </c>
      <c r="L9163" s="2">
        <f t="shared" si="143"/>
        <v>41</v>
      </c>
    </row>
    <row r="9164" spans="1:12" ht="25" customHeight="1">
      <c r="A9164" s="2" t="s">
        <v>12</v>
      </c>
      <c r="B9164" s="2" t="str">
        <f>HYPERLINK("http://m.12365auto.com/zjdy/20200211/121168.shtml","瑞虎8这款车的双离合变速箱质量如何？")</f>
        <v>瑞虎8这款车的双离合变速箱质量如何？</v>
      </c>
      <c r="C9164" s="2" t="s">
        <v>13</v>
      </c>
      <c r="D9164" s="2" t="s">
        <v>12</v>
      </c>
      <c r="E9164" s="2"/>
      <c r="F9164" s="2" t="str">
        <f>HYPERLINK("http://m.12365auto.com/zjdy/20200211/121168.shtml","http://m.12365auto.com/zjdy/20200211/121168.shtml")</f>
        <v>http://m.12365auto.com/zjdy/20200211/121168.shtml</v>
      </c>
      <c r="G9164" s="2"/>
      <c r="H9164" s="2" t="s">
        <v>12378</v>
      </c>
      <c r="I9164" s="2" t="s">
        <v>19</v>
      </c>
      <c r="J9164" s="2" t="s">
        <v>12</v>
      </c>
      <c r="K9164" s="2" t="s">
        <v>12379</v>
      </c>
      <c r="L9164" s="2">
        <f t="shared" si="143"/>
        <v>33</v>
      </c>
    </row>
    <row r="9165" spans="1:12" ht="25" customHeight="1">
      <c r="A9165" s="2" t="s">
        <v>12</v>
      </c>
      <c r="B9165" s="2" t="str">
        <f>HYPERLINK("http://m.12365auto.com/zjdy/20200212/121182.shtml","名爵HS挡把处遮盖皮套是否可以更换？")</f>
        <v>名爵HS挡把处遮盖皮套是否可以更换？</v>
      </c>
      <c r="C9165" s="2" t="s">
        <v>13</v>
      </c>
      <c r="D9165" s="2" t="s">
        <v>12</v>
      </c>
      <c r="E9165" s="2"/>
      <c r="F9165" s="2" t="str">
        <f>HYPERLINK("http://m.12365auto.com/zjdy/20200212/121182.shtml","http://m.12365auto.com/zjdy/20200212/121182.shtml")</f>
        <v>http://m.12365auto.com/zjdy/20200212/121182.shtml</v>
      </c>
      <c r="G9165" s="2"/>
      <c r="H9165" s="2" t="s">
        <v>12380</v>
      </c>
      <c r="I9165" s="2" t="s">
        <v>19</v>
      </c>
      <c r="J9165" s="2" t="s">
        <v>12</v>
      </c>
      <c r="K9165" s="2" t="s">
        <v>12379</v>
      </c>
      <c r="L9165" s="2">
        <f t="shared" si="143"/>
        <v>150</v>
      </c>
    </row>
    <row r="9166" spans="1:12" ht="25" customHeight="1">
      <c r="A9166" s="2" t="s">
        <v>12</v>
      </c>
      <c r="B9166" s="2" t="str">
        <f>HYPERLINK("http://m.12365auto.com/zjdy/20200212/121181.shtml","三缸车国产或者合资哪款更加值得购买？")</f>
        <v>三缸车国产或者合资哪款更加值得购买？</v>
      </c>
      <c r="C9166" s="2" t="s">
        <v>13</v>
      </c>
      <c r="D9166" s="2" t="s">
        <v>12</v>
      </c>
      <c r="E9166" s="2"/>
      <c r="F9166" s="2" t="str">
        <f>HYPERLINK("http://m.12365auto.com/zjdy/20200212/121181.shtml","http://m.12365auto.com/zjdy/20200212/121181.shtml")</f>
        <v>http://m.12365auto.com/zjdy/20200212/121181.shtml</v>
      </c>
      <c r="G9166" s="2"/>
      <c r="H9166" s="2" t="s">
        <v>12381</v>
      </c>
      <c r="I9166" s="2" t="s">
        <v>19</v>
      </c>
      <c r="J9166" s="2" t="s">
        <v>12</v>
      </c>
      <c r="K9166" s="2" t="s">
        <v>12379</v>
      </c>
      <c r="L9166" s="2">
        <f t="shared" si="143"/>
        <v>46</v>
      </c>
    </row>
    <row r="9167" spans="1:12" ht="25" customHeight="1">
      <c r="A9167" s="2" t="s">
        <v>12</v>
      </c>
      <c r="B9167" s="2" t="str">
        <f>HYPERLINK("http://m.12365auto.com/zjdy/20200212/121180.shtml","科沃兹和长安逸动哪款车型值得购买？")</f>
        <v>科沃兹和长安逸动哪款车型值得购买？</v>
      </c>
      <c r="C9167" s="2" t="s">
        <v>13</v>
      </c>
      <c r="D9167" s="2" t="s">
        <v>12</v>
      </c>
      <c r="E9167" s="2"/>
      <c r="F9167" s="2" t="str">
        <f>HYPERLINK("http://m.12365auto.com/zjdy/20200212/121180.shtml","http://m.12365auto.com/zjdy/20200212/121180.shtml")</f>
        <v>http://m.12365auto.com/zjdy/20200212/121180.shtml</v>
      </c>
      <c r="G9167" s="2"/>
      <c r="H9167" s="2" t="s">
        <v>12382</v>
      </c>
      <c r="I9167" s="2" t="s">
        <v>19</v>
      </c>
      <c r="J9167" s="2" t="s">
        <v>12</v>
      </c>
      <c r="K9167" s="2" t="s">
        <v>12383</v>
      </c>
      <c r="L9167" s="2">
        <f t="shared" si="143"/>
        <v>67</v>
      </c>
    </row>
    <row r="9168" spans="1:12" ht="25" customHeight="1">
      <c r="A9168" s="2" t="s">
        <v>12</v>
      </c>
      <c r="B9168" s="2" t="str">
        <f>HYPERLINK("http://m.12365auto.com/zjdy/20200211/121165.shtml","福特福克斯怠速时发动机抖动什么原因？")</f>
        <v>福特福克斯怠速时发动机抖动什么原因？</v>
      </c>
      <c r="C9168" s="2" t="s">
        <v>13</v>
      </c>
      <c r="D9168" s="2" t="s">
        <v>12</v>
      </c>
      <c r="E9168" s="2"/>
      <c r="F9168" s="2" t="str">
        <f>HYPERLINK("http://m.12365auto.com/zjdy/20200211/121165.shtml","http://m.12365auto.com/zjdy/20200211/121165.shtml")</f>
        <v>http://m.12365auto.com/zjdy/20200211/121165.shtml</v>
      </c>
      <c r="G9168" s="2"/>
      <c r="H9168" s="2" t="s">
        <v>12384</v>
      </c>
      <c r="I9168" s="2" t="s">
        <v>19</v>
      </c>
      <c r="J9168" s="2" t="s">
        <v>12</v>
      </c>
      <c r="K9168" s="2" t="s">
        <v>12383</v>
      </c>
      <c r="L9168" s="2">
        <f t="shared" si="143"/>
        <v>43</v>
      </c>
    </row>
    <row r="9169" spans="1:12" ht="25" customHeight="1">
      <c r="A9169" s="2" t="s">
        <v>12</v>
      </c>
      <c r="B9169" s="2" t="str">
        <f>HYPERLINK("http://m.12365auto.com/zjdy/20200211/121167.shtml","吉利博越松油门减速挡杆处有异响怎么办？")</f>
        <v>吉利博越松油门减速挡杆处有异响怎么办？</v>
      </c>
      <c r="C9169" s="2" t="s">
        <v>13</v>
      </c>
      <c r="D9169" s="2" t="s">
        <v>12</v>
      </c>
      <c r="E9169" s="2"/>
      <c r="F9169" s="2" t="str">
        <f>HYPERLINK("http://m.12365auto.com/zjdy/20200211/121167.shtml","http://m.12365auto.com/zjdy/20200211/121167.shtml")</f>
        <v>http://m.12365auto.com/zjdy/20200211/121167.shtml</v>
      </c>
      <c r="G9169" s="2"/>
      <c r="H9169" s="2" t="s">
        <v>12385</v>
      </c>
      <c r="I9169" s="2" t="s">
        <v>19</v>
      </c>
      <c r="J9169" s="2" t="s">
        <v>12</v>
      </c>
      <c r="K9169" s="2" t="s">
        <v>12383</v>
      </c>
      <c r="L9169" s="2">
        <f t="shared" si="143"/>
        <v>109</v>
      </c>
    </row>
    <row r="9170" spans="1:12" ht="25" customHeight="1">
      <c r="A9170" s="2" t="s">
        <v>12</v>
      </c>
      <c r="B9170" s="2" t="str">
        <f>HYPERLINK("http://m.12365auto.com/zjdy/20200211/121179.shtml","马自达3车门锁不住是什么原因如何处理？")</f>
        <v>马自达3车门锁不住是什么原因如何处理？</v>
      </c>
      <c r="C9170" s="2" t="s">
        <v>13</v>
      </c>
      <c r="D9170" s="2" t="s">
        <v>12</v>
      </c>
      <c r="E9170" s="2"/>
      <c r="F9170" s="2" t="str">
        <f>HYPERLINK("http://m.12365auto.com/zjdy/20200211/121179.shtml","http://m.12365auto.com/zjdy/20200211/121179.shtml")</f>
        <v>http://m.12365auto.com/zjdy/20200211/121179.shtml</v>
      </c>
      <c r="G9170" s="2"/>
      <c r="H9170" s="2" t="s">
        <v>12386</v>
      </c>
      <c r="I9170" s="2" t="s">
        <v>19</v>
      </c>
      <c r="J9170" s="2" t="s">
        <v>12</v>
      </c>
      <c r="K9170" s="2" t="s">
        <v>12383</v>
      </c>
      <c r="L9170" s="2">
        <f t="shared" si="143"/>
        <v>135</v>
      </c>
    </row>
    <row r="9171" spans="1:12" ht="25" customHeight="1">
      <c r="A9171" s="2" t="s">
        <v>12</v>
      </c>
      <c r="B9171" s="2" t="str">
        <f>HYPERLINK("http://m.12365auto.com/zjdy/20200212/121183.shtml","五菱4S店续保押金不退应该如何维权？")</f>
        <v>五菱4S店续保押金不退应该如何维权？</v>
      </c>
      <c r="C9171" s="2" t="s">
        <v>13</v>
      </c>
      <c r="D9171" s="2" t="s">
        <v>12</v>
      </c>
      <c r="E9171" s="2"/>
      <c r="F9171" s="2" t="str">
        <f>HYPERLINK("http://m.12365auto.com/zjdy/20200212/121183.shtml","http://m.12365auto.com/zjdy/20200212/121183.shtml")</f>
        <v>http://m.12365auto.com/zjdy/20200212/121183.shtml</v>
      </c>
      <c r="G9171" s="2"/>
      <c r="H9171" s="2" t="s">
        <v>12387</v>
      </c>
      <c r="I9171" s="2" t="s">
        <v>19</v>
      </c>
      <c r="J9171" s="2" t="s">
        <v>12</v>
      </c>
      <c r="K9171" s="2" t="s">
        <v>12388</v>
      </c>
      <c r="L9171" s="2">
        <f t="shared" si="143"/>
        <v>23</v>
      </c>
    </row>
    <row r="9172" spans="1:12" ht="25" customHeight="1">
      <c r="A9172" s="2" t="s">
        <v>12</v>
      </c>
      <c r="B9172" s="2" t="str">
        <f>HYPERLINK("http://www.12365auto.com/xcdg/20200212/418285.shtml","续航966km Nikola新能源皮卡概念车曝光")</f>
        <v>续航966km Nikola新能源皮卡概念车曝光</v>
      </c>
      <c r="C9172" s="2" t="s">
        <v>13</v>
      </c>
      <c r="D9172" s="2" t="s">
        <v>12</v>
      </c>
      <c r="E9172" s="2" t="s">
        <v>216</v>
      </c>
      <c r="F9172" s="2" t="str">
        <f>HYPERLINK("http://www.12365auto.com/xcdg/20200212/418285.shtml","http://www.12365auto.com/xcdg/20200212/418285.shtml")</f>
        <v>http://www.12365auto.com/xcdg/20200212/418285.shtml</v>
      </c>
      <c r="G9172" s="2"/>
      <c r="H9172" s="2" t="s">
        <v>12389</v>
      </c>
      <c r="I9172" s="2" t="s">
        <v>15</v>
      </c>
      <c r="J9172" s="2" t="s">
        <v>12</v>
      </c>
      <c r="K9172" s="2" t="s">
        <v>12390</v>
      </c>
      <c r="L9172" s="2">
        <f t="shared" si="143"/>
        <v>150</v>
      </c>
    </row>
    <row r="9173" spans="1:12" ht="25" customHeight="1">
      <c r="A9173" s="2" t="s">
        <v>12</v>
      </c>
      <c r="B9173" s="2" t="str">
        <f>HYPERLINK("http://m.12365auto.com/zjdy/20200211/121164.shtml","发动机异响抖动是什么原因导致的？")</f>
        <v>发动机异响抖动是什么原因导致的？</v>
      </c>
      <c r="C9173" s="2" t="s">
        <v>13</v>
      </c>
      <c r="D9173" s="2" t="s">
        <v>12</v>
      </c>
      <c r="E9173" s="2"/>
      <c r="F9173" s="2" t="str">
        <f>HYPERLINK("http://m.12365auto.com/zjdy/20200211/121164.shtml","http://m.12365auto.com/zjdy/20200211/121164.shtml")</f>
        <v>http://m.12365auto.com/zjdy/20200211/121164.shtml</v>
      </c>
      <c r="G9173" s="2"/>
      <c r="H9173" s="2" t="s">
        <v>12391</v>
      </c>
      <c r="I9173" s="2" t="s">
        <v>19</v>
      </c>
      <c r="J9173" s="2" t="s">
        <v>12</v>
      </c>
      <c r="K9173" s="2" t="s">
        <v>12392</v>
      </c>
      <c r="L9173" s="2">
        <f t="shared" si="143"/>
        <v>34</v>
      </c>
    </row>
    <row r="9174" spans="1:12" ht="25" customHeight="1">
      <c r="A9174" s="2" t="s">
        <v>12</v>
      </c>
      <c r="B9174" s="2" t="str">
        <f>HYPERLINK("http://www.12365auto.com/scbg/20200212/418275.shtml","2020款一汽丰田RAV4荣放新车商品性评价")</f>
        <v>2020款一汽丰田RAV4荣放新车商品性评价</v>
      </c>
      <c r="C9174" s="2" t="s">
        <v>13</v>
      </c>
      <c r="D9174" s="2" t="s">
        <v>12</v>
      </c>
      <c r="E9174" s="2" t="s">
        <v>1548</v>
      </c>
      <c r="F9174" s="2" t="str">
        <f>HYPERLINK("http://www.12365auto.com/scbg/20200212/418275.shtml","http://www.12365auto.com/scbg/20200212/418275.shtml")</f>
        <v>http://www.12365auto.com/scbg/20200212/418275.shtml</v>
      </c>
      <c r="G9174" s="2"/>
      <c r="H9174" s="2" t="s">
        <v>8848</v>
      </c>
      <c r="I9174" s="2" t="s">
        <v>15</v>
      </c>
      <c r="J9174" s="2" t="s">
        <v>12</v>
      </c>
      <c r="K9174" s="2" t="s">
        <v>12393</v>
      </c>
      <c r="L9174" s="2">
        <f t="shared" si="143"/>
        <v>150</v>
      </c>
    </row>
    <row r="9175" spans="1:12" ht="25" customHeight="1">
      <c r="A9175" s="2" t="s">
        <v>12</v>
      </c>
      <c r="B9175" s="2" t="str">
        <f>HYPERLINK("http://m.12365auto.com/xcdg/20200212/418274.shtml","推荐T4 智远豪华版 全新沃尔沃S60购车指南")</f>
        <v>推荐T4 智远豪华版 全新沃尔沃S60购车指南</v>
      </c>
      <c r="C9175" s="2" t="s">
        <v>13</v>
      </c>
      <c r="D9175" s="2" t="s">
        <v>12</v>
      </c>
      <c r="E9175" s="2"/>
      <c r="F9175" s="2" t="str">
        <f>HYPERLINK("http://m.12365auto.com/xcdg/20200212/418274.shtml","http://m.12365auto.com/xcdg/20200212/418274.shtml")</f>
        <v>http://m.12365auto.com/xcdg/20200212/418274.shtml</v>
      </c>
      <c r="G9175" s="2"/>
      <c r="H9175" s="2" t="s">
        <v>12394</v>
      </c>
      <c r="I9175" s="2" t="s">
        <v>19</v>
      </c>
      <c r="J9175" s="2" t="s">
        <v>1230</v>
      </c>
      <c r="K9175" s="2" t="s">
        <v>12393</v>
      </c>
      <c r="L9175" s="2">
        <f t="shared" si="143"/>
        <v>150</v>
      </c>
    </row>
    <row r="9176" spans="1:12" ht="25" customHeight="1">
      <c r="A9176" s="2" t="s">
        <v>12</v>
      </c>
      <c r="B9176" s="2" t="str">
        <f>HYPERLINK("http://m.12365auto.com/scbg/20200212/418275.shtml","2020款一汽丰田RAV4荣放新车商品性评价")</f>
        <v>2020款一汽丰田RAV4荣放新车商品性评价</v>
      </c>
      <c r="C9176" s="2" t="s">
        <v>13</v>
      </c>
      <c r="D9176" s="2" t="s">
        <v>12</v>
      </c>
      <c r="E9176" s="2"/>
      <c r="F9176" s="2" t="str">
        <f>HYPERLINK("http://m.12365auto.com/scbg/20200212/418275.shtml","http://m.12365auto.com/scbg/20200212/418275.shtml")</f>
        <v>http://m.12365auto.com/scbg/20200212/418275.shtml</v>
      </c>
      <c r="G9176" s="2"/>
      <c r="H9176" s="2" t="s">
        <v>8850</v>
      </c>
      <c r="I9176" s="2" t="s">
        <v>19</v>
      </c>
      <c r="J9176" s="2" t="s">
        <v>1241</v>
      </c>
      <c r="K9176" s="2" t="s">
        <v>12393</v>
      </c>
      <c r="L9176" s="2">
        <f t="shared" si="143"/>
        <v>150</v>
      </c>
    </row>
    <row r="9177" spans="1:12" ht="25" customHeight="1">
      <c r="A9177" s="2" t="s">
        <v>12</v>
      </c>
      <c r="B9177" s="2" t="str">
        <f>HYPERLINK("http://www.12365auto.com/zlts/20200212/446932.shtml","转向卡顿，")</f>
        <v>转向卡顿，</v>
      </c>
      <c r="C9177" s="2" t="s">
        <v>13</v>
      </c>
      <c r="D9177" s="2" t="s">
        <v>12</v>
      </c>
      <c r="E9177" s="2"/>
      <c r="F9177" s="2" t="str">
        <f>HYPERLINK("http://www.12365auto.com/zlts/20200212/446932.shtml","http://www.12365auto.com/zlts/20200212/446932.shtml")</f>
        <v>http://www.12365auto.com/zlts/20200212/446932.shtml</v>
      </c>
      <c r="G9177" s="2"/>
      <c r="H9177" s="2" t="s">
        <v>12396</v>
      </c>
      <c r="I9177" s="2" t="s">
        <v>15</v>
      </c>
      <c r="J9177" s="2" t="s">
        <v>12</v>
      </c>
      <c r="K9177" s="2" t="s">
        <v>12395</v>
      </c>
      <c r="L9177" s="2">
        <f t="shared" si="143"/>
        <v>84</v>
      </c>
    </row>
    <row r="9178" spans="1:12" ht="25" customHeight="1">
      <c r="A9178" s="2" t="s">
        <v>12</v>
      </c>
      <c r="B9178" s="2" t="str">
        <f>HYPERLINK("http://www.12365auto.com/zlts/20200212/446931.shtml","ECO起停功能异常")</f>
        <v>ECO起停功能异常</v>
      </c>
      <c r="C9178" s="2" t="s">
        <v>13</v>
      </c>
      <c r="D9178" s="2" t="s">
        <v>12</v>
      </c>
      <c r="E9178" s="2"/>
      <c r="F9178" s="2" t="str">
        <f>HYPERLINK("http://www.12365auto.com/zlts/20200212/446931.shtml","http://www.12365auto.com/zlts/20200212/446931.shtml")</f>
        <v>http://www.12365auto.com/zlts/20200212/446931.shtml</v>
      </c>
      <c r="G9178" s="2"/>
      <c r="H9178" s="2" t="s">
        <v>12398</v>
      </c>
      <c r="I9178" s="2" t="s">
        <v>15</v>
      </c>
      <c r="J9178" s="2" t="s">
        <v>12</v>
      </c>
      <c r="K9178" s="2" t="s">
        <v>12397</v>
      </c>
      <c r="L9178" s="2">
        <f t="shared" si="143"/>
        <v>93</v>
      </c>
    </row>
    <row r="9179" spans="1:12" ht="25" customHeight="1">
      <c r="A9179" s="2" t="s">
        <v>12</v>
      </c>
      <c r="B9179" s="2" t="str">
        <f>HYPERLINK("http://www.12365auto.com/zlts/20200212/446930.shtml","东风悦达起亚狮跑远光灯无法切换近光灯")</f>
        <v>东风悦达起亚狮跑远光灯无法切换近光灯</v>
      </c>
      <c r="C9179" s="2" t="s">
        <v>13</v>
      </c>
      <c r="D9179" s="2" t="s">
        <v>12</v>
      </c>
      <c r="E9179" s="2" t="s">
        <v>17</v>
      </c>
      <c r="F9179" s="2" t="str">
        <f>HYPERLINK("http://www.12365auto.com/zlts/20200212/446930.shtml","http://www.12365auto.com/zlts/20200212/446930.shtml")</f>
        <v>http://www.12365auto.com/zlts/20200212/446930.shtml</v>
      </c>
      <c r="G9179" s="2"/>
      <c r="H9179" s="2" t="s">
        <v>12399</v>
      </c>
      <c r="I9179" s="2" t="s">
        <v>19</v>
      </c>
      <c r="J9179" s="2" t="s">
        <v>12</v>
      </c>
      <c r="K9179" s="2" t="s">
        <v>12400</v>
      </c>
      <c r="L9179" s="2">
        <f t="shared" si="143"/>
        <v>150</v>
      </c>
    </row>
    <row r="9180" spans="1:12" ht="25" customHeight="1">
      <c r="A9180" s="2" t="s">
        <v>12</v>
      </c>
      <c r="B9180" s="2" t="str">
        <f>HYPERLINK("http://www.12365auto.com/zlts/20200212/446929.shtml","上汽荣威RX5 MAX方向盘不正要求解决")</f>
        <v>上汽荣威RX5 MAX方向盘不正要求解决</v>
      </c>
      <c r="C9180" s="2" t="s">
        <v>13</v>
      </c>
      <c r="D9180" s="2" t="s">
        <v>12</v>
      </c>
      <c r="E9180" s="2" t="s">
        <v>17</v>
      </c>
      <c r="F9180" s="2" t="str">
        <f>HYPERLINK("http://www.12365auto.com/zlts/20200212/446929.shtml","http://www.12365auto.com/zlts/20200212/446929.shtml")</f>
        <v>http://www.12365auto.com/zlts/20200212/446929.shtml</v>
      </c>
      <c r="G9180" s="2"/>
      <c r="H9180" s="2" t="s">
        <v>12401</v>
      </c>
      <c r="I9180" s="2" t="s">
        <v>19</v>
      </c>
      <c r="J9180" s="2" t="s">
        <v>12</v>
      </c>
      <c r="K9180" s="2" t="s">
        <v>12402</v>
      </c>
      <c r="L9180" s="2">
        <f t="shared" si="143"/>
        <v>150</v>
      </c>
    </row>
    <row r="9181" spans="1:12" ht="25" customHeight="1">
      <c r="A9181" s="2" t="s">
        <v>12</v>
      </c>
      <c r="B9181" s="2" t="str">
        <f>HYPERLINK("http://www.12365auto.com/zlts/20200211/446928.shtml","车门异响，空调异味和制动没有刹车")</f>
        <v>车门异响，空调异味和制动没有刹车</v>
      </c>
      <c r="C9181" s="2" t="s">
        <v>13</v>
      </c>
      <c r="D9181" s="2" t="s">
        <v>12</v>
      </c>
      <c r="E9181" s="2"/>
      <c r="F9181" s="2" t="str">
        <f>HYPERLINK("http://www.12365auto.com/zlts/20200211/446928.shtml","http://www.12365auto.com/zlts/20200211/446928.shtml")</f>
        <v>http://www.12365auto.com/zlts/20200211/446928.shtml</v>
      </c>
      <c r="G9181" s="2"/>
      <c r="H9181" s="2" t="s">
        <v>12404</v>
      </c>
      <c r="I9181" s="2" t="s">
        <v>15</v>
      </c>
      <c r="J9181" s="2" t="s">
        <v>12</v>
      </c>
      <c r="K9181" s="2" t="s">
        <v>12403</v>
      </c>
      <c r="L9181" s="2">
        <f t="shared" si="143"/>
        <v>82</v>
      </c>
    </row>
    <row r="9182" spans="1:12" ht="25" customHeight="1">
      <c r="A9182" s="2" t="s">
        <v>12</v>
      </c>
      <c r="B9182" s="2" t="str">
        <f>HYPERLINK("http://www.12365auto.com/zlts/20200211/446926.shtml","新车亏电两次，汽车无任何加装，原厂原车")</f>
        <v>新车亏电两次，汽车无任何加装，原厂原车</v>
      </c>
      <c r="C9182" s="2" t="s">
        <v>13</v>
      </c>
      <c r="D9182" s="2" t="s">
        <v>12</v>
      </c>
      <c r="E9182" s="2"/>
      <c r="F9182" s="2" t="str">
        <f>HYPERLINK("http://www.12365auto.com/zlts/20200211/446926.shtml","http://www.12365auto.com/zlts/20200211/446926.shtml")</f>
        <v>http://www.12365auto.com/zlts/20200211/446926.shtml</v>
      </c>
      <c r="G9182" s="2"/>
      <c r="H9182" s="2" t="s">
        <v>12405</v>
      </c>
      <c r="I9182" s="2" t="s">
        <v>15</v>
      </c>
      <c r="J9182" s="2" t="s">
        <v>12</v>
      </c>
      <c r="K9182" s="2" t="s">
        <v>12403</v>
      </c>
      <c r="L9182" s="2">
        <f t="shared" si="143"/>
        <v>83</v>
      </c>
    </row>
    <row r="9183" spans="1:12" ht="25" customHeight="1">
      <c r="A9183" s="2" t="s">
        <v>12</v>
      </c>
      <c r="B9183" s="2" t="str">
        <f>HYPERLINK("http://www.12365auto.com/zlts/20200211/446927.shtml","广汽本田飞度冷车启动发动机有打齿异响")</f>
        <v>广汽本田飞度冷车启动发动机有打齿异响</v>
      </c>
      <c r="C9183" s="2" t="s">
        <v>13</v>
      </c>
      <c r="D9183" s="2" t="s">
        <v>12</v>
      </c>
      <c r="E9183" s="2" t="s">
        <v>17</v>
      </c>
      <c r="F9183" s="2" t="str">
        <f>HYPERLINK("http://www.12365auto.com/zlts/20200211/446927.shtml","http://www.12365auto.com/zlts/20200211/446927.shtml")</f>
        <v>http://www.12365auto.com/zlts/20200211/446927.shtml</v>
      </c>
      <c r="G9183" s="2"/>
      <c r="H9183" s="2" t="s">
        <v>12406</v>
      </c>
      <c r="I9183" s="2" t="s">
        <v>19</v>
      </c>
      <c r="J9183" s="2" t="s">
        <v>12</v>
      </c>
      <c r="K9183" s="2" t="s">
        <v>12407</v>
      </c>
      <c r="L9183" s="2">
        <f t="shared" si="143"/>
        <v>150</v>
      </c>
    </row>
    <row r="9184" spans="1:12" ht="25" customHeight="1">
      <c r="A9184" s="2" t="s">
        <v>12</v>
      </c>
      <c r="B9184" s="2" t="str">
        <f>HYPERLINK("http://www.12365auto.com/zlts/20200211/446924.shtml","运动模式跟运动模式同时报警。")</f>
        <v>运动模式跟运动模式同时报警。</v>
      </c>
      <c r="C9184" s="2" t="s">
        <v>13</v>
      </c>
      <c r="D9184" s="2" t="s">
        <v>12</v>
      </c>
      <c r="E9184" s="2"/>
      <c r="F9184" s="2" t="str">
        <f>HYPERLINK("http://www.12365auto.com/zlts/20200211/446924.shtml","http://www.12365auto.com/zlts/20200211/446924.shtml")</f>
        <v>http://www.12365auto.com/zlts/20200211/446924.shtml</v>
      </c>
      <c r="G9184" s="2"/>
      <c r="H9184" s="2" t="s">
        <v>12409</v>
      </c>
      <c r="I9184" s="2" t="s">
        <v>15</v>
      </c>
      <c r="J9184" s="2" t="s">
        <v>12</v>
      </c>
      <c r="K9184" s="2" t="s">
        <v>12408</v>
      </c>
      <c r="L9184" s="2">
        <f t="shared" si="143"/>
        <v>90</v>
      </c>
    </row>
    <row r="9185" spans="1:12" ht="25" customHeight="1">
      <c r="A9185" s="2" t="s">
        <v>12</v>
      </c>
      <c r="B9185" s="2" t="str">
        <f>HYPERLINK("http://www.12365auto.com/zlts/20200211/446923.shtml","4000公里亮故障灯一次，现在5000又亮了？这")</f>
        <v>4000公里亮故障灯一次，现在5000又亮了？这</v>
      </c>
      <c r="C9185" s="2" t="s">
        <v>13</v>
      </c>
      <c r="D9185" s="2" t="s">
        <v>12</v>
      </c>
      <c r="E9185" s="2"/>
      <c r="F9185" s="2" t="str">
        <f>HYPERLINK("http://www.12365auto.com/zlts/20200211/446923.shtml","http://www.12365auto.com/zlts/20200211/446923.shtml")</f>
        <v>http://www.12365auto.com/zlts/20200211/446923.shtml</v>
      </c>
      <c r="G9185" s="2"/>
      <c r="H9185" s="2" t="s">
        <v>12411</v>
      </c>
      <c r="I9185" s="2" t="s">
        <v>15</v>
      </c>
      <c r="J9185" s="2" t="s">
        <v>12</v>
      </c>
      <c r="K9185" s="2" t="s">
        <v>12410</v>
      </c>
      <c r="L9185" s="2">
        <f t="shared" si="143"/>
        <v>99</v>
      </c>
    </row>
    <row r="9186" spans="1:12" ht="25" customHeight="1">
      <c r="A9186" s="2" t="s">
        <v>12</v>
      </c>
      <c r="B9186" s="2" t="str">
        <f>HYPERLINK("http://www.12365auto.com/zlts/20200211/446922.shtml","变速箱低速行驶有顿挫感，速度快到5码时候明显。")</f>
        <v>变速箱低速行驶有顿挫感，速度快到5码时候明显。</v>
      </c>
      <c r="C9186" s="2" t="s">
        <v>13</v>
      </c>
      <c r="D9186" s="2" t="s">
        <v>12</v>
      </c>
      <c r="E9186" s="2"/>
      <c r="F9186" s="2" t="str">
        <f>HYPERLINK("http://www.12365auto.com/zlts/20200211/446922.shtml","http://www.12365auto.com/zlts/20200211/446922.shtml")</f>
        <v>http://www.12365auto.com/zlts/20200211/446922.shtml</v>
      </c>
      <c r="G9186" s="2"/>
      <c r="H9186" s="2" t="s">
        <v>12413</v>
      </c>
      <c r="I9186" s="2" t="s">
        <v>15</v>
      </c>
      <c r="J9186" s="2" t="s">
        <v>12</v>
      </c>
      <c r="K9186" s="2" t="s">
        <v>12412</v>
      </c>
      <c r="L9186" s="2">
        <f t="shared" si="143"/>
        <v>87</v>
      </c>
    </row>
    <row r="9187" spans="1:12" ht="25" customHeight="1">
      <c r="A9187" s="2" t="s">
        <v>12</v>
      </c>
      <c r="B9187" s="2" t="str">
        <f>HYPERLINK("http://www.12365auto.com/zlts/20200211/446921.shtml","升级过后发动机噪音大变速箱异响水温度上不去")</f>
        <v>升级过后发动机噪音大变速箱异响水温度上不去</v>
      </c>
      <c r="C9187" s="2" t="s">
        <v>13</v>
      </c>
      <c r="D9187" s="2" t="s">
        <v>12</v>
      </c>
      <c r="E9187" s="2"/>
      <c r="F9187" s="2" t="str">
        <f>HYPERLINK("http://www.12365auto.com/zlts/20200211/446921.shtml","http://www.12365auto.com/zlts/20200211/446921.shtml")</f>
        <v>http://www.12365auto.com/zlts/20200211/446921.shtml</v>
      </c>
      <c r="G9187" s="2"/>
      <c r="H9187" s="2" t="s">
        <v>12415</v>
      </c>
      <c r="I9187" s="2" t="s">
        <v>15</v>
      </c>
      <c r="J9187" s="2" t="s">
        <v>12</v>
      </c>
      <c r="K9187" s="2" t="s">
        <v>12414</v>
      </c>
      <c r="L9187" s="2">
        <f t="shared" si="143"/>
        <v>88</v>
      </c>
    </row>
    <row r="9188" spans="1:12" ht="25" customHeight="1">
      <c r="A9188" s="2" t="s">
        <v>12</v>
      </c>
      <c r="B9188" s="2" t="str">
        <f>HYPERLINK("http://www.12365auto.com/zlts/20200211/446920.shtml","冷启动异响，VTC动作器异响，发动机设计缺陷")</f>
        <v>冷启动异响，VTC动作器异响，发动机设计缺陷</v>
      </c>
      <c r="C9188" s="2" t="s">
        <v>13</v>
      </c>
      <c r="D9188" s="2" t="s">
        <v>12</v>
      </c>
      <c r="E9188" s="2"/>
      <c r="F9188" s="2" t="str">
        <f>HYPERLINK("http://www.12365auto.com/zlts/20200211/446920.shtml","http://www.12365auto.com/zlts/20200211/446920.shtml")</f>
        <v>http://www.12365auto.com/zlts/20200211/446920.shtml</v>
      </c>
      <c r="G9188" s="2"/>
      <c r="H9188" s="2" t="s">
        <v>12417</v>
      </c>
      <c r="I9188" s="2" t="s">
        <v>15</v>
      </c>
      <c r="J9188" s="2" t="s">
        <v>12</v>
      </c>
      <c r="K9188" s="2" t="s">
        <v>12416</v>
      </c>
      <c r="L9188" s="2">
        <f t="shared" si="143"/>
        <v>83</v>
      </c>
    </row>
    <row r="9189" spans="1:12" ht="25" customHeight="1">
      <c r="A9189" s="2" t="s">
        <v>12</v>
      </c>
      <c r="B9189" s="2" t="str">
        <f>HYPERLINK("http://www.12365auto.com/zlts/20200211/446916.shtml","方向盘微调卡顿")</f>
        <v>方向盘微调卡顿</v>
      </c>
      <c r="C9189" s="2" t="s">
        <v>13</v>
      </c>
      <c r="D9189" s="2" t="s">
        <v>12</v>
      </c>
      <c r="E9189" s="2"/>
      <c r="F9189" s="2" t="str">
        <f>HYPERLINK("http://www.12365auto.com/zlts/20200211/446916.shtml","http://www.12365auto.com/zlts/20200211/446916.shtml")</f>
        <v>http://www.12365auto.com/zlts/20200211/446916.shtml</v>
      </c>
      <c r="G9189" s="2"/>
      <c r="H9189" s="2" t="s">
        <v>12419</v>
      </c>
      <c r="I9189" s="2" t="s">
        <v>15</v>
      </c>
      <c r="J9189" s="2" t="s">
        <v>12</v>
      </c>
      <c r="K9189" s="2" t="s">
        <v>12418</v>
      </c>
      <c r="L9189" s="2">
        <f t="shared" si="143"/>
        <v>84</v>
      </c>
    </row>
    <row r="9190" spans="1:12" ht="25" customHeight="1">
      <c r="A9190" s="2" t="s">
        <v>12</v>
      </c>
      <c r="B9190" s="2" t="str">
        <f>HYPERLINK("http://www.12365auto.com/zlts/20200211/446919.shtml","北京现代领动售后服务态度差希望厂家处理")</f>
        <v>北京现代领动售后服务态度差希望厂家处理</v>
      </c>
      <c r="C9190" s="2" t="s">
        <v>13</v>
      </c>
      <c r="D9190" s="2" t="s">
        <v>12</v>
      </c>
      <c r="E9190" s="2"/>
      <c r="F9190" s="2" t="str">
        <f>HYPERLINK("http://www.12365auto.com/zlts/20200211/446919.shtml","http://www.12365auto.com/zlts/20200211/446919.shtml")</f>
        <v>http://www.12365auto.com/zlts/20200211/446919.shtml</v>
      </c>
      <c r="G9190" s="2"/>
      <c r="H9190" s="2" t="s">
        <v>12421</v>
      </c>
      <c r="I9190" s="2" t="s">
        <v>15</v>
      </c>
      <c r="J9190" s="2" t="s">
        <v>12</v>
      </c>
      <c r="K9190" s="2" t="s">
        <v>12420</v>
      </c>
      <c r="L9190" s="2">
        <f t="shared" si="143"/>
        <v>83</v>
      </c>
    </row>
    <row r="9191" spans="1:12" ht="25" customHeight="1">
      <c r="A9191" s="2" t="s">
        <v>12</v>
      </c>
      <c r="B9191" s="2" t="str">
        <f>HYPERLINK("http://www.12365auto.com/zlts/20200211/446917.shtml","哈弗F7车载互联使用体验差 存在虚假宣传")</f>
        <v>哈弗F7车载互联使用体验差 存在虚假宣传</v>
      </c>
      <c r="C9191" s="2" t="s">
        <v>13</v>
      </c>
      <c r="D9191" s="2" t="s">
        <v>12</v>
      </c>
      <c r="E9191" s="2"/>
      <c r="F9191" s="2" t="str">
        <f>HYPERLINK("http://www.12365auto.com/zlts/20200211/446917.shtml","http://www.12365auto.com/zlts/20200211/446917.shtml")</f>
        <v>http://www.12365auto.com/zlts/20200211/446917.shtml</v>
      </c>
      <c r="G9191" s="2"/>
      <c r="H9191" s="2" t="s">
        <v>12423</v>
      </c>
      <c r="I9191" s="2" t="s">
        <v>15</v>
      </c>
      <c r="J9191" s="2" t="s">
        <v>12</v>
      </c>
      <c r="K9191" s="2" t="s">
        <v>12422</v>
      </c>
      <c r="L9191" s="2">
        <f t="shared" si="143"/>
        <v>85</v>
      </c>
    </row>
    <row r="9192" spans="1:12" ht="25" customHeight="1">
      <c r="A9192" s="2" t="s">
        <v>12</v>
      </c>
      <c r="B9192" s="2" t="str">
        <f>HYPERLINK("http://www.12365auto.com/zlts/20200211/446912.shtml","打火冷启动异响")</f>
        <v>打火冷启动异响</v>
      </c>
      <c r="C9192" s="2" t="s">
        <v>13</v>
      </c>
      <c r="D9192" s="2" t="s">
        <v>12</v>
      </c>
      <c r="E9192" s="2"/>
      <c r="F9192" s="2" t="str">
        <f>HYPERLINK("http://www.12365auto.com/zlts/20200211/446912.shtml","http://www.12365auto.com/zlts/20200211/446912.shtml")</f>
        <v>http://www.12365auto.com/zlts/20200211/446912.shtml</v>
      </c>
      <c r="G9192" s="2"/>
      <c r="H9192" s="2" t="s">
        <v>12425</v>
      </c>
      <c r="I9192" s="2" t="s">
        <v>15</v>
      </c>
      <c r="J9192" s="2" t="s">
        <v>12</v>
      </c>
      <c r="K9192" s="2" t="s">
        <v>12424</v>
      </c>
      <c r="L9192" s="2">
        <f t="shared" si="143"/>
        <v>82</v>
      </c>
    </row>
    <row r="9193" spans="1:12" ht="25" customHeight="1">
      <c r="A9193" s="2" t="s">
        <v>12</v>
      </c>
      <c r="B9193" s="2" t="str">
        <f>HYPERLINK("http://www.12365auto.com/zlts/20200211/446908.shtml","捷途X70发动机加油异响 底护板磨损油底壳")</f>
        <v>捷途X70发动机加油异响 底护板磨损油底壳</v>
      </c>
      <c r="C9193" s="2" t="s">
        <v>13</v>
      </c>
      <c r="D9193" s="2" t="s">
        <v>12</v>
      </c>
      <c r="E9193" s="2" t="s">
        <v>17</v>
      </c>
      <c r="F9193" s="2" t="str">
        <f>HYPERLINK("http://www.12365auto.com/zlts/20200211/446908.shtml","http://www.12365auto.com/zlts/20200211/446908.shtml")</f>
        <v>http://www.12365auto.com/zlts/20200211/446908.shtml</v>
      </c>
      <c r="G9193" s="2"/>
      <c r="H9193" s="2" t="s">
        <v>12426</v>
      </c>
      <c r="I9193" s="2" t="s">
        <v>19</v>
      </c>
      <c r="J9193" s="2" t="s">
        <v>12</v>
      </c>
      <c r="K9193" s="2" t="s">
        <v>12427</v>
      </c>
      <c r="L9193" s="2">
        <f t="shared" si="143"/>
        <v>150</v>
      </c>
    </row>
    <row r="9194" spans="1:12" ht="25" customHeight="1">
      <c r="A9194" s="2" t="s">
        <v>12</v>
      </c>
      <c r="B9194" s="2" t="str">
        <f>HYPERLINK("http://bbs.12365auto.com/postcontent.aspx?tID=193829","东南DX3行驶过程中底盘有异常响声")</f>
        <v>东南DX3行驶过程中底盘有异常响声</v>
      </c>
      <c r="C9194" s="2" t="s">
        <v>13</v>
      </c>
      <c r="D9194" s="2" t="s">
        <v>12</v>
      </c>
      <c r="E9194" s="2" t="s">
        <v>67</v>
      </c>
      <c r="F9194" s="2" t="str">
        <f>HYPERLINK("http://bbs.12365auto.com/postcontent.aspx?tID=193829","http://bbs.12365auto.com/postcontent.aspx?tID=193829")</f>
        <v>http://bbs.12365auto.com/postcontent.aspx?tID=193829</v>
      </c>
      <c r="G9194" s="2"/>
      <c r="H9194" s="2" t="s">
        <v>12428</v>
      </c>
      <c r="I9194" s="2" t="s">
        <v>15</v>
      </c>
      <c r="J9194" s="2" t="s">
        <v>504</v>
      </c>
      <c r="K9194" s="2" t="s">
        <v>12429</v>
      </c>
      <c r="L9194" s="2">
        <f t="shared" si="143"/>
        <v>75</v>
      </c>
    </row>
    <row r="9195" spans="1:12" ht="25" customHeight="1">
      <c r="A9195" s="2" t="s">
        <v>12</v>
      </c>
      <c r="B9195" s="2" t="str">
        <f>HYPERLINK("http://bbs.12365auto.com/postcontent.aspx?tID=193828","丰田卡罗拉变速箱顿挫发动机故障灯亮")</f>
        <v>丰田卡罗拉变速箱顿挫发动机故障灯亮</v>
      </c>
      <c r="C9195" s="2" t="s">
        <v>13</v>
      </c>
      <c r="D9195" s="2" t="s">
        <v>12</v>
      </c>
      <c r="E9195" s="2" t="s">
        <v>67</v>
      </c>
      <c r="F9195" s="2" t="str">
        <f>HYPERLINK("http://bbs.12365auto.com/postcontent.aspx?tID=193828","http://bbs.12365auto.com/postcontent.aspx?tID=193828")</f>
        <v>http://bbs.12365auto.com/postcontent.aspx?tID=193828</v>
      </c>
      <c r="G9195" s="2"/>
      <c r="H9195" s="2" t="s">
        <v>12430</v>
      </c>
      <c r="I9195" s="2" t="s">
        <v>15</v>
      </c>
      <c r="J9195" s="2" t="s">
        <v>507</v>
      </c>
      <c r="K9195" s="2" t="s">
        <v>12429</v>
      </c>
      <c r="L9195" s="2">
        <f t="shared" si="143"/>
        <v>150</v>
      </c>
    </row>
    <row r="9196" spans="1:12" ht="25" customHeight="1">
      <c r="A9196" s="2" t="s">
        <v>12</v>
      </c>
      <c r="B9196" s="2" t="str">
        <f>HYPERLINK("http://m.12365auto.com/bbs/postcontent.aspx?tID=193829","东南DX3行驶过程中底盘有异常响声")</f>
        <v>东南DX3行驶过程中底盘有异常响声</v>
      </c>
      <c r="C9196" s="2" t="s">
        <v>13</v>
      </c>
      <c r="D9196" s="2" t="s">
        <v>23</v>
      </c>
      <c r="E9196" s="2"/>
      <c r="F9196" s="2" t="str">
        <f>HYPERLINK("http://m.12365auto.com/bbs/postcontent.aspx?tID=193829","http://m.12365auto.com/bbs/postcontent.aspx?tID=193829")</f>
        <v>http://m.12365auto.com/bbs/postcontent.aspx?tID=193829</v>
      </c>
      <c r="G9196" s="2"/>
      <c r="H9196" s="2" t="s">
        <v>12431</v>
      </c>
      <c r="I9196" s="2" t="s">
        <v>15</v>
      </c>
      <c r="J9196" s="2" t="s">
        <v>504</v>
      </c>
      <c r="K9196" s="2" t="s">
        <v>12429</v>
      </c>
      <c r="L9196" s="2">
        <f t="shared" si="143"/>
        <v>58</v>
      </c>
    </row>
    <row r="9197" spans="1:12" ht="25" customHeight="1">
      <c r="A9197" s="2" t="s">
        <v>12</v>
      </c>
      <c r="B9197" s="2" t="str">
        <f>HYPERLINK("http://m.12365auto.com/bbs/postcontent.aspx?tID=193828","丰田卡罗拉变速箱顿挫发动机故障灯亮")</f>
        <v>丰田卡罗拉变速箱顿挫发动机故障灯亮</v>
      </c>
      <c r="C9197" s="2" t="s">
        <v>13</v>
      </c>
      <c r="D9197" s="2" t="s">
        <v>23</v>
      </c>
      <c r="E9197" s="2"/>
      <c r="F9197" s="2" t="str">
        <f>HYPERLINK("http://m.12365auto.com/bbs/postcontent.aspx?tID=193828","http://m.12365auto.com/bbs/postcontent.aspx?tID=193828")</f>
        <v>http://m.12365auto.com/bbs/postcontent.aspx?tID=193828</v>
      </c>
      <c r="G9197" s="2"/>
      <c r="H9197" s="2" t="s">
        <v>12432</v>
      </c>
      <c r="I9197" s="2" t="s">
        <v>15</v>
      </c>
      <c r="J9197" s="2" t="s">
        <v>507</v>
      </c>
      <c r="K9197" s="2" t="s">
        <v>12429</v>
      </c>
      <c r="L9197" s="2">
        <f t="shared" si="143"/>
        <v>150</v>
      </c>
    </row>
    <row r="9198" spans="1:12" ht="25" customHeight="1">
      <c r="A9198" s="2" t="s">
        <v>12</v>
      </c>
      <c r="B9198" s="2" t="str">
        <f>HYPERLINK("http://bbs.12365auto.com/postcontent.aspx?tId=193828","丰田卡罗拉变速箱顿挫发动机故障灯亮")</f>
        <v>丰田卡罗拉变速箱顿挫发动机故障灯亮</v>
      </c>
      <c r="C9198" s="2" t="s">
        <v>13</v>
      </c>
      <c r="D9198" s="2" t="s">
        <v>12</v>
      </c>
      <c r="E9198" s="2" t="s">
        <v>66</v>
      </c>
      <c r="F9198" s="2" t="str">
        <f>HYPERLINK("http://bbs.12365auto.com/postcontent.aspx?tId=193828","http://bbs.12365auto.com/postcontent.aspx?tId=193828")</f>
        <v>http://bbs.12365auto.com/postcontent.aspx?tId=193828</v>
      </c>
      <c r="G9198" s="2"/>
      <c r="H9198" s="2" t="s">
        <v>12432</v>
      </c>
      <c r="I9198" s="2" t="s">
        <v>15</v>
      </c>
      <c r="J9198" s="2" t="s">
        <v>507</v>
      </c>
      <c r="K9198" s="2" t="s">
        <v>12429</v>
      </c>
      <c r="L9198" s="2">
        <f t="shared" si="143"/>
        <v>150</v>
      </c>
    </row>
    <row r="9199" spans="1:12" ht="25" customHeight="1">
      <c r="A9199" s="2" t="s">
        <v>12</v>
      </c>
      <c r="B9199" s="2" t="str">
        <f>HYPERLINK("http://bbs.12365auto.com/postcontent.aspx?tId=193829","东南DX3行驶过程中底盘有异常响声")</f>
        <v>东南DX3行驶过程中底盘有异常响声</v>
      </c>
      <c r="C9199" s="2" t="s">
        <v>13</v>
      </c>
      <c r="D9199" s="2" t="s">
        <v>12</v>
      </c>
      <c r="E9199" s="2" t="s">
        <v>66</v>
      </c>
      <c r="F9199" s="2" t="str">
        <f>HYPERLINK("http://bbs.12365auto.com/postcontent.aspx?tId=193829","http://bbs.12365auto.com/postcontent.aspx?tId=193829")</f>
        <v>http://bbs.12365auto.com/postcontent.aspx?tId=193829</v>
      </c>
      <c r="G9199" s="2"/>
      <c r="H9199" s="2" t="s">
        <v>12431</v>
      </c>
      <c r="I9199" s="2" t="s">
        <v>15</v>
      </c>
      <c r="J9199" s="2" t="s">
        <v>504</v>
      </c>
      <c r="K9199" s="2" t="s">
        <v>12429</v>
      </c>
      <c r="L9199" s="2">
        <f t="shared" si="143"/>
        <v>58</v>
      </c>
    </row>
    <row r="9200" spans="1:12" ht="25" customHeight="1">
      <c r="A9200" s="2" t="s">
        <v>12</v>
      </c>
      <c r="B9200" s="2" t="str">
        <f>HYPERLINK("http://bbs.12365auto.com/postcontent.aspx?tID=193827","宝马3系中控黑屏车门异响 机油量过低")</f>
        <v>宝马3系中控黑屏车门异响 机油量过低</v>
      </c>
      <c r="C9200" s="2" t="s">
        <v>13</v>
      </c>
      <c r="D9200" s="2" t="s">
        <v>12</v>
      </c>
      <c r="E9200" s="2" t="s">
        <v>67</v>
      </c>
      <c r="F9200" s="2" t="str">
        <f>HYPERLINK("http://bbs.12365auto.com/postcontent.aspx?tID=193827","http://bbs.12365auto.com/postcontent.aspx?tID=193827")</f>
        <v>http://bbs.12365auto.com/postcontent.aspx?tID=193827</v>
      </c>
      <c r="G9200" s="2"/>
      <c r="H9200" s="2" t="s">
        <v>12433</v>
      </c>
      <c r="I9200" s="2" t="s">
        <v>15</v>
      </c>
      <c r="J9200" s="2" t="s">
        <v>512</v>
      </c>
      <c r="K9200" s="2" t="s">
        <v>12434</v>
      </c>
      <c r="L9200" s="2">
        <f t="shared" si="143"/>
        <v>150</v>
      </c>
    </row>
    <row r="9201" spans="1:12" ht="25" customHeight="1">
      <c r="A9201" s="2" t="s">
        <v>12</v>
      </c>
      <c r="B9201" s="2" t="str">
        <f>HYPERLINK("http://m.12365auto.com/bbs/postcontent.aspx?tID=193827","宝马3系中控黑屏车门异响 机油量过低")</f>
        <v>宝马3系中控黑屏车门异响 机油量过低</v>
      </c>
      <c r="C9201" s="2" t="s">
        <v>13</v>
      </c>
      <c r="D9201" s="2" t="s">
        <v>23</v>
      </c>
      <c r="E9201" s="2"/>
      <c r="F9201" s="2" t="str">
        <f>HYPERLINK("http://m.12365auto.com/bbs/postcontent.aspx?tID=193827","http://m.12365auto.com/bbs/postcontent.aspx?tID=193827")</f>
        <v>http://m.12365auto.com/bbs/postcontent.aspx?tID=193827</v>
      </c>
      <c r="G9201" s="2"/>
      <c r="H9201" s="2" t="s">
        <v>12435</v>
      </c>
      <c r="I9201" s="2" t="s">
        <v>15</v>
      </c>
      <c r="J9201" s="2" t="s">
        <v>512</v>
      </c>
      <c r="K9201" s="2" t="s">
        <v>12434</v>
      </c>
      <c r="L9201" s="2">
        <f t="shared" si="143"/>
        <v>150</v>
      </c>
    </row>
    <row r="9202" spans="1:12" ht="25" customHeight="1">
      <c r="A9202" s="2" t="s">
        <v>12</v>
      </c>
      <c r="B9202" s="2" t="str">
        <f>HYPERLINK("http://bbs.12365auto.com/postcontent.aspx?tId=193827","宝马3系中控黑屏车门异响 机油量过低")</f>
        <v>宝马3系中控黑屏车门异响 机油量过低</v>
      </c>
      <c r="C9202" s="2" t="s">
        <v>13</v>
      </c>
      <c r="D9202" s="2" t="s">
        <v>12</v>
      </c>
      <c r="E9202" s="2" t="s">
        <v>66</v>
      </c>
      <c r="F9202" s="2" t="str">
        <f>HYPERLINK("http://bbs.12365auto.com/postcontent.aspx?tId=193827","http://bbs.12365auto.com/postcontent.aspx?tId=193827")</f>
        <v>http://bbs.12365auto.com/postcontent.aspx?tId=193827</v>
      </c>
      <c r="G9202" s="2"/>
      <c r="H9202" s="2" t="s">
        <v>12435</v>
      </c>
      <c r="I9202" s="2" t="s">
        <v>15</v>
      </c>
      <c r="J9202" s="2" t="s">
        <v>512</v>
      </c>
      <c r="K9202" s="2" t="s">
        <v>12434</v>
      </c>
      <c r="L9202" s="2">
        <f t="shared" si="143"/>
        <v>150</v>
      </c>
    </row>
    <row r="9203" spans="1:12" ht="25" customHeight="1">
      <c r="A9203" s="2" t="s">
        <v>12</v>
      </c>
      <c r="B9203" s="2" t="str">
        <f>HYPERLINK("http://bbs.12365auto.com/postcontent.aspx?tID=193826","大众宝来发动机机油消耗量太大")</f>
        <v>大众宝来发动机机油消耗量太大</v>
      </c>
      <c r="C9203" s="2" t="s">
        <v>13</v>
      </c>
      <c r="D9203" s="2" t="s">
        <v>12</v>
      </c>
      <c r="E9203" s="2" t="s">
        <v>67</v>
      </c>
      <c r="F9203" s="2" t="str">
        <f>HYPERLINK("http://bbs.12365auto.com/postcontent.aspx?tID=193826","http://bbs.12365auto.com/postcontent.aspx?tID=193826")</f>
        <v>http://bbs.12365auto.com/postcontent.aspx?tID=193826</v>
      </c>
      <c r="G9203" s="2"/>
      <c r="H9203" s="2" t="s">
        <v>12436</v>
      </c>
      <c r="I9203" s="2" t="s">
        <v>15</v>
      </c>
      <c r="J9203" s="2" t="s">
        <v>12437</v>
      </c>
      <c r="K9203" s="2" t="s">
        <v>12438</v>
      </c>
      <c r="L9203" s="2">
        <f t="shared" si="143"/>
        <v>46</v>
      </c>
    </row>
    <row r="9204" spans="1:12" ht="25" customHeight="1">
      <c r="A9204" s="2" t="s">
        <v>12</v>
      </c>
      <c r="B9204" s="2" t="str">
        <f>HYPERLINK("http://m.12365auto.com/bbs/postcontent.aspx?tID=193825","悦达起亚智跑发动机怠速以及行驶中异响")</f>
        <v>悦达起亚智跑发动机怠速以及行驶中异响</v>
      </c>
      <c r="C9204" s="2" t="s">
        <v>13</v>
      </c>
      <c r="D9204" s="2" t="s">
        <v>23</v>
      </c>
      <c r="E9204" s="2"/>
      <c r="F9204" s="2" t="str">
        <f>HYPERLINK("http://m.12365auto.com/bbs/postcontent.aspx?tID=193825","http://m.12365auto.com/bbs/postcontent.aspx?tID=193825")</f>
        <v>http://m.12365auto.com/bbs/postcontent.aspx?tID=193825</v>
      </c>
      <c r="G9204" s="2"/>
      <c r="H9204" s="2" t="s">
        <v>12439</v>
      </c>
      <c r="I9204" s="2" t="s">
        <v>15</v>
      </c>
      <c r="J9204" s="2" t="s">
        <v>516</v>
      </c>
      <c r="K9204" s="2" t="s">
        <v>12438</v>
      </c>
      <c r="L9204" s="2">
        <f t="shared" si="143"/>
        <v>42</v>
      </c>
    </row>
    <row r="9205" spans="1:12" ht="25" customHeight="1">
      <c r="A9205" s="2" t="s">
        <v>12</v>
      </c>
      <c r="B9205" s="2" t="str">
        <f>HYPERLINK("http://m.12365auto.com/bbs/postcontent.aspx?tID=193826","大众宝来发动机机油消耗量太大")</f>
        <v>大众宝来发动机机油消耗量太大</v>
      </c>
      <c r="C9205" s="2" t="s">
        <v>13</v>
      </c>
      <c r="D9205" s="2" t="s">
        <v>23</v>
      </c>
      <c r="E9205" s="2"/>
      <c r="F9205" s="2" t="str">
        <f>HYPERLINK("http://m.12365auto.com/bbs/postcontent.aspx?tID=193826","http://m.12365auto.com/bbs/postcontent.aspx?tID=193826")</f>
        <v>http://m.12365auto.com/bbs/postcontent.aspx?tID=193826</v>
      </c>
      <c r="G9205" s="2"/>
      <c r="H9205" s="2" t="s">
        <v>12440</v>
      </c>
      <c r="I9205" s="2" t="s">
        <v>15</v>
      </c>
      <c r="J9205" s="2" t="s">
        <v>12437</v>
      </c>
      <c r="K9205" s="2" t="s">
        <v>12438</v>
      </c>
      <c r="L9205" s="2">
        <f t="shared" si="143"/>
        <v>32</v>
      </c>
    </row>
    <row r="9206" spans="1:12" ht="25" customHeight="1">
      <c r="A9206" s="2" t="s">
        <v>12</v>
      </c>
      <c r="B9206" s="2" t="str">
        <f>HYPERLINK("http://bbs.12365auto.com/postcontent.aspx?tId=193825","悦达起亚智跑发动机怠速以及行驶中异响")</f>
        <v>悦达起亚智跑发动机怠速以及行驶中异响</v>
      </c>
      <c r="C9206" s="2" t="s">
        <v>13</v>
      </c>
      <c r="D9206" s="2" t="s">
        <v>12</v>
      </c>
      <c r="E9206" s="2" t="s">
        <v>66</v>
      </c>
      <c r="F9206" s="2" t="str">
        <f>HYPERLINK("http://bbs.12365auto.com/postcontent.aspx?tId=193825","http://bbs.12365auto.com/postcontent.aspx?tId=193825")</f>
        <v>http://bbs.12365auto.com/postcontent.aspx?tId=193825</v>
      </c>
      <c r="G9206" s="2"/>
      <c r="H9206" s="2" t="s">
        <v>12439</v>
      </c>
      <c r="I9206" s="2" t="s">
        <v>15</v>
      </c>
      <c r="J9206" s="2" t="s">
        <v>516</v>
      </c>
      <c r="K9206" s="2" t="s">
        <v>12438</v>
      </c>
      <c r="L9206" s="2">
        <f t="shared" si="143"/>
        <v>42</v>
      </c>
    </row>
    <row r="9207" spans="1:12" ht="25" customHeight="1">
      <c r="A9207" s="2" t="s">
        <v>12</v>
      </c>
      <c r="B9207" s="2" t="str">
        <f>HYPERLINK("http://bbs.12365auto.com/postcontent.aspx?tId=193826","大众宝来发动机机油消耗量太大")</f>
        <v>大众宝来发动机机油消耗量太大</v>
      </c>
      <c r="C9207" s="2" t="s">
        <v>13</v>
      </c>
      <c r="D9207" s="2" t="s">
        <v>12</v>
      </c>
      <c r="E9207" s="2" t="s">
        <v>66</v>
      </c>
      <c r="F9207" s="2" t="str">
        <f>HYPERLINK("http://bbs.12365auto.com/postcontent.aspx?tId=193826","http://bbs.12365auto.com/postcontent.aspx?tId=193826")</f>
        <v>http://bbs.12365auto.com/postcontent.aspx?tId=193826</v>
      </c>
      <c r="G9207" s="2"/>
      <c r="H9207" s="2" t="s">
        <v>12440</v>
      </c>
      <c r="I9207" s="2" t="s">
        <v>15</v>
      </c>
      <c r="J9207" s="2" t="s">
        <v>12437</v>
      </c>
      <c r="K9207" s="2" t="s">
        <v>12438</v>
      </c>
      <c r="L9207" s="2">
        <f t="shared" si="143"/>
        <v>32</v>
      </c>
    </row>
    <row r="9208" spans="1:12" ht="25" customHeight="1">
      <c r="A9208" s="2" t="s">
        <v>12</v>
      </c>
      <c r="B9208" s="2" t="str">
        <f>HYPERLINK("http://bbs.12365auto.com/postcontent.aspx?tID=193825","悦达起亚智跑发动机怠速以及行驶中异响")</f>
        <v>悦达起亚智跑发动机怠速以及行驶中异响</v>
      </c>
      <c r="C9208" s="2" t="s">
        <v>13</v>
      </c>
      <c r="D9208" s="2" t="s">
        <v>12</v>
      </c>
      <c r="E9208" s="2" t="s">
        <v>67</v>
      </c>
      <c r="F9208" s="2" t="str">
        <f>HYPERLINK("http://bbs.12365auto.com/postcontent.aspx?tID=193825","http://bbs.12365auto.com/postcontent.aspx?tID=193825")</f>
        <v>http://bbs.12365auto.com/postcontent.aspx?tID=193825</v>
      </c>
      <c r="G9208" s="2"/>
      <c r="H9208" s="2" t="s">
        <v>12441</v>
      </c>
      <c r="I9208" s="2" t="s">
        <v>15</v>
      </c>
      <c r="J9208" s="2" t="s">
        <v>516</v>
      </c>
      <c r="K9208" s="2" t="s">
        <v>12438</v>
      </c>
      <c r="L9208" s="2">
        <f t="shared" si="143"/>
        <v>60</v>
      </c>
    </row>
    <row r="9209" spans="1:12" ht="25" customHeight="1">
      <c r="A9209" s="2" t="s">
        <v>12</v>
      </c>
      <c r="B9209" s="2" t="str">
        <f>HYPERLINK("http://m.12365auto.com/bbs/postcontent.aspx?tID=193824","大众帕萨特A柱碰撞测试不合格")</f>
        <v>大众帕萨特A柱碰撞测试不合格</v>
      </c>
      <c r="C9209" s="2" t="s">
        <v>13</v>
      </c>
      <c r="D9209" s="2" t="s">
        <v>23</v>
      </c>
      <c r="E9209" s="2"/>
      <c r="F9209" s="2" t="str">
        <f>HYPERLINK("http://m.12365auto.com/bbs/postcontent.aspx?tID=193824","http://m.12365auto.com/bbs/postcontent.aspx?tID=193824")</f>
        <v>http://m.12365auto.com/bbs/postcontent.aspx?tID=193824</v>
      </c>
      <c r="G9209" s="2"/>
      <c r="H9209" s="2" t="s">
        <v>12442</v>
      </c>
      <c r="I9209" s="2" t="s">
        <v>15</v>
      </c>
      <c r="J9209" s="2" t="s">
        <v>521</v>
      </c>
      <c r="K9209" s="2" t="s">
        <v>12443</v>
      </c>
      <c r="L9209" s="2">
        <f t="shared" si="143"/>
        <v>49</v>
      </c>
    </row>
    <row r="9210" spans="1:12" ht="25" customHeight="1">
      <c r="A9210" s="2" t="s">
        <v>12</v>
      </c>
      <c r="B9210" s="2" t="str">
        <f>HYPERLINK("http://bbs.12365auto.com/postcontent.aspx?tId=193824","大众帕萨特A柱碰撞测试不合格")</f>
        <v>大众帕萨特A柱碰撞测试不合格</v>
      </c>
      <c r="C9210" s="2" t="s">
        <v>13</v>
      </c>
      <c r="D9210" s="2" t="s">
        <v>12</v>
      </c>
      <c r="E9210" s="2" t="s">
        <v>66</v>
      </c>
      <c r="F9210" s="2" t="str">
        <f>HYPERLINK("http://bbs.12365auto.com/postcontent.aspx?tId=193824","http://bbs.12365auto.com/postcontent.aspx?tId=193824")</f>
        <v>http://bbs.12365auto.com/postcontent.aspx?tId=193824</v>
      </c>
      <c r="G9210" s="2"/>
      <c r="H9210" s="2" t="s">
        <v>12442</v>
      </c>
      <c r="I9210" s="2" t="s">
        <v>15</v>
      </c>
      <c r="J9210" s="2" t="s">
        <v>521</v>
      </c>
      <c r="K9210" s="2" t="s">
        <v>12443</v>
      </c>
      <c r="L9210" s="2">
        <f t="shared" si="143"/>
        <v>49</v>
      </c>
    </row>
    <row r="9211" spans="1:12" ht="25" customHeight="1">
      <c r="A9211" s="2" t="s">
        <v>12</v>
      </c>
      <c r="B9211" s="2" t="str">
        <f>HYPERLINK("http://bbs.12365auto.com/postcontent.aspx?tID=193824","大众帕萨特A柱碰撞测试不合格")</f>
        <v>大众帕萨特A柱碰撞测试不合格</v>
      </c>
      <c r="C9211" s="2" t="s">
        <v>13</v>
      </c>
      <c r="D9211" s="2" t="s">
        <v>12</v>
      </c>
      <c r="E9211" s="2" t="s">
        <v>67</v>
      </c>
      <c r="F9211" s="2" t="str">
        <f>HYPERLINK("http://bbs.12365auto.com/postcontent.aspx?tID=193824","http://bbs.12365auto.com/postcontent.aspx?tID=193824")</f>
        <v>http://bbs.12365auto.com/postcontent.aspx?tID=193824</v>
      </c>
      <c r="G9211" s="2"/>
      <c r="H9211" s="2" t="s">
        <v>12444</v>
      </c>
      <c r="I9211" s="2" t="s">
        <v>15</v>
      </c>
      <c r="J9211" s="2" t="s">
        <v>521</v>
      </c>
      <c r="K9211" s="2" t="s">
        <v>12443</v>
      </c>
      <c r="L9211" s="2">
        <f t="shared" si="143"/>
        <v>63</v>
      </c>
    </row>
    <row r="9212" spans="1:12" ht="25" customHeight="1">
      <c r="A9212" s="2" t="s">
        <v>12</v>
      </c>
      <c r="B9212" s="2" t="str">
        <f>HYPERLINK("http://m.12365auto.com/bbs/postcontent.aspx?tID=193822","蓝鸟变速箱脱挡 顿挫 打滑 异响")</f>
        <v>蓝鸟变速箱脱挡 顿挫 打滑 异响</v>
      </c>
      <c r="C9212" s="2" t="s">
        <v>13</v>
      </c>
      <c r="D9212" s="2" t="s">
        <v>23</v>
      </c>
      <c r="E9212" s="2"/>
      <c r="F9212" s="2" t="str">
        <f>HYPERLINK("http://m.12365auto.com/bbs/postcontent.aspx?tID=193822","http://m.12365auto.com/bbs/postcontent.aspx?tID=193822")</f>
        <v>http://m.12365auto.com/bbs/postcontent.aspx?tID=193822</v>
      </c>
      <c r="G9212" s="2"/>
      <c r="H9212" s="2" t="s">
        <v>12445</v>
      </c>
      <c r="I9212" s="2" t="s">
        <v>15</v>
      </c>
      <c r="J9212" s="2" t="s">
        <v>525</v>
      </c>
      <c r="K9212" s="2" t="s">
        <v>12446</v>
      </c>
      <c r="L9212" s="2">
        <f t="shared" si="143"/>
        <v>150</v>
      </c>
    </row>
    <row r="9213" spans="1:12" ht="25" customHeight="1">
      <c r="A9213" s="2" t="s">
        <v>12</v>
      </c>
      <c r="B9213" s="2" t="str">
        <f>HYPERLINK("http://m.12365auto.com/bbs/postcontent.aspx?tID=193823","艾瑞泽5后备箱漏水减震器异响 挂挡异响")</f>
        <v>艾瑞泽5后备箱漏水减震器异响 挂挡异响</v>
      </c>
      <c r="C9213" s="2" t="s">
        <v>13</v>
      </c>
      <c r="D9213" s="2" t="s">
        <v>23</v>
      </c>
      <c r="E9213" s="2"/>
      <c r="F9213" s="2" t="str">
        <f>HYPERLINK("http://m.12365auto.com/bbs/postcontent.aspx?tID=193823","http://m.12365auto.com/bbs/postcontent.aspx?tID=193823")</f>
        <v>http://m.12365auto.com/bbs/postcontent.aspx?tID=193823</v>
      </c>
      <c r="G9213" s="2"/>
      <c r="H9213" s="2" t="s">
        <v>12447</v>
      </c>
      <c r="I9213" s="2" t="s">
        <v>15</v>
      </c>
      <c r="J9213" s="2" t="s">
        <v>528</v>
      </c>
      <c r="K9213" s="2" t="s">
        <v>12446</v>
      </c>
      <c r="L9213" s="2">
        <f t="shared" si="143"/>
        <v>30</v>
      </c>
    </row>
    <row r="9214" spans="1:12" ht="25" customHeight="1">
      <c r="A9214" s="2" t="s">
        <v>12</v>
      </c>
      <c r="B9214" s="2" t="str">
        <f>HYPERLINK("http://bbs.12365auto.com/postcontent.aspx?tId=193822","蓝鸟变速箱脱挡 顿挫 打滑 异响")</f>
        <v>蓝鸟变速箱脱挡 顿挫 打滑 异响</v>
      </c>
      <c r="C9214" s="2" t="s">
        <v>13</v>
      </c>
      <c r="D9214" s="2" t="s">
        <v>12</v>
      </c>
      <c r="E9214" s="2" t="s">
        <v>66</v>
      </c>
      <c r="F9214" s="2" t="str">
        <f>HYPERLINK("http://bbs.12365auto.com/postcontent.aspx?tId=193822","http://bbs.12365auto.com/postcontent.aspx?tId=193822")</f>
        <v>http://bbs.12365auto.com/postcontent.aspx?tId=193822</v>
      </c>
      <c r="G9214" s="2"/>
      <c r="H9214" s="2" t="s">
        <v>12445</v>
      </c>
      <c r="I9214" s="2" t="s">
        <v>15</v>
      </c>
      <c r="J9214" s="2" t="s">
        <v>525</v>
      </c>
      <c r="K9214" s="2" t="s">
        <v>12446</v>
      </c>
      <c r="L9214" s="2">
        <f t="shared" si="143"/>
        <v>150</v>
      </c>
    </row>
    <row r="9215" spans="1:12" ht="25" customHeight="1">
      <c r="A9215" s="2" t="s">
        <v>12</v>
      </c>
      <c r="B9215" s="2" t="str">
        <f>HYPERLINK("http://bbs.12365auto.com/postcontent.aspx?tId=193823","艾瑞泽5后备箱漏水减震器异响 挂挡异响")</f>
        <v>艾瑞泽5后备箱漏水减震器异响 挂挡异响</v>
      </c>
      <c r="C9215" s="2" t="s">
        <v>13</v>
      </c>
      <c r="D9215" s="2" t="s">
        <v>12</v>
      </c>
      <c r="E9215" s="2" t="s">
        <v>66</v>
      </c>
      <c r="F9215" s="2" t="str">
        <f>HYPERLINK("http://bbs.12365auto.com/postcontent.aspx?tId=193823","http://bbs.12365auto.com/postcontent.aspx?tId=193823")</f>
        <v>http://bbs.12365auto.com/postcontent.aspx?tId=193823</v>
      </c>
      <c r="G9215" s="2"/>
      <c r="H9215" s="2" t="s">
        <v>12447</v>
      </c>
      <c r="I9215" s="2" t="s">
        <v>15</v>
      </c>
      <c r="J9215" s="2" t="s">
        <v>528</v>
      </c>
      <c r="K9215" s="2" t="s">
        <v>12446</v>
      </c>
      <c r="L9215" s="2">
        <f t="shared" si="143"/>
        <v>30</v>
      </c>
    </row>
    <row r="9216" spans="1:12" ht="25" customHeight="1">
      <c r="A9216" s="2" t="s">
        <v>12</v>
      </c>
      <c r="B9216" s="2" t="str">
        <f>HYPERLINK("http://bbs.12365auto.com/postcontent.aspx?tID=193822","蓝鸟变速箱脱挡 顿挫 打滑 异响")</f>
        <v>蓝鸟变速箱脱挡 顿挫 打滑 异响</v>
      </c>
      <c r="C9216" s="2" t="s">
        <v>13</v>
      </c>
      <c r="D9216" s="2" t="s">
        <v>12</v>
      </c>
      <c r="E9216" s="2" t="s">
        <v>67</v>
      </c>
      <c r="F9216" s="2" t="str">
        <f>HYPERLINK("http://bbs.12365auto.com/postcontent.aspx?tID=193822","http://bbs.12365auto.com/postcontent.aspx?tID=193822")</f>
        <v>http://bbs.12365auto.com/postcontent.aspx?tID=193822</v>
      </c>
      <c r="G9216" s="2"/>
      <c r="H9216" s="2" t="s">
        <v>12448</v>
      </c>
      <c r="I9216" s="2" t="s">
        <v>15</v>
      </c>
      <c r="J9216" s="2" t="s">
        <v>525</v>
      </c>
      <c r="K9216" s="2" t="s">
        <v>12446</v>
      </c>
      <c r="L9216" s="2">
        <f t="shared" si="143"/>
        <v>150</v>
      </c>
    </row>
    <row r="9217" spans="1:12" ht="25" customHeight="1">
      <c r="A9217" s="2" t="s">
        <v>12</v>
      </c>
      <c r="B9217" s="2" t="str">
        <f>HYPERLINK("http://bbs.12365auto.com/postcontent.aspx?tID=193823","艾瑞泽5后备箱漏水减震器异响 挂挡异响")</f>
        <v>艾瑞泽5后备箱漏水减震器异响 挂挡异响</v>
      </c>
      <c r="C9217" s="2" t="s">
        <v>13</v>
      </c>
      <c r="D9217" s="2" t="s">
        <v>12</v>
      </c>
      <c r="E9217" s="2" t="s">
        <v>67</v>
      </c>
      <c r="F9217" s="2" t="str">
        <f>HYPERLINK("http://bbs.12365auto.com/postcontent.aspx?tID=193823","http://bbs.12365auto.com/postcontent.aspx?tID=193823")</f>
        <v>http://bbs.12365auto.com/postcontent.aspx?tID=193823</v>
      </c>
      <c r="G9217" s="2"/>
      <c r="H9217" s="2" t="s">
        <v>12449</v>
      </c>
      <c r="I9217" s="2" t="s">
        <v>15</v>
      </c>
      <c r="J9217" s="2" t="s">
        <v>528</v>
      </c>
      <c r="K9217" s="2" t="s">
        <v>12446</v>
      </c>
      <c r="L9217" s="2">
        <f t="shared" si="143"/>
        <v>49</v>
      </c>
    </row>
    <row r="9218" spans="1:12" ht="25" customHeight="1">
      <c r="A9218" s="2" t="s">
        <v>12</v>
      </c>
      <c r="B9218" s="2" t="str">
        <f>HYPERLINK("http://m.12365auto.com/bbs/postcontent.aspx?tID=193821","昂克赛拉普利司通轮胎鼓包")</f>
        <v>昂克赛拉普利司通轮胎鼓包</v>
      </c>
      <c r="C9218" s="2" t="s">
        <v>13</v>
      </c>
      <c r="D9218" s="2" t="s">
        <v>23</v>
      </c>
      <c r="E9218" s="2"/>
      <c r="F9218" s="2" t="str">
        <f>HYPERLINK("http://m.12365auto.com/bbs/postcontent.aspx?tID=193821","http://m.12365auto.com/bbs/postcontent.aspx?tID=193821")</f>
        <v>http://m.12365auto.com/bbs/postcontent.aspx?tID=193821</v>
      </c>
      <c r="G9218" s="2"/>
      <c r="H9218" s="2" t="s">
        <v>12450</v>
      </c>
      <c r="I9218" s="2" t="s">
        <v>15</v>
      </c>
      <c r="J9218" s="2" t="s">
        <v>538</v>
      </c>
      <c r="K9218" s="2" t="s">
        <v>12451</v>
      </c>
      <c r="L9218" s="2">
        <f t="shared" si="143"/>
        <v>150</v>
      </c>
    </row>
    <row r="9219" spans="1:12" ht="25" customHeight="1">
      <c r="A9219" s="2" t="s">
        <v>12</v>
      </c>
      <c r="B9219" s="2" t="str">
        <f>HYPERLINK("http://bbs.12365auto.com/postcontent.aspx?tId=193821","昂克赛拉普利司通轮胎鼓包")</f>
        <v>昂克赛拉普利司通轮胎鼓包</v>
      </c>
      <c r="C9219" s="2" t="s">
        <v>13</v>
      </c>
      <c r="D9219" s="2" t="s">
        <v>12</v>
      </c>
      <c r="E9219" s="2" t="s">
        <v>66</v>
      </c>
      <c r="F9219" s="2" t="str">
        <f>HYPERLINK("http://bbs.12365auto.com/postcontent.aspx?tId=193821","http://bbs.12365auto.com/postcontent.aspx?tId=193821")</f>
        <v>http://bbs.12365auto.com/postcontent.aspx?tId=193821</v>
      </c>
      <c r="G9219" s="2"/>
      <c r="H9219" s="2" t="s">
        <v>12450</v>
      </c>
      <c r="I9219" s="2" t="s">
        <v>15</v>
      </c>
      <c r="J9219" s="2" t="s">
        <v>538</v>
      </c>
      <c r="K9219" s="2" t="s">
        <v>12451</v>
      </c>
      <c r="L9219" s="2">
        <f t="shared" ref="L9219:L9282" si="144">LEN(H9219)</f>
        <v>150</v>
      </c>
    </row>
    <row r="9220" spans="1:12" ht="25" customHeight="1">
      <c r="A9220" s="2" t="s">
        <v>12</v>
      </c>
      <c r="B9220" s="2" t="str">
        <f>HYPERLINK("http://bbs.12365auto.com/postcontent.aspx?tID=193821","昂克赛拉普利司通轮胎鼓包")</f>
        <v>昂克赛拉普利司通轮胎鼓包</v>
      </c>
      <c r="C9220" s="2" t="s">
        <v>13</v>
      </c>
      <c r="D9220" s="2" t="s">
        <v>12</v>
      </c>
      <c r="E9220" s="2" t="s">
        <v>67</v>
      </c>
      <c r="F9220" s="2" t="str">
        <f>HYPERLINK("http://bbs.12365auto.com/postcontent.aspx?tID=193821","http://bbs.12365auto.com/postcontent.aspx?tID=193821")</f>
        <v>http://bbs.12365auto.com/postcontent.aspx?tID=193821</v>
      </c>
      <c r="G9220" s="2"/>
      <c r="H9220" s="2" t="s">
        <v>12452</v>
      </c>
      <c r="I9220" s="2" t="s">
        <v>15</v>
      </c>
      <c r="J9220" s="2" t="s">
        <v>538</v>
      </c>
      <c r="K9220" s="2" t="s">
        <v>12451</v>
      </c>
      <c r="L9220" s="2">
        <f t="shared" si="144"/>
        <v>150</v>
      </c>
    </row>
    <row r="9221" spans="1:12" ht="25" customHeight="1">
      <c r="A9221" s="2" t="s">
        <v>12</v>
      </c>
      <c r="B9221" s="2" t="str">
        <f>HYPERLINK("http://www.12365auto.com/zlts/20200211/446907.shtml","一汽大众探歌起步方向盘抖动 车身共振")</f>
        <v>一汽大众探歌起步方向盘抖动 车身共振</v>
      </c>
      <c r="C9221" s="2" t="s">
        <v>13</v>
      </c>
      <c r="D9221" s="2" t="s">
        <v>12</v>
      </c>
      <c r="E9221" s="2" t="s">
        <v>17</v>
      </c>
      <c r="F9221" s="2" t="str">
        <f>HYPERLINK("http://www.12365auto.com/zlts/20200211/446907.shtml","http://www.12365auto.com/zlts/20200211/446907.shtml")</f>
        <v>http://www.12365auto.com/zlts/20200211/446907.shtml</v>
      </c>
      <c r="G9221" s="2"/>
      <c r="H9221" s="2" t="s">
        <v>12453</v>
      </c>
      <c r="I9221" s="2" t="s">
        <v>15</v>
      </c>
      <c r="J9221" s="2" t="s">
        <v>12</v>
      </c>
      <c r="K9221" s="2" t="s">
        <v>12454</v>
      </c>
      <c r="L9221" s="2">
        <f t="shared" si="144"/>
        <v>150</v>
      </c>
    </row>
    <row r="9222" spans="1:12" ht="25" customHeight="1">
      <c r="A9222" s="2" t="s">
        <v>12</v>
      </c>
      <c r="B9222" s="2" t="str">
        <f>HYPERLINK("http://m.12365auto.com/bbs/postcontent.aspx?tID=193820","奇骏发动机故障灯亮导致抖动")</f>
        <v>奇骏发动机故障灯亮导致抖动</v>
      </c>
      <c r="C9222" s="2" t="s">
        <v>13</v>
      </c>
      <c r="D9222" s="2" t="s">
        <v>23</v>
      </c>
      <c r="E9222" s="2"/>
      <c r="F9222" s="2" t="str">
        <f>HYPERLINK("http://m.12365auto.com/bbs/postcontent.aspx?tID=193820","http://m.12365auto.com/bbs/postcontent.aspx?tID=193820")</f>
        <v>http://m.12365auto.com/bbs/postcontent.aspx?tID=193820</v>
      </c>
      <c r="G9222" s="2"/>
      <c r="H9222" s="2" t="s">
        <v>12455</v>
      </c>
      <c r="I9222" s="2" t="s">
        <v>15</v>
      </c>
      <c r="J9222" s="2" t="s">
        <v>528</v>
      </c>
      <c r="K9222" s="2" t="s">
        <v>12454</v>
      </c>
      <c r="L9222" s="2">
        <f t="shared" si="144"/>
        <v>150</v>
      </c>
    </row>
    <row r="9223" spans="1:12" ht="25" customHeight="1">
      <c r="A9223" s="2" t="s">
        <v>12</v>
      </c>
      <c r="B9223" s="2" t="str">
        <f>HYPERLINK("http://bbs.12365auto.com/postcontent.aspx?tId=193820","奇骏发动机故障灯亮导致抖动")</f>
        <v>奇骏发动机故障灯亮导致抖动</v>
      </c>
      <c r="C9223" s="2" t="s">
        <v>13</v>
      </c>
      <c r="D9223" s="2" t="s">
        <v>12</v>
      </c>
      <c r="E9223" s="2" t="s">
        <v>66</v>
      </c>
      <c r="F9223" s="2" t="str">
        <f>HYPERLINK("http://bbs.12365auto.com/postcontent.aspx?tId=193820","http://bbs.12365auto.com/postcontent.aspx?tId=193820")</f>
        <v>http://bbs.12365auto.com/postcontent.aspx?tId=193820</v>
      </c>
      <c r="G9223" s="2"/>
      <c r="H9223" s="2" t="s">
        <v>12455</v>
      </c>
      <c r="I9223" s="2" t="s">
        <v>15</v>
      </c>
      <c r="J9223" s="2" t="s">
        <v>528</v>
      </c>
      <c r="K9223" s="2" t="s">
        <v>12454</v>
      </c>
      <c r="L9223" s="2">
        <f t="shared" si="144"/>
        <v>150</v>
      </c>
    </row>
    <row r="9224" spans="1:12" ht="25" customHeight="1">
      <c r="A9224" s="2" t="s">
        <v>12</v>
      </c>
      <c r="B9224" s="2" t="str">
        <f>HYPERLINK("http://bbs.12365auto.com/postcontent.aspx?tID=193820","奇骏发动机故障灯亮导致抖动")</f>
        <v>奇骏发动机故障灯亮导致抖动</v>
      </c>
      <c r="C9224" s="2" t="s">
        <v>13</v>
      </c>
      <c r="D9224" s="2" t="s">
        <v>12</v>
      </c>
      <c r="E9224" s="2" t="s">
        <v>67</v>
      </c>
      <c r="F9224" s="2" t="str">
        <f>HYPERLINK("http://bbs.12365auto.com/postcontent.aspx?tID=193820","http://bbs.12365auto.com/postcontent.aspx?tID=193820")</f>
        <v>http://bbs.12365auto.com/postcontent.aspx?tID=193820</v>
      </c>
      <c r="G9224" s="2"/>
      <c r="H9224" s="2" t="s">
        <v>12456</v>
      </c>
      <c r="I9224" s="2" t="s">
        <v>15</v>
      </c>
      <c r="J9224" s="2" t="s">
        <v>528</v>
      </c>
      <c r="K9224" s="2" t="s">
        <v>12454</v>
      </c>
      <c r="L9224" s="2">
        <f t="shared" si="144"/>
        <v>150</v>
      </c>
    </row>
    <row r="9225" spans="1:12" ht="25" customHeight="1">
      <c r="A9225" s="2" t="s">
        <v>12</v>
      </c>
      <c r="B9225" s="2" t="str">
        <f>HYPERLINK("http://m.12365auto.com/zjdy/20200211/121163.shtml","帝豪逸动艾瑞泽GX和领动相比更推荐哪款？")</f>
        <v>帝豪逸动艾瑞泽GX和领动相比更推荐哪款？</v>
      </c>
      <c r="C9225" s="2" t="s">
        <v>13</v>
      </c>
      <c r="D9225" s="2" t="s">
        <v>12</v>
      </c>
      <c r="E9225" s="2"/>
      <c r="F9225" s="2" t="str">
        <f>HYPERLINK("http://m.12365auto.com/zjdy/20200211/121163.shtml","http://m.12365auto.com/zjdy/20200211/121163.shtml")</f>
        <v>http://m.12365auto.com/zjdy/20200211/121163.shtml</v>
      </c>
      <c r="G9225" s="2"/>
      <c r="H9225" s="2" t="s">
        <v>12457</v>
      </c>
      <c r="I9225" s="2" t="s">
        <v>19</v>
      </c>
      <c r="J9225" s="2" t="s">
        <v>12</v>
      </c>
      <c r="K9225" s="2" t="s">
        <v>12458</v>
      </c>
      <c r="L9225" s="2">
        <f t="shared" si="144"/>
        <v>150</v>
      </c>
    </row>
    <row r="9226" spans="1:12" ht="25" customHeight="1">
      <c r="A9226" s="2" t="s">
        <v>12</v>
      </c>
      <c r="B9226" s="2" t="str">
        <f>HYPERLINK("http://m.12365auto.com/zjdy/20200211/121162.shtml","领动轩逸和科鲁泽哪款故障率相对较低？")</f>
        <v>领动轩逸和科鲁泽哪款故障率相对较低？</v>
      </c>
      <c r="C9226" s="2" t="s">
        <v>13</v>
      </c>
      <c r="D9226" s="2" t="s">
        <v>12</v>
      </c>
      <c r="E9226" s="2"/>
      <c r="F9226" s="2" t="str">
        <f>HYPERLINK("http://m.12365auto.com/zjdy/20200211/121162.shtml","http://m.12365auto.com/zjdy/20200211/121162.shtml")</f>
        <v>http://m.12365auto.com/zjdy/20200211/121162.shtml</v>
      </c>
      <c r="G9226" s="2"/>
      <c r="H9226" s="2" t="s">
        <v>12459</v>
      </c>
      <c r="I9226" s="2" t="s">
        <v>19</v>
      </c>
      <c r="J9226" s="2" t="s">
        <v>12</v>
      </c>
      <c r="K9226" s="2" t="s">
        <v>12460</v>
      </c>
      <c r="L9226" s="2">
        <f t="shared" si="144"/>
        <v>62</v>
      </c>
    </row>
    <row r="9227" spans="1:12" ht="25" customHeight="1">
      <c r="A9227" s="2" t="s">
        <v>12</v>
      </c>
      <c r="B9227" s="2" t="str">
        <f>HYPERLINK("http://m.12365auto.com/news/20200211/418273.shtml","汽车戴口罩 名爵2年前已推出“N99级”防护")</f>
        <v>汽车戴口罩 名爵2年前已推出“N99级”防护</v>
      </c>
      <c r="C9227" s="2" t="s">
        <v>13</v>
      </c>
      <c r="D9227" s="2" t="s">
        <v>12</v>
      </c>
      <c r="E9227" s="2"/>
      <c r="F9227" s="2" t="str">
        <f>HYPERLINK("http://m.12365auto.com/news/20200211/418273.shtml","http://m.12365auto.com/news/20200211/418273.shtml")</f>
        <v>http://m.12365auto.com/news/20200211/418273.shtml</v>
      </c>
      <c r="G9227" s="2"/>
      <c r="H9227" s="2" t="s">
        <v>12461</v>
      </c>
      <c r="I9227" s="2" t="s">
        <v>19</v>
      </c>
      <c r="J9227" s="2" t="s">
        <v>12</v>
      </c>
      <c r="K9227" s="2" t="s">
        <v>12462</v>
      </c>
      <c r="L9227" s="2">
        <f t="shared" si="144"/>
        <v>150</v>
      </c>
    </row>
    <row r="9228" spans="1:12" ht="25" customHeight="1">
      <c r="A9228" s="2" t="s">
        <v>12</v>
      </c>
      <c r="B9228" s="2" t="str">
        <f>HYPERLINK("http://m.12365auto.com/news/20200211/418272.shtml","新年上班第一天，广汽三菱奋斗模式已开启！")</f>
        <v>新年上班第一天，广汽三菱奋斗模式已开启！</v>
      </c>
      <c r="C9228" s="2" t="s">
        <v>13</v>
      </c>
      <c r="D9228" s="2" t="s">
        <v>12</v>
      </c>
      <c r="E9228" s="2"/>
      <c r="F9228" s="2" t="str">
        <f>HYPERLINK("http://m.12365auto.com/news/20200211/418272.shtml","http://m.12365auto.com/news/20200211/418272.shtml")</f>
        <v>http://m.12365auto.com/news/20200211/418272.shtml</v>
      </c>
      <c r="G9228" s="2"/>
      <c r="H9228" s="2" t="s">
        <v>12463</v>
      </c>
      <c r="I9228" s="2" t="s">
        <v>19</v>
      </c>
      <c r="J9228" s="2" t="s">
        <v>12</v>
      </c>
      <c r="K9228" s="2" t="s">
        <v>12464</v>
      </c>
      <c r="L9228" s="2">
        <f t="shared" si="144"/>
        <v>150</v>
      </c>
    </row>
    <row r="9229" spans="1:12" ht="25" customHeight="1">
      <c r="A9229" s="2" t="s">
        <v>12</v>
      </c>
      <c r="B9229" s="2" t="str">
        <f>HYPERLINK("http://www.12365auto.com/zlts/20200211/446903.shtml","长安马自达CX-5电瓶频繁亏电疑似漏电")</f>
        <v>长安马自达CX-5电瓶频繁亏电疑似漏电</v>
      </c>
      <c r="C9229" s="2" t="s">
        <v>13</v>
      </c>
      <c r="D9229" s="2" t="s">
        <v>12</v>
      </c>
      <c r="E9229" s="2"/>
      <c r="F9229" s="2" t="str">
        <f>HYPERLINK("http://www.12365auto.com/zlts/20200211/446903.shtml","http://www.12365auto.com/zlts/20200211/446903.shtml")</f>
        <v>http://www.12365auto.com/zlts/20200211/446903.shtml</v>
      </c>
      <c r="G9229" s="2"/>
      <c r="H9229" s="2" t="s">
        <v>12466</v>
      </c>
      <c r="I9229" s="2" t="s">
        <v>15</v>
      </c>
      <c r="J9229" s="2" t="s">
        <v>12</v>
      </c>
      <c r="K9229" s="2" t="s">
        <v>12465</v>
      </c>
      <c r="L9229" s="2">
        <f t="shared" si="144"/>
        <v>92</v>
      </c>
    </row>
    <row r="9230" spans="1:12" ht="25" customHeight="1">
      <c r="A9230" s="2" t="s">
        <v>12</v>
      </c>
      <c r="B9230" s="2" t="str">
        <f>HYPERLINK("http://www.12365auto.com/zlts/20200211/446906.shtml","东风日产奇骏发动机故障灯亮导致抖动")</f>
        <v>东风日产奇骏发动机故障灯亮导致抖动</v>
      </c>
      <c r="C9230" s="2" t="s">
        <v>13</v>
      </c>
      <c r="D9230" s="2" t="s">
        <v>12</v>
      </c>
      <c r="E9230" s="2" t="s">
        <v>17</v>
      </c>
      <c r="F9230" s="2" t="str">
        <f>HYPERLINK("http://www.12365auto.com/zlts/20200211/446906.shtml","http://www.12365auto.com/zlts/20200211/446906.shtml")</f>
        <v>http://www.12365auto.com/zlts/20200211/446906.shtml</v>
      </c>
      <c r="G9230" s="2"/>
      <c r="H9230" s="2" t="s">
        <v>12467</v>
      </c>
      <c r="I9230" s="2" t="s">
        <v>15</v>
      </c>
      <c r="J9230" s="2" t="s">
        <v>12</v>
      </c>
      <c r="K9230" s="2" t="s">
        <v>12468</v>
      </c>
      <c r="L9230" s="2">
        <f t="shared" si="144"/>
        <v>150</v>
      </c>
    </row>
    <row r="9231" spans="1:12" ht="25" customHeight="1">
      <c r="A9231" s="2" t="s">
        <v>12</v>
      </c>
      <c r="B9231" s="2" t="str">
        <f>HYPERLINK("http://www.12365auto.com/zlts/20200211/446905.shtml","长安马自达昂克赛拉普利司通轮胎鼓包")</f>
        <v>长安马自达昂克赛拉普利司通轮胎鼓包</v>
      </c>
      <c r="C9231" s="2" t="s">
        <v>13</v>
      </c>
      <c r="D9231" s="2" t="s">
        <v>12</v>
      </c>
      <c r="E9231" s="2" t="s">
        <v>17</v>
      </c>
      <c r="F9231" s="2" t="str">
        <f>HYPERLINK("http://www.12365auto.com/zlts/20200211/446905.shtml","http://www.12365auto.com/zlts/20200211/446905.shtml")</f>
        <v>http://www.12365auto.com/zlts/20200211/446905.shtml</v>
      </c>
      <c r="G9231" s="2"/>
      <c r="H9231" s="2" t="s">
        <v>12469</v>
      </c>
      <c r="I9231" s="2" t="s">
        <v>19</v>
      </c>
      <c r="J9231" s="2" t="s">
        <v>12</v>
      </c>
      <c r="K9231" s="2" t="s">
        <v>12470</v>
      </c>
      <c r="L9231" s="2">
        <f t="shared" si="144"/>
        <v>150</v>
      </c>
    </row>
    <row r="9232" spans="1:12" ht="25" customHeight="1">
      <c r="A9232" s="2" t="s">
        <v>12</v>
      </c>
      <c r="B9232" s="2" t="str">
        <f>HYPERLINK("http://www.12365auto.com/zlts/20200211/446904.shtml","东风日产蓝鸟变速箱脱挡 顿挫 打滑 异响")</f>
        <v>东风日产蓝鸟变速箱脱挡 顿挫 打滑 异响</v>
      </c>
      <c r="C9232" s="2" t="s">
        <v>13</v>
      </c>
      <c r="D9232" s="2" t="s">
        <v>12</v>
      </c>
      <c r="E9232" s="2" t="s">
        <v>17</v>
      </c>
      <c r="F9232" s="2" t="str">
        <f>HYPERLINK("http://www.12365auto.com/zlts/20200211/446904.shtml","http://www.12365auto.com/zlts/20200211/446904.shtml")</f>
        <v>http://www.12365auto.com/zlts/20200211/446904.shtml</v>
      </c>
      <c r="G9232" s="2"/>
      <c r="H9232" s="2" t="s">
        <v>12471</v>
      </c>
      <c r="I9232" s="2" t="s">
        <v>19</v>
      </c>
      <c r="J9232" s="2" t="s">
        <v>12</v>
      </c>
      <c r="K9232" s="2" t="s">
        <v>12472</v>
      </c>
      <c r="L9232" s="2">
        <f t="shared" si="144"/>
        <v>150</v>
      </c>
    </row>
    <row r="9233" spans="1:12" ht="25" customHeight="1">
      <c r="A9233" s="2" t="s">
        <v>12</v>
      </c>
      <c r="B9233" s="2" t="str">
        <f>HYPERLINK("http://bbs.12365auto.com/postcontent.aspx?tID=193818&amp;sId=1565&amp;ppage=1&amp;from=s","五菱荣光V中控台暖风水箱漏水")</f>
        <v>五菱荣光V中控台暖风水箱漏水</v>
      </c>
      <c r="C9233" s="2" t="s">
        <v>13</v>
      </c>
      <c r="D9233" s="2" t="s">
        <v>12</v>
      </c>
      <c r="E9233" s="2" t="s">
        <v>11729</v>
      </c>
      <c r="F9233" s="2" t="str">
        <f>HYPERLINK("http://bbs.12365auto.com/postcontent.aspx?tID=193818&amp;sId=1565&amp;ppage=1&amp;from=s","http://bbs.12365auto.com/postcontent.aspx?tID=193818&amp;sId=1565&amp;ppage=1&amp;from=s")</f>
        <v>http://bbs.12365auto.com/postcontent.aspx?tID=193818&amp;sId=1565&amp;ppage=1&amp;from=s</v>
      </c>
      <c r="G9233" s="2"/>
      <c r="H9233" s="2" t="s">
        <v>12473</v>
      </c>
      <c r="I9233" s="2" t="s">
        <v>15</v>
      </c>
      <c r="J9233" s="2" t="s">
        <v>12474</v>
      </c>
      <c r="K9233" s="2" t="s">
        <v>12475</v>
      </c>
      <c r="L9233" s="2">
        <f t="shared" si="144"/>
        <v>59</v>
      </c>
    </row>
    <row r="9234" spans="1:12" ht="25" customHeight="1">
      <c r="A9234" s="2" t="s">
        <v>12</v>
      </c>
      <c r="B9234" s="2" t="str">
        <f>HYPERLINK("http://m.12365auto.com/bbs/postcontent.aspx?tID=193819","本田冠道后轮胎吃胎偏磨严重")</f>
        <v>本田冠道后轮胎吃胎偏磨严重</v>
      </c>
      <c r="C9234" s="2" t="s">
        <v>13</v>
      </c>
      <c r="D9234" s="2" t="s">
        <v>23</v>
      </c>
      <c r="E9234" s="2"/>
      <c r="F9234" s="2" t="str">
        <f>HYPERLINK("http://m.12365auto.com/bbs/postcontent.aspx?tID=193819","http://m.12365auto.com/bbs/postcontent.aspx?tID=193819")</f>
        <v>http://m.12365auto.com/bbs/postcontent.aspx?tID=193819</v>
      </c>
      <c r="G9234" s="2"/>
      <c r="H9234" s="2" t="s">
        <v>12476</v>
      </c>
      <c r="I9234" s="2" t="s">
        <v>15</v>
      </c>
      <c r="J9234" s="2" t="s">
        <v>1667</v>
      </c>
      <c r="K9234" s="2" t="s">
        <v>12475</v>
      </c>
      <c r="L9234" s="2">
        <f t="shared" si="144"/>
        <v>130</v>
      </c>
    </row>
    <row r="9235" spans="1:12" ht="25" customHeight="1">
      <c r="A9235" s="2" t="s">
        <v>12</v>
      </c>
      <c r="B9235" s="2" t="str">
        <f>HYPERLINK("http://m.12365auto.com/bbs/postcontent.aspx?tID=193818","五菱荣光V中控台暖风水箱漏水")</f>
        <v>五菱荣光V中控台暖风水箱漏水</v>
      </c>
      <c r="C9235" s="2" t="s">
        <v>13</v>
      </c>
      <c r="D9235" s="2" t="s">
        <v>23</v>
      </c>
      <c r="E9235" s="2"/>
      <c r="F9235" s="2" t="str">
        <f>HYPERLINK("http://m.12365auto.com/bbs/postcontent.aspx?tID=193818","http://m.12365auto.com/bbs/postcontent.aspx?tID=193818")</f>
        <v>http://m.12365auto.com/bbs/postcontent.aspx?tID=193818</v>
      </c>
      <c r="G9235" s="2"/>
      <c r="H9235" s="2" t="s">
        <v>12477</v>
      </c>
      <c r="I9235" s="2" t="s">
        <v>15</v>
      </c>
      <c r="J9235" s="2" t="s">
        <v>1670</v>
      </c>
      <c r="K9235" s="2" t="s">
        <v>12475</v>
      </c>
      <c r="L9235" s="2">
        <f t="shared" si="144"/>
        <v>45</v>
      </c>
    </row>
    <row r="9236" spans="1:12" ht="25" customHeight="1">
      <c r="A9236" s="2" t="s">
        <v>12</v>
      </c>
      <c r="B9236" s="2" t="str">
        <f>HYPERLINK("http://bbs.12365auto.com/postcontent.aspx?tId=193819","本田冠道后轮胎吃胎偏磨严重")</f>
        <v>本田冠道后轮胎吃胎偏磨严重</v>
      </c>
      <c r="C9236" s="2" t="s">
        <v>13</v>
      </c>
      <c r="D9236" s="2" t="s">
        <v>12</v>
      </c>
      <c r="E9236" s="2" t="s">
        <v>66</v>
      </c>
      <c r="F9236" s="2" t="str">
        <f>HYPERLINK("http://bbs.12365auto.com/postcontent.aspx?tId=193819","http://bbs.12365auto.com/postcontent.aspx?tId=193819")</f>
        <v>http://bbs.12365auto.com/postcontent.aspx?tId=193819</v>
      </c>
      <c r="G9236" s="2"/>
      <c r="H9236" s="2" t="s">
        <v>12476</v>
      </c>
      <c r="I9236" s="2" t="s">
        <v>15</v>
      </c>
      <c r="J9236" s="2" t="s">
        <v>1667</v>
      </c>
      <c r="K9236" s="2" t="s">
        <v>12475</v>
      </c>
      <c r="L9236" s="2">
        <f t="shared" si="144"/>
        <v>130</v>
      </c>
    </row>
    <row r="9237" spans="1:12" ht="25" customHeight="1">
      <c r="A9237" s="2" t="s">
        <v>12</v>
      </c>
      <c r="B9237" s="2" t="str">
        <f>HYPERLINK("http://bbs.12365auto.com/postcontent.aspx?tID=193819","本田冠道后轮胎吃胎偏磨严重")</f>
        <v>本田冠道后轮胎吃胎偏磨严重</v>
      </c>
      <c r="C9237" s="2" t="s">
        <v>13</v>
      </c>
      <c r="D9237" s="2" t="s">
        <v>12</v>
      </c>
      <c r="E9237" s="2" t="s">
        <v>67</v>
      </c>
      <c r="F9237" s="2" t="str">
        <f>HYPERLINK("http://bbs.12365auto.com/postcontent.aspx?tID=193819","http://bbs.12365auto.com/postcontent.aspx?tID=193819")</f>
        <v>http://bbs.12365auto.com/postcontent.aspx?tID=193819</v>
      </c>
      <c r="G9237" s="2"/>
      <c r="H9237" s="2" t="s">
        <v>12478</v>
      </c>
      <c r="I9237" s="2" t="s">
        <v>15</v>
      </c>
      <c r="J9237" s="2" t="s">
        <v>1667</v>
      </c>
      <c r="K9237" s="2" t="s">
        <v>12475</v>
      </c>
      <c r="L9237" s="2">
        <f t="shared" si="144"/>
        <v>143</v>
      </c>
    </row>
    <row r="9238" spans="1:12" ht="25" customHeight="1">
      <c r="A9238" s="2" t="s">
        <v>12</v>
      </c>
      <c r="B9238" s="2" t="str">
        <f>HYPERLINK("http://bbs.12365auto.com/postcontent.aspx?tId=193818","五菱荣光V中控台暖风水箱漏水")</f>
        <v>五菱荣光V中控台暖风水箱漏水</v>
      </c>
      <c r="C9238" s="2" t="s">
        <v>13</v>
      </c>
      <c r="D9238" s="2" t="s">
        <v>12</v>
      </c>
      <c r="E9238" s="2" t="s">
        <v>66</v>
      </c>
      <c r="F9238" s="2" t="str">
        <f>HYPERLINK("http://bbs.12365auto.com/postcontent.aspx?tId=193818","http://bbs.12365auto.com/postcontent.aspx?tId=193818")</f>
        <v>http://bbs.12365auto.com/postcontent.aspx?tId=193818</v>
      </c>
      <c r="G9238" s="2"/>
      <c r="H9238" s="2" t="s">
        <v>12477</v>
      </c>
      <c r="I9238" s="2" t="s">
        <v>15</v>
      </c>
      <c r="J9238" s="2" t="s">
        <v>1670</v>
      </c>
      <c r="K9238" s="2" t="s">
        <v>12475</v>
      </c>
      <c r="L9238" s="2">
        <f t="shared" si="144"/>
        <v>45</v>
      </c>
    </row>
    <row r="9239" spans="1:12" ht="25" customHeight="1">
      <c r="A9239" s="2" t="s">
        <v>12</v>
      </c>
      <c r="B9239" s="2" t="str">
        <f>HYPERLINK("http://bbs.12365auto.com/postcontent.aspx?tID=193818","五菱荣光V中控台暖风水箱漏水")</f>
        <v>五菱荣光V中控台暖风水箱漏水</v>
      </c>
      <c r="C9239" s="2" t="s">
        <v>13</v>
      </c>
      <c r="D9239" s="2" t="s">
        <v>12</v>
      </c>
      <c r="E9239" s="2" t="s">
        <v>67</v>
      </c>
      <c r="F9239" s="2" t="str">
        <f>HYPERLINK("http://bbs.12365auto.com/postcontent.aspx?tID=193818","http://bbs.12365auto.com/postcontent.aspx?tID=193818")</f>
        <v>http://bbs.12365auto.com/postcontent.aspx?tID=193818</v>
      </c>
      <c r="G9239" s="2"/>
      <c r="H9239" s="2" t="s">
        <v>12473</v>
      </c>
      <c r="I9239" s="2" t="s">
        <v>15</v>
      </c>
      <c r="J9239" s="2" t="s">
        <v>1670</v>
      </c>
      <c r="K9239" s="2" t="s">
        <v>12475</v>
      </c>
      <c r="L9239" s="2">
        <f t="shared" si="144"/>
        <v>59</v>
      </c>
    </row>
    <row r="9240" spans="1:12" ht="25" customHeight="1">
      <c r="A9240" s="2" t="s">
        <v>12</v>
      </c>
      <c r="B9240" s="2" t="str">
        <f>HYPERLINK("http://bbs.12365auto.com/postcontent.aspx?tID=193817","日产阳光变速箱报故障 无法提速")</f>
        <v>日产阳光变速箱报故障 无法提速</v>
      </c>
      <c r="C9240" s="2" t="s">
        <v>13</v>
      </c>
      <c r="D9240" s="2" t="s">
        <v>12</v>
      </c>
      <c r="E9240" s="2" t="s">
        <v>67</v>
      </c>
      <c r="F9240" s="2" t="str">
        <f>HYPERLINK("http://bbs.12365auto.com/postcontent.aspx?tID=193817","http://bbs.12365auto.com/postcontent.aspx?tID=193817")</f>
        <v>http://bbs.12365auto.com/postcontent.aspx?tID=193817</v>
      </c>
      <c r="G9240" s="2"/>
      <c r="H9240" s="2" t="s">
        <v>12479</v>
      </c>
      <c r="I9240" s="2" t="s">
        <v>15</v>
      </c>
      <c r="J9240" s="2" t="s">
        <v>1674</v>
      </c>
      <c r="K9240" s="2" t="s">
        <v>12480</v>
      </c>
      <c r="L9240" s="2">
        <f t="shared" si="144"/>
        <v>50</v>
      </c>
    </row>
    <row r="9241" spans="1:12" ht="25" customHeight="1">
      <c r="A9241" s="2" t="s">
        <v>12</v>
      </c>
      <c r="B9241" s="2" t="str">
        <f>HYPERLINK("http://m.12365auto.com/bbs/postcontent.aspx?tID=193817","日产阳光变速箱报故障 无法提速")</f>
        <v>日产阳光变速箱报故障 无法提速</v>
      </c>
      <c r="C9241" s="2" t="s">
        <v>13</v>
      </c>
      <c r="D9241" s="2" t="s">
        <v>23</v>
      </c>
      <c r="E9241" s="2"/>
      <c r="F9241" s="2" t="str">
        <f>HYPERLINK("http://m.12365auto.com/bbs/postcontent.aspx?tID=193817","http://m.12365auto.com/bbs/postcontent.aspx?tID=193817")</f>
        <v>http://m.12365auto.com/bbs/postcontent.aspx?tID=193817</v>
      </c>
      <c r="G9241" s="2"/>
      <c r="H9241" s="2" t="s">
        <v>12481</v>
      </c>
      <c r="I9241" s="2" t="s">
        <v>15</v>
      </c>
      <c r="J9241" s="2" t="s">
        <v>1674</v>
      </c>
      <c r="K9241" s="2" t="s">
        <v>12480</v>
      </c>
      <c r="L9241" s="2">
        <f t="shared" si="144"/>
        <v>35</v>
      </c>
    </row>
    <row r="9242" spans="1:12" ht="25" customHeight="1">
      <c r="A9242" s="2" t="s">
        <v>12</v>
      </c>
      <c r="B9242" s="2" t="str">
        <f>HYPERLINK("http://bbs.12365auto.com/postcontent.aspx?tId=193817","日产阳光变速箱报故障 无法提速")</f>
        <v>日产阳光变速箱报故障 无法提速</v>
      </c>
      <c r="C9242" s="2" t="s">
        <v>13</v>
      </c>
      <c r="D9242" s="2" t="s">
        <v>12</v>
      </c>
      <c r="E9242" s="2" t="s">
        <v>66</v>
      </c>
      <c r="F9242" s="2" t="str">
        <f>HYPERLINK("http://bbs.12365auto.com/postcontent.aspx?tId=193817","http://bbs.12365auto.com/postcontent.aspx?tId=193817")</f>
        <v>http://bbs.12365auto.com/postcontent.aspx?tId=193817</v>
      </c>
      <c r="G9242" s="2"/>
      <c r="H9242" s="2" t="s">
        <v>12481</v>
      </c>
      <c r="I9242" s="2" t="s">
        <v>15</v>
      </c>
      <c r="J9242" s="2" t="s">
        <v>1674</v>
      </c>
      <c r="K9242" s="2" t="s">
        <v>12480</v>
      </c>
      <c r="L9242" s="2">
        <f t="shared" si="144"/>
        <v>35</v>
      </c>
    </row>
    <row r="9243" spans="1:12" ht="25" customHeight="1">
      <c r="A9243" s="2" t="s">
        <v>12</v>
      </c>
      <c r="B9243" s="2" t="str">
        <f>HYPERLINK("http://bbs.12365auto.com/postcontent.aspx?tID=193816","大众帕萨特B柱以及驾驶室车窗异响")</f>
        <v>大众帕萨特B柱以及驾驶室车窗异响</v>
      </c>
      <c r="C9243" s="2" t="s">
        <v>13</v>
      </c>
      <c r="D9243" s="2" t="s">
        <v>12</v>
      </c>
      <c r="E9243" s="2" t="s">
        <v>67</v>
      </c>
      <c r="F9243" s="2" t="str">
        <f>HYPERLINK("http://bbs.12365auto.com/postcontent.aspx?tID=193816","http://bbs.12365auto.com/postcontent.aspx?tID=193816")</f>
        <v>http://bbs.12365auto.com/postcontent.aspx?tID=193816</v>
      </c>
      <c r="G9243" s="2"/>
      <c r="H9243" s="2" t="s">
        <v>12482</v>
      </c>
      <c r="I9243" s="2" t="s">
        <v>15</v>
      </c>
      <c r="J9243" s="2" t="s">
        <v>1681</v>
      </c>
      <c r="K9243" s="2" t="s">
        <v>12483</v>
      </c>
      <c r="L9243" s="2">
        <f t="shared" si="144"/>
        <v>116</v>
      </c>
    </row>
    <row r="9244" spans="1:12" ht="25" customHeight="1">
      <c r="A9244" s="2" t="s">
        <v>12</v>
      </c>
      <c r="B9244" s="2" t="str">
        <f>HYPERLINK("http://bbs.12365auto.com/postcontent.aspx?tID=193815","本田雅阁发动机无法启动搭电无效")</f>
        <v>本田雅阁发动机无法启动搭电无效</v>
      </c>
      <c r="C9244" s="2" t="s">
        <v>13</v>
      </c>
      <c r="D9244" s="2" t="s">
        <v>12</v>
      </c>
      <c r="E9244" s="2" t="s">
        <v>67</v>
      </c>
      <c r="F9244" s="2" t="str">
        <f>HYPERLINK("http://bbs.12365auto.com/postcontent.aspx?tID=193815","http://bbs.12365auto.com/postcontent.aspx?tID=193815")</f>
        <v>http://bbs.12365auto.com/postcontent.aspx?tID=193815</v>
      </c>
      <c r="G9244" s="2"/>
      <c r="H9244" s="2" t="s">
        <v>12484</v>
      </c>
      <c r="I9244" s="2" t="s">
        <v>15</v>
      </c>
      <c r="J9244" s="2" t="s">
        <v>1678</v>
      </c>
      <c r="K9244" s="2" t="s">
        <v>12483</v>
      </c>
      <c r="L9244" s="2">
        <f t="shared" si="144"/>
        <v>44</v>
      </c>
    </row>
    <row r="9245" spans="1:12" ht="25" customHeight="1">
      <c r="A9245" s="2" t="s">
        <v>12</v>
      </c>
      <c r="B9245" s="2" t="str">
        <f>HYPERLINK("http://m.12365auto.com/bbs/postcontent.aspx?tID=193815","本田雅阁发动机无法启动搭电无效")</f>
        <v>本田雅阁发动机无法启动搭电无效</v>
      </c>
      <c r="C9245" s="2" t="s">
        <v>13</v>
      </c>
      <c r="D9245" s="2" t="s">
        <v>23</v>
      </c>
      <c r="E9245" s="2"/>
      <c r="F9245" s="2" t="str">
        <f>HYPERLINK("http://m.12365auto.com/bbs/postcontent.aspx?tID=193815","http://m.12365auto.com/bbs/postcontent.aspx?tID=193815")</f>
        <v>http://m.12365auto.com/bbs/postcontent.aspx?tID=193815</v>
      </c>
      <c r="G9245" s="2"/>
      <c r="H9245" s="2" t="s">
        <v>12485</v>
      </c>
      <c r="I9245" s="2" t="s">
        <v>15</v>
      </c>
      <c r="J9245" s="2" t="s">
        <v>1678</v>
      </c>
      <c r="K9245" s="2" t="s">
        <v>12483</v>
      </c>
      <c r="L9245" s="2">
        <f t="shared" si="144"/>
        <v>29</v>
      </c>
    </row>
    <row r="9246" spans="1:12" ht="25" customHeight="1">
      <c r="A9246" s="2" t="s">
        <v>12</v>
      </c>
      <c r="B9246" s="2" t="str">
        <f>HYPERLINK("http://m.12365auto.com/bbs/postcontent.aspx?tID=193816","大众帕萨特B柱以及驾驶室车窗异响")</f>
        <v>大众帕萨特B柱以及驾驶室车窗异响</v>
      </c>
      <c r="C9246" s="2" t="s">
        <v>13</v>
      </c>
      <c r="D9246" s="2" t="s">
        <v>23</v>
      </c>
      <c r="E9246" s="2"/>
      <c r="F9246" s="2" t="str">
        <f>HYPERLINK("http://m.12365auto.com/bbs/postcontent.aspx?tID=193816","http://m.12365auto.com/bbs/postcontent.aspx?tID=193816")</f>
        <v>http://m.12365auto.com/bbs/postcontent.aspx?tID=193816</v>
      </c>
      <c r="G9246" s="2"/>
      <c r="H9246" s="2" t="s">
        <v>12486</v>
      </c>
      <c r="I9246" s="2" t="s">
        <v>15</v>
      </c>
      <c r="J9246" s="2" t="s">
        <v>1681</v>
      </c>
      <c r="K9246" s="2" t="s">
        <v>12483</v>
      </c>
      <c r="L9246" s="2">
        <f t="shared" si="144"/>
        <v>100</v>
      </c>
    </row>
    <row r="9247" spans="1:12" ht="25" customHeight="1">
      <c r="A9247" s="2" t="s">
        <v>12</v>
      </c>
      <c r="B9247" s="2" t="str">
        <f>HYPERLINK("http://bbs.12365auto.com/postcontent.aspx?tId=193816","大众帕萨特B柱以及驾驶室车窗异响")</f>
        <v>大众帕萨特B柱以及驾驶室车窗异响</v>
      </c>
      <c r="C9247" s="2" t="s">
        <v>13</v>
      </c>
      <c r="D9247" s="2" t="s">
        <v>12</v>
      </c>
      <c r="E9247" s="2" t="s">
        <v>66</v>
      </c>
      <c r="F9247" s="2" t="str">
        <f>HYPERLINK("http://bbs.12365auto.com/postcontent.aspx?tId=193816","http://bbs.12365auto.com/postcontent.aspx?tId=193816")</f>
        <v>http://bbs.12365auto.com/postcontent.aspx?tId=193816</v>
      </c>
      <c r="G9247" s="2"/>
      <c r="H9247" s="2" t="s">
        <v>12486</v>
      </c>
      <c r="I9247" s="2" t="s">
        <v>15</v>
      </c>
      <c r="J9247" s="2" t="s">
        <v>1681</v>
      </c>
      <c r="K9247" s="2" t="s">
        <v>12483</v>
      </c>
      <c r="L9247" s="2">
        <f t="shared" si="144"/>
        <v>100</v>
      </c>
    </row>
    <row r="9248" spans="1:12" ht="25" customHeight="1">
      <c r="A9248" s="2" t="s">
        <v>12</v>
      </c>
      <c r="B9248" s="2" t="str">
        <f>HYPERLINK("http://bbs.12365auto.com/postcontent.aspx?tId=193815","本田雅阁发动机无法启动搭电无效")</f>
        <v>本田雅阁发动机无法启动搭电无效</v>
      </c>
      <c r="C9248" s="2" t="s">
        <v>13</v>
      </c>
      <c r="D9248" s="2" t="s">
        <v>12</v>
      </c>
      <c r="E9248" s="2" t="s">
        <v>66</v>
      </c>
      <c r="F9248" s="2" t="str">
        <f>HYPERLINK("http://bbs.12365auto.com/postcontent.aspx?tId=193815","http://bbs.12365auto.com/postcontent.aspx?tId=193815")</f>
        <v>http://bbs.12365auto.com/postcontent.aspx?tId=193815</v>
      </c>
      <c r="G9248" s="2"/>
      <c r="H9248" s="2" t="s">
        <v>12485</v>
      </c>
      <c r="I9248" s="2" t="s">
        <v>15</v>
      </c>
      <c r="J9248" s="2" t="s">
        <v>1678</v>
      </c>
      <c r="K9248" s="2" t="s">
        <v>12483</v>
      </c>
      <c r="L9248" s="2">
        <f t="shared" si="144"/>
        <v>29</v>
      </c>
    </row>
    <row r="9249" spans="1:12" ht="25" customHeight="1">
      <c r="A9249" s="2" t="s">
        <v>12</v>
      </c>
      <c r="B9249" s="2" t="str">
        <f>HYPERLINK("http://m.12365auto.com/bbs/postcontent.aspx?tID=193814","本田思域前挡风玻璃边缘泛白")</f>
        <v>本田思域前挡风玻璃边缘泛白</v>
      </c>
      <c r="C9249" s="2" t="s">
        <v>13</v>
      </c>
      <c r="D9249" s="2" t="s">
        <v>23</v>
      </c>
      <c r="E9249" s="2"/>
      <c r="F9249" s="2" t="str">
        <f>HYPERLINK("http://m.12365auto.com/bbs/postcontent.aspx?tID=193814","http://m.12365auto.com/bbs/postcontent.aspx?tID=193814")</f>
        <v>http://m.12365auto.com/bbs/postcontent.aspx?tID=193814</v>
      </c>
      <c r="G9249" s="2"/>
      <c r="H9249" s="2" t="s">
        <v>12487</v>
      </c>
      <c r="I9249" s="2" t="s">
        <v>15</v>
      </c>
      <c r="J9249" s="2" t="s">
        <v>1685</v>
      </c>
      <c r="K9249" s="2" t="s">
        <v>12488</v>
      </c>
      <c r="L9249" s="2">
        <f t="shared" si="144"/>
        <v>56</v>
      </c>
    </row>
    <row r="9250" spans="1:12" ht="25" customHeight="1">
      <c r="A9250" s="2" t="s">
        <v>12</v>
      </c>
      <c r="B9250" s="2" t="str">
        <f>HYPERLINK("http://bbs.12365auto.com/postcontent.aspx?tId=193814","本田思域前挡风玻璃边缘泛白")</f>
        <v>本田思域前挡风玻璃边缘泛白</v>
      </c>
      <c r="C9250" s="2" t="s">
        <v>13</v>
      </c>
      <c r="D9250" s="2" t="s">
        <v>12</v>
      </c>
      <c r="E9250" s="2" t="s">
        <v>66</v>
      </c>
      <c r="F9250" s="2" t="str">
        <f>HYPERLINK("http://bbs.12365auto.com/postcontent.aspx?tId=193814","http://bbs.12365auto.com/postcontent.aspx?tId=193814")</f>
        <v>http://bbs.12365auto.com/postcontent.aspx?tId=193814</v>
      </c>
      <c r="G9250" s="2"/>
      <c r="H9250" s="2" t="s">
        <v>12487</v>
      </c>
      <c r="I9250" s="2" t="s">
        <v>15</v>
      </c>
      <c r="J9250" s="2" t="s">
        <v>1685</v>
      </c>
      <c r="K9250" s="2" t="s">
        <v>12488</v>
      </c>
      <c r="L9250" s="2">
        <f t="shared" si="144"/>
        <v>56</v>
      </c>
    </row>
    <row r="9251" spans="1:12" ht="25" customHeight="1">
      <c r="A9251" s="2" t="s">
        <v>12</v>
      </c>
      <c r="B9251" s="2" t="str">
        <f>HYPERLINK("http://bbs.12365auto.com/postcontent.aspx?tID=193814","本田思域前挡风玻璃边缘泛白")</f>
        <v>本田思域前挡风玻璃边缘泛白</v>
      </c>
      <c r="C9251" s="2" t="s">
        <v>13</v>
      </c>
      <c r="D9251" s="2" t="s">
        <v>12</v>
      </c>
      <c r="E9251" s="2" t="s">
        <v>67</v>
      </c>
      <c r="F9251" s="2" t="str">
        <f>HYPERLINK("http://bbs.12365auto.com/postcontent.aspx?tID=193814","http://bbs.12365auto.com/postcontent.aspx?tID=193814")</f>
        <v>http://bbs.12365auto.com/postcontent.aspx?tID=193814</v>
      </c>
      <c r="G9251" s="2"/>
      <c r="H9251" s="2" t="s">
        <v>12489</v>
      </c>
      <c r="I9251" s="2" t="s">
        <v>15</v>
      </c>
      <c r="J9251" s="2" t="s">
        <v>1685</v>
      </c>
      <c r="K9251" s="2" t="s">
        <v>12488</v>
      </c>
      <c r="L9251" s="2">
        <f t="shared" si="144"/>
        <v>69</v>
      </c>
    </row>
    <row r="9252" spans="1:12" ht="25" customHeight="1">
      <c r="A9252" s="2" t="s">
        <v>12</v>
      </c>
      <c r="B9252" s="2" t="str">
        <f>HYPERLINK("http://m.12365auto.com/bbs/postcontent.aspx?tID=193813","奇瑞捷豹路虎发现神行变速箱漏油")</f>
        <v>奇瑞捷豹路虎发现神行变速箱漏油</v>
      </c>
      <c r="C9252" s="2" t="s">
        <v>13</v>
      </c>
      <c r="D9252" s="2" t="s">
        <v>23</v>
      </c>
      <c r="E9252" s="2"/>
      <c r="F9252" s="2" t="str">
        <f>HYPERLINK("http://m.12365auto.com/bbs/postcontent.aspx?tID=193813","http://m.12365auto.com/bbs/postcontent.aspx?tID=193813")</f>
        <v>http://m.12365auto.com/bbs/postcontent.aspx?tID=193813</v>
      </c>
      <c r="G9252" s="2"/>
      <c r="H9252" s="2" t="s">
        <v>12490</v>
      </c>
      <c r="I9252" s="2" t="s">
        <v>15</v>
      </c>
      <c r="J9252" s="2" t="s">
        <v>1692</v>
      </c>
      <c r="K9252" s="2" t="s">
        <v>12491</v>
      </c>
      <c r="L9252" s="2">
        <f t="shared" si="144"/>
        <v>132</v>
      </c>
    </row>
    <row r="9253" spans="1:12" ht="25" customHeight="1">
      <c r="A9253" s="2" t="s">
        <v>12</v>
      </c>
      <c r="B9253" s="2" t="str">
        <f>HYPERLINK("http://bbs.12365auto.com/postcontent.aspx?tId=193813","奇瑞捷豹路虎发现神行变速箱漏油")</f>
        <v>奇瑞捷豹路虎发现神行变速箱漏油</v>
      </c>
      <c r="C9253" s="2" t="s">
        <v>13</v>
      </c>
      <c r="D9253" s="2" t="s">
        <v>12</v>
      </c>
      <c r="E9253" s="2" t="s">
        <v>66</v>
      </c>
      <c r="F9253" s="2" t="str">
        <f>HYPERLINK("http://bbs.12365auto.com/postcontent.aspx?tId=193813","http://bbs.12365auto.com/postcontent.aspx?tId=193813")</f>
        <v>http://bbs.12365auto.com/postcontent.aspx?tId=193813</v>
      </c>
      <c r="G9253" s="2"/>
      <c r="H9253" s="2" t="s">
        <v>12490</v>
      </c>
      <c r="I9253" s="2" t="s">
        <v>15</v>
      </c>
      <c r="J9253" s="2" t="s">
        <v>1692</v>
      </c>
      <c r="K9253" s="2" t="s">
        <v>12491</v>
      </c>
      <c r="L9253" s="2">
        <f t="shared" si="144"/>
        <v>132</v>
      </c>
    </row>
    <row r="9254" spans="1:12" ht="25" customHeight="1">
      <c r="A9254" s="2" t="s">
        <v>12</v>
      </c>
      <c r="B9254" s="2" t="str">
        <f>HYPERLINK("http://bbs.12365auto.com/postcontent.aspx?tID=193813","奇瑞捷豹路虎发现神行变速箱漏油")</f>
        <v>奇瑞捷豹路虎发现神行变速箱漏油</v>
      </c>
      <c r="C9254" s="2" t="s">
        <v>13</v>
      </c>
      <c r="D9254" s="2" t="s">
        <v>12</v>
      </c>
      <c r="E9254" s="2" t="s">
        <v>67</v>
      </c>
      <c r="F9254" s="2" t="str">
        <f>HYPERLINK("http://bbs.12365auto.com/postcontent.aspx?tID=193813","http://bbs.12365auto.com/postcontent.aspx?tID=193813")</f>
        <v>http://bbs.12365auto.com/postcontent.aspx?tID=193813</v>
      </c>
      <c r="G9254" s="2"/>
      <c r="H9254" s="2" t="s">
        <v>12492</v>
      </c>
      <c r="I9254" s="2" t="s">
        <v>15</v>
      </c>
      <c r="J9254" s="2" t="s">
        <v>1692</v>
      </c>
      <c r="K9254" s="2" t="s">
        <v>12491</v>
      </c>
      <c r="L9254" s="2">
        <f t="shared" si="144"/>
        <v>147</v>
      </c>
    </row>
    <row r="9255" spans="1:12" ht="25" customHeight="1">
      <c r="A9255" s="2" t="s">
        <v>12</v>
      </c>
      <c r="B9255" s="2" t="str">
        <f>HYPERLINK("http://m.12365auto.com/bbs/postcontent.aspx?tID=193811","斯柯达速派变速箱配件一直缺货")</f>
        <v>斯柯达速派变速箱配件一直缺货</v>
      </c>
      <c r="C9255" s="2" t="s">
        <v>13</v>
      </c>
      <c r="D9255" s="2" t="s">
        <v>23</v>
      </c>
      <c r="E9255" s="2"/>
      <c r="F9255" s="2" t="str">
        <f>HYPERLINK("http://m.12365auto.com/bbs/postcontent.aspx?tID=193811","http://m.12365auto.com/bbs/postcontent.aspx?tID=193811")</f>
        <v>http://m.12365auto.com/bbs/postcontent.aspx?tID=193811</v>
      </c>
      <c r="G9255" s="2"/>
      <c r="H9255" s="2" t="s">
        <v>12493</v>
      </c>
      <c r="I9255" s="2" t="s">
        <v>15</v>
      </c>
      <c r="J9255" s="2" t="s">
        <v>1697</v>
      </c>
      <c r="K9255" s="2" t="s">
        <v>12494</v>
      </c>
      <c r="L9255" s="2">
        <f t="shared" si="144"/>
        <v>150</v>
      </c>
    </row>
    <row r="9256" spans="1:12" ht="25" customHeight="1">
      <c r="A9256" s="2" t="s">
        <v>12</v>
      </c>
      <c r="B9256" s="2" t="str">
        <f>HYPERLINK("http://m.12365auto.com/bbs/postcontent.aspx?tID=193812","本田锋范车门及引擎盖多处生锈")</f>
        <v>本田锋范车门及引擎盖多处生锈</v>
      </c>
      <c r="C9256" s="2" t="s">
        <v>13</v>
      </c>
      <c r="D9256" s="2" t="s">
        <v>23</v>
      </c>
      <c r="E9256" s="2"/>
      <c r="F9256" s="2" t="str">
        <f>HYPERLINK("http://m.12365auto.com/bbs/postcontent.aspx?tID=193812","http://m.12365auto.com/bbs/postcontent.aspx?tID=193812")</f>
        <v>http://m.12365auto.com/bbs/postcontent.aspx?tID=193812</v>
      </c>
      <c r="G9256" s="2"/>
      <c r="H9256" s="2" t="s">
        <v>12495</v>
      </c>
      <c r="I9256" s="2" t="s">
        <v>15</v>
      </c>
      <c r="J9256" s="2" t="s">
        <v>1689</v>
      </c>
      <c r="K9256" s="2" t="s">
        <v>12494</v>
      </c>
      <c r="L9256" s="2">
        <f t="shared" si="144"/>
        <v>150</v>
      </c>
    </row>
    <row r="9257" spans="1:12" ht="25" customHeight="1">
      <c r="A9257" s="2" t="s">
        <v>12</v>
      </c>
      <c r="B9257" s="2" t="str">
        <f>HYPERLINK("http://bbs.12365auto.com/postcontent.aspx?tId=193811","斯柯达速派变速箱配件一直缺货")</f>
        <v>斯柯达速派变速箱配件一直缺货</v>
      </c>
      <c r="C9257" s="2" t="s">
        <v>13</v>
      </c>
      <c r="D9257" s="2" t="s">
        <v>12</v>
      </c>
      <c r="E9257" s="2" t="s">
        <v>66</v>
      </c>
      <c r="F9257" s="2" t="str">
        <f>HYPERLINK("http://bbs.12365auto.com/postcontent.aspx?tId=193811","http://bbs.12365auto.com/postcontent.aspx?tId=193811")</f>
        <v>http://bbs.12365auto.com/postcontent.aspx?tId=193811</v>
      </c>
      <c r="G9257" s="2"/>
      <c r="H9257" s="2" t="s">
        <v>12493</v>
      </c>
      <c r="I9257" s="2" t="s">
        <v>15</v>
      </c>
      <c r="J9257" s="2" t="s">
        <v>1697</v>
      </c>
      <c r="K9257" s="2" t="s">
        <v>12494</v>
      </c>
      <c r="L9257" s="2">
        <f t="shared" si="144"/>
        <v>150</v>
      </c>
    </row>
    <row r="9258" spans="1:12" ht="25" customHeight="1">
      <c r="A9258" s="2" t="s">
        <v>12</v>
      </c>
      <c r="B9258" s="2" t="str">
        <f>HYPERLINK("http://bbs.12365auto.com/postcontent.aspx?tId=193812","本田锋范车门及引擎盖多处生锈")</f>
        <v>本田锋范车门及引擎盖多处生锈</v>
      </c>
      <c r="C9258" s="2" t="s">
        <v>13</v>
      </c>
      <c r="D9258" s="2" t="s">
        <v>12</v>
      </c>
      <c r="E9258" s="2" t="s">
        <v>66</v>
      </c>
      <c r="F9258" s="2" t="str">
        <f>HYPERLINK("http://bbs.12365auto.com/postcontent.aspx?tId=193812","http://bbs.12365auto.com/postcontent.aspx?tId=193812")</f>
        <v>http://bbs.12365auto.com/postcontent.aspx?tId=193812</v>
      </c>
      <c r="G9258" s="2"/>
      <c r="H9258" s="2" t="s">
        <v>12495</v>
      </c>
      <c r="I9258" s="2" t="s">
        <v>15</v>
      </c>
      <c r="J9258" s="2" t="s">
        <v>1689</v>
      </c>
      <c r="K9258" s="2" t="s">
        <v>12494</v>
      </c>
      <c r="L9258" s="2">
        <f t="shared" si="144"/>
        <v>150</v>
      </c>
    </row>
    <row r="9259" spans="1:12" ht="25" customHeight="1">
      <c r="A9259" s="2" t="s">
        <v>12</v>
      </c>
      <c r="B9259" s="2" t="str">
        <f>HYPERLINK("http://bbs.12365auto.com/postcontent.aspx?tID=193811","斯柯达速派变速箱配件一直缺货")</f>
        <v>斯柯达速派变速箱配件一直缺货</v>
      </c>
      <c r="C9259" s="2" t="s">
        <v>13</v>
      </c>
      <c r="D9259" s="2" t="s">
        <v>12</v>
      </c>
      <c r="E9259" s="2" t="s">
        <v>67</v>
      </c>
      <c r="F9259" s="2" t="str">
        <f>HYPERLINK("http://bbs.12365auto.com/postcontent.aspx?tID=193811","http://bbs.12365auto.com/postcontent.aspx?tID=193811")</f>
        <v>http://bbs.12365auto.com/postcontent.aspx?tID=193811</v>
      </c>
      <c r="G9259" s="2"/>
      <c r="H9259" s="2" t="s">
        <v>12496</v>
      </c>
      <c r="I9259" s="2" t="s">
        <v>15</v>
      </c>
      <c r="J9259" s="2" t="s">
        <v>1697</v>
      </c>
      <c r="K9259" s="2" t="s">
        <v>12494</v>
      </c>
      <c r="L9259" s="2">
        <f t="shared" si="144"/>
        <v>150</v>
      </c>
    </row>
    <row r="9260" spans="1:12" ht="25" customHeight="1">
      <c r="A9260" s="2" t="s">
        <v>12</v>
      </c>
      <c r="B9260" s="2" t="str">
        <f>HYPERLINK("http://bbs.12365auto.com/postcontent.aspx?tID=193812","本田锋范车门及引擎盖多处生锈")</f>
        <v>本田锋范车门及引擎盖多处生锈</v>
      </c>
      <c r="C9260" s="2" t="s">
        <v>13</v>
      </c>
      <c r="D9260" s="2" t="s">
        <v>12</v>
      </c>
      <c r="E9260" s="2" t="s">
        <v>67</v>
      </c>
      <c r="F9260" s="2" t="str">
        <f>HYPERLINK("http://bbs.12365auto.com/postcontent.aspx?tID=193812","http://bbs.12365auto.com/postcontent.aspx?tID=193812")</f>
        <v>http://bbs.12365auto.com/postcontent.aspx?tID=193812</v>
      </c>
      <c r="G9260" s="2"/>
      <c r="H9260" s="2" t="s">
        <v>12497</v>
      </c>
      <c r="I9260" s="2" t="s">
        <v>15</v>
      </c>
      <c r="J9260" s="2" t="s">
        <v>1689</v>
      </c>
      <c r="K9260" s="2" t="s">
        <v>12494</v>
      </c>
      <c r="L9260" s="2">
        <f t="shared" si="144"/>
        <v>150</v>
      </c>
    </row>
    <row r="9261" spans="1:12" ht="25" customHeight="1">
      <c r="A9261" s="2" t="s">
        <v>12</v>
      </c>
      <c r="B9261" s="2" t="str">
        <f>HYPERLINK("http://m.12365auto.com/bbs/postcontent.aspx?tID=193810","日产途达停放两天电瓶亏电无法启动")</f>
        <v>日产途达停放两天电瓶亏电无法启动</v>
      </c>
      <c r="C9261" s="2" t="s">
        <v>13</v>
      </c>
      <c r="D9261" s="2" t="s">
        <v>23</v>
      </c>
      <c r="E9261" s="2"/>
      <c r="F9261" s="2" t="str">
        <f>HYPERLINK("http://m.12365auto.com/bbs/postcontent.aspx?tID=193810","http://m.12365auto.com/bbs/postcontent.aspx?tID=193810")</f>
        <v>http://m.12365auto.com/bbs/postcontent.aspx?tID=193810</v>
      </c>
      <c r="G9261" s="2"/>
      <c r="H9261" s="2" t="s">
        <v>12498</v>
      </c>
      <c r="I9261" s="2" t="s">
        <v>15</v>
      </c>
      <c r="J9261" s="2" t="s">
        <v>1703</v>
      </c>
      <c r="K9261" s="2" t="s">
        <v>12499</v>
      </c>
      <c r="L9261" s="2">
        <f t="shared" si="144"/>
        <v>84</v>
      </c>
    </row>
    <row r="9262" spans="1:12" ht="25" customHeight="1">
      <c r="A9262" s="2" t="s">
        <v>12</v>
      </c>
      <c r="B9262" s="2" t="str">
        <f>HYPERLINK("http://www.12365auto.com/zlts/20200211/446902.shtml","广汽本田奥德赛雨刷器下方盖板鼓起变形")</f>
        <v>广汽本田奥德赛雨刷器下方盖板鼓起变形</v>
      </c>
      <c r="C9262" s="2" t="s">
        <v>13</v>
      </c>
      <c r="D9262" s="2" t="s">
        <v>12</v>
      </c>
      <c r="E9262" s="2" t="s">
        <v>17</v>
      </c>
      <c r="F9262" s="2" t="str">
        <f>HYPERLINK("http://www.12365auto.com/zlts/20200211/446902.shtml","http://www.12365auto.com/zlts/20200211/446902.shtml")</f>
        <v>http://www.12365auto.com/zlts/20200211/446902.shtml</v>
      </c>
      <c r="G9262" s="2"/>
      <c r="H9262" s="2" t="s">
        <v>12500</v>
      </c>
      <c r="I9262" s="2" t="s">
        <v>19</v>
      </c>
      <c r="J9262" s="2" t="s">
        <v>12</v>
      </c>
      <c r="K9262" s="2" t="s">
        <v>12499</v>
      </c>
      <c r="L9262" s="2">
        <f t="shared" si="144"/>
        <v>150</v>
      </c>
    </row>
    <row r="9263" spans="1:12" ht="25" customHeight="1">
      <c r="A9263" s="2" t="s">
        <v>12</v>
      </c>
      <c r="B9263" s="2" t="str">
        <f>HYPERLINK("http://bbs.12365auto.com/postcontent.aspx?tID=193810","日产途达停放两天电瓶亏电无法启动")</f>
        <v>日产途达停放两天电瓶亏电无法启动</v>
      </c>
      <c r="C9263" s="2" t="s">
        <v>13</v>
      </c>
      <c r="D9263" s="2" t="s">
        <v>12</v>
      </c>
      <c r="E9263" s="2" t="s">
        <v>67</v>
      </c>
      <c r="F9263" s="2" t="str">
        <f>HYPERLINK("http://bbs.12365auto.com/postcontent.aspx?tID=193810","http://bbs.12365auto.com/postcontent.aspx?tID=193810")</f>
        <v>http://bbs.12365auto.com/postcontent.aspx?tID=193810</v>
      </c>
      <c r="G9263" s="2"/>
      <c r="H9263" s="2" t="s">
        <v>12501</v>
      </c>
      <c r="I9263" s="2" t="s">
        <v>15</v>
      </c>
      <c r="J9263" s="2" t="s">
        <v>1703</v>
      </c>
      <c r="K9263" s="2" t="s">
        <v>12499</v>
      </c>
      <c r="L9263" s="2">
        <f t="shared" si="144"/>
        <v>100</v>
      </c>
    </row>
    <row r="9264" spans="1:12" ht="25" customHeight="1">
      <c r="A9264" s="2" t="s">
        <v>12</v>
      </c>
      <c r="B9264" s="2" t="str">
        <f>HYPERLINK("http://bbs.12365auto.com/postcontent.aspx?tId=193810","日产途达停放两天电瓶亏电无法启动")</f>
        <v>日产途达停放两天电瓶亏电无法启动</v>
      </c>
      <c r="C9264" s="2" t="s">
        <v>13</v>
      </c>
      <c r="D9264" s="2" t="s">
        <v>12</v>
      </c>
      <c r="E9264" s="2" t="s">
        <v>66</v>
      </c>
      <c r="F9264" s="2" t="str">
        <f>HYPERLINK("http://bbs.12365auto.com/postcontent.aspx?tId=193810","http://bbs.12365auto.com/postcontent.aspx?tId=193810")</f>
        <v>http://bbs.12365auto.com/postcontent.aspx?tId=193810</v>
      </c>
      <c r="G9264" s="2"/>
      <c r="H9264" s="2" t="s">
        <v>12498</v>
      </c>
      <c r="I9264" s="2" t="s">
        <v>15</v>
      </c>
      <c r="J9264" s="2" t="s">
        <v>1703</v>
      </c>
      <c r="K9264" s="2" t="s">
        <v>12499</v>
      </c>
      <c r="L9264" s="2">
        <f t="shared" si="144"/>
        <v>84</v>
      </c>
    </row>
    <row r="9265" spans="1:12" ht="25" customHeight="1">
      <c r="A9265" s="2" t="s">
        <v>12</v>
      </c>
      <c r="B9265" s="2" t="str">
        <f>HYPERLINK("http://www.12365auto.com/zlts/20200211/446899.shtml","东风雪铁龙C4L方向沉重 晃动明显要求解决")</f>
        <v>东风雪铁龙C4L方向沉重 晃动明显要求解决</v>
      </c>
      <c r="C9265" s="2" t="s">
        <v>13</v>
      </c>
      <c r="D9265" s="2" t="s">
        <v>12</v>
      </c>
      <c r="E9265" s="2" t="s">
        <v>17</v>
      </c>
      <c r="F9265" s="2" t="str">
        <f>HYPERLINK("http://www.12365auto.com/zlts/20200211/446899.shtml","http://www.12365auto.com/zlts/20200211/446899.shtml")</f>
        <v>http://www.12365auto.com/zlts/20200211/446899.shtml</v>
      </c>
      <c r="G9265" s="2"/>
      <c r="H9265" s="2" t="s">
        <v>12502</v>
      </c>
      <c r="I9265" s="2" t="s">
        <v>19</v>
      </c>
      <c r="J9265" s="2" t="s">
        <v>12</v>
      </c>
      <c r="K9265" s="2" t="s">
        <v>12503</v>
      </c>
      <c r="L9265" s="2">
        <f t="shared" si="144"/>
        <v>150</v>
      </c>
    </row>
    <row r="9266" spans="1:12" ht="25" customHeight="1">
      <c r="A9266" s="2" t="s">
        <v>12</v>
      </c>
      <c r="B9266" s="2" t="str">
        <f>HYPERLINK("http://www.12365auto.com/zlts/20200211/446896.shtml","北京现代领动发动机右侧螺丝渗漏机油")</f>
        <v>北京现代领动发动机右侧螺丝渗漏机油</v>
      </c>
      <c r="C9266" s="2" t="s">
        <v>13</v>
      </c>
      <c r="D9266" s="2" t="s">
        <v>12</v>
      </c>
      <c r="E9266" s="2"/>
      <c r="F9266" s="2" t="str">
        <f>HYPERLINK("http://www.12365auto.com/zlts/20200211/446896.shtml","http://www.12365auto.com/zlts/20200211/446896.shtml")</f>
        <v>http://www.12365auto.com/zlts/20200211/446896.shtml</v>
      </c>
      <c r="G9266" s="2"/>
      <c r="H9266" s="2" t="s">
        <v>12505</v>
      </c>
      <c r="I9266" s="2" t="s">
        <v>15</v>
      </c>
      <c r="J9266" s="2" t="s">
        <v>12</v>
      </c>
      <c r="K9266" s="2" t="s">
        <v>12504</v>
      </c>
      <c r="L9266" s="2">
        <f t="shared" si="144"/>
        <v>84</v>
      </c>
    </row>
    <row r="9267" spans="1:12" ht="25" customHeight="1">
      <c r="A9267" s="2" t="s">
        <v>12</v>
      </c>
      <c r="B9267" s="2" t="str">
        <f>HYPERLINK("http://www.12365auto.com/zlts/20200211/446898.shtml","郑州日产途达电瓶亏电存在漏电问题")</f>
        <v>郑州日产途达电瓶亏电存在漏电问题</v>
      </c>
      <c r="C9267" s="2" t="s">
        <v>13</v>
      </c>
      <c r="D9267" s="2" t="s">
        <v>12</v>
      </c>
      <c r="E9267" s="2" t="s">
        <v>17</v>
      </c>
      <c r="F9267" s="2" t="str">
        <f>HYPERLINK("http://www.12365auto.com/zlts/20200211/446898.shtml","http://www.12365auto.com/zlts/20200211/446898.shtml")</f>
        <v>http://www.12365auto.com/zlts/20200211/446898.shtml</v>
      </c>
      <c r="G9267" s="2"/>
      <c r="H9267" s="2" t="s">
        <v>12506</v>
      </c>
      <c r="I9267" s="2" t="s">
        <v>19</v>
      </c>
      <c r="J9267" s="2" t="s">
        <v>12</v>
      </c>
      <c r="K9267" s="2" t="s">
        <v>12507</v>
      </c>
      <c r="L9267" s="2">
        <f t="shared" si="144"/>
        <v>150</v>
      </c>
    </row>
    <row r="9268" spans="1:12" ht="25" customHeight="1">
      <c r="A9268" s="2" t="s">
        <v>12</v>
      </c>
      <c r="B9268" s="2" t="str">
        <f>HYPERLINK("http://www.12365auto.com/zlts/20200211/446897.shtml","广汽本田雅阁引擎盖车漆出现开裂")</f>
        <v>广汽本田雅阁引擎盖车漆出现开裂</v>
      </c>
      <c r="C9268" s="2" t="s">
        <v>13</v>
      </c>
      <c r="D9268" s="2" t="s">
        <v>12</v>
      </c>
      <c r="E9268" s="2" t="s">
        <v>17</v>
      </c>
      <c r="F9268" s="2" t="str">
        <f>HYPERLINK("http://www.12365auto.com/zlts/20200211/446897.shtml","http://www.12365auto.com/zlts/20200211/446897.shtml")</f>
        <v>http://www.12365auto.com/zlts/20200211/446897.shtml</v>
      </c>
      <c r="G9268" s="2"/>
      <c r="H9268" s="2" t="s">
        <v>12508</v>
      </c>
      <c r="I9268" s="2" t="s">
        <v>19</v>
      </c>
      <c r="J9268" s="2" t="s">
        <v>12</v>
      </c>
      <c r="K9268" s="2" t="s">
        <v>12509</v>
      </c>
      <c r="L9268" s="2">
        <f t="shared" si="144"/>
        <v>150</v>
      </c>
    </row>
    <row r="9269" spans="1:12" ht="25" customHeight="1">
      <c r="A9269" s="2" t="s">
        <v>12</v>
      </c>
      <c r="B9269" s="2" t="str">
        <f>HYPERLINK("http://www.12365auto.com/zlts/20200211/446891.shtml","别克凯越中控台脱胶开裂存在质量问题")</f>
        <v>别克凯越中控台脱胶开裂存在质量问题</v>
      </c>
      <c r="C9269" s="2" t="s">
        <v>13</v>
      </c>
      <c r="D9269" s="2" t="s">
        <v>12</v>
      </c>
      <c r="E9269" s="2"/>
      <c r="F9269" s="2" t="str">
        <f>HYPERLINK("http://www.12365auto.com/zlts/20200211/446891.shtml","http://www.12365auto.com/zlts/20200211/446891.shtml")</f>
        <v>http://www.12365auto.com/zlts/20200211/446891.shtml</v>
      </c>
      <c r="G9269" s="2"/>
      <c r="H9269" s="2" t="s">
        <v>12511</v>
      </c>
      <c r="I9269" s="2" t="s">
        <v>15</v>
      </c>
      <c r="J9269" s="2" t="s">
        <v>12</v>
      </c>
      <c r="K9269" s="2" t="s">
        <v>12510</v>
      </c>
      <c r="L9269" s="2">
        <f t="shared" si="144"/>
        <v>80</v>
      </c>
    </row>
    <row r="9270" spans="1:12" ht="25" customHeight="1">
      <c r="A9270" s="2" t="s">
        <v>12</v>
      </c>
      <c r="B9270" s="2" t="str">
        <f>HYPERLINK("http://m.12365auto.com/zjdy/20200211/121160.shtml","吉利远景4S店保养项目价格是多少？")</f>
        <v>吉利远景4S店保养项目价格是多少？</v>
      </c>
      <c r="C9270" s="2" t="s">
        <v>13</v>
      </c>
      <c r="D9270" s="2" t="s">
        <v>12</v>
      </c>
      <c r="E9270" s="2"/>
      <c r="F9270" s="2" t="str">
        <f>HYPERLINK("http://m.12365auto.com/zjdy/20200211/121160.shtml","http://m.12365auto.com/zjdy/20200211/121160.shtml")</f>
        <v>http://m.12365auto.com/zjdy/20200211/121160.shtml</v>
      </c>
      <c r="G9270" s="2"/>
      <c r="H9270" s="2" t="s">
        <v>12512</v>
      </c>
      <c r="I9270" s="2" t="s">
        <v>19</v>
      </c>
      <c r="J9270" s="2" t="s">
        <v>12</v>
      </c>
      <c r="K9270" s="2" t="s">
        <v>12513</v>
      </c>
      <c r="L9270" s="2">
        <f t="shared" si="144"/>
        <v>51</v>
      </c>
    </row>
    <row r="9271" spans="1:12" ht="25" customHeight="1">
      <c r="A9271" s="2" t="s">
        <v>12</v>
      </c>
      <c r="B9271" s="2" t="str">
        <f>HYPERLINK("http://m.12365auto.com/zjdy/20200211/121158.shtml","江淮帅铃T8 ESP故障灯亮是为什么？")</f>
        <v>江淮帅铃T8 ESP故障灯亮是为什么？</v>
      </c>
      <c r="C9271" s="2" t="s">
        <v>13</v>
      </c>
      <c r="D9271" s="2" t="s">
        <v>12</v>
      </c>
      <c r="E9271" s="2"/>
      <c r="F9271" s="2" t="str">
        <f>HYPERLINK("http://m.12365auto.com/zjdy/20200211/121158.shtml","http://m.12365auto.com/zjdy/20200211/121158.shtml")</f>
        <v>http://m.12365auto.com/zjdy/20200211/121158.shtml</v>
      </c>
      <c r="G9271" s="2"/>
      <c r="H9271" s="2" t="s">
        <v>12514</v>
      </c>
      <c r="I9271" s="2" t="s">
        <v>19</v>
      </c>
      <c r="J9271" s="2" t="s">
        <v>12</v>
      </c>
      <c r="K9271" s="2" t="s">
        <v>12515</v>
      </c>
      <c r="L9271" s="2">
        <f t="shared" si="144"/>
        <v>24</v>
      </c>
    </row>
    <row r="9272" spans="1:12" ht="25" customHeight="1">
      <c r="A9272" s="2" t="s">
        <v>12</v>
      </c>
      <c r="B9272" s="2" t="str">
        <f>HYPERLINK("http://m.12365auto.com/zjdy/20200211/121159.shtml","汉腾X7S使用哪种机油对发动机比较好？")</f>
        <v>汉腾X7S使用哪种机油对发动机比较好？</v>
      </c>
      <c r="C9272" s="2" t="s">
        <v>13</v>
      </c>
      <c r="D9272" s="2" t="s">
        <v>12</v>
      </c>
      <c r="E9272" s="2"/>
      <c r="F9272" s="2" t="str">
        <f>HYPERLINK("http://m.12365auto.com/zjdy/20200211/121159.shtml","http://m.12365auto.com/zjdy/20200211/121159.shtml")</f>
        <v>http://m.12365auto.com/zjdy/20200211/121159.shtml</v>
      </c>
      <c r="G9272" s="2"/>
      <c r="H9272" s="2" t="s">
        <v>12516</v>
      </c>
      <c r="I9272" s="2" t="s">
        <v>19</v>
      </c>
      <c r="J9272" s="2" t="s">
        <v>12</v>
      </c>
      <c r="K9272" s="2" t="s">
        <v>12515</v>
      </c>
      <c r="L9272" s="2">
        <f t="shared" si="144"/>
        <v>29</v>
      </c>
    </row>
    <row r="9273" spans="1:12" ht="25" customHeight="1">
      <c r="A9273" s="2" t="s">
        <v>12</v>
      </c>
      <c r="B9273" s="2" t="str">
        <f>HYPERLINK("http://www.12365auto.com/zlts/20200211/446893.shtml","郑州日产途达电瓶亏电疑似存在漏电现象")</f>
        <v>郑州日产途达电瓶亏电疑似存在漏电现象</v>
      </c>
      <c r="C9273" s="2" t="s">
        <v>13</v>
      </c>
      <c r="D9273" s="2" t="s">
        <v>12</v>
      </c>
      <c r="E9273" s="2" t="s">
        <v>17</v>
      </c>
      <c r="F9273" s="2" t="str">
        <f>HYPERLINK("http://www.12365auto.com/zlts/20200211/446893.shtml","http://www.12365auto.com/zlts/20200211/446893.shtml")</f>
        <v>http://www.12365auto.com/zlts/20200211/446893.shtml</v>
      </c>
      <c r="G9273" s="2"/>
      <c r="H9273" s="2" t="s">
        <v>12517</v>
      </c>
      <c r="I9273" s="2" t="s">
        <v>15</v>
      </c>
      <c r="J9273" s="2" t="s">
        <v>12</v>
      </c>
      <c r="K9273" s="2" t="s">
        <v>12518</v>
      </c>
      <c r="L9273" s="2">
        <f t="shared" si="144"/>
        <v>150</v>
      </c>
    </row>
    <row r="9274" spans="1:12" ht="25" customHeight="1">
      <c r="A9274" s="2" t="s">
        <v>12</v>
      </c>
      <c r="B9274" s="2" t="str">
        <f>HYPERLINK("http://m.12365auto.com/zjdy/20200211/121157.shtml","日产奇骏发动机故障灯亮是什么原因？")</f>
        <v>日产奇骏发动机故障灯亮是什么原因？</v>
      </c>
      <c r="C9274" s="2" t="s">
        <v>13</v>
      </c>
      <c r="D9274" s="2" t="s">
        <v>12</v>
      </c>
      <c r="E9274" s="2"/>
      <c r="F9274" s="2" t="str">
        <f>HYPERLINK("http://m.12365auto.com/zjdy/20200211/121157.shtml","http://m.12365auto.com/zjdy/20200211/121157.shtml")</f>
        <v>http://m.12365auto.com/zjdy/20200211/121157.shtml</v>
      </c>
      <c r="G9274" s="2"/>
      <c r="H9274" s="2" t="s">
        <v>12519</v>
      </c>
      <c r="I9274" s="2" t="s">
        <v>19</v>
      </c>
      <c r="J9274" s="2" t="s">
        <v>12</v>
      </c>
      <c r="K9274" s="2" t="s">
        <v>12520</v>
      </c>
      <c r="L9274" s="2">
        <f t="shared" si="144"/>
        <v>22</v>
      </c>
    </row>
    <row r="9275" spans="1:12" ht="25" customHeight="1">
      <c r="A9275" s="2" t="s">
        <v>12</v>
      </c>
      <c r="B9275" s="2" t="str">
        <f>HYPERLINK("http://m.12365auto.com/zjdy/20200211/121156.shtml","别克凯越中控面板脱胶翘起如何维权？")</f>
        <v>别克凯越中控面板脱胶翘起如何维权？</v>
      </c>
      <c r="C9275" s="2" t="s">
        <v>13</v>
      </c>
      <c r="D9275" s="2" t="s">
        <v>12</v>
      </c>
      <c r="E9275" s="2"/>
      <c r="F9275" s="2" t="str">
        <f>HYPERLINK("http://m.12365auto.com/zjdy/20200211/121156.shtml","http://m.12365auto.com/zjdy/20200211/121156.shtml")</f>
        <v>http://m.12365auto.com/zjdy/20200211/121156.shtml</v>
      </c>
      <c r="G9275" s="2"/>
      <c r="H9275" s="2" t="s">
        <v>12521</v>
      </c>
      <c r="I9275" s="2" t="s">
        <v>19</v>
      </c>
      <c r="J9275" s="2" t="s">
        <v>12</v>
      </c>
      <c r="K9275" s="2" t="s">
        <v>12520</v>
      </c>
      <c r="L9275" s="2">
        <f t="shared" si="144"/>
        <v>37</v>
      </c>
    </row>
    <row r="9276" spans="1:12" ht="25" customHeight="1">
      <c r="A9276" s="2" t="s">
        <v>12</v>
      </c>
      <c r="B9276" s="2" t="str">
        <f>HYPERLINK("http://www.12365auto.com/zlts/20200211/446892.shtml","上汽名爵6车辆停放后电瓶亏电无法启动")</f>
        <v>上汽名爵6车辆停放后电瓶亏电无法启动</v>
      </c>
      <c r="C9276" s="2" t="s">
        <v>13</v>
      </c>
      <c r="D9276" s="2" t="s">
        <v>12</v>
      </c>
      <c r="E9276" s="2" t="s">
        <v>17</v>
      </c>
      <c r="F9276" s="2" t="str">
        <f>HYPERLINK("http://www.12365auto.com/zlts/20200211/446892.shtml","http://www.12365auto.com/zlts/20200211/446892.shtml")</f>
        <v>http://www.12365auto.com/zlts/20200211/446892.shtml</v>
      </c>
      <c r="G9276" s="2"/>
      <c r="H9276" s="2" t="s">
        <v>12522</v>
      </c>
      <c r="I9276" s="2" t="s">
        <v>19</v>
      </c>
      <c r="J9276" s="2" t="s">
        <v>12</v>
      </c>
      <c r="K9276" s="2" t="s">
        <v>12523</v>
      </c>
      <c r="L9276" s="2">
        <f t="shared" si="144"/>
        <v>150</v>
      </c>
    </row>
    <row r="9277" spans="1:12" ht="25" customHeight="1">
      <c r="A9277" s="2" t="s">
        <v>12</v>
      </c>
      <c r="B9277" s="2" t="str">
        <f>HYPERLINK("http://www.12365auto.com/zlts/20200211/446890.shtml","众泰T600刹车偏软 厂家无配件更换")</f>
        <v>众泰T600刹车偏软 厂家无配件更换</v>
      </c>
      <c r="C9277" s="2" t="s">
        <v>13</v>
      </c>
      <c r="D9277" s="2" t="s">
        <v>12</v>
      </c>
      <c r="E9277" s="2" t="s">
        <v>17</v>
      </c>
      <c r="F9277" s="2" t="str">
        <f>HYPERLINK("http://www.12365auto.com/zlts/20200211/446890.shtml","http://www.12365auto.com/zlts/20200211/446890.shtml")</f>
        <v>http://www.12365auto.com/zlts/20200211/446890.shtml</v>
      </c>
      <c r="G9277" s="2"/>
      <c r="H9277" s="2" t="s">
        <v>12524</v>
      </c>
      <c r="I9277" s="2" t="s">
        <v>19</v>
      </c>
      <c r="J9277" s="2" t="s">
        <v>12</v>
      </c>
      <c r="K9277" s="2" t="s">
        <v>12525</v>
      </c>
      <c r="L9277" s="2">
        <f t="shared" si="144"/>
        <v>150</v>
      </c>
    </row>
    <row r="9278" spans="1:12" ht="25" customHeight="1">
      <c r="A9278" s="2" t="s">
        <v>12</v>
      </c>
      <c r="B9278" s="2" t="str">
        <f>HYPERLINK("http://www.12365auto.com/zlts/20200211/446888.shtml","郑州日产途达已经出现三次电瓶漏电现象")</f>
        <v>郑州日产途达已经出现三次电瓶漏电现象</v>
      </c>
      <c r="C9278" s="2" t="s">
        <v>13</v>
      </c>
      <c r="D9278" s="2" t="s">
        <v>12</v>
      </c>
      <c r="E9278" s="2" t="s">
        <v>17</v>
      </c>
      <c r="F9278" s="2" t="str">
        <f>HYPERLINK("http://www.12365auto.com/zlts/20200211/446888.shtml","http://www.12365auto.com/zlts/20200211/446888.shtml")</f>
        <v>http://www.12365auto.com/zlts/20200211/446888.shtml</v>
      </c>
      <c r="G9278" s="2"/>
      <c r="H9278" s="2" t="s">
        <v>12526</v>
      </c>
      <c r="I9278" s="2" t="s">
        <v>15</v>
      </c>
      <c r="J9278" s="2" t="s">
        <v>12</v>
      </c>
      <c r="K9278" s="2" t="s">
        <v>12527</v>
      </c>
      <c r="L9278" s="2">
        <f t="shared" si="144"/>
        <v>150</v>
      </c>
    </row>
    <row r="9279" spans="1:12" ht="25" customHeight="1">
      <c r="A9279" s="2" t="s">
        <v>12</v>
      </c>
      <c r="B9279" s="2" t="str">
        <f>HYPERLINK("http://www.12365auto.com/zlts/20200211/446886.shtml","宝骏530自动挡旗舰版，存在异常冲击")</f>
        <v>宝骏530自动挡旗舰版，存在异常冲击</v>
      </c>
      <c r="C9279" s="2" t="s">
        <v>13</v>
      </c>
      <c r="D9279" s="2" t="s">
        <v>12</v>
      </c>
      <c r="E9279" s="2"/>
      <c r="F9279" s="2" t="str">
        <f>HYPERLINK("http://www.12365auto.com/zlts/20200211/446886.shtml","http://www.12365auto.com/zlts/20200211/446886.shtml")</f>
        <v>http://www.12365auto.com/zlts/20200211/446886.shtml</v>
      </c>
      <c r="G9279" s="2"/>
      <c r="H9279" s="2" t="s">
        <v>12529</v>
      </c>
      <c r="I9279" s="2" t="s">
        <v>15</v>
      </c>
      <c r="J9279" s="2" t="s">
        <v>12</v>
      </c>
      <c r="K9279" s="2" t="s">
        <v>12528</v>
      </c>
      <c r="L9279" s="2">
        <f t="shared" si="144"/>
        <v>89</v>
      </c>
    </row>
    <row r="9280" spans="1:12" ht="25" customHeight="1">
      <c r="A9280" s="2" t="s">
        <v>12</v>
      </c>
      <c r="B9280" s="2" t="str">
        <f>HYPERLINK("http://www.12365auto.com/zlts/20200211/446882.shtml","广汽本田冠道发动机机油增多伴有汽油味")</f>
        <v>广汽本田冠道发动机机油增多伴有汽油味</v>
      </c>
      <c r="C9280" s="2" t="s">
        <v>13</v>
      </c>
      <c r="D9280" s="2" t="s">
        <v>12</v>
      </c>
      <c r="E9280" s="2"/>
      <c r="F9280" s="2" t="str">
        <f>HYPERLINK("http://www.12365auto.com/zlts/20200211/446882.shtml","http://www.12365auto.com/zlts/20200211/446882.shtml")</f>
        <v>http://www.12365auto.com/zlts/20200211/446882.shtml</v>
      </c>
      <c r="G9280" s="2"/>
      <c r="H9280" s="2" t="s">
        <v>12531</v>
      </c>
      <c r="I9280" s="2" t="s">
        <v>15</v>
      </c>
      <c r="J9280" s="2" t="s">
        <v>12</v>
      </c>
      <c r="K9280" s="2" t="s">
        <v>12530</v>
      </c>
      <c r="L9280" s="2">
        <f t="shared" si="144"/>
        <v>88</v>
      </c>
    </row>
    <row r="9281" spans="1:12" ht="25" customHeight="1">
      <c r="A9281" s="2" t="s">
        <v>12</v>
      </c>
      <c r="B9281" s="2" t="str">
        <f>HYPERLINK("http://www.12365auto.com/zlts/20200211/446884.shtml","郑州日产途达停四天后电瓶亏电无法启动")</f>
        <v>郑州日产途达停四天后电瓶亏电无法启动</v>
      </c>
      <c r="C9281" s="2" t="s">
        <v>13</v>
      </c>
      <c r="D9281" s="2" t="s">
        <v>12</v>
      </c>
      <c r="E9281" s="2" t="s">
        <v>17</v>
      </c>
      <c r="F9281" s="2" t="str">
        <f>HYPERLINK("http://www.12365auto.com/zlts/20200211/446884.shtml","http://www.12365auto.com/zlts/20200211/446884.shtml")</f>
        <v>http://www.12365auto.com/zlts/20200211/446884.shtml</v>
      </c>
      <c r="G9281" s="2"/>
      <c r="H9281" s="2" t="s">
        <v>12532</v>
      </c>
      <c r="I9281" s="2" t="s">
        <v>19</v>
      </c>
      <c r="J9281" s="2" t="s">
        <v>12</v>
      </c>
      <c r="K9281" s="2" t="s">
        <v>12533</v>
      </c>
      <c r="L9281" s="2">
        <f t="shared" si="144"/>
        <v>150</v>
      </c>
    </row>
    <row r="9282" spans="1:12" ht="25" customHeight="1">
      <c r="A9282" s="2" t="s">
        <v>12</v>
      </c>
      <c r="B9282" s="2" t="str">
        <f>HYPERLINK("http://www.12365auto.com/zlts/20200211/446883.shtml","斯柯达速派变速箱故障灯亮 配件一直缺货")</f>
        <v>斯柯达速派变速箱故障灯亮 配件一直缺货</v>
      </c>
      <c r="C9282" s="2" t="s">
        <v>13</v>
      </c>
      <c r="D9282" s="2" t="s">
        <v>12</v>
      </c>
      <c r="E9282" s="2" t="s">
        <v>17</v>
      </c>
      <c r="F9282" s="2" t="str">
        <f>HYPERLINK("http://www.12365auto.com/zlts/20200211/446883.shtml","http://www.12365auto.com/zlts/20200211/446883.shtml")</f>
        <v>http://www.12365auto.com/zlts/20200211/446883.shtml</v>
      </c>
      <c r="G9282" s="2"/>
      <c r="H9282" s="2" t="s">
        <v>12534</v>
      </c>
      <c r="I9282" s="2" t="s">
        <v>19</v>
      </c>
      <c r="J9282" s="2" t="s">
        <v>12</v>
      </c>
      <c r="K9282" s="2" t="s">
        <v>12535</v>
      </c>
      <c r="L9282" s="2">
        <f t="shared" si="144"/>
        <v>150</v>
      </c>
    </row>
    <row r="9283" spans="1:12" ht="25" customHeight="1">
      <c r="A9283" s="2" t="s">
        <v>12</v>
      </c>
      <c r="B9283" s="2" t="str">
        <f>HYPERLINK("http://www.12365auto.com/zlts/20200211/446881.shtml","发动机动力下降，召回升级垃圾")</f>
        <v>发动机动力下降，召回升级垃圾</v>
      </c>
      <c r="C9283" s="2" t="s">
        <v>13</v>
      </c>
      <c r="D9283" s="2" t="s">
        <v>12</v>
      </c>
      <c r="E9283" s="2"/>
      <c r="F9283" s="2" t="str">
        <f>HYPERLINK("http://www.12365auto.com/zlts/20200211/446881.shtml","http://www.12365auto.com/zlts/20200211/446881.shtml")</f>
        <v>http://www.12365auto.com/zlts/20200211/446881.shtml</v>
      </c>
      <c r="G9283" s="2"/>
      <c r="H9283" s="2" t="s">
        <v>12537</v>
      </c>
      <c r="I9283" s="2" t="s">
        <v>15</v>
      </c>
      <c r="J9283" s="2" t="s">
        <v>12</v>
      </c>
      <c r="K9283" s="2" t="s">
        <v>12536</v>
      </c>
      <c r="L9283" s="2">
        <f t="shared" ref="L9283:L9346" si="145">LEN(H9283)</f>
        <v>84</v>
      </c>
    </row>
    <row r="9284" spans="1:12" ht="25" customHeight="1">
      <c r="A9284" s="2" t="s">
        <v>12</v>
      </c>
      <c r="B9284" s="2" t="str">
        <f>HYPERLINK("http://m.12365auto.com/bbs/postcontent.aspx?tID=193809","汽车除雾小技巧 简单又实用")</f>
        <v>汽车除雾小技巧 简单又实用</v>
      </c>
      <c r="C9284" s="2" t="s">
        <v>13</v>
      </c>
      <c r="D9284" s="2" t="s">
        <v>23</v>
      </c>
      <c r="E9284" s="2"/>
      <c r="F9284" s="2" t="str">
        <f>HYPERLINK("http://m.12365auto.com/bbs/postcontent.aspx?tID=193809","http://m.12365auto.com/bbs/postcontent.aspx?tID=193809")</f>
        <v>http://m.12365auto.com/bbs/postcontent.aspx?tID=193809</v>
      </c>
      <c r="G9284" s="2"/>
      <c r="H9284" s="2" t="s">
        <v>12538</v>
      </c>
      <c r="I9284" s="2" t="s">
        <v>15</v>
      </c>
      <c r="J9284" s="2" t="s">
        <v>3089</v>
      </c>
      <c r="K9284" s="2" t="s">
        <v>12539</v>
      </c>
      <c r="L9284" s="2">
        <f t="shared" si="145"/>
        <v>150</v>
      </c>
    </row>
    <row r="9285" spans="1:12" ht="25" customHeight="1">
      <c r="A9285" s="2" t="s">
        <v>12</v>
      </c>
      <c r="B9285" s="2" t="str">
        <f>HYPERLINK("http://m.12365auto.com/bbs/postcontent.aspx?tID=193808","容易出毛病？开车坏习惯大家要注意")</f>
        <v>容易出毛病？开车坏习惯大家要注意</v>
      </c>
      <c r="C9285" s="2" t="s">
        <v>13</v>
      </c>
      <c r="D9285" s="2" t="s">
        <v>23</v>
      </c>
      <c r="E9285" s="2"/>
      <c r="F9285" s="2" t="str">
        <f>HYPERLINK("http://m.12365auto.com/bbs/postcontent.aspx?tID=193808","http://m.12365auto.com/bbs/postcontent.aspx?tID=193808")</f>
        <v>http://m.12365auto.com/bbs/postcontent.aspx?tID=193808</v>
      </c>
      <c r="G9285" s="2"/>
      <c r="H9285" s="2" t="s">
        <v>12540</v>
      </c>
      <c r="I9285" s="2" t="s">
        <v>15</v>
      </c>
      <c r="J9285" s="2" t="s">
        <v>3089</v>
      </c>
      <c r="K9285" s="2" t="s">
        <v>12539</v>
      </c>
      <c r="L9285" s="2">
        <f t="shared" si="145"/>
        <v>150</v>
      </c>
    </row>
    <row r="9286" spans="1:12" ht="25" customHeight="1">
      <c r="A9286" s="2" t="s">
        <v>12</v>
      </c>
      <c r="B9286" s="2" t="str">
        <f>HYPERLINK("http://bbs.12365auto.com/postcontent.aspx?tId=193809","汽车除雾小技巧 简单又实用")</f>
        <v>汽车除雾小技巧 简单又实用</v>
      </c>
      <c r="C9286" s="2" t="s">
        <v>13</v>
      </c>
      <c r="D9286" s="2" t="s">
        <v>12</v>
      </c>
      <c r="E9286" s="2" t="s">
        <v>27</v>
      </c>
      <c r="F9286" s="2" t="str">
        <f>HYPERLINK("http://bbs.12365auto.com/postcontent.aspx?tId=193809","http://bbs.12365auto.com/postcontent.aspx?tId=193809")</f>
        <v>http://bbs.12365auto.com/postcontent.aspx?tId=193809</v>
      </c>
      <c r="G9286" s="2"/>
      <c r="H9286" s="2" t="s">
        <v>12538</v>
      </c>
      <c r="I9286" s="2" t="s">
        <v>15</v>
      </c>
      <c r="J9286" s="2" t="s">
        <v>3089</v>
      </c>
      <c r="K9286" s="2" t="s">
        <v>12539</v>
      </c>
      <c r="L9286" s="2">
        <f t="shared" si="145"/>
        <v>150</v>
      </c>
    </row>
    <row r="9287" spans="1:12" ht="25" customHeight="1">
      <c r="A9287" s="2" t="s">
        <v>12</v>
      </c>
      <c r="B9287" s="2" t="str">
        <f>HYPERLINK("http://bbs.12365auto.com/postcontent.aspx?tId=193808","容易出毛病？开车坏习惯大家要注意")</f>
        <v>容易出毛病？开车坏习惯大家要注意</v>
      </c>
      <c r="C9287" s="2" t="s">
        <v>13</v>
      </c>
      <c r="D9287" s="2" t="s">
        <v>12</v>
      </c>
      <c r="E9287" s="2" t="s">
        <v>27</v>
      </c>
      <c r="F9287" s="2" t="str">
        <f>HYPERLINK("http://bbs.12365auto.com/postcontent.aspx?tId=193808","http://bbs.12365auto.com/postcontent.aspx?tId=193808")</f>
        <v>http://bbs.12365auto.com/postcontent.aspx?tId=193808</v>
      </c>
      <c r="G9287" s="2"/>
      <c r="H9287" s="2" t="s">
        <v>12540</v>
      </c>
      <c r="I9287" s="2" t="s">
        <v>15</v>
      </c>
      <c r="J9287" s="2" t="s">
        <v>3089</v>
      </c>
      <c r="K9287" s="2" t="s">
        <v>12539</v>
      </c>
      <c r="L9287" s="2">
        <f t="shared" si="145"/>
        <v>150</v>
      </c>
    </row>
    <row r="9288" spans="1:12" ht="25" customHeight="1">
      <c r="A9288" s="2" t="s">
        <v>12</v>
      </c>
      <c r="B9288" s="2" t="str">
        <f>HYPERLINK("http://bbs.12365auto.com/postcontent.aspx?tID=193808","容易出毛病？开车坏习惯大家要注意")</f>
        <v>容易出毛病？开车坏习惯大家要注意</v>
      </c>
      <c r="C9288" s="2" t="s">
        <v>13</v>
      </c>
      <c r="D9288" s="2" t="s">
        <v>12</v>
      </c>
      <c r="E9288" s="2" t="s">
        <v>28</v>
      </c>
      <c r="F9288" s="2" t="str">
        <f>HYPERLINK("http://bbs.12365auto.com/postcontent.aspx?tID=193808","http://bbs.12365auto.com/postcontent.aspx?tID=193808")</f>
        <v>http://bbs.12365auto.com/postcontent.aspx?tID=193808</v>
      </c>
      <c r="G9288" s="2"/>
      <c r="H9288" s="2" t="s">
        <v>12541</v>
      </c>
      <c r="I9288" s="2" t="s">
        <v>15</v>
      </c>
      <c r="J9288" s="2" t="s">
        <v>3089</v>
      </c>
      <c r="K9288" s="2" t="s">
        <v>12539</v>
      </c>
      <c r="L9288" s="2">
        <f t="shared" si="145"/>
        <v>150</v>
      </c>
    </row>
    <row r="9289" spans="1:12" ht="25" customHeight="1">
      <c r="A9289" s="2" t="s">
        <v>12</v>
      </c>
      <c r="B9289" s="2" t="str">
        <f>HYPERLINK("http://bbs.12365auto.com/postcontent.aspx?tID=193809","汽车除雾小技巧 简单又实用")</f>
        <v>汽车除雾小技巧 简单又实用</v>
      </c>
      <c r="C9289" s="2" t="s">
        <v>13</v>
      </c>
      <c r="D9289" s="2" t="s">
        <v>12</v>
      </c>
      <c r="E9289" s="2" t="s">
        <v>28</v>
      </c>
      <c r="F9289" s="2" t="str">
        <f>HYPERLINK("http://bbs.12365auto.com/postcontent.aspx?tID=193809","http://bbs.12365auto.com/postcontent.aspx?tID=193809")</f>
        <v>http://bbs.12365auto.com/postcontent.aspx?tID=193809</v>
      </c>
      <c r="G9289" s="2"/>
      <c r="H9289" s="2" t="s">
        <v>12542</v>
      </c>
      <c r="I9289" s="2" t="s">
        <v>15</v>
      </c>
      <c r="J9289" s="2" t="s">
        <v>3089</v>
      </c>
      <c r="K9289" s="2" t="s">
        <v>12539</v>
      </c>
      <c r="L9289" s="2">
        <f t="shared" si="145"/>
        <v>150</v>
      </c>
    </row>
    <row r="9290" spans="1:12" ht="25" customHeight="1">
      <c r="A9290" s="2" t="s">
        <v>12</v>
      </c>
      <c r="B9290" s="2" t="str">
        <f>HYPERLINK("http://m.12365auto.com/bbs/postcontent.aspx?tID=193807","爱车变伤车 这几个养车误区你知道吗")</f>
        <v>爱车变伤车 这几个养车误区你知道吗</v>
      </c>
      <c r="C9290" s="2" t="s">
        <v>13</v>
      </c>
      <c r="D9290" s="2" t="s">
        <v>23</v>
      </c>
      <c r="E9290" s="2"/>
      <c r="F9290" s="2" t="str">
        <f>HYPERLINK("http://m.12365auto.com/bbs/postcontent.aspx?tID=193807","http://m.12365auto.com/bbs/postcontent.aspx?tID=193807")</f>
        <v>http://m.12365auto.com/bbs/postcontent.aspx?tID=193807</v>
      </c>
      <c r="G9290" s="2"/>
      <c r="H9290" s="2" t="s">
        <v>12543</v>
      </c>
      <c r="I9290" s="2" t="s">
        <v>15</v>
      </c>
      <c r="J9290" s="2" t="s">
        <v>3089</v>
      </c>
      <c r="K9290" s="2" t="s">
        <v>12544</v>
      </c>
      <c r="L9290" s="2">
        <f t="shared" si="145"/>
        <v>150</v>
      </c>
    </row>
    <row r="9291" spans="1:12" ht="25" customHeight="1">
      <c r="A9291" s="2" t="s">
        <v>12</v>
      </c>
      <c r="B9291" s="2" t="str">
        <f>HYPERLINK("http://bbs.12365auto.com/postcontent.aspx?tId=193807","爱车变伤车 这几个养车误区你知道吗")</f>
        <v>爱车变伤车 这几个养车误区你知道吗</v>
      </c>
      <c r="C9291" s="2" t="s">
        <v>13</v>
      </c>
      <c r="D9291" s="2" t="s">
        <v>12</v>
      </c>
      <c r="E9291" s="2" t="s">
        <v>27</v>
      </c>
      <c r="F9291" s="2" t="str">
        <f>HYPERLINK("http://bbs.12365auto.com/postcontent.aspx?tId=193807","http://bbs.12365auto.com/postcontent.aspx?tId=193807")</f>
        <v>http://bbs.12365auto.com/postcontent.aspx?tId=193807</v>
      </c>
      <c r="G9291" s="2"/>
      <c r="H9291" s="2" t="s">
        <v>12543</v>
      </c>
      <c r="I9291" s="2" t="s">
        <v>15</v>
      </c>
      <c r="J9291" s="2" t="s">
        <v>3089</v>
      </c>
      <c r="K9291" s="2" t="s">
        <v>12544</v>
      </c>
      <c r="L9291" s="2">
        <f t="shared" si="145"/>
        <v>150</v>
      </c>
    </row>
    <row r="9292" spans="1:12" ht="25" customHeight="1">
      <c r="A9292" s="2" t="s">
        <v>12</v>
      </c>
      <c r="B9292" s="2" t="str">
        <f>HYPERLINK("http://bbs.12365auto.com/postcontent.aspx?tID=193807","爱车变伤车 这几个养车误区你知道吗")</f>
        <v>爱车变伤车 这几个养车误区你知道吗</v>
      </c>
      <c r="C9292" s="2" t="s">
        <v>13</v>
      </c>
      <c r="D9292" s="2" t="s">
        <v>12</v>
      </c>
      <c r="E9292" s="2" t="s">
        <v>28</v>
      </c>
      <c r="F9292" s="2" t="str">
        <f>HYPERLINK("http://bbs.12365auto.com/postcontent.aspx?tID=193807","http://bbs.12365auto.com/postcontent.aspx?tID=193807")</f>
        <v>http://bbs.12365auto.com/postcontent.aspx?tID=193807</v>
      </c>
      <c r="G9292" s="2"/>
      <c r="H9292" s="2" t="s">
        <v>12545</v>
      </c>
      <c r="I9292" s="2" t="s">
        <v>15</v>
      </c>
      <c r="J9292" s="2" t="s">
        <v>3089</v>
      </c>
      <c r="K9292" s="2" t="s">
        <v>12544</v>
      </c>
      <c r="L9292" s="2">
        <f t="shared" si="145"/>
        <v>150</v>
      </c>
    </row>
    <row r="9293" spans="1:12" ht="25" customHeight="1">
      <c r="A9293" s="2" t="s">
        <v>12</v>
      </c>
      <c r="B9293" s="2" t="str">
        <f>HYPERLINK("http://m.12365auto.com/bbs/postcontent.aspx?tID=193806","爆胎前有什么征兆？这几点要注意")</f>
        <v>爆胎前有什么征兆？这几点要注意</v>
      </c>
      <c r="C9293" s="2" t="s">
        <v>13</v>
      </c>
      <c r="D9293" s="2" t="s">
        <v>23</v>
      </c>
      <c r="E9293" s="2"/>
      <c r="F9293" s="2" t="str">
        <f>HYPERLINK("http://m.12365auto.com/bbs/postcontent.aspx?tID=193806","http://m.12365auto.com/bbs/postcontent.aspx?tID=193806")</f>
        <v>http://m.12365auto.com/bbs/postcontent.aspx?tID=193806</v>
      </c>
      <c r="G9293" s="2"/>
      <c r="H9293" s="2" t="s">
        <v>12546</v>
      </c>
      <c r="I9293" s="2" t="s">
        <v>15</v>
      </c>
      <c r="J9293" s="2" t="s">
        <v>3089</v>
      </c>
      <c r="K9293" s="2" t="s">
        <v>12547</v>
      </c>
      <c r="L9293" s="2">
        <f t="shared" si="145"/>
        <v>150</v>
      </c>
    </row>
    <row r="9294" spans="1:12" ht="25" customHeight="1">
      <c r="A9294" s="2" t="s">
        <v>12</v>
      </c>
      <c r="B9294" s="2" t="str">
        <f>HYPERLINK("http://m.12365auto.com/bbs/postcontent.aspx?tID=193805","刹车技巧很关键 这样刹车最安全")</f>
        <v>刹车技巧很关键 这样刹车最安全</v>
      </c>
      <c r="C9294" s="2" t="s">
        <v>13</v>
      </c>
      <c r="D9294" s="2" t="s">
        <v>23</v>
      </c>
      <c r="E9294" s="2"/>
      <c r="F9294" s="2" t="str">
        <f>HYPERLINK("http://m.12365auto.com/bbs/postcontent.aspx?tID=193805","http://m.12365auto.com/bbs/postcontent.aspx?tID=193805")</f>
        <v>http://m.12365auto.com/bbs/postcontent.aspx?tID=193805</v>
      </c>
      <c r="G9294" s="2"/>
      <c r="H9294" s="2" t="s">
        <v>12548</v>
      </c>
      <c r="I9294" s="2" t="s">
        <v>15</v>
      </c>
      <c r="J9294" s="2" t="s">
        <v>3089</v>
      </c>
      <c r="K9294" s="2" t="s">
        <v>12547</v>
      </c>
      <c r="L9294" s="2">
        <f t="shared" si="145"/>
        <v>150</v>
      </c>
    </row>
    <row r="9295" spans="1:12" ht="25" customHeight="1">
      <c r="A9295" s="2" t="s">
        <v>12</v>
      </c>
      <c r="B9295" s="2" t="str">
        <f>HYPERLINK("http://bbs.12365auto.com/postcontent.aspx?tId=193806","爆胎前有什么征兆？这几点要注意")</f>
        <v>爆胎前有什么征兆？这几点要注意</v>
      </c>
      <c r="C9295" s="2" t="s">
        <v>13</v>
      </c>
      <c r="D9295" s="2" t="s">
        <v>12</v>
      </c>
      <c r="E9295" s="2" t="s">
        <v>27</v>
      </c>
      <c r="F9295" s="2" t="str">
        <f>HYPERLINK("http://bbs.12365auto.com/postcontent.aspx?tId=193806","http://bbs.12365auto.com/postcontent.aspx?tId=193806")</f>
        <v>http://bbs.12365auto.com/postcontent.aspx?tId=193806</v>
      </c>
      <c r="G9295" s="2"/>
      <c r="H9295" s="2" t="s">
        <v>12546</v>
      </c>
      <c r="I9295" s="2" t="s">
        <v>15</v>
      </c>
      <c r="J9295" s="2" t="s">
        <v>3089</v>
      </c>
      <c r="K9295" s="2" t="s">
        <v>12547</v>
      </c>
      <c r="L9295" s="2">
        <f t="shared" si="145"/>
        <v>150</v>
      </c>
    </row>
    <row r="9296" spans="1:12" ht="25" customHeight="1">
      <c r="A9296" s="2" t="s">
        <v>12</v>
      </c>
      <c r="B9296" s="2" t="str">
        <f>HYPERLINK("http://bbs.12365auto.com/postcontent.aspx?tId=193805","刹车技巧很关键 这样刹车最安全")</f>
        <v>刹车技巧很关键 这样刹车最安全</v>
      </c>
      <c r="C9296" s="2" t="s">
        <v>13</v>
      </c>
      <c r="D9296" s="2" t="s">
        <v>12</v>
      </c>
      <c r="E9296" s="2" t="s">
        <v>4212</v>
      </c>
      <c r="F9296" s="2" t="str">
        <f>HYPERLINK("http://bbs.12365auto.com/postcontent.aspx?tId=193805","http://bbs.12365auto.com/postcontent.aspx?tId=193805")</f>
        <v>http://bbs.12365auto.com/postcontent.aspx?tId=193805</v>
      </c>
      <c r="G9296" s="2"/>
      <c r="H9296" s="2" t="s">
        <v>12548</v>
      </c>
      <c r="I9296" s="2" t="s">
        <v>15</v>
      </c>
      <c r="J9296" s="2" t="s">
        <v>3089</v>
      </c>
      <c r="K9296" s="2" t="s">
        <v>12547</v>
      </c>
      <c r="L9296" s="2">
        <f t="shared" si="145"/>
        <v>150</v>
      </c>
    </row>
    <row r="9297" spans="1:12" ht="25" customHeight="1">
      <c r="A9297" s="2" t="s">
        <v>12</v>
      </c>
      <c r="B9297" s="2" t="str">
        <f>HYPERLINK("http://bbs.12365auto.com/postcontent.aspx?tID=193806","爆胎前有什么征兆？这几点要注意")</f>
        <v>爆胎前有什么征兆？这几点要注意</v>
      </c>
      <c r="C9297" s="2" t="s">
        <v>13</v>
      </c>
      <c r="D9297" s="2" t="s">
        <v>12</v>
      </c>
      <c r="E9297" s="2" t="s">
        <v>28</v>
      </c>
      <c r="F9297" s="2" t="str">
        <f>HYPERLINK("http://bbs.12365auto.com/postcontent.aspx?tID=193806","http://bbs.12365auto.com/postcontent.aspx?tID=193806")</f>
        <v>http://bbs.12365auto.com/postcontent.aspx?tID=193806</v>
      </c>
      <c r="G9297" s="2"/>
      <c r="H9297" s="2" t="s">
        <v>12549</v>
      </c>
      <c r="I9297" s="2" t="s">
        <v>15</v>
      </c>
      <c r="J9297" s="2" t="s">
        <v>3089</v>
      </c>
      <c r="K9297" s="2" t="s">
        <v>12547</v>
      </c>
      <c r="L9297" s="2">
        <f t="shared" si="145"/>
        <v>150</v>
      </c>
    </row>
    <row r="9298" spans="1:12" ht="25" customHeight="1">
      <c r="A9298" s="2" t="s">
        <v>12</v>
      </c>
      <c r="B9298" s="2" t="str">
        <f>HYPERLINK("http://bbs.12365auto.com/postcontent.aspx?tID=193805","刹车技巧很关键 这样刹车最安全")</f>
        <v>刹车技巧很关键 这样刹车最安全</v>
      </c>
      <c r="C9298" s="2" t="s">
        <v>13</v>
      </c>
      <c r="D9298" s="2" t="s">
        <v>12</v>
      </c>
      <c r="E9298" s="2" t="s">
        <v>4209</v>
      </c>
      <c r="F9298" s="2" t="str">
        <f>HYPERLINK("http://bbs.12365auto.com/postcontent.aspx?tID=193805","http://bbs.12365auto.com/postcontent.aspx?tID=193805")</f>
        <v>http://bbs.12365auto.com/postcontent.aspx?tID=193805</v>
      </c>
      <c r="G9298" s="2"/>
      <c r="H9298" s="2" t="s">
        <v>12550</v>
      </c>
      <c r="I9298" s="2" t="s">
        <v>15</v>
      </c>
      <c r="J9298" s="2" t="s">
        <v>3089</v>
      </c>
      <c r="K9298" s="2" t="s">
        <v>12547</v>
      </c>
      <c r="L9298" s="2">
        <f t="shared" si="145"/>
        <v>150</v>
      </c>
    </row>
    <row r="9299" spans="1:12" ht="25" customHeight="1">
      <c r="A9299" s="2" t="s">
        <v>12</v>
      </c>
      <c r="B9299" s="2" t="str">
        <f>HYPERLINK("http://m.12365auto.com/bbs/postcontent.aspx?tID=193804","如何判断你的汽车蓄电池是否需要更换？")</f>
        <v>如何判断你的汽车蓄电池是否需要更换？</v>
      </c>
      <c r="C9299" s="2" t="s">
        <v>13</v>
      </c>
      <c r="D9299" s="2" t="s">
        <v>23</v>
      </c>
      <c r="E9299" s="2"/>
      <c r="F9299" s="2" t="str">
        <f>HYPERLINK("http://m.12365auto.com/bbs/postcontent.aspx?tID=193804","http://m.12365auto.com/bbs/postcontent.aspx?tID=193804")</f>
        <v>http://m.12365auto.com/bbs/postcontent.aspx?tID=193804</v>
      </c>
      <c r="G9299" s="2"/>
      <c r="H9299" s="2" t="s">
        <v>12551</v>
      </c>
      <c r="I9299" s="2" t="s">
        <v>15</v>
      </c>
      <c r="J9299" s="2" t="s">
        <v>3089</v>
      </c>
      <c r="K9299" s="2" t="s">
        <v>12552</v>
      </c>
      <c r="L9299" s="2">
        <f t="shared" si="145"/>
        <v>150</v>
      </c>
    </row>
    <row r="9300" spans="1:12" ht="25" customHeight="1">
      <c r="A9300" s="2" t="s">
        <v>12</v>
      </c>
      <c r="B9300" s="2" t="str">
        <f>HYPERLINK("http://bbs.12365auto.com/postcontent.aspx?tId=193804","如何判断你的汽车蓄电池是否需要更换？")</f>
        <v>如何判断你的汽车蓄电池是否需要更换？</v>
      </c>
      <c r="C9300" s="2" t="s">
        <v>13</v>
      </c>
      <c r="D9300" s="2" t="s">
        <v>12</v>
      </c>
      <c r="E9300" s="2" t="s">
        <v>27</v>
      </c>
      <c r="F9300" s="2" t="str">
        <f>HYPERLINK("http://bbs.12365auto.com/postcontent.aspx?tId=193804","http://bbs.12365auto.com/postcontent.aspx?tId=193804")</f>
        <v>http://bbs.12365auto.com/postcontent.aspx?tId=193804</v>
      </c>
      <c r="G9300" s="2"/>
      <c r="H9300" s="2" t="s">
        <v>12551</v>
      </c>
      <c r="I9300" s="2" t="s">
        <v>15</v>
      </c>
      <c r="J9300" s="2" t="s">
        <v>3089</v>
      </c>
      <c r="K9300" s="2" t="s">
        <v>12552</v>
      </c>
      <c r="L9300" s="2">
        <f t="shared" si="145"/>
        <v>150</v>
      </c>
    </row>
    <row r="9301" spans="1:12" ht="25" customHeight="1">
      <c r="A9301" s="2" t="s">
        <v>12</v>
      </c>
      <c r="B9301" s="2" t="str">
        <f>HYPERLINK("http://bbs.12365auto.com/postcontent.aspx?tID=193804","如何判断你的汽车蓄电池是否需要更换？")</f>
        <v>如何判断你的汽车蓄电池是否需要更换？</v>
      </c>
      <c r="C9301" s="2" t="s">
        <v>13</v>
      </c>
      <c r="D9301" s="2" t="s">
        <v>12</v>
      </c>
      <c r="E9301" s="2" t="s">
        <v>28</v>
      </c>
      <c r="F9301" s="2" t="str">
        <f>HYPERLINK("http://bbs.12365auto.com/postcontent.aspx?tID=193804","http://bbs.12365auto.com/postcontent.aspx?tID=193804")</f>
        <v>http://bbs.12365auto.com/postcontent.aspx?tID=193804</v>
      </c>
      <c r="G9301" s="2"/>
      <c r="H9301" s="2" t="s">
        <v>12553</v>
      </c>
      <c r="I9301" s="2" t="s">
        <v>15</v>
      </c>
      <c r="J9301" s="2" t="s">
        <v>3089</v>
      </c>
      <c r="K9301" s="2" t="s">
        <v>12552</v>
      </c>
      <c r="L9301" s="2">
        <f t="shared" si="145"/>
        <v>150</v>
      </c>
    </row>
    <row r="9302" spans="1:12" ht="25" customHeight="1">
      <c r="A9302" s="2" t="s">
        <v>12</v>
      </c>
      <c r="B9302" s="2" t="str">
        <f>HYPERLINK("http://www.12365auto.com/news/20200211/418270.shtml","明年交付 佛吉亚获现代储氢系统订单")</f>
        <v>明年交付 佛吉亚获现代储氢系统订单</v>
      </c>
      <c r="C9302" s="2" t="s">
        <v>13</v>
      </c>
      <c r="D9302" s="2" t="s">
        <v>12</v>
      </c>
      <c r="E9302" s="2" t="s">
        <v>276</v>
      </c>
      <c r="F9302" s="2" t="str">
        <f>HYPERLINK("http://www.12365auto.com/news/20200211/418270.shtml","http://www.12365auto.com/news/20200211/418270.shtml")</f>
        <v>http://www.12365auto.com/news/20200211/418270.shtml</v>
      </c>
      <c r="G9302" s="2"/>
      <c r="H9302" s="2" t="s">
        <v>12554</v>
      </c>
      <c r="I9302" s="2" t="s">
        <v>15</v>
      </c>
      <c r="J9302" s="2" t="s">
        <v>12</v>
      </c>
      <c r="K9302" s="2" t="s">
        <v>12555</v>
      </c>
      <c r="L9302" s="2">
        <f t="shared" si="145"/>
        <v>150</v>
      </c>
    </row>
    <row r="9303" spans="1:12" ht="25" customHeight="1">
      <c r="A9303" s="2" t="s">
        <v>12</v>
      </c>
      <c r="B9303" s="2" t="str">
        <f>HYPERLINK("http://m.12365auto.com/news/20200211/418270.shtml","明年交付 佛吉亚获现代储氢系统订单")</f>
        <v>明年交付 佛吉亚获现代储氢系统订单</v>
      </c>
      <c r="C9303" s="2" t="s">
        <v>13</v>
      </c>
      <c r="D9303" s="2" t="s">
        <v>12</v>
      </c>
      <c r="E9303" s="2"/>
      <c r="F9303" s="2" t="str">
        <f>HYPERLINK("http://m.12365auto.com/news/20200211/418270.shtml","http://m.12365auto.com/news/20200211/418270.shtml")</f>
        <v>http://m.12365auto.com/news/20200211/418270.shtml</v>
      </c>
      <c r="G9303" s="2"/>
      <c r="H9303" s="2" t="s">
        <v>12556</v>
      </c>
      <c r="I9303" s="2" t="s">
        <v>19</v>
      </c>
      <c r="J9303" s="2" t="s">
        <v>1653</v>
      </c>
      <c r="K9303" s="2" t="s">
        <v>12555</v>
      </c>
      <c r="L9303" s="2">
        <f t="shared" si="145"/>
        <v>150</v>
      </c>
    </row>
    <row r="9304" spans="1:12" ht="25" customHeight="1">
      <c r="A9304" s="2" t="s">
        <v>12</v>
      </c>
      <c r="B9304" s="2" t="str">
        <f>HYPERLINK("http://www.12365auto.com/zlts/20200211/446880.shtml","广汽本田锋范车门及引擎盖多处生锈")</f>
        <v>广汽本田锋范车门及引擎盖多处生锈</v>
      </c>
      <c r="C9304" s="2" t="s">
        <v>13</v>
      </c>
      <c r="D9304" s="2" t="s">
        <v>12</v>
      </c>
      <c r="E9304" s="2" t="s">
        <v>17</v>
      </c>
      <c r="F9304" s="2" t="str">
        <f>HYPERLINK("http://www.12365auto.com/zlts/20200211/446880.shtml","http://www.12365auto.com/zlts/20200211/446880.shtml")</f>
        <v>http://www.12365auto.com/zlts/20200211/446880.shtml</v>
      </c>
      <c r="G9304" s="2"/>
      <c r="H9304" s="2" t="s">
        <v>12557</v>
      </c>
      <c r="I9304" s="2" t="s">
        <v>15</v>
      </c>
      <c r="J9304" s="2" t="s">
        <v>12</v>
      </c>
      <c r="K9304" s="2" t="s">
        <v>12558</v>
      </c>
      <c r="L9304" s="2">
        <f t="shared" si="145"/>
        <v>150</v>
      </c>
    </row>
    <row r="9305" spans="1:12" ht="25" customHeight="1">
      <c r="A9305" s="2" t="s">
        <v>12</v>
      </c>
      <c r="B9305" s="2" t="str">
        <f>HYPERLINK("http://m.12365auto.com/news/20200211/418269.shtml","上汽大众工厂复工 成立500人志愿者队伍")</f>
        <v>上汽大众工厂复工 成立500人志愿者队伍</v>
      </c>
      <c r="C9305" s="2" t="s">
        <v>13</v>
      </c>
      <c r="D9305" s="2" t="s">
        <v>12</v>
      </c>
      <c r="E9305" s="2"/>
      <c r="F9305" s="2" t="str">
        <f>HYPERLINK("http://m.12365auto.com/news/20200211/418269.shtml","http://m.12365auto.com/news/20200211/418269.shtml")</f>
        <v>http://m.12365auto.com/news/20200211/418269.shtml</v>
      </c>
      <c r="G9305" s="2"/>
      <c r="H9305" s="2" t="s">
        <v>12559</v>
      </c>
      <c r="I9305" s="2" t="s">
        <v>19</v>
      </c>
      <c r="J9305" s="2" t="s">
        <v>2808</v>
      </c>
      <c r="K9305" s="2" t="s">
        <v>12558</v>
      </c>
      <c r="L9305" s="2">
        <f t="shared" si="145"/>
        <v>150</v>
      </c>
    </row>
    <row r="9306" spans="1:12" ht="25" customHeight="1">
      <c r="A9306" s="2" t="s">
        <v>12</v>
      </c>
      <c r="B9306" s="2" t="str">
        <f>HYPERLINK("http://www.12365auto.com/news/20200211/418269.shtml","上汽大众工厂复工 成立500人志愿者队伍")</f>
        <v>上汽大众工厂复工 成立500人志愿者队伍</v>
      </c>
      <c r="C9306" s="2" t="s">
        <v>13</v>
      </c>
      <c r="D9306" s="2" t="s">
        <v>12</v>
      </c>
      <c r="E9306" s="2" t="s">
        <v>276</v>
      </c>
      <c r="F9306" s="2" t="str">
        <f>HYPERLINK("http://www.12365auto.com/news/20200211/418269.shtml","http://www.12365auto.com/news/20200211/418269.shtml")</f>
        <v>http://www.12365auto.com/news/20200211/418269.shtml</v>
      </c>
      <c r="G9306" s="2"/>
      <c r="H9306" s="2" t="s">
        <v>12560</v>
      </c>
      <c r="I9306" s="2" t="s">
        <v>15</v>
      </c>
      <c r="J9306" s="2" t="s">
        <v>12</v>
      </c>
      <c r="K9306" s="2" t="s">
        <v>12558</v>
      </c>
      <c r="L9306" s="2">
        <f t="shared" si="145"/>
        <v>150</v>
      </c>
    </row>
    <row r="9307" spans="1:12" ht="25" customHeight="1">
      <c r="A9307" s="2" t="s">
        <v>12</v>
      </c>
      <c r="B9307" s="2" t="str">
        <f>HYPERLINK("http://m.12365auto.com/zjdy/20200211/121155.shtml","哈弗H6停车后部有异响是什么原因？")</f>
        <v>哈弗H6停车后部有异响是什么原因？</v>
      </c>
      <c r="C9307" s="2" t="s">
        <v>13</v>
      </c>
      <c r="D9307" s="2" t="s">
        <v>12</v>
      </c>
      <c r="E9307" s="2"/>
      <c r="F9307" s="2" t="str">
        <f>HYPERLINK("http://m.12365auto.com/zjdy/20200211/121155.shtml","http://m.12365auto.com/zjdy/20200211/121155.shtml")</f>
        <v>http://m.12365auto.com/zjdy/20200211/121155.shtml</v>
      </c>
      <c r="G9307" s="2"/>
      <c r="H9307" s="2" t="s">
        <v>12561</v>
      </c>
      <c r="I9307" s="2" t="s">
        <v>19</v>
      </c>
      <c r="J9307" s="2" t="s">
        <v>12</v>
      </c>
      <c r="K9307" s="2" t="s">
        <v>12562</v>
      </c>
      <c r="L9307" s="2">
        <f t="shared" si="145"/>
        <v>60</v>
      </c>
    </row>
    <row r="9308" spans="1:12" ht="25" customHeight="1">
      <c r="A9308" s="2" t="s">
        <v>12</v>
      </c>
      <c r="B9308" s="2" t="str">
        <f>HYPERLINK("http://www.12365auto.com/news/20200211/418268.shtml","马斯克：燃油车剩余价值未来将大幅降低")</f>
        <v>马斯克：燃油车剩余价值未来将大幅降低</v>
      </c>
      <c r="C9308" s="2" t="s">
        <v>13</v>
      </c>
      <c r="D9308" s="2" t="s">
        <v>12</v>
      </c>
      <c r="E9308" s="2" t="s">
        <v>276</v>
      </c>
      <c r="F9308" s="2" t="str">
        <f>HYPERLINK("http://www.12365auto.com/news/20200211/418268.shtml","http://www.12365auto.com/news/20200211/418268.shtml")</f>
        <v>http://www.12365auto.com/news/20200211/418268.shtml</v>
      </c>
      <c r="G9308" s="2"/>
      <c r="H9308" s="2" t="s">
        <v>12563</v>
      </c>
      <c r="I9308" s="2" t="s">
        <v>15</v>
      </c>
      <c r="J9308" s="2" t="s">
        <v>12</v>
      </c>
      <c r="K9308" s="2" t="s">
        <v>12564</v>
      </c>
      <c r="L9308" s="2">
        <f t="shared" si="145"/>
        <v>150</v>
      </c>
    </row>
    <row r="9309" spans="1:12" ht="25" customHeight="1">
      <c r="A9309" s="2" t="s">
        <v>12</v>
      </c>
      <c r="B9309" s="2" t="str">
        <f>HYPERLINK("http://m.12365auto.com/news/20200211/418268.shtml","马斯克：燃油车剩余价值未来将大幅降低")</f>
        <v>马斯克：燃油车剩余价值未来将大幅降低</v>
      </c>
      <c r="C9309" s="2" t="s">
        <v>13</v>
      </c>
      <c r="D9309" s="2" t="s">
        <v>12</v>
      </c>
      <c r="E9309" s="2"/>
      <c r="F9309" s="2" t="str">
        <f>HYPERLINK("http://m.12365auto.com/news/20200211/418268.shtml","http://m.12365auto.com/news/20200211/418268.shtml")</f>
        <v>http://m.12365auto.com/news/20200211/418268.shtml</v>
      </c>
      <c r="G9309" s="2"/>
      <c r="H9309" s="2" t="s">
        <v>12565</v>
      </c>
      <c r="I9309" s="2" t="s">
        <v>19</v>
      </c>
      <c r="J9309" s="2" t="s">
        <v>1041</v>
      </c>
      <c r="K9309" s="2" t="s">
        <v>12564</v>
      </c>
      <c r="L9309" s="2">
        <f t="shared" si="145"/>
        <v>150</v>
      </c>
    </row>
    <row r="9310" spans="1:12" ht="25" customHeight="1">
      <c r="A9310" s="2" t="s">
        <v>12</v>
      </c>
      <c r="B9310" s="2" t="str">
        <f>HYPERLINK("http://m.12365auto.com/zjdy/20200211/121154.shtml","汽车商业险应该如何选择购买险种？")</f>
        <v>汽车商业险应该如何选择购买险种？</v>
      </c>
      <c r="C9310" s="2" t="s">
        <v>13</v>
      </c>
      <c r="D9310" s="2" t="s">
        <v>12</v>
      </c>
      <c r="E9310" s="2"/>
      <c r="F9310" s="2" t="str">
        <f>HYPERLINK("http://m.12365auto.com/zjdy/20200211/121154.shtml","http://m.12365auto.com/zjdy/20200211/121154.shtml")</f>
        <v>http://m.12365auto.com/zjdy/20200211/121154.shtml</v>
      </c>
      <c r="G9310" s="2"/>
      <c r="H9310" s="2" t="s">
        <v>12566</v>
      </c>
      <c r="I9310" s="2" t="s">
        <v>19</v>
      </c>
      <c r="J9310" s="2" t="s">
        <v>12</v>
      </c>
      <c r="K9310" s="2" t="s">
        <v>12567</v>
      </c>
      <c r="L9310" s="2">
        <f t="shared" si="145"/>
        <v>12</v>
      </c>
    </row>
    <row r="9311" spans="1:12" ht="25" customHeight="1">
      <c r="A9311" s="2" t="s">
        <v>12</v>
      </c>
      <c r="B9311" s="2" t="str">
        <f>HYPERLINK("http://m.12365auto.com/xcdg/20200211/418267.shtml","奥迪新款Q7售价曝光 新增多项配置")</f>
        <v>奥迪新款Q7售价曝光 新增多项配置</v>
      </c>
      <c r="C9311" s="2" t="s">
        <v>13</v>
      </c>
      <c r="D9311" s="2" t="s">
        <v>12</v>
      </c>
      <c r="E9311" s="2"/>
      <c r="F9311" s="2" t="str">
        <f>HYPERLINK("http://m.12365auto.com/xcdg/20200211/418267.shtml","http://m.12365auto.com/xcdg/20200211/418267.shtml")</f>
        <v>http://m.12365auto.com/xcdg/20200211/418267.shtml</v>
      </c>
      <c r="G9311" s="2"/>
      <c r="H9311" s="2" t="s">
        <v>12568</v>
      </c>
      <c r="I9311" s="2" t="s">
        <v>19</v>
      </c>
      <c r="J9311" s="2" t="s">
        <v>220</v>
      </c>
      <c r="K9311" s="2" t="s">
        <v>12569</v>
      </c>
      <c r="L9311" s="2">
        <f t="shared" si="145"/>
        <v>150</v>
      </c>
    </row>
    <row r="9312" spans="1:12" ht="25" customHeight="1">
      <c r="A9312" s="2" t="s">
        <v>12</v>
      </c>
      <c r="B9312" s="2" t="str">
        <f>HYPERLINK("http://www.12365auto.com/xcdg/20200211/418267.shtml","奥迪新款Q7售价曝光 新增多项配置")</f>
        <v>奥迪新款Q7售价曝光 新增多项配置</v>
      </c>
      <c r="C9312" s="2" t="s">
        <v>13</v>
      </c>
      <c r="D9312" s="2" t="s">
        <v>12</v>
      </c>
      <c r="E9312" s="2" t="s">
        <v>216</v>
      </c>
      <c r="F9312" s="2" t="str">
        <f>HYPERLINK("http://www.12365auto.com/xcdg/20200211/418267.shtml","http://www.12365auto.com/xcdg/20200211/418267.shtml")</f>
        <v>http://www.12365auto.com/xcdg/20200211/418267.shtml</v>
      </c>
      <c r="G9312" s="2"/>
      <c r="H9312" s="2" t="s">
        <v>12570</v>
      </c>
      <c r="I9312" s="2" t="s">
        <v>15</v>
      </c>
      <c r="J9312" s="2" t="s">
        <v>12</v>
      </c>
      <c r="K9312" s="2" t="s">
        <v>12569</v>
      </c>
      <c r="L9312" s="2">
        <f t="shared" si="145"/>
        <v>150</v>
      </c>
    </row>
    <row r="9313" spans="1:12" ht="25" customHeight="1">
      <c r="A9313" s="2" t="s">
        <v>12</v>
      </c>
      <c r="B9313" s="2" t="str">
        <f>HYPERLINK("http://m.12365auto.com/xcdg/20200211/418266.shtml","官翻老车最致命 兰博基尼修复Miura SVJ")</f>
        <v>官翻老车最致命 兰博基尼修复Miura SVJ</v>
      </c>
      <c r="C9313" s="2" t="s">
        <v>13</v>
      </c>
      <c r="D9313" s="2" t="s">
        <v>12</v>
      </c>
      <c r="E9313" s="2"/>
      <c r="F9313" s="2" t="str">
        <f>HYPERLINK("http://m.12365auto.com/xcdg/20200211/418266.shtml","http://m.12365auto.com/xcdg/20200211/418266.shtml")</f>
        <v>http://m.12365auto.com/xcdg/20200211/418266.shtml</v>
      </c>
      <c r="G9313" s="2"/>
      <c r="H9313" s="2" t="s">
        <v>12571</v>
      </c>
      <c r="I9313" s="2" t="s">
        <v>19</v>
      </c>
      <c r="J9313" s="2" t="s">
        <v>1074</v>
      </c>
      <c r="K9313" s="2" t="s">
        <v>12572</v>
      </c>
      <c r="L9313" s="2">
        <f t="shared" si="145"/>
        <v>150</v>
      </c>
    </row>
    <row r="9314" spans="1:12" ht="25" customHeight="1">
      <c r="A9314" s="2" t="s">
        <v>12</v>
      </c>
      <c r="B9314" s="2" t="str">
        <f>HYPERLINK("http://www.12365auto.com/xcdg/20200211/418266.shtml","官翻老车最致命 兰博基尼修复Miura SVJ")</f>
        <v>官翻老车最致命 兰博基尼修复Miura SVJ</v>
      </c>
      <c r="C9314" s="2" t="s">
        <v>13</v>
      </c>
      <c r="D9314" s="2" t="s">
        <v>12</v>
      </c>
      <c r="E9314" s="2" t="s">
        <v>245</v>
      </c>
      <c r="F9314" s="2" t="str">
        <f>HYPERLINK("http://www.12365auto.com/xcdg/20200211/418266.shtml","http://www.12365auto.com/xcdg/20200211/418266.shtml")</f>
        <v>http://www.12365auto.com/xcdg/20200211/418266.shtml</v>
      </c>
      <c r="G9314" s="2"/>
      <c r="H9314" s="2" t="s">
        <v>12573</v>
      </c>
      <c r="I9314" s="2" t="s">
        <v>19</v>
      </c>
      <c r="J9314" s="2" t="s">
        <v>12</v>
      </c>
      <c r="K9314" s="2" t="s">
        <v>12572</v>
      </c>
      <c r="L9314" s="2">
        <f t="shared" si="145"/>
        <v>150</v>
      </c>
    </row>
    <row r="9315" spans="1:12" ht="25" customHeight="1">
      <c r="A9315" s="2" t="s">
        <v>12</v>
      </c>
      <c r="B9315" s="2" t="str">
        <f>HYPERLINK("http://m.12365auto.com/xcdg/20200211/418265.shtml","TNGA架构GA-B打造 全新丰田YARiS官图发布")</f>
        <v>TNGA架构GA-B打造 全新丰田YARiS官图发布</v>
      </c>
      <c r="C9315" s="2" t="s">
        <v>13</v>
      </c>
      <c r="D9315" s="2" t="s">
        <v>12</v>
      </c>
      <c r="E9315" s="2"/>
      <c r="F9315" s="2" t="str">
        <f>HYPERLINK("http://m.12365auto.com/xcdg/20200211/418265.shtml","http://m.12365auto.com/xcdg/20200211/418265.shtml")</f>
        <v>http://m.12365auto.com/xcdg/20200211/418265.shtml</v>
      </c>
      <c r="G9315" s="2"/>
      <c r="H9315" s="2" t="s">
        <v>12574</v>
      </c>
      <c r="I9315" s="2" t="s">
        <v>19</v>
      </c>
      <c r="J9315" s="2" t="s">
        <v>2589</v>
      </c>
      <c r="K9315" s="2" t="s">
        <v>12575</v>
      </c>
      <c r="L9315" s="2">
        <f t="shared" si="145"/>
        <v>150</v>
      </c>
    </row>
    <row r="9316" spans="1:12" ht="25" customHeight="1">
      <c r="A9316" s="2" t="s">
        <v>12</v>
      </c>
      <c r="B9316" s="2" t="str">
        <f>HYPERLINK("http://www.12365auto.com/xcdg/20200211/418265.shtml","TNGA架构GA-B打造 全新丰田YARiS官图发布")</f>
        <v>TNGA架构GA-B打造 全新丰田YARiS官图发布</v>
      </c>
      <c r="C9316" s="2" t="s">
        <v>13</v>
      </c>
      <c r="D9316" s="2" t="s">
        <v>12</v>
      </c>
      <c r="E9316" s="2" t="s">
        <v>245</v>
      </c>
      <c r="F9316" s="2" t="str">
        <f>HYPERLINK("http://www.12365auto.com/xcdg/20200211/418265.shtml","http://www.12365auto.com/xcdg/20200211/418265.shtml")</f>
        <v>http://www.12365auto.com/xcdg/20200211/418265.shtml</v>
      </c>
      <c r="G9316" s="2"/>
      <c r="H9316" s="2" t="s">
        <v>12576</v>
      </c>
      <c r="I9316" s="2" t="s">
        <v>19</v>
      </c>
      <c r="J9316" s="2" t="s">
        <v>12</v>
      </c>
      <c r="K9316" s="2" t="s">
        <v>12575</v>
      </c>
      <c r="L9316" s="2">
        <f t="shared" si="145"/>
        <v>150</v>
      </c>
    </row>
    <row r="9317" spans="1:12" ht="25" customHeight="1">
      <c r="A9317" s="2" t="s">
        <v>12</v>
      </c>
      <c r="B9317" s="2" t="str">
        <f>HYPERLINK("http://www.12365auto.com/news/20200211/418264.shtml","特斯拉柏林工厂可获补贴 率先投产Model Y")</f>
        <v>特斯拉柏林工厂可获补贴 率先投产Model Y</v>
      </c>
      <c r="C9317" s="2" t="s">
        <v>13</v>
      </c>
      <c r="D9317" s="2" t="s">
        <v>12</v>
      </c>
      <c r="E9317" s="2" t="s">
        <v>276</v>
      </c>
      <c r="F9317" s="2" t="str">
        <f>HYPERLINK("http://www.12365auto.com/news/20200211/418264.shtml","http://www.12365auto.com/news/20200211/418264.shtml")</f>
        <v>http://www.12365auto.com/news/20200211/418264.shtml</v>
      </c>
      <c r="G9317" s="2"/>
      <c r="H9317" s="2" t="s">
        <v>12577</v>
      </c>
      <c r="I9317" s="2" t="s">
        <v>15</v>
      </c>
      <c r="J9317" s="2" t="s">
        <v>12</v>
      </c>
      <c r="K9317" s="2" t="s">
        <v>12578</v>
      </c>
      <c r="L9317" s="2">
        <f t="shared" si="145"/>
        <v>150</v>
      </c>
    </row>
    <row r="9318" spans="1:12" ht="25" customHeight="1">
      <c r="A9318" s="2" t="s">
        <v>12</v>
      </c>
      <c r="B9318" s="2" t="str">
        <f>HYPERLINK("http://m.12365auto.com/news/20200211/418264.shtml","特斯拉柏林工厂可获补贴 率先投产Model Y")</f>
        <v>特斯拉柏林工厂可获补贴 率先投产Model Y</v>
      </c>
      <c r="C9318" s="2" t="s">
        <v>13</v>
      </c>
      <c r="D9318" s="2" t="s">
        <v>12</v>
      </c>
      <c r="E9318" s="2"/>
      <c r="F9318" s="2" t="str">
        <f>HYPERLINK("http://m.12365auto.com/news/20200211/418264.shtml","http://m.12365auto.com/news/20200211/418264.shtml")</f>
        <v>http://m.12365auto.com/news/20200211/418264.shtml</v>
      </c>
      <c r="G9318" s="2"/>
      <c r="H9318" s="2" t="s">
        <v>12579</v>
      </c>
      <c r="I9318" s="2" t="s">
        <v>19</v>
      </c>
      <c r="J9318" s="2" t="s">
        <v>1076</v>
      </c>
      <c r="K9318" s="2" t="s">
        <v>12578</v>
      </c>
      <c r="L9318" s="2">
        <f t="shared" si="145"/>
        <v>150</v>
      </c>
    </row>
    <row r="9319" spans="1:12" ht="25" customHeight="1">
      <c r="A9319" s="2" t="s">
        <v>12</v>
      </c>
      <c r="B9319" s="2" t="str">
        <f>HYPERLINK("http://www.12365auto.com/news/20200211/418263.shtml","MG名爵1月全球销售22460辆 同比增长8.33%")</f>
        <v>MG名爵1月全球销售22460辆 同比增长8.33%</v>
      </c>
      <c r="C9319" s="2" t="s">
        <v>13</v>
      </c>
      <c r="D9319" s="2" t="s">
        <v>12</v>
      </c>
      <c r="E9319" s="2" t="s">
        <v>276</v>
      </c>
      <c r="F9319" s="2" t="str">
        <f>HYPERLINK("http://www.12365auto.com/news/20200211/418263.shtml","http://www.12365auto.com/news/20200211/418263.shtml")</f>
        <v>http://www.12365auto.com/news/20200211/418263.shtml</v>
      </c>
      <c r="G9319" s="2"/>
      <c r="H9319" s="2" t="s">
        <v>12580</v>
      </c>
      <c r="I9319" s="2" t="s">
        <v>15</v>
      </c>
      <c r="J9319" s="2" t="s">
        <v>12</v>
      </c>
      <c r="K9319" s="2" t="s">
        <v>12581</v>
      </c>
      <c r="L9319" s="2">
        <f t="shared" si="145"/>
        <v>150</v>
      </c>
    </row>
    <row r="9320" spans="1:12" ht="25" customHeight="1">
      <c r="A9320" s="2" t="s">
        <v>12</v>
      </c>
      <c r="B9320" s="2" t="str">
        <f>HYPERLINK("http://m.12365auto.com/news/20200211/418263.shtml","MG名爵1月全球销售22460辆 同比增长8.33%")</f>
        <v>MG名爵1月全球销售22460辆 同比增长8.33%</v>
      </c>
      <c r="C9320" s="2" t="s">
        <v>13</v>
      </c>
      <c r="D9320" s="2" t="s">
        <v>12</v>
      </c>
      <c r="E9320" s="2"/>
      <c r="F9320" s="2" t="str">
        <f>HYPERLINK("http://m.12365auto.com/news/20200211/418263.shtml","http://m.12365auto.com/news/20200211/418263.shtml")</f>
        <v>http://m.12365auto.com/news/20200211/418263.shtml</v>
      </c>
      <c r="G9320" s="2"/>
      <c r="H9320" s="2" t="s">
        <v>12582</v>
      </c>
      <c r="I9320" s="2" t="s">
        <v>19</v>
      </c>
      <c r="J9320" s="2" t="s">
        <v>1076</v>
      </c>
      <c r="K9320" s="2" t="s">
        <v>12581</v>
      </c>
      <c r="L9320" s="2">
        <f t="shared" si="145"/>
        <v>150</v>
      </c>
    </row>
    <row r="9321" spans="1:12" ht="25" customHeight="1">
      <c r="A9321" s="2" t="s">
        <v>12</v>
      </c>
      <c r="B9321" s="2" t="str">
        <f>HYPERLINK("http://www.12365auto.com/xcdg/20200211/418262.shtml","美系高性能纯电皮卡在华申请设计专利")</f>
        <v>美系高性能纯电皮卡在华申请设计专利</v>
      </c>
      <c r="C9321" s="2" t="s">
        <v>13</v>
      </c>
      <c r="D9321" s="2" t="s">
        <v>12</v>
      </c>
      <c r="E9321" s="2" t="s">
        <v>216</v>
      </c>
      <c r="F9321" s="2" t="str">
        <f>HYPERLINK("http://www.12365auto.com/xcdg/20200211/418262.shtml","http://www.12365auto.com/xcdg/20200211/418262.shtml")</f>
        <v>http://www.12365auto.com/xcdg/20200211/418262.shtml</v>
      </c>
      <c r="G9321" s="2"/>
      <c r="H9321" s="2" t="s">
        <v>12583</v>
      </c>
      <c r="I9321" s="2" t="s">
        <v>15</v>
      </c>
      <c r="J9321" s="2" t="s">
        <v>12</v>
      </c>
      <c r="K9321" s="2" t="s">
        <v>12584</v>
      </c>
      <c r="L9321" s="2">
        <f t="shared" si="145"/>
        <v>150</v>
      </c>
    </row>
    <row r="9322" spans="1:12" ht="25" customHeight="1">
      <c r="A9322" s="2" t="s">
        <v>12</v>
      </c>
      <c r="B9322" s="2" t="str">
        <f>HYPERLINK("http://m.12365auto.com/xcdg/20200211/418262.shtml","美系高性能纯电皮卡在华申请设计专利")</f>
        <v>美系高性能纯电皮卡在华申请设计专利</v>
      </c>
      <c r="C9322" s="2" t="s">
        <v>13</v>
      </c>
      <c r="D9322" s="2" t="s">
        <v>12</v>
      </c>
      <c r="E9322" s="2"/>
      <c r="F9322" s="2" t="str">
        <f>HYPERLINK("http://m.12365auto.com/xcdg/20200211/418262.shtml","http://m.12365auto.com/xcdg/20200211/418262.shtml")</f>
        <v>http://m.12365auto.com/xcdg/20200211/418262.shtml</v>
      </c>
      <c r="G9322" s="2"/>
      <c r="H9322" s="2" t="s">
        <v>12585</v>
      </c>
      <c r="I9322" s="2" t="s">
        <v>19</v>
      </c>
      <c r="J9322" s="2" t="s">
        <v>1094</v>
      </c>
      <c r="K9322" s="2" t="s">
        <v>12584</v>
      </c>
      <c r="L9322" s="2">
        <f t="shared" si="145"/>
        <v>150</v>
      </c>
    </row>
    <row r="9323" spans="1:12" ht="25" customHeight="1">
      <c r="A9323" s="2" t="s">
        <v>12</v>
      </c>
      <c r="B9323" s="2" t="str">
        <f>HYPERLINK("http://www.12365auto.com/zlts/20200211/446877.shtml","路虎发现神行变速箱渗漏油严重，4S店维修两次无果")</f>
        <v>路虎发现神行变速箱渗漏油严重，4S店维修两次无果</v>
      </c>
      <c r="C9323" s="2" t="s">
        <v>13</v>
      </c>
      <c r="D9323" s="2" t="s">
        <v>12</v>
      </c>
      <c r="E9323" s="2"/>
      <c r="F9323" s="2" t="str">
        <f>HYPERLINK("http://www.12365auto.com/zlts/20200211/446877.shtml","http://www.12365auto.com/zlts/20200211/446877.shtml")</f>
        <v>http://www.12365auto.com/zlts/20200211/446877.shtml</v>
      </c>
      <c r="G9323" s="2"/>
      <c r="H9323" s="2" t="s">
        <v>12587</v>
      </c>
      <c r="I9323" s="2" t="s">
        <v>15</v>
      </c>
      <c r="J9323" s="2" t="s">
        <v>12</v>
      </c>
      <c r="K9323" s="2" t="s">
        <v>12586</v>
      </c>
      <c r="L9323" s="2">
        <f t="shared" si="145"/>
        <v>81</v>
      </c>
    </row>
    <row r="9324" spans="1:12" ht="25" customHeight="1">
      <c r="A9324" s="2" t="s">
        <v>12</v>
      </c>
      <c r="B9324" s="2" t="str">
        <f>HYPERLINK("http://www.12365auto.com/zlts/20200211/446873.shtml","汽车漏电严重，最多两天就没电了")</f>
        <v>汽车漏电严重，最多两天就没电了</v>
      </c>
      <c r="C9324" s="2" t="s">
        <v>13</v>
      </c>
      <c r="D9324" s="2" t="s">
        <v>12</v>
      </c>
      <c r="E9324" s="2"/>
      <c r="F9324" s="2" t="str">
        <f>HYPERLINK("http://www.12365auto.com/zlts/20200211/446873.shtml","http://www.12365auto.com/zlts/20200211/446873.shtml")</f>
        <v>http://www.12365auto.com/zlts/20200211/446873.shtml</v>
      </c>
      <c r="G9324" s="2"/>
      <c r="H9324" s="2" t="s">
        <v>12589</v>
      </c>
      <c r="I9324" s="2" t="s">
        <v>15</v>
      </c>
      <c r="J9324" s="2" t="s">
        <v>12</v>
      </c>
      <c r="K9324" s="2" t="s">
        <v>12588</v>
      </c>
      <c r="L9324" s="2">
        <f t="shared" si="145"/>
        <v>83</v>
      </c>
    </row>
    <row r="9325" spans="1:12" ht="25" customHeight="1">
      <c r="A9325" s="2" t="s">
        <v>12</v>
      </c>
      <c r="B9325" s="2" t="str">
        <f>HYPERLINK("http://m.12365auto.com/news/20200211/418261.shtml","与奇瑞建立合作 新品牌Vantas在美成立")</f>
        <v>与奇瑞建立合作 新品牌Vantas在美成立</v>
      </c>
      <c r="C9325" s="2" t="s">
        <v>13</v>
      </c>
      <c r="D9325" s="2" t="s">
        <v>12</v>
      </c>
      <c r="E9325" s="2"/>
      <c r="F9325" s="2" t="str">
        <f>HYPERLINK("http://m.12365auto.com/news/20200211/418261.shtml","http://m.12365auto.com/news/20200211/418261.shtml")</f>
        <v>http://m.12365auto.com/news/20200211/418261.shtml</v>
      </c>
      <c r="G9325" s="2"/>
      <c r="H9325" s="2" t="s">
        <v>12590</v>
      </c>
      <c r="I9325" s="2" t="s">
        <v>19</v>
      </c>
      <c r="J9325" s="2" t="s">
        <v>1637</v>
      </c>
      <c r="K9325" s="2" t="s">
        <v>12591</v>
      </c>
      <c r="L9325" s="2">
        <f t="shared" si="145"/>
        <v>150</v>
      </c>
    </row>
    <row r="9326" spans="1:12" ht="25" customHeight="1">
      <c r="A9326" s="2" t="s">
        <v>12</v>
      </c>
      <c r="B9326" s="2" t="str">
        <f>HYPERLINK("http://www.12365auto.com/news/20200211/418261.shtml","与奇瑞建立合作 新品牌Vantas在美成立")</f>
        <v>与奇瑞建立合作 新品牌Vantas在美成立</v>
      </c>
      <c r="C9326" s="2" t="s">
        <v>13</v>
      </c>
      <c r="D9326" s="2" t="s">
        <v>12</v>
      </c>
      <c r="E9326" s="2" t="s">
        <v>276</v>
      </c>
      <c r="F9326" s="2" t="str">
        <f>HYPERLINK("http://www.12365auto.com/news/20200211/418261.shtml","http://www.12365auto.com/news/20200211/418261.shtml")</f>
        <v>http://www.12365auto.com/news/20200211/418261.shtml</v>
      </c>
      <c r="G9326" s="2"/>
      <c r="H9326" s="2" t="s">
        <v>12592</v>
      </c>
      <c r="I9326" s="2" t="s">
        <v>15</v>
      </c>
      <c r="J9326" s="2" t="s">
        <v>12</v>
      </c>
      <c r="K9326" s="2" t="s">
        <v>12591</v>
      </c>
      <c r="L9326" s="2">
        <f t="shared" si="145"/>
        <v>150</v>
      </c>
    </row>
    <row r="9327" spans="1:12" ht="25" customHeight="1">
      <c r="A9327" s="2" t="s">
        <v>12</v>
      </c>
      <c r="B9327" s="2" t="str">
        <f>HYPERLINK("http://www.12365auto.com/xcdg/20200211/418260.shtml","大众帕萨特纯电版车型信息 明年量产")</f>
        <v>大众帕萨特纯电版车型信息 明年量产</v>
      </c>
      <c r="C9327" s="2" t="s">
        <v>13</v>
      </c>
      <c r="D9327" s="2" t="s">
        <v>12</v>
      </c>
      <c r="E9327" s="2" t="s">
        <v>216</v>
      </c>
      <c r="F9327" s="2" t="str">
        <f>HYPERLINK("http://www.12365auto.com/xcdg/20200211/418260.shtml","http://www.12365auto.com/xcdg/20200211/418260.shtml")</f>
        <v>http://www.12365auto.com/xcdg/20200211/418260.shtml</v>
      </c>
      <c r="G9327" s="2"/>
      <c r="H9327" s="2" t="s">
        <v>12593</v>
      </c>
      <c r="I9327" s="2" t="s">
        <v>15</v>
      </c>
      <c r="J9327" s="2" t="s">
        <v>12</v>
      </c>
      <c r="K9327" s="2" t="s">
        <v>12594</v>
      </c>
      <c r="L9327" s="2">
        <f t="shared" si="145"/>
        <v>150</v>
      </c>
    </row>
    <row r="9328" spans="1:12" ht="25" customHeight="1">
      <c r="A9328" s="2" t="s">
        <v>12</v>
      </c>
      <c r="B9328" s="2" t="str">
        <f>HYPERLINK("http://m.12365auto.com/xcdg/20200211/418260.shtml","大众帕萨特纯电版车型信息 明年量产")</f>
        <v>大众帕萨特纯电版车型信息 明年量产</v>
      </c>
      <c r="C9328" s="2" t="s">
        <v>13</v>
      </c>
      <c r="D9328" s="2" t="s">
        <v>12</v>
      </c>
      <c r="E9328" s="2"/>
      <c r="F9328" s="2" t="str">
        <f>HYPERLINK("http://m.12365auto.com/xcdg/20200211/418260.shtml","http://m.12365auto.com/xcdg/20200211/418260.shtml")</f>
        <v>http://m.12365auto.com/xcdg/20200211/418260.shtml</v>
      </c>
      <c r="G9328" s="2"/>
      <c r="H9328" s="2" t="s">
        <v>12595</v>
      </c>
      <c r="I9328" s="2" t="s">
        <v>19</v>
      </c>
      <c r="J9328" s="2" t="s">
        <v>220</v>
      </c>
      <c r="K9328" s="2" t="s">
        <v>12594</v>
      </c>
      <c r="L9328" s="2">
        <f t="shared" si="145"/>
        <v>150</v>
      </c>
    </row>
    <row r="9329" spans="1:12" ht="25" customHeight="1">
      <c r="A9329" s="2" t="s">
        <v>12</v>
      </c>
      <c r="B9329" s="2" t="str">
        <f>HYPERLINK("http://www.12365auto.com/zlts/20200211/446872.shtml","油箱盖打不开天窗遮阳帘故障")</f>
        <v>油箱盖打不开天窗遮阳帘故障</v>
      </c>
      <c r="C9329" s="2" t="s">
        <v>13</v>
      </c>
      <c r="D9329" s="2" t="s">
        <v>12</v>
      </c>
      <c r="E9329" s="2"/>
      <c r="F9329" s="2" t="str">
        <f>HYPERLINK("http://www.12365auto.com/zlts/20200211/446872.shtml","http://www.12365auto.com/zlts/20200211/446872.shtml")</f>
        <v>http://www.12365auto.com/zlts/20200211/446872.shtml</v>
      </c>
      <c r="G9329" s="2"/>
      <c r="H9329" s="2" t="s">
        <v>12597</v>
      </c>
      <c r="I9329" s="2" t="s">
        <v>15</v>
      </c>
      <c r="J9329" s="2" t="s">
        <v>12</v>
      </c>
      <c r="K9329" s="2" t="s">
        <v>12596</v>
      </c>
      <c r="L9329" s="2">
        <f t="shared" si="145"/>
        <v>84</v>
      </c>
    </row>
    <row r="9330" spans="1:12" ht="25" customHeight="1">
      <c r="A9330" s="2" t="s">
        <v>12</v>
      </c>
      <c r="B9330" s="2" t="str">
        <f>HYPERLINK("http://m.12365auto.com/xcdg/20200211/418259.shtml","荣威全新一代RX5将上市 换1.5T发动机")</f>
        <v>荣威全新一代RX5将上市 换1.5T发动机</v>
      </c>
      <c r="C9330" s="2" t="s">
        <v>13</v>
      </c>
      <c r="D9330" s="2" t="s">
        <v>12</v>
      </c>
      <c r="E9330" s="2"/>
      <c r="F9330" s="2" t="str">
        <f>HYPERLINK("http://m.12365auto.com/xcdg/20200211/418259.shtml","http://m.12365auto.com/xcdg/20200211/418259.shtml")</f>
        <v>http://m.12365auto.com/xcdg/20200211/418259.shtml</v>
      </c>
      <c r="G9330" s="2"/>
      <c r="H9330" s="2" t="s">
        <v>12598</v>
      </c>
      <c r="I9330" s="2" t="s">
        <v>19</v>
      </c>
      <c r="J9330" s="2" t="s">
        <v>6086</v>
      </c>
      <c r="K9330" s="2" t="s">
        <v>12599</v>
      </c>
      <c r="L9330" s="2">
        <f t="shared" si="145"/>
        <v>150</v>
      </c>
    </row>
    <row r="9331" spans="1:12" ht="25" customHeight="1">
      <c r="A9331" s="2" t="s">
        <v>12</v>
      </c>
      <c r="B9331" s="2" t="str">
        <f>HYPERLINK("http://www.12365auto.com/xcdg/20200211/418259.shtml","荣威全新一代RX5将上市 换1.5T发动机")</f>
        <v>荣威全新一代RX5将上市 换1.5T发动机</v>
      </c>
      <c r="C9331" s="2" t="s">
        <v>13</v>
      </c>
      <c r="D9331" s="2" t="s">
        <v>12</v>
      </c>
      <c r="E9331" s="2" t="s">
        <v>216</v>
      </c>
      <c r="F9331" s="2" t="str">
        <f>HYPERLINK("http://www.12365auto.com/xcdg/20200211/418259.shtml","http://www.12365auto.com/xcdg/20200211/418259.shtml")</f>
        <v>http://www.12365auto.com/xcdg/20200211/418259.shtml</v>
      </c>
      <c r="G9331" s="2"/>
      <c r="H9331" s="2" t="s">
        <v>12600</v>
      </c>
      <c r="I9331" s="2" t="s">
        <v>15</v>
      </c>
      <c r="J9331" s="2" t="s">
        <v>12</v>
      </c>
      <c r="K9331" s="2" t="s">
        <v>12599</v>
      </c>
      <c r="L9331" s="2">
        <f t="shared" si="145"/>
        <v>150</v>
      </c>
    </row>
    <row r="9332" spans="1:12" ht="25" customHeight="1">
      <c r="A9332" s="2" t="s">
        <v>12</v>
      </c>
      <c r="B9332" s="2" t="str">
        <f>HYPERLINK("http://m.12365auto.com/news/20200211/418258.shtml","足不出户一口价买车 哈弗SUV推三大举措")</f>
        <v>足不出户一口价买车 哈弗SUV推三大举措</v>
      </c>
      <c r="C9332" s="2" t="s">
        <v>13</v>
      </c>
      <c r="D9332" s="2" t="s">
        <v>12</v>
      </c>
      <c r="E9332" s="2"/>
      <c r="F9332" s="2" t="str">
        <f>HYPERLINK("http://m.12365auto.com/news/20200211/418258.shtml","http://m.12365auto.com/news/20200211/418258.shtml")</f>
        <v>http://m.12365auto.com/news/20200211/418258.shtml</v>
      </c>
      <c r="G9332" s="2"/>
      <c r="H9332" s="2" t="s">
        <v>12601</v>
      </c>
      <c r="I9332" s="2" t="s">
        <v>19</v>
      </c>
      <c r="J9332" s="2" t="s">
        <v>3053</v>
      </c>
      <c r="K9332" s="2" t="s">
        <v>12602</v>
      </c>
      <c r="L9332" s="2">
        <f t="shared" si="145"/>
        <v>150</v>
      </c>
    </row>
    <row r="9333" spans="1:12" ht="25" customHeight="1">
      <c r="A9333" s="2" t="s">
        <v>12</v>
      </c>
      <c r="B9333" s="2" t="str">
        <f>HYPERLINK("http://www.12365auto.com/zlts/20200211/446876.shtml","林肯大陆全车无电无法解决发动机线束故障")</f>
        <v>林肯大陆全车无电无法解决发动机线束故障</v>
      </c>
      <c r="C9333" s="2" t="s">
        <v>13</v>
      </c>
      <c r="D9333" s="2" t="s">
        <v>12</v>
      </c>
      <c r="E9333" s="2" t="s">
        <v>17</v>
      </c>
      <c r="F9333" s="2" t="str">
        <f>HYPERLINK("http://www.12365auto.com/zlts/20200211/446876.shtml","http://www.12365auto.com/zlts/20200211/446876.shtml")</f>
        <v>http://www.12365auto.com/zlts/20200211/446876.shtml</v>
      </c>
      <c r="G9333" s="2"/>
      <c r="H9333" s="2" t="s">
        <v>12603</v>
      </c>
      <c r="I9333" s="2" t="s">
        <v>19</v>
      </c>
      <c r="J9333" s="2" t="s">
        <v>12</v>
      </c>
      <c r="K9333" s="2" t="s">
        <v>12602</v>
      </c>
      <c r="L9333" s="2">
        <f t="shared" si="145"/>
        <v>150</v>
      </c>
    </row>
    <row r="9334" spans="1:12" ht="25" customHeight="1">
      <c r="A9334" s="2" t="s">
        <v>12</v>
      </c>
      <c r="B9334" s="2" t="str">
        <f>HYPERLINK("http://www.12365auto.com/news/20200211/418258.shtml","足不出户一口价买车 哈弗SUV推三大举措")</f>
        <v>足不出户一口价买车 哈弗SUV推三大举措</v>
      </c>
      <c r="C9334" s="2" t="s">
        <v>13</v>
      </c>
      <c r="D9334" s="2" t="s">
        <v>12</v>
      </c>
      <c r="E9334" s="2" t="s">
        <v>276</v>
      </c>
      <c r="F9334" s="2" t="str">
        <f>HYPERLINK("http://www.12365auto.com/news/20200211/418258.shtml","http://www.12365auto.com/news/20200211/418258.shtml")</f>
        <v>http://www.12365auto.com/news/20200211/418258.shtml</v>
      </c>
      <c r="G9334" s="2"/>
      <c r="H9334" s="2" t="s">
        <v>12604</v>
      </c>
      <c r="I9334" s="2" t="s">
        <v>15</v>
      </c>
      <c r="J9334" s="2" t="s">
        <v>12</v>
      </c>
      <c r="K9334" s="2" t="s">
        <v>12602</v>
      </c>
      <c r="L9334" s="2">
        <f t="shared" si="145"/>
        <v>150</v>
      </c>
    </row>
    <row r="9335" spans="1:12" ht="25" customHeight="1">
      <c r="A9335" s="2" t="s">
        <v>12</v>
      </c>
      <c r="B9335" s="2" t="str">
        <f>HYPERLINK("http://www.12365auto.com/zlts/20200211/446875.shtml","哈弗M6中控台内部钢管生锈 车身异响 跑偏")</f>
        <v>哈弗M6中控台内部钢管生锈 车身异响 跑偏</v>
      </c>
      <c r="C9335" s="2" t="s">
        <v>13</v>
      </c>
      <c r="D9335" s="2" t="s">
        <v>12</v>
      </c>
      <c r="E9335" s="2" t="s">
        <v>17</v>
      </c>
      <c r="F9335" s="2" t="str">
        <f>HYPERLINK("http://www.12365auto.com/zlts/20200211/446875.shtml","http://www.12365auto.com/zlts/20200211/446875.shtml")</f>
        <v>http://www.12365auto.com/zlts/20200211/446875.shtml</v>
      </c>
      <c r="G9335" s="2"/>
      <c r="H9335" s="2" t="s">
        <v>12605</v>
      </c>
      <c r="I9335" s="2" t="s">
        <v>19</v>
      </c>
      <c r="J9335" s="2" t="s">
        <v>12</v>
      </c>
      <c r="K9335" s="2" t="s">
        <v>12606</v>
      </c>
      <c r="L9335" s="2">
        <f t="shared" si="145"/>
        <v>150</v>
      </c>
    </row>
    <row r="9336" spans="1:12" ht="25" customHeight="1">
      <c r="A9336" s="2" t="s">
        <v>12</v>
      </c>
      <c r="B9336" s="2" t="str">
        <f>HYPERLINK("http://m.12365auto.com/news/20200211/418257.shtml","空气悬架落空 马斯克否认Model 3有更新")</f>
        <v>空气悬架落空 马斯克否认Model 3有更新</v>
      </c>
      <c r="C9336" s="2" t="s">
        <v>13</v>
      </c>
      <c r="D9336" s="2" t="s">
        <v>12</v>
      </c>
      <c r="E9336" s="2"/>
      <c r="F9336" s="2" t="str">
        <f>HYPERLINK("http://m.12365auto.com/news/20200211/418257.shtml","http://m.12365auto.com/news/20200211/418257.shtml")</f>
        <v>http://m.12365auto.com/news/20200211/418257.shtml</v>
      </c>
      <c r="G9336" s="2"/>
      <c r="H9336" s="2" t="s">
        <v>12607</v>
      </c>
      <c r="I9336" s="2" t="s">
        <v>19</v>
      </c>
      <c r="J9336" s="2" t="s">
        <v>1543</v>
      </c>
      <c r="K9336" s="2" t="s">
        <v>12606</v>
      </c>
      <c r="L9336" s="2">
        <f t="shared" si="145"/>
        <v>150</v>
      </c>
    </row>
    <row r="9337" spans="1:12" ht="25" customHeight="1">
      <c r="A9337" s="2" t="s">
        <v>12</v>
      </c>
      <c r="B9337" s="2" t="str">
        <f>HYPERLINK("http://www.12365auto.com/news/20200211/418257.shtml","空气悬架落空 马斯克否认Model 3有更新")</f>
        <v>空气悬架落空 马斯克否认Model 3有更新</v>
      </c>
      <c r="C9337" s="2" t="s">
        <v>13</v>
      </c>
      <c r="D9337" s="2" t="s">
        <v>12</v>
      </c>
      <c r="E9337" s="2" t="s">
        <v>282</v>
      </c>
      <c r="F9337" s="2" t="str">
        <f>HYPERLINK("http://www.12365auto.com/news/20200211/418257.shtml","http://www.12365auto.com/news/20200211/418257.shtml")</f>
        <v>http://www.12365auto.com/news/20200211/418257.shtml</v>
      </c>
      <c r="G9337" s="2"/>
      <c r="H9337" s="2" t="s">
        <v>12608</v>
      </c>
      <c r="I9337" s="2" t="s">
        <v>19</v>
      </c>
      <c r="J9337" s="2" t="s">
        <v>12</v>
      </c>
      <c r="K9337" s="2" t="s">
        <v>12606</v>
      </c>
      <c r="L9337" s="2">
        <f t="shared" si="145"/>
        <v>150</v>
      </c>
    </row>
    <row r="9338" spans="1:12" ht="25" customHeight="1">
      <c r="A9338" s="2" t="s">
        <v>12</v>
      </c>
      <c r="B9338" s="2" t="str">
        <f>HYPERLINK("http://www.12365auto.com/xcdg/20200211/418256.shtml","或命名为Chiron R 曝布加迪新车型谍照")</f>
        <v>或命名为Chiron R 曝布加迪新车型谍照</v>
      </c>
      <c r="C9338" s="2" t="s">
        <v>13</v>
      </c>
      <c r="D9338" s="2" t="s">
        <v>12</v>
      </c>
      <c r="E9338" s="2" t="s">
        <v>224</v>
      </c>
      <c r="F9338" s="2" t="str">
        <f>HYPERLINK("http://www.12365auto.com/xcdg/20200211/418256.shtml","http://www.12365auto.com/xcdg/20200211/418256.shtml")</f>
        <v>http://www.12365auto.com/xcdg/20200211/418256.shtml</v>
      </c>
      <c r="G9338" s="2"/>
      <c r="H9338" s="2" t="s">
        <v>12609</v>
      </c>
      <c r="I9338" s="2" t="s">
        <v>15</v>
      </c>
      <c r="J9338" s="2" t="s">
        <v>12</v>
      </c>
      <c r="K9338" s="2" t="s">
        <v>12610</v>
      </c>
      <c r="L9338" s="2">
        <f t="shared" si="145"/>
        <v>150</v>
      </c>
    </row>
    <row r="9339" spans="1:12" ht="25" customHeight="1">
      <c r="A9339" s="2" t="s">
        <v>12</v>
      </c>
      <c r="B9339" s="2" t="str">
        <f>HYPERLINK("http://m.12365auto.com/xcdg/20200211/418256.shtml","或命名为Chiron R 曝布加迪新车型谍照")</f>
        <v>或命名为Chiron R 曝布加迪新车型谍照</v>
      </c>
      <c r="C9339" s="2" t="s">
        <v>13</v>
      </c>
      <c r="D9339" s="2" t="s">
        <v>12</v>
      </c>
      <c r="E9339" s="2"/>
      <c r="F9339" s="2" t="str">
        <f>HYPERLINK("http://m.12365auto.com/xcdg/20200211/418256.shtml","http://m.12365auto.com/xcdg/20200211/418256.shtml")</f>
        <v>http://m.12365auto.com/xcdg/20200211/418256.shtml</v>
      </c>
      <c r="G9339" s="2"/>
      <c r="H9339" s="2" t="s">
        <v>12611</v>
      </c>
      <c r="I9339" s="2" t="s">
        <v>19</v>
      </c>
      <c r="J9339" s="2" t="s">
        <v>1637</v>
      </c>
      <c r="K9339" s="2" t="s">
        <v>12610</v>
      </c>
      <c r="L9339" s="2">
        <f t="shared" si="145"/>
        <v>150</v>
      </c>
    </row>
    <row r="9340" spans="1:12" ht="25" customHeight="1">
      <c r="A9340" s="2" t="s">
        <v>12</v>
      </c>
      <c r="B9340" s="2" t="str">
        <f>HYPERLINK("http://www.12365auto.com/news/20200211/418255.shtml","提高产能 特斯拉计划各大洲建超级工厂")</f>
        <v>提高产能 特斯拉计划各大洲建超级工厂</v>
      </c>
      <c r="C9340" s="2" t="s">
        <v>13</v>
      </c>
      <c r="D9340" s="2" t="s">
        <v>12</v>
      </c>
      <c r="E9340" s="2" t="s">
        <v>276</v>
      </c>
      <c r="F9340" s="2" t="str">
        <f>HYPERLINK("http://www.12365auto.com/news/20200211/418255.shtml","http://www.12365auto.com/news/20200211/418255.shtml")</f>
        <v>http://www.12365auto.com/news/20200211/418255.shtml</v>
      </c>
      <c r="G9340" s="2"/>
      <c r="H9340" s="2" t="s">
        <v>12612</v>
      </c>
      <c r="I9340" s="2" t="s">
        <v>15</v>
      </c>
      <c r="J9340" s="2" t="s">
        <v>12</v>
      </c>
      <c r="K9340" s="2" t="s">
        <v>12613</v>
      </c>
      <c r="L9340" s="2">
        <f t="shared" si="145"/>
        <v>150</v>
      </c>
    </row>
    <row r="9341" spans="1:12" ht="25" customHeight="1">
      <c r="A9341" s="2" t="s">
        <v>12</v>
      </c>
      <c r="B9341" s="2" t="str">
        <f>HYPERLINK("http://m.12365auto.com/news/20200211/418255.shtml","提高产能 特斯拉计划各大洲建超级工厂")</f>
        <v>提高产能 特斯拉计划各大洲建超级工厂</v>
      </c>
      <c r="C9341" s="2" t="s">
        <v>13</v>
      </c>
      <c r="D9341" s="2" t="s">
        <v>12</v>
      </c>
      <c r="E9341" s="2"/>
      <c r="F9341" s="2" t="str">
        <f>HYPERLINK("http://m.12365auto.com/news/20200211/418255.shtml","http://m.12365auto.com/news/20200211/418255.shtml")</f>
        <v>http://m.12365auto.com/news/20200211/418255.shtml</v>
      </c>
      <c r="G9341" s="2"/>
      <c r="H9341" s="2" t="s">
        <v>12614</v>
      </c>
      <c r="I9341" s="2" t="s">
        <v>19</v>
      </c>
      <c r="J9341" s="2" t="s">
        <v>1643</v>
      </c>
      <c r="K9341" s="2" t="s">
        <v>12613</v>
      </c>
      <c r="L9341" s="2">
        <f t="shared" si="145"/>
        <v>150</v>
      </c>
    </row>
    <row r="9342" spans="1:12" ht="25" customHeight="1">
      <c r="A9342" s="2" t="s">
        <v>12</v>
      </c>
      <c r="B9342" s="2" t="str">
        <f>HYPERLINK("http://www.12365auto.com/xcdg/20200211/418254.shtml","采用家族设计 全新菲亚特Strada预告图")</f>
        <v>采用家族设计 全新菲亚特Strada预告图</v>
      </c>
      <c r="C9342" s="2" t="s">
        <v>13</v>
      </c>
      <c r="D9342" s="2" t="s">
        <v>12</v>
      </c>
      <c r="E9342" s="2" t="s">
        <v>216</v>
      </c>
      <c r="F9342" s="2" t="str">
        <f>HYPERLINK("http://www.12365auto.com/xcdg/20200211/418254.shtml","http://www.12365auto.com/xcdg/20200211/418254.shtml")</f>
        <v>http://www.12365auto.com/xcdg/20200211/418254.shtml</v>
      </c>
      <c r="G9342" s="2"/>
      <c r="H9342" s="2" t="s">
        <v>12615</v>
      </c>
      <c r="I9342" s="2" t="s">
        <v>15</v>
      </c>
      <c r="J9342" s="2" t="s">
        <v>12</v>
      </c>
      <c r="K9342" s="2" t="s">
        <v>12616</v>
      </c>
      <c r="L9342" s="2">
        <f t="shared" si="145"/>
        <v>150</v>
      </c>
    </row>
    <row r="9343" spans="1:12" ht="25" customHeight="1">
      <c r="A9343" s="2" t="s">
        <v>12</v>
      </c>
      <c r="B9343" s="2" t="str">
        <f>HYPERLINK("http://m.12365auto.com/xcdg/20200211/418254.shtml","采用家族设计 全新菲亚特Strada预告图")</f>
        <v>采用家族设计 全新菲亚特Strada预告图</v>
      </c>
      <c r="C9343" s="2" t="s">
        <v>13</v>
      </c>
      <c r="D9343" s="2" t="s">
        <v>12</v>
      </c>
      <c r="E9343" s="2"/>
      <c r="F9343" s="2" t="str">
        <f>HYPERLINK("http://m.12365auto.com/xcdg/20200211/418254.shtml","http://m.12365auto.com/xcdg/20200211/418254.shtml")</f>
        <v>http://m.12365auto.com/xcdg/20200211/418254.shtml</v>
      </c>
      <c r="G9343" s="2"/>
      <c r="H9343" s="2" t="s">
        <v>12617</v>
      </c>
      <c r="I9343" s="2" t="s">
        <v>19</v>
      </c>
      <c r="J9343" s="2" t="s">
        <v>338</v>
      </c>
      <c r="K9343" s="2" t="s">
        <v>12616</v>
      </c>
      <c r="L9343" s="2">
        <f t="shared" si="145"/>
        <v>150</v>
      </c>
    </row>
    <row r="9344" spans="1:12" ht="25" customHeight="1">
      <c r="A9344" s="2" t="s">
        <v>12</v>
      </c>
      <c r="B9344" s="2" t="str">
        <f>HYPERLINK("http://www.12365auto.com/xcdg/20200211/418253.shtml","全新911 Turbo系列将日内瓦车展首发")</f>
        <v>全新911 Turbo系列将日内瓦车展首发</v>
      </c>
      <c r="C9344" s="2" t="s">
        <v>13</v>
      </c>
      <c r="D9344" s="2" t="s">
        <v>12</v>
      </c>
      <c r="E9344" s="2" t="s">
        <v>216</v>
      </c>
      <c r="F9344" s="2" t="str">
        <f>HYPERLINK("http://www.12365auto.com/xcdg/20200211/418253.shtml","http://www.12365auto.com/xcdg/20200211/418253.shtml")</f>
        <v>http://www.12365auto.com/xcdg/20200211/418253.shtml</v>
      </c>
      <c r="G9344" s="2"/>
      <c r="H9344" s="2" t="s">
        <v>12618</v>
      </c>
      <c r="I9344" s="2" t="s">
        <v>15</v>
      </c>
      <c r="J9344" s="2" t="s">
        <v>12</v>
      </c>
      <c r="K9344" s="2" t="s">
        <v>12619</v>
      </c>
      <c r="L9344" s="2">
        <f t="shared" si="145"/>
        <v>150</v>
      </c>
    </row>
    <row r="9345" spans="1:12" ht="25" customHeight="1">
      <c r="A9345" s="2" t="s">
        <v>12</v>
      </c>
      <c r="B9345" s="2" t="str">
        <f>HYPERLINK("http://m.12365auto.com/xcdg/20200211/418253.shtml","全新911 Turbo系列将日内瓦车展首发")</f>
        <v>全新911 Turbo系列将日内瓦车展首发</v>
      </c>
      <c r="C9345" s="2" t="s">
        <v>13</v>
      </c>
      <c r="D9345" s="2" t="s">
        <v>12</v>
      </c>
      <c r="E9345" s="2"/>
      <c r="F9345" s="2" t="str">
        <f>HYPERLINK("http://m.12365auto.com/xcdg/20200211/418253.shtml","http://m.12365auto.com/xcdg/20200211/418253.shtml")</f>
        <v>http://m.12365auto.com/xcdg/20200211/418253.shtml</v>
      </c>
      <c r="G9345" s="2"/>
      <c r="H9345" s="2" t="s">
        <v>12620</v>
      </c>
      <c r="I9345" s="2" t="s">
        <v>19</v>
      </c>
      <c r="J9345" s="2" t="s">
        <v>295</v>
      </c>
      <c r="K9345" s="2" t="s">
        <v>12619</v>
      </c>
      <c r="L9345" s="2">
        <f t="shared" si="145"/>
        <v>150</v>
      </c>
    </row>
    <row r="9346" spans="1:12" ht="25" customHeight="1">
      <c r="A9346" s="2" t="s">
        <v>12</v>
      </c>
      <c r="B9346" s="2" t="str">
        <f>HYPERLINK("http://m.12365auto.com/xcdg/20200211/418252.shtml","提供两种外观套件 曝纳智捷全新SUV谍照")</f>
        <v>提供两种外观套件 曝纳智捷全新SUV谍照</v>
      </c>
      <c r="C9346" s="2" t="s">
        <v>13</v>
      </c>
      <c r="D9346" s="2" t="s">
        <v>12</v>
      </c>
      <c r="E9346" s="2"/>
      <c r="F9346" s="2" t="str">
        <f>HYPERLINK("http://m.12365auto.com/xcdg/20200211/418252.shtml","http://m.12365auto.com/xcdg/20200211/418252.shtml")</f>
        <v>http://m.12365auto.com/xcdg/20200211/418252.shtml</v>
      </c>
      <c r="G9346" s="2"/>
      <c r="H9346" s="2" t="s">
        <v>12621</v>
      </c>
      <c r="I9346" s="2" t="s">
        <v>19</v>
      </c>
      <c r="J9346" s="2" t="s">
        <v>317</v>
      </c>
      <c r="K9346" s="2" t="s">
        <v>12622</v>
      </c>
      <c r="L9346" s="2">
        <f t="shared" si="145"/>
        <v>150</v>
      </c>
    </row>
    <row r="9347" spans="1:12" ht="25" customHeight="1">
      <c r="A9347" s="2" t="s">
        <v>12</v>
      </c>
      <c r="B9347" s="2" t="str">
        <f>HYPERLINK("http://www.12365auto.com/xcdg/20200211/418252.shtml","提供两种外观套件 曝纳智捷全新SUV谍照")</f>
        <v>提供两种外观套件 曝纳智捷全新SUV谍照</v>
      </c>
      <c r="C9347" s="2" t="s">
        <v>13</v>
      </c>
      <c r="D9347" s="2" t="s">
        <v>12</v>
      </c>
      <c r="E9347" s="2" t="s">
        <v>224</v>
      </c>
      <c r="F9347" s="2" t="str">
        <f>HYPERLINK("http://www.12365auto.com/xcdg/20200211/418252.shtml","http://www.12365auto.com/xcdg/20200211/418252.shtml")</f>
        <v>http://www.12365auto.com/xcdg/20200211/418252.shtml</v>
      </c>
      <c r="G9347" s="2"/>
      <c r="H9347" s="2" t="s">
        <v>12623</v>
      </c>
      <c r="I9347" s="2" t="s">
        <v>15</v>
      </c>
      <c r="J9347" s="2" t="s">
        <v>12</v>
      </c>
      <c r="K9347" s="2" t="s">
        <v>12622</v>
      </c>
      <c r="L9347" s="2">
        <f t="shared" ref="L9347:L9410" si="146">LEN(H9347)</f>
        <v>150</v>
      </c>
    </row>
    <row r="9348" spans="1:12" ht="25" customHeight="1">
      <c r="A9348" s="2" t="s">
        <v>12</v>
      </c>
      <c r="B9348" s="2" t="str">
        <f>HYPERLINK("http://www.12365auto.com/zlts/20200211/446871.shtml","宝骏360碳罐电磁阀出现三次故障")</f>
        <v>宝骏360碳罐电磁阀出现三次故障</v>
      </c>
      <c r="C9348" s="2" t="s">
        <v>13</v>
      </c>
      <c r="D9348" s="2" t="s">
        <v>12</v>
      </c>
      <c r="E9348" s="2" t="s">
        <v>17</v>
      </c>
      <c r="F9348" s="2" t="str">
        <f>HYPERLINK("http://www.12365auto.com/zlts/20200211/446871.shtml","http://www.12365auto.com/zlts/20200211/446871.shtml")</f>
        <v>http://www.12365auto.com/zlts/20200211/446871.shtml</v>
      </c>
      <c r="G9348" s="2"/>
      <c r="H9348" s="2" t="s">
        <v>12624</v>
      </c>
      <c r="I9348" s="2" t="s">
        <v>19</v>
      </c>
      <c r="J9348" s="2" t="s">
        <v>12</v>
      </c>
      <c r="K9348" s="2" t="s">
        <v>12625</v>
      </c>
      <c r="L9348" s="2">
        <f t="shared" si="146"/>
        <v>150</v>
      </c>
    </row>
    <row r="9349" spans="1:12" ht="25" customHeight="1">
      <c r="A9349" s="2" t="s">
        <v>12</v>
      </c>
      <c r="B9349" s="2" t="str">
        <f>HYPERLINK("http://www.12365auto.com/zlts/20200211/446870.shtml","后备箱右侧漏水严重，左前减震异响，挂挡异响")</f>
        <v>后备箱右侧漏水严重，左前减震异响，挂挡异响</v>
      </c>
      <c r="C9349" s="2" t="s">
        <v>13</v>
      </c>
      <c r="D9349" s="2" t="s">
        <v>12</v>
      </c>
      <c r="E9349" s="2"/>
      <c r="F9349" s="2" t="str">
        <f>HYPERLINK("http://www.12365auto.com/zlts/20200211/446870.shtml","http://www.12365auto.com/zlts/20200211/446870.shtml")</f>
        <v>http://www.12365auto.com/zlts/20200211/446870.shtml</v>
      </c>
      <c r="G9349" s="2"/>
      <c r="H9349" s="2" t="s">
        <v>12627</v>
      </c>
      <c r="I9349" s="2" t="s">
        <v>15</v>
      </c>
      <c r="J9349" s="2" t="s">
        <v>12</v>
      </c>
      <c r="K9349" s="2" t="s">
        <v>12626</v>
      </c>
      <c r="L9349" s="2">
        <f t="shared" si="146"/>
        <v>88</v>
      </c>
    </row>
    <row r="9350" spans="1:12" ht="25" customHeight="1">
      <c r="A9350" s="2" t="s">
        <v>12</v>
      </c>
      <c r="B9350" s="2" t="str">
        <f>HYPERLINK("http://www.12365auto.com/zlts/20200211/446869.shtml","上汽大众朗逸4S店收服务费厂家未联系解决")</f>
        <v>上汽大众朗逸4S店收服务费厂家未联系解决</v>
      </c>
      <c r="C9350" s="2" t="s">
        <v>13</v>
      </c>
      <c r="D9350" s="2" t="s">
        <v>12</v>
      </c>
      <c r="E9350" s="2" t="s">
        <v>17</v>
      </c>
      <c r="F9350" s="2" t="str">
        <f>HYPERLINK("http://www.12365auto.com/zlts/20200211/446869.shtml","http://www.12365auto.com/zlts/20200211/446869.shtml")</f>
        <v>http://www.12365auto.com/zlts/20200211/446869.shtml</v>
      </c>
      <c r="G9350" s="2"/>
      <c r="H9350" s="2" t="s">
        <v>12628</v>
      </c>
      <c r="I9350" s="2" t="s">
        <v>15</v>
      </c>
      <c r="J9350" s="2" t="s">
        <v>12</v>
      </c>
      <c r="K9350" s="2" t="s">
        <v>12629</v>
      </c>
      <c r="L9350" s="2">
        <f t="shared" si="146"/>
        <v>150</v>
      </c>
    </row>
    <row r="9351" spans="1:12" ht="25" customHeight="1">
      <c r="A9351" s="2" t="s">
        <v>12</v>
      </c>
      <c r="B9351" s="2" t="str">
        <f>HYPERLINK("http://m.12365auto.com/xcdg/20200211/418251.shtml","保时捷Macan在三年内或不会抛弃内燃机")</f>
        <v>保时捷Macan在三年内或不会抛弃内燃机</v>
      </c>
      <c r="C9351" s="2" t="s">
        <v>13</v>
      </c>
      <c r="D9351" s="2" t="s">
        <v>12</v>
      </c>
      <c r="E9351" s="2"/>
      <c r="F9351" s="2" t="str">
        <f>HYPERLINK("http://m.12365auto.com/xcdg/20200211/418251.shtml","http://m.12365auto.com/xcdg/20200211/418251.shtml")</f>
        <v>http://m.12365auto.com/xcdg/20200211/418251.shtml</v>
      </c>
      <c r="G9351" s="2"/>
      <c r="H9351" s="2" t="s">
        <v>12630</v>
      </c>
      <c r="I9351" s="2" t="s">
        <v>19</v>
      </c>
      <c r="J9351" s="2" t="s">
        <v>855</v>
      </c>
      <c r="K9351" s="2" t="s">
        <v>12631</v>
      </c>
      <c r="L9351" s="2">
        <f t="shared" si="146"/>
        <v>150</v>
      </c>
    </row>
    <row r="9352" spans="1:12" ht="25" customHeight="1">
      <c r="A9352" s="2" t="s">
        <v>12</v>
      </c>
      <c r="B9352" s="2" t="str">
        <f>HYPERLINK("http://www.12365auto.com/xcdg/20200211/418251.shtml","保时捷Macan在三年内或不会抛弃内燃机")</f>
        <v>保时捷Macan在三年内或不会抛弃内燃机</v>
      </c>
      <c r="C9352" s="2" t="s">
        <v>13</v>
      </c>
      <c r="D9352" s="2" t="s">
        <v>12</v>
      </c>
      <c r="E9352" s="2" t="s">
        <v>216</v>
      </c>
      <c r="F9352" s="2" t="str">
        <f>HYPERLINK("http://www.12365auto.com/xcdg/20200211/418251.shtml","http://www.12365auto.com/xcdg/20200211/418251.shtml")</f>
        <v>http://www.12365auto.com/xcdg/20200211/418251.shtml</v>
      </c>
      <c r="G9352" s="2"/>
      <c r="H9352" s="2" t="s">
        <v>12632</v>
      </c>
      <c r="I9352" s="2" t="s">
        <v>15</v>
      </c>
      <c r="J9352" s="2" t="s">
        <v>12</v>
      </c>
      <c r="K9352" s="2" t="s">
        <v>12631</v>
      </c>
      <c r="L9352" s="2">
        <f t="shared" si="146"/>
        <v>150</v>
      </c>
    </row>
    <row r="9353" spans="1:12" ht="25" customHeight="1">
      <c r="A9353" s="2" t="s">
        <v>12</v>
      </c>
      <c r="B9353" s="2" t="str">
        <f>HYPERLINK("http://www.12365auto.com/xcdg/20200211/418250.shtml","日内瓦车展首发 BAC Mono特别版官图")</f>
        <v>日内瓦车展首发 BAC Mono特别版官图</v>
      </c>
      <c r="C9353" s="2" t="s">
        <v>13</v>
      </c>
      <c r="D9353" s="2" t="s">
        <v>12</v>
      </c>
      <c r="E9353" s="2" t="s">
        <v>216</v>
      </c>
      <c r="F9353" s="2" t="str">
        <f>HYPERLINK("http://www.12365auto.com/xcdg/20200211/418250.shtml","http://www.12365auto.com/xcdg/20200211/418250.shtml")</f>
        <v>http://www.12365auto.com/xcdg/20200211/418250.shtml</v>
      </c>
      <c r="G9353" s="2"/>
      <c r="H9353" s="2" t="s">
        <v>12633</v>
      </c>
      <c r="I9353" s="2" t="s">
        <v>15</v>
      </c>
      <c r="J9353" s="2" t="s">
        <v>12</v>
      </c>
      <c r="K9353" s="2" t="s">
        <v>12634</v>
      </c>
      <c r="L9353" s="2">
        <f t="shared" si="146"/>
        <v>150</v>
      </c>
    </row>
    <row r="9354" spans="1:12" ht="25" customHeight="1">
      <c r="A9354" s="2" t="s">
        <v>12</v>
      </c>
      <c r="B9354" s="2" t="str">
        <f>HYPERLINK("http://m.12365auto.com/xcdg/20200211/418250.shtml","日内瓦车展首发 BAC Mono特别版官图")</f>
        <v>日内瓦车展首发 BAC Mono特别版官图</v>
      </c>
      <c r="C9354" s="2" t="s">
        <v>13</v>
      </c>
      <c r="D9354" s="2" t="s">
        <v>12</v>
      </c>
      <c r="E9354" s="2"/>
      <c r="F9354" s="2" t="str">
        <f>HYPERLINK("http://m.12365auto.com/xcdg/20200211/418250.shtml","http://m.12365auto.com/xcdg/20200211/418250.shtml")</f>
        <v>http://m.12365auto.com/xcdg/20200211/418250.shtml</v>
      </c>
      <c r="G9354" s="2"/>
      <c r="H9354" s="2" t="s">
        <v>12635</v>
      </c>
      <c r="I9354" s="2" t="s">
        <v>19</v>
      </c>
      <c r="J9354" s="2" t="s">
        <v>295</v>
      </c>
      <c r="K9354" s="2" t="s">
        <v>12634</v>
      </c>
      <c r="L9354" s="2">
        <f t="shared" si="146"/>
        <v>150</v>
      </c>
    </row>
    <row r="9355" spans="1:12" ht="25" customHeight="1">
      <c r="A9355" s="2" t="s">
        <v>12</v>
      </c>
      <c r="B9355" s="2" t="str">
        <f>HYPERLINK("http://www.12365auto.com/zlts/20200211/446866.shtml","东风本田思域前挡风玻璃边缘泛白质量差")</f>
        <v>东风本田思域前挡风玻璃边缘泛白质量差</v>
      </c>
      <c r="C9355" s="2" t="s">
        <v>13</v>
      </c>
      <c r="D9355" s="2" t="s">
        <v>12</v>
      </c>
      <c r="E9355" s="2" t="s">
        <v>17</v>
      </c>
      <c r="F9355" s="2" t="str">
        <f>HYPERLINK("http://www.12365auto.com/zlts/20200211/446866.shtml","http://www.12365auto.com/zlts/20200211/446866.shtml")</f>
        <v>http://www.12365auto.com/zlts/20200211/446866.shtml</v>
      </c>
      <c r="G9355" s="2"/>
      <c r="H9355" s="2" t="s">
        <v>12636</v>
      </c>
      <c r="I9355" s="2" t="s">
        <v>19</v>
      </c>
      <c r="J9355" s="2" t="s">
        <v>12</v>
      </c>
      <c r="K9355" s="2" t="s">
        <v>12637</v>
      </c>
      <c r="L9355" s="2">
        <f t="shared" si="146"/>
        <v>150</v>
      </c>
    </row>
    <row r="9356" spans="1:12" ht="25" customHeight="1">
      <c r="A9356" s="2" t="s">
        <v>12</v>
      </c>
      <c r="B9356" s="2" t="str">
        <f>HYPERLINK("http://www.12365auto.com/zlts/20200211/446864.shtml","东风悦达起亚智跑发动机怠速以及行驶中异响")</f>
        <v>东风悦达起亚智跑发动机怠速以及行驶中异响</v>
      </c>
      <c r="C9356" s="2" t="s">
        <v>13</v>
      </c>
      <c r="D9356" s="2" t="s">
        <v>12</v>
      </c>
      <c r="E9356" s="2" t="s">
        <v>17</v>
      </c>
      <c r="F9356" s="2" t="str">
        <f>HYPERLINK("http://www.12365auto.com/zlts/20200211/446864.shtml","http://www.12365auto.com/zlts/20200211/446864.shtml")</f>
        <v>http://www.12365auto.com/zlts/20200211/446864.shtml</v>
      </c>
      <c r="G9356" s="2"/>
      <c r="H9356" s="2" t="s">
        <v>12638</v>
      </c>
      <c r="I9356" s="2" t="s">
        <v>15</v>
      </c>
      <c r="J9356" s="2" t="s">
        <v>12</v>
      </c>
      <c r="K9356" s="2" t="s">
        <v>12637</v>
      </c>
      <c r="L9356" s="2">
        <f t="shared" si="146"/>
        <v>150</v>
      </c>
    </row>
    <row r="9357" spans="1:12" ht="25" customHeight="1">
      <c r="A9357" s="2" t="s">
        <v>12</v>
      </c>
      <c r="B9357" s="2" t="str">
        <f>HYPERLINK("http://m.12365auto.com/xcdg/20200211/418249.shtml","专心攻弯吧 保时捷718将配PDK变速箱")</f>
        <v>专心攻弯吧 保时捷718将配PDK变速箱</v>
      </c>
      <c r="C9357" s="2" t="s">
        <v>13</v>
      </c>
      <c r="D9357" s="2" t="s">
        <v>12</v>
      </c>
      <c r="E9357" s="2"/>
      <c r="F9357" s="2" t="str">
        <f>HYPERLINK("http://m.12365auto.com/xcdg/20200211/418249.shtml","http://m.12365auto.com/xcdg/20200211/418249.shtml")</f>
        <v>http://m.12365auto.com/xcdg/20200211/418249.shtml</v>
      </c>
      <c r="G9357" s="2"/>
      <c r="H9357" s="2" t="s">
        <v>12639</v>
      </c>
      <c r="I9357" s="2" t="s">
        <v>19</v>
      </c>
      <c r="J9357" s="2" t="s">
        <v>3058</v>
      </c>
      <c r="K9357" s="2" t="s">
        <v>12640</v>
      </c>
      <c r="L9357" s="2">
        <f t="shared" si="146"/>
        <v>150</v>
      </c>
    </row>
    <row r="9358" spans="1:12" ht="25" customHeight="1">
      <c r="A9358" s="2" t="s">
        <v>12</v>
      </c>
      <c r="B9358" s="2" t="str">
        <f>HYPERLINK("http://www.12365auto.com/xcdg/20200211/418249.shtml","专心攻弯吧 保时捷718将配PDK变速箱")</f>
        <v>专心攻弯吧 保时捷718将配PDK变速箱</v>
      </c>
      <c r="C9358" s="2" t="s">
        <v>13</v>
      </c>
      <c r="D9358" s="2" t="s">
        <v>12</v>
      </c>
      <c r="E9358" s="2" t="s">
        <v>216</v>
      </c>
      <c r="F9358" s="2" t="str">
        <f>HYPERLINK("http://www.12365auto.com/xcdg/20200211/418249.shtml","http://www.12365auto.com/xcdg/20200211/418249.shtml")</f>
        <v>http://www.12365auto.com/xcdg/20200211/418249.shtml</v>
      </c>
      <c r="G9358" s="2"/>
      <c r="H9358" s="2" t="s">
        <v>12641</v>
      </c>
      <c r="I9358" s="2" t="s">
        <v>15</v>
      </c>
      <c r="J9358" s="2" t="s">
        <v>12</v>
      </c>
      <c r="K9358" s="2" t="s">
        <v>12640</v>
      </c>
      <c r="L9358" s="2">
        <f t="shared" si="146"/>
        <v>150</v>
      </c>
    </row>
    <row r="9359" spans="1:12" ht="25" customHeight="1">
      <c r="A9359" s="2" t="s">
        <v>12</v>
      </c>
      <c r="B9359" s="2" t="str">
        <f>HYPERLINK("http://www.12365auto.com/zlts/20200211/446860.shtml","漏电")</f>
        <v>漏电</v>
      </c>
      <c r="C9359" s="2" t="s">
        <v>13</v>
      </c>
      <c r="D9359" s="2" t="s">
        <v>12</v>
      </c>
      <c r="E9359" s="2"/>
      <c r="F9359" s="2" t="str">
        <f>HYPERLINK("http://www.12365auto.com/zlts/20200211/446860.shtml","http://www.12365auto.com/zlts/20200211/446860.shtml")</f>
        <v>http://www.12365auto.com/zlts/20200211/446860.shtml</v>
      </c>
      <c r="G9359" s="2"/>
      <c r="H9359" s="2" t="s">
        <v>12643</v>
      </c>
      <c r="I9359" s="2" t="s">
        <v>15</v>
      </c>
      <c r="J9359" s="2" t="s">
        <v>12</v>
      </c>
      <c r="K9359" s="2" t="s">
        <v>12642</v>
      </c>
      <c r="L9359" s="2">
        <f t="shared" si="146"/>
        <v>93</v>
      </c>
    </row>
    <row r="9360" spans="1:12" ht="25" customHeight="1">
      <c r="A9360" s="2" t="s">
        <v>12</v>
      </c>
      <c r="B9360" s="2" t="str">
        <f>HYPERLINK("http://m.12365auto.com/xcdg/20200211/418248.shtml","日产两款特别版SUV曝光 搭V6发动机")</f>
        <v>日产两款特别版SUV曝光 搭V6发动机</v>
      </c>
      <c r="C9360" s="2" t="s">
        <v>13</v>
      </c>
      <c r="D9360" s="2" t="s">
        <v>12</v>
      </c>
      <c r="E9360" s="2"/>
      <c r="F9360" s="2" t="str">
        <f>HYPERLINK("http://m.12365auto.com/xcdg/20200211/418248.shtml","http://m.12365auto.com/xcdg/20200211/418248.shtml")</f>
        <v>http://m.12365auto.com/xcdg/20200211/418248.shtml</v>
      </c>
      <c r="G9360" s="2"/>
      <c r="H9360" s="2" t="s">
        <v>12644</v>
      </c>
      <c r="I9360" s="2" t="s">
        <v>19</v>
      </c>
      <c r="J9360" s="2" t="s">
        <v>220</v>
      </c>
      <c r="K9360" s="2" t="s">
        <v>12645</v>
      </c>
      <c r="L9360" s="2">
        <f t="shared" si="146"/>
        <v>150</v>
      </c>
    </row>
    <row r="9361" spans="1:12" ht="25" customHeight="1">
      <c r="A9361" s="2" t="s">
        <v>12</v>
      </c>
      <c r="B9361" s="2" t="str">
        <f>HYPERLINK("http://www.12365auto.com/xcdg/20200211/418248.shtml","日产两款特别版SUV曝光 搭V6发动机")</f>
        <v>日产两款特别版SUV曝光 搭V6发动机</v>
      </c>
      <c r="C9361" s="2" t="s">
        <v>13</v>
      </c>
      <c r="D9361" s="2" t="s">
        <v>12</v>
      </c>
      <c r="E9361" s="2" t="s">
        <v>216</v>
      </c>
      <c r="F9361" s="2" t="str">
        <f>HYPERLINK("http://www.12365auto.com/xcdg/20200211/418248.shtml","http://www.12365auto.com/xcdg/20200211/418248.shtml")</f>
        <v>http://www.12365auto.com/xcdg/20200211/418248.shtml</v>
      </c>
      <c r="G9361" s="2"/>
      <c r="H9361" s="2" t="s">
        <v>12646</v>
      </c>
      <c r="I9361" s="2" t="s">
        <v>15</v>
      </c>
      <c r="J9361" s="2" t="s">
        <v>12</v>
      </c>
      <c r="K9361" s="2" t="s">
        <v>12645</v>
      </c>
      <c r="L9361" s="2">
        <f t="shared" si="146"/>
        <v>150</v>
      </c>
    </row>
    <row r="9362" spans="1:12" ht="25" customHeight="1">
      <c r="A9362" s="2" t="s">
        <v>12</v>
      </c>
      <c r="B9362" s="2" t="str">
        <f>HYPERLINK("http://m.12365auto.com/bbs/postcontent.aspx?tID=193803","鉴于疫情防控严峻形势，车管所将暂停业务，如需办理有这三建议")</f>
        <v>鉴于疫情防控严峻形势，车管所将暂停业务，如需办理有这三建议</v>
      </c>
      <c r="C9362" s="2" t="s">
        <v>13</v>
      </c>
      <c r="D9362" s="2" t="s">
        <v>23</v>
      </c>
      <c r="E9362" s="2"/>
      <c r="F9362" s="2" t="str">
        <f>HYPERLINK("http://m.12365auto.com/bbs/postcontent.aspx?tID=193803","http://m.12365auto.com/bbs/postcontent.aspx?tID=193803")</f>
        <v>http://m.12365auto.com/bbs/postcontent.aspx?tID=193803</v>
      </c>
      <c r="G9362" s="2"/>
      <c r="H9362" s="2" t="s">
        <v>12647</v>
      </c>
      <c r="I9362" s="2" t="s">
        <v>15</v>
      </c>
      <c r="J9362" s="2" t="s">
        <v>12648</v>
      </c>
      <c r="K9362" s="2" t="s">
        <v>12649</v>
      </c>
      <c r="L9362" s="2">
        <f t="shared" si="146"/>
        <v>150</v>
      </c>
    </row>
    <row r="9363" spans="1:12" ht="25" customHeight="1">
      <c r="A9363" s="2" t="s">
        <v>12</v>
      </c>
      <c r="B9363" s="2" t="str">
        <f>HYPERLINK("http://bbs.12365auto.com/postcontent.aspx?tId=193803","鉴于疫情防控严峻形势，车管所将暂停业务，如需办理有这三建议")</f>
        <v>鉴于疫情防控严峻形势，车管所将暂停业务，如需办理有这三建议</v>
      </c>
      <c r="C9363" s="2" t="s">
        <v>13</v>
      </c>
      <c r="D9363" s="2" t="s">
        <v>12</v>
      </c>
      <c r="E9363" s="2" t="s">
        <v>27</v>
      </c>
      <c r="F9363" s="2" t="str">
        <f>HYPERLINK("http://bbs.12365auto.com/postcontent.aspx?tId=193803","http://bbs.12365auto.com/postcontent.aspx?tId=193803")</f>
        <v>http://bbs.12365auto.com/postcontent.aspx?tId=193803</v>
      </c>
      <c r="G9363" s="2"/>
      <c r="H9363" s="2" t="s">
        <v>12647</v>
      </c>
      <c r="I9363" s="2" t="s">
        <v>15</v>
      </c>
      <c r="J9363" s="2" t="s">
        <v>12648</v>
      </c>
      <c r="K9363" s="2" t="s">
        <v>12649</v>
      </c>
      <c r="L9363" s="2">
        <f t="shared" si="146"/>
        <v>150</v>
      </c>
    </row>
    <row r="9364" spans="1:12" ht="25" customHeight="1">
      <c r="A9364" s="2" t="s">
        <v>12</v>
      </c>
      <c r="B9364" s="2" t="str">
        <f>HYPERLINK("http://bbs.12365auto.com/postcontent.aspx?tID=193803","鉴于疫情防控严峻形势，车管所将暂停业务，如需办理有这三建议")</f>
        <v>鉴于疫情防控严峻形势，车管所将暂停业务，如需办理有这三建议</v>
      </c>
      <c r="C9364" s="2" t="s">
        <v>13</v>
      </c>
      <c r="D9364" s="2" t="s">
        <v>12</v>
      </c>
      <c r="E9364" s="2" t="s">
        <v>28</v>
      </c>
      <c r="F9364" s="2" t="str">
        <f>HYPERLINK("http://bbs.12365auto.com/postcontent.aspx?tID=193803","http://bbs.12365auto.com/postcontent.aspx?tID=193803")</f>
        <v>http://bbs.12365auto.com/postcontent.aspx?tID=193803</v>
      </c>
      <c r="G9364" s="2"/>
      <c r="H9364" s="2" t="s">
        <v>12650</v>
      </c>
      <c r="I9364" s="2" t="s">
        <v>15</v>
      </c>
      <c r="J9364" s="2" t="s">
        <v>12648</v>
      </c>
      <c r="K9364" s="2" t="s">
        <v>12649</v>
      </c>
      <c r="L9364" s="2">
        <f t="shared" si="146"/>
        <v>150</v>
      </c>
    </row>
    <row r="9365" spans="1:12" ht="25" customHeight="1">
      <c r="A9365" s="2" t="s">
        <v>12</v>
      </c>
      <c r="B9365" s="2" t="str">
        <f>HYPERLINK("http://m.12365auto.com/xcdg/20200211/418247.shtml","雪铁龙全新轿跑SUV 即将亮相/首推纯电版")</f>
        <v>雪铁龙全新轿跑SUV 即将亮相/首推纯电版</v>
      </c>
      <c r="C9365" s="2" t="s">
        <v>13</v>
      </c>
      <c r="D9365" s="2" t="s">
        <v>12</v>
      </c>
      <c r="E9365" s="2"/>
      <c r="F9365" s="2" t="str">
        <f>HYPERLINK("http://m.12365auto.com/xcdg/20200211/418247.shtml","http://m.12365auto.com/xcdg/20200211/418247.shtml")</f>
        <v>http://m.12365auto.com/xcdg/20200211/418247.shtml</v>
      </c>
      <c r="G9365" s="2"/>
      <c r="H9365" s="2" t="s">
        <v>12651</v>
      </c>
      <c r="I9365" s="2" t="s">
        <v>19</v>
      </c>
      <c r="J9365" s="2" t="s">
        <v>220</v>
      </c>
      <c r="K9365" s="2" t="s">
        <v>12652</v>
      </c>
      <c r="L9365" s="2">
        <f t="shared" si="146"/>
        <v>150</v>
      </c>
    </row>
    <row r="9366" spans="1:12" ht="25" customHeight="1">
      <c r="A9366" s="2" t="s">
        <v>12</v>
      </c>
      <c r="B9366" s="2" t="str">
        <f>HYPERLINK("http://www.12365auto.com/xcdg/20200211/418247.shtml","雪铁龙全新轿跑SUV 即将亮相/首推纯电版")</f>
        <v>雪铁龙全新轿跑SUV 即将亮相/首推纯电版</v>
      </c>
      <c r="C9366" s="2" t="s">
        <v>13</v>
      </c>
      <c r="D9366" s="2" t="s">
        <v>12</v>
      </c>
      <c r="E9366" s="2" t="s">
        <v>224</v>
      </c>
      <c r="F9366" s="2" t="str">
        <f>HYPERLINK("http://www.12365auto.com/xcdg/20200211/418247.shtml","http://www.12365auto.com/xcdg/20200211/418247.shtml")</f>
        <v>http://www.12365auto.com/xcdg/20200211/418247.shtml</v>
      </c>
      <c r="G9366" s="2"/>
      <c r="H9366" s="2" t="s">
        <v>12653</v>
      </c>
      <c r="I9366" s="2" t="s">
        <v>15</v>
      </c>
      <c r="J9366" s="2" t="s">
        <v>12</v>
      </c>
      <c r="K9366" s="2" t="s">
        <v>12652</v>
      </c>
      <c r="L9366" s="2">
        <f t="shared" si="146"/>
        <v>150</v>
      </c>
    </row>
    <row r="9367" spans="1:12" ht="25" customHeight="1">
      <c r="A9367" s="2" t="s">
        <v>12</v>
      </c>
      <c r="B9367" s="2" t="str">
        <f>HYPERLINK("http://www.12365auto.com/xcdg/20200211/418246.shtml","大众Polo曼联特别版售价 配置较丰富")</f>
        <v>大众Polo曼联特别版售价 配置较丰富</v>
      </c>
      <c r="C9367" s="2" t="s">
        <v>13</v>
      </c>
      <c r="D9367" s="2" t="s">
        <v>12</v>
      </c>
      <c r="E9367" s="2" t="s">
        <v>216</v>
      </c>
      <c r="F9367" s="2" t="str">
        <f>HYPERLINK("http://www.12365auto.com/xcdg/20200211/418246.shtml","http://www.12365auto.com/xcdg/20200211/418246.shtml")</f>
        <v>http://www.12365auto.com/xcdg/20200211/418246.shtml</v>
      </c>
      <c r="G9367" s="2"/>
      <c r="H9367" s="2" t="s">
        <v>12654</v>
      </c>
      <c r="I9367" s="2" t="s">
        <v>15</v>
      </c>
      <c r="J9367" s="2" t="s">
        <v>12</v>
      </c>
      <c r="K9367" s="2" t="s">
        <v>12655</v>
      </c>
      <c r="L9367" s="2">
        <f t="shared" si="146"/>
        <v>150</v>
      </c>
    </row>
    <row r="9368" spans="1:12" ht="25" customHeight="1">
      <c r="A9368" s="2" t="s">
        <v>12</v>
      </c>
      <c r="B9368" s="2" t="str">
        <f>HYPERLINK("http://m.12365auto.com/xcdg/20200211/418246.shtml","大众Polo曼联特别版售价 配置较丰富")</f>
        <v>大众Polo曼联特别版售价 配置较丰富</v>
      </c>
      <c r="C9368" s="2" t="s">
        <v>13</v>
      </c>
      <c r="D9368" s="2" t="s">
        <v>12</v>
      </c>
      <c r="E9368" s="2"/>
      <c r="F9368" s="2" t="str">
        <f>HYPERLINK("http://m.12365auto.com/xcdg/20200211/418246.shtml","http://m.12365auto.com/xcdg/20200211/418246.shtml")</f>
        <v>http://m.12365auto.com/xcdg/20200211/418246.shtml</v>
      </c>
      <c r="G9368" s="2"/>
      <c r="H9368" s="2" t="s">
        <v>12656</v>
      </c>
      <c r="I9368" s="2" t="s">
        <v>19</v>
      </c>
      <c r="J9368" s="2" t="s">
        <v>220</v>
      </c>
      <c r="K9368" s="2" t="s">
        <v>12655</v>
      </c>
      <c r="L9368" s="2">
        <f t="shared" si="146"/>
        <v>150</v>
      </c>
    </row>
    <row r="9369" spans="1:12" ht="25" customHeight="1">
      <c r="A9369" s="2" t="s">
        <v>12</v>
      </c>
      <c r="B9369" s="2" t="str">
        <f>HYPERLINK("http://www.12365auto.com/xcdg/20200211/418245.shtml","启辰星全新SUV动力曝光 搭1.5T轻混")</f>
        <v>启辰星全新SUV动力曝光 搭1.5T轻混</v>
      </c>
      <c r="C9369" s="2" t="s">
        <v>13</v>
      </c>
      <c r="D9369" s="2" t="s">
        <v>12</v>
      </c>
      <c r="E9369" s="2" t="s">
        <v>216</v>
      </c>
      <c r="F9369" s="2" t="str">
        <f>HYPERLINK("http://www.12365auto.com/xcdg/20200211/418245.shtml","http://www.12365auto.com/xcdg/20200211/418245.shtml")</f>
        <v>http://www.12365auto.com/xcdg/20200211/418245.shtml</v>
      </c>
      <c r="G9369" s="2"/>
      <c r="H9369" s="2" t="s">
        <v>12657</v>
      </c>
      <c r="I9369" s="2" t="s">
        <v>15</v>
      </c>
      <c r="J9369" s="2" t="s">
        <v>12</v>
      </c>
      <c r="K9369" s="2" t="s">
        <v>12658</v>
      </c>
      <c r="L9369" s="2">
        <f t="shared" si="146"/>
        <v>150</v>
      </c>
    </row>
    <row r="9370" spans="1:12" ht="25" customHeight="1">
      <c r="A9370" s="2" t="s">
        <v>12</v>
      </c>
      <c r="B9370" s="2" t="str">
        <f>HYPERLINK("http://m.12365auto.com/xcdg/20200211/418245.shtml","启辰星全新SUV动力曝光 搭1.5T轻混")</f>
        <v>启辰星全新SUV动力曝光 搭1.5T轻混</v>
      </c>
      <c r="C9370" s="2" t="s">
        <v>13</v>
      </c>
      <c r="D9370" s="2" t="s">
        <v>12</v>
      </c>
      <c r="E9370" s="2"/>
      <c r="F9370" s="2" t="str">
        <f>HYPERLINK("http://m.12365auto.com/xcdg/20200211/418245.shtml","http://m.12365auto.com/xcdg/20200211/418245.shtml")</f>
        <v>http://m.12365auto.com/xcdg/20200211/418245.shtml</v>
      </c>
      <c r="G9370" s="2"/>
      <c r="H9370" s="2" t="s">
        <v>12659</v>
      </c>
      <c r="I9370" s="2" t="s">
        <v>19</v>
      </c>
      <c r="J9370" s="2" t="s">
        <v>739</v>
      </c>
      <c r="K9370" s="2" t="s">
        <v>12658</v>
      </c>
      <c r="L9370" s="2">
        <f t="shared" si="146"/>
        <v>150</v>
      </c>
    </row>
    <row r="9371" spans="1:12" ht="25" customHeight="1">
      <c r="A9371" s="2" t="s">
        <v>12</v>
      </c>
      <c r="B9371" s="2" t="str">
        <f>HYPERLINK("http://m.12365auto.com/xcdg/20200211/418244.shtml","广汽本田凌派混动版曝光 搭1.5L混动")</f>
        <v>广汽本田凌派混动版曝光 搭1.5L混动</v>
      </c>
      <c r="C9371" s="2" t="s">
        <v>13</v>
      </c>
      <c r="D9371" s="2" t="s">
        <v>12</v>
      </c>
      <c r="E9371" s="2"/>
      <c r="F9371" s="2" t="str">
        <f>HYPERLINK("http://m.12365auto.com/xcdg/20200211/418244.shtml","http://m.12365auto.com/xcdg/20200211/418244.shtml")</f>
        <v>http://m.12365auto.com/xcdg/20200211/418244.shtml</v>
      </c>
      <c r="G9371" s="2"/>
      <c r="H9371" s="2" t="s">
        <v>12660</v>
      </c>
      <c r="I9371" s="2" t="s">
        <v>19</v>
      </c>
      <c r="J9371" s="2" t="s">
        <v>265</v>
      </c>
      <c r="K9371" s="2" t="s">
        <v>12661</v>
      </c>
      <c r="L9371" s="2">
        <f t="shared" si="146"/>
        <v>150</v>
      </c>
    </row>
    <row r="9372" spans="1:12" ht="25" customHeight="1">
      <c r="A9372" s="2" t="s">
        <v>12</v>
      </c>
      <c r="B9372" s="2" t="str">
        <f>HYPERLINK("http://www.12365auto.com/xcdg/20200211/418244.shtml","广汽本田凌派混动版曝光 搭1.5L混动")</f>
        <v>广汽本田凌派混动版曝光 搭1.5L混动</v>
      </c>
      <c r="C9372" s="2" t="s">
        <v>13</v>
      </c>
      <c r="D9372" s="2" t="s">
        <v>12</v>
      </c>
      <c r="E9372" s="2" t="s">
        <v>216</v>
      </c>
      <c r="F9372" s="2" t="str">
        <f>HYPERLINK("http://www.12365auto.com/xcdg/20200211/418244.shtml","http://www.12365auto.com/xcdg/20200211/418244.shtml")</f>
        <v>http://www.12365auto.com/xcdg/20200211/418244.shtml</v>
      </c>
      <c r="G9372" s="2"/>
      <c r="H9372" s="2" t="s">
        <v>12662</v>
      </c>
      <c r="I9372" s="2" t="s">
        <v>15</v>
      </c>
      <c r="J9372" s="2" t="s">
        <v>12</v>
      </c>
      <c r="K9372" s="2" t="s">
        <v>12661</v>
      </c>
      <c r="L9372" s="2">
        <f t="shared" si="146"/>
        <v>150</v>
      </c>
    </row>
    <row r="9373" spans="1:12" ht="25" customHeight="1">
      <c r="A9373" s="2" t="s">
        <v>12</v>
      </c>
      <c r="B9373" s="2" t="str">
        <f>HYPERLINK("http://bbs.12365auto.com/postcontent.aspx?tId=193802","看完全新奥迪A3 内心还是有些小激动")</f>
        <v>看完全新奥迪A3 内心还是有些小激动</v>
      </c>
      <c r="C9373" s="2" t="s">
        <v>13</v>
      </c>
      <c r="D9373" s="2" t="s">
        <v>12</v>
      </c>
      <c r="E9373" s="2" t="s">
        <v>27</v>
      </c>
      <c r="F9373" s="2" t="str">
        <f>HYPERLINK("http://bbs.12365auto.com/postcontent.aspx?tId=193802","http://bbs.12365auto.com/postcontent.aspx?tId=193802")</f>
        <v>http://bbs.12365auto.com/postcontent.aspx?tId=193802</v>
      </c>
      <c r="G9373" s="2"/>
      <c r="H9373" s="2" t="s">
        <v>12663</v>
      </c>
      <c r="I9373" s="2" t="s">
        <v>15</v>
      </c>
      <c r="J9373" s="2" t="s">
        <v>5704</v>
      </c>
      <c r="K9373" s="2" t="s">
        <v>12661</v>
      </c>
      <c r="L9373" s="2">
        <f t="shared" si="146"/>
        <v>150</v>
      </c>
    </row>
    <row r="9374" spans="1:12" ht="25" customHeight="1">
      <c r="A9374" s="2" t="s">
        <v>12</v>
      </c>
      <c r="B9374" s="2" t="str">
        <f>HYPERLINK("http://bbs.12365auto.com/postcontent.aspx?tId=193801","落地55万喜提奥迪Q7 才开了2060公里")</f>
        <v>落地55万喜提奥迪Q7 才开了2060公里</v>
      </c>
      <c r="C9374" s="2" t="s">
        <v>13</v>
      </c>
      <c r="D9374" s="2" t="s">
        <v>12</v>
      </c>
      <c r="E9374" s="2" t="s">
        <v>27</v>
      </c>
      <c r="F9374" s="2" t="str">
        <f>HYPERLINK("http://bbs.12365auto.com/postcontent.aspx?tId=193801","http://bbs.12365auto.com/postcontent.aspx?tId=193801")</f>
        <v>http://bbs.12365auto.com/postcontent.aspx?tId=193801</v>
      </c>
      <c r="G9374" s="2"/>
      <c r="H9374" s="2" t="s">
        <v>12664</v>
      </c>
      <c r="I9374" s="2" t="s">
        <v>15</v>
      </c>
      <c r="J9374" s="2" t="s">
        <v>5704</v>
      </c>
      <c r="K9374" s="2" t="s">
        <v>12661</v>
      </c>
      <c r="L9374" s="2">
        <f t="shared" si="146"/>
        <v>150</v>
      </c>
    </row>
    <row r="9375" spans="1:12" ht="25" customHeight="1">
      <c r="A9375" s="2" t="s">
        <v>12</v>
      </c>
      <c r="B9375" s="2" t="str">
        <f>HYPERLINK("http://bbs.12365auto.com/postcontent.aspx?tID=193802","看完全新奥迪A3 内心还是有些小激动")</f>
        <v>看完全新奥迪A3 内心还是有些小激动</v>
      </c>
      <c r="C9375" s="2" t="s">
        <v>13</v>
      </c>
      <c r="D9375" s="2" t="s">
        <v>12</v>
      </c>
      <c r="E9375" s="2" t="s">
        <v>28</v>
      </c>
      <c r="F9375" s="2" t="str">
        <f>HYPERLINK("http://bbs.12365auto.com/postcontent.aspx?tID=193802","http://bbs.12365auto.com/postcontent.aspx?tID=193802")</f>
        <v>http://bbs.12365auto.com/postcontent.aspx?tID=193802</v>
      </c>
      <c r="G9375" s="2"/>
      <c r="H9375" s="2" t="s">
        <v>12665</v>
      </c>
      <c r="I9375" s="2" t="s">
        <v>15</v>
      </c>
      <c r="J9375" s="2" t="s">
        <v>5704</v>
      </c>
      <c r="K9375" s="2" t="s">
        <v>12661</v>
      </c>
      <c r="L9375" s="2">
        <f t="shared" si="146"/>
        <v>150</v>
      </c>
    </row>
    <row r="9376" spans="1:12" ht="25" customHeight="1">
      <c r="A9376" s="2" t="s">
        <v>12</v>
      </c>
      <c r="B9376" s="2" t="str">
        <f>HYPERLINK("http://m.12365auto.com/bbs/postcontent.aspx?tID=193802","看完全新奥迪A3 内心还是有些小激动")</f>
        <v>看完全新奥迪A3 内心还是有些小激动</v>
      </c>
      <c r="C9376" s="2" t="s">
        <v>13</v>
      </c>
      <c r="D9376" s="2" t="s">
        <v>23</v>
      </c>
      <c r="E9376" s="2"/>
      <c r="F9376" s="2" t="str">
        <f>HYPERLINK("http://m.12365auto.com/bbs/postcontent.aspx?tID=193802","http://m.12365auto.com/bbs/postcontent.aspx?tID=193802")</f>
        <v>http://m.12365auto.com/bbs/postcontent.aspx?tID=193802</v>
      </c>
      <c r="G9376" s="2"/>
      <c r="H9376" s="2" t="s">
        <v>12663</v>
      </c>
      <c r="I9376" s="2" t="s">
        <v>15</v>
      </c>
      <c r="J9376" s="2" t="s">
        <v>5704</v>
      </c>
      <c r="K9376" s="2" t="s">
        <v>12661</v>
      </c>
      <c r="L9376" s="2">
        <f t="shared" si="146"/>
        <v>150</v>
      </c>
    </row>
    <row r="9377" spans="1:12" ht="25" customHeight="1">
      <c r="A9377" s="2" t="s">
        <v>12</v>
      </c>
      <c r="B9377" s="2" t="str">
        <f>HYPERLINK("http://m.12365auto.com/bbs/postcontent.aspx?tID=193801","落地55万喜提奥迪Q7 才开了2060公里")</f>
        <v>落地55万喜提奥迪Q7 才开了2060公里</v>
      </c>
      <c r="C9377" s="2" t="s">
        <v>13</v>
      </c>
      <c r="D9377" s="2" t="s">
        <v>23</v>
      </c>
      <c r="E9377" s="2"/>
      <c r="F9377" s="2" t="str">
        <f>HYPERLINK("http://m.12365auto.com/bbs/postcontent.aspx?tID=193801","http://m.12365auto.com/bbs/postcontent.aspx?tID=193801")</f>
        <v>http://m.12365auto.com/bbs/postcontent.aspx?tID=193801</v>
      </c>
      <c r="G9377" s="2"/>
      <c r="H9377" s="2" t="s">
        <v>12664</v>
      </c>
      <c r="I9377" s="2" t="s">
        <v>15</v>
      </c>
      <c r="J9377" s="2" t="s">
        <v>5704</v>
      </c>
      <c r="K9377" s="2" t="s">
        <v>12661</v>
      </c>
      <c r="L9377" s="2">
        <f t="shared" si="146"/>
        <v>150</v>
      </c>
    </row>
    <row r="9378" spans="1:12" ht="25" customHeight="1">
      <c r="A9378" s="2" t="s">
        <v>12</v>
      </c>
      <c r="B9378" s="2" t="str">
        <f>HYPERLINK("http://bbs.12365auto.com/postcontent.aspx?tID=193801","落地55万喜提奥迪Q7 才开了2060公里")</f>
        <v>落地55万喜提奥迪Q7 才开了2060公里</v>
      </c>
      <c r="C9378" s="2" t="s">
        <v>13</v>
      </c>
      <c r="D9378" s="2" t="s">
        <v>12</v>
      </c>
      <c r="E9378" s="2" t="s">
        <v>28</v>
      </c>
      <c r="F9378" s="2" t="str">
        <f>HYPERLINK("http://bbs.12365auto.com/postcontent.aspx?tID=193801","http://bbs.12365auto.com/postcontent.aspx?tID=193801")</f>
        <v>http://bbs.12365auto.com/postcontent.aspx?tID=193801</v>
      </c>
      <c r="G9378" s="2"/>
      <c r="H9378" s="2" t="s">
        <v>12666</v>
      </c>
      <c r="I9378" s="2" t="s">
        <v>15</v>
      </c>
      <c r="J9378" s="2" t="s">
        <v>5704</v>
      </c>
      <c r="K9378" s="2" t="s">
        <v>12661</v>
      </c>
      <c r="L9378" s="2">
        <f t="shared" si="146"/>
        <v>150</v>
      </c>
    </row>
    <row r="9379" spans="1:12" ht="25" customHeight="1">
      <c r="A9379" s="2" t="s">
        <v>12</v>
      </c>
      <c r="B9379" s="2" t="str">
        <f>HYPERLINK("http://m.12365auto.com/xcdg/20200211/418243.shtml","沃尔沃XC60新款车型发布 增全新动力")</f>
        <v>沃尔沃XC60新款车型发布 增全新动力</v>
      </c>
      <c r="C9379" s="2" t="s">
        <v>13</v>
      </c>
      <c r="D9379" s="2" t="s">
        <v>12</v>
      </c>
      <c r="E9379" s="2"/>
      <c r="F9379" s="2" t="str">
        <f>HYPERLINK("http://m.12365auto.com/xcdg/20200211/418243.shtml","http://m.12365auto.com/xcdg/20200211/418243.shtml")</f>
        <v>http://m.12365auto.com/xcdg/20200211/418243.shtml</v>
      </c>
      <c r="G9379" s="2"/>
      <c r="H9379" s="2" t="s">
        <v>12667</v>
      </c>
      <c r="I9379" s="2" t="s">
        <v>19</v>
      </c>
      <c r="J9379" s="2" t="s">
        <v>220</v>
      </c>
      <c r="K9379" s="2" t="s">
        <v>12668</v>
      </c>
      <c r="L9379" s="2">
        <f t="shared" si="146"/>
        <v>150</v>
      </c>
    </row>
    <row r="9380" spans="1:12" ht="25" customHeight="1">
      <c r="A9380" s="2" t="s">
        <v>12</v>
      </c>
      <c r="B9380" s="2" t="str">
        <f>HYPERLINK("http://www.12365auto.com/xcdg/20200211/418243.shtml","沃尔沃XC60新款车型发布 增全新动力")</f>
        <v>沃尔沃XC60新款车型发布 增全新动力</v>
      </c>
      <c r="C9380" s="2" t="s">
        <v>13</v>
      </c>
      <c r="D9380" s="2" t="s">
        <v>12</v>
      </c>
      <c r="E9380" s="2" t="s">
        <v>216</v>
      </c>
      <c r="F9380" s="2" t="str">
        <f>HYPERLINK("http://www.12365auto.com/xcdg/20200211/418243.shtml","http://www.12365auto.com/xcdg/20200211/418243.shtml")</f>
        <v>http://www.12365auto.com/xcdg/20200211/418243.shtml</v>
      </c>
      <c r="G9380" s="2"/>
      <c r="H9380" s="2" t="s">
        <v>12669</v>
      </c>
      <c r="I9380" s="2" t="s">
        <v>15</v>
      </c>
      <c r="J9380" s="2" t="s">
        <v>12</v>
      </c>
      <c r="K9380" s="2" t="s">
        <v>12668</v>
      </c>
      <c r="L9380" s="2">
        <f t="shared" si="146"/>
        <v>150</v>
      </c>
    </row>
    <row r="9381" spans="1:12" ht="25" customHeight="1">
      <c r="A9381" s="2" t="s">
        <v>12</v>
      </c>
      <c r="B9381" s="2" t="str">
        <f>HYPERLINK("http://bbs.12365auto.com/postcontent.aspx?tId=193800","丰田涉足老年代步车 将推出全新微型纯电动汽车")</f>
        <v>丰田涉足老年代步车 将推出全新微型纯电动汽车</v>
      </c>
      <c r="C9381" s="2" t="s">
        <v>13</v>
      </c>
      <c r="D9381" s="2" t="s">
        <v>12</v>
      </c>
      <c r="E9381" s="2" t="s">
        <v>27</v>
      </c>
      <c r="F9381" s="2" t="str">
        <f>HYPERLINK("http://bbs.12365auto.com/postcontent.aspx?tId=193800","http://bbs.12365auto.com/postcontent.aspx?tId=193800")</f>
        <v>http://bbs.12365auto.com/postcontent.aspx?tId=193800</v>
      </c>
      <c r="G9381" s="2"/>
      <c r="H9381" s="2" t="s">
        <v>12670</v>
      </c>
      <c r="I9381" s="2" t="s">
        <v>15</v>
      </c>
      <c r="J9381" s="2" t="s">
        <v>5704</v>
      </c>
      <c r="K9381" s="2" t="s">
        <v>12671</v>
      </c>
      <c r="L9381" s="2">
        <f t="shared" si="146"/>
        <v>150</v>
      </c>
    </row>
    <row r="9382" spans="1:12" ht="25" customHeight="1">
      <c r="A9382" s="2" t="s">
        <v>12</v>
      </c>
      <c r="B9382" s="2" t="str">
        <f>HYPERLINK("http://bbs.12365auto.com/postcontent.aspx?tId=193799","丰田发布Nightshade限量版SUV 全球限量发布5000辆")</f>
        <v>丰田发布Nightshade限量版SUV 全球限量发布5000辆</v>
      </c>
      <c r="C9382" s="2" t="s">
        <v>13</v>
      </c>
      <c r="D9382" s="2" t="s">
        <v>12</v>
      </c>
      <c r="E9382" s="2" t="s">
        <v>27</v>
      </c>
      <c r="F9382" s="2" t="str">
        <f>HYPERLINK("http://bbs.12365auto.com/postcontent.aspx?tId=193799","http://bbs.12365auto.com/postcontent.aspx?tId=193799")</f>
        <v>http://bbs.12365auto.com/postcontent.aspx?tId=193799</v>
      </c>
      <c r="G9382" s="2"/>
      <c r="H9382" s="2" t="s">
        <v>12672</v>
      </c>
      <c r="I9382" s="2" t="s">
        <v>15</v>
      </c>
      <c r="J9382" s="2" t="s">
        <v>5704</v>
      </c>
      <c r="K9382" s="2" t="s">
        <v>12671</v>
      </c>
      <c r="L9382" s="2">
        <f t="shared" si="146"/>
        <v>150</v>
      </c>
    </row>
    <row r="9383" spans="1:12" ht="25" customHeight="1">
      <c r="A9383" s="2" t="s">
        <v>12</v>
      </c>
      <c r="B9383" s="2" t="str">
        <f>HYPERLINK("http://m.12365auto.com/xcdg/20200211/418242.shtml","小型SUV哪家强 柯米克GT对比缤智/途铠")</f>
        <v>小型SUV哪家强 柯米克GT对比缤智/途铠</v>
      </c>
      <c r="C9383" s="2" t="s">
        <v>13</v>
      </c>
      <c r="D9383" s="2" t="s">
        <v>12</v>
      </c>
      <c r="E9383" s="2"/>
      <c r="F9383" s="2" t="str">
        <f>HYPERLINK("http://m.12365auto.com/xcdg/20200211/418242.shtml","http://m.12365auto.com/xcdg/20200211/418242.shtml")</f>
        <v>http://m.12365auto.com/xcdg/20200211/418242.shtml</v>
      </c>
      <c r="G9383" s="2"/>
      <c r="H9383" s="2" t="s">
        <v>12673</v>
      </c>
      <c r="I9383" s="2" t="s">
        <v>19</v>
      </c>
      <c r="J9383" s="2" t="s">
        <v>9141</v>
      </c>
      <c r="K9383" s="2" t="s">
        <v>12671</v>
      </c>
      <c r="L9383" s="2">
        <f t="shared" si="146"/>
        <v>150</v>
      </c>
    </row>
    <row r="9384" spans="1:12" ht="25" customHeight="1">
      <c r="A9384" s="2" t="s">
        <v>12</v>
      </c>
      <c r="B9384" s="2" t="str">
        <f>HYPERLINK("http://m.12365auto.com/bbs/postcontent.aspx?tID=193800","丰田涉足老年代步车 将推出全新微型纯电动汽车")</f>
        <v>丰田涉足老年代步车 将推出全新微型纯电动汽车</v>
      </c>
      <c r="C9384" s="2" t="s">
        <v>13</v>
      </c>
      <c r="D9384" s="2" t="s">
        <v>23</v>
      </c>
      <c r="E9384" s="2"/>
      <c r="F9384" s="2" t="str">
        <f>HYPERLINK("http://m.12365auto.com/bbs/postcontent.aspx?tID=193800","http://m.12365auto.com/bbs/postcontent.aspx?tID=193800")</f>
        <v>http://m.12365auto.com/bbs/postcontent.aspx?tID=193800</v>
      </c>
      <c r="G9384" s="2"/>
      <c r="H9384" s="2" t="s">
        <v>12670</v>
      </c>
      <c r="I9384" s="2" t="s">
        <v>15</v>
      </c>
      <c r="J9384" s="2" t="s">
        <v>5704</v>
      </c>
      <c r="K9384" s="2" t="s">
        <v>12671</v>
      </c>
      <c r="L9384" s="2">
        <f t="shared" si="146"/>
        <v>150</v>
      </c>
    </row>
    <row r="9385" spans="1:12" ht="25" customHeight="1">
      <c r="A9385" s="2" t="s">
        <v>12</v>
      </c>
      <c r="B9385" s="2" t="str">
        <f>HYPERLINK("http://m.12365auto.com/bbs/postcontent.aspx?tID=193799","丰田发布Nightshade限量版SUV 全球限量发布5000辆")</f>
        <v>丰田发布Nightshade限量版SUV 全球限量发布5000辆</v>
      </c>
      <c r="C9385" s="2" t="s">
        <v>13</v>
      </c>
      <c r="D9385" s="2" t="s">
        <v>23</v>
      </c>
      <c r="E9385" s="2"/>
      <c r="F9385" s="2" t="str">
        <f>HYPERLINK("http://m.12365auto.com/bbs/postcontent.aspx?tID=193799","http://m.12365auto.com/bbs/postcontent.aspx?tID=193799")</f>
        <v>http://m.12365auto.com/bbs/postcontent.aspx?tID=193799</v>
      </c>
      <c r="G9385" s="2"/>
      <c r="H9385" s="2" t="s">
        <v>12672</v>
      </c>
      <c r="I9385" s="2" t="s">
        <v>15</v>
      </c>
      <c r="J9385" s="2" t="s">
        <v>5704</v>
      </c>
      <c r="K9385" s="2" t="s">
        <v>12671</v>
      </c>
      <c r="L9385" s="2">
        <f t="shared" si="146"/>
        <v>150</v>
      </c>
    </row>
    <row r="9386" spans="1:12" ht="25" customHeight="1">
      <c r="A9386" s="2" t="s">
        <v>12</v>
      </c>
      <c r="B9386" s="2" t="str">
        <f>HYPERLINK("http://bbs.12365auto.com/postcontent.aspx?tID=193800","丰田涉足老年代步车 将推出全新微型纯电动汽车")</f>
        <v>丰田涉足老年代步车 将推出全新微型纯电动汽车</v>
      </c>
      <c r="C9386" s="2" t="s">
        <v>13</v>
      </c>
      <c r="D9386" s="2" t="s">
        <v>12</v>
      </c>
      <c r="E9386" s="2" t="s">
        <v>28</v>
      </c>
      <c r="F9386" s="2" t="str">
        <f>HYPERLINK("http://bbs.12365auto.com/postcontent.aspx?tID=193800","http://bbs.12365auto.com/postcontent.aspx?tID=193800")</f>
        <v>http://bbs.12365auto.com/postcontent.aspx?tID=193800</v>
      </c>
      <c r="G9386" s="2"/>
      <c r="H9386" s="2" t="s">
        <v>12674</v>
      </c>
      <c r="I9386" s="2" t="s">
        <v>15</v>
      </c>
      <c r="J9386" s="2" t="s">
        <v>5704</v>
      </c>
      <c r="K9386" s="2" t="s">
        <v>12671</v>
      </c>
      <c r="L9386" s="2">
        <f t="shared" si="146"/>
        <v>150</v>
      </c>
    </row>
    <row r="9387" spans="1:12" ht="25" customHeight="1">
      <c r="A9387" s="2" t="s">
        <v>12</v>
      </c>
      <c r="B9387" s="2" t="str">
        <f>HYPERLINK("http://bbs.12365auto.com/postcontent.aspx?tID=193799","丰田发布Nightshade限量版SUV 全球限量发布5000辆")</f>
        <v>丰田发布Nightshade限量版SUV 全球限量发布5000辆</v>
      </c>
      <c r="C9387" s="2" t="s">
        <v>13</v>
      </c>
      <c r="D9387" s="2" t="s">
        <v>12</v>
      </c>
      <c r="E9387" s="2" t="s">
        <v>28</v>
      </c>
      <c r="F9387" s="2" t="str">
        <f>HYPERLINK("http://bbs.12365auto.com/postcontent.aspx?tID=193799","http://bbs.12365auto.com/postcontent.aspx?tID=193799")</f>
        <v>http://bbs.12365auto.com/postcontent.aspx?tID=193799</v>
      </c>
      <c r="G9387" s="2"/>
      <c r="H9387" s="2" t="s">
        <v>12675</v>
      </c>
      <c r="I9387" s="2" t="s">
        <v>15</v>
      </c>
      <c r="J9387" s="2" t="s">
        <v>5704</v>
      </c>
      <c r="K9387" s="2" t="s">
        <v>12671</v>
      </c>
      <c r="L9387" s="2">
        <f t="shared" si="146"/>
        <v>150</v>
      </c>
    </row>
    <row r="9388" spans="1:12" ht="25" customHeight="1">
      <c r="A9388" s="2" t="s">
        <v>12</v>
      </c>
      <c r="B9388" s="2" t="str">
        <f>HYPERLINK("http://m.12365auto.com/bbs/postcontent.aspx?tID=193798","车长超5米 全系2.0T+9AT 新款别克君越值得买吗")</f>
        <v>车长超5米 全系2.0T+9AT 新款别克君越值得买吗</v>
      </c>
      <c r="C9388" s="2" t="s">
        <v>13</v>
      </c>
      <c r="D9388" s="2" t="s">
        <v>23</v>
      </c>
      <c r="E9388" s="2"/>
      <c r="F9388" s="2" t="str">
        <f>HYPERLINK("http://m.12365auto.com/bbs/postcontent.aspx?tID=193798","http://m.12365auto.com/bbs/postcontent.aspx?tID=193798")</f>
        <v>http://m.12365auto.com/bbs/postcontent.aspx?tID=193798</v>
      </c>
      <c r="G9388" s="2"/>
      <c r="H9388" s="2" t="s">
        <v>12676</v>
      </c>
      <c r="I9388" s="2" t="s">
        <v>15</v>
      </c>
      <c r="J9388" s="2" t="s">
        <v>5704</v>
      </c>
      <c r="K9388" s="2" t="s">
        <v>12677</v>
      </c>
      <c r="L9388" s="2">
        <f t="shared" si="146"/>
        <v>150</v>
      </c>
    </row>
    <row r="9389" spans="1:12" ht="25" customHeight="1">
      <c r="A9389" s="2" t="s">
        <v>12</v>
      </c>
      <c r="B9389" s="2" t="str">
        <f>HYPERLINK("http://bbs.12365auto.com/postcontent.aspx?tId=193798","车长超5米 全系2.0T+9AT 新款别克君越值得买吗")</f>
        <v>车长超5米 全系2.0T+9AT 新款别克君越值得买吗</v>
      </c>
      <c r="C9389" s="2" t="s">
        <v>13</v>
      </c>
      <c r="D9389" s="2" t="s">
        <v>12</v>
      </c>
      <c r="E9389" s="2" t="s">
        <v>27</v>
      </c>
      <c r="F9389" s="2" t="str">
        <f>HYPERLINK("http://bbs.12365auto.com/postcontent.aspx?tId=193798","http://bbs.12365auto.com/postcontent.aspx?tId=193798")</f>
        <v>http://bbs.12365auto.com/postcontent.aspx?tId=193798</v>
      </c>
      <c r="G9389" s="2"/>
      <c r="H9389" s="2" t="s">
        <v>12676</v>
      </c>
      <c r="I9389" s="2" t="s">
        <v>15</v>
      </c>
      <c r="J9389" s="2" t="s">
        <v>5704</v>
      </c>
      <c r="K9389" s="2" t="s">
        <v>12677</v>
      </c>
      <c r="L9389" s="2">
        <f t="shared" si="146"/>
        <v>150</v>
      </c>
    </row>
    <row r="9390" spans="1:12" ht="25" customHeight="1">
      <c r="A9390" s="2" t="s">
        <v>12</v>
      </c>
      <c r="B9390" s="2" t="str">
        <f>HYPERLINK("http://bbs.12365auto.com/postcontent.aspx?tID=193798","车长超5米 全系2.0T+9AT 新款别克君越值得买吗")</f>
        <v>车长超5米 全系2.0T+9AT 新款别克君越值得买吗</v>
      </c>
      <c r="C9390" s="2" t="s">
        <v>13</v>
      </c>
      <c r="D9390" s="2" t="s">
        <v>12</v>
      </c>
      <c r="E9390" s="2" t="s">
        <v>28</v>
      </c>
      <c r="F9390" s="2" t="str">
        <f>HYPERLINK("http://bbs.12365auto.com/postcontent.aspx?tID=193798","http://bbs.12365auto.com/postcontent.aspx?tID=193798")</f>
        <v>http://bbs.12365auto.com/postcontent.aspx?tID=193798</v>
      </c>
      <c r="G9390" s="2"/>
      <c r="H9390" s="2" t="s">
        <v>12678</v>
      </c>
      <c r="I9390" s="2" t="s">
        <v>15</v>
      </c>
      <c r="J9390" s="2" t="s">
        <v>5704</v>
      </c>
      <c r="K9390" s="2" t="s">
        <v>12677</v>
      </c>
      <c r="L9390" s="2">
        <f t="shared" si="146"/>
        <v>150</v>
      </c>
    </row>
    <row r="9391" spans="1:12" ht="25" customHeight="1">
      <c r="A9391" s="2" t="s">
        <v>12</v>
      </c>
      <c r="B9391" s="2" t="str">
        <f>HYPERLINK("http://m.12365auto.com/bbs/postcontent.aspx?tID=193797","仅售254万 兰博基尼Huracán EVO RWD来了")</f>
        <v>仅售254万 兰博基尼Huracán EVO RWD来了</v>
      </c>
      <c r="C9391" s="2" t="s">
        <v>13</v>
      </c>
      <c r="D9391" s="2" t="s">
        <v>23</v>
      </c>
      <c r="E9391" s="2"/>
      <c r="F9391" s="2" t="str">
        <f>HYPERLINK("http://m.12365auto.com/bbs/postcontent.aspx?tID=193797","http://m.12365auto.com/bbs/postcontent.aspx?tID=193797")</f>
        <v>http://m.12365auto.com/bbs/postcontent.aspx?tID=193797</v>
      </c>
      <c r="G9391" s="2"/>
      <c r="H9391" s="2" t="s">
        <v>12679</v>
      </c>
      <c r="I9391" s="2" t="s">
        <v>15</v>
      </c>
      <c r="J9391" s="2" t="s">
        <v>5704</v>
      </c>
      <c r="K9391" s="2" t="s">
        <v>12680</v>
      </c>
      <c r="L9391" s="2">
        <f t="shared" si="146"/>
        <v>150</v>
      </c>
    </row>
    <row r="9392" spans="1:12" ht="25" customHeight="1">
      <c r="A9392" s="2" t="s">
        <v>12</v>
      </c>
      <c r="B9392" s="2" t="str">
        <f>HYPERLINK("http://bbs.12365auto.com/postcontent.aspx?tId=193797","仅售254万 兰博基尼Huracán EVO RWD来了")</f>
        <v>仅售254万 兰博基尼Huracán EVO RWD来了</v>
      </c>
      <c r="C9392" s="2" t="s">
        <v>13</v>
      </c>
      <c r="D9392" s="2" t="s">
        <v>12</v>
      </c>
      <c r="E9392" s="2" t="s">
        <v>27</v>
      </c>
      <c r="F9392" s="2" t="str">
        <f>HYPERLINK("http://bbs.12365auto.com/postcontent.aspx?tId=193797","http://bbs.12365auto.com/postcontent.aspx?tId=193797")</f>
        <v>http://bbs.12365auto.com/postcontent.aspx?tId=193797</v>
      </c>
      <c r="G9392" s="2"/>
      <c r="H9392" s="2" t="s">
        <v>12679</v>
      </c>
      <c r="I9392" s="2" t="s">
        <v>15</v>
      </c>
      <c r="J9392" s="2" t="s">
        <v>5704</v>
      </c>
      <c r="K9392" s="2" t="s">
        <v>12680</v>
      </c>
      <c r="L9392" s="2">
        <f t="shared" si="146"/>
        <v>150</v>
      </c>
    </row>
    <row r="9393" spans="1:12" ht="25" customHeight="1">
      <c r="A9393" s="2" t="s">
        <v>12</v>
      </c>
      <c r="B9393" s="2" t="str">
        <f>HYPERLINK("http://bbs.12365auto.com/postcontent.aspx?tID=193797","仅售254万 兰博基尼Huracán EVO RWD来了")</f>
        <v>仅售254万 兰博基尼Huracán EVO RWD来了</v>
      </c>
      <c r="C9393" s="2" t="s">
        <v>13</v>
      </c>
      <c r="D9393" s="2" t="s">
        <v>12</v>
      </c>
      <c r="E9393" s="2" t="s">
        <v>28</v>
      </c>
      <c r="F9393" s="2" t="str">
        <f>HYPERLINK("http://bbs.12365auto.com/postcontent.aspx?tID=193797","http://bbs.12365auto.com/postcontent.aspx?tID=193797")</f>
        <v>http://bbs.12365auto.com/postcontent.aspx?tID=193797</v>
      </c>
      <c r="G9393" s="2"/>
      <c r="H9393" s="2" t="s">
        <v>12681</v>
      </c>
      <c r="I9393" s="2" t="s">
        <v>15</v>
      </c>
      <c r="J9393" s="2" t="s">
        <v>5704</v>
      </c>
      <c r="K9393" s="2" t="s">
        <v>12680</v>
      </c>
      <c r="L9393" s="2">
        <f t="shared" si="146"/>
        <v>150</v>
      </c>
    </row>
    <row r="9394" spans="1:12" ht="25" customHeight="1">
      <c r="A9394" s="2" t="s">
        <v>12</v>
      </c>
      <c r="B9394" s="2" t="str">
        <f>HYPERLINK("http://bbs.12365auto.com/postcontent.aspx?tID=193795","这些车千万别买 总结中保研测试碰撞")</f>
        <v>这些车千万别买 总结中保研测试碰撞</v>
      </c>
      <c r="C9394" s="2" t="s">
        <v>13</v>
      </c>
      <c r="D9394" s="2" t="s">
        <v>12</v>
      </c>
      <c r="E9394" s="2" t="s">
        <v>28</v>
      </c>
      <c r="F9394" s="2" t="str">
        <f>HYPERLINK("http://bbs.12365auto.com/postcontent.aspx?tID=193795","http://bbs.12365auto.com/postcontent.aspx?tID=193795")</f>
        <v>http://bbs.12365auto.com/postcontent.aspx?tID=193795</v>
      </c>
      <c r="G9394" s="2"/>
      <c r="H9394" s="2" t="s">
        <v>4683</v>
      </c>
      <c r="I9394" s="2" t="s">
        <v>15</v>
      </c>
      <c r="J9394" s="2" t="s">
        <v>5704</v>
      </c>
      <c r="K9394" s="2" t="s">
        <v>12682</v>
      </c>
      <c r="L9394" s="2">
        <f t="shared" si="146"/>
        <v>150</v>
      </c>
    </row>
    <row r="9395" spans="1:12" ht="25" customHeight="1">
      <c r="A9395" s="2" t="s">
        <v>12</v>
      </c>
      <c r="B9395" s="2" t="str">
        <f>HYPERLINK("http://m.12365auto.com/bbs/postcontent.aspx?tID=193796","车辆的前挡玻璃雨刮总是刮不干净")</f>
        <v>车辆的前挡玻璃雨刮总是刮不干净</v>
      </c>
      <c r="C9395" s="2" t="s">
        <v>13</v>
      </c>
      <c r="D9395" s="2" t="s">
        <v>23</v>
      </c>
      <c r="E9395" s="2"/>
      <c r="F9395" s="2" t="str">
        <f>HYPERLINK("http://m.12365auto.com/bbs/postcontent.aspx?tID=193796","http://m.12365auto.com/bbs/postcontent.aspx?tID=193796")</f>
        <v>http://m.12365auto.com/bbs/postcontent.aspx?tID=193796</v>
      </c>
      <c r="G9395" s="2"/>
      <c r="H9395" s="2" t="s">
        <v>12683</v>
      </c>
      <c r="I9395" s="2" t="s">
        <v>15</v>
      </c>
      <c r="J9395" s="2" t="s">
        <v>4330</v>
      </c>
      <c r="K9395" s="2" t="s">
        <v>12682</v>
      </c>
      <c r="L9395" s="2">
        <f t="shared" si="146"/>
        <v>150</v>
      </c>
    </row>
    <row r="9396" spans="1:12" ht="25" customHeight="1">
      <c r="A9396" s="2" t="s">
        <v>12</v>
      </c>
      <c r="B9396" s="2" t="str">
        <f>HYPERLINK("http://m.12365auto.com/bbs/postcontent.aspx?tID=193795","这些车千万别买 总结中保研测试碰撞")</f>
        <v>这些车千万别买 总结中保研测试碰撞</v>
      </c>
      <c r="C9396" s="2" t="s">
        <v>13</v>
      </c>
      <c r="D9396" s="2" t="s">
        <v>23</v>
      </c>
      <c r="E9396" s="2"/>
      <c r="F9396" s="2" t="str">
        <f>HYPERLINK("http://m.12365auto.com/bbs/postcontent.aspx?tID=193795","http://m.12365auto.com/bbs/postcontent.aspx?tID=193795")</f>
        <v>http://m.12365auto.com/bbs/postcontent.aspx?tID=193795</v>
      </c>
      <c r="G9396" s="2"/>
      <c r="H9396" s="2" t="s">
        <v>4682</v>
      </c>
      <c r="I9396" s="2" t="s">
        <v>15</v>
      </c>
      <c r="J9396" s="2" t="s">
        <v>5704</v>
      </c>
      <c r="K9396" s="2" t="s">
        <v>12682</v>
      </c>
      <c r="L9396" s="2">
        <f t="shared" si="146"/>
        <v>150</v>
      </c>
    </row>
    <row r="9397" spans="1:12" ht="25" customHeight="1">
      <c r="A9397" s="2" t="s">
        <v>12</v>
      </c>
      <c r="B9397" s="2" t="str">
        <f>HYPERLINK("http://bbs.12365auto.com/postcontent.aspx?tId=193795","这些车千万别买 总结中保研测试碰撞")</f>
        <v>这些车千万别买 总结中保研测试碰撞</v>
      </c>
      <c r="C9397" s="2" t="s">
        <v>13</v>
      </c>
      <c r="D9397" s="2" t="s">
        <v>12</v>
      </c>
      <c r="E9397" s="2" t="s">
        <v>27</v>
      </c>
      <c r="F9397" s="2" t="str">
        <f>HYPERLINK("http://bbs.12365auto.com/postcontent.aspx?tId=193795","http://bbs.12365auto.com/postcontent.aspx?tId=193795")</f>
        <v>http://bbs.12365auto.com/postcontent.aspx?tId=193795</v>
      </c>
      <c r="G9397" s="2"/>
      <c r="H9397" s="2" t="s">
        <v>4682</v>
      </c>
      <c r="I9397" s="2" t="s">
        <v>15</v>
      </c>
      <c r="J9397" s="2" t="s">
        <v>5704</v>
      </c>
      <c r="K9397" s="2" t="s">
        <v>12682</v>
      </c>
      <c r="L9397" s="2">
        <f t="shared" si="146"/>
        <v>150</v>
      </c>
    </row>
    <row r="9398" spans="1:12" ht="25" customHeight="1">
      <c r="A9398" s="2" t="s">
        <v>12</v>
      </c>
      <c r="B9398" s="2" t="str">
        <f>HYPERLINK("http://bbs.12365auto.com/postcontent.aspx?tId=193796","车辆的前挡玻璃雨刮总是刮不干净")</f>
        <v>车辆的前挡玻璃雨刮总是刮不干净</v>
      </c>
      <c r="C9398" s="2" t="s">
        <v>13</v>
      </c>
      <c r="D9398" s="2" t="s">
        <v>12</v>
      </c>
      <c r="E9398" s="2" t="s">
        <v>27</v>
      </c>
      <c r="F9398" s="2" t="str">
        <f>HYPERLINK("http://bbs.12365auto.com/postcontent.aspx?tId=193796","http://bbs.12365auto.com/postcontent.aspx?tId=193796")</f>
        <v>http://bbs.12365auto.com/postcontent.aspx?tId=193796</v>
      </c>
      <c r="G9398" s="2"/>
      <c r="H9398" s="2" t="s">
        <v>12683</v>
      </c>
      <c r="I9398" s="2" t="s">
        <v>15</v>
      </c>
      <c r="J9398" s="2" t="s">
        <v>4330</v>
      </c>
      <c r="K9398" s="2" t="s">
        <v>12682</v>
      </c>
      <c r="L9398" s="2">
        <f t="shared" si="146"/>
        <v>150</v>
      </c>
    </row>
    <row r="9399" spans="1:12" ht="25" customHeight="1">
      <c r="A9399" s="2" t="s">
        <v>12</v>
      </c>
      <c r="B9399" s="2" t="str">
        <f>HYPERLINK("http://bbs.12365auto.com/postcontent.aspx?tID=193796","车辆的前挡玻璃雨刮总是刮不干净")</f>
        <v>车辆的前挡玻璃雨刮总是刮不干净</v>
      </c>
      <c r="C9399" s="2" t="s">
        <v>13</v>
      </c>
      <c r="D9399" s="2" t="s">
        <v>12</v>
      </c>
      <c r="E9399" s="2" t="s">
        <v>28</v>
      </c>
      <c r="F9399" s="2" t="str">
        <f>HYPERLINK("http://bbs.12365auto.com/postcontent.aspx?tID=193796","http://bbs.12365auto.com/postcontent.aspx?tID=193796")</f>
        <v>http://bbs.12365auto.com/postcontent.aspx?tID=193796</v>
      </c>
      <c r="G9399" s="2"/>
      <c r="H9399" s="2" t="s">
        <v>12684</v>
      </c>
      <c r="I9399" s="2" t="s">
        <v>15</v>
      </c>
      <c r="J9399" s="2" t="s">
        <v>4330</v>
      </c>
      <c r="K9399" s="2" t="s">
        <v>12682</v>
      </c>
      <c r="L9399" s="2">
        <f t="shared" si="146"/>
        <v>150</v>
      </c>
    </row>
    <row r="9400" spans="1:12" ht="25" customHeight="1">
      <c r="A9400" s="2" t="s">
        <v>12</v>
      </c>
      <c r="B9400" s="2" t="str">
        <f>HYPERLINK("http://bbs.12365auto.com/postcontent.aspx?tID=193794","轮胎上的各种字符都表示什么意思")</f>
        <v>轮胎上的各种字符都表示什么意思</v>
      </c>
      <c r="C9400" s="2" t="s">
        <v>13</v>
      </c>
      <c r="D9400" s="2" t="s">
        <v>12</v>
      </c>
      <c r="E9400" s="2" t="s">
        <v>28</v>
      </c>
      <c r="F9400" s="2" t="str">
        <f>HYPERLINK("http://bbs.12365auto.com/postcontent.aspx?tID=193794","http://bbs.12365auto.com/postcontent.aspx?tID=193794")</f>
        <v>http://bbs.12365auto.com/postcontent.aspx?tID=193794</v>
      </c>
      <c r="G9400" s="2"/>
      <c r="H9400" s="2" t="s">
        <v>12685</v>
      </c>
      <c r="I9400" s="2" t="s">
        <v>15</v>
      </c>
      <c r="J9400" s="2" t="s">
        <v>4330</v>
      </c>
      <c r="K9400" s="2" t="s">
        <v>12686</v>
      </c>
      <c r="L9400" s="2">
        <f t="shared" si="146"/>
        <v>150</v>
      </c>
    </row>
    <row r="9401" spans="1:12" ht="25" customHeight="1">
      <c r="A9401" s="2" t="s">
        <v>12</v>
      </c>
      <c r="B9401" s="2" t="str">
        <f>HYPERLINK("http://m.12365auto.com/bbs/postcontent.aspx?tID=193794","轮胎上的各种字符都表示什么意思")</f>
        <v>轮胎上的各种字符都表示什么意思</v>
      </c>
      <c r="C9401" s="2" t="s">
        <v>13</v>
      </c>
      <c r="D9401" s="2" t="s">
        <v>23</v>
      </c>
      <c r="E9401" s="2"/>
      <c r="F9401" s="2" t="str">
        <f>HYPERLINK("http://m.12365auto.com/bbs/postcontent.aspx?tID=193794","http://m.12365auto.com/bbs/postcontent.aspx?tID=193794")</f>
        <v>http://m.12365auto.com/bbs/postcontent.aspx?tID=193794</v>
      </c>
      <c r="G9401" s="2"/>
      <c r="H9401" s="2" t="s">
        <v>12687</v>
      </c>
      <c r="I9401" s="2" t="s">
        <v>15</v>
      </c>
      <c r="J9401" s="2" t="s">
        <v>4330</v>
      </c>
      <c r="K9401" s="2" t="s">
        <v>12686</v>
      </c>
      <c r="L9401" s="2">
        <f t="shared" si="146"/>
        <v>150</v>
      </c>
    </row>
    <row r="9402" spans="1:12" ht="25" customHeight="1">
      <c r="A9402" s="2" t="s">
        <v>12</v>
      </c>
      <c r="B9402" s="2" t="str">
        <f>HYPERLINK("http://bbs.12365auto.com/postcontent.aspx?tId=193794","轮胎上的各种字符都表示什么意思")</f>
        <v>轮胎上的各种字符都表示什么意思</v>
      </c>
      <c r="C9402" s="2" t="s">
        <v>13</v>
      </c>
      <c r="D9402" s="2" t="s">
        <v>12</v>
      </c>
      <c r="E9402" s="2" t="s">
        <v>27</v>
      </c>
      <c r="F9402" s="2" t="str">
        <f>HYPERLINK("http://bbs.12365auto.com/postcontent.aspx?tId=193794","http://bbs.12365auto.com/postcontent.aspx?tId=193794")</f>
        <v>http://bbs.12365auto.com/postcontent.aspx?tId=193794</v>
      </c>
      <c r="G9402" s="2"/>
      <c r="H9402" s="2" t="s">
        <v>12687</v>
      </c>
      <c r="I9402" s="2" t="s">
        <v>15</v>
      </c>
      <c r="J9402" s="2" t="s">
        <v>4330</v>
      </c>
      <c r="K9402" s="2" t="s">
        <v>12686</v>
      </c>
      <c r="L9402" s="2">
        <f t="shared" si="146"/>
        <v>150</v>
      </c>
    </row>
    <row r="9403" spans="1:12" ht="25" customHeight="1">
      <c r="A9403" s="2" t="s">
        <v>12</v>
      </c>
      <c r="B9403" s="2" t="str">
        <f>HYPERLINK("http://bbs.12365auto.com/postcontent.aspx?tID=193792","刚过年检的车就出现故障")</f>
        <v>刚过年检的车就出现故障</v>
      </c>
      <c r="C9403" s="2" t="s">
        <v>13</v>
      </c>
      <c r="D9403" s="2" t="s">
        <v>12</v>
      </c>
      <c r="E9403" s="2" t="s">
        <v>28</v>
      </c>
      <c r="F9403" s="2" t="str">
        <f>HYPERLINK("http://bbs.12365auto.com/postcontent.aspx?tID=193792","http://bbs.12365auto.com/postcontent.aspx?tID=193792")</f>
        <v>http://bbs.12365auto.com/postcontent.aspx?tID=193792</v>
      </c>
      <c r="G9403" s="2"/>
      <c r="H9403" s="2" t="s">
        <v>12688</v>
      </c>
      <c r="I9403" s="2" t="s">
        <v>15</v>
      </c>
      <c r="J9403" s="2" t="s">
        <v>4330</v>
      </c>
      <c r="K9403" s="2" t="s">
        <v>12689</v>
      </c>
      <c r="L9403" s="2">
        <f t="shared" si="146"/>
        <v>150</v>
      </c>
    </row>
    <row r="9404" spans="1:12" ht="25" customHeight="1">
      <c r="A9404" s="2" t="s">
        <v>12</v>
      </c>
      <c r="B9404" s="2" t="str">
        <f>HYPERLINK("http://m.12365auto.com/bbs/postcontent.aspx?tID=193793","借车给他人出事故")</f>
        <v>借车给他人出事故</v>
      </c>
      <c r="C9404" s="2" t="s">
        <v>13</v>
      </c>
      <c r="D9404" s="2" t="s">
        <v>23</v>
      </c>
      <c r="E9404" s="2"/>
      <c r="F9404" s="2" t="str">
        <f>HYPERLINK("http://m.12365auto.com/bbs/postcontent.aspx?tID=193793","http://m.12365auto.com/bbs/postcontent.aspx?tID=193793")</f>
        <v>http://m.12365auto.com/bbs/postcontent.aspx?tID=193793</v>
      </c>
      <c r="G9404" s="2"/>
      <c r="H9404" s="2" t="s">
        <v>12690</v>
      </c>
      <c r="I9404" s="2" t="s">
        <v>15</v>
      </c>
      <c r="J9404" s="2" t="s">
        <v>4330</v>
      </c>
      <c r="K9404" s="2" t="s">
        <v>12689</v>
      </c>
      <c r="L9404" s="2">
        <f t="shared" si="146"/>
        <v>150</v>
      </c>
    </row>
    <row r="9405" spans="1:12" ht="25" customHeight="1">
      <c r="A9405" s="2" t="s">
        <v>12</v>
      </c>
      <c r="B9405" s="2" t="str">
        <f>HYPERLINK("http://bbs.12365auto.com/postcontent.aspx?tId=193793","借车给他人出事故")</f>
        <v>借车给他人出事故</v>
      </c>
      <c r="C9405" s="2" t="s">
        <v>13</v>
      </c>
      <c r="D9405" s="2" t="s">
        <v>12</v>
      </c>
      <c r="E9405" s="2" t="s">
        <v>27</v>
      </c>
      <c r="F9405" s="2" t="str">
        <f>HYPERLINK("http://bbs.12365auto.com/postcontent.aspx?tId=193793","http://bbs.12365auto.com/postcontent.aspx?tId=193793")</f>
        <v>http://bbs.12365auto.com/postcontent.aspx?tId=193793</v>
      </c>
      <c r="G9405" s="2"/>
      <c r="H9405" s="2" t="s">
        <v>12690</v>
      </c>
      <c r="I9405" s="2" t="s">
        <v>15</v>
      </c>
      <c r="J9405" s="2" t="s">
        <v>4330</v>
      </c>
      <c r="K9405" s="2" t="s">
        <v>12689</v>
      </c>
      <c r="L9405" s="2">
        <f t="shared" si="146"/>
        <v>150</v>
      </c>
    </row>
    <row r="9406" spans="1:12" ht="25" customHeight="1">
      <c r="A9406" s="2" t="s">
        <v>12</v>
      </c>
      <c r="B9406" s="2" t="str">
        <f>HYPERLINK("http://bbs.12365auto.com/postcontent.aspx?tId=193792","刚过年检的车就出现故障")</f>
        <v>刚过年检的车就出现故障</v>
      </c>
      <c r="C9406" s="2" t="s">
        <v>13</v>
      </c>
      <c r="D9406" s="2" t="s">
        <v>12</v>
      </c>
      <c r="E9406" s="2" t="s">
        <v>27</v>
      </c>
      <c r="F9406" s="2" t="str">
        <f>HYPERLINK("http://bbs.12365auto.com/postcontent.aspx?tId=193792","http://bbs.12365auto.com/postcontent.aspx?tId=193792")</f>
        <v>http://bbs.12365auto.com/postcontent.aspx?tId=193792</v>
      </c>
      <c r="G9406" s="2"/>
      <c r="H9406" s="2" t="s">
        <v>12691</v>
      </c>
      <c r="I9406" s="2" t="s">
        <v>15</v>
      </c>
      <c r="J9406" s="2" t="s">
        <v>4330</v>
      </c>
      <c r="K9406" s="2" t="s">
        <v>12689</v>
      </c>
      <c r="L9406" s="2">
        <f t="shared" si="146"/>
        <v>150</v>
      </c>
    </row>
    <row r="9407" spans="1:12" ht="25" customHeight="1">
      <c r="A9407" s="2" t="s">
        <v>12</v>
      </c>
      <c r="B9407" s="2" t="str">
        <f>HYPERLINK("http://bbs.12365auto.com/postcontent.aspx?tID=193793","借车给他人出事故")</f>
        <v>借车给他人出事故</v>
      </c>
      <c r="C9407" s="2" t="s">
        <v>13</v>
      </c>
      <c r="D9407" s="2" t="s">
        <v>12</v>
      </c>
      <c r="E9407" s="2" t="s">
        <v>28</v>
      </c>
      <c r="F9407" s="2" t="str">
        <f>HYPERLINK("http://bbs.12365auto.com/postcontent.aspx?tID=193793","http://bbs.12365auto.com/postcontent.aspx?tID=193793")</f>
        <v>http://bbs.12365auto.com/postcontent.aspx?tID=193793</v>
      </c>
      <c r="G9407" s="2"/>
      <c r="H9407" s="2" t="s">
        <v>12692</v>
      </c>
      <c r="I9407" s="2" t="s">
        <v>15</v>
      </c>
      <c r="J9407" s="2" t="s">
        <v>4330</v>
      </c>
      <c r="K9407" s="2" t="s">
        <v>12689</v>
      </c>
      <c r="L9407" s="2">
        <f t="shared" si="146"/>
        <v>150</v>
      </c>
    </row>
    <row r="9408" spans="1:12" ht="25" customHeight="1">
      <c r="A9408" s="2" t="s">
        <v>12</v>
      </c>
      <c r="B9408" s="2" t="str">
        <f>HYPERLINK("http://bbs.12365auto.com/postcontent.aspx?tID=193791","雨刮器吱吱响")</f>
        <v>雨刮器吱吱响</v>
      </c>
      <c r="C9408" s="2" t="s">
        <v>13</v>
      </c>
      <c r="D9408" s="2" t="s">
        <v>12</v>
      </c>
      <c r="E9408" s="2" t="s">
        <v>28</v>
      </c>
      <c r="F9408" s="2" t="str">
        <f>HYPERLINK("http://bbs.12365auto.com/postcontent.aspx?tID=193791","http://bbs.12365auto.com/postcontent.aspx?tID=193791")</f>
        <v>http://bbs.12365auto.com/postcontent.aspx?tID=193791</v>
      </c>
      <c r="G9408" s="2"/>
      <c r="H9408" s="2" t="s">
        <v>12693</v>
      </c>
      <c r="I9408" s="2" t="s">
        <v>15</v>
      </c>
      <c r="J9408" s="2" t="s">
        <v>4330</v>
      </c>
      <c r="K9408" s="2" t="s">
        <v>12694</v>
      </c>
      <c r="L9408" s="2">
        <f t="shared" si="146"/>
        <v>150</v>
      </c>
    </row>
    <row r="9409" spans="1:12" ht="25" customHeight="1">
      <c r="A9409" s="2" t="s">
        <v>12</v>
      </c>
      <c r="B9409" s="2" t="str">
        <f>HYPERLINK("http://bbs.12365auto.com/postcontent.aspx?tId=193790","全球人都爱日系车 日本人自己开什么车")</f>
        <v>全球人都爱日系车 日本人自己开什么车</v>
      </c>
      <c r="C9409" s="2" t="s">
        <v>13</v>
      </c>
      <c r="D9409" s="2" t="s">
        <v>12</v>
      </c>
      <c r="E9409" s="2" t="s">
        <v>27</v>
      </c>
      <c r="F9409" s="2" t="str">
        <f>HYPERLINK("http://bbs.12365auto.com/postcontent.aspx?tId=193790","http://bbs.12365auto.com/postcontent.aspx?tId=193790")</f>
        <v>http://bbs.12365auto.com/postcontent.aspx?tId=193790</v>
      </c>
      <c r="G9409" s="2"/>
      <c r="H9409" s="2" t="s">
        <v>12695</v>
      </c>
      <c r="I9409" s="2" t="s">
        <v>15</v>
      </c>
      <c r="J9409" s="2" t="s">
        <v>5704</v>
      </c>
      <c r="K9409" s="2" t="s">
        <v>12694</v>
      </c>
      <c r="L9409" s="2">
        <f t="shared" si="146"/>
        <v>150</v>
      </c>
    </row>
    <row r="9410" spans="1:12" ht="25" customHeight="1">
      <c r="A9410" s="2" t="s">
        <v>12</v>
      </c>
      <c r="B9410" s="2" t="str">
        <f>HYPERLINK("http://bbs.12365auto.com/postcontent.aspx?tId=193791","雨刮器吱吱响")</f>
        <v>雨刮器吱吱响</v>
      </c>
      <c r="C9410" s="2" t="s">
        <v>13</v>
      </c>
      <c r="D9410" s="2" t="s">
        <v>12</v>
      </c>
      <c r="E9410" s="2" t="s">
        <v>27</v>
      </c>
      <c r="F9410" s="2" t="str">
        <f>HYPERLINK("http://bbs.12365auto.com/postcontent.aspx?tId=193791","http://bbs.12365auto.com/postcontent.aspx?tId=193791")</f>
        <v>http://bbs.12365auto.com/postcontent.aspx?tId=193791</v>
      </c>
      <c r="G9410" s="2"/>
      <c r="H9410" s="2" t="s">
        <v>12696</v>
      </c>
      <c r="I9410" s="2" t="s">
        <v>15</v>
      </c>
      <c r="J9410" s="2" t="s">
        <v>4330</v>
      </c>
      <c r="K9410" s="2" t="s">
        <v>12694</v>
      </c>
      <c r="L9410" s="2">
        <f t="shared" si="146"/>
        <v>150</v>
      </c>
    </row>
    <row r="9411" spans="1:12" ht="25" customHeight="1">
      <c r="A9411" s="2" t="s">
        <v>12</v>
      </c>
      <c r="B9411" s="2" t="str">
        <f>HYPERLINK("http://bbs.12365auto.com/postcontent.aspx?tID=193790","全球人都爱日系车 日本人自己开什么车")</f>
        <v>全球人都爱日系车 日本人自己开什么车</v>
      </c>
      <c r="C9411" s="2" t="s">
        <v>13</v>
      </c>
      <c r="D9411" s="2" t="s">
        <v>12</v>
      </c>
      <c r="E9411" s="2" t="s">
        <v>28</v>
      </c>
      <c r="F9411" s="2" t="str">
        <f>HYPERLINK("http://bbs.12365auto.com/postcontent.aspx?tID=193790","http://bbs.12365auto.com/postcontent.aspx?tID=193790")</f>
        <v>http://bbs.12365auto.com/postcontent.aspx?tID=193790</v>
      </c>
      <c r="G9411" s="2"/>
      <c r="H9411" s="2" t="s">
        <v>12697</v>
      </c>
      <c r="I9411" s="2" t="s">
        <v>15</v>
      </c>
      <c r="J9411" s="2" t="s">
        <v>5704</v>
      </c>
      <c r="K9411" s="2" t="s">
        <v>12694</v>
      </c>
      <c r="L9411" s="2">
        <f t="shared" ref="L9411:L9474" si="147">LEN(H9411)</f>
        <v>150</v>
      </c>
    </row>
    <row r="9412" spans="1:12" ht="25" customHeight="1">
      <c r="A9412" s="2" t="s">
        <v>12</v>
      </c>
      <c r="B9412" s="2" t="str">
        <f>HYPERLINK("http://bbs.12365auto.com/postcontent.aspx?tID=193788","为什么不小心闯红灯 却一直没收到违章信息")</f>
        <v>为什么不小心闯红灯 却一直没收到违章信息</v>
      </c>
      <c r="C9412" s="2" t="s">
        <v>13</v>
      </c>
      <c r="D9412" s="2" t="s">
        <v>12</v>
      </c>
      <c r="E9412" s="2" t="s">
        <v>28</v>
      </c>
      <c r="F9412" s="2" t="str">
        <f>HYPERLINK("http://bbs.12365auto.com/postcontent.aspx?tID=193788","http://bbs.12365auto.com/postcontent.aspx?tID=193788")</f>
        <v>http://bbs.12365auto.com/postcontent.aspx?tID=193788</v>
      </c>
      <c r="G9412" s="2"/>
      <c r="H9412" s="2" t="s">
        <v>12698</v>
      </c>
      <c r="I9412" s="2" t="s">
        <v>15</v>
      </c>
      <c r="J9412" s="2" t="s">
        <v>4330</v>
      </c>
      <c r="K9412" s="2" t="s">
        <v>12699</v>
      </c>
      <c r="L9412" s="2">
        <f t="shared" si="147"/>
        <v>150</v>
      </c>
    </row>
    <row r="9413" spans="1:12" ht="25" customHeight="1">
      <c r="A9413" s="2" t="s">
        <v>12</v>
      </c>
      <c r="B9413" s="2" t="str">
        <f>HYPERLINK("http://m.12365auto.com/xcdg/20200211/418241.shtml","全新宝马M3谍照曝光 尾部设计更具攻击性")</f>
        <v>全新宝马M3谍照曝光 尾部设计更具攻击性</v>
      </c>
      <c r="C9413" s="2" t="s">
        <v>13</v>
      </c>
      <c r="D9413" s="2" t="s">
        <v>12</v>
      </c>
      <c r="E9413" s="2"/>
      <c r="F9413" s="2" t="str">
        <f>HYPERLINK("http://m.12365auto.com/xcdg/20200211/418241.shtml","http://m.12365auto.com/xcdg/20200211/418241.shtml")</f>
        <v>http://m.12365auto.com/xcdg/20200211/418241.shtml</v>
      </c>
      <c r="G9413" s="2"/>
      <c r="H9413" s="2" t="s">
        <v>12700</v>
      </c>
      <c r="I9413" s="2" t="s">
        <v>19</v>
      </c>
      <c r="J9413" s="2" t="s">
        <v>702</v>
      </c>
      <c r="K9413" s="2" t="s">
        <v>12699</v>
      </c>
      <c r="L9413" s="2">
        <f t="shared" si="147"/>
        <v>150</v>
      </c>
    </row>
    <row r="9414" spans="1:12" ht="25" customHeight="1">
      <c r="A9414" s="2" t="s">
        <v>12</v>
      </c>
      <c r="B9414" s="2" t="str">
        <f>HYPERLINK("http://www.12365auto.com/xcdg/20200211/418241.shtml","全新宝马M3谍照曝光 尾部设计更具攻击性")</f>
        <v>全新宝马M3谍照曝光 尾部设计更具攻击性</v>
      </c>
      <c r="C9414" s="2" t="s">
        <v>13</v>
      </c>
      <c r="D9414" s="2" t="s">
        <v>12</v>
      </c>
      <c r="E9414" s="2" t="s">
        <v>224</v>
      </c>
      <c r="F9414" s="2" t="str">
        <f>HYPERLINK("http://www.12365auto.com/xcdg/20200211/418241.shtml","http://www.12365auto.com/xcdg/20200211/418241.shtml")</f>
        <v>http://www.12365auto.com/xcdg/20200211/418241.shtml</v>
      </c>
      <c r="G9414" s="2"/>
      <c r="H9414" s="2" t="s">
        <v>12701</v>
      </c>
      <c r="I9414" s="2" t="s">
        <v>15</v>
      </c>
      <c r="J9414" s="2" t="s">
        <v>12</v>
      </c>
      <c r="K9414" s="2" t="s">
        <v>12699</v>
      </c>
      <c r="L9414" s="2">
        <f t="shared" si="147"/>
        <v>150</v>
      </c>
    </row>
    <row r="9415" spans="1:12" ht="25" customHeight="1">
      <c r="A9415" s="2" t="s">
        <v>12</v>
      </c>
      <c r="B9415" s="2" t="str">
        <f>HYPERLINK("http://bbs.12365auto.com/postcontent.aspx?tId=193789","开车时一定要预防这两点")</f>
        <v>开车时一定要预防这两点</v>
      </c>
      <c r="C9415" s="2" t="s">
        <v>13</v>
      </c>
      <c r="D9415" s="2" t="s">
        <v>12</v>
      </c>
      <c r="E9415" s="2" t="s">
        <v>27</v>
      </c>
      <c r="F9415" s="2" t="str">
        <f>HYPERLINK("http://bbs.12365auto.com/postcontent.aspx?tId=193789","http://bbs.12365auto.com/postcontent.aspx?tId=193789")</f>
        <v>http://bbs.12365auto.com/postcontent.aspx?tId=193789</v>
      </c>
      <c r="G9415" s="2"/>
      <c r="H9415" s="2" t="s">
        <v>12702</v>
      </c>
      <c r="I9415" s="2" t="s">
        <v>15</v>
      </c>
      <c r="J9415" s="2" t="s">
        <v>4330</v>
      </c>
      <c r="K9415" s="2" t="s">
        <v>12699</v>
      </c>
      <c r="L9415" s="2">
        <f t="shared" si="147"/>
        <v>150</v>
      </c>
    </row>
    <row r="9416" spans="1:12" ht="25" customHeight="1">
      <c r="A9416" s="2" t="s">
        <v>12</v>
      </c>
      <c r="B9416" s="2" t="str">
        <f>HYPERLINK("http://bbs.12365auto.com/postcontent.aspx?tId=193788","为什么不小心闯红灯 却一直没收到违章信息")</f>
        <v>为什么不小心闯红灯 却一直没收到违章信息</v>
      </c>
      <c r="C9416" s="2" t="s">
        <v>13</v>
      </c>
      <c r="D9416" s="2" t="s">
        <v>12</v>
      </c>
      <c r="E9416" s="2" t="s">
        <v>27</v>
      </c>
      <c r="F9416" s="2" t="str">
        <f>HYPERLINK("http://bbs.12365auto.com/postcontent.aspx?tId=193788","http://bbs.12365auto.com/postcontent.aspx?tId=193788")</f>
        <v>http://bbs.12365auto.com/postcontent.aspx?tId=193788</v>
      </c>
      <c r="G9416" s="2"/>
      <c r="H9416" s="2" t="s">
        <v>12703</v>
      </c>
      <c r="I9416" s="2" t="s">
        <v>15</v>
      </c>
      <c r="J9416" s="2" t="s">
        <v>4330</v>
      </c>
      <c r="K9416" s="2" t="s">
        <v>12699</v>
      </c>
      <c r="L9416" s="2">
        <f t="shared" si="147"/>
        <v>150</v>
      </c>
    </row>
    <row r="9417" spans="1:12" ht="25" customHeight="1">
      <c r="A9417" s="2" t="s">
        <v>12</v>
      </c>
      <c r="B9417" s="2" t="str">
        <f>HYPERLINK("http://bbs.12365auto.com/postcontent.aspx?tID=193789","开车时一定要预防这两点")</f>
        <v>开车时一定要预防这两点</v>
      </c>
      <c r="C9417" s="2" t="s">
        <v>13</v>
      </c>
      <c r="D9417" s="2" t="s">
        <v>12</v>
      </c>
      <c r="E9417" s="2" t="s">
        <v>28</v>
      </c>
      <c r="F9417" s="2" t="str">
        <f>HYPERLINK("http://bbs.12365auto.com/postcontent.aspx?tID=193789","http://bbs.12365auto.com/postcontent.aspx?tID=193789")</f>
        <v>http://bbs.12365auto.com/postcontent.aspx?tID=193789</v>
      </c>
      <c r="G9417" s="2"/>
      <c r="H9417" s="2" t="s">
        <v>12704</v>
      </c>
      <c r="I9417" s="2" t="s">
        <v>15</v>
      </c>
      <c r="J9417" s="2" t="s">
        <v>4330</v>
      </c>
      <c r="K9417" s="2" t="s">
        <v>12699</v>
      </c>
      <c r="L9417" s="2">
        <f t="shared" si="147"/>
        <v>150</v>
      </c>
    </row>
    <row r="9418" spans="1:12" ht="25" customHeight="1">
      <c r="A9418" s="2" t="s">
        <v>12</v>
      </c>
      <c r="B9418" s="2" t="str">
        <f>HYPERLINK("http://m.12365auto.com/bbs/postcontent.aspx?tID=193787","入门版“牛魔王”来了 丰田全新Supra 2.0T限量版车型")</f>
        <v>入门版“牛魔王”来了 丰田全新Supra 2.0T限量版车型</v>
      </c>
      <c r="C9418" s="2" t="s">
        <v>13</v>
      </c>
      <c r="D9418" s="2" t="s">
        <v>23</v>
      </c>
      <c r="E9418" s="2"/>
      <c r="F9418" s="2" t="str">
        <f>HYPERLINK("http://m.12365auto.com/bbs/postcontent.aspx?tID=193787","http://m.12365auto.com/bbs/postcontent.aspx?tID=193787")</f>
        <v>http://m.12365auto.com/bbs/postcontent.aspx?tID=193787</v>
      </c>
      <c r="G9418" s="2"/>
      <c r="H9418" s="2" t="s">
        <v>11524</v>
      </c>
      <c r="I9418" s="2" t="s">
        <v>15</v>
      </c>
      <c r="J9418" s="2" t="s">
        <v>5704</v>
      </c>
      <c r="K9418" s="2" t="s">
        <v>12705</v>
      </c>
      <c r="L9418" s="2">
        <f t="shared" si="147"/>
        <v>150</v>
      </c>
    </row>
    <row r="9419" spans="1:12" ht="25" customHeight="1">
      <c r="A9419" s="2" t="s">
        <v>12</v>
      </c>
      <c r="B9419" s="2" t="str">
        <f>HYPERLINK("http://bbs.12365auto.com/postcontent.aspx?tId=193787","入门版“牛魔王”来了 丰田全新Supra 2.0T限量版车型")</f>
        <v>入门版“牛魔王”来了 丰田全新Supra 2.0T限量版车型</v>
      </c>
      <c r="C9419" s="2" t="s">
        <v>13</v>
      </c>
      <c r="D9419" s="2" t="s">
        <v>12</v>
      </c>
      <c r="E9419" s="2" t="s">
        <v>27</v>
      </c>
      <c r="F9419" s="2" t="str">
        <f>HYPERLINK("http://bbs.12365auto.com/postcontent.aspx?tId=193787","http://bbs.12365auto.com/postcontent.aspx?tId=193787")</f>
        <v>http://bbs.12365auto.com/postcontent.aspx?tId=193787</v>
      </c>
      <c r="G9419" s="2"/>
      <c r="H9419" s="2" t="s">
        <v>11524</v>
      </c>
      <c r="I9419" s="2" t="s">
        <v>15</v>
      </c>
      <c r="J9419" s="2" t="s">
        <v>5704</v>
      </c>
      <c r="K9419" s="2" t="s">
        <v>12705</v>
      </c>
      <c r="L9419" s="2">
        <f t="shared" si="147"/>
        <v>150</v>
      </c>
    </row>
    <row r="9420" spans="1:12" ht="25" customHeight="1">
      <c r="A9420" s="2" t="s">
        <v>12</v>
      </c>
      <c r="B9420" s="2" t="str">
        <f>HYPERLINK("http://bbs.12365auto.com/postcontent.aspx?tID=193787","入门版“牛魔王”来了 丰田全新Supra 2.0T限量版车型")</f>
        <v>入门版“牛魔王”来了 丰田全新Supra 2.0T限量版车型</v>
      </c>
      <c r="C9420" s="2" t="s">
        <v>13</v>
      </c>
      <c r="D9420" s="2" t="s">
        <v>12</v>
      </c>
      <c r="E9420" s="2" t="s">
        <v>28</v>
      </c>
      <c r="F9420" s="2" t="str">
        <f>HYPERLINK("http://bbs.12365auto.com/postcontent.aspx?tID=193787","http://bbs.12365auto.com/postcontent.aspx?tID=193787")</f>
        <v>http://bbs.12365auto.com/postcontent.aspx?tID=193787</v>
      </c>
      <c r="G9420" s="2"/>
      <c r="H9420" s="2" t="s">
        <v>12706</v>
      </c>
      <c r="I9420" s="2" t="s">
        <v>15</v>
      </c>
      <c r="J9420" s="2" t="s">
        <v>5704</v>
      </c>
      <c r="K9420" s="2" t="s">
        <v>12705</v>
      </c>
      <c r="L9420" s="2">
        <f t="shared" si="147"/>
        <v>150</v>
      </c>
    </row>
    <row r="9421" spans="1:12" ht="25" customHeight="1">
      <c r="A9421" s="2" t="s">
        <v>12</v>
      </c>
      <c r="B9421" s="2" t="str">
        <f>HYPERLINK("http://m.12365auto.com/bbs/postcontent.aspx?tID=193784","全新一代高尔夫GTI实拍图曝光 配备碗口大的双出排气管")</f>
        <v>全新一代高尔夫GTI实拍图曝光 配备碗口大的双出排气管</v>
      </c>
      <c r="C9421" s="2" t="s">
        <v>13</v>
      </c>
      <c r="D9421" s="2" t="s">
        <v>23</v>
      </c>
      <c r="E9421" s="2"/>
      <c r="F9421" s="2" t="str">
        <f>HYPERLINK("http://m.12365auto.com/bbs/postcontent.aspx?tID=193784","http://m.12365auto.com/bbs/postcontent.aspx?tID=193784")</f>
        <v>http://m.12365auto.com/bbs/postcontent.aspx?tID=193784</v>
      </c>
      <c r="G9421" s="2"/>
      <c r="H9421" s="2" t="s">
        <v>12707</v>
      </c>
      <c r="I9421" s="2" t="s">
        <v>15</v>
      </c>
      <c r="J9421" s="2" t="s">
        <v>5704</v>
      </c>
      <c r="K9421" s="2" t="s">
        <v>12708</v>
      </c>
      <c r="L9421" s="2">
        <f t="shared" si="147"/>
        <v>150</v>
      </c>
    </row>
    <row r="9422" spans="1:12" ht="25" customHeight="1">
      <c r="A9422" s="2" t="s">
        <v>12</v>
      </c>
      <c r="B9422" s="2" t="str">
        <f>HYPERLINK("http://bbs.12365auto.com/postcontent.aspx?tId=193784","全新一代高尔夫GTI实拍图曝光 配备碗口大的双出排气管")</f>
        <v>全新一代高尔夫GTI实拍图曝光 配备碗口大的双出排气管</v>
      </c>
      <c r="C9422" s="2" t="s">
        <v>13</v>
      </c>
      <c r="D9422" s="2" t="s">
        <v>12</v>
      </c>
      <c r="E9422" s="2" t="s">
        <v>27</v>
      </c>
      <c r="F9422" s="2" t="str">
        <f>HYPERLINK("http://bbs.12365auto.com/postcontent.aspx?tId=193784","http://bbs.12365auto.com/postcontent.aspx?tId=193784")</f>
        <v>http://bbs.12365auto.com/postcontent.aspx?tId=193784</v>
      </c>
      <c r="G9422" s="2"/>
      <c r="H9422" s="2" t="s">
        <v>12707</v>
      </c>
      <c r="I9422" s="2" t="s">
        <v>15</v>
      </c>
      <c r="J9422" s="2" t="s">
        <v>5704</v>
      </c>
      <c r="K9422" s="2" t="s">
        <v>12708</v>
      </c>
      <c r="L9422" s="2">
        <f t="shared" si="147"/>
        <v>150</v>
      </c>
    </row>
    <row r="9423" spans="1:12" ht="25" customHeight="1">
      <c r="A9423" s="2" t="s">
        <v>12</v>
      </c>
      <c r="B9423" s="2" t="str">
        <f>HYPERLINK("http://bbs.12365auto.com/postcontent.aspx?tID=193784","全新一代高尔夫GTI实拍图曝光 配备碗口大的双出排气管")</f>
        <v>全新一代高尔夫GTI实拍图曝光 配备碗口大的双出排气管</v>
      </c>
      <c r="C9423" s="2" t="s">
        <v>13</v>
      </c>
      <c r="D9423" s="2" t="s">
        <v>12</v>
      </c>
      <c r="E9423" s="2" t="s">
        <v>28</v>
      </c>
      <c r="F9423" s="2" t="str">
        <f>HYPERLINK("http://bbs.12365auto.com/postcontent.aspx?tID=193784","http://bbs.12365auto.com/postcontent.aspx?tID=193784")</f>
        <v>http://bbs.12365auto.com/postcontent.aspx?tID=193784</v>
      </c>
      <c r="G9423" s="2"/>
      <c r="H9423" s="2" t="s">
        <v>12709</v>
      </c>
      <c r="I9423" s="2" t="s">
        <v>15</v>
      </c>
      <c r="J9423" s="2" t="s">
        <v>5704</v>
      </c>
      <c r="K9423" s="2" t="s">
        <v>12708</v>
      </c>
      <c r="L9423" s="2">
        <f t="shared" si="147"/>
        <v>150</v>
      </c>
    </row>
    <row r="9424" spans="1:12" ht="25" customHeight="1">
      <c r="A9424" s="2" t="s">
        <v>12</v>
      </c>
      <c r="B9424" s="2" t="str">
        <f>HYPERLINK("http://bbs.12365auto.com/postcontent.aspx?tID=193785","倒车大有学问")</f>
        <v>倒车大有学问</v>
      </c>
      <c r="C9424" s="2" t="s">
        <v>13</v>
      </c>
      <c r="D9424" s="2" t="s">
        <v>12</v>
      </c>
      <c r="E9424" s="2" t="s">
        <v>28</v>
      </c>
      <c r="F9424" s="2" t="str">
        <f>HYPERLINK("http://bbs.12365auto.com/postcontent.aspx?tID=193785","http://bbs.12365auto.com/postcontent.aspx?tID=193785")</f>
        <v>http://bbs.12365auto.com/postcontent.aspx?tID=193785</v>
      </c>
      <c r="G9424" s="2"/>
      <c r="H9424" s="2" t="s">
        <v>12710</v>
      </c>
      <c r="I9424" s="2" t="s">
        <v>15</v>
      </c>
      <c r="J9424" s="2" t="s">
        <v>4330</v>
      </c>
      <c r="K9424" s="2" t="s">
        <v>12708</v>
      </c>
      <c r="L9424" s="2">
        <f t="shared" si="147"/>
        <v>76</v>
      </c>
    </row>
    <row r="9425" spans="1:12" ht="25" customHeight="1">
      <c r="A9425" s="2" t="s">
        <v>12</v>
      </c>
      <c r="B9425" s="2" t="str">
        <f>HYPERLINK("http://bbs.12365auto.com/postcontent.aspx?tID=193783","疫情时期开车需要戴口罩吗")</f>
        <v>疫情时期开车需要戴口罩吗</v>
      </c>
      <c r="C9425" s="2" t="s">
        <v>13</v>
      </c>
      <c r="D9425" s="2" t="s">
        <v>12</v>
      </c>
      <c r="E9425" s="2" t="s">
        <v>28</v>
      </c>
      <c r="F9425" s="2" t="str">
        <f>HYPERLINK("http://bbs.12365auto.com/postcontent.aspx?tID=193783","http://bbs.12365auto.com/postcontent.aspx?tID=193783")</f>
        <v>http://bbs.12365auto.com/postcontent.aspx?tID=193783</v>
      </c>
      <c r="G9425" s="2"/>
      <c r="H9425" s="2" t="s">
        <v>12711</v>
      </c>
      <c r="I9425" s="2" t="s">
        <v>15</v>
      </c>
      <c r="J9425" s="2" t="s">
        <v>4330</v>
      </c>
      <c r="K9425" s="2" t="s">
        <v>12708</v>
      </c>
      <c r="L9425" s="2">
        <f t="shared" si="147"/>
        <v>150</v>
      </c>
    </row>
    <row r="9426" spans="1:12" ht="25" customHeight="1">
      <c r="A9426" s="2" t="s">
        <v>12</v>
      </c>
      <c r="B9426" s="2" t="str">
        <f>HYPERLINK("http://bbs.12365auto.com/postcontent.aspx?tID=193786","路遇“大祸”心存敬畏")</f>
        <v>路遇“大祸”心存敬畏</v>
      </c>
      <c r="C9426" s="2" t="s">
        <v>13</v>
      </c>
      <c r="D9426" s="2" t="s">
        <v>12</v>
      </c>
      <c r="E9426" s="2" t="s">
        <v>28</v>
      </c>
      <c r="F9426" s="2" t="str">
        <f>HYPERLINK("http://bbs.12365auto.com/postcontent.aspx?tID=193786","http://bbs.12365auto.com/postcontent.aspx?tID=193786")</f>
        <v>http://bbs.12365auto.com/postcontent.aspx?tID=193786</v>
      </c>
      <c r="G9426" s="2"/>
      <c r="H9426" s="2" t="s">
        <v>12712</v>
      </c>
      <c r="I9426" s="2" t="s">
        <v>15</v>
      </c>
      <c r="J9426" s="2" t="s">
        <v>4330</v>
      </c>
      <c r="K9426" s="2" t="s">
        <v>12708</v>
      </c>
      <c r="L9426" s="2">
        <f t="shared" si="147"/>
        <v>83</v>
      </c>
    </row>
    <row r="9427" spans="1:12" ht="25" customHeight="1">
      <c r="A9427" s="2" t="s">
        <v>12</v>
      </c>
      <c r="B9427" s="2" t="str">
        <f>HYPERLINK("http://bbs.12365auto.com/postcontent.aspx?tId=193785","倒车大有学问")</f>
        <v>倒车大有学问</v>
      </c>
      <c r="C9427" s="2" t="s">
        <v>13</v>
      </c>
      <c r="D9427" s="2" t="s">
        <v>12</v>
      </c>
      <c r="E9427" s="2" t="s">
        <v>27</v>
      </c>
      <c r="F9427" s="2" t="str">
        <f>HYPERLINK("http://bbs.12365auto.com/postcontent.aspx?tId=193785","http://bbs.12365auto.com/postcontent.aspx?tId=193785")</f>
        <v>http://bbs.12365auto.com/postcontent.aspx?tId=193785</v>
      </c>
      <c r="G9427" s="2"/>
      <c r="H9427" s="2" t="s">
        <v>12713</v>
      </c>
      <c r="I9427" s="2" t="s">
        <v>15</v>
      </c>
      <c r="J9427" s="2" t="s">
        <v>4330</v>
      </c>
      <c r="K9427" s="2" t="s">
        <v>12708</v>
      </c>
      <c r="L9427" s="2">
        <f t="shared" si="147"/>
        <v>70</v>
      </c>
    </row>
    <row r="9428" spans="1:12" ht="25" customHeight="1">
      <c r="A9428" s="2" t="s">
        <v>12</v>
      </c>
      <c r="B9428" s="2" t="str">
        <f>HYPERLINK("http://bbs.12365auto.com/postcontent.aspx?tId=193786","路遇“大祸”心存敬畏")</f>
        <v>路遇“大祸”心存敬畏</v>
      </c>
      <c r="C9428" s="2" t="s">
        <v>13</v>
      </c>
      <c r="D9428" s="2" t="s">
        <v>12</v>
      </c>
      <c r="E9428" s="2" t="s">
        <v>27</v>
      </c>
      <c r="F9428" s="2" t="str">
        <f>HYPERLINK("http://bbs.12365auto.com/postcontent.aspx?tId=193786","http://bbs.12365auto.com/postcontent.aspx?tId=193786")</f>
        <v>http://bbs.12365auto.com/postcontent.aspx?tId=193786</v>
      </c>
      <c r="G9428" s="2"/>
      <c r="H9428" s="2" t="s">
        <v>12714</v>
      </c>
      <c r="I9428" s="2" t="s">
        <v>15</v>
      </c>
      <c r="J9428" s="2" t="s">
        <v>4330</v>
      </c>
      <c r="K9428" s="2" t="s">
        <v>12708</v>
      </c>
      <c r="L9428" s="2">
        <f t="shared" si="147"/>
        <v>73</v>
      </c>
    </row>
    <row r="9429" spans="1:12" ht="25" customHeight="1">
      <c r="A9429" s="2" t="s">
        <v>12</v>
      </c>
      <c r="B9429" s="2" t="str">
        <f>HYPERLINK("http://bbs.12365auto.com/postcontent.aspx?tId=193783","疫情时期开车需要戴口罩吗")</f>
        <v>疫情时期开车需要戴口罩吗</v>
      </c>
      <c r="C9429" s="2" t="s">
        <v>13</v>
      </c>
      <c r="D9429" s="2" t="s">
        <v>12</v>
      </c>
      <c r="E9429" s="2" t="s">
        <v>27</v>
      </c>
      <c r="F9429" s="2" t="str">
        <f>HYPERLINK("http://bbs.12365auto.com/postcontent.aspx?tId=193783","http://bbs.12365auto.com/postcontent.aspx?tId=193783")</f>
        <v>http://bbs.12365auto.com/postcontent.aspx?tId=193783</v>
      </c>
      <c r="G9429" s="2"/>
      <c r="H9429" s="2" t="s">
        <v>12715</v>
      </c>
      <c r="I9429" s="2" t="s">
        <v>15</v>
      </c>
      <c r="J9429" s="2" t="s">
        <v>4330</v>
      </c>
      <c r="K9429" s="2" t="s">
        <v>12708</v>
      </c>
      <c r="L9429" s="2">
        <f t="shared" si="147"/>
        <v>150</v>
      </c>
    </row>
    <row r="9430" spans="1:12" ht="25" customHeight="1">
      <c r="A9430" s="2" t="s">
        <v>12</v>
      </c>
      <c r="B9430" s="2" t="str">
        <f>HYPERLINK("http://bbs.12365auto.com/postcontent.aspx?tID=193782","驾乘汽车出行别马虎")</f>
        <v>驾乘汽车出行别马虎</v>
      </c>
      <c r="C9430" s="2" t="s">
        <v>13</v>
      </c>
      <c r="D9430" s="2" t="s">
        <v>12</v>
      </c>
      <c r="E9430" s="2" t="s">
        <v>28</v>
      </c>
      <c r="F9430" s="2" t="str">
        <f>HYPERLINK("http://bbs.12365auto.com/postcontent.aspx?tID=193782","http://bbs.12365auto.com/postcontent.aspx?tID=193782")</f>
        <v>http://bbs.12365auto.com/postcontent.aspx?tID=193782</v>
      </c>
      <c r="G9430" s="2"/>
      <c r="H9430" s="2" t="s">
        <v>12716</v>
      </c>
      <c r="I9430" s="2" t="s">
        <v>15</v>
      </c>
      <c r="J9430" s="2" t="s">
        <v>4330</v>
      </c>
      <c r="K9430" s="2" t="s">
        <v>12717</v>
      </c>
      <c r="L9430" s="2">
        <f t="shared" si="147"/>
        <v>112</v>
      </c>
    </row>
    <row r="9431" spans="1:12" ht="25" customHeight="1">
      <c r="A9431" s="2" t="s">
        <v>12</v>
      </c>
      <c r="B9431" s="2" t="str">
        <f>HYPERLINK("http://bbs.12365auto.com/postcontent.aspx?tID=193781","驾照记满12分 原来可以这样清零")</f>
        <v>驾照记满12分 原来可以这样清零</v>
      </c>
      <c r="C9431" s="2" t="s">
        <v>13</v>
      </c>
      <c r="D9431" s="2" t="s">
        <v>12</v>
      </c>
      <c r="E9431" s="2" t="s">
        <v>28</v>
      </c>
      <c r="F9431" s="2" t="str">
        <f>HYPERLINK("http://bbs.12365auto.com/postcontent.aspx?tID=193781","http://bbs.12365auto.com/postcontent.aspx?tID=193781")</f>
        <v>http://bbs.12365auto.com/postcontent.aspx?tID=193781</v>
      </c>
      <c r="G9431" s="2"/>
      <c r="H9431" s="2" t="s">
        <v>12718</v>
      </c>
      <c r="I9431" s="2" t="s">
        <v>15</v>
      </c>
      <c r="J9431" s="2" t="s">
        <v>4330</v>
      </c>
      <c r="K9431" s="2" t="s">
        <v>12717</v>
      </c>
      <c r="L9431" s="2">
        <f t="shared" si="147"/>
        <v>150</v>
      </c>
    </row>
    <row r="9432" spans="1:12" ht="25" customHeight="1">
      <c r="A9432" s="2" t="s">
        <v>12</v>
      </c>
      <c r="B9432" s="2" t="str">
        <f>HYPERLINK("http://bbs.12365auto.com/postcontent.aspx?tId=193782","驾乘汽车出行别马虎")</f>
        <v>驾乘汽车出行别马虎</v>
      </c>
      <c r="C9432" s="2" t="s">
        <v>13</v>
      </c>
      <c r="D9432" s="2" t="s">
        <v>12</v>
      </c>
      <c r="E9432" s="2" t="s">
        <v>27</v>
      </c>
      <c r="F9432" s="2" t="str">
        <f>HYPERLINK("http://bbs.12365auto.com/postcontent.aspx?tId=193782","http://bbs.12365auto.com/postcontent.aspx?tId=193782")</f>
        <v>http://bbs.12365auto.com/postcontent.aspx?tId=193782</v>
      </c>
      <c r="G9432" s="2"/>
      <c r="H9432" s="2" t="s">
        <v>12719</v>
      </c>
      <c r="I9432" s="2" t="s">
        <v>15</v>
      </c>
      <c r="J9432" s="2" t="s">
        <v>4330</v>
      </c>
      <c r="K9432" s="2" t="s">
        <v>12717</v>
      </c>
      <c r="L9432" s="2">
        <f t="shared" si="147"/>
        <v>103</v>
      </c>
    </row>
    <row r="9433" spans="1:12" ht="25" customHeight="1">
      <c r="A9433" s="2" t="s">
        <v>12</v>
      </c>
      <c r="B9433" s="2" t="str">
        <f>HYPERLINK("http://bbs.12365auto.com/postcontent.aspx?tId=193781","驾照记满12分 原来可以这样清零")</f>
        <v>驾照记满12分 原来可以这样清零</v>
      </c>
      <c r="C9433" s="2" t="s">
        <v>13</v>
      </c>
      <c r="D9433" s="2" t="s">
        <v>12</v>
      </c>
      <c r="E9433" s="2" t="s">
        <v>27</v>
      </c>
      <c r="F9433" s="2" t="str">
        <f>HYPERLINK("http://bbs.12365auto.com/postcontent.aspx?tId=193781","http://bbs.12365auto.com/postcontent.aspx?tId=193781")</f>
        <v>http://bbs.12365auto.com/postcontent.aspx?tId=193781</v>
      </c>
      <c r="G9433" s="2"/>
      <c r="H9433" s="2" t="s">
        <v>12720</v>
      </c>
      <c r="I9433" s="2" t="s">
        <v>15</v>
      </c>
      <c r="J9433" s="2" t="s">
        <v>4330</v>
      </c>
      <c r="K9433" s="2" t="s">
        <v>12717</v>
      </c>
      <c r="L9433" s="2">
        <f t="shared" si="147"/>
        <v>150</v>
      </c>
    </row>
    <row r="9434" spans="1:12" ht="25" customHeight="1">
      <c r="A9434" s="2" t="s">
        <v>12</v>
      </c>
      <c r="B9434" s="2" t="str">
        <f>HYPERLINK("http://www.12365auto.com/zlts/20200211/446856.shtml","广汽本田雅阁发动机无法启动搭电无效")</f>
        <v>广汽本田雅阁发动机无法启动搭电无效</v>
      </c>
      <c r="C9434" s="2" t="s">
        <v>13</v>
      </c>
      <c r="D9434" s="2" t="s">
        <v>12</v>
      </c>
      <c r="E9434" s="2" t="s">
        <v>17</v>
      </c>
      <c r="F9434" s="2" t="str">
        <f>HYPERLINK("http://www.12365auto.com/zlts/20200211/446856.shtml","http://www.12365auto.com/zlts/20200211/446856.shtml")</f>
        <v>http://www.12365auto.com/zlts/20200211/446856.shtml</v>
      </c>
      <c r="G9434" s="2"/>
      <c r="H9434" s="2" t="s">
        <v>12721</v>
      </c>
      <c r="I9434" s="2" t="s">
        <v>19</v>
      </c>
      <c r="J9434" s="2" t="s">
        <v>12</v>
      </c>
      <c r="K9434" s="2" t="s">
        <v>12722</v>
      </c>
      <c r="L9434" s="2">
        <f t="shared" si="147"/>
        <v>150</v>
      </c>
    </row>
    <row r="9435" spans="1:12" ht="25" customHeight="1">
      <c r="A9435" s="2" t="s">
        <v>12</v>
      </c>
      <c r="B9435" s="2" t="str">
        <f>HYPERLINK("http://www.12365auto.com/zlts/20200211/446855.shtml","上汽MAXUS G20发动机与变速箱不匹配")</f>
        <v>上汽MAXUS G20发动机与变速箱不匹配</v>
      </c>
      <c r="C9435" s="2" t="s">
        <v>13</v>
      </c>
      <c r="D9435" s="2" t="s">
        <v>12</v>
      </c>
      <c r="E9435" s="2" t="s">
        <v>17</v>
      </c>
      <c r="F9435" s="2" t="str">
        <f>HYPERLINK("http://www.12365auto.com/zlts/20200211/446855.shtml","http://www.12365auto.com/zlts/20200211/446855.shtml")</f>
        <v>http://www.12365auto.com/zlts/20200211/446855.shtml</v>
      </c>
      <c r="G9435" s="2"/>
      <c r="H9435" s="2" t="s">
        <v>12723</v>
      </c>
      <c r="I9435" s="2" t="s">
        <v>15</v>
      </c>
      <c r="J9435" s="2" t="s">
        <v>12</v>
      </c>
      <c r="K9435" s="2" t="s">
        <v>12724</v>
      </c>
      <c r="L9435" s="2">
        <f t="shared" si="147"/>
        <v>150</v>
      </c>
    </row>
    <row r="9436" spans="1:12" ht="25" customHeight="1">
      <c r="A9436" s="2" t="s">
        <v>12</v>
      </c>
      <c r="B9436" s="2" t="str">
        <f>HYPERLINK("http://m.12365auto.com/xcdg/20200211/418240.shtml","2021款奔驰C级谍照曝光 将搭载轻混系统")</f>
        <v>2021款奔驰C级谍照曝光 将搭载轻混系统</v>
      </c>
      <c r="C9436" s="2" t="s">
        <v>13</v>
      </c>
      <c r="D9436" s="2" t="s">
        <v>12</v>
      </c>
      <c r="E9436" s="2"/>
      <c r="F9436" s="2" t="str">
        <f>HYPERLINK("http://m.12365auto.com/xcdg/20200211/418240.shtml","http://m.12365auto.com/xcdg/20200211/418240.shtml")</f>
        <v>http://m.12365auto.com/xcdg/20200211/418240.shtml</v>
      </c>
      <c r="G9436" s="2"/>
      <c r="H9436" s="2" t="s">
        <v>12725</v>
      </c>
      <c r="I9436" s="2" t="s">
        <v>19</v>
      </c>
      <c r="J9436" s="2" t="s">
        <v>702</v>
      </c>
      <c r="K9436" s="2" t="s">
        <v>12724</v>
      </c>
      <c r="L9436" s="2">
        <f t="shared" si="147"/>
        <v>150</v>
      </c>
    </row>
    <row r="9437" spans="1:12" ht="25" customHeight="1">
      <c r="A9437" s="2" t="s">
        <v>12</v>
      </c>
      <c r="B9437" s="2" t="str">
        <f>HYPERLINK("http://www.12365auto.com/xcdg/20200211/418240.shtml","2021款奔驰C级谍照曝光 将搭载轻混系统")</f>
        <v>2021款奔驰C级谍照曝光 将搭载轻混系统</v>
      </c>
      <c r="C9437" s="2" t="s">
        <v>13</v>
      </c>
      <c r="D9437" s="2" t="s">
        <v>12</v>
      </c>
      <c r="E9437" s="2" t="s">
        <v>224</v>
      </c>
      <c r="F9437" s="2" t="str">
        <f>HYPERLINK("http://www.12365auto.com/xcdg/20200211/418240.shtml","http://www.12365auto.com/xcdg/20200211/418240.shtml")</f>
        <v>http://www.12365auto.com/xcdg/20200211/418240.shtml</v>
      </c>
      <c r="G9437" s="2"/>
      <c r="H9437" s="2" t="s">
        <v>12726</v>
      </c>
      <c r="I9437" s="2" t="s">
        <v>15</v>
      </c>
      <c r="J9437" s="2" t="s">
        <v>12</v>
      </c>
      <c r="K9437" s="2" t="s">
        <v>12724</v>
      </c>
      <c r="L9437" s="2">
        <f t="shared" si="147"/>
        <v>150</v>
      </c>
    </row>
    <row r="9438" spans="1:12" ht="25" customHeight="1">
      <c r="A9438" s="2" t="s">
        <v>12</v>
      </c>
      <c r="B9438" s="2" t="str">
        <f>HYPERLINK("http://m.12365auto.com/xcdg/20200211/418239.shtml","小改款大众Arteon车型将在年内推向美国")</f>
        <v>小改款大众Arteon车型将在年内推向美国</v>
      </c>
      <c r="C9438" s="2" t="s">
        <v>13</v>
      </c>
      <c r="D9438" s="2" t="s">
        <v>12</v>
      </c>
      <c r="E9438" s="2"/>
      <c r="F9438" s="2" t="str">
        <f>HYPERLINK("http://m.12365auto.com/xcdg/20200211/418239.shtml","http://m.12365auto.com/xcdg/20200211/418239.shtml")</f>
        <v>http://m.12365auto.com/xcdg/20200211/418239.shtml</v>
      </c>
      <c r="G9438" s="2"/>
      <c r="H9438" s="2" t="s">
        <v>12727</v>
      </c>
      <c r="I9438" s="2" t="s">
        <v>19</v>
      </c>
      <c r="J9438" s="2" t="s">
        <v>702</v>
      </c>
      <c r="K9438" s="2" t="s">
        <v>12728</v>
      </c>
      <c r="L9438" s="2">
        <f t="shared" si="147"/>
        <v>150</v>
      </c>
    </row>
    <row r="9439" spans="1:12" ht="25" customHeight="1">
      <c r="A9439" s="2" t="s">
        <v>12</v>
      </c>
      <c r="B9439" s="2" t="str">
        <f>HYPERLINK("http://www.12365auto.com/xcdg/20200211/418239.shtml","小改款大众Arteon车型将在年内推向美国")</f>
        <v>小改款大众Arteon车型将在年内推向美国</v>
      </c>
      <c r="C9439" s="2" t="s">
        <v>13</v>
      </c>
      <c r="D9439" s="2" t="s">
        <v>12</v>
      </c>
      <c r="E9439" s="2" t="s">
        <v>216</v>
      </c>
      <c r="F9439" s="2" t="str">
        <f>HYPERLINK("http://www.12365auto.com/xcdg/20200211/418239.shtml","http://www.12365auto.com/xcdg/20200211/418239.shtml")</f>
        <v>http://www.12365auto.com/xcdg/20200211/418239.shtml</v>
      </c>
      <c r="G9439" s="2"/>
      <c r="H9439" s="2" t="s">
        <v>12729</v>
      </c>
      <c r="I9439" s="2" t="s">
        <v>15</v>
      </c>
      <c r="J9439" s="2" t="s">
        <v>12</v>
      </c>
      <c r="K9439" s="2" t="s">
        <v>12728</v>
      </c>
      <c r="L9439" s="2">
        <f t="shared" si="147"/>
        <v>150</v>
      </c>
    </row>
    <row r="9440" spans="1:12" ht="25" customHeight="1">
      <c r="A9440" s="2" t="s">
        <v>12</v>
      </c>
      <c r="B9440" s="2" t="str">
        <f>HYPERLINK("http://bbs.12365auto.com/postcontent.aspx?tID=193780","你所不知道的5个乘车危害")</f>
        <v>你所不知道的5个乘车危害</v>
      </c>
      <c r="C9440" s="2" t="s">
        <v>13</v>
      </c>
      <c r="D9440" s="2" t="s">
        <v>12</v>
      </c>
      <c r="E9440" s="2" t="s">
        <v>214</v>
      </c>
      <c r="F9440" s="2" t="str">
        <f>HYPERLINK("http://bbs.12365auto.com/postcontent.aspx?tID=193780","http://bbs.12365auto.com/postcontent.aspx?tID=193780")</f>
        <v>http://bbs.12365auto.com/postcontent.aspx?tID=193780</v>
      </c>
      <c r="G9440" s="2"/>
      <c r="H9440" s="2" t="s">
        <v>12730</v>
      </c>
      <c r="I9440" s="2" t="s">
        <v>15</v>
      </c>
      <c r="J9440" s="2" t="s">
        <v>212</v>
      </c>
      <c r="K9440" s="2" t="s">
        <v>12728</v>
      </c>
      <c r="L9440" s="2">
        <f t="shared" si="147"/>
        <v>150</v>
      </c>
    </row>
    <row r="9441" spans="1:12" ht="25" customHeight="1">
      <c r="A9441" s="2" t="s">
        <v>12</v>
      </c>
      <c r="B9441" s="2" t="str">
        <f>HYPERLINK("http://www.12365auto.com/zlts/20200211/446854.shtml","一汽大众奥迪Q5节温器漏水 内饰行驶异响")</f>
        <v>一汽大众奥迪Q5节温器漏水 内饰行驶异响</v>
      </c>
      <c r="C9441" s="2" t="s">
        <v>13</v>
      </c>
      <c r="D9441" s="2" t="s">
        <v>12</v>
      </c>
      <c r="E9441" s="2" t="s">
        <v>17</v>
      </c>
      <c r="F9441" s="2" t="str">
        <f>HYPERLINK("http://www.12365auto.com/zlts/20200211/446854.shtml","http://www.12365auto.com/zlts/20200211/446854.shtml")</f>
        <v>http://www.12365auto.com/zlts/20200211/446854.shtml</v>
      </c>
      <c r="G9441" s="2"/>
      <c r="H9441" s="2" t="s">
        <v>12731</v>
      </c>
      <c r="I9441" s="2" t="s">
        <v>19</v>
      </c>
      <c r="J9441" s="2" t="s">
        <v>12</v>
      </c>
      <c r="K9441" s="2" t="s">
        <v>12732</v>
      </c>
      <c r="L9441" s="2">
        <f t="shared" si="147"/>
        <v>150</v>
      </c>
    </row>
    <row r="9442" spans="1:12" ht="25" customHeight="1">
      <c r="A9442" s="2" t="s">
        <v>12</v>
      </c>
      <c r="B9442" s="2" t="str">
        <f>HYPERLINK("http://www.12365auto.com/xcdg/20200211/418238.shtml","大众Passat有望迎来换代 不使用传统动力")</f>
        <v>大众Passat有望迎来换代 不使用传统动力</v>
      </c>
      <c r="C9442" s="2" t="s">
        <v>13</v>
      </c>
      <c r="D9442" s="2" t="s">
        <v>12</v>
      </c>
      <c r="E9442" s="2" t="s">
        <v>216</v>
      </c>
      <c r="F9442" s="2" t="str">
        <f>HYPERLINK("http://www.12365auto.com/xcdg/20200211/418238.shtml","http://www.12365auto.com/xcdg/20200211/418238.shtml")</f>
        <v>http://www.12365auto.com/xcdg/20200211/418238.shtml</v>
      </c>
      <c r="G9442" s="2"/>
      <c r="H9442" s="2" t="s">
        <v>12733</v>
      </c>
      <c r="I9442" s="2" t="s">
        <v>15</v>
      </c>
      <c r="J9442" s="2" t="s">
        <v>12</v>
      </c>
      <c r="K9442" s="2" t="s">
        <v>12734</v>
      </c>
      <c r="L9442" s="2">
        <f t="shared" si="147"/>
        <v>150</v>
      </c>
    </row>
    <row r="9443" spans="1:12" ht="25" customHeight="1">
      <c r="A9443" s="2" t="s">
        <v>12</v>
      </c>
      <c r="B9443" s="2" t="str">
        <f>HYPERLINK("http://m.12365auto.com/xcdg/20200211/418238.shtml","大众Passat有望迎来换代 不使用传统动力")</f>
        <v>大众Passat有望迎来换代 不使用传统动力</v>
      </c>
      <c r="C9443" s="2" t="s">
        <v>13</v>
      </c>
      <c r="D9443" s="2" t="s">
        <v>12</v>
      </c>
      <c r="E9443" s="2"/>
      <c r="F9443" s="2" t="str">
        <f>HYPERLINK("http://m.12365auto.com/xcdg/20200211/418238.shtml","http://m.12365auto.com/xcdg/20200211/418238.shtml")</f>
        <v>http://m.12365auto.com/xcdg/20200211/418238.shtml</v>
      </c>
      <c r="G9443" s="2"/>
      <c r="H9443" s="2" t="s">
        <v>12735</v>
      </c>
      <c r="I9443" s="2" t="s">
        <v>19</v>
      </c>
      <c r="J9443" s="2" t="s">
        <v>702</v>
      </c>
      <c r="K9443" s="2" t="s">
        <v>12734</v>
      </c>
      <c r="L9443" s="2">
        <f t="shared" si="147"/>
        <v>150</v>
      </c>
    </row>
    <row r="9444" spans="1:12" ht="25" customHeight="1">
      <c r="A9444" s="2" t="s">
        <v>12</v>
      </c>
      <c r="B9444" s="2" t="str">
        <f>HYPERLINK("http://m.12365auto.com/news/20200211/418237.shtml","大众表示 将在北美推出更多高性能车型")</f>
        <v>大众表示 将在北美推出更多高性能车型</v>
      </c>
      <c r="C9444" s="2" t="s">
        <v>13</v>
      </c>
      <c r="D9444" s="2" t="s">
        <v>12</v>
      </c>
      <c r="E9444" s="2"/>
      <c r="F9444" s="2" t="str">
        <f>HYPERLINK("http://m.12365auto.com/news/20200211/418237.shtml","http://m.12365auto.com/news/20200211/418237.shtml")</f>
        <v>http://m.12365auto.com/news/20200211/418237.shtml</v>
      </c>
      <c r="G9444" s="2"/>
      <c r="H9444" s="2" t="s">
        <v>12736</v>
      </c>
      <c r="I9444" s="2" t="s">
        <v>19</v>
      </c>
      <c r="J9444" s="2" t="s">
        <v>702</v>
      </c>
      <c r="K9444" s="2" t="s">
        <v>12737</v>
      </c>
      <c r="L9444" s="2">
        <f t="shared" si="147"/>
        <v>150</v>
      </c>
    </row>
    <row r="9445" spans="1:12" ht="25" customHeight="1">
      <c r="A9445" s="2" t="s">
        <v>12</v>
      </c>
      <c r="B9445" s="2" t="str">
        <f>HYPERLINK("http://www.12365auto.com/news/20200211/418237.shtml","大众表示 将在北美推出更多高性能车型")</f>
        <v>大众表示 将在北美推出更多高性能车型</v>
      </c>
      <c r="C9445" s="2" t="s">
        <v>13</v>
      </c>
      <c r="D9445" s="2" t="s">
        <v>12</v>
      </c>
      <c r="E9445" s="2" t="s">
        <v>276</v>
      </c>
      <c r="F9445" s="2" t="str">
        <f>HYPERLINK("http://www.12365auto.com/news/20200211/418237.shtml","http://www.12365auto.com/news/20200211/418237.shtml")</f>
        <v>http://www.12365auto.com/news/20200211/418237.shtml</v>
      </c>
      <c r="G9445" s="2"/>
      <c r="H9445" s="2" t="s">
        <v>12738</v>
      </c>
      <c r="I9445" s="2" t="s">
        <v>15</v>
      </c>
      <c r="J9445" s="2" t="s">
        <v>12</v>
      </c>
      <c r="K9445" s="2" t="s">
        <v>12737</v>
      </c>
      <c r="L9445" s="2">
        <f t="shared" si="147"/>
        <v>150</v>
      </c>
    </row>
    <row r="9446" spans="1:12" ht="25" customHeight="1">
      <c r="A9446" s="2" t="s">
        <v>12</v>
      </c>
      <c r="B9446" s="2" t="str">
        <f>HYPERLINK("http://m.12365auto.com/xcdg/20200211/418236.shtml","全新奔驰AMG GT谍照图曝光 搭4.0T V8引擎")</f>
        <v>全新奔驰AMG GT谍照图曝光 搭4.0T V8引擎</v>
      </c>
      <c r="C9446" s="2" t="s">
        <v>13</v>
      </c>
      <c r="D9446" s="2" t="s">
        <v>12</v>
      </c>
      <c r="E9446" s="2"/>
      <c r="F9446" s="2" t="str">
        <f>HYPERLINK("http://m.12365auto.com/xcdg/20200211/418236.shtml","http://m.12365auto.com/xcdg/20200211/418236.shtml")</f>
        <v>http://m.12365auto.com/xcdg/20200211/418236.shtml</v>
      </c>
      <c r="G9446" s="2"/>
      <c r="H9446" s="2" t="s">
        <v>12739</v>
      </c>
      <c r="I9446" s="2" t="s">
        <v>19</v>
      </c>
      <c r="J9446" s="2" t="s">
        <v>702</v>
      </c>
      <c r="K9446" s="2" t="s">
        <v>12740</v>
      </c>
      <c r="L9446" s="2">
        <f t="shared" si="147"/>
        <v>150</v>
      </c>
    </row>
    <row r="9447" spans="1:12" ht="25" customHeight="1">
      <c r="A9447" s="2" t="s">
        <v>12</v>
      </c>
      <c r="B9447" s="2" t="str">
        <f>HYPERLINK("http://m.12365auto.com/xcdg/20200211/418235.shtml","起亚将推大型SUV电动车 2021年上市")</f>
        <v>起亚将推大型SUV电动车 2021年上市</v>
      </c>
      <c r="C9447" s="2" t="s">
        <v>13</v>
      </c>
      <c r="D9447" s="2" t="s">
        <v>12</v>
      </c>
      <c r="E9447" s="2"/>
      <c r="F9447" s="2" t="str">
        <f>HYPERLINK("http://m.12365auto.com/xcdg/20200211/418235.shtml","http://m.12365auto.com/xcdg/20200211/418235.shtml")</f>
        <v>http://m.12365auto.com/xcdg/20200211/418235.shtml</v>
      </c>
      <c r="G9447" s="2"/>
      <c r="H9447" s="2" t="s">
        <v>12741</v>
      </c>
      <c r="I9447" s="2" t="s">
        <v>19</v>
      </c>
      <c r="J9447" s="2" t="s">
        <v>702</v>
      </c>
      <c r="K9447" s="2" t="s">
        <v>12740</v>
      </c>
      <c r="L9447" s="2">
        <f t="shared" si="147"/>
        <v>150</v>
      </c>
    </row>
    <row r="9448" spans="1:12" ht="25" customHeight="1">
      <c r="A9448" s="2" t="s">
        <v>12</v>
      </c>
      <c r="B9448" s="2" t="str">
        <f>HYPERLINK("http://www.12365auto.com/xcdg/20200211/418235.shtml","起亚将推大型SUV电动车 2021年上市")</f>
        <v>起亚将推大型SUV电动车 2021年上市</v>
      </c>
      <c r="C9448" s="2" t="s">
        <v>13</v>
      </c>
      <c r="D9448" s="2" t="s">
        <v>12</v>
      </c>
      <c r="E9448" s="2" t="s">
        <v>216</v>
      </c>
      <c r="F9448" s="2" t="str">
        <f>HYPERLINK("http://www.12365auto.com/xcdg/20200211/418235.shtml","http://www.12365auto.com/xcdg/20200211/418235.shtml")</f>
        <v>http://www.12365auto.com/xcdg/20200211/418235.shtml</v>
      </c>
      <c r="G9448" s="2"/>
      <c r="H9448" s="2" t="s">
        <v>12742</v>
      </c>
      <c r="I9448" s="2" t="s">
        <v>15</v>
      </c>
      <c r="J9448" s="2" t="s">
        <v>12</v>
      </c>
      <c r="K9448" s="2" t="s">
        <v>12740</v>
      </c>
      <c r="L9448" s="2">
        <f t="shared" si="147"/>
        <v>150</v>
      </c>
    </row>
    <row r="9449" spans="1:12" ht="25" customHeight="1">
      <c r="A9449" s="2" t="s">
        <v>12</v>
      </c>
      <c r="B9449" s="2" t="str">
        <f>HYPERLINK("http://www.12365auto.com/xcdg/20200211/418236.shtml","全新奔驰AMG GT谍照图曝光 搭4.0T V8引擎")</f>
        <v>全新奔驰AMG GT谍照图曝光 搭4.0T V8引擎</v>
      </c>
      <c r="C9449" s="2" t="s">
        <v>13</v>
      </c>
      <c r="D9449" s="2" t="s">
        <v>12</v>
      </c>
      <c r="E9449" s="2" t="s">
        <v>224</v>
      </c>
      <c r="F9449" s="2" t="str">
        <f>HYPERLINK("http://www.12365auto.com/xcdg/20200211/418236.shtml","http://www.12365auto.com/xcdg/20200211/418236.shtml")</f>
        <v>http://www.12365auto.com/xcdg/20200211/418236.shtml</v>
      </c>
      <c r="G9449" s="2"/>
      <c r="H9449" s="2" t="s">
        <v>12743</v>
      </c>
      <c r="I9449" s="2" t="s">
        <v>15</v>
      </c>
      <c r="J9449" s="2" t="s">
        <v>12</v>
      </c>
      <c r="K9449" s="2" t="s">
        <v>12740</v>
      </c>
      <c r="L9449" s="2">
        <f t="shared" si="147"/>
        <v>150</v>
      </c>
    </row>
    <row r="9450" spans="1:12" ht="25" customHeight="1">
      <c r="A9450" s="2" t="s">
        <v>12</v>
      </c>
      <c r="B9450" s="2" t="str">
        <f>HYPERLINK("http://m.12365auto.com/xcdg/20200211/418234.shtml","热门中型车专场 凯迪拉克CT5对比宝马3系")</f>
        <v>热门中型车专场 凯迪拉克CT5对比宝马3系</v>
      </c>
      <c r="C9450" s="2" t="s">
        <v>13</v>
      </c>
      <c r="D9450" s="2" t="s">
        <v>12</v>
      </c>
      <c r="E9450" s="2"/>
      <c r="F9450" s="2" t="str">
        <f>HYPERLINK("http://m.12365auto.com/xcdg/20200211/418234.shtml","http://m.12365auto.com/xcdg/20200211/418234.shtml")</f>
        <v>http://m.12365auto.com/xcdg/20200211/418234.shtml</v>
      </c>
      <c r="G9450" s="2"/>
      <c r="H9450" s="2" t="s">
        <v>12744</v>
      </c>
      <c r="I9450" s="2" t="s">
        <v>19</v>
      </c>
      <c r="J9450" s="2" t="s">
        <v>5774</v>
      </c>
      <c r="K9450" s="2" t="s">
        <v>12745</v>
      </c>
      <c r="L9450" s="2">
        <f t="shared" si="147"/>
        <v>150</v>
      </c>
    </row>
    <row r="9451" spans="1:12" ht="25" customHeight="1">
      <c r="A9451" s="2" t="s">
        <v>12</v>
      </c>
      <c r="B9451" s="2" t="str">
        <f>HYPERLINK("http://www.12365auto.com/zlts/20200211/446852.shtml","上汽大众途岳汽油箱位置异响非常明显")</f>
        <v>上汽大众途岳汽油箱位置异响非常明显</v>
      </c>
      <c r="C9451" s="2" t="s">
        <v>13</v>
      </c>
      <c r="D9451" s="2" t="s">
        <v>12</v>
      </c>
      <c r="E9451" s="2" t="s">
        <v>17</v>
      </c>
      <c r="F9451" s="2" t="str">
        <f>HYPERLINK("http://www.12365auto.com/zlts/20200211/446852.shtml","http://www.12365auto.com/zlts/20200211/446852.shtml")</f>
        <v>http://www.12365auto.com/zlts/20200211/446852.shtml</v>
      </c>
      <c r="G9451" s="2"/>
      <c r="H9451" s="2" t="s">
        <v>12746</v>
      </c>
      <c r="I9451" s="2" t="s">
        <v>15</v>
      </c>
      <c r="J9451" s="2" t="s">
        <v>12</v>
      </c>
      <c r="K9451" s="2" t="s">
        <v>12747</v>
      </c>
      <c r="L9451" s="2">
        <f t="shared" si="147"/>
        <v>150</v>
      </c>
    </row>
    <row r="9452" spans="1:12" ht="25" customHeight="1">
      <c r="A9452" s="2" t="s">
        <v>12</v>
      </c>
      <c r="B9452" s="2" t="str">
        <f>HYPERLINK("http://www.12365auto.com/news/20200211/418233.shtml","起亚因零部件短缺暂停三家韩国工厂生产")</f>
        <v>起亚因零部件短缺暂停三家韩国工厂生产</v>
      </c>
      <c r="C9452" s="2" t="s">
        <v>13</v>
      </c>
      <c r="D9452" s="2" t="s">
        <v>12</v>
      </c>
      <c r="E9452" s="2" t="s">
        <v>276</v>
      </c>
      <c r="F9452" s="2" t="str">
        <f>HYPERLINK("http://www.12365auto.com/news/20200211/418233.shtml","http://www.12365auto.com/news/20200211/418233.shtml")</f>
        <v>http://www.12365auto.com/news/20200211/418233.shtml</v>
      </c>
      <c r="G9452" s="2"/>
      <c r="H9452" s="2" t="s">
        <v>12748</v>
      </c>
      <c r="I9452" s="2" t="s">
        <v>15</v>
      </c>
      <c r="J9452" s="2" t="s">
        <v>12</v>
      </c>
      <c r="K9452" s="2" t="s">
        <v>12749</v>
      </c>
      <c r="L9452" s="2">
        <f t="shared" si="147"/>
        <v>150</v>
      </c>
    </row>
    <row r="9453" spans="1:12" ht="25" customHeight="1">
      <c r="A9453" s="2" t="s">
        <v>12</v>
      </c>
      <c r="B9453" s="2" t="str">
        <f>HYPERLINK("http://www.12365auto.com/news/20200211/418232.shtml","通用在华工厂将推迟到2月15日复工生产")</f>
        <v>通用在华工厂将推迟到2月15日复工生产</v>
      </c>
      <c r="C9453" s="2" t="s">
        <v>13</v>
      </c>
      <c r="D9453" s="2" t="s">
        <v>12</v>
      </c>
      <c r="E9453" s="2" t="s">
        <v>276</v>
      </c>
      <c r="F9453" s="2" t="str">
        <f>HYPERLINK("http://www.12365auto.com/news/20200211/418232.shtml","http://www.12365auto.com/news/20200211/418232.shtml")</f>
        <v>http://www.12365auto.com/news/20200211/418232.shtml</v>
      </c>
      <c r="G9453" s="2"/>
      <c r="H9453" s="2" t="s">
        <v>12750</v>
      </c>
      <c r="I9453" s="2" t="s">
        <v>15</v>
      </c>
      <c r="J9453" s="2" t="s">
        <v>12</v>
      </c>
      <c r="K9453" s="2" t="s">
        <v>12749</v>
      </c>
      <c r="L9453" s="2">
        <f t="shared" si="147"/>
        <v>150</v>
      </c>
    </row>
    <row r="9454" spans="1:12" ht="25" customHeight="1">
      <c r="A9454" s="2" t="s">
        <v>12</v>
      </c>
      <c r="B9454" s="2" t="str">
        <f>HYPERLINK("http://m.12365auto.com/news/20200211/418233.shtml","起亚因零部件短缺暂停三家韩国工厂生产")</f>
        <v>起亚因零部件短缺暂停三家韩国工厂生产</v>
      </c>
      <c r="C9454" s="2" t="s">
        <v>13</v>
      </c>
      <c r="D9454" s="2" t="s">
        <v>12</v>
      </c>
      <c r="E9454" s="2"/>
      <c r="F9454" s="2" t="str">
        <f>HYPERLINK("http://m.12365auto.com/news/20200211/418233.shtml","http://m.12365auto.com/news/20200211/418233.shtml")</f>
        <v>http://m.12365auto.com/news/20200211/418233.shtml</v>
      </c>
      <c r="G9454" s="2"/>
      <c r="H9454" s="2" t="s">
        <v>12751</v>
      </c>
      <c r="I9454" s="2" t="s">
        <v>19</v>
      </c>
      <c r="J9454" s="2" t="s">
        <v>2527</v>
      </c>
      <c r="K9454" s="2" t="s">
        <v>12749</v>
      </c>
      <c r="L9454" s="2">
        <f t="shared" si="147"/>
        <v>150</v>
      </c>
    </row>
    <row r="9455" spans="1:12" ht="25" customHeight="1">
      <c r="A9455" s="2" t="s">
        <v>12</v>
      </c>
      <c r="B9455" s="2" t="str">
        <f>HYPERLINK("http://m.12365auto.com/news/20200211/418232.shtml","通用在华工厂将推迟到2月15日复工生产")</f>
        <v>通用在华工厂将推迟到2月15日复工生产</v>
      </c>
      <c r="C9455" s="2" t="s">
        <v>13</v>
      </c>
      <c r="D9455" s="2" t="s">
        <v>12</v>
      </c>
      <c r="E9455" s="2"/>
      <c r="F9455" s="2" t="str">
        <f>HYPERLINK("http://m.12365auto.com/news/20200211/418232.shtml","http://m.12365auto.com/news/20200211/418232.shtml")</f>
        <v>http://m.12365auto.com/news/20200211/418232.shtml</v>
      </c>
      <c r="G9455" s="2"/>
      <c r="H9455" s="2" t="s">
        <v>12752</v>
      </c>
      <c r="I9455" s="2" t="s">
        <v>19</v>
      </c>
      <c r="J9455" s="2" t="s">
        <v>2527</v>
      </c>
      <c r="K9455" s="2" t="s">
        <v>12749</v>
      </c>
      <c r="L9455" s="2">
        <f t="shared" si="147"/>
        <v>150</v>
      </c>
    </row>
    <row r="9456" spans="1:12" ht="25" customHeight="1">
      <c r="A9456" s="2" t="s">
        <v>12</v>
      </c>
      <c r="B9456" s="2" t="str">
        <f>HYPERLINK("http://www.12365auto.com/zhgg/20200211/418231.shtml","刹车控制问题 通用全球召回约16.2万台车")</f>
        <v>刹车控制问题 通用全球召回约16.2万台车</v>
      </c>
      <c r="C9456" s="2" t="s">
        <v>13</v>
      </c>
      <c r="D9456" s="2" t="s">
        <v>12</v>
      </c>
      <c r="E9456" s="2" t="s">
        <v>1460</v>
      </c>
      <c r="F9456" s="2" t="str">
        <f>HYPERLINK("http://www.12365auto.com/zhgg/20200211/418231.shtml","http://www.12365auto.com/zhgg/20200211/418231.shtml")</f>
        <v>http://www.12365auto.com/zhgg/20200211/418231.shtml</v>
      </c>
      <c r="G9456" s="2"/>
      <c r="H9456" s="2" t="s">
        <v>12753</v>
      </c>
      <c r="I9456" s="2" t="s">
        <v>15</v>
      </c>
      <c r="J9456" s="2" t="s">
        <v>12</v>
      </c>
      <c r="K9456" s="2" t="s">
        <v>12754</v>
      </c>
      <c r="L9456" s="2">
        <f t="shared" si="147"/>
        <v>150</v>
      </c>
    </row>
    <row r="9457" spans="1:12" ht="25" customHeight="1">
      <c r="A9457" s="2" t="s">
        <v>12</v>
      </c>
      <c r="B9457" s="2" t="str">
        <f>HYPERLINK("http://m.12365auto.com/zhgg/20200211/418231.shtml","刹车控制问题 通用全球召回约16.2万台车")</f>
        <v>刹车控制问题 通用全球召回约16.2万台车</v>
      </c>
      <c r="C9457" s="2" t="s">
        <v>13</v>
      </c>
      <c r="D9457" s="2" t="s">
        <v>12</v>
      </c>
      <c r="E9457" s="2"/>
      <c r="F9457" s="2" t="str">
        <f>HYPERLINK("http://m.12365auto.com/zhgg/20200211/418231.shtml","http://m.12365auto.com/zhgg/20200211/418231.shtml")</f>
        <v>http://m.12365auto.com/zhgg/20200211/418231.shtml</v>
      </c>
      <c r="G9457" s="2"/>
      <c r="H9457" s="2" t="s">
        <v>12755</v>
      </c>
      <c r="I9457" s="2" t="s">
        <v>19</v>
      </c>
      <c r="J9457" s="2" t="s">
        <v>2527</v>
      </c>
      <c r="K9457" s="2" t="s">
        <v>12754</v>
      </c>
      <c r="L9457" s="2">
        <f t="shared" si="147"/>
        <v>150</v>
      </c>
    </row>
    <row r="9458" spans="1:12" ht="25" customHeight="1">
      <c r="A9458" s="2" t="s">
        <v>12</v>
      </c>
      <c r="B9458" s="2" t="str">
        <f>HYPERLINK("http://m.12365auto.com/news/20200211/418230.shtml","沃尔沃计划与吉利合并 或为创造性IPO融资")</f>
        <v>沃尔沃计划与吉利合并 或为创造性IPO融资</v>
      </c>
      <c r="C9458" s="2" t="s">
        <v>13</v>
      </c>
      <c r="D9458" s="2" t="s">
        <v>12</v>
      </c>
      <c r="E9458" s="2"/>
      <c r="F9458" s="2" t="str">
        <f>HYPERLINK("http://m.12365auto.com/news/20200211/418230.shtml","http://m.12365auto.com/news/20200211/418230.shtml")</f>
        <v>http://m.12365auto.com/news/20200211/418230.shtml</v>
      </c>
      <c r="G9458" s="2"/>
      <c r="H9458" s="2" t="s">
        <v>12756</v>
      </c>
      <c r="I9458" s="2" t="s">
        <v>19</v>
      </c>
      <c r="J9458" s="2" t="s">
        <v>2527</v>
      </c>
      <c r="K9458" s="2" t="s">
        <v>12757</v>
      </c>
      <c r="L9458" s="2">
        <f t="shared" si="147"/>
        <v>150</v>
      </c>
    </row>
    <row r="9459" spans="1:12" ht="25" customHeight="1">
      <c r="A9459" s="2" t="s">
        <v>12</v>
      </c>
      <c r="B9459" s="2" t="str">
        <f>HYPERLINK("http://www.12365auto.com/news/20200211/418230.shtml","沃尔沃计划与吉利合并 或为创造性IPO融资")</f>
        <v>沃尔沃计划与吉利合并 或为创造性IPO融资</v>
      </c>
      <c r="C9459" s="2" t="s">
        <v>13</v>
      </c>
      <c r="D9459" s="2" t="s">
        <v>12</v>
      </c>
      <c r="E9459" s="2" t="s">
        <v>276</v>
      </c>
      <c r="F9459" s="2" t="str">
        <f>HYPERLINK("http://www.12365auto.com/news/20200211/418230.shtml","http://www.12365auto.com/news/20200211/418230.shtml")</f>
        <v>http://www.12365auto.com/news/20200211/418230.shtml</v>
      </c>
      <c r="G9459" s="2"/>
      <c r="H9459" s="2" t="s">
        <v>12758</v>
      </c>
      <c r="I9459" s="2" t="s">
        <v>15</v>
      </c>
      <c r="J9459" s="2" t="s">
        <v>12</v>
      </c>
      <c r="K9459" s="2" t="s">
        <v>12757</v>
      </c>
      <c r="L9459" s="2">
        <f t="shared" si="147"/>
        <v>150</v>
      </c>
    </row>
    <row r="9460" spans="1:12" ht="25" customHeight="1">
      <c r="A9460" s="2" t="s">
        <v>12</v>
      </c>
      <c r="B9460" s="2" t="str">
        <f>HYPERLINK("http://m.12365auto.com/news/20200211/418229.shtml","日产因零部件短缺将暂停日本多条生产线")</f>
        <v>日产因零部件短缺将暂停日本多条生产线</v>
      </c>
      <c r="C9460" s="2" t="s">
        <v>13</v>
      </c>
      <c r="D9460" s="2" t="s">
        <v>12</v>
      </c>
      <c r="E9460" s="2"/>
      <c r="F9460" s="2" t="str">
        <f>HYPERLINK("http://m.12365auto.com/news/20200211/418229.shtml","http://m.12365auto.com/news/20200211/418229.shtml")</f>
        <v>http://m.12365auto.com/news/20200211/418229.shtml</v>
      </c>
      <c r="G9460" s="2"/>
      <c r="H9460" s="2" t="s">
        <v>12759</v>
      </c>
      <c r="I9460" s="2" t="s">
        <v>19</v>
      </c>
      <c r="J9460" s="2" t="s">
        <v>6010</v>
      </c>
      <c r="K9460" s="2" t="s">
        <v>12760</v>
      </c>
      <c r="L9460" s="2">
        <f t="shared" si="147"/>
        <v>150</v>
      </c>
    </row>
    <row r="9461" spans="1:12" ht="25" customHeight="1">
      <c r="A9461" s="2" t="s">
        <v>12</v>
      </c>
      <c r="B9461" s="2" t="str">
        <f>HYPERLINK("http://www.12365auto.com/news/20200211/418229.shtml","日产因零部件短缺将暂停日本多条生产线")</f>
        <v>日产因零部件短缺将暂停日本多条生产线</v>
      </c>
      <c r="C9461" s="2" t="s">
        <v>13</v>
      </c>
      <c r="D9461" s="2" t="s">
        <v>12</v>
      </c>
      <c r="E9461" s="2" t="s">
        <v>276</v>
      </c>
      <c r="F9461" s="2" t="str">
        <f>HYPERLINK("http://www.12365auto.com/news/20200211/418229.shtml","http://www.12365auto.com/news/20200211/418229.shtml")</f>
        <v>http://www.12365auto.com/news/20200211/418229.shtml</v>
      </c>
      <c r="G9461" s="2"/>
      <c r="H9461" s="2" t="s">
        <v>12761</v>
      </c>
      <c r="I9461" s="2" t="s">
        <v>15</v>
      </c>
      <c r="J9461" s="2" t="s">
        <v>12</v>
      </c>
      <c r="K9461" s="2" t="s">
        <v>12760</v>
      </c>
      <c r="L9461" s="2">
        <f t="shared" si="147"/>
        <v>150</v>
      </c>
    </row>
    <row r="9462" spans="1:12" ht="25" customHeight="1">
      <c r="A9462" s="2" t="s">
        <v>12</v>
      </c>
      <c r="B9462" s="2" t="str">
        <f>HYPERLINK("http://m.12365auto.com/xcdg/20200211/418228.shtml","大众高性能纯电动车假想图曝光 匹配四驱")</f>
        <v>大众高性能纯电动车假想图曝光 匹配四驱</v>
      </c>
      <c r="C9462" s="2" t="s">
        <v>13</v>
      </c>
      <c r="D9462" s="2" t="s">
        <v>12</v>
      </c>
      <c r="E9462" s="2"/>
      <c r="F9462" s="2" t="str">
        <f>HYPERLINK("http://m.12365auto.com/xcdg/20200211/418228.shtml","http://m.12365auto.com/xcdg/20200211/418228.shtml")</f>
        <v>http://m.12365auto.com/xcdg/20200211/418228.shtml</v>
      </c>
      <c r="G9462" s="2"/>
      <c r="H9462" s="2" t="s">
        <v>12000</v>
      </c>
      <c r="I9462" s="2" t="s">
        <v>19</v>
      </c>
      <c r="J9462" s="2" t="s">
        <v>1105</v>
      </c>
      <c r="K9462" s="2" t="s">
        <v>12762</v>
      </c>
      <c r="L9462" s="2">
        <f t="shared" si="147"/>
        <v>150</v>
      </c>
    </row>
    <row r="9463" spans="1:12" ht="25" customHeight="1">
      <c r="A9463" s="2" t="s">
        <v>12</v>
      </c>
      <c r="B9463" s="2" t="str">
        <f>HYPERLINK("http://www.12365auto.com/xcdg/20200211/418228.shtml","大众高性能纯电动车假想图曝光 匹配四驱")</f>
        <v>大众高性能纯电动车假想图曝光 匹配四驱</v>
      </c>
      <c r="C9463" s="2" t="s">
        <v>13</v>
      </c>
      <c r="D9463" s="2" t="s">
        <v>12</v>
      </c>
      <c r="E9463" s="2" t="s">
        <v>216</v>
      </c>
      <c r="F9463" s="2" t="str">
        <f>HYPERLINK("http://www.12365auto.com/xcdg/20200211/418228.shtml","http://www.12365auto.com/xcdg/20200211/418228.shtml")</f>
        <v>http://www.12365auto.com/xcdg/20200211/418228.shtml</v>
      </c>
      <c r="G9463" s="2"/>
      <c r="H9463" s="2" t="s">
        <v>11998</v>
      </c>
      <c r="I9463" s="2" t="s">
        <v>15</v>
      </c>
      <c r="J9463" s="2" t="s">
        <v>12</v>
      </c>
      <c r="K9463" s="2" t="s">
        <v>12762</v>
      </c>
      <c r="L9463" s="2">
        <f t="shared" si="147"/>
        <v>150</v>
      </c>
    </row>
    <row r="9464" spans="1:12" ht="25" customHeight="1">
      <c r="A9464" s="2" t="s">
        <v>12</v>
      </c>
      <c r="B9464" s="2" t="str">
        <f>HYPERLINK("http://bbs.12365auto.com/postcontent.aspx?tID=193779","下一代汽车技术中这四项最实用且关系车主的安全")</f>
        <v>下一代汽车技术中这四项最实用且关系车主的安全</v>
      </c>
      <c r="C9464" s="2" t="s">
        <v>13</v>
      </c>
      <c r="D9464" s="2" t="s">
        <v>12</v>
      </c>
      <c r="E9464" s="2" t="s">
        <v>28</v>
      </c>
      <c r="F9464" s="2" t="str">
        <f>HYPERLINK("http://bbs.12365auto.com/postcontent.aspx?tID=193779","http://bbs.12365auto.com/postcontent.aspx?tID=193779")</f>
        <v>http://bbs.12365auto.com/postcontent.aspx?tID=193779</v>
      </c>
      <c r="G9464" s="2"/>
      <c r="H9464" s="2" t="s">
        <v>12763</v>
      </c>
      <c r="I9464" s="2" t="s">
        <v>15</v>
      </c>
      <c r="J9464" s="2" t="s">
        <v>3295</v>
      </c>
      <c r="K9464" s="2" t="s">
        <v>12762</v>
      </c>
      <c r="L9464" s="2">
        <f t="shared" si="147"/>
        <v>150</v>
      </c>
    </row>
    <row r="9465" spans="1:12" ht="25" customHeight="1">
      <c r="A9465" s="2" t="s">
        <v>12</v>
      </c>
      <c r="B9465" s="2" t="str">
        <f>HYPERLINK("http://bbs.12365auto.com/postcontent.aspx?tID=193777","从车钥匙存放位置 看你是哪个年代的车主")</f>
        <v>从车钥匙存放位置 看你是哪个年代的车主</v>
      </c>
      <c r="C9465" s="2" t="s">
        <v>13</v>
      </c>
      <c r="D9465" s="2" t="s">
        <v>12</v>
      </c>
      <c r="E9465" s="2" t="s">
        <v>28</v>
      </c>
      <c r="F9465" s="2" t="str">
        <f>HYPERLINK("http://bbs.12365auto.com/postcontent.aspx?tID=193777","http://bbs.12365auto.com/postcontent.aspx?tID=193777")</f>
        <v>http://bbs.12365auto.com/postcontent.aspx?tID=193777</v>
      </c>
      <c r="G9465" s="2"/>
      <c r="H9465" s="2" t="s">
        <v>12764</v>
      </c>
      <c r="I9465" s="2" t="s">
        <v>15</v>
      </c>
      <c r="J9465" s="2" t="s">
        <v>3295</v>
      </c>
      <c r="K9465" s="2" t="s">
        <v>12765</v>
      </c>
      <c r="L9465" s="2">
        <f t="shared" si="147"/>
        <v>150</v>
      </c>
    </row>
    <row r="9466" spans="1:12" ht="25" customHeight="1">
      <c r="A9466" s="2" t="s">
        <v>12</v>
      </c>
      <c r="B9466" s="2" t="str">
        <f>HYPERLINK("http://m.12365auto.com/news/20200211/418227.shtml","对斯巴鲁出资比例20% 斯巴鲁成丰田子公司")</f>
        <v>对斯巴鲁出资比例20% 斯巴鲁成丰田子公司</v>
      </c>
      <c r="C9466" s="2" t="s">
        <v>13</v>
      </c>
      <c r="D9466" s="2" t="s">
        <v>12</v>
      </c>
      <c r="E9466" s="2"/>
      <c r="F9466" s="2" t="str">
        <f>HYPERLINK("http://m.12365auto.com/news/20200211/418227.shtml","http://m.12365auto.com/news/20200211/418227.shtml")</f>
        <v>http://m.12365auto.com/news/20200211/418227.shtml</v>
      </c>
      <c r="G9466" s="2"/>
      <c r="H9466" s="2" t="s">
        <v>12766</v>
      </c>
      <c r="I9466" s="2" t="s">
        <v>19</v>
      </c>
      <c r="J9466" s="2" t="s">
        <v>5854</v>
      </c>
      <c r="K9466" s="2" t="s">
        <v>12765</v>
      </c>
      <c r="L9466" s="2">
        <f t="shared" si="147"/>
        <v>150</v>
      </c>
    </row>
    <row r="9467" spans="1:12" ht="25" customHeight="1">
      <c r="A9467" s="2" t="s">
        <v>12</v>
      </c>
      <c r="B9467" s="2" t="str">
        <f>HYPERLINK("http://www.12365auto.com/news/20200211/418227.shtml","对斯巴鲁出资比例20% 斯巴鲁成丰田子公司")</f>
        <v>对斯巴鲁出资比例20% 斯巴鲁成丰田子公司</v>
      </c>
      <c r="C9467" s="2" t="s">
        <v>13</v>
      </c>
      <c r="D9467" s="2" t="s">
        <v>12</v>
      </c>
      <c r="E9467" s="2" t="s">
        <v>276</v>
      </c>
      <c r="F9467" s="2" t="str">
        <f>HYPERLINK("http://www.12365auto.com/news/20200211/418227.shtml","http://www.12365auto.com/news/20200211/418227.shtml")</f>
        <v>http://www.12365auto.com/news/20200211/418227.shtml</v>
      </c>
      <c r="G9467" s="2"/>
      <c r="H9467" s="2" t="s">
        <v>12767</v>
      </c>
      <c r="I9467" s="2" t="s">
        <v>15</v>
      </c>
      <c r="J9467" s="2" t="s">
        <v>12</v>
      </c>
      <c r="K9467" s="2" t="s">
        <v>12765</v>
      </c>
      <c r="L9467" s="2">
        <f t="shared" si="147"/>
        <v>150</v>
      </c>
    </row>
    <row r="9468" spans="1:12" ht="25" customHeight="1">
      <c r="A9468" s="2" t="s">
        <v>12</v>
      </c>
      <c r="B9468" s="2" t="str">
        <f>HYPERLINK("http://bbs.12365auto.com/postcontent.aspx?tID=193778","这些汽车不常知的汽车安全装置 快来了解一下")</f>
        <v>这些汽车不常知的汽车安全装置 快来了解一下</v>
      </c>
      <c r="C9468" s="2" t="s">
        <v>13</v>
      </c>
      <c r="D9468" s="2" t="s">
        <v>12</v>
      </c>
      <c r="E9468" s="2" t="s">
        <v>28</v>
      </c>
      <c r="F9468" s="2" t="str">
        <f>HYPERLINK("http://bbs.12365auto.com/postcontent.aspx?tID=193778","http://bbs.12365auto.com/postcontent.aspx?tID=193778")</f>
        <v>http://bbs.12365auto.com/postcontent.aspx?tID=193778</v>
      </c>
      <c r="G9468" s="2"/>
      <c r="H9468" s="2" t="s">
        <v>12768</v>
      </c>
      <c r="I9468" s="2" t="s">
        <v>15</v>
      </c>
      <c r="J9468" s="2" t="s">
        <v>3295</v>
      </c>
      <c r="K9468" s="2" t="s">
        <v>12765</v>
      </c>
      <c r="L9468" s="2">
        <f t="shared" si="147"/>
        <v>150</v>
      </c>
    </row>
    <row r="9469" spans="1:12" ht="25" customHeight="1">
      <c r="A9469" s="2" t="s">
        <v>12</v>
      </c>
      <c r="B9469" s="2" t="str">
        <f>HYPERLINK("http://bbs.12365auto.com/postcontent.aspx?tID=193775","多款10万级销量王要回归 这些家用车要重回四缸机")</f>
        <v>多款10万级销量王要回归 这些家用车要重回四缸机</v>
      </c>
      <c r="C9469" s="2" t="s">
        <v>13</v>
      </c>
      <c r="D9469" s="2" t="s">
        <v>12</v>
      </c>
      <c r="E9469" s="2" t="s">
        <v>28</v>
      </c>
      <c r="F9469" s="2" t="str">
        <f>HYPERLINK("http://bbs.12365auto.com/postcontent.aspx?tID=193775","http://bbs.12365auto.com/postcontent.aspx?tID=193775")</f>
        <v>http://bbs.12365auto.com/postcontent.aspx?tID=193775</v>
      </c>
      <c r="G9469" s="2"/>
      <c r="H9469" s="2" t="s">
        <v>12769</v>
      </c>
      <c r="I9469" s="2" t="s">
        <v>15</v>
      </c>
      <c r="J9469" s="2" t="s">
        <v>3295</v>
      </c>
      <c r="K9469" s="2" t="s">
        <v>12770</v>
      </c>
      <c r="L9469" s="2">
        <f t="shared" si="147"/>
        <v>150</v>
      </c>
    </row>
    <row r="9470" spans="1:12" ht="25" customHeight="1">
      <c r="A9470" s="2" t="s">
        <v>12</v>
      </c>
      <c r="B9470" s="2" t="str">
        <f>HYPERLINK("http://bbs.12365auto.com/postcontent.aspx?tID=193776","什么是汽车“电子差速锁” 主要有哪些功能")</f>
        <v>什么是汽车“电子差速锁” 主要有哪些功能</v>
      </c>
      <c r="C9470" s="2" t="s">
        <v>13</v>
      </c>
      <c r="D9470" s="2" t="s">
        <v>12</v>
      </c>
      <c r="E9470" s="2" t="s">
        <v>28</v>
      </c>
      <c r="F9470" s="2" t="str">
        <f>HYPERLINK("http://bbs.12365auto.com/postcontent.aspx?tID=193776","http://bbs.12365auto.com/postcontent.aspx?tID=193776")</f>
        <v>http://bbs.12365auto.com/postcontent.aspx?tID=193776</v>
      </c>
      <c r="G9470" s="2"/>
      <c r="H9470" s="2" t="s">
        <v>12771</v>
      </c>
      <c r="I9470" s="2" t="s">
        <v>15</v>
      </c>
      <c r="J9470" s="2" t="s">
        <v>3295</v>
      </c>
      <c r="K9470" s="2" t="s">
        <v>12770</v>
      </c>
      <c r="L9470" s="2">
        <f t="shared" si="147"/>
        <v>150</v>
      </c>
    </row>
    <row r="9471" spans="1:12" ht="25" customHeight="1">
      <c r="A9471" s="2" t="s">
        <v>12</v>
      </c>
      <c r="B9471" s="2" t="str">
        <f>HYPERLINK("http://bbs.12365auto.com/postcontent.aspx?tID=193774","排量越大越费油吗 我看不一定")</f>
        <v>排量越大越费油吗 我看不一定</v>
      </c>
      <c r="C9471" s="2" t="s">
        <v>13</v>
      </c>
      <c r="D9471" s="2" t="s">
        <v>12</v>
      </c>
      <c r="E9471" s="2" t="s">
        <v>28</v>
      </c>
      <c r="F9471" s="2" t="str">
        <f>HYPERLINK("http://bbs.12365auto.com/postcontent.aspx?tID=193774","http://bbs.12365auto.com/postcontent.aspx?tID=193774")</f>
        <v>http://bbs.12365auto.com/postcontent.aspx?tID=193774</v>
      </c>
      <c r="G9471" s="2"/>
      <c r="H9471" s="2" t="s">
        <v>12772</v>
      </c>
      <c r="I9471" s="2" t="s">
        <v>15</v>
      </c>
      <c r="J9471" s="2" t="s">
        <v>3295</v>
      </c>
      <c r="K9471" s="2" t="s">
        <v>12773</v>
      </c>
      <c r="L9471" s="2">
        <f t="shared" si="147"/>
        <v>150</v>
      </c>
    </row>
    <row r="9472" spans="1:12" ht="25" customHeight="1">
      <c r="A9472" s="2" t="s">
        <v>12</v>
      </c>
      <c r="B9472" s="2" t="str">
        <f>HYPERLINK("http://bbs.12365auto.com/postcontent.aspx?tID=193772","这些自带N95的车型了解一下")</f>
        <v>这些自带N95的车型了解一下</v>
      </c>
      <c r="C9472" s="2" t="s">
        <v>13</v>
      </c>
      <c r="D9472" s="2" t="s">
        <v>12</v>
      </c>
      <c r="E9472" s="2" t="s">
        <v>28</v>
      </c>
      <c r="F9472" s="2" t="str">
        <f>HYPERLINK("http://bbs.12365auto.com/postcontent.aspx?tID=193772","http://bbs.12365auto.com/postcontent.aspx?tID=193772")</f>
        <v>http://bbs.12365auto.com/postcontent.aspx?tID=193772</v>
      </c>
      <c r="G9472" s="2"/>
      <c r="H9472" s="2" t="s">
        <v>12774</v>
      </c>
      <c r="I9472" s="2" t="s">
        <v>15</v>
      </c>
      <c r="J9472" s="2" t="s">
        <v>3295</v>
      </c>
      <c r="K9472" s="2" t="s">
        <v>12775</v>
      </c>
      <c r="L9472" s="2">
        <f t="shared" si="147"/>
        <v>150</v>
      </c>
    </row>
    <row r="9473" spans="1:12" ht="25" customHeight="1">
      <c r="A9473" s="2" t="s">
        <v>12</v>
      </c>
      <c r="B9473" s="2" t="str">
        <f>HYPERLINK("http://www.12365auto.com/news/20200211/418226.shtml","取消挡杆/方向盘带触控屏 特斯拉曝新专利")</f>
        <v>取消挡杆/方向盘带触控屏 特斯拉曝新专利</v>
      </c>
      <c r="C9473" s="2" t="s">
        <v>13</v>
      </c>
      <c r="D9473" s="2" t="s">
        <v>12</v>
      </c>
      <c r="E9473" s="2" t="s">
        <v>282</v>
      </c>
      <c r="F9473" s="2" t="str">
        <f>HYPERLINK("http://www.12365auto.com/news/20200211/418226.shtml","http://www.12365auto.com/news/20200211/418226.shtml")</f>
        <v>http://www.12365auto.com/news/20200211/418226.shtml</v>
      </c>
      <c r="G9473" s="2"/>
      <c r="H9473" s="2" t="s">
        <v>12776</v>
      </c>
      <c r="I9473" s="2" t="s">
        <v>19</v>
      </c>
      <c r="J9473" s="2" t="s">
        <v>12</v>
      </c>
      <c r="K9473" s="2" t="s">
        <v>12775</v>
      </c>
      <c r="L9473" s="2">
        <f t="shared" si="147"/>
        <v>150</v>
      </c>
    </row>
    <row r="9474" spans="1:12" ht="25" customHeight="1">
      <c r="A9474" s="2" t="s">
        <v>12</v>
      </c>
      <c r="B9474" s="2" t="str">
        <f>HYPERLINK("http://bbs.12365auto.com/postcontent.aspx?tID=193773","汽车是如何成为下一部智能手机的")</f>
        <v>汽车是如何成为下一部智能手机的</v>
      </c>
      <c r="C9474" s="2" t="s">
        <v>13</v>
      </c>
      <c r="D9474" s="2" t="s">
        <v>12</v>
      </c>
      <c r="E9474" s="2" t="s">
        <v>28</v>
      </c>
      <c r="F9474" s="2" t="str">
        <f>HYPERLINK("http://bbs.12365auto.com/postcontent.aspx?tID=193773","http://bbs.12365auto.com/postcontent.aspx?tID=193773")</f>
        <v>http://bbs.12365auto.com/postcontent.aspx?tID=193773</v>
      </c>
      <c r="G9474" s="2"/>
      <c r="H9474" s="2" t="s">
        <v>12777</v>
      </c>
      <c r="I9474" s="2" t="s">
        <v>15</v>
      </c>
      <c r="J9474" s="2" t="s">
        <v>3295</v>
      </c>
      <c r="K9474" s="2" t="s">
        <v>12775</v>
      </c>
      <c r="L9474" s="2">
        <f t="shared" si="147"/>
        <v>150</v>
      </c>
    </row>
    <row r="9475" spans="1:12" ht="25" customHeight="1">
      <c r="A9475" s="2" t="s">
        <v>12</v>
      </c>
      <c r="B9475" s="2" t="str">
        <f>HYPERLINK("http://m.12365auto.com/news/20200211/418226.shtml","取消挡杆/方向盘带触控屏 特斯拉曝新专利")</f>
        <v>取消挡杆/方向盘带触控屏 特斯拉曝新专利</v>
      </c>
      <c r="C9475" s="2" t="s">
        <v>13</v>
      </c>
      <c r="D9475" s="2" t="s">
        <v>12</v>
      </c>
      <c r="E9475" s="2"/>
      <c r="F9475" s="2" t="str">
        <f>HYPERLINK("http://m.12365auto.com/news/20200211/418226.shtml","http://m.12365auto.com/news/20200211/418226.shtml")</f>
        <v>http://m.12365auto.com/news/20200211/418226.shtml</v>
      </c>
      <c r="G9475" s="2"/>
      <c r="H9475" s="2" t="s">
        <v>12778</v>
      </c>
      <c r="I9475" s="2" t="s">
        <v>19</v>
      </c>
      <c r="J9475" s="2" t="s">
        <v>1117</v>
      </c>
      <c r="K9475" s="2" t="s">
        <v>12775</v>
      </c>
      <c r="L9475" s="2">
        <f t="shared" ref="L9475:L9538" si="148">LEN(H9475)</f>
        <v>150</v>
      </c>
    </row>
    <row r="9476" spans="1:12" ht="25" customHeight="1">
      <c r="A9476" s="2" t="s">
        <v>12</v>
      </c>
      <c r="B9476" s="2" t="str">
        <f>HYPERLINK("http://www.12365auto.com/zlts/20200211/446849.shtml","一汽大众宝来发动机机油消耗量太大")</f>
        <v>一汽大众宝来发动机机油消耗量太大</v>
      </c>
      <c r="C9476" s="2" t="s">
        <v>13</v>
      </c>
      <c r="D9476" s="2" t="s">
        <v>12</v>
      </c>
      <c r="E9476" s="2" t="s">
        <v>17</v>
      </c>
      <c r="F9476" s="2" t="str">
        <f>HYPERLINK("http://www.12365auto.com/zlts/20200211/446849.shtml","http://www.12365auto.com/zlts/20200211/446849.shtml")</f>
        <v>http://www.12365auto.com/zlts/20200211/446849.shtml</v>
      </c>
      <c r="G9476" s="2"/>
      <c r="H9476" s="2" t="s">
        <v>12779</v>
      </c>
      <c r="I9476" s="2" t="s">
        <v>15</v>
      </c>
      <c r="J9476" s="2" t="s">
        <v>12</v>
      </c>
      <c r="K9476" s="2" t="s">
        <v>12775</v>
      </c>
      <c r="L9476" s="2">
        <f t="shared" si="148"/>
        <v>150</v>
      </c>
    </row>
    <row r="9477" spans="1:12" ht="25" customHeight="1">
      <c r="A9477" s="2" t="s">
        <v>12</v>
      </c>
      <c r="B9477" s="2" t="str">
        <f>HYPERLINK("http://bbs.12365auto.com/postcontent.aspx?tID=193771","2020年“加价”最高的豪华车排行榜")</f>
        <v>2020年“加价”最高的豪华车排行榜</v>
      </c>
      <c r="C9477" s="2" t="s">
        <v>13</v>
      </c>
      <c r="D9477" s="2" t="s">
        <v>12</v>
      </c>
      <c r="E9477" s="2" t="s">
        <v>28</v>
      </c>
      <c r="F9477" s="2" t="str">
        <f>HYPERLINK("http://bbs.12365auto.com/postcontent.aspx?tID=193771","http://bbs.12365auto.com/postcontent.aspx?tID=193771")</f>
        <v>http://bbs.12365auto.com/postcontent.aspx?tID=193771</v>
      </c>
      <c r="G9477" s="2"/>
      <c r="H9477" s="2" t="s">
        <v>12780</v>
      </c>
      <c r="I9477" s="2" t="s">
        <v>15</v>
      </c>
      <c r="J9477" s="2" t="s">
        <v>3295</v>
      </c>
      <c r="K9477" s="2" t="s">
        <v>12781</v>
      </c>
      <c r="L9477" s="2">
        <f t="shared" si="148"/>
        <v>150</v>
      </c>
    </row>
    <row r="9478" spans="1:12" ht="25" customHeight="1">
      <c r="A9478" s="2" t="s">
        <v>12</v>
      </c>
      <c r="B9478" s="2" t="str">
        <f>HYPERLINK("http://www.12365auto.com/news/20200211/418225.shtml","同舟共济 一汽-大众五大举措助力战“疫”")</f>
        <v>同舟共济 一汽-大众五大举措助力战“疫”</v>
      </c>
      <c r="C9478" s="2" t="s">
        <v>13</v>
      </c>
      <c r="D9478" s="2" t="s">
        <v>12</v>
      </c>
      <c r="E9478" s="2" t="s">
        <v>282</v>
      </c>
      <c r="F9478" s="2" t="str">
        <f>HYPERLINK("http://www.12365auto.com/news/20200211/418225.shtml","http://www.12365auto.com/news/20200211/418225.shtml")</f>
        <v>http://www.12365auto.com/news/20200211/418225.shtml</v>
      </c>
      <c r="G9478" s="2"/>
      <c r="H9478" s="2" t="s">
        <v>12782</v>
      </c>
      <c r="I9478" s="2" t="s">
        <v>19</v>
      </c>
      <c r="J9478" s="2" t="s">
        <v>12</v>
      </c>
      <c r="K9478" s="2" t="s">
        <v>12781</v>
      </c>
      <c r="L9478" s="2">
        <f t="shared" si="148"/>
        <v>150</v>
      </c>
    </row>
    <row r="9479" spans="1:12" ht="25" customHeight="1">
      <c r="A9479" s="2" t="s">
        <v>12</v>
      </c>
      <c r="B9479" s="2" t="str">
        <f>HYPERLINK("http://m.12365auto.com/news/20200211/418225.shtml","同舟共济 一汽-大众五大举措助力战“疫”")</f>
        <v>同舟共济 一汽-大众五大举措助力战“疫”</v>
      </c>
      <c r="C9479" s="2" t="s">
        <v>13</v>
      </c>
      <c r="D9479" s="2" t="s">
        <v>12</v>
      </c>
      <c r="E9479" s="2"/>
      <c r="F9479" s="2" t="str">
        <f>HYPERLINK("http://m.12365auto.com/news/20200211/418225.shtml","http://m.12365auto.com/news/20200211/418225.shtml")</f>
        <v>http://m.12365auto.com/news/20200211/418225.shtml</v>
      </c>
      <c r="G9479" s="2"/>
      <c r="H9479" s="2" t="s">
        <v>12783</v>
      </c>
      <c r="I9479" s="2" t="s">
        <v>19</v>
      </c>
      <c r="J9479" s="2" t="s">
        <v>1923</v>
      </c>
      <c r="K9479" s="2" t="s">
        <v>12781</v>
      </c>
      <c r="L9479" s="2">
        <f t="shared" si="148"/>
        <v>150</v>
      </c>
    </row>
    <row r="9480" spans="1:12" ht="25" customHeight="1">
      <c r="A9480" s="2" t="s">
        <v>12</v>
      </c>
      <c r="B9480" s="2" t="str">
        <f>HYPERLINK("http://bbs.12365auto.com/postcontent.aspx?tID=193770","汽车养护误区你知道吗")</f>
        <v>汽车养护误区你知道吗</v>
      </c>
      <c r="C9480" s="2" t="s">
        <v>13</v>
      </c>
      <c r="D9480" s="2" t="s">
        <v>12</v>
      </c>
      <c r="E9480" s="2" t="s">
        <v>28</v>
      </c>
      <c r="F9480" s="2" t="str">
        <f>HYPERLINK("http://bbs.12365auto.com/postcontent.aspx?tID=193770","http://bbs.12365auto.com/postcontent.aspx?tID=193770")</f>
        <v>http://bbs.12365auto.com/postcontent.aspx?tID=193770</v>
      </c>
      <c r="G9480" s="2"/>
      <c r="H9480" s="2" t="s">
        <v>12784</v>
      </c>
      <c r="I9480" s="2" t="s">
        <v>15</v>
      </c>
      <c r="J9480" s="2" t="s">
        <v>3295</v>
      </c>
      <c r="K9480" s="2" t="s">
        <v>12785</v>
      </c>
      <c r="L9480" s="2">
        <f t="shared" si="148"/>
        <v>150</v>
      </c>
    </row>
    <row r="9481" spans="1:12" ht="25" customHeight="1">
      <c r="A9481" s="2" t="s">
        <v>12</v>
      </c>
      <c r="B9481" s="2" t="str">
        <f>HYPERLINK("http://m.12365auto.com/xcdg/20200211/418224.shtml","原汁原味忠于运动 宝马X3亮点解析")</f>
        <v>原汁原味忠于运动 宝马X3亮点解析</v>
      </c>
      <c r="C9481" s="2" t="s">
        <v>13</v>
      </c>
      <c r="D9481" s="2" t="s">
        <v>12</v>
      </c>
      <c r="E9481" s="2"/>
      <c r="F9481" s="2" t="str">
        <f>HYPERLINK("http://m.12365auto.com/xcdg/20200211/418224.shtml","http://m.12365auto.com/xcdg/20200211/418224.shtml")</f>
        <v>http://m.12365auto.com/xcdg/20200211/418224.shtml</v>
      </c>
      <c r="G9481" s="2"/>
      <c r="H9481" s="2" t="s">
        <v>12786</v>
      </c>
      <c r="I9481" s="2" t="s">
        <v>19</v>
      </c>
      <c r="J9481" s="2" t="s">
        <v>1076</v>
      </c>
      <c r="K9481" s="2" t="s">
        <v>12787</v>
      </c>
      <c r="L9481" s="2">
        <f t="shared" si="148"/>
        <v>150</v>
      </c>
    </row>
    <row r="9482" spans="1:12" ht="25" customHeight="1">
      <c r="A9482" s="2" t="s">
        <v>12</v>
      </c>
      <c r="B9482" s="2" t="str">
        <f>HYPERLINK("http://m.12365auto.com/xcdg/20200211/418223.shtml","各方面表现都挺好 INSPIRE差个中文名")</f>
        <v>各方面表现都挺好 INSPIRE差个中文名</v>
      </c>
      <c r="C9482" s="2" t="s">
        <v>13</v>
      </c>
      <c r="D9482" s="2" t="s">
        <v>12</v>
      </c>
      <c r="E9482" s="2"/>
      <c r="F9482" s="2" t="str">
        <f>HYPERLINK("http://m.12365auto.com/xcdg/20200211/418223.shtml","http://m.12365auto.com/xcdg/20200211/418223.shtml")</f>
        <v>http://m.12365auto.com/xcdg/20200211/418223.shtml</v>
      </c>
      <c r="G9482" s="2"/>
      <c r="H9482" s="2" t="s">
        <v>12788</v>
      </c>
      <c r="I9482" s="2" t="s">
        <v>19</v>
      </c>
      <c r="J9482" s="2" t="s">
        <v>2572</v>
      </c>
      <c r="K9482" s="2" t="s">
        <v>12789</v>
      </c>
      <c r="L9482" s="2">
        <f t="shared" si="148"/>
        <v>150</v>
      </c>
    </row>
    <row r="9483" spans="1:12" ht="25" customHeight="1">
      <c r="A9483" s="2" t="s">
        <v>12</v>
      </c>
      <c r="B9483" s="2" t="str">
        <f>HYPERLINK("http://www.12365auto.com/news/20200211/418222.shtml","疫情影响少出门 怎样处理长时间不开的车")</f>
        <v>疫情影响少出门 怎样处理长时间不开的车</v>
      </c>
      <c r="C9483" s="2" t="s">
        <v>13</v>
      </c>
      <c r="D9483" s="2" t="s">
        <v>12</v>
      </c>
      <c r="E9483" s="2" t="s">
        <v>372</v>
      </c>
      <c r="F9483" s="2" t="str">
        <f>HYPERLINK("http://www.12365auto.com/news/20200211/418222.shtml","http://www.12365auto.com/news/20200211/418222.shtml")</f>
        <v>http://www.12365auto.com/news/20200211/418222.shtml</v>
      </c>
      <c r="G9483" s="2"/>
      <c r="H9483" s="2" t="s">
        <v>12790</v>
      </c>
      <c r="I9483" s="2" t="s">
        <v>15</v>
      </c>
      <c r="J9483" s="2" t="s">
        <v>12</v>
      </c>
      <c r="K9483" s="2" t="s">
        <v>12791</v>
      </c>
      <c r="L9483" s="2">
        <f t="shared" si="148"/>
        <v>150</v>
      </c>
    </row>
    <row r="9484" spans="1:12" ht="25" customHeight="1">
      <c r="A9484" s="2" t="s">
        <v>12</v>
      </c>
      <c r="B9484" s="2" t="str">
        <f>HYPERLINK("http://m.12365auto.com/news/20200211/418222.shtml","疫情影响少出门 怎样处理长时间不开的车")</f>
        <v>疫情影响少出门 怎样处理长时间不开的车</v>
      </c>
      <c r="C9484" s="2" t="s">
        <v>13</v>
      </c>
      <c r="D9484" s="2" t="s">
        <v>12</v>
      </c>
      <c r="E9484" s="2"/>
      <c r="F9484" s="2" t="str">
        <f>HYPERLINK("http://m.12365auto.com/news/20200211/418222.shtml","http://m.12365auto.com/news/20200211/418222.shtml")</f>
        <v>http://m.12365auto.com/news/20200211/418222.shtml</v>
      </c>
      <c r="G9484" s="2"/>
      <c r="H9484" s="2" t="s">
        <v>12792</v>
      </c>
      <c r="I9484" s="2" t="s">
        <v>19</v>
      </c>
      <c r="J9484" s="2" t="s">
        <v>1257</v>
      </c>
      <c r="K9484" s="2" t="s">
        <v>12791</v>
      </c>
      <c r="L9484" s="2">
        <f t="shared" si="148"/>
        <v>150</v>
      </c>
    </row>
    <row r="9485" spans="1:12" ht="25" customHeight="1">
      <c r="A9485" s="2" t="s">
        <v>12</v>
      </c>
      <c r="B9485" s="2" t="str">
        <f>HYPERLINK("http://bbs.12365auto.com/postcontent.aspx?tId=193769","整车进口仅20万 丰田控股中级轿跑 标配全时四驱 奈何无人问津")</f>
        <v>整车进口仅20万 丰田控股中级轿跑 标配全时四驱 奈何无人问津</v>
      </c>
      <c r="C9485" s="2" t="s">
        <v>13</v>
      </c>
      <c r="D9485" s="2" t="s">
        <v>12</v>
      </c>
      <c r="E9485" s="2" t="s">
        <v>210</v>
      </c>
      <c r="F9485" s="2" t="str">
        <f>HYPERLINK("http://bbs.12365auto.com/postcontent.aspx?tId=193769","http://bbs.12365auto.com/postcontent.aspx?tId=193769")</f>
        <v>http://bbs.12365auto.com/postcontent.aspx?tId=193769</v>
      </c>
      <c r="G9485" s="2"/>
      <c r="H9485" s="2" t="s">
        <v>12793</v>
      </c>
      <c r="I9485" s="2" t="s">
        <v>15</v>
      </c>
      <c r="J9485" s="2" t="s">
        <v>7701</v>
      </c>
      <c r="K9485" s="2" t="s">
        <v>12794</v>
      </c>
      <c r="L9485" s="2">
        <f t="shared" si="148"/>
        <v>150</v>
      </c>
    </row>
    <row r="9486" spans="1:12" ht="25" customHeight="1">
      <c r="A9486" s="2" t="s">
        <v>12</v>
      </c>
      <c r="B9486" s="2" t="str">
        <f>HYPERLINK("http://m.12365auto.com/bbs/postcontent.aspx?tID=193769","整车进口仅20万 丰田控股中级轿跑 标配全时四驱 奈何无人问津")</f>
        <v>整车进口仅20万 丰田控股中级轿跑 标配全时四驱 奈何无人问津</v>
      </c>
      <c r="C9486" s="2" t="s">
        <v>13</v>
      </c>
      <c r="D9486" s="2" t="s">
        <v>23</v>
      </c>
      <c r="E9486" s="2"/>
      <c r="F9486" s="2" t="str">
        <f>HYPERLINK("http://m.12365auto.com/bbs/postcontent.aspx?tID=193769","http://m.12365auto.com/bbs/postcontent.aspx?tID=193769")</f>
        <v>http://m.12365auto.com/bbs/postcontent.aspx?tID=193769</v>
      </c>
      <c r="G9486" s="2"/>
      <c r="H9486" s="2" t="s">
        <v>12793</v>
      </c>
      <c r="I9486" s="2" t="s">
        <v>15</v>
      </c>
      <c r="J9486" s="2" t="s">
        <v>7701</v>
      </c>
      <c r="K9486" s="2" t="s">
        <v>12794</v>
      </c>
      <c r="L9486" s="2">
        <f t="shared" si="148"/>
        <v>150</v>
      </c>
    </row>
    <row r="9487" spans="1:12" ht="25" customHeight="1">
      <c r="A9487" s="2" t="s">
        <v>12</v>
      </c>
      <c r="B9487" s="2" t="str">
        <f>HYPERLINK("http://bbs.12365auto.com/postcontent.aspx?tID=193769","整车进口仅20万 丰田控股中级轿跑 标配全时四驱 奈何无人问津")</f>
        <v>整车进口仅20万 丰田控股中级轿跑 标配全时四驱 奈何无人问津</v>
      </c>
      <c r="C9487" s="2" t="s">
        <v>13</v>
      </c>
      <c r="D9487" s="2" t="s">
        <v>12</v>
      </c>
      <c r="E9487" s="2" t="s">
        <v>214</v>
      </c>
      <c r="F9487" s="2" t="str">
        <f>HYPERLINK("http://bbs.12365auto.com/postcontent.aspx?tID=193769","http://bbs.12365auto.com/postcontent.aspx?tID=193769")</f>
        <v>http://bbs.12365auto.com/postcontent.aspx?tID=193769</v>
      </c>
      <c r="G9487" s="2"/>
      <c r="H9487" s="2" t="s">
        <v>12795</v>
      </c>
      <c r="I9487" s="2" t="s">
        <v>15</v>
      </c>
      <c r="J9487" s="2" t="s">
        <v>7701</v>
      </c>
      <c r="K9487" s="2" t="s">
        <v>12794</v>
      </c>
      <c r="L9487" s="2">
        <f t="shared" si="148"/>
        <v>150</v>
      </c>
    </row>
    <row r="9488" spans="1:12" ht="25" customHeight="1">
      <c r="A9488" s="2" t="s">
        <v>12</v>
      </c>
      <c r="B9488" s="2" t="str">
        <f>HYPERLINK("http://www.12365auto.com/xcdg/20200211/418221.shtml","宝马年内推16款新车型 5系最值得期待")</f>
        <v>宝马年内推16款新车型 5系最值得期待</v>
      </c>
      <c r="C9488" s="2" t="s">
        <v>13</v>
      </c>
      <c r="D9488" s="2" t="s">
        <v>12</v>
      </c>
      <c r="E9488" s="2" t="s">
        <v>245</v>
      </c>
      <c r="F9488" s="2" t="str">
        <f>HYPERLINK("http://www.12365auto.com/xcdg/20200211/418221.shtml","http://www.12365auto.com/xcdg/20200211/418221.shtml")</f>
        <v>http://www.12365auto.com/xcdg/20200211/418221.shtml</v>
      </c>
      <c r="G9488" s="2"/>
      <c r="H9488" s="2" t="s">
        <v>12796</v>
      </c>
      <c r="I9488" s="2" t="s">
        <v>19</v>
      </c>
      <c r="J9488" s="2" t="s">
        <v>12</v>
      </c>
      <c r="K9488" s="2" t="s">
        <v>12797</v>
      </c>
      <c r="L9488" s="2">
        <f t="shared" si="148"/>
        <v>150</v>
      </c>
    </row>
    <row r="9489" spans="1:12" ht="25" customHeight="1">
      <c r="A9489" s="2" t="s">
        <v>12</v>
      </c>
      <c r="B9489" s="2" t="str">
        <f>HYPERLINK("http://m.12365auto.com/xcdg/20200211/418221.shtml","宝马年内推16款新车型 5系最值得期待")</f>
        <v>宝马年内推16款新车型 5系最值得期待</v>
      </c>
      <c r="C9489" s="2" t="s">
        <v>13</v>
      </c>
      <c r="D9489" s="2" t="s">
        <v>12</v>
      </c>
      <c r="E9489" s="2"/>
      <c r="F9489" s="2" t="str">
        <f>HYPERLINK("http://m.12365auto.com/xcdg/20200211/418221.shtml","http://m.12365auto.com/xcdg/20200211/418221.shtml")</f>
        <v>http://m.12365auto.com/xcdg/20200211/418221.shtml</v>
      </c>
      <c r="G9489" s="2"/>
      <c r="H9489" s="2" t="s">
        <v>12798</v>
      </c>
      <c r="I9489" s="2" t="s">
        <v>19</v>
      </c>
      <c r="J9489" s="2" t="s">
        <v>1266</v>
      </c>
      <c r="K9489" s="2" t="s">
        <v>12797</v>
      </c>
      <c r="L9489" s="2">
        <f t="shared" si="148"/>
        <v>150</v>
      </c>
    </row>
    <row r="9490" spans="1:12" ht="25" customHeight="1">
      <c r="A9490" s="2" t="s">
        <v>12</v>
      </c>
      <c r="B9490" s="2" t="str">
        <f>HYPERLINK("http://www.12365auto.com/xcdg/20200211/418220.shtml","就喜欢大的 全新凯雷德正式发布了")</f>
        <v>就喜欢大的 全新凯雷德正式发布了</v>
      </c>
      <c r="C9490" s="2" t="s">
        <v>13</v>
      </c>
      <c r="D9490" s="2" t="s">
        <v>12</v>
      </c>
      <c r="E9490" s="2" t="s">
        <v>245</v>
      </c>
      <c r="F9490" s="2" t="str">
        <f>HYPERLINK("http://www.12365auto.com/xcdg/20200211/418220.shtml","http://www.12365auto.com/xcdg/20200211/418220.shtml")</f>
        <v>http://www.12365auto.com/xcdg/20200211/418220.shtml</v>
      </c>
      <c r="G9490" s="2"/>
      <c r="H9490" s="2" t="s">
        <v>12799</v>
      </c>
      <c r="I9490" s="2" t="s">
        <v>19</v>
      </c>
      <c r="J9490" s="2" t="s">
        <v>12</v>
      </c>
      <c r="K9490" s="2" t="s">
        <v>12800</v>
      </c>
      <c r="L9490" s="2">
        <f t="shared" si="148"/>
        <v>150</v>
      </c>
    </row>
    <row r="9491" spans="1:12" ht="25" customHeight="1">
      <c r="A9491" s="2" t="s">
        <v>12</v>
      </c>
      <c r="B9491" s="2" t="str">
        <f>HYPERLINK("http://m.12365auto.com/xcdg/20200211/418220.shtml","就喜欢大的 全新凯雷德正式发布了")</f>
        <v>就喜欢大的 全新凯雷德正式发布了</v>
      </c>
      <c r="C9491" s="2" t="s">
        <v>13</v>
      </c>
      <c r="D9491" s="2" t="s">
        <v>12</v>
      </c>
      <c r="E9491" s="2"/>
      <c r="F9491" s="2" t="str">
        <f>HYPERLINK("http://m.12365auto.com/xcdg/20200211/418220.shtml","http://m.12365auto.com/xcdg/20200211/418220.shtml")</f>
        <v>http://m.12365auto.com/xcdg/20200211/418220.shtml</v>
      </c>
      <c r="G9491" s="2"/>
      <c r="H9491" s="2" t="s">
        <v>12801</v>
      </c>
      <c r="I9491" s="2" t="s">
        <v>19</v>
      </c>
      <c r="J9491" s="2" t="s">
        <v>1247</v>
      </c>
      <c r="K9491" s="2" t="s">
        <v>12800</v>
      </c>
      <c r="L9491" s="2">
        <f t="shared" si="148"/>
        <v>150</v>
      </c>
    </row>
    <row r="9492" spans="1:12" ht="25" customHeight="1">
      <c r="A9492" s="2" t="s">
        <v>12</v>
      </c>
      <c r="B9492" s="2" t="str">
        <f>HYPERLINK("http://bbs.12365auto.com/postcontent.aspx?tId=193768","10万买辆奥迪A4L回家过年 为何检测完说这是“假大众”？疑")</f>
        <v>10万买辆奥迪A4L回家过年 为何检测完说这是“假大众”？疑</v>
      </c>
      <c r="C9492" s="2" t="s">
        <v>13</v>
      </c>
      <c r="D9492" s="2" t="s">
        <v>12</v>
      </c>
      <c r="E9492" s="2" t="s">
        <v>210</v>
      </c>
      <c r="F9492" s="2" t="str">
        <f>HYPERLINK("http://bbs.12365auto.com/postcontent.aspx?tId=193768","http://bbs.12365auto.com/postcontent.aspx?tId=193768")</f>
        <v>http://bbs.12365auto.com/postcontent.aspx?tId=193768</v>
      </c>
      <c r="G9492" s="2"/>
      <c r="H9492" s="2" t="s">
        <v>12802</v>
      </c>
      <c r="I9492" s="2" t="s">
        <v>15</v>
      </c>
      <c r="J9492" s="2" t="s">
        <v>7701</v>
      </c>
      <c r="K9492" s="2" t="s">
        <v>12803</v>
      </c>
      <c r="L9492" s="2">
        <f t="shared" si="148"/>
        <v>150</v>
      </c>
    </row>
    <row r="9493" spans="1:12" ht="25" customHeight="1">
      <c r="A9493" s="2" t="s">
        <v>12</v>
      </c>
      <c r="B9493" s="2" t="str">
        <f>HYPERLINK("http://m.12365auto.com/bbs/postcontent.aspx?tID=193768","10万买辆奥迪A4L回家过年 为何检测完说这是“假大众”？疑")</f>
        <v>10万买辆奥迪A4L回家过年 为何检测完说这是“假大众”？疑</v>
      </c>
      <c r="C9493" s="2" t="s">
        <v>13</v>
      </c>
      <c r="D9493" s="2" t="s">
        <v>23</v>
      </c>
      <c r="E9493" s="2"/>
      <c r="F9493" s="2" t="str">
        <f>HYPERLINK("http://m.12365auto.com/bbs/postcontent.aspx?tID=193768","http://m.12365auto.com/bbs/postcontent.aspx?tID=193768")</f>
        <v>http://m.12365auto.com/bbs/postcontent.aspx?tID=193768</v>
      </c>
      <c r="G9493" s="2"/>
      <c r="H9493" s="2" t="s">
        <v>12802</v>
      </c>
      <c r="I9493" s="2" t="s">
        <v>15</v>
      </c>
      <c r="J9493" s="2" t="s">
        <v>7701</v>
      </c>
      <c r="K9493" s="2" t="s">
        <v>12803</v>
      </c>
      <c r="L9493" s="2">
        <f t="shared" si="148"/>
        <v>150</v>
      </c>
    </row>
    <row r="9494" spans="1:12" ht="25" customHeight="1">
      <c r="A9494" s="2" t="s">
        <v>12</v>
      </c>
      <c r="B9494" s="2" t="str">
        <f>HYPERLINK("http://bbs.12365auto.com/postcontent.aspx?tID=193768","10万买辆奥迪A4L回家过年 为何检测完说这是“假大众”？疑")</f>
        <v>10万买辆奥迪A4L回家过年 为何检测完说这是“假大众”？疑</v>
      </c>
      <c r="C9494" s="2" t="s">
        <v>13</v>
      </c>
      <c r="D9494" s="2" t="s">
        <v>12</v>
      </c>
      <c r="E9494" s="2" t="s">
        <v>214</v>
      </c>
      <c r="F9494" s="2" t="str">
        <f>HYPERLINK("http://bbs.12365auto.com/postcontent.aspx?tID=193768","http://bbs.12365auto.com/postcontent.aspx?tID=193768")</f>
        <v>http://bbs.12365auto.com/postcontent.aspx?tID=193768</v>
      </c>
      <c r="G9494" s="2"/>
      <c r="H9494" s="2" t="s">
        <v>12804</v>
      </c>
      <c r="I9494" s="2" t="s">
        <v>15</v>
      </c>
      <c r="J9494" s="2" t="s">
        <v>7701</v>
      </c>
      <c r="K9494" s="2" t="s">
        <v>12803</v>
      </c>
      <c r="L9494" s="2">
        <f t="shared" si="148"/>
        <v>150</v>
      </c>
    </row>
    <row r="9495" spans="1:12" ht="25" customHeight="1">
      <c r="A9495" s="2" t="s">
        <v>12</v>
      </c>
      <c r="B9495" s="2" t="str">
        <f>HYPERLINK("http://www.12365auto.com/xcdg/20200211/418219.shtml","全新英菲尼迪QX80新在哪？来划两个重点")</f>
        <v>全新英菲尼迪QX80新在哪？来划两个重点</v>
      </c>
      <c r="C9495" s="2" t="s">
        <v>13</v>
      </c>
      <c r="D9495" s="2" t="s">
        <v>12</v>
      </c>
      <c r="E9495" s="2" t="s">
        <v>245</v>
      </c>
      <c r="F9495" s="2" t="str">
        <f>HYPERLINK("http://www.12365auto.com/xcdg/20200211/418219.shtml","http://www.12365auto.com/xcdg/20200211/418219.shtml")</f>
        <v>http://www.12365auto.com/xcdg/20200211/418219.shtml</v>
      </c>
      <c r="G9495" s="2"/>
      <c r="H9495" s="2" t="s">
        <v>12805</v>
      </c>
      <c r="I9495" s="2" t="s">
        <v>19</v>
      </c>
      <c r="J9495" s="2" t="s">
        <v>12</v>
      </c>
      <c r="K9495" s="2" t="s">
        <v>12803</v>
      </c>
      <c r="L9495" s="2">
        <f t="shared" si="148"/>
        <v>150</v>
      </c>
    </row>
    <row r="9496" spans="1:12" ht="25" customHeight="1">
      <c r="A9496" s="2" t="s">
        <v>12</v>
      </c>
      <c r="B9496" s="2" t="str">
        <f>HYPERLINK("http://m.12365auto.com/xcdg/20200211/418219.shtml","全新英菲尼迪QX80新在哪？来划两个重点")</f>
        <v>全新英菲尼迪QX80新在哪？来划两个重点</v>
      </c>
      <c r="C9496" s="2" t="s">
        <v>13</v>
      </c>
      <c r="D9496" s="2" t="s">
        <v>12</v>
      </c>
      <c r="E9496" s="2"/>
      <c r="F9496" s="2" t="str">
        <f>HYPERLINK("http://m.12365auto.com/xcdg/20200211/418219.shtml","http://m.12365auto.com/xcdg/20200211/418219.shtml")</f>
        <v>http://m.12365auto.com/xcdg/20200211/418219.shtml</v>
      </c>
      <c r="G9496" s="2"/>
      <c r="H9496" s="2" t="s">
        <v>12806</v>
      </c>
      <c r="I9496" s="2" t="s">
        <v>19</v>
      </c>
      <c r="J9496" s="2" t="s">
        <v>3058</v>
      </c>
      <c r="K9496" s="2" t="s">
        <v>12803</v>
      </c>
      <c r="L9496" s="2">
        <f t="shared" si="148"/>
        <v>150</v>
      </c>
    </row>
    <row r="9497" spans="1:12" ht="25" customHeight="1">
      <c r="A9497" s="2" t="s">
        <v>12</v>
      </c>
      <c r="B9497" s="2" t="str">
        <f>HYPERLINK("http://bbs.12365auto.com/postcontent.aspx?tID=193767","售价约合人民币138.97-196.21万元，2020款奥迪R8上市")</f>
        <v>售价约合人民币138.97-196.21万元，2020款奥迪R8上市</v>
      </c>
      <c r="C9497" s="2" t="s">
        <v>13</v>
      </c>
      <c r="D9497" s="2" t="s">
        <v>12</v>
      </c>
      <c r="E9497" s="2" t="s">
        <v>214</v>
      </c>
      <c r="F9497" s="2" t="str">
        <f>HYPERLINK("http://bbs.12365auto.com/postcontent.aspx?tID=193767","http://bbs.12365auto.com/postcontent.aspx?tID=193767")</f>
        <v>http://bbs.12365auto.com/postcontent.aspx?tID=193767</v>
      </c>
      <c r="G9497" s="2"/>
      <c r="H9497" s="2" t="s">
        <v>12807</v>
      </c>
      <c r="I9497" s="2" t="s">
        <v>15</v>
      </c>
      <c r="J9497" s="2" t="s">
        <v>7701</v>
      </c>
      <c r="K9497" s="2" t="s">
        <v>12808</v>
      </c>
      <c r="L9497" s="2">
        <f t="shared" si="148"/>
        <v>150</v>
      </c>
    </row>
    <row r="9498" spans="1:12" ht="25" customHeight="1">
      <c r="A9498" s="2" t="s">
        <v>12</v>
      </c>
      <c r="B9498" s="2" t="str">
        <f>HYPERLINK("http://bbs.12365auto.com/postcontent.aspx?tId=193767","售价约合人民币138.97-196.21万元，2020款奥迪R8上市")</f>
        <v>售价约合人民币138.97-196.21万元，2020款奥迪R8上市</v>
      </c>
      <c r="C9498" s="2" t="s">
        <v>13</v>
      </c>
      <c r="D9498" s="2" t="s">
        <v>12</v>
      </c>
      <c r="E9498" s="2" t="s">
        <v>210</v>
      </c>
      <c r="F9498" s="2" t="str">
        <f>HYPERLINK("http://bbs.12365auto.com/postcontent.aspx?tId=193767","http://bbs.12365auto.com/postcontent.aspx?tId=193767")</f>
        <v>http://bbs.12365auto.com/postcontent.aspx?tId=193767</v>
      </c>
      <c r="G9498" s="2"/>
      <c r="H9498" s="2" t="s">
        <v>12809</v>
      </c>
      <c r="I9498" s="2" t="s">
        <v>15</v>
      </c>
      <c r="J9498" s="2" t="s">
        <v>7701</v>
      </c>
      <c r="K9498" s="2" t="s">
        <v>12808</v>
      </c>
      <c r="L9498" s="2">
        <f t="shared" si="148"/>
        <v>150</v>
      </c>
    </row>
    <row r="9499" spans="1:12" ht="25" customHeight="1">
      <c r="A9499" s="2" t="s">
        <v>12</v>
      </c>
      <c r="B9499" s="2" t="str">
        <f>HYPERLINK("http://m.12365auto.com/bbs/postcontent.aspx?tID=193767","售价约合人民币138.97-196.21万元，2020款奥迪R8上市")</f>
        <v>售价约合人民币138.97-196.21万元，2020款奥迪R8上市</v>
      </c>
      <c r="C9499" s="2" t="s">
        <v>13</v>
      </c>
      <c r="D9499" s="2" t="s">
        <v>23</v>
      </c>
      <c r="E9499" s="2"/>
      <c r="F9499" s="2" t="str">
        <f>HYPERLINK("http://m.12365auto.com/bbs/postcontent.aspx?tID=193767","http://m.12365auto.com/bbs/postcontent.aspx?tID=193767")</f>
        <v>http://m.12365auto.com/bbs/postcontent.aspx?tID=193767</v>
      </c>
      <c r="G9499" s="2"/>
      <c r="H9499" s="2" t="s">
        <v>12809</v>
      </c>
      <c r="I9499" s="2" t="s">
        <v>15</v>
      </c>
      <c r="J9499" s="2" t="s">
        <v>7701</v>
      </c>
      <c r="K9499" s="2" t="s">
        <v>12808</v>
      </c>
      <c r="L9499" s="2">
        <f t="shared" si="148"/>
        <v>150</v>
      </c>
    </row>
    <row r="9500" spans="1:12" ht="25" customHeight="1">
      <c r="A9500" s="2" t="s">
        <v>12</v>
      </c>
      <c r="B9500" s="2" t="str">
        <f>HYPERLINK("http://www.12365auto.com/news/20200211/418218.shtml","完全本地化 特斯拉Model 3或降至25万")</f>
        <v>完全本地化 特斯拉Model 3或降至25万</v>
      </c>
      <c r="C9500" s="2" t="s">
        <v>13</v>
      </c>
      <c r="D9500" s="2" t="s">
        <v>12</v>
      </c>
      <c r="E9500" s="2" t="s">
        <v>282</v>
      </c>
      <c r="F9500" s="2" t="str">
        <f>HYPERLINK("http://www.12365auto.com/news/20200211/418218.shtml","http://www.12365auto.com/news/20200211/418218.shtml")</f>
        <v>http://www.12365auto.com/news/20200211/418218.shtml</v>
      </c>
      <c r="G9500" s="2"/>
      <c r="H9500" s="2" t="s">
        <v>12810</v>
      </c>
      <c r="I9500" s="2" t="s">
        <v>19</v>
      </c>
      <c r="J9500" s="2" t="s">
        <v>12</v>
      </c>
      <c r="K9500" s="2" t="s">
        <v>12808</v>
      </c>
      <c r="L9500" s="2">
        <f t="shared" si="148"/>
        <v>150</v>
      </c>
    </row>
    <row r="9501" spans="1:12" ht="25" customHeight="1">
      <c r="A9501" s="2" t="s">
        <v>12</v>
      </c>
      <c r="B9501" s="2" t="str">
        <f>HYPERLINK("http://m.12365auto.com/news/20200211/418218.shtml","完全本地化 特斯拉Model 3或降至25万")</f>
        <v>完全本地化 特斯拉Model 3或降至25万</v>
      </c>
      <c r="C9501" s="2" t="s">
        <v>13</v>
      </c>
      <c r="D9501" s="2" t="s">
        <v>12</v>
      </c>
      <c r="E9501" s="2"/>
      <c r="F9501" s="2" t="str">
        <f>HYPERLINK("http://m.12365auto.com/news/20200211/418218.shtml","http://m.12365auto.com/news/20200211/418218.shtml")</f>
        <v>http://m.12365auto.com/news/20200211/418218.shtml</v>
      </c>
      <c r="G9501" s="2"/>
      <c r="H9501" s="2" t="s">
        <v>12811</v>
      </c>
      <c r="I9501" s="2" t="s">
        <v>19</v>
      </c>
      <c r="J9501" s="2" t="s">
        <v>257</v>
      </c>
      <c r="K9501" s="2" t="s">
        <v>12808</v>
      </c>
      <c r="L9501" s="2">
        <f t="shared" si="148"/>
        <v>150</v>
      </c>
    </row>
    <row r="9502" spans="1:12" ht="25" customHeight="1">
      <c r="A9502" s="2" t="s">
        <v>12</v>
      </c>
      <c r="B9502" s="2" t="str">
        <f>HYPERLINK("http://www.12365auto.com/news/20200211/418217.shtml","东风日产1月销量 轩逸近4万/天籁大涨44%")</f>
        <v>东风日产1月销量 轩逸近4万/天籁大涨44%</v>
      </c>
      <c r="C9502" s="2" t="s">
        <v>13</v>
      </c>
      <c r="D9502" s="2" t="s">
        <v>12</v>
      </c>
      <c r="E9502" s="2" t="s">
        <v>282</v>
      </c>
      <c r="F9502" s="2" t="str">
        <f>HYPERLINK("http://www.12365auto.com/news/20200211/418217.shtml","http://www.12365auto.com/news/20200211/418217.shtml")</f>
        <v>http://www.12365auto.com/news/20200211/418217.shtml</v>
      </c>
      <c r="G9502" s="2"/>
      <c r="H9502" s="2" t="s">
        <v>12812</v>
      </c>
      <c r="I9502" s="2" t="s">
        <v>19</v>
      </c>
      <c r="J9502" s="2" t="s">
        <v>12</v>
      </c>
      <c r="K9502" s="2" t="s">
        <v>12813</v>
      </c>
      <c r="L9502" s="2">
        <f t="shared" si="148"/>
        <v>150</v>
      </c>
    </row>
    <row r="9503" spans="1:12" ht="25" customHeight="1">
      <c r="A9503" s="2" t="s">
        <v>12</v>
      </c>
      <c r="B9503" s="2" t="str">
        <f>HYPERLINK("http://m.12365auto.com/news/20200211/418217.shtml","东风日产1月销量 轩逸近4万/天籁大涨44%")</f>
        <v>东风日产1月销量 轩逸近4万/天籁大涨44%</v>
      </c>
      <c r="C9503" s="2" t="s">
        <v>13</v>
      </c>
      <c r="D9503" s="2" t="s">
        <v>12</v>
      </c>
      <c r="E9503" s="2"/>
      <c r="F9503" s="2" t="str">
        <f>HYPERLINK("http://m.12365auto.com/news/20200211/418217.shtml","http://m.12365auto.com/news/20200211/418217.shtml")</f>
        <v>http://m.12365auto.com/news/20200211/418217.shtml</v>
      </c>
      <c r="G9503" s="2"/>
      <c r="H9503" s="2" t="s">
        <v>12814</v>
      </c>
      <c r="I9503" s="2" t="s">
        <v>19</v>
      </c>
      <c r="J9503" s="2" t="s">
        <v>265</v>
      </c>
      <c r="K9503" s="2" t="s">
        <v>12813</v>
      </c>
      <c r="L9503" s="2">
        <f t="shared" si="148"/>
        <v>150</v>
      </c>
    </row>
    <row r="9504" spans="1:12" ht="25" customHeight="1">
      <c r="A9504" s="2" t="s">
        <v>12</v>
      </c>
      <c r="B9504" s="2" t="str">
        <f>HYPERLINK("http://bbs.12365auto.com/postcontent.aspx?tID=193766","开不坏的丰田 修不好的大众 为何满大街出租车都用大众？")</f>
        <v>开不坏的丰田 修不好的大众 为何满大街出租车都用大众？</v>
      </c>
      <c r="C9504" s="2" t="s">
        <v>13</v>
      </c>
      <c r="D9504" s="2" t="s">
        <v>12</v>
      </c>
      <c r="E9504" s="2" t="s">
        <v>214</v>
      </c>
      <c r="F9504" s="2" t="str">
        <f>HYPERLINK("http://bbs.12365auto.com/postcontent.aspx?tID=193766","http://bbs.12365auto.com/postcontent.aspx?tID=193766")</f>
        <v>http://bbs.12365auto.com/postcontent.aspx?tID=193766</v>
      </c>
      <c r="G9504" s="2"/>
      <c r="H9504" s="2" t="s">
        <v>12815</v>
      </c>
      <c r="I9504" s="2" t="s">
        <v>15</v>
      </c>
      <c r="J9504" s="2" t="s">
        <v>7701</v>
      </c>
      <c r="K9504" s="2" t="s">
        <v>12816</v>
      </c>
      <c r="L9504" s="2">
        <f t="shared" si="148"/>
        <v>150</v>
      </c>
    </row>
    <row r="9505" spans="1:12" ht="25" customHeight="1">
      <c r="A9505" s="2" t="s">
        <v>12</v>
      </c>
      <c r="B9505" s="2" t="str">
        <f>HYPERLINK("http://bbs.12365auto.com/postcontent.aspx?tId=193766","开不坏的丰田 修不好的大众 为何满大街出租车都用大众？")</f>
        <v>开不坏的丰田 修不好的大众 为何满大街出租车都用大众？</v>
      </c>
      <c r="C9505" s="2" t="s">
        <v>13</v>
      </c>
      <c r="D9505" s="2" t="s">
        <v>12</v>
      </c>
      <c r="E9505" s="2" t="s">
        <v>210</v>
      </c>
      <c r="F9505" s="2" t="str">
        <f>HYPERLINK("http://bbs.12365auto.com/postcontent.aspx?tId=193766","http://bbs.12365auto.com/postcontent.aspx?tId=193766")</f>
        <v>http://bbs.12365auto.com/postcontent.aspx?tId=193766</v>
      </c>
      <c r="G9505" s="2"/>
      <c r="H9505" s="2" t="s">
        <v>2712</v>
      </c>
      <c r="I9505" s="2" t="s">
        <v>15</v>
      </c>
      <c r="J9505" s="2" t="s">
        <v>7701</v>
      </c>
      <c r="K9505" s="2" t="s">
        <v>12816</v>
      </c>
      <c r="L9505" s="2">
        <f t="shared" si="148"/>
        <v>150</v>
      </c>
    </row>
    <row r="9506" spans="1:12" ht="25" customHeight="1">
      <c r="A9506" s="2" t="s">
        <v>12</v>
      </c>
      <c r="B9506" s="2" t="str">
        <f>HYPERLINK("http://m.12365auto.com/bbs/postcontent.aspx?tID=193766","开不坏的丰田 修不好的大众 为何满大街出租车都用大众？")</f>
        <v>开不坏的丰田 修不好的大众 为何满大街出租车都用大众？</v>
      </c>
      <c r="C9506" s="2" t="s">
        <v>13</v>
      </c>
      <c r="D9506" s="2" t="s">
        <v>23</v>
      </c>
      <c r="E9506" s="2"/>
      <c r="F9506" s="2" t="str">
        <f>HYPERLINK("http://m.12365auto.com/bbs/postcontent.aspx?tID=193766","http://m.12365auto.com/bbs/postcontent.aspx?tID=193766")</f>
        <v>http://m.12365auto.com/bbs/postcontent.aspx?tID=193766</v>
      </c>
      <c r="G9506" s="2"/>
      <c r="H9506" s="2" t="s">
        <v>2712</v>
      </c>
      <c r="I9506" s="2" t="s">
        <v>15</v>
      </c>
      <c r="J9506" s="2" t="s">
        <v>7701</v>
      </c>
      <c r="K9506" s="2" t="s">
        <v>12816</v>
      </c>
      <c r="L9506" s="2">
        <f t="shared" si="148"/>
        <v>150</v>
      </c>
    </row>
    <row r="9507" spans="1:12" ht="25" customHeight="1">
      <c r="A9507" s="2" t="s">
        <v>12</v>
      </c>
      <c r="B9507" s="2" t="str">
        <f>HYPERLINK("http://www.12365auto.com/zlts/20200211/446846.shtml","上汽名爵6新车电池亏电无法正常启动")</f>
        <v>上汽名爵6新车电池亏电无法正常启动</v>
      </c>
      <c r="C9507" s="2" t="s">
        <v>13</v>
      </c>
      <c r="D9507" s="2" t="s">
        <v>12</v>
      </c>
      <c r="E9507" s="2" t="s">
        <v>17</v>
      </c>
      <c r="F9507" s="2" t="str">
        <f>HYPERLINK("http://www.12365auto.com/zlts/20200211/446846.shtml","http://www.12365auto.com/zlts/20200211/446846.shtml")</f>
        <v>http://www.12365auto.com/zlts/20200211/446846.shtml</v>
      </c>
      <c r="G9507" s="2"/>
      <c r="H9507" s="2" t="s">
        <v>12817</v>
      </c>
      <c r="I9507" s="2" t="s">
        <v>15</v>
      </c>
      <c r="J9507" s="2" t="s">
        <v>12</v>
      </c>
      <c r="K9507" s="2" t="s">
        <v>12816</v>
      </c>
      <c r="L9507" s="2">
        <f t="shared" si="148"/>
        <v>150</v>
      </c>
    </row>
    <row r="9508" spans="1:12" ht="25" customHeight="1">
      <c r="A9508" s="2" t="s">
        <v>12</v>
      </c>
      <c r="B9508" s="2" t="str">
        <f>HYPERLINK("http://www.12365auto.com/xcdg/20200211/418216.shtml","领克06详细动力曝光 搭1.5T油耗最低1.5L")</f>
        <v>领克06详细动力曝光 搭1.5T油耗最低1.5L</v>
      </c>
      <c r="C9508" s="2" t="s">
        <v>13</v>
      </c>
      <c r="D9508" s="2" t="s">
        <v>12</v>
      </c>
      <c r="E9508" s="2" t="s">
        <v>245</v>
      </c>
      <c r="F9508" s="2" t="str">
        <f>HYPERLINK("http://www.12365auto.com/xcdg/20200211/418216.shtml","http://www.12365auto.com/xcdg/20200211/418216.shtml")</f>
        <v>http://www.12365auto.com/xcdg/20200211/418216.shtml</v>
      </c>
      <c r="G9508" s="2"/>
      <c r="H9508" s="2" t="s">
        <v>12818</v>
      </c>
      <c r="I9508" s="2" t="s">
        <v>19</v>
      </c>
      <c r="J9508" s="2" t="s">
        <v>12</v>
      </c>
      <c r="K9508" s="2" t="s">
        <v>12816</v>
      </c>
      <c r="L9508" s="2">
        <f t="shared" si="148"/>
        <v>150</v>
      </c>
    </row>
    <row r="9509" spans="1:12" ht="25" customHeight="1">
      <c r="A9509" s="2" t="s">
        <v>12</v>
      </c>
      <c r="B9509" s="2" t="str">
        <f>HYPERLINK("http://m.12365auto.com/xcdg/20200211/418216.shtml","领克06详细动力曝光 搭1.5T油耗最低1.5L")</f>
        <v>领克06详细动力曝光 搭1.5T油耗最低1.5L</v>
      </c>
      <c r="C9509" s="2" t="s">
        <v>13</v>
      </c>
      <c r="D9509" s="2" t="s">
        <v>12</v>
      </c>
      <c r="E9509" s="2"/>
      <c r="F9509" s="2" t="str">
        <f>HYPERLINK("http://m.12365auto.com/xcdg/20200211/418216.shtml","http://m.12365auto.com/xcdg/20200211/418216.shtml")</f>
        <v>http://m.12365auto.com/xcdg/20200211/418216.shtml</v>
      </c>
      <c r="G9509" s="2"/>
      <c r="H9509" s="2" t="s">
        <v>12819</v>
      </c>
      <c r="I9509" s="2" t="s">
        <v>19</v>
      </c>
      <c r="J9509" s="2" t="s">
        <v>6086</v>
      </c>
      <c r="K9509" s="2" t="s">
        <v>12816</v>
      </c>
      <c r="L9509" s="2">
        <f t="shared" si="148"/>
        <v>150</v>
      </c>
    </row>
    <row r="9510" spans="1:12" ht="25" customHeight="1">
      <c r="A9510" s="2" t="s">
        <v>12</v>
      </c>
      <c r="B9510" s="2" t="str">
        <f>HYPERLINK("http://www.12365auto.com/xcdg/20200211/418215.shtml","哈弗F5 1.5T低功率版曝光 起售价不到10万")</f>
        <v>哈弗F5 1.5T低功率版曝光 起售价不到10万</v>
      </c>
      <c r="C9510" s="2" t="s">
        <v>13</v>
      </c>
      <c r="D9510" s="2" t="s">
        <v>12</v>
      </c>
      <c r="E9510" s="2" t="s">
        <v>245</v>
      </c>
      <c r="F9510" s="2" t="str">
        <f>HYPERLINK("http://www.12365auto.com/xcdg/20200211/418215.shtml","http://www.12365auto.com/xcdg/20200211/418215.shtml")</f>
        <v>http://www.12365auto.com/xcdg/20200211/418215.shtml</v>
      </c>
      <c r="G9510" s="2"/>
      <c r="H9510" s="2" t="s">
        <v>12820</v>
      </c>
      <c r="I9510" s="2" t="s">
        <v>19</v>
      </c>
      <c r="J9510" s="2" t="s">
        <v>12</v>
      </c>
      <c r="K9510" s="2" t="s">
        <v>12821</v>
      </c>
      <c r="L9510" s="2">
        <f t="shared" si="148"/>
        <v>150</v>
      </c>
    </row>
    <row r="9511" spans="1:12" ht="25" customHeight="1">
      <c r="A9511" s="2" t="s">
        <v>12</v>
      </c>
      <c r="B9511" s="2" t="str">
        <f>HYPERLINK("http://m.12365auto.com/xcdg/20200211/418215.shtml","哈弗F5 1.5T低功率版曝光 起售价不到10万")</f>
        <v>哈弗F5 1.5T低功率版曝光 起售价不到10万</v>
      </c>
      <c r="C9511" s="2" t="s">
        <v>13</v>
      </c>
      <c r="D9511" s="2" t="s">
        <v>12</v>
      </c>
      <c r="E9511" s="2"/>
      <c r="F9511" s="2" t="str">
        <f>HYPERLINK("http://m.12365auto.com/xcdg/20200211/418215.shtml","http://m.12365auto.com/xcdg/20200211/418215.shtml")</f>
        <v>http://m.12365auto.com/xcdg/20200211/418215.shtml</v>
      </c>
      <c r="G9511" s="2"/>
      <c r="H9511" s="2" t="s">
        <v>12822</v>
      </c>
      <c r="I9511" s="2" t="s">
        <v>19</v>
      </c>
      <c r="J9511" s="2" t="s">
        <v>6086</v>
      </c>
      <c r="K9511" s="2" t="s">
        <v>12821</v>
      </c>
      <c r="L9511" s="2">
        <f t="shared" si="148"/>
        <v>150</v>
      </c>
    </row>
    <row r="9512" spans="1:12" ht="25" customHeight="1">
      <c r="A9512" s="2" t="s">
        <v>12</v>
      </c>
      <c r="B9512" s="2" t="str">
        <f>HYPERLINK("http://bbs.12365auto.com/postcontent.aspx?tId=193765","这些车看起来很贵 实则很便宜")</f>
        <v>这些车看起来很贵 实则很便宜</v>
      </c>
      <c r="C9512" s="2" t="s">
        <v>13</v>
      </c>
      <c r="D9512" s="2" t="s">
        <v>12</v>
      </c>
      <c r="E9512" s="2" t="s">
        <v>210</v>
      </c>
      <c r="F9512" s="2" t="str">
        <f>HYPERLINK("http://bbs.12365auto.com/postcontent.aspx?tId=193765","http://bbs.12365auto.com/postcontent.aspx?tId=193765")</f>
        <v>http://bbs.12365auto.com/postcontent.aspx?tId=193765</v>
      </c>
      <c r="G9512" s="2"/>
      <c r="H9512" s="2" t="s">
        <v>12823</v>
      </c>
      <c r="I9512" s="2" t="s">
        <v>15</v>
      </c>
      <c r="J9512" s="2" t="s">
        <v>7701</v>
      </c>
      <c r="K9512" s="2" t="s">
        <v>12824</v>
      </c>
      <c r="L9512" s="2">
        <f t="shared" si="148"/>
        <v>150</v>
      </c>
    </row>
    <row r="9513" spans="1:12" ht="25" customHeight="1">
      <c r="A9513" s="2" t="s">
        <v>12</v>
      </c>
      <c r="B9513" s="2" t="str">
        <f>HYPERLINK("http://m.12365auto.com/bbs/postcontent.aspx?tID=193765","这些车看起来很贵 实则很便宜")</f>
        <v>这些车看起来很贵 实则很便宜</v>
      </c>
      <c r="C9513" s="2" t="s">
        <v>13</v>
      </c>
      <c r="D9513" s="2" t="s">
        <v>23</v>
      </c>
      <c r="E9513" s="2"/>
      <c r="F9513" s="2" t="str">
        <f>HYPERLINK("http://m.12365auto.com/bbs/postcontent.aspx?tID=193765","http://m.12365auto.com/bbs/postcontent.aspx?tID=193765")</f>
        <v>http://m.12365auto.com/bbs/postcontent.aspx?tID=193765</v>
      </c>
      <c r="G9513" s="2"/>
      <c r="H9513" s="2" t="s">
        <v>12823</v>
      </c>
      <c r="I9513" s="2" t="s">
        <v>15</v>
      </c>
      <c r="J9513" s="2" t="s">
        <v>7701</v>
      </c>
      <c r="K9513" s="2" t="s">
        <v>12824</v>
      </c>
      <c r="L9513" s="2">
        <f t="shared" si="148"/>
        <v>150</v>
      </c>
    </row>
    <row r="9514" spans="1:12" ht="25" customHeight="1">
      <c r="A9514" s="2" t="s">
        <v>12</v>
      </c>
      <c r="B9514" s="2" t="str">
        <f>HYPERLINK("http://www.12365auto.com/xcdg/20200211/418214.shtml","沃尔沃XC90将换新发动机 动力将提升")</f>
        <v>沃尔沃XC90将换新发动机 动力将提升</v>
      </c>
      <c r="C9514" s="2" t="s">
        <v>13</v>
      </c>
      <c r="D9514" s="2" t="s">
        <v>12</v>
      </c>
      <c r="E9514" s="2" t="s">
        <v>216</v>
      </c>
      <c r="F9514" s="2" t="str">
        <f>HYPERLINK("http://www.12365auto.com/xcdg/20200211/418214.shtml","http://www.12365auto.com/xcdg/20200211/418214.shtml")</f>
        <v>http://www.12365auto.com/xcdg/20200211/418214.shtml</v>
      </c>
      <c r="G9514" s="2"/>
      <c r="H9514" s="2" t="s">
        <v>12825</v>
      </c>
      <c r="I9514" s="2" t="s">
        <v>15</v>
      </c>
      <c r="J9514" s="2" t="s">
        <v>12</v>
      </c>
      <c r="K9514" s="2" t="s">
        <v>12824</v>
      </c>
      <c r="L9514" s="2">
        <f t="shared" si="148"/>
        <v>150</v>
      </c>
    </row>
    <row r="9515" spans="1:12" ht="25" customHeight="1">
      <c r="A9515" s="2" t="s">
        <v>12</v>
      </c>
      <c r="B9515" s="2" t="str">
        <f>HYPERLINK("http://m.12365auto.com/xcdg/20200211/418214.shtml","沃尔沃XC90将换新发动机 动力将提升")</f>
        <v>沃尔沃XC90将换新发动机 动力将提升</v>
      </c>
      <c r="C9515" s="2" t="s">
        <v>13</v>
      </c>
      <c r="D9515" s="2" t="s">
        <v>12</v>
      </c>
      <c r="E9515" s="2"/>
      <c r="F9515" s="2" t="str">
        <f>HYPERLINK("http://m.12365auto.com/xcdg/20200211/418214.shtml","http://m.12365auto.com/xcdg/20200211/418214.shtml")</f>
        <v>http://m.12365auto.com/xcdg/20200211/418214.shtml</v>
      </c>
      <c r="G9515" s="2"/>
      <c r="H9515" s="2" t="s">
        <v>12826</v>
      </c>
      <c r="I9515" s="2" t="s">
        <v>19</v>
      </c>
      <c r="J9515" s="2" t="s">
        <v>739</v>
      </c>
      <c r="K9515" s="2" t="s">
        <v>12824</v>
      </c>
      <c r="L9515" s="2">
        <f t="shared" si="148"/>
        <v>150</v>
      </c>
    </row>
    <row r="9516" spans="1:12" ht="25" customHeight="1">
      <c r="A9516" s="2" t="s">
        <v>12</v>
      </c>
      <c r="B9516" s="2" t="str">
        <f>HYPERLINK("http://bbs.12365auto.com/postcontent.aspx?tID=193765","这些车看起来很贵 实则很便宜")</f>
        <v>这些车看起来很贵 实则很便宜</v>
      </c>
      <c r="C9516" s="2" t="s">
        <v>13</v>
      </c>
      <c r="D9516" s="2" t="s">
        <v>12</v>
      </c>
      <c r="E9516" s="2" t="s">
        <v>214</v>
      </c>
      <c r="F9516" s="2" t="str">
        <f>HYPERLINK("http://bbs.12365auto.com/postcontent.aspx?tID=193765","http://bbs.12365auto.com/postcontent.aspx?tID=193765")</f>
        <v>http://bbs.12365auto.com/postcontent.aspx?tID=193765</v>
      </c>
      <c r="G9516" s="2"/>
      <c r="H9516" s="2" t="s">
        <v>12827</v>
      </c>
      <c r="I9516" s="2" t="s">
        <v>15</v>
      </c>
      <c r="J9516" s="2" t="s">
        <v>7701</v>
      </c>
      <c r="K9516" s="2" t="s">
        <v>12824</v>
      </c>
      <c r="L9516" s="2">
        <f t="shared" si="148"/>
        <v>150</v>
      </c>
    </row>
    <row r="9517" spans="1:12" ht="25" customHeight="1">
      <c r="A9517" s="2" t="s">
        <v>12</v>
      </c>
      <c r="B9517" s="2" t="str">
        <f>HYPERLINK("http://m.12365auto.com/xcdg/20200211/418213.shtml","大众Viloran或30万起售 尺寸超别克GL8")</f>
        <v>大众Viloran或30万起售 尺寸超别克GL8</v>
      </c>
      <c r="C9517" s="2" t="s">
        <v>13</v>
      </c>
      <c r="D9517" s="2" t="s">
        <v>12</v>
      </c>
      <c r="E9517" s="2"/>
      <c r="F9517" s="2" t="str">
        <f>HYPERLINK("http://m.12365auto.com/xcdg/20200211/418213.shtml","http://m.12365auto.com/xcdg/20200211/418213.shtml")</f>
        <v>http://m.12365auto.com/xcdg/20200211/418213.shtml</v>
      </c>
      <c r="G9517" s="2"/>
      <c r="H9517" s="2" t="s">
        <v>12828</v>
      </c>
      <c r="I9517" s="2" t="s">
        <v>19</v>
      </c>
      <c r="J9517" s="2" t="s">
        <v>732</v>
      </c>
      <c r="K9517" s="2" t="s">
        <v>12829</v>
      </c>
      <c r="L9517" s="2">
        <f t="shared" si="148"/>
        <v>150</v>
      </c>
    </row>
    <row r="9518" spans="1:12" ht="25" customHeight="1">
      <c r="A9518" s="2" t="s">
        <v>12</v>
      </c>
      <c r="B9518" s="2" t="str">
        <f>HYPERLINK("http://www.12365auto.com/xcdg/20200211/418213.shtml","大众Viloran或30万起售 尺寸超别克GL8")</f>
        <v>大众Viloran或30万起售 尺寸超别克GL8</v>
      </c>
      <c r="C9518" s="2" t="s">
        <v>13</v>
      </c>
      <c r="D9518" s="2" t="s">
        <v>12</v>
      </c>
      <c r="E9518" s="2" t="s">
        <v>216</v>
      </c>
      <c r="F9518" s="2" t="str">
        <f>HYPERLINK("http://www.12365auto.com/xcdg/20200211/418213.shtml","http://www.12365auto.com/xcdg/20200211/418213.shtml")</f>
        <v>http://www.12365auto.com/xcdg/20200211/418213.shtml</v>
      </c>
      <c r="G9518" s="2"/>
      <c r="H9518" s="2" t="s">
        <v>12830</v>
      </c>
      <c r="I9518" s="2" t="s">
        <v>15</v>
      </c>
      <c r="J9518" s="2" t="s">
        <v>12</v>
      </c>
      <c r="K9518" s="2" t="s">
        <v>12829</v>
      </c>
      <c r="L9518" s="2">
        <f t="shared" si="148"/>
        <v>150</v>
      </c>
    </row>
    <row r="9519" spans="1:12" ht="25" customHeight="1">
      <c r="A9519" s="2" t="s">
        <v>12</v>
      </c>
      <c r="B9519" s="2" t="str">
        <f>HYPERLINK("http://m.12365auto.com/bbs/postcontent.aspx?tID=193764","2019年 最让人意想不到的五款SUV")</f>
        <v>2019年 最让人意想不到的五款SUV</v>
      </c>
      <c r="C9519" s="2" t="s">
        <v>13</v>
      </c>
      <c r="D9519" s="2" t="s">
        <v>23</v>
      </c>
      <c r="E9519" s="2"/>
      <c r="F9519" s="2" t="str">
        <f>HYPERLINK("http://m.12365auto.com/bbs/postcontent.aspx?tID=193764","http://m.12365auto.com/bbs/postcontent.aspx?tID=193764")</f>
        <v>http://m.12365auto.com/bbs/postcontent.aspx?tID=193764</v>
      </c>
      <c r="G9519" s="2"/>
      <c r="H9519" s="2" t="s">
        <v>7354</v>
      </c>
      <c r="I9519" s="2" t="s">
        <v>15</v>
      </c>
      <c r="J9519" s="2" t="s">
        <v>7701</v>
      </c>
      <c r="K9519" s="2" t="s">
        <v>12831</v>
      </c>
      <c r="L9519" s="2">
        <f t="shared" si="148"/>
        <v>150</v>
      </c>
    </row>
    <row r="9520" spans="1:12" ht="25" customHeight="1">
      <c r="A9520" s="2" t="s">
        <v>12</v>
      </c>
      <c r="B9520" s="2" t="str">
        <f>HYPERLINK("http://bbs.12365auto.com/postcontent.aspx?tId=193764","2019年 最让人意想不到的五款SUV")</f>
        <v>2019年 最让人意想不到的五款SUV</v>
      </c>
      <c r="C9520" s="2" t="s">
        <v>13</v>
      </c>
      <c r="D9520" s="2" t="s">
        <v>12</v>
      </c>
      <c r="E9520" s="2" t="s">
        <v>210</v>
      </c>
      <c r="F9520" s="2" t="str">
        <f>HYPERLINK("http://bbs.12365auto.com/postcontent.aspx?tId=193764","http://bbs.12365auto.com/postcontent.aspx?tId=193764")</f>
        <v>http://bbs.12365auto.com/postcontent.aspx?tId=193764</v>
      </c>
      <c r="G9520" s="2"/>
      <c r="H9520" s="2" t="s">
        <v>7354</v>
      </c>
      <c r="I9520" s="2" t="s">
        <v>15</v>
      </c>
      <c r="J9520" s="2" t="s">
        <v>7701</v>
      </c>
      <c r="K9520" s="2" t="s">
        <v>12831</v>
      </c>
      <c r="L9520" s="2">
        <f t="shared" si="148"/>
        <v>150</v>
      </c>
    </row>
    <row r="9521" spans="1:12" ht="25" customHeight="1">
      <c r="A9521" s="2" t="s">
        <v>12</v>
      </c>
      <c r="B9521" s="2" t="str">
        <f>HYPERLINK("http://www.12365auto.com/xcdg/20200211/418212.shtml","奥迪A6旅行版详细配置曝光 没上市打9折")</f>
        <v>奥迪A6旅行版详细配置曝光 没上市打9折</v>
      </c>
      <c r="C9521" s="2" t="s">
        <v>13</v>
      </c>
      <c r="D9521" s="2" t="s">
        <v>12</v>
      </c>
      <c r="E9521" s="2" t="s">
        <v>216</v>
      </c>
      <c r="F9521" s="2" t="str">
        <f>HYPERLINK("http://www.12365auto.com/xcdg/20200211/418212.shtml","http://www.12365auto.com/xcdg/20200211/418212.shtml")</f>
        <v>http://www.12365auto.com/xcdg/20200211/418212.shtml</v>
      </c>
      <c r="G9521" s="2"/>
      <c r="H9521" s="2" t="s">
        <v>12832</v>
      </c>
      <c r="I9521" s="2" t="s">
        <v>15</v>
      </c>
      <c r="J9521" s="2" t="s">
        <v>12</v>
      </c>
      <c r="K9521" s="2" t="s">
        <v>12831</v>
      </c>
      <c r="L9521" s="2">
        <f t="shared" si="148"/>
        <v>150</v>
      </c>
    </row>
    <row r="9522" spans="1:12" ht="25" customHeight="1">
      <c r="A9522" s="2" t="s">
        <v>12</v>
      </c>
      <c r="B9522" s="2" t="str">
        <f>HYPERLINK("http://m.12365auto.com/xcdg/20200211/418212.shtml","奥迪A6旅行版详细配置曝光 没上市打9折")</f>
        <v>奥迪A6旅行版详细配置曝光 没上市打9折</v>
      </c>
      <c r="C9522" s="2" t="s">
        <v>13</v>
      </c>
      <c r="D9522" s="2" t="s">
        <v>12</v>
      </c>
      <c r="E9522" s="2"/>
      <c r="F9522" s="2" t="str">
        <f>HYPERLINK("http://m.12365auto.com/xcdg/20200211/418212.shtml","http://m.12365auto.com/xcdg/20200211/418212.shtml")</f>
        <v>http://m.12365auto.com/xcdg/20200211/418212.shtml</v>
      </c>
      <c r="G9522" s="2"/>
      <c r="H9522" s="2" t="s">
        <v>12833</v>
      </c>
      <c r="I9522" s="2" t="s">
        <v>19</v>
      </c>
      <c r="J9522" s="2" t="s">
        <v>732</v>
      </c>
      <c r="K9522" s="2" t="s">
        <v>12831</v>
      </c>
      <c r="L9522" s="2">
        <f t="shared" si="148"/>
        <v>150</v>
      </c>
    </row>
    <row r="9523" spans="1:12" ht="25" customHeight="1">
      <c r="A9523" s="2" t="s">
        <v>12</v>
      </c>
      <c r="B9523" s="2" t="str">
        <f>HYPERLINK("http://bbs.12365auto.com/postcontent.aspx?tID=193764","2019年 最让人意想不到的五款SUV")</f>
        <v>2019年 最让人意想不到的五款SUV</v>
      </c>
      <c r="C9523" s="2" t="s">
        <v>13</v>
      </c>
      <c r="D9523" s="2" t="s">
        <v>12</v>
      </c>
      <c r="E9523" s="2" t="s">
        <v>214</v>
      </c>
      <c r="F9523" s="2" t="str">
        <f>HYPERLINK("http://bbs.12365auto.com/postcontent.aspx?tID=193764","http://bbs.12365auto.com/postcontent.aspx?tID=193764")</f>
        <v>http://bbs.12365auto.com/postcontent.aspx?tID=193764</v>
      </c>
      <c r="G9523" s="2"/>
      <c r="H9523" s="2" t="s">
        <v>12834</v>
      </c>
      <c r="I9523" s="2" t="s">
        <v>15</v>
      </c>
      <c r="J9523" s="2" t="s">
        <v>7701</v>
      </c>
      <c r="K9523" s="2" t="s">
        <v>12831</v>
      </c>
      <c r="L9523" s="2">
        <f t="shared" si="148"/>
        <v>150</v>
      </c>
    </row>
    <row r="9524" spans="1:12" ht="25" customHeight="1">
      <c r="A9524" s="2" t="s">
        <v>12</v>
      </c>
      <c r="B9524" s="2" t="str">
        <f>HYPERLINK("http://bbs.12365auto.com/postcontent.aspx?tID=193763","全球人都爱日系车？日本人自己开什么车？")</f>
        <v>全球人都爱日系车？日本人自己开什么车？</v>
      </c>
      <c r="C9524" s="2" t="s">
        <v>13</v>
      </c>
      <c r="D9524" s="2" t="s">
        <v>12</v>
      </c>
      <c r="E9524" s="2" t="s">
        <v>214</v>
      </c>
      <c r="F9524" s="2" t="str">
        <f>HYPERLINK("http://bbs.12365auto.com/postcontent.aspx?tID=193763","http://bbs.12365auto.com/postcontent.aspx?tID=193763")</f>
        <v>http://bbs.12365auto.com/postcontent.aspx?tID=193763</v>
      </c>
      <c r="G9524" s="2"/>
      <c r="H9524" s="2" t="s">
        <v>12835</v>
      </c>
      <c r="I9524" s="2" t="s">
        <v>15</v>
      </c>
      <c r="J9524" s="2" t="s">
        <v>7701</v>
      </c>
      <c r="K9524" s="2" t="s">
        <v>12836</v>
      </c>
      <c r="L9524" s="2">
        <f t="shared" si="148"/>
        <v>150</v>
      </c>
    </row>
    <row r="9525" spans="1:12" ht="25" customHeight="1">
      <c r="A9525" s="2" t="s">
        <v>12</v>
      </c>
      <c r="B9525" s="2" t="str">
        <f>HYPERLINK("http://m.12365auto.com/bbs/postcontent.aspx?tID=193763","全球人都爱日系车？日本人自己开什么车？")</f>
        <v>全球人都爱日系车？日本人自己开什么车？</v>
      </c>
      <c r="C9525" s="2" t="s">
        <v>13</v>
      </c>
      <c r="D9525" s="2" t="s">
        <v>23</v>
      </c>
      <c r="E9525" s="2"/>
      <c r="F9525" s="2" t="str">
        <f>HYPERLINK("http://m.12365auto.com/bbs/postcontent.aspx?tID=193763","http://m.12365auto.com/bbs/postcontent.aspx?tID=193763")</f>
        <v>http://m.12365auto.com/bbs/postcontent.aspx?tID=193763</v>
      </c>
      <c r="G9525" s="2"/>
      <c r="H9525" s="2" t="s">
        <v>12837</v>
      </c>
      <c r="I9525" s="2" t="s">
        <v>15</v>
      </c>
      <c r="J9525" s="2" t="s">
        <v>7701</v>
      </c>
      <c r="K9525" s="2" t="s">
        <v>12836</v>
      </c>
      <c r="L9525" s="2">
        <f t="shared" si="148"/>
        <v>150</v>
      </c>
    </row>
    <row r="9526" spans="1:12" ht="25" customHeight="1">
      <c r="A9526" s="2" t="s">
        <v>12</v>
      </c>
      <c r="B9526" s="2" t="str">
        <f>HYPERLINK("http://bbs.12365auto.com/postcontent.aspx?tId=193763","全球人都爱日系车？日本人自己开什么车？")</f>
        <v>全球人都爱日系车？日本人自己开什么车？</v>
      </c>
      <c r="C9526" s="2" t="s">
        <v>13</v>
      </c>
      <c r="D9526" s="2" t="s">
        <v>12</v>
      </c>
      <c r="E9526" s="2" t="s">
        <v>210</v>
      </c>
      <c r="F9526" s="2" t="str">
        <f>HYPERLINK("http://bbs.12365auto.com/postcontent.aspx?tId=193763","http://bbs.12365auto.com/postcontent.aspx?tId=193763")</f>
        <v>http://bbs.12365auto.com/postcontent.aspx?tId=193763</v>
      </c>
      <c r="G9526" s="2"/>
      <c r="H9526" s="2" t="s">
        <v>12837</v>
      </c>
      <c r="I9526" s="2" t="s">
        <v>15</v>
      </c>
      <c r="J9526" s="2" t="s">
        <v>7701</v>
      </c>
      <c r="K9526" s="2" t="s">
        <v>12836</v>
      </c>
      <c r="L9526" s="2">
        <f t="shared" si="148"/>
        <v>150</v>
      </c>
    </row>
    <row r="9527" spans="1:12" ht="25" customHeight="1">
      <c r="A9527" s="2" t="s">
        <v>12</v>
      </c>
      <c r="B9527" s="2" t="str">
        <f>HYPERLINK("http://www.12365auto.com/xcdg/20200211/418211.shtml","Blackwood版R1T 林肯携手Rivian研发电动车")</f>
        <v>Blackwood版R1T 林肯携手Rivian研发电动车</v>
      </c>
      <c r="C9527" s="2" t="s">
        <v>13</v>
      </c>
      <c r="D9527" s="2" t="s">
        <v>12</v>
      </c>
      <c r="E9527" s="2" t="s">
        <v>216</v>
      </c>
      <c r="F9527" s="2" t="str">
        <f>HYPERLINK("http://www.12365auto.com/xcdg/20200211/418211.shtml","http://www.12365auto.com/xcdg/20200211/418211.shtml")</f>
        <v>http://www.12365auto.com/xcdg/20200211/418211.shtml</v>
      </c>
      <c r="G9527" s="2"/>
      <c r="H9527" s="2" t="s">
        <v>12838</v>
      </c>
      <c r="I9527" s="2" t="s">
        <v>15</v>
      </c>
      <c r="J9527" s="2" t="s">
        <v>12</v>
      </c>
      <c r="K9527" s="2" t="s">
        <v>12836</v>
      </c>
      <c r="L9527" s="2">
        <f t="shared" si="148"/>
        <v>150</v>
      </c>
    </row>
    <row r="9528" spans="1:12" ht="25" customHeight="1">
      <c r="A9528" s="2" t="s">
        <v>12</v>
      </c>
      <c r="B9528" s="2" t="str">
        <f>HYPERLINK("http://m.12365auto.com/xcdg/20200211/418211.shtml","Blackwood版R1T 林肯携手Rivian研发电动车")</f>
        <v>Blackwood版R1T 林肯携手Rivian研发电动车</v>
      </c>
      <c r="C9528" s="2" t="s">
        <v>13</v>
      </c>
      <c r="D9528" s="2" t="s">
        <v>12</v>
      </c>
      <c r="E9528" s="2"/>
      <c r="F9528" s="2" t="str">
        <f>HYPERLINK("http://m.12365auto.com/xcdg/20200211/418211.shtml","http://m.12365auto.com/xcdg/20200211/418211.shtml")</f>
        <v>http://m.12365auto.com/xcdg/20200211/418211.shtml</v>
      </c>
      <c r="G9528" s="2"/>
      <c r="H9528" s="2" t="s">
        <v>12839</v>
      </c>
      <c r="I9528" s="2" t="s">
        <v>19</v>
      </c>
      <c r="J9528" s="2" t="s">
        <v>2612</v>
      </c>
      <c r="K9528" s="2" t="s">
        <v>12836</v>
      </c>
      <c r="L9528" s="2">
        <f t="shared" si="148"/>
        <v>150</v>
      </c>
    </row>
    <row r="9529" spans="1:12" ht="25" customHeight="1">
      <c r="A9529" s="2" t="s">
        <v>12</v>
      </c>
      <c r="B9529" s="2" t="str">
        <f>HYPERLINK("http://bbs.12365auto.com/postcontent.aspx?tId=193762","比保时捷718有格调比宝马M3好撩妹 新款捷豹F-TYPE实")</f>
        <v>比保时捷718有格调比宝马M3好撩妹 新款捷豹F-TYPE实</v>
      </c>
      <c r="C9529" s="2" t="s">
        <v>13</v>
      </c>
      <c r="D9529" s="2" t="s">
        <v>12</v>
      </c>
      <c r="E9529" s="2" t="s">
        <v>210</v>
      </c>
      <c r="F9529" s="2" t="str">
        <f>HYPERLINK("http://bbs.12365auto.com/postcontent.aspx?tId=193762","http://bbs.12365auto.com/postcontent.aspx?tId=193762")</f>
        <v>http://bbs.12365auto.com/postcontent.aspx?tId=193762</v>
      </c>
      <c r="G9529" s="2"/>
      <c r="H9529" s="2" t="s">
        <v>12840</v>
      </c>
      <c r="I9529" s="2" t="s">
        <v>15</v>
      </c>
      <c r="J9529" s="2" t="s">
        <v>7701</v>
      </c>
      <c r="K9529" s="2" t="s">
        <v>12841</v>
      </c>
      <c r="L9529" s="2">
        <f t="shared" si="148"/>
        <v>150</v>
      </c>
    </row>
    <row r="9530" spans="1:12" ht="25" customHeight="1">
      <c r="A9530" s="2" t="s">
        <v>12</v>
      </c>
      <c r="B9530" s="2" t="str">
        <f>HYPERLINK("http://bbs.12365auto.com/postcontent.aspx?tId=193761","2020款奥迪RS7：战斗水泥灰 估计只能在游戏里开了")</f>
        <v>2020款奥迪RS7：战斗水泥灰 估计只能在游戏里开了</v>
      </c>
      <c r="C9530" s="2" t="s">
        <v>13</v>
      </c>
      <c r="D9530" s="2" t="s">
        <v>12</v>
      </c>
      <c r="E9530" s="2" t="s">
        <v>210</v>
      </c>
      <c r="F9530" s="2" t="str">
        <f>HYPERLINK("http://bbs.12365auto.com/postcontent.aspx?tId=193761","http://bbs.12365auto.com/postcontent.aspx?tId=193761")</f>
        <v>http://bbs.12365auto.com/postcontent.aspx?tId=193761</v>
      </c>
      <c r="G9530" s="2"/>
      <c r="H9530" s="2" t="s">
        <v>12842</v>
      </c>
      <c r="I9530" s="2" t="s">
        <v>15</v>
      </c>
      <c r="J9530" s="2" t="s">
        <v>7701</v>
      </c>
      <c r="K9530" s="2" t="s">
        <v>12841</v>
      </c>
      <c r="L9530" s="2">
        <f t="shared" si="148"/>
        <v>150</v>
      </c>
    </row>
    <row r="9531" spans="1:12" ht="25" customHeight="1">
      <c r="A9531" s="2" t="s">
        <v>12</v>
      </c>
      <c r="B9531" s="2" t="str">
        <f>HYPERLINK("http://bbs.12365auto.com/postcontent.aspx?tID=193761","2020款奥迪RS7：战斗水泥灰 估计只能在游戏里开了")</f>
        <v>2020款奥迪RS7：战斗水泥灰 估计只能在游戏里开了</v>
      </c>
      <c r="C9531" s="2" t="s">
        <v>13</v>
      </c>
      <c r="D9531" s="2" t="s">
        <v>12</v>
      </c>
      <c r="E9531" s="2" t="s">
        <v>214</v>
      </c>
      <c r="F9531" s="2" t="str">
        <f>HYPERLINK("http://bbs.12365auto.com/postcontent.aspx?tID=193761","http://bbs.12365auto.com/postcontent.aspx?tID=193761")</f>
        <v>http://bbs.12365auto.com/postcontent.aspx?tID=193761</v>
      </c>
      <c r="G9531" s="2"/>
      <c r="H9531" s="2" t="s">
        <v>12843</v>
      </c>
      <c r="I9531" s="2" t="s">
        <v>15</v>
      </c>
      <c r="J9531" s="2" t="s">
        <v>7701</v>
      </c>
      <c r="K9531" s="2" t="s">
        <v>12841</v>
      </c>
      <c r="L9531" s="2">
        <f t="shared" si="148"/>
        <v>150</v>
      </c>
    </row>
    <row r="9532" spans="1:12" ht="25" customHeight="1">
      <c r="A9532" s="2" t="s">
        <v>12</v>
      </c>
      <c r="B9532" s="2" t="str">
        <f>HYPERLINK("http://bbs.12365auto.com/postcontent.aspx?tID=193762","比保时捷718有格调比宝马M3好撩妹 新款捷豹F-TYPE实")</f>
        <v>比保时捷718有格调比宝马M3好撩妹 新款捷豹F-TYPE实</v>
      </c>
      <c r="C9532" s="2" t="s">
        <v>13</v>
      </c>
      <c r="D9532" s="2" t="s">
        <v>12</v>
      </c>
      <c r="E9532" s="2" t="s">
        <v>214</v>
      </c>
      <c r="F9532" s="2" t="str">
        <f>HYPERLINK("http://bbs.12365auto.com/postcontent.aspx?tID=193762","http://bbs.12365auto.com/postcontent.aspx?tID=193762")</f>
        <v>http://bbs.12365auto.com/postcontent.aspx?tID=193762</v>
      </c>
      <c r="G9532" s="2"/>
      <c r="H9532" s="2" t="s">
        <v>12844</v>
      </c>
      <c r="I9532" s="2" t="s">
        <v>15</v>
      </c>
      <c r="J9532" s="2" t="s">
        <v>7701</v>
      </c>
      <c r="K9532" s="2" t="s">
        <v>12841</v>
      </c>
      <c r="L9532" s="2">
        <f t="shared" si="148"/>
        <v>150</v>
      </c>
    </row>
    <row r="9533" spans="1:12" ht="25" customHeight="1">
      <c r="A9533" s="2" t="s">
        <v>12</v>
      </c>
      <c r="B9533" s="2" t="str">
        <f>HYPERLINK("http://m.12365auto.com/bbs/postcontent.aspx?tID=193762","比保时捷718有格调比宝马M3好撩妹 新款捷豹F-TYPE实")</f>
        <v>比保时捷718有格调比宝马M3好撩妹 新款捷豹F-TYPE实</v>
      </c>
      <c r="C9533" s="2" t="s">
        <v>13</v>
      </c>
      <c r="D9533" s="2" t="s">
        <v>23</v>
      </c>
      <c r="E9533" s="2"/>
      <c r="F9533" s="2" t="str">
        <f>HYPERLINK("http://m.12365auto.com/bbs/postcontent.aspx?tID=193762","http://m.12365auto.com/bbs/postcontent.aspx?tID=193762")</f>
        <v>http://m.12365auto.com/bbs/postcontent.aspx?tID=193762</v>
      </c>
      <c r="G9533" s="2"/>
      <c r="H9533" s="2" t="s">
        <v>12840</v>
      </c>
      <c r="I9533" s="2" t="s">
        <v>15</v>
      </c>
      <c r="J9533" s="2" t="s">
        <v>7701</v>
      </c>
      <c r="K9533" s="2" t="s">
        <v>12841</v>
      </c>
      <c r="L9533" s="2">
        <f t="shared" si="148"/>
        <v>150</v>
      </c>
    </row>
    <row r="9534" spans="1:12" ht="25" customHeight="1">
      <c r="A9534" s="2" t="s">
        <v>12</v>
      </c>
      <c r="B9534" s="2" t="str">
        <f>HYPERLINK("http://www.12365auto.com/xcdg/20200211/418210.shtml","雷克萨斯UX 250h特别版开售 配置丰富")</f>
        <v>雷克萨斯UX 250h特别版开售 配置丰富</v>
      </c>
      <c r="C9534" s="2" t="s">
        <v>13</v>
      </c>
      <c r="D9534" s="2" t="s">
        <v>12</v>
      </c>
      <c r="E9534" s="2" t="s">
        <v>216</v>
      </c>
      <c r="F9534" s="2" t="str">
        <f>HYPERLINK("http://www.12365auto.com/xcdg/20200211/418210.shtml","http://www.12365auto.com/xcdg/20200211/418210.shtml")</f>
        <v>http://www.12365auto.com/xcdg/20200211/418210.shtml</v>
      </c>
      <c r="G9534" s="2"/>
      <c r="H9534" s="2" t="s">
        <v>12845</v>
      </c>
      <c r="I9534" s="2" t="s">
        <v>15</v>
      </c>
      <c r="J9534" s="2" t="s">
        <v>12</v>
      </c>
      <c r="K9534" s="2" t="s">
        <v>12841</v>
      </c>
      <c r="L9534" s="2">
        <f t="shared" si="148"/>
        <v>150</v>
      </c>
    </row>
    <row r="9535" spans="1:12" ht="25" customHeight="1">
      <c r="A9535" s="2" t="s">
        <v>12</v>
      </c>
      <c r="B9535" s="2" t="str">
        <f>HYPERLINK("http://m.12365auto.com/xcdg/20200211/418210.shtml","雷克萨斯UX 250h特别版开售 配置丰富")</f>
        <v>雷克萨斯UX 250h特别版开售 配置丰富</v>
      </c>
      <c r="C9535" s="2" t="s">
        <v>13</v>
      </c>
      <c r="D9535" s="2" t="s">
        <v>12</v>
      </c>
      <c r="E9535" s="2"/>
      <c r="F9535" s="2" t="str">
        <f>HYPERLINK("http://m.12365auto.com/xcdg/20200211/418210.shtml","http://m.12365auto.com/xcdg/20200211/418210.shtml")</f>
        <v>http://m.12365auto.com/xcdg/20200211/418210.shtml</v>
      </c>
      <c r="G9535" s="2"/>
      <c r="H9535" s="2" t="s">
        <v>12846</v>
      </c>
      <c r="I9535" s="2" t="s">
        <v>19</v>
      </c>
      <c r="J9535" s="2" t="s">
        <v>220</v>
      </c>
      <c r="K9535" s="2" t="s">
        <v>12841</v>
      </c>
      <c r="L9535" s="2">
        <f t="shared" si="148"/>
        <v>150</v>
      </c>
    </row>
    <row r="9536" spans="1:12" ht="25" customHeight="1">
      <c r="A9536" s="2" t="s">
        <v>12</v>
      </c>
      <c r="B9536" s="2" t="str">
        <f>HYPERLINK("http://bbs.12365auto.com/postcontent.aspx?tId=193760","宝来现已跌到7.88万了 价格堪称“亲民” 还买大众桑塔纳？")</f>
        <v>宝来现已跌到7.88万了 价格堪称“亲民” 还买大众桑塔纳？</v>
      </c>
      <c r="C9536" s="2" t="s">
        <v>13</v>
      </c>
      <c r="D9536" s="2" t="s">
        <v>12</v>
      </c>
      <c r="E9536" s="2" t="s">
        <v>210</v>
      </c>
      <c r="F9536" s="2" t="str">
        <f>HYPERLINK("http://bbs.12365auto.com/postcontent.aspx?tId=193760","http://bbs.12365auto.com/postcontent.aspx?tId=193760")</f>
        <v>http://bbs.12365auto.com/postcontent.aspx?tId=193760</v>
      </c>
      <c r="G9536" s="2"/>
      <c r="H9536" s="2" t="s">
        <v>12847</v>
      </c>
      <c r="I9536" s="2" t="s">
        <v>15</v>
      </c>
      <c r="J9536" s="2" t="s">
        <v>7701</v>
      </c>
      <c r="K9536" s="2" t="s">
        <v>12848</v>
      </c>
      <c r="L9536" s="2">
        <f t="shared" si="148"/>
        <v>150</v>
      </c>
    </row>
    <row r="9537" spans="1:12" ht="25" customHeight="1">
      <c r="A9537" s="2" t="s">
        <v>12</v>
      </c>
      <c r="B9537" s="2" t="str">
        <f>HYPERLINK("http://www.12365auto.com/xcdg/20200211/418209.shtml","雪佛兰纯电动车畅巡到店实拍 续航410km")</f>
        <v>雪佛兰纯电动车畅巡到店实拍 续航410km</v>
      </c>
      <c r="C9537" s="2" t="s">
        <v>13</v>
      </c>
      <c r="D9537" s="2" t="s">
        <v>12</v>
      </c>
      <c r="E9537" s="2" t="s">
        <v>216</v>
      </c>
      <c r="F9537" s="2" t="str">
        <f>HYPERLINK("http://www.12365auto.com/xcdg/20200211/418209.shtml","http://www.12365auto.com/xcdg/20200211/418209.shtml")</f>
        <v>http://www.12365auto.com/xcdg/20200211/418209.shtml</v>
      </c>
      <c r="G9537" s="2"/>
      <c r="H9537" s="2" t="s">
        <v>12849</v>
      </c>
      <c r="I9537" s="2" t="s">
        <v>15</v>
      </c>
      <c r="J9537" s="2" t="s">
        <v>12</v>
      </c>
      <c r="K9537" s="2" t="s">
        <v>12848</v>
      </c>
      <c r="L9537" s="2">
        <f t="shared" si="148"/>
        <v>150</v>
      </c>
    </row>
    <row r="9538" spans="1:12" ht="25" customHeight="1">
      <c r="A9538" s="2" t="s">
        <v>12</v>
      </c>
      <c r="B9538" s="2" t="str">
        <f>HYPERLINK("http://bbs.12365auto.com/postcontent.aspx?tID=193760","宝来现已跌到7.88万了 价格堪称“亲民” 还买大众桑塔纳？")</f>
        <v>宝来现已跌到7.88万了 价格堪称“亲民” 还买大众桑塔纳？</v>
      </c>
      <c r="C9538" s="2" t="s">
        <v>13</v>
      </c>
      <c r="D9538" s="2" t="s">
        <v>12</v>
      </c>
      <c r="E9538" s="2" t="s">
        <v>214</v>
      </c>
      <c r="F9538" s="2" t="str">
        <f>HYPERLINK("http://bbs.12365auto.com/postcontent.aspx?tID=193760","http://bbs.12365auto.com/postcontent.aspx?tID=193760")</f>
        <v>http://bbs.12365auto.com/postcontent.aspx?tID=193760</v>
      </c>
      <c r="G9538" s="2"/>
      <c r="H9538" s="2" t="s">
        <v>12850</v>
      </c>
      <c r="I9538" s="2" t="s">
        <v>15</v>
      </c>
      <c r="J9538" s="2" t="s">
        <v>7701</v>
      </c>
      <c r="K9538" s="2" t="s">
        <v>12848</v>
      </c>
      <c r="L9538" s="2">
        <f t="shared" si="148"/>
        <v>150</v>
      </c>
    </row>
    <row r="9539" spans="1:12" ht="25" customHeight="1">
      <c r="A9539" s="2" t="s">
        <v>12</v>
      </c>
      <c r="B9539" s="2" t="str">
        <f>HYPERLINK("http://m.12365auto.com/xcdg/20200211/418209.shtml","雪佛兰纯电动车畅巡到店实拍 续航410km")</f>
        <v>雪佛兰纯电动车畅巡到店实拍 续航410km</v>
      </c>
      <c r="C9539" s="2" t="s">
        <v>13</v>
      </c>
      <c r="D9539" s="2" t="s">
        <v>12</v>
      </c>
      <c r="E9539" s="2"/>
      <c r="F9539" s="2" t="str">
        <f>HYPERLINK("http://m.12365auto.com/xcdg/20200211/418209.shtml","http://m.12365auto.com/xcdg/20200211/418209.shtml")</f>
        <v>http://m.12365auto.com/xcdg/20200211/418209.shtml</v>
      </c>
      <c r="G9539" s="2"/>
      <c r="H9539" s="2" t="s">
        <v>12851</v>
      </c>
      <c r="I9539" s="2" t="s">
        <v>19</v>
      </c>
      <c r="J9539" s="2" t="s">
        <v>739</v>
      </c>
      <c r="K9539" s="2" t="s">
        <v>12848</v>
      </c>
      <c r="L9539" s="2">
        <f t="shared" ref="L9539:L9602" si="149">LEN(H9539)</f>
        <v>150</v>
      </c>
    </row>
    <row r="9540" spans="1:12" ht="25" customHeight="1">
      <c r="A9540" s="2" t="s">
        <v>12</v>
      </c>
      <c r="B9540" s="2" t="str">
        <f>HYPERLINK("http://bbs.12365auto.com/postcontent.aspx?tID=193758","一手防疫情一手抓生产 国内20多家主流车企半数陆续复工")</f>
        <v>一手防疫情一手抓生产 国内20多家主流车企半数陆续复工</v>
      </c>
      <c r="C9540" s="2" t="s">
        <v>13</v>
      </c>
      <c r="D9540" s="2" t="s">
        <v>12</v>
      </c>
      <c r="E9540" s="2" t="s">
        <v>214</v>
      </c>
      <c r="F9540" s="2" t="str">
        <f>HYPERLINK("http://bbs.12365auto.com/postcontent.aspx?tID=193758","http://bbs.12365auto.com/postcontent.aspx?tID=193758")</f>
        <v>http://bbs.12365auto.com/postcontent.aspx?tID=193758</v>
      </c>
      <c r="G9540" s="2"/>
      <c r="H9540" s="2" t="s">
        <v>12852</v>
      </c>
      <c r="I9540" s="2" t="s">
        <v>15</v>
      </c>
      <c r="J9540" s="2" t="s">
        <v>7701</v>
      </c>
      <c r="K9540" s="2" t="s">
        <v>12853</v>
      </c>
      <c r="L9540" s="2">
        <f t="shared" si="149"/>
        <v>150</v>
      </c>
    </row>
    <row r="9541" spans="1:12" ht="25" customHeight="1">
      <c r="A9541" s="2" t="s">
        <v>12</v>
      </c>
      <c r="B9541" s="2" t="str">
        <f>HYPERLINK("http://www.12365auto.com/zlts/20200211/446845.shtml","哈弗H9官方网站配置参数与实际不符")</f>
        <v>哈弗H9官方网站配置参数与实际不符</v>
      </c>
      <c r="C9541" s="2" t="s">
        <v>13</v>
      </c>
      <c r="D9541" s="2" t="s">
        <v>12</v>
      </c>
      <c r="E9541" s="2" t="s">
        <v>17</v>
      </c>
      <c r="F9541" s="2" t="str">
        <f>HYPERLINK("http://www.12365auto.com/zlts/20200211/446845.shtml","http://www.12365auto.com/zlts/20200211/446845.shtml")</f>
        <v>http://www.12365auto.com/zlts/20200211/446845.shtml</v>
      </c>
      <c r="G9541" s="2"/>
      <c r="H9541" s="2" t="s">
        <v>12854</v>
      </c>
      <c r="I9541" s="2" t="s">
        <v>19</v>
      </c>
      <c r="J9541" s="2" t="s">
        <v>12</v>
      </c>
      <c r="K9541" s="2" t="s">
        <v>12853</v>
      </c>
      <c r="L9541" s="2">
        <f t="shared" si="149"/>
        <v>150</v>
      </c>
    </row>
    <row r="9542" spans="1:12" ht="25" customHeight="1">
      <c r="A9542" s="2" t="s">
        <v>12</v>
      </c>
      <c r="B9542" s="2" t="str">
        <f>HYPERLINK("http://bbs.12365auto.com/postcontent.aspx?tID=193759","全新一代高尔夫GTI实拍图曝光 配备碗口大的双出排气管")</f>
        <v>全新一代高尔夫GTI实拍图曝光 配备碗口大的双出排气管</v>
      </c>
      <c r="C9542" s="2" t="s">
        <v>13</v>
      </c>
      <c r="D9542" s="2" t="s">
        <v>12</v>
      </c>
      <c r="E9542" s="2" t="s">
        <v>214</v>
      </c>
      <c r="F9542" s="2" t="str">
        <f>HYPERLINK("http://bbs.12365auto.com/postcontent.aspx?tID=193759","http://bbs.12365auto.com/postcontent.aspx?tID=193759")</f>
        <v>http://bbs.12365auto.com/postcontent.aspx?tID=193759</v>
      </c>
      <c r="G9542" s="2"/>
      <c r="H9542" s="2" t="s">
        <v>12709</v>
      </c>
      <c r="I9542" s="2" t="s">
        <v>15</v>
      </c>
      <c r="J9542" s="2" t="s">
        <v>7701</v>
      </c>
      <c r="K9542" s="2" t="s">
        <v>12853</v>
      </c>
      <c r="L9542" s="2">
        <f t="shared" si="149"/>
        <v>150</v>
      </c>
    </row>
    <row r="9543" spans="1:12" ht="25" customHeight="1">
      <c r="A9543" s="2" t="s">
        <v>12</v>
      </c>
      <c r="B9543" s="2" t="str">
        <f>HYPERLINK("http://m.12365auto.com/xcdg/20200211/418208.shtml","放弃手动变速箱 2021款捷豹F-Type发布")</f>
        <v>放弃手动变速箱 2021款捷豹F-Type发布</v>
      </c>
      <c r="C9543" s="2" t="s">
        <v>13</v>
      </c>
      <c r="D9543" s="2" t="s">
        <v>12</v>
      </c>
      <c r="E9543" s="2"/>
      <c r="F9543" s="2" t="str">
        <f>HYPERLINK("http://m.12365auto.com/xcdg/20200211/418208.shtml","http://m.12365auto.com/xcdg/20200211/418208.shtml")</f>
        <v>http://m.12365auto.com/xcdg/20200211/418208.shtml</v>
      </c>
      <c r="G9543" s="2"/>
      <c r="H9543" s="2" t="s">
        <v>12855</v>
      </c>
      <c r="I9543" s="2" t="s">
        <v>19</v>
      </c>
      <c r="J9543" s="2" t="s">
        <v>3058</v>
      </c>
      <c r="K9543" s="2" t="s">
        <v>12853</v>
      </c>
      <c r="L9543" s="2">
        <f t="shared" si="149"/>
        <v>150</v>
      </c>
    </row>
    <row r="9544" spans="1:12" ht="25" customHeight="1">
      <c r="A9544" s="2" t="s">
        <v>12</v>
      </c>
      <c r="B9544" s="2" t="str">
        <f>HYPERLINK("http://www.12365auto.com/xcdg/20200211/418208.shtml","放弃手动变速箱 2021款捷豹F-Type发布")</f>
        <v>放弃手动变速箱 2021款捷豹F-Type发布</v>
      </c>
      <c r="C9544" s="2" t="s">
        <v>13</v>
      </c>
      <c r="D9544" s="2" t="s">
        <v>12</v>
      </c>
      <c r="E9544" s="2" t="s">
        <v>245</v>
      </c>
      <c r="F9544" s="2" t="str">
        <f>HYPERLINK("http://www.12365auto.com/xcdg/20200211/418208.shtml","http://www.12365auto.com/xcdg/20200211/418208.shtml")</f>
        <v>http://www.12365auto.com/xcdg/20200211/418208.shtml</v>
      </c>
      <c r="G9544" s="2"/>
      <c r="H9544" s="2" t="s">
        <v>12856</v>
      </c>
      <c r="I9544" s="2" t="s">
        <v>19</v>
      </c>
      <c r="J9544" s="2" t="s">
        <v>12</v>
      </c>
      <c r="K9544" s="2" t="s">
        <v>12853</v>
      </c>
      <c r="L9544" s="2">
        <f t="shared" si="149"/>
        <v>150</v>
      </c>
    </row>
    <row r="9545" spans="1:12" ht="25" customHeight="1">
      <c r="A9545" s="2" t="s">
        <v>12</v>
      </c>
      <c r="B9545" s="2" t="str">
        <f>HYPERLINK("http://www.12365auto.com/news/20200211/418207.shtml","英菲尼迪1月销量涨4.3% 3项举措关怀客户")</f>
        <v>英菲尼迪1月销量涨4.3% 3项举措关怀客户</v>
      </c>
      <c r="C9545" s="2" t="s">
        <v>13</v>
      </c>
      <c r="D9545" s="2" t="s">
        <v>12</v>
      </c>
      <c r="E9545" s="2" t="s">
        <v>276</v>
      </c>
      <c r="F9545" s="2" t="str">
        <f>HYPERLINK("http://www.12365auto.com/news/20200211/418207.shtml","http://www.12365auto.com/news/20200211/418207.shtml")</f>
        <v>http://www.12365auto.com/news/20200211/418207.shtml</v>
      </c>
      <c r="G9545" s="2"/>
      <c r="H9545" s="2" t="s">
        <v>12857</v>
      </c>
      <c r="I9545" s="2" t="s">
        <v>15</v>
      </c>
      <c r="J9545" s="2" t="s">
        <v>12</v>
      </c>
      <c r="K9545" s="2" t="s">
        <v>12858</v>
      </c>
      <c r="L9545" s="2">
        <f t="shared" si="149"/>
        <v>150</v>
      </c>
    </row>
    <row r="9546" spans="1:12" ht="25" customHeight="1">
      <c r="A9546" s="2" t="s">
        <v>12</v>
      </c>
      <c r="B9546" s="2" t="str">
        <f>HYPERLINK("http://m.12365auto.com/news/20200211/418207.shtml","英菲尼迪1月销量涨4.3% 3项举措关怀客户")</f>
        <v>英菲尼迪1月销量涨4.3% 3项举措关怀客户</v>
      </c>
      <c r="C9546" s="2" t="s">
        <v>13</v>
      </c>
      <c r="D9546" s="2" t="s">
        <v>12</v>
      </c>
      <c r="E9546" s="2"/>
      <c r="F9546" s="2" t="str">
        <f>HYPERLINK("http://m.12365auto.com/news/20200211/418207.shtml","http://m.12365auto.com/news/20200211/418207.shtml")</f>
        <v>http://m.12365auto.com/news/20200211/418207.shtml</v>
      </c>
      <c r="G9546" s="2"/>
      <c r="H9546" s="2" t="s">
        <v>12859</v>
      </c>
      <c r="I9546" s="2" t="s">
        <v>19</v>
      </c>
      <c r="J9546" s="2" t="s">
        <v>2603</v>
      </c>
      <c r="K9546" s="2" t="s">
        <v>12858</v>
      </c>
      <c r="L9546" s="2">
        <f t="shared" si="149"/>
        <v>150</v>
      </c>
    </row>
    <row r="9547" spans="1:12" ht="25" customHeight="1">
      <c r="A9547" s="2" t="s">
        <v>12</v>
      </c>
      <c r="B9547" s="2" t="str">
        <f>HYPERLINK("http://www.12365auto.com/xcdg/20200211/418206.shtml","Atlas Tanoak前途未卜 小皮卡更具希望")</f>
        <v>Atlas Tanoak前途未卜 小皮卡更具希望</v>
      </c>
      <c r="C9547" s="2" t="s">
        <v>13</v>
      </c>
      <c r="D9547" s="2" t="s">
        <v>12</v>
      </c>
      <c r="E9547" s="2" t="s">
        <v>216</v>
      </c>
      <c r="F9547" s="2" t="str">
        <f>HYPERLINK("http://www.12365auto.com/xcdg/20200211/418206.shtml","http://www.12365auto.com/xcdg/20200211/418206.shtml")</f>
        <v>http://www.12365auto.com/xcdg/20200211/418206.shtml</v>
      </c>
      <c r="G9547" s="2"/>
      <c r="H9547" s="2" t="s">
        <v>12860</v>
      </c>
      <c r="I9547" s="2" t="s">
        <v>15</v>
      </c>
      <c r="J9547" s="2" t="s">
        <v>12</v>
      </c>
      <c r="K9547" s="2" t="s">
        <v>12861</v>
      </c>
      <c r="L9547" s="2">
        <f t="shared" si="149"/>
        <v>150</v>
      </c>
    </row>
    <row r="9548" spans="1:12" ht="25" customHeight="1">
      <c r="A9548" s="2" t="s">
        <v>12</v>
      </c>
      <c r="B9548" s="2" t="str">
        <f>HYPERLINK("http://m.12365auto.com/xcdg/20200211/418206.shtml","Atlas Tanoak前途未卜 小皮卡更具希望")</f>
        <v>Atlas Tanoak前途未卜 小皮卡更具希望</v>
      </c>
      <c r="C9548" s="2" t="s">
        <v>13</v>
      </c>
      <c r="D9548" s="2" t="s">
        <v>12</v>
      </c>
      <c r="E9548" s="2"/>
      <c r="F9548" s="2" t="str">
        <f>HYPERLINK("http://m.12365auto.com/xcdg/20200211/418206.shtml","http://m.12365auto.com/xcdg/20200211/418206.shtml")</f>
        <v>http://m.12365auto.com/xcdg/20200211/418206.shtml</v>
      </c>
      <c r="G9548" s="2"/>
      <c r="H9548" s="2" t="s">
        <v>12862</v>
      </c>
      <c r="I9548" s="2" t="s">
        <v>19</v>
      </c>
      <c r="J9548" s="2" t="s">
        <v>2612</v>
      </c>
      <c r="K9548" s="2" t="s">
        <v>12861</v>
      </c>
      <c r="L9548" s="2">
        <f t="shared" si="149"/>
        <v>150</v>
      </c>
    </row>
    <row r="9549" spans="1:12" ht="25" customHeight="1">
      <c r="A9549" s="2" t="s">
        <v>12</v>
      </c>
      <c r="B9549" s="2" t="str">
        <f>HYPERLINK("http://www.12365auto.com/xcdg/20200211/418205.shtml","星途全新轿车谍照曝光 搭1.6T动力超领克")</f>
        <v>星途全新轿车谍照曝光 搭1.6T动力超领克</v>
      </c>
      <c r="C9549" s="2" t="s">
        <v>13</v>
      </c>
      <c r="D9549" s="2" t="s">
        <v>12</v>
      </c>
      <c r="E9549" s="2" t="s">
        <v>224</v>
      </c>
      <c r="F9549" s="2" t="str">
        <f>HYPERLINK("http://www.12365auto.com/xcdg/20200211/418205.shtml","http://www.12365auto.com/xcdg/20200211/418205.shtml")</f>
        <v>http://www.12365auto.com/xcdg/20200211/418205.shtml</v>
      </c>
      <c r="G9549" s="2"/>
      <c r="H9549" s="2" t="s">
        <v>12863</v>
      </c>
      <c r="I9549" s="2" t="s">
        <v>15</v>
      </c>
      <c r="J9549" s="2" t="s">
        <v>12</v>
      </c>
      <c r="K9549" s="2" t="s">
        <v>12864</v>
      </c>
      <c r="L9549" s="2">
        <f t="shared" si="149"/>
        <v>150</v>
      </c>
    </row>
    <row r="9550" spans="1:12" ht="25" customHeight="1">
      <c r="A9550" s="2" t="s">
        <v>12</v>
      </c>
      <c r="B9550" s="2" t="str">
        <f>HYPERLINK("http://m.12365auto.com/xcdg/20200211/418205.shtml","星途全新轿车谍照曝光 搭1.6T动力超领克")</f>
        <v>星途全新轿车谍照曝光 搭1.6T动力超领克</v>
      </c>
      <c r="C9550" s="2" t="s">
        <v>13</v>
      </c>
      <c r="D9550" s="2" t="s">
        <v>12</v>
      </c>
      <c r="E9550" s="2"/>
      <c r="F9550" s="2" t="str">
        <f>HYPERLINK("http://m.12365auto.com/xcdg/20200211/418205.shtml","http://m.12365auto.com/xcdg/20200211/418205.shtml")</f>
        <v>http://m.12365auto.com/xcdg/20200211/418205.shtml</v>
      </c>
      <c r="G9550" s="2"/>
      <c r="H9550" s="2" t="s">
        <v>12865</v>
      </c>
      <c r="I9550" s="2" t="s">
        <v>19</v>
      </c>
      <c r="J9550" s="2" t="s">
        <v>3053</v>
      </c>
      <c r="K9550" s="2" t="s">
        <v>12864</v>
      </c>
      <c r="L9550" s="2">
        <f t="shared" si="149"/>
        <v>150</v>
      </c>
    </row>
    <row r="9551" spans="1:12" ht="25" customHeight="1">
      <c r="A9551" s="2" t="s">
        <v>12</v>
      </c>
      <c r="B9551" s="2" t="str">
        <f>HYPERLINK("http://www.12365auto.com/news/20200211/418204.shtml","捷途1月销量增18% X70 Coupe即将上市")</f>
        <v>捷途1月销量增18% X70 Coupe即将上市</v>
      </c>
      <c r="C9551" s="2" t="s">
        <v>13</v>
      </c>
      <c r="D9551" s="2" t="s">
        <v>12</v>
      </c>
      <c r="E9551" s="2" t="s">
        <v>276</v>
      </c>
      <c r="F9551" s="2" t="str">
        <f>HYPERLINK("http://www.12365auto.com/news/20200211/418204.shtml","http://www.12365auto.com/news/20200211/418204.shtml")</f>
        <v>http://www.12365auto.com/news/20200211/418204.shtml</v>
      </c>
      <c r="G9551" s="2"/>
      <c r="H9551" s="2" t="s">
        <v>12866</v>
      </c>
      <c r="I9551" s="2" t="s">
        <v>15</v>
      </c>
      <c r="J9551" s="2" t="s">
        <v>12</v>
      </c>
      <c r="K9551" s="2" t="s">
        <v>12867</v>
      </c>
      <c r="L9551" s="2">
        <f t="shared" si="149"/>
        <v>150</v>
      </c>
    </row>
    <row r="9552" spans="1:12" ht="25" customHeight="1">
      <c r="A9552" s="2" t="s">
        <v>12</v>
      </c>
      <c r="B9552" s="2" t="str">
        <f>HYPERLINK("http://m.12365auto.com/news/20200211/418204.shtml","捷途1月销量增18% X70 Coupe即将上市")</f>
        <v>捷途1月销量增18% X70 Coupe即将上市</v>
      </c>
      <c r="C9552" s="2" t="s">
        <v>13</v>
      </c>
      <c r="D9552" s="2" t="s">
        <v>12</v>
      </c>
      <c r="E9552" s="2"/>
      <c r="F9552" s="2" t="str">
        <f>HYPERLINK("http://m.12365auto.com/news/20200211/418204.shtml","http://m.12365auto.com/news/20200211/418204.shtml")</f>
        <v>http://m.12365auto.com/news/20200211/418204.shtml</v>
      </c>
      <c r="G9552" s="2"/>
      <c r="H9552" s="2" t="s">
        <v>12868</v>
      </c>
      <c r="I9552" s="2" t="s">
        <v>19</v>
      </c>
      <c r="J9552" s="2" t="s">
        <v>6086</v>
      </c>
      <c r="K9552" s="2" t="s">
        <v>12867</v>
      </c>
      <c r="L9552" s="2">
        <f t="shared" si="149"/>
        <v>150</v>
      </c>
    </row>
    <row r="9553" spans="1:12" ht="25" customHeight="1">
      <c r="A9553" s="2" t="s">
        <v>12</v>
      </c>
      <c r="B9553" s="2" t="str">
        <f>HYPERLINK("http://www.12365auto.com/news/20200211/418203.shtml","北汽新能源降库存效果明显 首月产量大涨")</f>
        <v>北汽新能源降库存效果明显 首月产量大涨</v>
      </c>
      <c r="C9553" s="2" t="s">
        <v>13</v>
      </c>
      <c r="D9553" s="2" t="s">
        <v>12</v>
      </c>
      <c r="E9553" s="2" t="s">
        <v>276</v>
      </c>
      <c r="F9553" s="2" t="str">
        <f>HYPERLINK("http://www.12365auto.com/news/20200211/418203.shtml","http://www.12365auto.com/news/20200211/418203.shtml")</f>
        <v>http://www.12365auto.com/news/20200211/418203.shtml</v>
      </c>
      <c r="G9553" s="2"/>
      <c r="H9553" s="2" t="s">
        <v>12869</v>
      </c>
      <c r="I9553" s="2" t="s">
        <v>15</v>
      </c>
      <c r="J9553" s="2" t="s">
        <v>12</v>
      </c>
      <c r="K9553" s="2" t="s">
        <v>12870</v>
      </c>
      <c r="L9553" s="2">
        <f t="shared" si="149"/>
        <v>150</v>
      </c>
    </row>
    <row r="9554" spans="1:12" ht="25" customHeight="1">
      <c r="A9554" s="2" t="s">
        <v>12</v>
      </c>
      <c r="B9554" s="2" t="str">
        <f>HYPERLINK("http://m.12365auto.com/news/20200211/418203.shtml","北汽新能源降库存效果明显 首月产量大涨")</f>
        <v>北汽新能源降库存效果明显 首月产量大涨</v>
      </c>
      <c r="C9554" s="2" t="s">
        <v>13</v>
      </c>
      <c r="D9554" s="2" t="s">
        <v>12</v>
      </c>
      <c r="E9554" s="2"/>
      <c r="F9554" s="2" t="str">
        <f>HYPERLINK("http://m.12365auto.com/news/20200211/418203.shtml","http://m.12365auto.com/news/20200211/418203.shtml")</f>
        <v>http://m.12365auto.com/news/20200211/418203.shtml</v>
      </c>
      <c r="G9554" s="2"/>
      <c r="H9554" s="2" t="s">
        <v>12871</v>
      </c>
      <c r="I9554" s="2" t="s">
        <v>19</v>
      </c>
      <c r="J9554" s="2" t="s">
        <v>257</v>
      </c>
      <c r="K9554" s="2" t="s">
        <v>12870</v>
      </c>
      <c r="L9554" s="2">
        <f t="shared" si="149"/>
        <v>150</v>
      </c>
    </row>
    <row r="9555" spans="1:12" ht="25" customHeight="1">
      <c r="A9555" s="2" t="s">
        <v>12</v>
      </c>
      <c r="B9555" s="2" t="str">
        <f>HYPERLINK("http://m.12365auto.com/xcdg/20200211/418202.shtml","纳智捷优6 SUV搭新1.8T 动力超博越PRO")</f>
        <v>纳智捷优6 SUV搭新1.8T 动力超博越PRO</v>
      </c>
      <c r="C9555" s="2" t="s">
        <v>13</v>
      </c>
      <c r="D9555" s="2" t="s">
        <v>12</v>
      </c>
      <c r="E9555" s="2"/>
      <c r="F9555" s="2" t="str">
        <f>HYPERLINK("http://m.12365auto.com/xcdg/20200211/418202.shtml","http://m.12365auto.com/xcdg/20200211/418202.shtml")</f>
        <v>http://m.12365auto.com/xcdg/20200211/418202.shtml</v>
      </c>
      <c r="G9555" s="2"/>
      <c r="H9555" s="2" t="s">
        <v>12872</v>
      </c>
      <c r="I9555" s="2" t="s">
        <v>19</v>
      </c>
      <c r="J9555" s="2" t="s">
        <v>6086</v>
      </c>
      <c r="K9555" s="2" t="s">
        <v>12873</v>
      </c>
      <c r="L9555" s="2">
        <f t="shared" si="149"/>
        <v>150</v>
      </c>
    </row>
    <row r="9556" spans="1:12" ht="25" customHeight="1">
      <c r="A9556" s="2" t="s">
        <v>12</v>
      </c>
      <c r="B9556" s="2" t="str">
        <f>HYPERLINK("http://www.12365auto.com/xcdg/20200211/418202.shtml","纳智捷优6 SUV搭新1.8T 动力超博越PRO")</f>
        <v>纳智捷优6 SUV搭新1.8T 动力超博越PRO</v>
      </c>
      <c r="C9556" s="2" t="s">
        <v>13</v>
      </c>
      <c r="D9556" s="2" t="s">
        <v>12</v>
      </c>
      <c r="E9556" s="2" t="s">
        <v>216</v>
      </c>
      <c r="F9556" s="2" t="str">
        <f>HYPERLINK("http://www.12365auto.com/xcdg/20200211/418202.shtml","http://www.12365auto.com/xcdg/20200211/418202.shtml")</f>
        <v>http://www.12365auto.com/xcdg/20200211/418202.shtml</v>
      </c>
      <c r="G9556" s="2"/>
      <c r="H9556" s="2" t="s">
        <v>12874</v>
      </c>
      <c r="I9556" s="2" t="s">
        <v>15</v>
      </c>
      <c r="J9556" s="2" t="s">
        <v>12</v>
      </c>
      <c r="K9556" s="2" t="s">
        <v>12873</v>
      </c>
      <c r="L9556" s="2">
        <f t="shared" si="149"/>
        <v>150</v>
      </c>
    </row>
    <row r="9557" spans="1:12" ht="25" customHeight="1">
      <c r="A9557" s="2" t="s">
        <v>12</v>
      </c>
      <c r="B9557" s="2" t="str">
        <f>HYPERLINK("http://m.12365auto.com/xcdg/20200211/418201.shtml","大众全新高尔夫GTI TCR谍照 搭2.0T混动")</f>
        <v>大众全新高尔夫GTI TCR谍照 搭2.0T混动</v>
      </c>
      <c r="C9557" s="2" t="s">
        <v>13</v>
      </c>
      <c r="D9557" s="2" t="s">
        <v>12</v>
      </c>
      <c r="E9557" s="2"/>
      <c r="F9557" s="2" t="str">
        <f>HYPERLINK("http://m.12365auto.com/xcdg/20200211/418201.shtml","http://m.12365auto.com/xcdg/20200211/418201.shtml")</f>
        <v>http://m.12365auto.com/xcdg/20200211/418201.shtml</v>
      </c>
      <c r="G9557" s="2"/>
      <c r="H9557" s="2" t="s">
        <v>12875</v>
      </c>
      <c r="I9557" s="2" t="s">
        <v>19</v>
      </c>
      <c r="J9557" s="2" t="s">
        <v>220</v>
      </c>
      <c r="K9557" s="2" t="s">
        <v>12876</v>
      </c>
      <c r="L9557" s="2">
        <f t="shared" si="149"/>
        <v>150</v>
      </c>
    </row>
    <row r="9558" spans="1:12" ht="25" customHeight="1">
      <c r="A9558" s="2" t="s">
        <v>12</v>
      </c>
      <c r="B9558" s="2" t="str">
        <f>HYPERLINK("http://www.12365auto.com/xcdg/20200211/418201.shtml","大众全新高尔夫GTI TCR谍照 搭2.0T混动")</f>
        <v>大众全新高尔夫GTI TCR谍照 搭2.0T混动</v>
      </c>
      <c r="C9558" s="2" t="s">
        <v>13</v>
      </c>
      <c r="D9558" s="2" t="s">
        <v>12</v>
      </c>
      <c r="E9558" s="2" t="s">
        <v>224</v>
      </c>
      <c r="F9558" s="2" t="str">
        <f>HYPERLINK("http://www.12365auto.com/xcdg/20200211/418201.shtml","http://www.12365auto.com/xcdg/20200211/418201.shtml")</f>
        <v>http://www.12365auto.com/xcdg/20200211/418201.shtml</v>
      </c>
      <c r="G9558" s="2"/>
      <c r="H9558" s="2" t="s">
        <v>12877</v>
      </c>
      <c r="I9558" s="2" t="s">
        <v>15</v>
      </c>
      <c r="J9558" s="2" t="s">
        <v>12</v>
      </c>
      <c r="K9558" s="2" t="s">
        <v>12876</v>
      </c>
      <c r="L9558" s="2">
        <f t="shared" si="149"/>
        <v>150</v>
      </c>
    </row>
    <row r="9559" spans="1:12" ht="25" customHeight="1">
      <c r="A9559" s="2" t="s">
        <v>12</v>
      </c>
      <c r="B9559" s="2" t="str">
        <f>HYPERLINK("http://m.12365auto.com/xcdg/20200211/418200.shtml","韩系豪华SUV旗舰 四大亮点了解捷恩斯GV80")</f>
        <v>韩系豪华SUV旗舰 四大亮点了解捷恩斯GV80</v>
      </c>
      <c r="C9559" s="2" t="s">
        <v>13</v>
      </c>
      <c r="D9559" s="2" t="s">
        <v>12</v>
      </c>
      <c r="E9559" s="2"/>
      <c r="F9559" s="2" t="str">
        <f>HYPERLINK("http://m.12365auto.com/xcdg/20200211/418200.shtml","http://m.12365auto.com/xcdg/20200211/418200.shtml")</f>
        <v>http://m.12365auto.com/xcdg/20200211/418200.shtml</v>
      </c>
      <c r="G9559" s="2"/>
      <c r="H9559" s="2" t="s">
        <v>12878</v>
      </c>
      <c r="I9559" s="2" t="s">
        <v>19</v>
      </c>
      <c r="J9559" s="2" t="s">
        <v>3058</v>
      </c>
      <c r="K9559" s="2" t="s">
        <v>12879</v>
      </c>
      <c r="L9559" s="2">
        <f t="shared" si="149"/>
        <v>150</v>
      </c>
    </row>
    <row r="9560" spans="1:12" ht="25" customHeight="1">
      <c r="A9560" s="2" t="s">
        <v>12</v>
      </c>
      <c r="B9560" s="2" t="str">
        <f>HYPERLINK("http://www.12365auto.com/xcdg/20200211/418200.shtml","韩系豪华SUV旗舰 四大亮点了解捷恩斯GV80")</f>
        <v>韩系豪华SUV旗舰 四大亮点了解捷恩斯GV80</v>
      </c>
      <c r="C9560" s="2" t="s">
        <v>13</v>
      </c>
      <c r="D9560" s="2" t="s">
        <v>12</v>
      </c>
      <c r="E9560" s="2" t="s">
        <v>216</v>
      </c>
      <c r="F9560" s="2" t="str">
        <f>HYPERLINK("http://www.12365auto.com/xcdg/20200211/418200.shtml","http://www.12365auto.com/xcdg/20200211/418200.shtml")</f>
        <v>http://www.12365auto.com/xcdg/20200211/418200.shtml</v>
      </c>
      <c r="G9560" s="2"/>
      <c r="H9560" s="2" t="s">
        <v>12880</v>
      </c>
      <c r="I9560" s="2" t="s">
        <v>15</v>
      </c>
      <c r="J9560" s="2" t="s">
        <v>12</v>
      </c>
      <c r="K9560" s="2" t="s">
        <v>12879</v>
      </c>
      <c r="L9560" s="2">
        <f t="shared" si="149"/>
        <v>150</v>
      </c>
    </row>
    <row r="9561" spans="1:12" ht="25" customHeight="1">
      <c r="A9561" s="2" t="s">
        <v>12</v>
      </c>
      <c r="B9561" s="2" t="str">
        <f>HYPERLINK("http://m.12365auto.com/xcdg/20200211/418199.shtml","计划4月份亮相 LEVC推新增程式车型")</f>
        <v>计划4月份亮相 LEVC推新增程式车型</v>
      </c>
      <c r="C9561" s="2" t="s">
        <v>13</v>
      </c>
      <c r="D9561" s="2" t="s">
        <v>12</v>
      </c>
      <c r="E9561" s="2"/>
      <c r="F9561" s="2" t="str">
        <f>HYPERLINK("http://m.12365auto.com/xcdg/20200211/418199.shtml","http://m.12365auto.com/xcdg/20200211/418199.shtml")</f>
        <v>http://m.12365auto.com/xcdg/20200211/418199.shtml</v>
      </c>
      <c r="G9561" s="2"/>
      <c r="H9561" s="2" t="s">
        <v>12881</v>
      </c>
      <c r="I9561" s="2" t="s">
        <v>19</v>
      </c>
      <c r="J9561" s="2" t="s">
        <v>781</v>
      </c>
      <c r="K9561" s="2" t="s">
        <v>12882</v>
      </c>
      <c r="L9561" s="2">
        <f t="shared" si="149"/>
        <v>150</v>
      </c>
    </row>
    <row r="9562" spans="1:12" ht="25" customHeight="1">
      <c r="A9562" s="2" t="s">
        <v>12</v>
      </c>
      <c r="B9562" s="2" t="str">
        <f>HYPERLINK("http://www.12365auto.com/xcdg/20200211/418199.shtml","计划4月份亮相 LEVC推新增程式车型")</f>
        <v>计划4月份亮相 LEVC推新增程式车型</v>
      </c>
      <c r="C9562" s="2" t="s">
        <v>13</v>
      </c>
      <c r="D9562" s="2" t="s">
        <v>12</v>
      </c>
      <c r="E9562" s="2" t="s">
        <v>216</v>
      </c>
      <c r="F9562" s="2" t="str">
        <f>HYPERLINK("http://www.12365auto.com/xcdg/20200211/418199.shtml","http://www.12365auto.com/xcdg/20200211/418199.shtml")</f>
        <v>http://www.12365auto.com/xcdg/20200211/418199.shtml</v>
      </c>
      <c r="G9562" s="2"/>
      <c r="H9562" s="2" t="s">
        <v>12883</v>
      </c>
      <c r="I9562" s="2" t="s">
        <v>15</v>
      </c>
      <c r="J9562" s="2" t="s">
        <v>12</v>
      </c>
      <c r="K9562" s="2" t="s">
        <v>12882</v>
      </c>
      <c r="L9562" s="2">
        <f t="shared" si="149"/>
        <v>150</v>
      </c>
    </row>
    <row r="9563" spans="1:12" ht="25" customHeight="1">
      <c r="A9563" s="2" t="s">
        <v>12</v>
      </c>
      <c r="B9563" s="2" t="str">
        <f>HYPERLINK("http://m.12365auto.com/xcdg/20200211/418198.shtml","三种动力选择 名爵Hector Plus正式发布")</f>
        <v>三种动力选择 名爵Hector Plus正式发布</v>
      </c>
      <c r="C9563" s="2" t="s">
        <v>13</v>
      </c>
      <c r="D9563" s="2" t="s">
        <v>12</v>
      </c>
      <c r="E9563" s="2"/>
      <c r="F9563" s="2" t="str">
        <f>HYPERLINK("http://m.12365auto.com/xcdg/20200211/418198.shtml","http://m.12365auto.com/xcdg/20200211/418198.shtml")</f>
        <v>http://m.12365auto.com/xcdg/20200211/418198.shtml</v>
      </c>
      <c r="G9563" s="2"/>
      <c r="H9563" s="2" t="s">
        <v>12884</v>
      </c>
      <c r="I9563" s="2" t="s">
        <v>19</v>
      </c>
      <c r="J9563" s="2" t="s">
        <v>1637</v>
      </c>
      <c r="K9563" s="2" t="s">
        <v>12885</v>
      </c>
      <c r="L9563" s="2">
        <f t="shared" si="149"/>
        <v>150</v>
      </c>
    </row>
    <row r="9564" spans="1:12" ht="25" customHeight="1">
      <c r="A9564" s="2" t="s">
        <v>12</v>
      </c>
      <c r="B9564" s="2" t="str">
        <f>HYPERLINK("http://www.12365auto.com/xcdg/20200211/418198.shtml","三种动力选择 名爵Hector Plus正式发布")</f>
        <v>三种动力选择 名爵Hector Plus正式发布</v>
      </c>
      <c r="C9564" s="2" t="s">
        <v>13</v>
      </c>
      <c r="D9564" s="2" t="s">
        <v>12</v>
      </c>
      <c r="E9564" s="2" t="s">
        <v>216</v>
      </c>
      <c r="F9564" s="2" t="str">
        <f>HYPERLINK("http://www.12365auto.com/xcdg/20200211/418198.shtml","http://www.12365auto.com/xcdg/20200211/418198.shtml")</f>
        <v>http://www.12365auto.com/xcdg/20200211/418198.shtml</v>
      </c>
      <c r="G9564" s="2"/>
      <c r="H9564" s="2" t="s">
        <v>12886</v>
      </c>
      <c r="I9564" s="2" t="s">
        <v>15</v>
      </c>
      <c r="J9564" s="2" t="s">
        <v>12</v>
      </c>
      <c r="K9564" s="2" t="s">
        <v>12885</v>
      </c>
      <c r="L9564" s="2">
        <f t="shared" si="149"/>
        <v>150</v>
      </c>
    </row>
    <row r="9565" spans="1:12" ht="25" customHeight="1">
      <c r="A9565" s="2" t="s">
        <v>12</v>
      </c>
      <c r="B9565" s="2" t="str">
        <f>HYPERLINK("http://www.12365auto.com/xcdg/20200211/418197.shtml","1775马力猛兽 SSC Tuatara量产版首发")</f>
        <v>1775马力猛兽 SSC Tuatara量产版首发</v>
      </c>
      <c r="C9565" s="2" t="s">
        <v>13</v>
      </c>
      <c r="D9565" s="2" t="s">
        <v>12</v>
      </c>
      <c r="E9565" s="2" t="s">
        <v>245</v>
      </c>
      <c r="F9565" s="2" t="str">
        <f>HYPERLINK("http://www.12365auto.com/xcdg/20200211/418197.shtml","http://www.12365auto.com/xcdg/20200211/418197.shtml")</f>
        <v>http://www.12365auto.com/xcdg/20200211/418197.shtml</v>
      </c>
      <c r="G9565" s="2"/>
      <c r="H9565" s="2" t="s">
        <v>12887</v>
      </c>
      <c r="I9565" s="2" t="s">
        <v>19</v>
      </c>
      <c r="J9565" s="2" t="s">
        <v>12</v>
      </c>
      <c r="K9565" s="2" t="s">
        <v>12888</v>
      </c>
      <c r="L9565" s="2">
        <f t="shared" si="149"/>
        <v>150</v>
      </c>
    </row>
    <row r="9566" spans="1:12" ht="25" customHeight="1">
      <c r="A9566" s="2" t="s">
        <v>12</v>
      </c>
      <c r="B9566" s="2" t="str">
        <f>HYPERLINK("http://bbs.12365auto.com/postcontent.aspx?tID=193757","一定有你喜欢的，12款促销SUV大盘点")</f>
        <v>一定有你喜欢的，12款促销SUV大盘点</v>
      </c>
      <c r="C9566" s="2" t="s">
        <v>13</v>
      </c>
      <c r="D9566" s="2" t="s">
        <v>12</v>
      </c>
      <c r="E9566" s="2" t="s">
        <v>214</v>
      </c>
      <c r="F9566" s="2" t="str">
        <f>HYPERLINK("http://bbs.12365auto.com/postcontent.aspx?tID=193757","http://bbs.12365auto.com/postcontent.aspx?tID=193757")</f>
        <v>http://bbs.12365auto.com/postcontent.aspx?tID=193757</v>
      </c>
      <c r="G9566" s="2"/>
      <c r="H9566" s="2" t="s">
        <v>12889</v>
      </c>
      <c r="I9566" s="2" t="s">
        <v>15</v>
      </c>
      <c r="J9566" s="2" t="s">
        <v>3718</v>
      </c>
      <c r="K9566" s="2" t="s">
        <v>12888</v>
      </c>
      <c r="L9566" s="2">
        <f t="shared" si="149"/>
        <v>150</v>
      </c>
    </row>
    <row r="9567" spans="1:12" ht="25" customHeight="1">
      <c r="A9567" s="2" t="s">
        <v>12</v>
      </c>
      <c r="B9567" s="2" t="str">
        <f>HYPERLINK("http://m.12365auto.com/xcdg/20200211/418197.shtml","1775马力猛兽 SSC Tuatara量产版首发")</f>
        <v>1775马力猛兽 SSC Tuatara量产版首发</v>
      </c>
      <c r="C9567" s="2" t="s">
        <v>13</v>
      </c>
      <c r="D9567" s="2" t="s">
        <v>12</v>
      </c>
      <c r="E9567" s="2"/>
      <c r="F9567" s="2" t="str">
        <f>HYPERLINK("http://m.12365auto.com/xcdg/20200211/418197.shtml","http://m.12365auto.com/xcdg/20200211/418197.shtml")</f>
        <v>http://m.12365auto.com/xcdg/20200211/418197.shtml</v>
      </c>
      <c r="G9567" s="2"/>
      <c r="H9567" s="2" t="s">
        <v>12890</v>
      </c>
      <c r="I9567" s="2" t="s">
        <v>19</v>
      </c>
      <c r="J9567" s="2" t="s">
        <v>295</v>
      </c>
      <c r="K9567" s="2" t="s">
        <v>12888</v>
      </c>
      <c r="L9567" s="2">
        <f t="shared" si="149"/>
        <v>150</v>
      </c>
    </row>
    <row r="9568" spans="1:12" ht="25" customHeight="1">
      <c r="A9568" s="2" t="s">
        <v>12</v>
      </c>
      <c r="B9568" s="2" t="str">
        <f>HYPERLINK("http://bbs.12365auto.com/postcontent.aspx?tId=193757","一定有你喜欢的，12款促销SUV大盘点")</f>
        <v>一定有你喜欢的，12款促销SUV大盘点</v>
      </c>
      <c r="C9568" s="2" t="s">
        <v>13</v>
      </c>
      <c r="D9568" s="2" t="s">
        <v>12</v>
      </c>
      <c r="E9568" s="2" t="s">
        <v>210</v>
      </c>
      <c r="F9568" s="2" t="str">
        <f>HYPERLINK("http://bbs.12365auto.com/postcontent.aspx?tId=193757","http://bbs.12365auto.com/postcontent.aspx?tId=193757")</f>
        <v>http://bbs.12365auto.com/postcontent.aspx?tId=193757</v>
      </c>
      <c r="G9568" s="2"/>
      <c r="H9568" s="2" t="s">
        <v>2978</v>
      </c>
      <c r="I9568" s="2" t="s">
        <v>15</v>
      </c>
      <c r="J9568" s="2" t="s">
        <v>3718</v>
      </c>
      <c r="K9568" s="2" t="s">
        <v>12888</v>
      </c>
      <c r="L9568" s="2">
        <f t="shared" si="149"/>
        <v>150</v>
      </c>
    </row>
    <row r="9569" spans="1:12" ht="25" customHeight="1">
      <c r="A9569" s="2" t="s">
        <v>12</v>
      </c>
      <c r="B9569" s="2" t="str">
        <f>HYPERLINK("http://m.12365auto.com/bbs/postcontent.aspx?tID=193757","一定有你喜欢的，12款促销SUV大盘点")</f>
        <v>一定有你喜欢的，12款促销SUV大盘点</v>
      </c>
      <c r="C9569" s="2" t="s">
        <v>13</v>
      </c>
      <c r="D9569" s="2" t="s">
        <v>23</v>
      </c>
      <c r="E9569" s="2"/>
      <c r="F9569" s="2" t="str">
        <f>HYPERLINK("http://m.12365auto.com/bbs/postcontent.aspx?tID=193757","http://m.12365auto.com/bbs/postcontent.aspx?tID=193757")</f>
        <v>http://m.12365auto.com/bbs/postcontent.aspx?tID=193757</v>
      </c>
      <c r="G9569" s="2"/>
      <c r="H9569" s="2" t="s">
        <v>2978</v>
      </c>
      <c r="I9569" s="2" t="s">
        <v>15</v>
      </c>
      <c r="J9569" s="2" t="s">
        <v>3718</v>
      </c>
      <c r="K9569" s="2" t="s">
        <v>12888</v>
      </c>
      <c r="L9569" s="2">
        <f t="shared" si="149"/>
        <v>150</v>
      </c>
    </row>
    <row r="9570" spans="1:12" ht="25" customHeight="1">
      <c r="A9570" s="2" t="s">
        <v>12</v>
      </c>
      <c r="B9570" s="2" t="str">
        <f>HYPERLINK("http://www.12365auto.com/xcdg/20200211/418196.shtml","搭多动力版本 HUMMER EV电动皮卡新消息")</f>
        <v>搭多动力版本 HUMMER EV电动皮卡新消息</v>
      </c>
      <c r="C9570" s="2" t="s">
        <v>13</v>
      </c>
      <c r="D9570" s="2" t="s">
        <v>12</v>
      </c>
      <c r="E9570" s="2" t="s">
        <v>245</v>
      </c>
      <c r="F9570" s="2" t="str">
        <f>HYPERLINK("http://www.12365auto.com/xcdg/20200211/418196.shtml","http://www.12365auto.com/xcdg/20200211/418196.shtml")</f>
        <v>http://www.12365auto.com/xcdg/20200211/418196.shtml</v>
      </c>
      <c r="G9570" s="2"/>
      <c r="H9570" s="2" t="s">
        <v>12891</v>
      </c>
      <c r="I9570" s="2" t="s">
        <v>19</v>
      </c>
      <c r="J9570" s="2" t="s">
        <v>12</v>
      </c>
      <c r="K9570" s="2" t="s">
        <v>12892</v>
      </c>
      <c r="L9570" s="2">
        <f t="shared" si="149"/>
        <v>150</v>
      </c>
    </row>
    <row r="9571" spans="1:12" ht="25" customHeight="1">
      <c r="A9571" s="2" t="s">
        <v>12</v>
      </c>
      <c r="B9571" s="2" t="str">
        <f>HYPERLINK("http://bbs.12365auto.com/postcontent.aspx?tID=193756","全系2.0T+8AT，起步不到19万")</f>
        <v>全系2.0T+8AT，起步不到19万</v>
      </c>
      <c r="C9571" s="2" t="s">
        <v>13</v>
      </c>
      <c r="D9571" s="2" t="s">
        <v>12</v>
      </c>
      <c r="E9571" s="2" t="s">
        <v>214</v>
      </c>
      <c r="F9571" s="2" t="str">
        <f>HYPERLINK("http://bbs.12365auto.com/postcontent.aspx?tID=193756","http://bbs.12365auto.com/postcontent.aspx?tID=193756")</f>
        <v>http://bbs.12365auto.com/postcontent.aspx?tID=193756</v>
      </c>
      <c r="G9571" s="2"/>
      <c r="H9571" s="2" t="s">
        <v>12893</v>
      </c>
      <c r="I9571" s="2" t="s">
        <v>15</v>
      </c>
      <c r="J9571" s="2" t="s">
        <v>3718</v>
      </c>
      <c r="K9571" s="2" t="s">
        <v>12892</v>
      </c>
      <c r="L9571" s="2">
        <f t="shared" si="149"/>
        <v>150</v>
      </c>
    </row>
    <row r="9572" spans="1:12" ht="25" customHeight="1">
      <c r="A9572" s="2" t="s">
        <v>12</v>
      </c>
      <c r="B9572" s="2" t="str">
        <f>HYPERLINK("http://m.12365auto.com/xcdg/20200211/418196.shtml","搭多动力版本 HUMMER EV电动皮卡新消息")</f>
        <v>搭多动力版本 HUMMER EV电动皮卡新消息</v>
      </c>
      <c r="C9572" s="2" t="s">
        <v>13</v>
      </c>
      <c r="D9572" s="2" t="s">
        <v>12</v>
      </c>
      <c r="E9572" s="2"/>
      <c r="F9572" s="2" t="str">
        <f>HYPERLINK("http://m.12365auto.com/xcdg/20200211/418196.shtml","http://m.12365auto.com/xcdg/20200211/418196.shtml")</f>
        <v>http://m.12365auto.com/xcdg/20200211/418196.shtml</v>
      </c>
      <c r="G9572" s="2"/>
      <c r="H9572" s="2" t="s">
        <v>12894</v>
      </c>
      <c r="I9572" s="2" t="s">
        <v>19</v>
      </c>
      <c r="J9572" s="2" t="s">
        <v>781</v>
      </c>
      <c r="K9572" s="2" t="s">
        <v>12892</v>
      </c>
      <c r="L9572" s="2">
        <f t="shared" si="149"/>
        <v>150</v>
      </c>
    </row>
    <row r="9573" spans="1:12" ht="25" customHeight="1">
      <c r="A9573" s="2" t="s">
        <v>12</v>
      </c>
      <c r="B9573" s="2" t="str">
        <f>HYPERLINK("http://bbs.12365auto.com/postcontent.aspx?tId=193756","全系2.0T+8AT，起步不到19万")</f>
        <v>全系2.0T+8AT，起步不到19万</v>
      </c>
      <c r="C9573" s="2" t="s">
        <v>13</v>
      </c>
      <c r="D9573" s="2" t="s">
        <v>12</v>
      </c>
      <c r="E9573" s="2" t="s">
        <v>210</v>
      </c>
      <c r="F9573" s="2" t="str">
        <f>HYPERLINK("http://bbs.12365auto.com/postcontent.aspx?tId=193756","http://bbs.12365auto.com/postcontent.aspx?tId=193756")</f>
        <v>http://bbs.12365auto.com/postcontent.aspx?tId=193756</v>
      </c>
      <c r="G9573" s="2"/>
      <c r="H9573" s="2" t="s">
        <v>12895</v>
      </c>
      <c r="I9573" s="2" t="s">
        <v>15</v>
      </c>
      <c r="J9573" s="2" t="s">
        <v>3718</v>
      </c>
      <c r="K9573" s="2" t="s">
        <v>12892</v>
      </c>
      <c r="L9573" s="2">
        <f t="shared" si="149"/>
        <v>150</v>
      </c>
    </row>
    <row r="9574" spans="1:12" ht="25" customHeight="1">
      <c r="A9574" s="2" t="s">
        <v>12</v>
      </c>
      <c r="B9574" s="2" t="str">
        <f>HYPERLINK("http://m.12365auto.com/bbs/postcontent.aspx?tID=193756","全系2.0T+8AT，起步不到19万")</f>
        <v>全系2.0T+8AT，起步不到19万</v>
      </c>
      <c r="C9574" s="2" t="s">
        <v>13</v>
      </c>
      <c r="D9574" s="2" t="s">
        <v>23</v>
      </c>
      <c r="E9574" s="2"/>
      <c r="F9574" s="2" t="str">
        <f>HYPERLINK("http://m.12365auto.com/bbs/postcontent.aspx?tID=193756","http://m.12365auto.com/bbs/postcontent.aspx?tID=193756")</f>
        <v>http://m.12365auto.com/bbs/postcontent.aspx?tID=193756</v>
      </c>
      <c r="G9574" s="2"/>
      <c r="H9574" s="2" t="s">
        <v>12895</v>
      </c>
      <c r="I9574" s="2" t="s">
        <v>15</v>
      </c>
      <c r="J9574" s="2" t="s">
        <v>3718</v>
      </c>
      <c r="K9574" s="2" t="s">
        <v>12892</v>
      </c>
      <c r="L9574" s="2">
        <f t="shared" si="149"/>
        <v>150</v>
      </c>
    </row>
    <row r="9575" spans="1:12" ht="25" customHeight="1">
      <c r="A9575" s="2" t="s">
        <v>12</v>
      </c>
      <c r="B9575" s="2" t="str">
        <f>HYPERLINK("http://bbs.12365auto.com/postcontent.aspx?tID=193755","2020上半年，值得入手的4款SUV")</f>
        <v>2020上半年，值得入手的4款SUV</v>
      </c>
      <c r="C9575" s="2" t="s">
        <v>13</v>
      </c>
      <c r="D9575" s="2" t="s">
        <v>12</v>
      </c>
      <c r="E9575" s="2" t="s">
        <v>214</v>
      </c>
      <c r="F9575" s="2" t="str">
        <f>HYPERLINK("http://bbs.12365auto.com/postcontent.aspx?tID=193755","http://bbs.12365auto.com/postcontent.aspx?tID=193755")</f>
        <v>http://bbs.12365auto.com/postcontent.aspx?tID=193755</v>
      </c>
      <c r="G9575" s="2"/>
      <c r="H9575" s="2" t="s">
        <v>12896</v>
      </c>
      <c r="I9575" s="2" t="s">
        <v>15</v>
      </c>
      <c r="J9575" s="2" t="s">
        <v>3718</v>
      </c>
      <c r="K9575" s="2" t="s">
        <v>12897</v>
      </c>
      <c r="L9575" s="2">
        <f t="shared" si="149"/>
        <v>150</v>
      </c>
    </row>
    <row r="9576" spans="1:12" ht="25" customHeight="1">
      <c r="A9576" s="2" t="s">
        <v>12</v>
      </c>
      <c r="B9576" s="2" t="str">
        <f>HYPERLINK("http://bbs.12365auto.com/postcontent.aspx?tId=193755","2020上半年，值得入手的4款SUV")</f>
        <v>2020上半年，值得入手的4款SUV</v>
      </c>
      <c r="C9576" s="2" t="s">
        <v>13</v>
      </c>
      <c r="D9576" s="2" t="s">
        <v>12</v>
      </c>
      <c r="E9576" s="2" t="s">
        <v>210</v>
      </c>
      <c r="F9576" s="2" t="str">
        <f>HYPERLINK("http://bbs.12365auto.com/postcontent.aspx?tId=193755","http://bbs.12365auto.com/postcontent.aspx?tId=193755")</f>
        <v>http://bbs.12365auto.com/postcontent.aspx?tId=193755</v>
      </c>
      <c r="G9576" s="2"/>
      <c r="H9576" s="2" t="s">
        <v>12898</v>
      </c>
      <c r="I9576" s="2" t="s">
        <v>15</v>
      </c>
      <c r="J9576" s="2" t="s">
        <v>3718</v>
      </c>
      <c r="K9576" s="2" t="s">
        <v>12897</v>
      </c>
      <c r="L9576" s="2">
        <f t="shared" si="149"/>
        <v>150</v>
      </c>
    </row>
    <row r="9577" spans="1:12" ht="25" customHeight="1">
      <c r="A9577" s="2" t="s">
        <v>12</v>
      </c>
      <c r="B9577" s="2" t="str">
        <f>HYPERLINK("http://m.12365auto.com/bbs/postcontent.aspx?tID=193755","2020上半年，值得入手的4款SUV")</f>
        <v>2020上半年，值得入手的4款SUV</v>
      </c>
      <c r="C9577" s="2" t="s">
        <v>13</v>
      </c>
      <c r="D9577" s="2" t="s">
        <v>23</v>
      </c>
      <c r="E9577" s="2"/>
      <c r="F9577" s="2" t="str">
        <f>HYPERLINK("http://m.12365auto.com/bbs/postcontent.aspx?tID=193755","http://m.12365auto.com/bbs/postcontent.aspx?tID=193755")</f>
        <v>http://m.12365auto.com/bbs/postcontent.aspx?tID=193755</v>
      </c>
      <c r="G9577" s="2"/>
      <c r="H9577" s="2" t="s">
        <v>12898</v>
      </c>
      <c r="I9577" s="2" t="s">
        <v>15</v>
      </c>
      <c r="J9577" s="2" t="s">
        <v>3718</v>
      </c>
      <c r="K9577" s="2" t="s">
        <v>12897</v>
      </c>
      <c r="L9577" s="2">
        <f t="shared" si="149"/>
        <v>150</v>
      </c>
    </row>
    <row r="9578" spans="1:12" ht="25" customHeight="1">
      <c r="A9578" s="2" t="s">
        <v>12</v>
      </c>
      <c r="B9578" s="2" t="str">
        <f>HYPERLINK("http://www.12365auto.com/news/20200211/418195.shtml","宝马扩大电驱动系统及动力电池生产规模")</f>
        <v>宝马扩大电驱动系统及动力电池生产规模</v>
      </c>
      <c r="C9578" s="2" t="s">
        <v>13</v>
      </c>
      <c r="D9578" s="2" t="s">
        <v>12</v>
      </c>
      <c r="E9578" s="2" t="s">
        <v>282</v>
      </c>
      <c r="F9578" s="2" t="str">
        <f>HYPERLINK("http://www.12365auto.com/news/20200211/418195.shtml","http://www.12365auto.com/news/20200211/418195.shtml")</f>
        <v>http://www.12365auto.com/news/20200211/418195.shtml</v>
      </c>
      <c r="G9578" s="2"/>
      <c r="H9578" s="2" t="s">
        <v>12899</v>
      </c>
      <c r="I9578" s="2" t="s">
        <v>19</v>
      </c>
      <c r="J9578" s="2" t="s">
        <v>12</v>
      </c>
      <c r="K9578" s="2" t="s">
        <v>12900</v>
      </c>
      <c r="L9578" s="2">
        <f t="shared" si="149"/>
        <v>150</v>
      </c>
    </row>
    <row r="9579" spans="1:12" ht="25" customHeight="1">
      <c r="A9579" s="2" t="s">
        <v>12</v>
      </c>
      <c r="B9579" s="2" t="str">
        <f>HYPERLINK("http://m.12365auto.com/news/20200211/418195.shtml","宝马扩大电驱动系统及动力电池生产规模")</f>
        <v>宝马扩大电驱动系统及动力电池生产规模</v>
      </c>
      <c r="C9579" s="2" t="s">
        <v>13</v>
      </c>
      <c r="D9579" s="2" t="s">
        <v>12</v>
      </c>
      <c r="E9579" s="2"/>
      <c r="F9579" s="2" t="str">
        <f>HYPERLINK("http://m.12365auto.com/news/20200211/418195.shtml","http://m.12365auto.com/news/20200211/418195.shtml")</f>
        <v>http://m.12365auto.com/news/20200211/418195.shtml</v>
      </c>
      <c r="G9579" s="2"/>
      <c r="H9579" s="2" t="s">
        <v>12901</v>
      </c>
      <c r="I9579" s="2" t="s">
        <v>19</v>
      </c>
      <c r="J9579" s="2" t="s">
        <v>297</v>
      </c>
      <c r="K9579" s="2" t="s">
        <v>12900</v>
      </c>
      <c r="L9579" s="2">
        <f t="shared" si="149"/>
        <v>150</v>
      </c>
    </row>
    <row r="9580" spans="1:12" ht="25" customHeight="1">
      <c r="A9580" s="2" t="s">
        <v>12</v>
      </c>
      <c r="B9580" s="2" t="str">
        <f>HYPERLINK("http://bbs.12365auto.com/postcontent.aspx?tID=193754","这10台硬派SUV就能随便买")</f>
        <v>这10台硬派SUV就能随便买</v>
      </c>
      <c r="C9580" s="2" t="s">
        <v>13</v>
      </c>
      <c r="D9580" s="2" t="s">
        <v>12</v>
      </c>
      <c r="E9580" s="2" t="s">
        <v>214</v>
      </c>
      <c r="F9580" s="2" t="str">
        <f>HYPERLINK("http://bbs.12365auto.com/postcontent.aspx?tID=193754","http://bbs.12365auto.com/postcontent.aspx?tID=193754")</f>
        <v>http://bbs.12365auto.com/postcontent.aspx?tID=193754</v>
      </c>
      <c r="G9580" s="2"/>
      <c r="H9580" s="2" t="s">
        <v>12902</v>
      </c>
      <c r="I9580" s="2" t="s">
        <v>15</v>
      </c>
      <c r="J9580" s="2" t="s">
        <v>3718</v>
      </c>
      <c r="K9580" s="2" t="s">
        <v>12903</v>
      </c>
      <c r="L9580" s="2">
        <f t="shared" si="149"/>
        <v>150</v>
      </c>
    </row>
    <row r="9581" spans="1:12" ht="25" customHeight="1">
      <c r="A9581" s="2" t="s">
        <v>12</v>
      </c>
      <c r="B9581" s="2" t="str">
        <f>HYPERLINK("http://www.12365auto.com/parts/20200211/418194.shtml","赋能自动驾驶 微型激光雷达可嵌入车灯")</f>
        <v>赋能自动驾驶 微型激光雷达可嵌入车灯</v>
      </c>
      <c r="C9581" s="2" t="s">
        <v>13</v>
      </c>
      <c r="D9581" s="2" t="s">
        <v>12</v>
      </c>
      <c r="E9581" s="2" t="s">
        <v>240</v>
      </c>
      <c r="F9581" s="2" t="str">
        <f>HYPERLINK("http://www.12365auto.com/parts/20200211/418194.shtml","http://www.12365auto.com/parts/20200211/418194.shtml")</f>
        <v>http://www.12365auto.com/parts/20200211/418194.shtml</v>
      </c>
      <c r="G9581" s="2"/>
      <c r="H9581" s="2" t="s">
        <v>12904</v>
      </c>
      <c r="I9581" s="2" t="s">
        <v>15</v>
      </c>
      <c r="J9581" s="2" t="s">
        <v>12</v>
      </c>
      <c r="K9581" s="2" t="s">
        <v>12903</v>
      </c>
      <c r="L9581" s="2">
        <f t="shared" si="149"/>
        <v>150</v>
      </c>
    </row>
    <row r="9582" spans="1:12" ht="25" customHeight="1">
      <c r="A9582" s="2" t="s">
        <v>12</v>
      </c>
      <c r="B9582" s="2" t="str">
        <f>HYPERLINK("http://m.12365auto.com/parts/20200211/418194.shtml","赋能自动驾驶 微型激光雷达可嵌入车灯")</f>
        <v>赋能自动驾驶 微型激光雷达可嵌入车灯</v>
      </c>
      <c r="C9582" s="2" t="s">
        <v>13</v>
      </c>
      <c r="D9582" s="2" t="s">
        <v>12</v>
      </c>
      <c r="E9582" s="2"/>
      <c r="F9582" s="2" t="str">
        <f>HYPERLINK("http://m.12365auto.com/parts/20200211/418194.shtml","http://m.12365auto.com/parts/20200211/418194.shtml")</f>
        <v>http://m.12365auto.com/parts/20200211/418194.shtml</v>
      </c>
      <c r="G9582" s="2"/>
      <c r="H9582" s="2" t="s">
        <v>12905</v>
      </c>
      <c r="I9582" s="2" t="s">
        <v>19</v>
      </c>
      <c r="J9582" s="2" t="s">
        <v>1188</v>
      </c>
      <c r="K9582" s="2" t="s">
        <v>12903</v>
      </c>
      <c r="L9582" s="2">
        <f t="shared" si="149"/>
        <v>150</v>
      </c>
    </row>
    <row r="9583" spans="1:12" ht="25" customHeight="1">
      <c r="A9583" s="2" t="s">
        <v>12</v>
      </c>
      <c r="B9583" s="2" t="str">
        <f>HYPERLINK("http://bbs.12365auto.com/postcontent.aspx?tId=193754","这10台硬派SUV就能随便买")</f>
        <v>这10台硬派SUV就能随便买</v>
      </c>
      <c r="C9583" s="2" t="s">
        <v>13</v>
      </c>
      <c r="D9583" s="2" t="s">
        <v>12</v>
      </c>
      <c r="E9583" s="2" t="s">
        <v>210</v>
      </c>
      <c r="F9583" s="2" t="str">
        <f>HYPERLINK("http://bbs.12365auto.com/postcontent.aspx?tId=193754","http://bbs.12365auto.com/postcontent.aspx?tId=193754")</f>
        <v>http://bbs.12365auto.com/postcontent.aspx?tId=193754</v>
      </c>
      <c r="G9583" s="2"/>
      <c r="H9583" s="2" t="s">
        <v>12906</v>
      </c>
      <c r="I9583" s="2" t="s">
        <v>15</v>
      </c>
      <c r="J9583" s="2" t="s">
        <v>3718</v>
      </c>
      <c r="K9583" s="2" t="s">
        <v>12903</v>
      </c>
      <c r="L9583" s="2">
        <f t="shared" si="149"/>
        <v>150</v>
      </c>
    </row>
    <row r="9584" spans="1:12" ht="25" customHeight="1">
      <c r="A9584" s="2" t="s">
        <v>12</v>
      </c>
      <c r="B9584" s="2" t="str">
        <f>HYPERLINK("http://m.12365auto.com/bbs/postcontent.aspx?tID=193754","这10台硬派SUV就能随便买")</f>
        <v>这10台硬派SUV就能随便买</v>
      </c>
      <c r="C9584" s="2" t="s">
        <v>13</v>
      </c>
      <c r="D9584" s="2" t="s">
        <v>23</v>
      </c>
      <c r="E9584" s="2"/>
      <c r="F9584" s="2" t="str">
        <f>HYPERLINK("http://m.12365auto.com/bbs/postcontent.aspx?tID=193754","http://m.12365auto.com/bbs/postcontent.aspx?tID=193754")</f>
        <v>http://m.12365auto.com/bbs/postcontent.aspx?tID=193754</v>
      </c>
      <c r="G9584" s="2"/>
      <c r="H9584" s="2" t="s">
        <v>12906</v>
      </c>
      <c r="I9584" s="2" t="s">
        <v>15</v>
      </c>
      <c r="J9584" s="2" t="s">
        <v>3718</v>
      </c>
      <c r="K9584" s="2" t="s">
        <v>12903</v>
      </c>
      <c r="L9584" s="2">
        <f t="shared" si="149"/>
        <v>150</v>
      </c>
    </row>
    <row r="9585" spans="1:12" ht="25" customHeight="1">
      <c r="A9585" s="2" t="s">
        <v>12</v>
      </c>
      <c r="B9585" s="2" t="str">
        <f>HYPERLINK("http://bbs.12365auto.com/postcontent.aspx?tID=193752","这些车千万别买 总结中保研测试碰撞")</f>
        <v>这些车千万别买 总结中保研测试碰撞</v>
      </c>
      <c r="C9585" s="2" t="s">
        <v>13</v>
      </c>
      <c r="D9585" s="2" t="s">
        <v>12</v>
      </c>
      <c r="E9585" s="2" t="s">
        <v>214</v>
      </c>
      <c r="F9585" s="2" t="str">
        <f>HYPERLINK("http://bbs.12365auto.com/postcontent.aspx?tID=193752","http://bbs.12365auto.com/postcontent.aspx?tID=193752")</f>
        <v>http://bbs.12365auto.com/postcontent.aspx?tID=193752</v>
      </c>
      <c r="G9585" s="2"/>
      <c r="H9585" s="2" t="s">
        <v>4683</v>
      </c>
      <c r="I9585" s="2" t="s">
        <v>15</v>
      </c>
      <c r="J9585" s="2" t="s">
        <v>3718</v>
      </c>
      <c r="K9585" s="2" t="s">
        <v>12907</v>
      </c>
      <c r="L9585" s="2">
        <f t="shared" si="149"/>
        <v>150</v>
      </c>
    </row>
    <row r="9586" spans="1:12" ht="25" customHeight="1">
      <c r="A9586" s="2" t="s">
        <v>12</v>
      </c>
      <c r="B9586" s="2" t="str">
        <f>HYPERLINK("http://bbs.12365auto.com/postcontent.aspx?tID=193753","电子手刹和机械手刹谁更安全？")</f>
        <v>电子手刹和机械手刹谁更安全？</v>
      </c>
      <c r="C9586" s="2" t="s">
        <v>13</v>
      </c>
      <c r="D9586" s="2" t="s">
        <v>12</v>
      </c>
      <c r="E9586" s="2" t="s">
        <v>214</v>
      </c>
      <c r="F9586" s="2" t="str">
        <f>HYPERLINK("http://bbs.12365auto.com/postcontent.aspx?tID=193753","http://bbs.12365auto.com/postcontent.aspx?tID=193753")</f>
        <v>http://bbs.12365auto.com/postcontent.aspx?tID=193753</v>
      </c>
      <c r="G9586" s="2"/>
      <c r="H9586" s="2" t="s">
        <v>12908</v>
      </c>
      <c r="I9586" s="2" t="s">
        <v>15</v>
      </c>
      <c r="J9586" s="2" t="s">
        <v>3718</v>
      </c>
      <c r="K9586" s="2" t="s">
        <v>12907</v>
      </c>
      <c r="L9586" s="2">
        <f t="shared" si="149"/>
        <v>150</v>
      </c>
    </row>
    <row r="9587" spans="1:12" ht="25" customHeight="1">
      <c r="A9587" s="2" t="s">
        <v>12</v>
      </c>
      <c r="B9587" s="2" t="str">
        <f>HYPERLINK("http://www.12365auto.com/xcdg/20200211/418193.shtml","下一代丰田Aygo将推出电力驱动车型")</f>
        <v>下一代丰田Aygo将推出电力驱动车型</v>
      </c>
      <c r="C9587" s="2" t="s">
        <v>13</v>
      </c>
      <c r="D9587" s="2" t="s">
        <v>12</v>
      </c>
      <c r="E9587" s="2" t="s">
        <v>216</v>
      </c>
      <c r="F9587" s="2" t="str">
        <f>HYPERLINK("http://www.12365auto.com/xcdg/20200211/418193.shtml","http://www.12365auto.com/xcdg/20200211/418193.shtml")</f>
        <v>http://www.12365auto.com/xcdg/20200211/418193.shtml</v>
      </c>
      <c r="G9587" s="2"/>
      <c r="H9587" s="2" t="s">
        <v>12909</v>
      </c>
      <c r="I9587" s="2" t="s">
        <v>15</v>
      </c>
      <c r="J9587" s="2" t="s">
        <v>12</v>
      </c>
      <c r="K9587" s="2" t="s">
        <v>12907</v>
      </c>
      <c r="L9587" s="2">
        <f t="shared" si="149"/>
        <v>150</v>
      </c>
    </row>
    <row r="9588" spans="1:12" ht="25" customHeight="1">
      <c r="A9588" s="2" t="s">
        <v>12</v>
      </c>
      <c r="B9588" s="2" t="str">
        <f>HYPERLINK("http://m.12365auto.com/xcdg/20200211/418193.shtml","下一代丰田Aygo将推出电力驱动车型")</f>
        <v>下一代丰田Aygo将推出电力驱动车型</v>
      </c>
      <c r="C9588" s="2" t="s">
        <v>13</v>
      </c>
      <c r="D9588" s="2" t="s">
        <v>12</v>
      </c>
      <c r="E9588" s="2"/>
      <c r="F9588" s="2" t="str">
        <f>HYPERLINK("http://m.12365auto.com/xcdg/20200211/418193.shtml","http://m.12365auto.com/xcdg/20200211/418193.shtml")</f>
        <v>http://m.12365auto.com/xcdg/20200211/418193.shtml</v>
      </c>
      <c r="G9588" s="2"/>
      <c r="H9588" s="2" t="s">
        <v>12910</v>
      </c>
      <c r="I9588" s="2" t="s">
        <v>19</v>
      </c>
      <c r="J9588" s="2" t="s">
        <v>332</v>
      </c>
      <c r="K9588" s="2" t="s">
        <v>12907</v>
      </c>
      <c r="L9588" s="2">
        <f t="shared" si="149"/>
        <v>150</v>
      </c>
    </row>
    <row r="9589" spans="1:12" ht="25" customHeight="1">
      <c r="A9589" s="2" t="s">
        <v>12</v>
      </c>
      <c r="B9589" s="2" t="str">
        <f>HYPERLINK("http://bbs.12365auto.com/postcontent.aspx?tId=193753","电子手刹和机械手刹谁更安全？")</f>
        <v>电子手刹和机械手刹谁更安全？</v>
      </c>
      <c r="C9589" s="2" t="s">
        <v>13</v>
      </c>
      <c r="D9589" s="2" t="s">
        <v>12</v>
      </c>
      <c r="E9589" s="2" t="s">
        <v>210</v>
      </c>
      <c r="F9589" s="2" t="str">
        <f>HYPERLINK("http://bbs.12365auto.com/postcontent.aspx?tId=193753","http://bbs.12365auto.com/postcontent.aspx?tId=193753")</f>
        <v>http://bbs.12365auto.com/postcontent.aspx?tId=193753</v>
      </c>
      <c r="G9589" s="2"/>
      <c r="H9589" s="2" t="s">
        <v>12911</v>
      </c>
      <c r="I9589" s="2" t="s">
        <v>15</v>
      </c>
      <c r="J9589" s="2" t="s">
        <v>3718</v>
      </c>
      <c r="K9589" s="2" t="s">
        <v>12907</v>
      </c>
      <c r="L9589" s="2">
        <f t="shared" si="149"/>
        <v>150</v>
      </c>
    </row>
    <row r="9590" spans="1:12" ht="25" customHeight="1">
      <c r="A9590" s="2" t="s">
        <v>12</v>
      </c>
      <c r="B9590" s="2" t="str">
        <f>HYPERLINK("http://bbs.12365auto.com/postcontent.aspx?tId=193752","这些车千万别买 总结中保研测试碰撞")</f>
        <v>这些车千万别买 总结中保研测试碰撞</v>
      </c>
      <c r="C9590" s="2" t="s">
        <v>13</v>
      </c>
      <c r="D9590" s="2" t="s">
        <v>12</v>
      </c>
      <c r="E9590" s="2" t="s">
        <v>210</v>
      </c>
      <c r="F9590" s="2" t="str">
        <f>HYPERLINK("http://bbs.12365auto.com/postcontent.aspx?tId=193752","http://bbs.12365auto.com/postcontent.aspx?tId=193752")</f>
        <v>http://bbs.12365auto.com/postcontent.aspx?tId=193752</v>
      </c>
      <c r="G9590" s="2"/>
      <c r="H9590" s="2" t="s">
        <v>4682</v>
      </c>
      <c r="I9590" s="2" t="s">
        <v>15</v>
      </c>
      <c r="J9590" s="2" t="s">
        <v>3718</v>
      </c>
      <c r="K9590" s="2" t="s">
        <v>12907</v>
      </c>
      <c r="L9590" s="2">
        <f t="shared" si="149"/>
        <v>150</v>
      </c>
    </row>
    <row r="9591" spans="1:12" ht="25" customHeight="1">
      <c r="A9591" s="2" t="s">
        <v>12</v>
      </c>
      <c r="B9591" s="2" t="str">
        <f>HYPERLINK("http://m.12365auto.com/bbs/postcontent.aspx?tID=193753","电子手刹和机械手刹谁更安全？")</f>
        <v>电子手刹和机械手刹谁更安全？</v>
      </c>
      <c r="C9591" s="2" t="s">
        <v>13</v>
      </c>
      <c r="D9591" s="2" t="s">
        <v>23</v>
      </c>
      <c r="E9591" s="2"/>
      <c r="F9591" s="2" t="str">
        <f>HYPERLINK("http://m.12365auto.com/bbs/postcontent.aspx?tID=193753","http://m.12365auto.com/bbs/postcontent.aspx?tID=193753")</f>
        <v>http://m.12365auto.com/bbs/postcontent.aspx?tID=193753</v>
      </c>
      <c r="G9591" s="2"/>
      <c r="H9591" s="2" t="s">
        <v>12911</v>
      </c>
      <c r="I9591" s="2" t="s">
        <v>15</v>
      </c>
      <c r="J9591" s="2" t="s">
        <v>3718</v>
      </c>
      <c r="K9591" s="2" t="s">
        <v>12907</v>
      </c>
      <c r="L9591" s="2">
        <f t="shared" si="149"/>
        <v>150</v>
      </c>
    </row>
    <row r="9592" spans="1:12" ht="25" customHeight="1">
      <c r="A9592" s="2" t="s">
        <v>12</v>
      </c>
      <c r="B9592" s="2" t="str">
        <f>HYPERLINK("http://m.12365auto.com/bbs/postcontent.aspx?tID=193752","这些车千万别买 总结中保研测试碰撞")</f>
        <v>这些车千万别买 总结中保研测试碰撞</v>
      </c>
      <c r="C9592" s="2" t="s">
        <v>13</v>
      </c>
      <c r="D9592" s="2" t="s">
        <v>23</v>
      </c>
      <c r="E9592" s="2"/>
      <c r="F9592" s="2" t="str">
        <f>HYPERLINK("http://m.12365auto.com/bbs/postcontent.aspx?tID=193752","http://m.12365auto.com/bbs/postcontent.aspx?tID=193752")</f>
        <v>http://m.12365auto.com/bbs/postcontent.aspx?tID=193752</v>
      </c>
      <c r="G9592" s="2"/>
      <c r="H9592" s="2" t="s">
        <v>4682</v>
      </c>
      <c r="I9592" s="2" t="s">
        <v>15</v>
      </c>
      <c r="J9592" s="2" t="s">
        <v>3718</v>
      </c>
      <c r="K9592" s="2" t="s">
        <v>12907</v>
      </c>
      <c r="L9592" s="2">
        <f t="shared" si="149"/>
        <v>150</v>
      </c>
    </row>
    <row r="9593" spans="1:12" ht="25" customHeight="1">
      <c r="A9593" s="2" t="s">
        <v>12</v>
      </c>
      <c r="B9593" s="2" t="str">
        <f>HYPERLINK("http://bbs.12365auto.com/postcontent.aspx?tID=193750","6-7万块究竟能买到一款怎样的轿车？")</f>
        <v>6-7万块究竟能买到一款怎样的轿车？</v>
      </c>
      <c r="C9593" s="2" t="s">
        <v>13</v>
      </c>
      <c r="D9593" s="2" t="s">
        <v>12</v>
      </c>
      <c r="E9593" s="2" t="s">
        <v>214</v>
      </c>
      <c r="F9593" s="2" t="str">
        <f>HYPERLINK("http://bbs.12365auto.com/postcontent.aspx?tID=193750","http://bbs.12365auto.com/postcontent.aspx?tID=193750")</f>
        <v>http://bbs.12365auto.com/postcontent.aspx?tID=193750</v>
      </c>
      <c r="G9593" s="2"/>
      <c r="H9593" s="2" t="s">
        <v>12912</v>
      </c>
      <c r="I9593" s="2" t="s">
        <v>15</v>
      </c>
      <c r="J9593" s="2" t="s">
        <v>3718</v>
      </c>
      <c r="K9593" s="2" t="s">
        <v>12913</v>
      </c>
      <c r="L9593" s="2">
        <f t="shared" si="149"/>
        <v>150</v>
      </c>
    </row>
    <row r="9594" spans="1:12" ht="25" customHeight="1">
      <c r="A9594" s="2" t="s">
        <v>12</v>
      </c>
      <c r="B9594" s="2" t="str">
        <f>HYPERLINK("http://bbs.12365auto.com/postcontent.aspx?tId=193751","20万左右的SUV家用车，这三款都很不错")</f>
        <v>20万左右的SUV家用车，这三款都很不错</v>
      </c>
      <c r="C9594" s="2" t="s">
        <v>13</v>
      </c>
      <c r="D9594" s="2" t="s">
        <v>12</v>
      </c>
      <c r="E9594" s="2" t="s">
        <v>210</v>
      </c>
      <c r="F9594" s="2" t="str">
        <f>HYPERLINK("http://bbs.12365auto.com/postcontent.aspx?tId=193751","http://bbs.12365auto.com/postcontent.aspx?tId=193751")</f>
        <v>http://bbs.12365auto.com/postcontent.aspx?tId=193751</v>
      </c>
      <c r="G9594" s="2"/>
      <c r="H9594" s="2" t="s">
        <v>12914</v>
      </c>
      <c r="I9594" s="2" t="s">
        <v>15</v>
      </c>
      <c r="J9594" s="2" t="s">
        <v>3718</v>
      </c>
      <c r="K9594" s="2" t="s">
        <v>12913</v>
      </c>
      <c r="L9594" s="2">
        <f t="shared" si="149"/>
        <v>150</v>
      </c>
    </row>
    <row r="9595" spans="1:12" ht="25" customHeight="1">
      <c r="A9595" s="2" t="s">
        <v>12</v>
      </c>
      <c r="B9595" s="2" t="str">
        <f>HYPERLINK("http://bbs.12365auto.com/postcontent.aspx?tId=193750","6-7万块究竟能买到一款怎样的轿车？")</f>
        <v>6-7万块究竟能买到一款怎样的轿车？</v>
      </c>
      <c r="C9595" s="2" t="s">
        <v>13</v>
      </c>
      <c r="D9595" s="2" t="s">
        <v>12</v>
      </c>
      <c r="E9595" s="2" t="s">
        <v>210</v>
      </c>
      <c r="F9595" s="2" t="str">
        <f>HYPERLINK("http://bbs.12365auto.com/postcontent.aspx?tId=193750","http://bbs.12365auto.com/postcontent.aspx?tId=193750")</f>
        <v>http://bbs.12365auto.com/postcontent.aspx?tId=193750</v>
      </c>
      <c r="G9595" s="2"/>
      <c r="H9595" s="2" t="s">
        <v>12915</v>
      </c>
      <c r="I9595" s="2" t="s">
        <v>15</v>
      </c>
      <c r="J9595" s="2" t="s">
        <v>3718</v>
      </c>
      <c r="K9595" s="2" t="s">
        <v>12913</v>
      </c>
      <c r="L9595" s="2">
        <f t="shared" si="149"/>
        <v>150</v>
      </c>
    </row>
    <row r="9596" spans="1:12" ht="25" customHeight="1">
      <c r="A9596" s="2" t="s">
        <v>12</v>
      </c>
      <c r="B9596" s="2" t="str">
        <f>HYPERLINK("http://m.12365auto.com/bbs/postcontent.aspx?tID=193750","6-7万块究竟能买到一款怎样的轿车？")</f>
        <v>6-7万块究竟能买到一款怎样的轿车？</v>
      </c>
      <c r="C9596" s="2" t="s">
        <v>13</v>
      </c>
      <c r="D9596" s="2" t="s">
        <v>23</v>
      </c>
      <c r="E9596" s="2"/>
      <c r="F9596" s="2" t="str">
        <f>HYPERLINK("http://m.12365auto.com/bbs/postcontent.aspx?tID=193750","http://m.12365auto.com/bbs/postcontent.aspx?tID=193750")</f>
        <v>http://m.12365auto.com/bbs/postcontent.aspx?tID=193750</v>
      </c>
      <c r="G9596" s="2"/>
      <c r="H9596" s="2" t="s">
        <v>12915</v>
      </c>
      <c r="I9596" s="2" t="s">
        <v>15</v>
      </c>
      <c r="J9596" s="2" t="s">
        <v>3718</v>
      </c>
      <c r="K9596" s="2" t="s">
        <v>12913</v>
      </c>
      <c r="L9596" s="2">
        <f t="shared" si="149"/>
        <v>150</v>
      </c>
    </row>
    <row r="9597" spans="1:12" ht="25" customHeight="1">
      <c r="A9597" s="2" t="s">
        <v>12</v>
      </c>
      <c r="B9597" s="2" t="str">
        <f>HYPERLINK("http://m.12365auto.com/bbs/postcontent.aspx?tID=193751","20万左右的SUV家用车，这三款都很不错")</f>
        <v>20万左右的SUV家用车，这三款都很不错</v>
      </c>
      <c r="C9597" s="2" t="s">
        <v>13</v>
      </c>
      <c r="D9597" s="2" t="s">
        <v>23</v>
      </c>
      <c r="E9597" s="2"/>
      <c r="F9597" s="2" t="str">
        <f>HYPERLINK("http://m.12365auto.com/bbs/postcontent.aspx?tID=193751","http://m.12365auto.com/bbs/postcontent.aspx?tID=193751")</f>
        <v>http://m.12365auto.com/bbs/postcontent.aspx?tID=193751</v>
      </c>
      <c r="G9597" s="2"/>
      <c r="H9597" s="2" t="s">
        <v>12914</v>
      </c>
      <c r="I9597" s="2" t="s">
        <v>15</v>
      </c>
      <c r="J9597" s="2" t="s">
        <v>3718</v>
      </c>
      <c r="K9597" s="2" t="s">
        <v>12913</v>
      </c>
      <c r="L9597" s="2">
        <f t="shared" si="149"/>
        <v>150</v>
      </c>
    </row>
    <row r="9598" spans="1:12" ht="25" customHeight="1">
      <c r="A9598" s="2" t="s">
        <v>12</v>
      </c>
      <c r="B9598" s="2" t="str">
        <f>HYPERLINK("http://bbs.12365auto.com/postcontent.aspx?tID=193751","20万左右的SUV家用车，这三款都很不错")</f>
        <v>20万左右的SUV家用车，这三款都很不错</v>
      </c>
      <c r="C9598" s="2" t="s">
        <v>13</v>
      </c>
      <c r="D9598" s="2" t="s">
        <v>12</v>
      </c>
      <c r="E9598" s="2" t="s">
        <v>214</v>
      </c>
      <c r="F9598" s="2" t="str">
        <f>HYPERLINK("http://bbs.12365auto.com/postcontent.aspx?tID=193751","http://bbs.12365auto.com/postcontent.aspx?tID=193751")</f>
        <v>http://bbs.12365auto.com/postcontent.aspx?tID=193751</v>
      </c>
      <c r="G9598" s="2"/>
      <c r="H9598" s="2" t="s">
        <v>12916</v>
      </c>
      <c r="I9598" s="2" t="s">
        <v>15</v>
      </c>
      <c r="J9598" s="2" t="s">
        <v>3718</v>
      </c>
      <c r="K9598" s="2" t="s">
        <v>12913</v>
      </c>
      <c r="L9598" s="2">
        <f t="shared" si="149"/>
        <v>150</v>
      </c>
    </row>
    <row r="9599" spans="1:12" ht="25" customHeight="1">
      <c r="A9599" s="2" t="s">
        <v>12</v>
      </c>
      <c r="B9599" s="2" t="str">
        <f>HYPERLINK("http://www.12365auto.com/zlts/20200211/446842.shtml","东风雪铁龙世嘉大灯和雨刮无故启动")</f>
        <v>东风雪铁龙世嘉大灯和雨刮无故启动</v>
      </c>
      <c r="C9599" s="2" t="s">
        <v>13</v>
      </c>
      <c r="D9599" s="2" t="s">
        <v>12</v>
      </c>
      <c r="E9599" s="2"/>
      <c r="F9599" s="2" t="str">
        <f>HYPERLINK("http://www.12365auto.com/zlts/20200211/446842.shtml","http://www.12365auto.com/zlts/20200211/446842.shtml")</f>
        <v>http://www.12365auto.com/zlts/20200211/446842.shtml</v>
      </c>
      <c r="G9599" s="2"/>
      <c r="H9599" s="2" t="s">
        <v>12918</v>
      </c>
      <c r="I9599" s="2" t="s">
        <v>15</v>
      </c>
      <c r="J9599" s="2" t="s">
        <v>12</v>
      </c>
      <c r="K9599" s="2" t="s">
        <v>12917</v>
      </c>
      <c r="L9599" s="2">
        <f t="shared" si="149"/>
        <v>83</v>
      </c>
    </row>
    <row r="9600" spans="1:12" ht="25" customHeight="1">
      <c r="A9600" s="2" t="s">
        <v>12</v>
      </c>
      <c r="B9600" s="2" t="str">
        <f>HYPERLINK("http://m.12365auto.com/bbs/postcontent.aspx?tID=193749","便宜的合资车，满油跑725km")</f>
        <v>便宜的合资车，满油跑725km</v>
      </c>
      <c r="C9600" s="2" t="s">
        <v>13</v>
      </c>
      <c r="D9600" s="2" t="s">
        <v>23</v>
      </c>
      <c r="E9600" s="2"/>
      <c r="F9600" s="2" t="str">
        <f>HYPERLINK("http://m.12365auto.com/bbs/postcontent.aspx?tID=193749","http://m.12365auto.com/bbs/postcontent.aspx?tID=193749")</f>
        <v>http://m.12365auto.com/bbs/postcontent.aspx?tID=193749</v>
      </c>
      <c r="G9600" s="2"/>
      <c r="H9600" s="2" t="s">
        <v>12919</v>
      </c>
      <c r="I9600" s="2" t="s">
        <v>15</v>
      </c>
      <c r="J9600" s="2" t="s">
        <v>3718</v>
      </c>
      <c r="K9600" s="2" t="s">
        <v>12920</v>
      </c>
      <c r="L9600" s="2">
        <f t="shared" si="149"/>
        <v>150</v>
      </c>
    </row>
    <row r="9601" spans="1:12" ht="25" customHeight="1">
      <c r="A9601" s="2" t="s">
        <v>12</v>
      </c>
      <c r="B9601" s="2" t="str">
        <f>HYPERLINK("http://m.12365auto.com/bbs/postcontent.aspx?tID=193748","继现代起亚/雷诺后，又一家车企宣布停产")</f>
        <v>继现代起亚/雷诺后，又一家车企宣布停产</v>
      </c>
      <c r="C9601" s="2" t="s">
        <v>13</v>
      </c>
      <c r="D9601" s="2" t="s">
        <v>23</v>
      </c>
      <c r="E9601" s="2"/>
      <c r="F9601" s="2" t="str">
        <f>HYPERLINK("http://m.12365auto.com/bbs/postcontent.aspx?tID=193748","http://m.12365auto.com/bbs/postcontent.aspx?tID=193748")</f>
        <v>http://m.12365auto.com/bbs/postcontent.aspx?tID=193748</v>
      </c>
      <c r="G9601" s="2"/>
      <c r="H9601" s="2" t="s">
        <v>12921</v>
      </c>
      <c r="I9601" s="2" t="s">
        <v>15</v>
      </c>
      <c r="J9601" s="2" t="s">
        <v>3718</v>
      </c>
      <c r="K9601" s="2" t="s">
        <v>12920</v>
      </c>
      <c r="L9601" s="2">
        <f t="shared" si="149"/>
        <v>150</v>
      </c>
    </row>
    <row r="9602" spans="1:12" ht="25" customHeight="1">
      <c r="A9602" s="2" t="s">
        <v>12</v>
      </c>
      <c r="B9602" s="2" t="str">
        <f>HYPERLINK("http://bbs.12365auto.com/postcontent.aspx?tID=193749","便宜的合资车，满油跑725km")</f>
        <v>便宜的合资车，满油跑725km</v>
      </c>
      <c r="C9602" s="2" t="s">
        <v>13</v>
      </c>
      <c r="D9602" s="2" t="s">
        <v>12</v>
      </c>
      <c r="E9602" s="2" t="s">
        <v>214</v>
      </c>
      <c r="F9602" s="2" t="str">
        <f>HYPERLINK("http://bbs.12365auto.com/postcontent.aspx?tID=193749","http://bbs.12365auto.com/postcontent.aspx?tID=193749")</f>
        <v>http://bbs.12365auto.com/postcontent.aspx?tID=193749</v>
      </c>
      <c r="G9602" s="2"/>
      <c r="H9602" s="2" t="s">
        <v>12922</v>
      </c>
      <c r="I9602" s="2" t="s">
        <v>15</v>
      </c>
      <c r="J9602" s="2" t="s">
        <v>3718</v>
      </c>
      <c r="K9602" s="2" t="s">
        <v>12920</v>
      </c>
      <c r="L9602" s="2">
        <f t="shared" si="149"/>
        <v>150</v>
      </c>
    </row>
    <row r="9603" spans="1:12" ht="25" customHeight="1">
      <c r="A9603" s="2" t="s">
        <v>12</v>
      </c>
      <c r="B9603" s="2" t="str">
        <f>HYPERLINK("http://bbs.12365auto.com/postcontent.aspx?tID=193748","继现代起亚/雷诺后，又一家车企宣布停产")</f>
        <v>继现代起亚/雷诺后，又一家车企宣布停产</v>
      </c>
      <c r="C9603" s="2" t="s">
        <v>13</v>
      </c>
      <c r="D9603" s="2" t="s">
        <v>12</v>
      </c>
      <c r="E9603" s="2" t="s">
        <v>214</v>
      </c>
      <c r="F9603" s="2" t="str">
        <f>HYPERLINK("http://bbs.12365auto.com/postcontent.aspx?tID=193748","http://bbs.12365auto.com/postcontent.aspx?tID=193748")</f>
        <v>http://bbs.12365auto.com/postcontent.aspx?tID=193748</v>
      </c>
      <c r="G9603" s="2"/>
      <c r="H9603" s="2" t="s">
        <v>12923</v>
      </c>
      <c r="I9603" s="2" t="s">
        <v>15</v>
      </c>
      <c r="J9603" s="2" t="s">
        <v>3718</v>
      </c>
      <c r="K9603" s="2" t="s">
        <v>12920</v>
      </c>
      <c r="L9603" s="2">
        <f t="shared" ref="L9603:L9666" si="150">LEN(H9603)</f>
        <v>150</v>
      </c>
    </row>
    <row r="9604" spans="1:12" ht="25" customHeight="1">
      <c r="A9604" s="2" t="s">
        <v>12</v>
      </c>
      <c r="B9604" s="2" t="str">
        <f>HYPERLINK("http://www.12365auto.com/xcdg/20200211/418192.shtml","续航或超700km 小鹏汽车P7曝重磅消息")</f>
        <v>续航或超700km 小鹏汽车P7曝重磅消息</v>
      </c>
      <c r="C9604" s="2" t="s">
        <v>13</v>
      </c>
      <c r="D9604" s="2" t="s">
        <v>12</v>
      </c>
      <c r="E9604" s="2" t="s">
        <v>216</v>
      </c>
      <c r="F9604" s="2" t="str">
        <f>HYPERLINK("http://www.12365auto.com/xcdg/20200211/418192.shtml","http://www.12365auto.com/xcdg/20200211/418192.shtml")</f>
        <v>http://www.12365auto.com/xcdg/20200211/418192.shtml</v>
      </c>
      <c r="G9604" s="2"/>
      <c r="H9604" s="2" t="s">
        <v>12924</v>
      </c>
      <c r="I9604" s="2" t="s">
        <v>15</v>
      </c>
      <c r="J9604" s="2" t="s">
        <v>12</v>
      </c>
      <c r="K9604" s="2" t="s">
        <v>12920</v>
      </c>
      <c r="L9604" s="2">
        <f t="shared" si="150"/>
        <v>150</v>
      </c>
    </row>
    <row r="9605" spans="1:12" ht="25" customHeight="1">
      <c r="A9605" s="2" t="s">
        <v>12</v>
      </c>
      <c r="B9605" s="2" t="str">
        <f>HYPERLINK("http://m.12365auto.com/xcdg/20200211/418192.shtml","续航或超700km 小鹏汽车P7曝重磅消息")</f>
        <v>续航或超700km 小鹏汽车P7曝重磅消息</v>
      </c>
      <c r="C9605" s="2" t="s">
        <v>13</v>
      </c>
      <c r="D9605" s="2" t="s">
        <v>12</v>
      </c>
      <c r="E9605" s="2"/>
      <c r="F9605" s="2" t="str">
        <f>HYPERLINK("http://m.12365auto.com/xcdg/20200211/418192.shtml","http://m.12365auto.com/xcdg/20200211/418192.shtml")</f>
        <v>http://m.12365auto.com/xcdg/20200211/418192.shtml</v>
      </c>
      <c r="G9605" s="2"/>
      <c r="H9605" s="2" t="s">
        <v>12925</v>
      </c>
      <c r="I9605" s="2" t="s">
        <v>19</v>
      </c>
      <c r="J9605" s="2" t="s">
        <v>330</v>
      </c>
      <c r="K9605" s="2" t="s">
        <v>12920</v>
      </c>
      <c r="L9605" s="2">
        <f t="shared" si="150"/>
        <v>150</v>
      </c>
    </row>
    <row r="9606" spans="1:12" ht="25" customHeight="1">
      <c r="A9606" s="2" t="s">
        <v>12</v>
      </c>
      <c r="B9606" s="2" t="str">
        <f>HYPERLINK("http://bbs.12365auto.com/postcontent.aspx?tId=193749","便宜的合资车，满油跑725km")</f>
        <v>便宜的合资车，满油跑725km</v>
      </c>
      <c r="C9606" s="2" t="s">
        <v>13</v>
      </c>
      <c r="D9606" s="2" t="s">
        <v>12</v>
      </c>
      <c r="E9606" s="2" t="s">
        <v>210</v>
      </c>
      <c r="F9606" s="2" t="str">
        <f>HYPERLINK("http://bbs.12365auto.com/postcontent.aspx?tId=193749","http://bbs.12365auto.com/postcontent.aspx?tId=193749")</f>
        <v>http://bbs.12365auto.com/postcontent.aspx?tId=193749</v>
      </c>
      <c r="G9606" s="2"/>
      <c r="H9606" s="2" t="s">
        <v>12919</v>
      </c>
      <c r="I9606" s="2" t="s">
        <v>15</v>
      </c>
      <c r="J9606" s="2" t="s">
        <v>3718</v>
      </c>
      <c r="K9606" s="2" t="s">
        <v>12920</v>
      </c>
      <c r="L9606" s="2">
        <f t="shared" si="150"/>
        <v>150</v>
      </c>
    </row>
    <row r="9607" spans="1:12" ht="25" customHeight="1">
      <c r="A9607" s="2" t="s">
        <v>12</v>
      </c>
      <c r="B9607" s="2" t="str">
        <f>HYPERLINK("http://bbs.12365auto.com/postcontent.aspx?tId=193748","继现代起亚/雷诺后，又一家车企宣布停产")</f>
        <v>继现代起亚/雷诺后，又一家车企宣布停产</v>
      </c>
      <c r="C9607" s="2" t="s">
        <v>13</v>
      </c>
      <c r="D9607" s="2" t="s">
        <v>12</v>
      </c>
      <c r="E9607" s="2" t="s">
        <v>210</v>
      </c>
      <c r="F9607" s="2" t="str">
        <f>HYPERLINK("http://bbs.12365auto.com/postcontent.aspx?tId=193748","http://bbs.12365auto.com/postcontent.aspx?tId=193748")</f>
        <v>http://bbs.12365auto.com/postcontent.aspx?tId=193748</v>
      </c>
      <c r="G9607" s="2"/>
      <c r="H9607" s="2" t="s">
        <v>12921</v>
      </c>
      <c r="I9607" s="2" t="s">
        <v>15</v>
      </c>
      <c r="J9607" s="2" t="s">
        <v>3718</v>
      </c>
      <c r="K9607" s="2" t="s">
        <v>12920</v>
      </c>
      <c r="L9607" s="2">
        <f t="shared" si="150"/>
        <v>150</v>
      </c>
    </row>
    <row r="9608" spans="1:12" ht="25" customHeight="1">
      <c r="A9608" s="2" t="s">
        <v>12</v>
      </c>
      <c r="B9608" s="2" t="str">
        <f>HYPERLINK("http://www.12365auto.com/parts/20200211/418191.shtml","续航可提升10km 宝马研发低风阻轮圈")</f>
        <v>续航可提升10km 宝马研发低风阻轮圈</v>
      </c>
      <c r="C9608" s="2" t="s">
        <v>13</v>
      </c>
      <c r="D9608" s="2" t="s">
        <v>12</v>
      </c>
      <c r="E9608" s="2" t="s">
        <v>240</v>
      </c>
      <c r="F9608" s="2" t="str">
        <f>HYPERLINK("http://www.12365auto.com/parts/20200211/418191.shtml","http://www.12365auto.com/parts/20200211/418191.shtml")</f>
        <v>http://www.12365auto.com/parts/20200211/418191.shtml</v>
      </c>
      <c r="G9608" s="2"/>
      <c r="H9608" s="2" t="s">
        <v>12926</v>
      </c>
      <c r="I9608" s="2" t="s">
        <v>15</v>
      </c>
      <c r="J9608" s="2" t="s">
        <v>12</v>
      </c>
      <c r="K9608" s="2" t="s">
        <v>12927</v>
      </c>
      <c r="L9608" s="2">
        <f t="shared" si="150"/>
        <v>150</v>
      </c>
    </row>
    <row r="9609" spans="1:12" ht="25" customHeight="1">
      <c r="A9609" s="2" t="s">
        <v>12</v>
      </c>
      <c r="B9609" s="2" t="str">
        <f>HYPERLINK("http://m.12365auto.com/parts/20200211/418191.shtml","续航可提升10km 宝马研发低风阻轮圈")</f>
        <v>续航可提升10km 宝马研发低风阻轮圈</v>
      </c>
      <c r="C9609" s="2" t="s">
        <v>13</v>
      </c>
      <c r="D9609" s="2" t="s">
        <v>12</v>
      </c>
      <c r="E9609" s="2"/>
      <c r="F9609" s="2" t="str">
        <f>HYPERLINK("http://m.12365auto.com/parts/20200211/418191.shtml","http://m.12365auto.com/parts/20200211/418191.shtml")</f>
        <v>http://m.12365auto.com/parts/20200211/418191.shtml</v>
      </c>
      <c r="G9609" s="2"/>
      <c r="H9609" s="2" t="s">
        <v>12928</v>
      </c>
      <c r="I9609" s="2" t="s">
        <v>19</v>
      </c>
      <c r="J9609" s="2" t="s">
        <v>6734</v>
      </c>
      <c r="K9609" s="2" t="s">
        <v>12927</v>
      </c>
      <c r="L9609" s="2">
        <f t="shared" si="150"/>
        <v>150</v>
      </c>
    </row>
    <row r="9610" spans="1:12" ht="25" customHeight="1">
      <c r="A9610" s="2" t="s">
        <v>12</v>
      </c>
      <c r="B9610" s="2" t="str">
        <f>HYPERLINK("http://www.12365auto.com/news/20200211/418190.shtml","推OLED曲面屏 LG电子与通用展开合作")</f>
        <v>推OLED曲面屏 LG电子与通用展开合作</v>
      </c>
      <c r="C9610" s="2" t="s">
        <v>13</v>
      </c>
      <c r="D9610" s="2" t="s">
        <v>12</v>
      </c>
      <c r="E9610" s="2" t="s">
        <v>282</v>
      </c>
      <c r="F9610" s="2" t="str">
        <f>HYPERLINK("http://www.12365auto.com/news/20200211/418190.shtml","http://www.12365auto.com/news/20200211/418190.shtml")</f>
        <v>http://www.12365auto.com/news/20200211/418190.shtml</v>
      </c>
      <c r="G9610" s="2"/>
      <c r="H9610" s="2" t="s">
        <v>12929</v>
      </c>
      <c r="I9610" s="2" t="s">
        <v>19</v>
      </c>
      <c r="J9610" s="2" t="s">
        <v>12</v>
      </c>
      <c r="K9610" s="2" t="s">
        <v>12930</v>
      </c>
      <c r="L9610" s="2">
        <f t="shared" si="150"/>
        <v>150</v>
      </c>
    </row>
    <row r="9611" spans="1:12" ht="25" customHeight="1">
      <c r="A9611" s="2" t="s">
        <v>12</v>
      </c>
      <c r="B9611" s="2" t="str">
        <f>HYPERLINK("http://m.12365auto.com/news/20200211/418190.shtml","推OLED曲面屏 LG电子与通用展开合作")</f>
        <v>推OLED曲面屏 LG电子与通用展开合作</v>
      </c>
      <c r="C9611" s="2" t="s">
        <v>13</v>
      </c>
      <c r="D9611" s="2" t="s">
        <v>12</v>
      </c>
      <c r="E9611" s="2"/>
      <c r="F9611" s="2" t="str">
        <f>HYPERLINK("http://m.12365auto.com/news/20200211/418190.shtml","http://m.12365auto.com/news/20200211/418190.shtml")</f>
        <v>http://m.12365auto.com/news/20200211/418190.shtml</v>
      </c>
      <c r="G9611" s="2"/>
      <c r="H9611" s="2" t="s">
        <v>12931</v>
      </c>
      <c r="I9611" s="2" t="s">
        <v>19</v>
      </c>
      <c r="J9611" s="2" t="s">
        <v>1543</v>
      </c>
      <c r="K9611" s="2" t="s">
        <v>12930</v>
      </c>
      <c r="L9611" s="2">
        <f t="shared" si="150"/>
        <v>150</v>
      </c>
    </row>
    <row r="9612" spans="1:12" ht="25" customHeight="1">
      <c r="A9612" s="2" t="s">
        <v>12</v>
      </c>
      <c r="B9612" s="2" t="str">
        <f>HYPERLINK("http://www.12365auto.com/news/20200211/418189.shtml","续航性能科技感 福特谈Mach-E订单关注")</f>
        <v>续航性能科技感 福特谈Mach-E订单关注</v>
      </c>
      <c r="C9612" s="2" t="s">
        <v>13</v>
      </c>
      <c r="D9612" s="2" t="s">
        <v>12</v>
      </c>
      <c r="E9612" s="2" t="s">
        <v>282</v>
      </c>
      <c r="F9612" s="2" t="str">
        <f>HYPERLINK("http://www.12365auto.com/news/20200211/418189.shtml","http://www.12365auto.com/news/20200211/418189.shtml")</f>
        <v>http://www.12365auto.com/news/20200211/418189.shtml</v>
      </c>
      <c r="G9612" s="2"/>
      <c r="H9612" s="2" t="s">
        <v>12932</v>
      </c>
      <c r="I9612" s="2" t="s">
        <v>19</v>
      </c>
      <c r="J9612" s="2" t="s">
        <v>12</v>
      </c>
      <c r="K9612" s="2" t="s">
        <v>12933</v>
      </c>
      <c r="L9612" s="2">
        <f t="shared" si="150"/>
        <v>150</v>
      </c>
    </row>
    <row r="9613" spans="1:12" ht="25" customHeight="1">
      <c r="A9613" s="2" t="s">
        <v>12</v>
      </c>
      <c r="B9613" s="2" t="str">
        <f>HYPERLINK("http://m.12365auto.com/news/20200211/418189.shtml","续航性能科技感 福特谈Mach-E订单关注")</f>
        <v>续航性能科技感 福特谈Mach-E订单关注</v>
      </c>
      <c r="C9613" s="2" t="s">
        <v>13</v>
      </c>
      <c r="D9613" s="2" t="s">
        <v>12</v>
      </c>
      <c r="E9613" s="2"/>
      <c r="F9613" s="2" t="str">
        <f>HYPERLINK("http://m.12365auto.com/news/20200211/418189.shtml","http://m.12365auto.com/news/20200211/418189.shtml")</f>
        <v>http://m.12365auto.com/news/20200211/418189.shtml</v>
      </c>
      <c r="G9613" s="2"/>
      <c r="H9613" s="2" t="s">
        <v>12934</v>
      </c>
      <c r="I9613" s="2" t="s">
        <v>19</v>
      </c>
      <c r="J9613" s="2" t="s">
        <v>6734</v>
      </c>
      <c r="K9613" s="2" t="s">
        <v>12933</v>
      </c>
      <c r="L9613" s="2">
        <f t="shared" si="150"/>
        <v>150</v>
      </c>
    </row>
    <row r="9614" spans="1:12" ht="25" customHeight="1">
      <c r="A9614" s="2" t="s">
        <v>12</v>
      </c>
      <c r="B9614" s="2" t="str">
        <f>HYPERLINK("http://m.12365auto.com/xcdg/20200211/418188.shtml","大屏引人注意 赛麟迈客内饰设计曝光")</f>
        <v>大屏引人注意 赛麟迈客内饰设计曝光</v>
      </c>
      <c r="C9614" s="2" t="s">
        <v>13</v>
      </c>
      <c r="D9614" s="2" t="s">
        <v>12</v>
      </c>
      <c r="E9614" s="2"/>
      <c r="F9614" s="2" t="str">
        <f>HYPERLINK("http://m.12365auto.com/xcdg/20200211/418188.shtml","http://m.12365auto.com/xcdg/20200211/418188.shtml")</f>
        <v>http://m.12365auto.com/xcdg/20200211/418188.shtml</v>
      </c>
      <c r="G9614" s="2"/>
      <c r="H9614" s="2" t="s">
        <v>12935</v>
      </c>
      <c r="I9614" s="2" t="s">
        <v>19</v>
      </c>
      <c r="J9614" s="2" t="s">
        <v>1197</v>
      </c>
      <c r="K9614" s="2" t="s">
        <v>12936</v>
      </c>
      <c r="L9614" s="2">
        <f t="shared" si="150"/>
        <v>150</v>
      </c>
    </row>
    <row r="9615" spans="1:12" ht="25" customHeight="1">
      <c r="A9615" s="2" t="s">
        <v>12</v>
      </c>
      <c r="B9615" s="2" t="str">
        <f>HYPERLINK("http://www.12365auto.com/xcdg/20200211/418188.shtml","大屏引人注意 赛麟迈客内饰设计曝光")</f>
        <v>大屏引人注意 赛麟迈客内饰设计曝光</v>
      </c>
      <c r="C9615" s="2" t="s">
        <v>13</v>
      </c>
      <c r="D9615" s="2" t="s">
        <v>12</v>
      </c>
      <c r="E9615" s="2" t="s">
        <v>224</v>
      </c>
      <c r="F9615" s="2" t="str">
        <f>HYPERLINK("http://www.12365auto.com/xcdg/20200211/418188.shtml","http://www.12365auto.com/xcdg/20200211/418188.shtml")</f>
        <v>http://www.12365auto.com/xcdg/20200211/418188.shtml</v>
      </c>
      <c r="G9615" s="2"/>
      <c r="H9615" s="2" t="s">
        <v>12937</v>
      </c>
      <c r="I9615" s="2" t="s">
        <v>15</v>
      </c>
      <c r="J9615" s="2" t="s">
        <v>12</v>
      </c>
      <c r="K9615" s="2" t="s">
        <v>12936</v>
      </c>
      <c r="L9615" s="2">
        <f t="shared" si="150"/>
        <v>150</v>
      </c>
    </row>
    <row r="9616" spans="1:12" ht="25" customHeight="1">
      <c r="A9616" s="2" t="s">
        <v>12</v>
      </c>
      <c r="B9616" s="2" t="str">
        <f>HYPERLINK("http://bbs.12365auto.com/postcontent.aspx?tId=193747","除了汉兰达运动版还有啥？2020芝加哥车展将入华新车盘点")</f>
        <v>除了汉兰达运动版还有啥？2020芝加哥车展将入华新车盘点</v>
      </c>
      <c r="C9616" s="2" t="s">
        <v>13</v>
      </c>
      <c r="D9616" s="2" t="s">
        <v>12</v>
      </c>
      <c r="E9616" s="2" t="s">
        <v>27</v>
      </c>
      <c r="F9616" s="2" t="str">
        <f>HYPERLINK("http://bbs.12365auto.com/postcontent.aspx?tId=193747","http://bbs.12365auto.com/postcontent.aspx?tId=193747")</f>
        <v>http://bbs.12365auto.com/postcontent.aspx?tId=193747</v>
      </c>
      <c r="G9616" s="2"/>
      <c r="H9616" s="2" t="s">
        <v>12938</v>
      </c>
      <c r="I9616" s="2" t="s">
        <v>15</v>
      </c>
      <c r="J9616" s="2" t="s">
        <v>6236</v>
      </c>
      <c r="K9616" s="2" t="s">
        <v>12939</v>
      </c>
      <c r="L9616" s="2">
        <f t="shared" si="150"/>
        <v>150</v>
      </c>
    </row>
    <row r="9617" spans="1:12" ht="25" customHeight="1">
      <c r="A9617" s="2" t="s">
        <v>12</v>
      </c>
      <c r="B9617" s="2" t="str">
        <f>HYPERLINK("http://bbs.12365auto.com/postcontent.aspx?tID=193747","除了汉兰达运动版还有啥？2020芝加哥车展将入华新车盘点")</f>
        <v>除了汉兰达运动版还有啥？2020芝加哥车展将入华新车盘点</v>
      </c>
      <c r="C9617" s="2" t="s">
        <v>13</v>
      </c>
      <c r="D9617" s="2" t="s">
        <v>12</v>
      </c>
      <c r="E9617" s="2" t="s">
        <v>28</v>
      </c>
      <c r="F9617" s="2" t="str">
        <f>HYPERLINK("http://bbs.12365auto.com/postcontent.aspx?tID=193747","http://bbs.12365auto.com/postcontent.aspx?tID=193747")</f>
        <v>http://bbs.12365auto.com/postcontent.aspx?tID=193747</v>
      </c>
      <c r="G9617" s="2"/>
      <c r="H9617" s="2" t="s">
        <v>12940</v>
      </c>
      <c r="I9617" s="2" t="s">
        <v>15</v>
      </c>
      <c r="J9617" s="2" t="s">
        <v>6236</v>
      </c>
      <c r="K9617" s="2" t="s">
        <v>12939</v>
      </c>
      <c r="L9617" s="2">
        <f t="shared" si="150"/>
        <v>150</v>
      </c>
    </row>
    <row r="9618" spans="1:12" ht="25" customHeight="1">
      <c r="A9618" s="2" t="s">
        <v>12</v>
      </c>
      <c r="B9618" s="2" t="str">
        <f>HYPERLINK("http://m.12365auto.com/bbs/postcontent.aspx?tID=193747","除了汉兰达运动版还有啥？2020芝加哥车展将入华新车盘点")</f>
        <v>除了汉兰达运动版还有啥？2020芝加哥车展将入华新车盘点</v>
      </c>
      <c r="C9618" s="2" t="s">
        <v>13</v>
      </c>
      <c r="D9618" s="2" t="s">
        <v>23</v>
      </c>
      <c r="E9618" s="2"/>
      <c r="F9618" s="2" t="str">
        <f>HYPERLINK("http://m.12365auto.com/bbs/postcontent.aspx?tID=193747","http://m.12365auto.com/bbs/postcontent.aspx?tID=193747")</f>
        <v>http://m.12365auto.com/bbs/postcontent.aspx?tID=193747</v>
      </c>
      <c r="G9618" s="2"/>
      <c r="H9618" s="2" t="s">
        <v>12938</v>
      </c>
      <c r="I9618" s="2" t="s">
        <v>15</v>
      </c>
      <c r="J9618" s="2" t="s">
        <v>6236</v>
      </c>
      <c r="K9618" s="2" t="s">
        <v>12939</v>
      </c>
      <c r="L9618" s="2">
        <f t="shared" si="150"/>
        <v>150</v>
      </c>
    </row>
    <row r="9619" spans="1:12" ht="25" customHeight="1">
      <c r="A9619" s="2" t="s">
        <v>12</v>
      </c>
      <c r="B9619" s="2" t="str">
        <f>HYPERLINK("http://www.12365auto.com/news/20200211/418187.shtml","蔚来推出医疗系统人员专属购车福利")</f>
        <v>蔚来推出医疗系统人员专属购车福利</v>
      </c>
      <c r="C9619" s="2" t="s">
        <v>13</v>
      </c>
      <c r="D9619" s="2" t="s">
        <v>12</v>
      </c>
      <c r="E9619" s="2" t="s">
        <v>282</v>
      </c>
      <c r="F9619" s="2" t="str">
        <f>HYPERLINK("http://www.12365auto.com/news/20200211/418187.shtml","http://www.12365auto.com/news/20200211/418187.shtml")</f>
        <v>http://www.12365auto.com/news/20200211/418187.shtml</v>
      </c>
      <c r="G9619" s="2"/>
      <c r="H9619" s="2" t="s">
        <v>12941</v>
      </c>
      <c r="I9619" s="2" t="s">
        <v>19</v>
      </c>
      <c r="J9619" s="2" t="s">
        <v>12</v>
      </c>
      <c r="K9619" s="2" t="s">
        <v>12939</v>
      </c>
      <c r="L9619" s="2">
        <f t="shared" si="150"/>
        <v>150</v>
      </c>
    </row>
    <row r="9620" spans="1:12" ht="25" customHeight="1">
      <c r="A9620" s="2" t="s">
        <v>12</v>
      </c>
      <c r="B9620" s="2" t="str">
        <f>HYPERLINK("http://m.12365auto.com/news/20200211/418187.shtml","蔚来推出医疗系统人员专属购车福利")</f>
        <v>蔚来推出医疗系统人员专属购车福利</v>
      </c>
      <c r="C9620" s="2" t="s">
        <v>13</v>
      </c>
      <c r="D9620" s="2" t="s">
        <v>12</v>
      </c>
      <c r="E9620" s="2"/>
      <c r="F9620" s="2" t="str">
        <f>HYPERLINK("http://m.12365auto.com/news/20200211/418187.shtml","http://m.12365auto.com/news/20200211/418187.shtml")</f>
        <v>http://m.12365auto.com/news/20200211/418187.shtml</v>
      </c>
      <c r="G9620" s="2"/>
      <c r="H9620" s="2" t="s">
        <v>12942</v>
      </c>
      <c r="I9620" s="2" t="s">
        <v>19</v>
      </c>
      <c r="J9620" s="2" t="s">
        <v>855</v>
      </c>
      <c r="K9620" s="2" t="s">
        <v>12939</v>
      </c>
      <c r="L9620" s="2">
        <f t="shared" si="150"/>
        <v>150</v>
      </c>
    </row>
    <row r="9621" spans="1:12" ht="25" customHeight="1">
      <c r="A9621" s="2" t="s">
        <v>12</v>
      </c>
      <c r="B9621" s="2" t="str">
        <f>HYPERLINK("http://bbs.12365auto.com/postcontent.aspx?tId=193746","燃油双擎两开花，这一次，你看好RAV4荣放吗？")</f>
        <v>燃油双擎两开花，这一次，你看好RAV4荣放吗？</v>
      </c>
      <c r="C9621" s="2" t="s">
        <v>13</v>
      </c>
      <c r="D9621" s="2" t="s">
        <v>12</v>
      </c>
      <c r="E9621" s="2" t="s">
        <v>27</v>
      </c>
      <c r="F9621" s="2" t="str">
        <f>HYPERLINK("http://bbs.12365auto.com/postcontent.aspx?tId=193746","http://bbs.12365auto.com/postcontent.aspx?tId=193746")</f>
        <v>http://bbs.12365auto.com/postcontent.aspx?tId=193746</v>
      </c>
      <c r="G9621" s="2"/>
      <c r="H9621" s="2" t="s">
        <v>12943</v>
      </c>
      <c r="I9621" s="2" t="s">
        <v>15</v>
      </c>
      <c r="J9621" s="2" t="s">
        <v>6236</v>
      </c>
      <c r="K9621" s="2" t="s">
        <v>12944</v>
      </c>
      <c r="L9621" s="2">
        <f t="shared" si="150"/>
        <v>150</v>
      </c>
    </row>
    <row r="9622" spans="1:12" ht="25" customHeight="1">
      <c r="A9622" s="2" t="s">
        <v>12</v>
      </c>
      <c r="B9622" s="2" t="str">
        <f>HYPERLINK("http://m.12365auto.com/bbs/postcontent.aspx?tID=193746","燃油双擎两开花，这一次，你看好RAV4荣放吗？")</f>
        <v>燃油双擎两开花，这一次，你看好RAV4荣放吗？</v>
      </c>
      <c r="C9622" s="2" t="s">
        <v>13</v>
      </c>
      <c r="D9622" s="2" t="s">
        <v>23</v>
      </c>
      <c r="E9622" s="2"/>
      <c r="F9622" s="2" t="str">
        <f>HYPERLINK("http://m.12365auto.com/bbs/postcontent.aspx?tID=193746","http://m.12365auto.com/bbs/postcontent.aspx?tID=193746")</f>
        <v>http://m.12365auto.com/bbs/postcontent.aspx?tID=193746</v>
      </c>
      <c r="G9622" s="2"/>
      <c r="H9622" s="2" t="s">
        <v>12943</v>
      </c>
      <c r="I9622" s="2" t="s">
        <v>15</v>
      </c>
      <c r="J9622" s="2" t="s">
        <v>6236</v>
      </c>
      <c r="K9622" s="2" t="s">
        <v>12944</v>
      </c>
      <c r="L9622" s="2">
        <f t="shared" si="150"/>
        <v>150</v>
      </c>
    </row>
    <row r="9623" spans="1:12" ht="25" customHeight="1">
      <c r="A9623" s="2" t="s">
        <v>12</v>
      </c>
      <c r="B9623" s="2" t="str">
        <f>HYPERLINK("http://bbs.12365auto.com/postcontent.aspx?tID=193746","燃油双擎两开花，这一次，你看好RAV4荣放吗？")</f>
        <v>燃油双擎两开花，这一次，你看好RAV4荣放吗？</v>
      </c>
      <c r="C9623" s="2" t="s">
        <v>13</v>
      </c>
      <c r="D9623" s="2" t="s">
        <v>12</v>
      </c>
      <c r="E9623" s="2" t="s">
        <v>28</v>
      </c>
      <c r="F9623" s="2" t="str">
        <f>HYPERLINK("http://bbs.12365auto.com/postcontent.aspx?tID=193746","http://bbs.12365auto.com/postcontent.aspx?tID=193746")</f>
        <v>http://bbs.12365auto.com/postcontent.aspx?tID=193746</v>
      </c>
      <c r="G9623" s="2"/>
      <c r="H9623" s="2" t="s">
        <v>12945</v>
      </c>
      <c r="I9623" s="2" t="s">
        <v>15</v>
      </c>
      <c r="J9623" s="2" t="s">
        <v>6236</v>
      </c>
      <c r="K9623" s="2" t="s">
        <v>12944</v>
      </c>
      <c r="L9623" s="2">
        <f t="shared" si="150"/>
        <v>150</v>
      </c>
    </row>
    <row r="9624" spans="1:12" ht="25" customHeight="1">
      <c r="A9624" s="2" t="s">
        <v>12</v>
      </c>
      <c r="B9624" s="2" t="str">
        <f>HYPERLINK("http://bbs.12365auto.com/postcontent.aspx?tId=193744","几款主流10万级小型车油耗与舒适性大比拼！")</f>
        <v>几款主流10万级小型车油耗与舒适性大比拼！</v>
      </c>
      <c r="C9624" s="2" t="s">
        <v>13</v>
      </c>
      <c r="D9624" s="2" t="s">
        <v>12</v>
      </c>
      <c r="E9624" s="2" t="s">
        <v>27</v>
      </c>
      <c r="F9624" s="2" t="str">
        <f>HYPERLINK("http://bbs.12365auto.com/postcontent.aspx?tId=193744","http://bbs.12365auto.com/postcontent.aspx?tId=193744")</f>
        <v>http://bbs.12365auto.com/postcontent.aspx?tId=193744</v>
      </c>
      <c r="G9624" s="2"/>
      <c r="H9624" s="2" t="s">
        <v>12946</v>
      </c>
      <c r="I9624" s="2" t="s">
        <v>15</v>
      </c>
      <c r="J9624" s="2" t="s">
        <v>6236</v>
      </c>
      <c r="K9624" s="2" t="s">
        <v>12947</v>
      </c>
      <c r="L9624" s="2">
        <f t="shared" si="150"/>
        <v>150</v>
      </c>
    </row>
    <row r="9625" spans="1:12" ht="25" customHeight="1">
      <c r="A9625" s="2" t="s">
        <v>12</v>
      </c>
      <c r="B9625" s="2" t="str">
        <f>HYPERLINK("http://bbs.12365auto.com/postcontent.aspx?tId=193745","新款汉兰达北美亮相，更像雷克萨斯，七座标杆再续加价神话")</f>
        <v>新款汉兰达北美亮相，更像雷克萨斯，七座标杆再续加价神话</v>
      </c>
      <c r="C9625" s="2" t="s">
        <v>13</v>
      </c>
      <c r="D9625" s="2" t="s">
        <v>12</v>
      </c>
      <c r="E9625" s="2" t="s">
        <v>27</v>
      </c>
      <c r="F9625" s="2" t="str">
        <f>HYPERLINK("http://bbs.12365auto.com/postcontent.aspx?tId=193745","http://bbs.12365auto.com/postcontent.aspx?tId=193745")</f>
        <v>http://bbs.12365auto.com/postcontent.aspx?tId=193745</v>
      </c>
      <c r="G9625" s="2"/>
      <c r="H9625" s="2" t="s">
        <v>12948</v>
      </c>
      <c r="I9625" s="2" t="s">
        <v>15</v>
      </c>
      <c r="J9625" s="2" t="s">
        <v>6236</v>
      </c>
      <c r="K9625" s="2" t="s">
        <v>12947</v>
      </c>
      <c r="L9625" s="2">
        <f t="shared" si="150"/>
        <v>150</v>
      </c>
    </row>
    <row r="9626" spans="1:12" ht="25" customHeight="1">
      <c r="A9626" s="2" t="s">
        <v>12</v>
      </c>
      <c r="B9626" s="2" t="str">
        <f>HYPERLINK("http://bbs.12365auto.com/postcontent.aspx?tID=193745","新款汉兰达北美亮相，更像雷克萨斯，七座标杆再续加价神话")</f>
        <v>新款汉兰达北美亮相，更像雷克萨斯，七座标杆再续加价神话</v>
      </c>
      <c r="C9626" s="2" t="s">
        <v>13</v>
      </c>
      <c r="D9626" s="2" t="s">
        <v>12</v>
      </c>
      <c r="E9626" s="2" t="s">
        <v>28</v>
      </c>
      <c r="F9626" s="2" t="str">
        <f>HYPERLINK("http://bbs.12365auto.com/postcontent.aspx?tID=193745","http://bbs.12365auto.com/postcontent.aspx?tID=193745")</f>
        <v>http://bbs.12365auto.com/postcontent.aspx?tID=193745</v>
      </c>
      <c r="G9626" s="2"/>
      <c r="H9626" s="2" t="s">
        <v>12949</v>
      </c>
      <c r="I9626" s="2" t="s">
        <v>15</v>
      </c>
      <c r="J9626" s="2" t="s">
        <v>6236</v>
      </c>
      <c r="K9626" s="2" t="s">
        <v>12947</v>
      </c>
      <c r="L9626" s="2">
        <f t="shared" si="150"/>
        <v>150</v>
      </c>
    </row>
    <row r="9627" spans="1:12" ht="25" customHeight="1">
      <c r="A9627" s="2" t="s">
        <v>12</v>
      </c>
      <c r="B9627" s="2" t="str">
        <f>HYPERLINK("http://m.12365auto.com/bbs/postcontent.aspx?tID=193745","新款汉兰达北美亮相，更像雷克萨斯，七座标杆再续加价神话")</f>
        <v>新款汉兰达北美亮相，更像雷克萨斯，七座标杆再续加价神话</v>
      </c>
      <c r="C9627" s="2" t="s">
        <v>13</v>
      </c>
      <c r="D9627" s="2" t="s">
        <v>23</v>
      </c>
      <c r="E9627" s="2"/>
      <c r="F9627" s="2" t="str">
        <f>HYPERLINK("http://m.12365auto.com/bbs/postcontent.aspx?tID=193745","http://m.12365auto.com/bbs/postcontent.aspx?tID=193745")</f>
        <v>http://m.12365auto.com/bbs/postcontent.aspx?tID=193745</v>
      </c>
      <c r="G9627" s="2"/>
      <c r="H9627" s="2" t="s">
        <v>12948</v>
      </c>
      <c r="I9627" s="2" t="s">
        <v>15</v>
      </c>
      <c r="J9627" s="2" t="s">
        <v>6236</v>
      </c>
      <c r="K9627" s="2" t="s">
        <v>12947</v>
      </c>
      <c r="L9627" s="2">
        <f t="shared" si="150"/>
        <v>150</v>
      </c>
    </row>
    <row r="9628" spans="1:12" ht="25" customHeight="1">
      <c r="A9628" s="2" t="s">
        <v>12</v>
      </c>
      <c r="B9628" s="2" t="str">
        <f>HYPERLINK("http://m.12365auto.com/bbs/postcontent.aspx?tID=193744","几款主流10万级小型车油耗与舒适性大比拼！")</f>
        <v>几款主流10万级小型车油耗与舒适性大比拼！</v>
      </c>
      <c r="C9628" s="2" t="s">
        <v>13</v>
      </c>
      <c r="D9628" s="2" t="s">
        <v>23</v>
      </c>
      <c r="E9628" s="2"/>
      <c r="F9628" s="2" t="str">
        <f>HYPERLINK("http://m.12365auto.com/bbs/postcontent.aspx?tID=193744","http://m.12365auto.com/bbs/postcontent.aspx?tID=193744")</f>
        <v>http://m.12365auto.com/bbs/postcontent.aspx?tID=193744</v>
      </c>
      <c r="G9628" s="2"/>
      <c r="H9628" s="2" t="s">
        <v>12946</v>
      </c>
      <c r="I9628" s="2" t="s">
        <v>15</v>
      </c>
      <c r="J9628" s="2" t="s">
        <v>6236</v>
      </c>
      <c r="K9628" s="2" t="s">
        <v>12947</v>
      </c>
      <c r="L9628" s="2">
        <f t="shared" si="150"/>
        <v>150</v>
      </c>
    </row>
    <row r="9629" spans="1:12" ht="25" customHeight="1">
      <c r="A9629" s="2" t="s">
        <v>12</v>
      </c>
      <c r="B9629" s="2" t="str">
        <f>HYPERLINK("http://bbs.12365auto.com/postcontent.aspx?tID=193744","几款主流10万级小型车油耗与舒适性大比拼！")</f>
        <v>几款主流10万级小型车油耗与舒适性大比拼！</v>
      </c>
      <c r="C9629" s="2" t="s">
        <v>13</v>
      </c>
      <c r="D9629" s="2" t="s">
        <v>12</v>
      </c>
      <c r="E9629" s="2" t="s">
        <v>28</v>
      </c>
      <c r="F9629" s="2" t="str">
        <f>HYPERLINK("http://bbs.12365auto.com/postcontent.aspx?tID=193744","http://bbs.12365auto.com/postcontent.aspx?tID=193744")</f>
        <v>http://bbs.12365auto.com/postcontent.aspx?tID=193744</v>
      </c>
      <c r="G9629" s="2"/>
      <c r="H9629" s="2" t="s">
        <v>12950</v>
      </c>
      <c r="I9629" s="2" t="s">
        <v>15</v>
      </c>
      <c r="J9629" s="2" t="s">
        <v>6236</v>
      </c>
      <c r="K9629" s="2" t="s">
        <v>12947</v>
      </c>
      <c r="L9629" s="2">
        <f t="shared" si="150"/>
        <v>150</v>
      </c>
    </row>
    <row r="9630" spans="1:12" ht="25" customHeight="1">
      <c r="A9630" s="2" t="s">
        <v>12</v>
      </c>
      <c r="B9630" s="2" t="str">
        <f>HYPERLINK("http://www.12365auto.com/news/20200211/418186.shtml","支持疫情防控 哪吒汽车捐应急用车111辆")</f>
        <v>支持疫情防控 哪吒汽车捐应急用车111辆</v>
      </c>
      <c r="C9630" s="2" t="s">
        <v>13</v>
      </c>
      <c r="D9630" s="2" t="s">
        <v>12</v>
      </c>
      <c r="E9630" s="2" t="s">
        <v>282</v>
      </c>
      <c r="F9630" s="2" t="str">
        <f>HYPERLINK("http://www.12365auto.com/news/20200211/418186.shtml","http://www.12365auto.com/news/20200211/418186.shtml")</f>
        <v>http://www.12365auto.com/news/20200211/418186.shtml</v>
      </c>
      <c r="G9630" s="2"/>
      <c r="H9630" s="2" t="s">
        <v>12951</v>
      </c>
      <c r="I9630" s="2" t="s">
        <v>19</v>
      </c>
      <c r="J9630" s="2" t="s">
        <v>12</v>
      </c>
      <c r="K9630" s="2" t="s">
        <v>12947</v>
      </c>
      <c r="L9630" s="2">
        <f t="shared" si="150"/>
        <v>150</v>
      </c>
    </row>
    <row r="9631" spans="1:12" ht="25" customHeight="1">
      <c r="A9631" s="2" t="s">
        <v>12</v>
      </c>
      <c r="B9631" s="2" t="str">
        <f>HYPERLINK("http://m.12365auto.com/news/20200211/418186.shtml","支持疫情防控 哪吒汽车捐应急用车111辆")</f>
        <v>支持疫情防控 哪吒汽车捐应急用车111辆</v>
      </c>
      <c r="C9631" s="2" t="s">
        <v>13</v>
      </c>
      <c r="D9631" s="2" t="s">
        <v>12</v>
      </c>
      <c r="E9631" s="2"/>
      <c r="F9631" s="2" t="str">
        <f>HYPERLINK("http://m.12365auto.com/news/20200211/418186.shtml","http://m.12365auto.com/news/20200211/418186.shtml")</f>
        <v>http://m.12365auto.com/news/20200211/418186.shtml</v>
      </c>
      <c r="G9631" s="2"/>
      <c r="H9631" s="2" t="s">
        <v>12952</v>
      </c>
      <c r="I9631" s="2" t="s">
        <v>19</v>
      </c>
      <c r="J9631" s="2" t="s">
        <v>330</v>
      </c>
      <c r="K9631" s="2" t="s">
        <v>12947</v>
      </c>
      <c r="L9631" s="2">
        <f t="shared" si="150"/>
        <v>150</v>
      </c>
    </row>
    <row r="9632" spans="1:12" ht="25" customHeight="1">
      <c r="A9632" s="2" t="s">
        <v>12</v>
      </c>
      <c r="B9632" s="2" t="str">
        <f>HYPERLINK("http://bbs.12365auto.com/postcontent.aspx?tId=193743","18万的价格，28万的面子！速派还是帕萨特,哪款能入手？车主们这么说")</f>
        <v>18万的价格，28万的面子！速派还是帕萨特,哪款能入手？车主们这么说</v>
      </c>
      <c r="C9632" s="2" t="s">
        <v>13</v>
      </c>
      <c r="D9632" s="2" t="s">
        <v>12</v>
      </c>
      <c r="E9632" s="2" t="s">
        <v>27</v>
      </c>
      <c r="F9632" s="2" t="str">
        <f>HYPERLINK("http://bbs.12365auto.com/postcontent.aspx?tId=193743","http://bbs.12365auto.com/postcontent.aspx?tId=193743")</f>
        <v>http://bbs.12365auto.com/postcontent.aspx?tId=193743</v>
      </c>
      <c r="G9632" s="2"/>
      <c r="H9632" s="2" t="s">
        <v>12953</v>
      </c>
      <c r="I9632" s="2" t="s">
        <v>15</v>
      </c>
      <c r="J9632" s="2" t="s">
        <v>6236</v>
      </c>
      <c r="K9632" s="2" t="s">
        <v>12954</v>
      </c>
      <c r="L9632" s="2">
        <f t="shared" si="150"/>
        <v>150</v>
      </c>
    </row>
    <row r="9633" spans="1:12" ht="25" customHeight="1">
      <c r="A9633" s="2" t="s">
        <v>12</v>
      </c>
      <c r="B9633" s="2" t="str">
        <f>HYPERLINK("http://bbs.12365auto.com/postcontent.aspx?tID=193743","18万的价格，28万的面子！速派还是帕萨特,哪款能入手？车主们这么说")</f>
        <v>18万的价格，28万的面子！速派还是帕萨特,哪款能入手？车主们这么说</v>
      </c>
      <c r="C9633" s="2" t="s">
        <v>13</v>
      </c>
      <c r="D9633" s="2" t="s">
        <v>12</v>
      </c>
      <c r="E9633" s="2" t="s">
        <v>28</v>
      </c>
      <c r="F9633" s="2" t="str">
        <f>HYPERLINK("http://bbs.12365auto.com/postcontent.aspx?tID=193743","http://bbs.12365auto.com/postcontent.aspx?tID=193743")</f>
        <v>http://bbs.12365auto.com/postcontent.aspx?tID=193743</v>
      </c>
      <c r="G9633" s="2"/>
      <c r="H9633" s="2" t="s">
        <v>12955</v>
      </c>
      <c r="I9633" s="2" t="s">
        <v>15</v>
      </c>
      <c r="J9633" s="2" t="s">
        <v>6236</v>
      </c>
      <c r="K9633" s="2" t="s">
        <v>12954</v>
      </c>
      <c r="L9633" s="2">
        <f t="shared" si="150"/>
        <v>150</v>
      </c>
    </row>
    <row r="9634" spans="1:12" ht="25" customHeight="1">
      <c r="A9634" s="2" t="s">
        <v>12</v>
      </c>
      <c r="B9634" s="2" t="str">
        <f>HYPERLINK("http://m.12365auto.com/bbs/postcontent.aspx?tID=193743","18万的价格，28万的面子！速派还是帕萨特,哪款能入手？车主们这么说")</f>
        <v>18万的价格，28万的面子！速派还是帕萨特,哪款能入手？车主们这么说</v>
      </c>
      <c r="C9634" s="2" t="s">
        <v>13</v>
      </c>
      <c r="D9634" s="2" t="s">
        <v>23</v>
      </c>
      <c r="E9634" s="2"/>
      <c r="F9634" s="2" t="str">
        <f>HYPERLINK("http://m.12365auto.com/bbs/postcontent.aspx?tID=193743","http://m.12365auto.com/bbs/postcontent.aspx?tID=193743")</f>
        <v>http://m.12365auto.com/bbs/postcontent.aspx?tID=193743</v>
      </c>
      <c r="G9634" s="2"/>
      <c r="H9634" s="2" t="s">
        <v>12953</v>
      </c>
      <c r="I9634" s="2" t="s">
        <v>15</v>
      </c>
      <c r="J9634" s="2" t="s">
        <v>6236</v>
      </c>
      <c r="K9634" s="2" t="s">
        <v>12954</v>
      </c>
      <c r="L9634" s="2">
        <f t="shared" si="150"/>
        <v>150</v>
      </c>
    </row>
    <row r="9635" spans="1:12" ht="25" customHeight="1">
      <c r="A9635" s="2" t="s">
        <v>12</v>
      </c>
      <c r="B9635" s="2" t="str">
        <f>HYPERLINK("http://bbs.12365auto.com/postcontent.aspx?tId=193742","生产了60年的V8发动机，再见宾利6¾L")</f>
        <v>生产了60年的V8发动机，再见宾利6¾L</v>
      </c>
      <c r="C9635" s="2" t="s">
        <v>13</v>
      </c>
      <c r="D9635" s="2" t="s">
        <v>12</v>
      </c>
      <c r="E9635" s="2" t="s">
        <v>27</v>
      </c>
      <c r="F9635" s="2" t="str">
        <f>HYPERLINK("http://bbs.12365auto.com/postcontent.aspx?tId=193742","http://bbs.12365auto.com/postcontent.aspx?tId=193742")</f>
        <v>http://bbs.12365auto.com/postcontent.aspx?tId=193742</v>
      </c>
      <c r="G9635" s="2"/>
      <c r="H9635" s="2" t="s">
        <v>12956</v>
      </c>
      <c r="I9635" s="2" t="s">
        <v>15</v>
      </c>
      <c r="J9635" s="2" t="s">
        <v>6236</v>
      </c>
      <c r="K9635" s="2" t="s">
        <v>12957</v>
      </c>
      <c r="L9635" s="2">
        <f t="shared" si="150"/>
        <v>150</v>
      </c>
    </row>
    <row r="9636" spans="1:12" ht="25" customHeight="1">
      <c r="A9636" s="2" t="s">
        <v>12</v>
      </c>
      <c r="B9636" s="2" t="str">
        <f>HYPERLINK("http://bbs.12365auto.com/postcontent.aspx?tId=193740","吉利、沃尔沃谋求合并：十年之前，十年之后")</f>
        <v>吉利、沃尔沃谋求合并：十年之前，十年之后</v>
      </c>
      <c r="C9636" s="2" t="s">
        <v>13</v>
      </c>
      <c r="D9636" s="2" t="s">
        <v>12</v>
      </c>
      <c r="E9636" s="2" t="s">
        <v>27</v>
      </c>
      <c r="F9636" s="2" t="str">
        <f>HYPERLINK("http://bbs.12365auto.com/postcontent.aspx?tId=193740","http://bbs.12365auto.com/postcontent.aspx?tId=193740")</f>
        <v>http://bbs.12365auto.com/postcontent.aspx?tId=193740</v>
      </c>
      <c r="G9636" s="2"/>
      <c r="H9636" s="2" t="s">
        <v>12958</v>
      </c>
      <c r="I9636" s="2" t="s">
        <v>15</v>
      </c>
      <c r="J9636" s="2" t="s">
        <v>6236</v>
      </c>
      <c r="K9636" s="2" t="s">
        <v>12957</v>
      </c>
      <c r="L9636" s="2">
        <f t="shared" si="150"/>
        <v>150</v>
      </c>
    </row>
    <row r="9637" spans="1:12" ht="25" customHeight="1">
      <c r="A9637" s="2" t="s">
        <v>12</v>
      </c>
      <c r="B9637" s="2" t="str">
        <f>HYPERLINK("http://m.12365auto.com/bbs/postcontent.aspx?tID=193742","生产了60年的V8发动机，再见宾利6¾L")</f>
        <v>生产了60年的V8发动机，再见宾利6¾L</v>
      </c>
      <c r="C9637" s="2" t="s">
        <v>13</v>
      </c>
      <c r="D9637" s="2" t="s">
        <v>23</v>
      </c>
      <c r="E9637" s="2"/>
      <c r="F9637" s="2" t="str">
        <f>HYPERLINK("http://m.12365auto.com/bbs/postcontent.aspx?tID=193742","http://m.12365auto.com/bbs/postcontent.aspx?tID=193742")</f>
        <v>http://m.12365auto.com/bbs/postcontent.aspx?tID=193742</v>
      </c>
      <c r="G9637" s="2"/>
      <c r="H9637" s="2" t="s">
        <v>12956</v>
      </c>
      <c r="I9637" s="2" t="s">
        <v>15</v>
      </c>
      <c r="J9637" s="2" t="s">
        <v>6236</v>
      </c>
      <c r="K9637" s="2" t="s">
        <v>12957</v>
      </c>
      <c r="L9637" s="2">
        <f t="shared" si="150"/>
        <v>150</v>
      </c>
    </row>
    <row r="9638" spans="1:12" ht="25" customHeight="1">
      <c r="A9638" s="2" t="s">
        <v>12</v>
      </c>
      <c r="B9638" s="2" t="str">
        <f>HYPERLINK("http://m.12365auto.com/bbs/postcontent.aspx?tID=193741","疫情时期开车需要戴口罩吗？这几点建议，你很有必要知道")</f>
        <v>疫情时期开车需要戴口罩吗？这几点建议，你很有必要知道</v>
      </c>
      <c r="C9638" s="2" t="s">
        <v>13</v>
      </c>
      <c r="D9638" s="2" t="s">
        <v>23</v>
      </c>
      <c r="E9638" s="2"/>
      <c r="F9638" s="2" t="str">
        <f>HYPERLINK("http://m.12365auto.com/bbs/postcontent.aspx?tID=193741","http://m.12365auto.com/bbs/postcontent.aspx?tID=193741")</f>
        <v>http://m.12365auto.com/bbs/postcontent.aspx?tID=193741</v>
      </c>
      <c r="G9638" s="2"/>
      <c r="H9638" s="2" t="s">
        <v>12715</v>
      </c>
      <c r="I9638" s="2" t="s">
        <v>15</v>
      </c>
      <c r="J9638" s="2" t="s">
        <v>1960</v>
      </c>
      <c r="K9638" s="2" t="s">
        <v>12957</v>
      </c>
      <c r="L9638" s="2">
        <f t="shared" si="150"/>
        <v>150</v>
      </c>
    </row>
    <row r="9639" spans="1:12" ht="25" customHeight="1">
      <c r="A9639" s="2" t="s">
        <v>12</v>
      </c>
      <c r="B9639" s="2" t="str">
        <f>HYPERLINK("http://m.12365auto.com/bbs/postcontent.aspx?tID=193740","吉利、沃尔沃谋求合并：十年之前，十年之后")</f>
        <v>吉利、沃尔沃谋求合并：十年之前，十年之后</v>
      </c>
      <c r="C9639" s="2" t="s">
        <v>13</v>
      </c>
      <c r="D9639" s="2" t="s">
        <v>23</v>
      </c>
      <c r="E9639" s="2"/>
      <c r="F9639" s="2" t="str">
        <f>HYPERLINK("http://m.12365auto.com/bbs/postcontent.aspx?tID=193740","http://m.12365auto.com/bbs/postcontent.aspx?tID=193740")</f>
        <v>http://m.12365auto.com/bbs/postcontent.aspx?tID=193740</v>
      </c>
      <c r="G9639" s="2"/>
      <c r="H9639" s="2" t="s">
        <v>12958</v>
      </c>
      <c r="I9639" s="2" t="s">
        <v>15</v>
      </c>
      <c r="J9639" s="2" t="s">
        <v>6236</v>
      </c>
      <c r="K9639" s="2" t="s">
        <v>12957</v>
      </c>
      <c r="L9639" s="2">
        <f t="shared" si="150"/>
        <v>150</v>
      </c>
    </row>
    <row r="9640" spans="1:12" ht="25" customHeight="1">
      <c r="A9640" s="2" t="s">
        <v>12</v>
      </c>
      <c r="B9640" s="2" t="str">
        <f>HYPERLINK("http://bbs.12365auto.com/postcontent.aspx?tID=193742","生产了60年的V8发动机，再见宾利6¾L")</f>
        <v>生产了60年的V8发动机，再见宾利6¾L</v>
      </c>
      <c r="C9640" s="2" t="s">
        <v>13</v>
      </c>
      <c r="D9640" s="2" t="s">
        <v>12</v>
      </c>
      <c r="E9640" s="2" t="s">
        <v>28</v>
      </c>
      <c r="F9640" s="2" t="str">
        <f>HYPERLINK("http://bbs.12365auto.com/postcontent.aspx?tID=193742","http://bbs.12365auto.com/postcontent.aspx?tID=193742")</f>
        <v>http://bbs.12365auto.com/postcontent.aspx?tID=193742</v>
      </c>
      <c r="G9640" s="2"/>
      <c r="H9640" s="2" t="s">
        <v>12959</v>
      </c>
      <c r="I9640" s="2" t="s">
        <v>15</v>
      </c>
      <c r="J9640" s="2" t="s">
        <v>6236</v>
      </c>
      <c r="K9640" s="2" t="s">
        <v>12957</v>
      </c>
      <c r="L9640" s="2">
        <f t="shared" si="150"/>
        <v>150</v>
      </c>
    </row>
    <row r="9641" spans="1:12" ht="25" customHeight="1">
      <c r="A9641" s="2" t="s">
        <v>12</v>
      </c>
      <c r="B9641" s="2" t="str">
        <f>HYPERLINK("http://bbs.12365auto.com/postcontent.aspx?tID=193741","疫情时期开车需要戴口罩吗？这几点建议，你很有必要知道")</f>
        <v>疫情时期开车需要戴口罩吗？这几点建议，你很有必要知道</v>
      </c>
      <c r="C9641" s="2" t="s">
        <v>13</v>
      </c>
      <c r="D9641" s="2" t="s">
        <v>12</v>
      </c>
      <c r="E9641" s="2" t="s">
        <v>1660</v>
      </c>
      <c r="F9641" s="2" t="str">
        <f>HYPERLINK("http://bbs.12365auto.com/postcontent.aspx?tID=193741","http://bbs.12365auto.com/postcontent.aspx?tID=193741")</f>
        <v>http://bbs.12365auto.com/postcontent.aspx?tID=193741</v>
      </c>
      <c r="G9641" s="2"/>
      <c r="H9641" s="2" t="s">
        <v>12960</v>
      </c>
      <c r="I9641" s="2" t="s">
        <v>15</v>
      </c>
      <c r="J9641" s="2" t="s">
        <v>1960</v>
      </c>
      <c r="K9641" s="2" t="s">
        <v>12957</v>
      </c>
      <c r="L9641" s="2">
        <f t="shared" si="150"/>
        <v>150</v>
      </c>
    </row>
    <row r="9642" spans="1:12" ht="25" customHeight="1">
      <c r="A9642" s="2" t="s">
        <v>12</v>
      </c>
      <c r="B9642" s="2" t="str">
        <f>HYPERLINK("http://www.12365auto.com/news/20200211/418184.shtml","同比下降42.68% 比亚迪公布1月销量数据")</f>
        <v>同比下降42.68% 比亚迪公布1月销量数据</v>
      </c>
      <c r="C9642" s="2" t="s">
        <v>13</v>
      </c>
      <c r="D9642" s="2" t="s">
        <v>12</v>
      </c>
      <c r="E9642" s="2" t="s">
        <v>282</v>
      </c>
      <c r="F9642" s="2" t="str">
        <f>HYPERLINK("http://www.12365auto.com/news/20200211/418184.shtml","http://www.12365auto.com/news/20200211/418184.shtml")</f>
        <v>http://www.12365auto.com/news/20200211/418184.shtml</v>
      </c>
      <c r="G9642" s="2"/>
      <c r="H9642" s="2" t="s">
        <v>12961</v>
      </c>
      <c r="I9642" s="2" t="s">
        <v>19</v>
      </c>
      <c r="J9642" s="2" t="s">
        <v>12</v>
      </c>
      <c r="K9642" s="2" t="s">
        <v>12957</v>
      </c>
      <c r="L9642" s="2">
        <f t="shared" si="150"/>
        <v>150</v>
      </c>
    </row>
    <row r="9643" spans="1:12" ht="25" customHeight="1">
      <c r="A9643" s="2" t="s">
        <v>12</v>
      </c>
      <c r="B9643" s="2" t="str">
        <f>HYPERLINK("http://www.12365auto.com/news/20200211/418185.shtml","业务整合 吉利/沃尔沃拟组建为全球集团")</f>
        <v>业务整合 吉利/沃尔沃拟组建为全球集团</v>
      </c>
      <c r="C9643" s="2" t="s">
        <v>13</v>
      </c>
      <c r="D9643" s="2" t="s">
        <v>12</v>
      </c>
      <c r="E9643" s="2" t="s">
        <v>282</v>
      </c>
      <c r="F9643" s="2" t="str">
        <f>HYPERLINK("http://www.12365auto.com/news/20200211/418185.shtml","http://www.12365auto.com/news/20200211/418185.shtml")</f>
        <v>http://www.12365auto.com/news/20200211/418185.shtml</v>
      </c>
      <c r="G9643" s="2"/>
      <c r="H9643" s="2" t="s">
        <v>12962</v>
      </c>
      <c r="I9643" s="2" t="s">
        <v>19</v>
      </c>
      <c r="J9643" s="2" t="s">
        <v>12</v>
      </c>
      <c r="K9643" s="2" t="s">
        <v>12957</v>
      </c>
      <c r="L9643" s="2">
        <f t="shared" si="150"/>
        <v>150</v>
      </c>
    </row>
    <row r="9644" spans="1:12" ht="25" customHeight="1">
      <c r="A9644" s="2" t="s">
        <v>12</v>
      </c>
      <c r="B9644" s="2" t="str">
        <f>HYPERLINK("http://bbs.12365auto.com/postcontent.aspx?tId=193741","疫情时期开车需要戴口罩吗？这几点建议，你很有必要知道")</f>
        <v>疫情时期开车需要戴口罩吗？这几点建议，你很有必要知道</v>
      </c>
      <c r="C9644" s="2" t="s">
        <v>13</v>
      </c>
      <c r="D9644" s="2" t="s">
        <v>12</v>
      </c>
      <c r="E9644" s="2" t="s">
        <v>1664</v>
      </c>
      <c r="F9644" s="2" t="str">
        <f>HYPERLINK("http://bbs.12365auto.com/postcontent.aspx?tId=193741","http://bbs.12365auto.com/postcontent.aspx?tId=193741")</f>
        <v>http://bbs.12365auto.com/postcontent.aspx?tId=193741</v>
      </c>
      <c r="G9644" s="2"/>
      <c r="H9644" s="2" t="s">
        <v>12715</v>
      </c>
      <c r="I9644" s="2" t="s">
        <v>15</v>
      </c>
      <c r="J9644" s="2" t="s">
        <v>1960</v>
      </c>
      <c r="K9644" s="2" t="s">
        <v>12957</v>
      </c>
      <c r="L9644" s="2">
        <f t="shared" si="150"/>
        <v>150</v>
      </c>
    </row>
    <row r="9645" spans="1:12" ht="25" customHeight="1">
      <c r="A9645" s="2" t="s">
        <v>12</v>
      </c>
      <c r="B9645" s="2" t="str">
        <f>HYPERLINK("http://bbs.12365auto.com/postcontent.aspx?tID=193740","吉利、沃尔沃谋求合并：十年之前，十年之后")</f>
        <v>吉利、沃尔沃谋求合并：十年之前，十年之后</v>
      </c>
      <c r="C9645" s="2" t="s">
        <v>13</v>
      </c>
      <c r="D9645" s="2" t="s">
        <v>12</v>
      </c>
      <c r="E9645" s="2" t="s">
        <v>28</v>
      </c>
      <c r="F9645" s="2" t="str">
        <f>HYPERLINK("http://bbs.12365auto.com/postcontent.aspx?tID=193740","http://bbs.12365auto.com/postcontent.aspx?tID=193740")</f>
        <v>http://bbs.12365auto.com/postcontent.aspx?tID=193740</v>
      </c>
      <c r="G9645" s="2"/>
      <c r="H9645" s="2" t="s">
        <v>12963</v>
      </c>
      <c r="I9645" s="2" t="s">
        <v>15</v>
      </c>
      <c r="J9645" s="2" t="s">
        <v>6236</v>
      </c>
      <c r="K9645" s="2" t="s">
        <v>12957</v>
      </c>
      <c r="L9645" s="2">
        <f t="shared" si="150"/>
        <v>150</v>
      </c>
    </row>
    <row r="9646" spans="1:12" ht="25" customHeight="1">
      <c r="A9646" s="2" t="s">
        <v>12</v>
      </c>
      <c r="B9646" s="2" t="str">
        <f>HYPERLINK("http://m.12365auto.com/news/20200211/418184.shtml","同比下降42.68% 比亚迪公布1月销量数据")</f>
        <v>同比下降42.68% 比亚迪公布1月销量数据</v>
      </c>
      <c r="C9646" s="2" t="s">
        <v>13</v>
      </c>
      <c r="D9646" s="2" t="s">
        <v>12</v>
      </c>
      <c r="E9646" s="2"/>
      <c r="F9646" s="2" t="str">
        <f>HYPERLINK("http://m.12365auto.com/news/20200211/418184.shtml","http://m.12365auto.com/news/20200211/418184.shtml")</f>
        <v>http://m.12365auto.com/news/20200211/418184.shtml</v>
      </c>
      <c r="G9646" s="2"/>
      <c r="H9646" s="2" t="s">
        <v>12964</v>
      </c>
      <c r="I9646" s="2" t="s">
        <v>19</v>
      </c>
      <c r="J9646" s="2" t="s">
        <v>286</v>
      </c>
      <c r="K9646" s="2" t="s">
        <v>12957</v>
      </c>
      <c r="L9646" s="2">
        <f t="shared" si="150"/>
        <v>150</v>
      </c>
    </row>
    <row r="9647" spans="1:12" ht="25" customHeight="1">
      <c r="A9647" s="2" t="s">
        <v>12</v>
      </c>
      <c r="B9647" s="2" t="str">
        <f>HYPERLINK("http://m.12365auto.com/news/20200211/418185.shtml","业务整合 吉利/沃尔沃拟组建为全球集团")</f>
        <v>业务整合 吉利/沃尔沃拟组建为全球集团</v>
      </c>
      <c r="C9647" s="2" t="s">
        <v>13</v>
      </c>
      <c r="D9647" s="2" t="s">
        <v>12</v>
      </c>
      <c r="E9647" s="2"/>
      <c r="F9647" s="2" t="str">
        <f>HYPERLINK("http://m.12365auto.com/news/20200211/418185.shtml","http://m.12365auto.com/news/20200211/418185.shtml")</f>
        <v>http://m.12365auto.com/news/20200211/418185.shtml</v>
      </c>
      <c r="G9647" s="2"/>
      <c r="H9647" s="2" t="s">
        <v>12965</v>
      </c>
      <c r="I9647" s="2" t="s">
        <v>19</v>
      </c>
      <c r="J9647" s="2" t="s">
        <v>2819</v>
      </c>
      <c r="K9647" s="2" t="s">
        <v>12957</v>
      </c>
      <c r="L9647" s="2">
        <f t="shared" si="150"/>
        <v>150</v>
      </c>
    </row>
    <row r="9648" spans="1:12" ht="25" customHeight="1">
      <c r="A9648" s="2" t="s">
        <v>12</v>
      </c>
      <c r="B9648" s="2" t="str">
        <f>HYPERLINK("http://bbs.12365auto.com/postcontent.aspx?tId=193738","别喷特斯拉中国造：电动汽车可能是一场手机式逆袭")</f>
        <v>别喷特斯拉中国造：电动汽车可能是一场手机式逆袭</v>
      </c>
      <c r="C9648" s="2" t="s">
        <v>13</v>
      </c>
      <c r="D9648" s="2" t="s">
        <v>12</v>
      </c>
      <c r="E9648" s="2" t="s">
        <v>27</v>
      </c>
      <c r="F9648" s="2" t="str">
        <f>HYPERLINK("http://bbs.12365auto.com/postcontent.aspx?tId=193738","http://bbs.12365auto.com/postcontent.aspx?tId=193738")</f>
        <v>http://bbs.12365auto.com/postcontent.aspx?tId=193738</v>
      </c>
      <c r="G9648" s="2"/>
      <c r="H9648" s="2" t="s">
        <v>12966</v>
      </c>
      <c r="I9648" s="2" t="s">
        <v>15</v>
      </c>
      <c r="J9648" s="2" t="s">
        <v>6236</v>
      </c>
      <c r="K9648" s="2" t="s">
        <v>12967</v>
      </c>
      <c r="L9648" s="2">
        <f t="shared" si="150"/>
        <v>150</v>
      </c>
    </row>
    <row r="9649" spans="1:12" ht="25" customHeight="1">
      <c r="A9649" s="2" t="s">
        <v>12</v>
      </c>
      <c r="B9649" s="2" t="str">
        <f>HYPERLINK("http://m.12365auto.com/bbs/postcontent.aspx?tID=193738","别喷特斯拉中国造：电动汽车可能是一场手机式逆袭")</f>
        <v>别喷特斯拉中国造：电动汽车可能是一场手机式逆袭</v>
      </c>
      <c r="C9649" s="2" t="s">
        <v>13</v>
      </c>
      <c r="D9649" s="2" t="s">
        <v>23</v>
      </c>
      <c r="E9649" s="2"/>
      <c r="F9649" s="2" t="str">
        <f>HYPERLINK("http://m.12365auto.com/bbs/postcontent.aspx?tID=193738","http://m.12365auto.com/bbs/postcontent.aspx?tID=193738")</f>
        <v>http://m.12365auto.com/bbs/postcontent.aspx?tID=193738</v>
      </c>
      <c r="G9649" s="2"/>
      <c r="H9649" s="2" t="s">
        <v>12966</v>
      </c>
      <c r="I9649" s="2" t="s">
        <v>15</v>
      </c>
      <c r="J9649" s="2" t="s">
        <v>6236</v>
      </c>
      <c r="K9649" s="2" t="s">
        <v>12967</v>
      </c>
      <c r="L9649" s="2">
        <f t="shared" si="150"/>
        <v>150</v>
      </c>
    </row>
    <row r="9650" spans="1:12" ht="25" customHeight="1">
      <c r="A9650" s="2" t="s">
        <v>12</v>
      </c>
      <c r="B9650" s="2" t="str">
        <f>HYPERLINK("http://bbs.12365auto.com/postcontent.aspx?tID=193738","别喷特斯拉中国造：电动汽车可能是一场手机式逆袭")</f>
        <v>别喷特斯拉中国造：电动汽车可能是一场手机式逆袭</v>
      </c>
      <c r="C9650" s="2" t="s">
        <v>13</v>
      </c>
      <c r="D9650" s="2" t="s">
        <v>12</v>
      </c>
      <c r="E9650" s="2" t="s">
        <v>28</v>
      </c>
      <c r="F9650" s="2" t="str">
        <f>HYPERLINK("http://bbs.12365auto.com/postcontent.aspx?tID=193738","http://bbs.12365auto.com/postcontent.aspx?tID=193738")</f>
        <v>http://bbs.12365auto.com/postcontent.aspx?tID=193738</v>
      </c>
      <c r="G9650" s="2"/>
      <c r="H9650" s="2" t="s">
        <v>12968</v>
      </c>
      <c r="I9650" s="2" t="s">
        <v>15</v>
      </c>
      <c r="J9650" s="2" t="s">
        <v>6236</v>
      </c>
      <c r="K9650" s="2" t="s">
        <v>12967</v>
      </c>
      <c r="L9650" s="2">
        <f t="shared" si="150"/>
        <v>150</v>
      </c>
    </row>
    <row r="9651" spans="1:12" ht="25" customHeight="1">
      <c r="A9651" s="2" t="s">
        <v>12</v>
      </c>
      <c r="B9651" s="2" t="str">
        <f>HYPERLINK("http://m.12365auto.com/bbs/postcontent.aspx?tID=193739","汽车开十年以上是一种什么感觉？真的有人把车开这么久吗？")</f>
        <v>汽车开十年以上是一种什么感觉？真的有人把车开这么久吗？</v>
      </c>
      <c r="C9651" s="2" t="s">
        <v>13</v>
      </c>
      <c r="D9651" s="2" t="s">
        <v>23</v>
      </c>
      <c r="E9651" s="2"/>
      <c r="F9651" s="2" t="str">
        <f>HYPERLINK("http://m.12365auto.com/bbs/postcontent.aspx?tID=193739","http://m.12365auto.com/bbs/postcontent.aspx?tID=193739")</f>
        <v>http://m.12365auto.com/bbs/postcontent.aspx?tID=193739</v>
      </c>
      <c r="G9651" s="2"/>
      <c r="H9651" s="2" t="s">
        <v>12120</v>
      </c>
      <c r="I9651" s="2" t="s">
        <v>15</v>
      </c>
      <c r="J9651" s="2" t="s">
        <v>1960</v>
      </c>
      <c r="K9651" s="2" t="s">
        <v>12967</v>
      </c>
      <c r="L9651" s="2">
        <f t="shared" si="150"/>
        <v>150</v>
      </c>
    </row>
    <row r="9652" spans="1:12" ht="25" customHeight="1">
      <c r="A9652" s="2" t="s">
        <v>12</v>
      </c>
      <c r="B9652" s="2" t="str">
        <f>HYPERLINK("http://m.12365auto.com/bbs/postcontent.aspx?tID=193737","途观早晨三次无法启动，维修店二话不说换电瓶的，多学习能省钱")</f>
        <v>途观早晨三次无法启动，维修店二话不说换电瓶的，多学习能省钱</v>
      </c>
      <c r="C9652" s="2" t="s">
        <v>13</v>
      </c>
      <c r="D9652" s="2" t="s">
        <v>23</v>
      </c>
      <c r="E9652" s="2"/>
      <c r="F9652" s="2" t="str">
        <f>HYPERLINK("http://m.12365auto.com/bbs/postcontent.aspx?tID=193737","http://m.12365auto.com/bbs/postcontent.aspx?tID=193737")</f>
        <v>http://m.12365auto.com/bbs/postcontent.aspx?tID=193737</v>
      </c>
      <c r="G9652" s="2"/>
      <c r="H9652" s="2" t="s">
        <v>12969</v>
      </c>
      <c r="I9652" s="2" t="s">
        <v>15</v>
      </c>
      <c r="J9652" s="2" t="s">
        <v>1960</v>
      </c>
      <c r="K9652" s="2" t="s">
        <v>12967</v>
      </c>
      <c r="L9652" s="2">
        <f t="shared" si="150"/>
        <v>150</v>
      </c>
    </row>
    <row r="9653" spans="1:12" ht="25" customHeight="1">
      <c r="A9653" s="2" t="s">
        <v>12</v>
      </c>
      <c r="B9653" s="2" t="str">
        <f>HYPERLINK("http://bbs.12365auto.com/postcontent.aspx?tId=193739","汽车开十年以上是一种什么感觉？真的有人把车开这么久吗？")</f>
        <v>汽车开十年以上是一种什么感觉？真的有人把车开这么久吗？</v>
      </c>
      <c r="C9653" s="2" t="s">
        <v>13</v>
      </c>
      <c r="D9653" s="2" t="s">
        <v>12</v>
      </c>
      <c r="E9653" s="2" t="s">
        <v>27</v>
      </c>
      <c r="F9653" s="2" t="str">
        <f>HYPERLINK("http://bbs.12365auto.com/postcontent.aspx?tId=193739","http://bbs.12365auto.com/postcontent.aspx?tId=193739")</f>
        <v>http://bbs.12365auto.com/postcontent.aspx?tId=193739</v>
      </c>
      <c r="G9653" s="2"/>
      <c r="H9653" s="2" t="s">
        <v>12120</v>
      </c>
      <c r="I9653" s="2" t="s">
        <v>15</v>
      </c>
      <c r="J9653" s="2" t="s">
        <v>1960</v>
      </c>
      <c r="K9653" s="2" t="s">
        <v>12967</v>
      </c>
      <c r="L9653" s="2">
        <f t="shared" si="150"/>
        <v>150</v>
      </c>
    </row>
    <row r="9654" spans="1:12" ht="25" customHeight="1">
      <c r="A9654" s="2" t="s">
        <v>12</v>
      </c>
      <c r="B9654" s="2" t="str">
        <f>HYPERLINK("http://bbs.12365auto.com/postcontent.aspx?tId=193737","途观早晨三次无法启动，维修店二话不说换电瓶的，多学习能省钱")</f>
        <v>途观早晨三次无法启动，维修店二话不说换电瓶的，多学习能省钱</v>
      </c>
      <c r="C9654" s="2" t="s">
        <v>13</v>
      </c>
      <c r="D9654" s="2" t="s">
        <v>12</v>
      </c>
      <c r="E9654" s="2" t="s">
        <v>27</v>
      </c>
      <c r="F9654" s="2" t="str">
        <f>HYPERLINK("http://bbs.12365auto.com/postcontent.aspx?tId=193737","http://bbs.12365auto.com/postcontent.aspx?tId=193737")</f>
        <v>http://bbs.12365auto.com/postcontent.aspx?tId=193737</v>
      </c>
      <c r="G9654" s="2"/>
      <c r="H9654" s="2" t="s">
        <v>12969</v>
      </c>
      <c r="I9654" s="2" t="s">
        <v>15</v>
      </c>
      <c r="J9654" s="2" t="s">
        <v>1960</v>
      </c>
      <c r="K9654" s="2" t="s">
        <v>12967</v>
      </c>
      <c r="L9654" s="2">
        <f t="shared" si="150"/>
        <v>150</v>
      </c>
    </row>
    <row r="9655" spans="1:12" ht="25" customHeight="1">
      <c r="A9655" s="2" t="s">
        <v>12</v>
      </c>
      <c r="B9655" s="2" t="str">
        <f>HYPERLINK("http://bbs.12365auto.com/postcontent.aspx?tID=193739","汽车开十年以上是一种什么感觉？真的有人把车开这么久吗？")</f>
        <v>汽车开十年以上是一种什么感觉？真的有人把车开这么久吗？</v>
      </c>
      <c r="C9655" s="2" t="s">
        <v>13</v>
      </c>
      <c r="D9655" s="2" t="s">
        <v>12</v>
      </c>
      <c r="E9655" s="2" t="s">
        <v>28</v>
      </c>
      <c r="F9655" s="2" t="str">
        <f>HYPERLINK("http://bbs.12365auto.com/postcontent.aspx?tID=193739","http://bbs.12365auto.com/postcontent.aspx?tID=193739")</f>
        <v>http://bbs.12365auto.com/postcontent.aspx?tID=193739</v>
      </c>
      <c r="G9655" s="2"/>
      <c r="H9655" s="2" t="s">
        <v>12122</v>
      </c>
      <c r="I9655" s="2" t="s">
        <v>15</v>
      </c>
      <c r="J9655" s="2" t="s">
        <v>1960</v>
      </c>
      <c r="K9655" s="2" t="s">
        <v>12967</v>
      </c>
      <c r="L9655" s="2">
        <f t="shared" si="150"/>
        <v>150</v>
      </c>
    </row>
    <row r="9656" spans="1:12" ht="25" customHeight="1">
      <c r="A9656" s="2" t="s">
        <v>12</v>
      </c>
      <c r="B9656" s="2" t="str">
        <f>HYPERLINK("http://bbs.12365auto.com/postcontent.aspx?tID=193737","途观早晨三次无法启动，维修店二话不说换电瓶的，多学习能省钱")</f>
        <v>途观早晨三次无法启动，维修店二话不说换电瓶的，多学习能省钱</v>
      </c>
      <c r="C9656" s="2" t="s">
        <v>13</v>
      </c>
      <c r="D9656" s="2" t="s">
        <v>12</v>
      </c>
      <c r="E9656" s="2" t="s">
        <v>28</v>
      </c>
      <c r="F9656" s="2" t="str">
        <f>HYPERLINK("http://bbs.12365auto.com/postcontent.aspx?tID=193737","http://bbs.12365auto.com/postcontent.aspx?tID=193737")</f>
        <v>http://bbs.12365auto.com/postcontent.aspx?tID=193737</v>
      </c>
      <c r="G9656" s="2"/>
      <c r="H9656" s="2" t="s">
        <v>12970</v>
      </c>
      <c r="I9656" s="2" t="s">
        <v>15</v>
      </c>
      <c r="J9656" s="2" t="s">
        <v>1960</v>
      </c>
      <c r="K9656" s="2" t="s">
        <v>12967</v>
      </c>
      <c r="L9656" s="2">
        <f t="shared" si="150"/>
        <v>150</v>
      </c>
    </row>
    <row r="9657" spans="1:12" ht="25" customHeight="1">
      <c r="A9657" s="2" t="s">
        <v>12</v>
      </c>
      <c r="B9657" s="2" t="str">
        <f>HYPERLINK("http://bbs.12365auto.com/postcontent.aspx?tId=193736","1月车市开局不利2月会更惨淡吗？")</f>
        <v>1月车市开局不利2月会更惨淡吗？</v>
      </c>
      <c r="C9657" s="2" t="s">
        <v>13</v>
      </c>
      <c r="D9657" s="2" t="s">
        <v>12</v>
      </c>
      <c r="E9657" s="2" t="s">
        <v>27</v>
      </c>
      <c r="F9657" s="2" t="str">
        <f>HYPERLINK("http://bbs.12365auto.com/postcontent.aspx?tId=193736","http://bbs.12365auto.com/postcontent.aspx?tId=193736")</f>
        <v>http://bbs.12365auto.com/postcontent.aspx?tId=193736</v>
      </c>
      <c r="G9657" s="2"/>
      <c r="H9657" s="2" t="s">
        <v>12971</v>
      </c>
      <c r="I9657" s="2" t="s">
        <v>15</v>
      </c>
      <c r="J9657" s="2" t="s">
        <v>6236</v>
      </c>
      <c r="K9657" s="2" t="s">
        <v>12972</v>
      </c>
      <c r="L9657" s="2">
        <f t="shared" si="150"/>
        <v>150</v>
      </c>
    </row>
    <row r="9658" spans="1:12" ht="25" customHeight="1">
      <c r="A9658" s="2" t="s">
        <v>12</v>
      </c>
      <c r="B9658" s="2" t="str">
        <f>HYPERLINK("http://bbs.12365auto.com/postcontent.aspx?tID=193735","研究显示：鸟粪中腐蚀车漆的成分不是酸，最伤车漆的居然是鸽子粪")</f>
        <v>研究显示：鸟粪中腐蚀车漆的成分不是酸，最伤车漆的居然是鸽子粪</v>
      </c>
      <c r="C9658" s="2" t="s">
        <v>13</v>
      </c>
      <c r="D9658" s="2" t="s">
        <v>12</v>
      </c>
      <c r="E9658" s="2" t="s">
        <v>28</v>
      </c>
      <c r="F9658" s="2" t="str">
        <f>HYPERLINK("http://bbs.12365auto.com/postcontent.aspx?tID=193735","http://bbs.12365auto.com/postcontent.aspx?tID=193735")</f>
        <v>http://bbs.12365auto.com/postcontent.aspx?tID=193735</v>
      </c>
      <c r="G9658" s="2"/>
      <c r="H9658" s="2" t="s">
        <v>12973</v>
      </c>
      <c r="I9658" s="2" t="s">
        <v>15</v>
      </c>
      <c r="J9658" s="2" t="s">
        <v>1960</v>
      </c>
      <c r="K9658" s="2" t="s">
        <v>12972</v>
      </c>
      <c r="L9658" s="2">
        <f t="shared" si="150"/>
        <v>150</v>
      </c>
    </row>
    <row r="9659" spans="1:12" ht="25" customHeight="1">
      <c r="A9659" s="2" t="s">
        <v>12</v>
      </c>
      <c r="B9659" s="2" t="str">
        <f>HYPERLINK("http://bbs.12365auto.com/postcontent.aspx?tID=193736","1月车市开局不利2月会更惨淡吗？")</f>
        <v>1月车市开局不利2月会更惨淡吗？</v>
      </c>
      <c r="C9659" s="2" t="s">
        <v>13</v>
      </c>
      <c r="D9659" s="2" t="s">
        <v>12</v>
      </c>
      <c r="E9659" s="2" t="s">
        <v>28</v>
      </c>
      <c r="F9659" s="2" t="str">
        <f>HYPERLINK("http://bbs.12365auto.com/postcontent.aspx?tID=193736","http://bbs.12365auto.com/postcontent.aspx?tID=193736")</f>
        <v>http://bbs.12365auto.com/postcontent.aspx?tID=193736</v>
      </c>
      <c r="G9659" s="2"/>
      <c r="H9659" s="2" t="s">
        <v>12974</v>
      </c>
      <c r="I9659" s="2" t="s">
        <v>15</v>
      </c>
      <c r="J9659" s="2" t="s">
        <v>6236</v>
      </c>
      <c r="K9659" s="2" t="s">
        <v>12972</v>
      </c>
      <c r="L9659" s="2">
        <f t="shared" si="150"/>
        <v>150</v>
      </c>
    </row>
    <row r="9660" spans="1:12" ht="25" customHeight="1">
      <c r="A9660" s="2" t="s">
        <v>12</v>
      </c>
      <c r="B9660" s="2" t="str">
        <f>HYPERLINK("http://m.12365auto.com/bbs/postcontent.aspx?tID=193735","研究显示：鸟粪中腐蚀车漆的成分不是酸，最伤车漆的居然是鸽子粪")</f>
        <v>研究显示：鸟粪中腐蚀车漆的成分不是酸，最伤车漆的居然是鸽子粪</v>
      </c>
      <c r="C9660" s="2" t="s">
        <v>13</v>
      </c>
      <c r="D9660" s="2" t="s">
        <v>23</v>
      </c>
      <c r="E9660" s="2"/>
      <c r="F9660" s="2" t="str">
        <f>HYPERLINK("http://m.12365auto.com/bbs/postcontent.aspx?tID=193735","http://m.12365auto.com/bbs/postcontent.aspx?tID=193735")</f>
        <v>http://m.12365auto.com/bbs/postcontent.aspx?tID=193735</v>
      </c>
      <c r="G9660" s="2"/>
      <c r="H9660" s="2" t="s">
        <v>12975</v>
      </c>
      <c r="I9660" s="2" t="s">
        <v>15</v>
      </c>
      <c r="J9660" s="2" t="s">
        <v>1960</v>
      </c>
      <c r="K9660" s="2" t="s">
        <v>12972</v>
      </c>
      <c r="L9660" s="2">
        <f t="shared" si="150"/>
        <v>150</v>
      </c>
    </row>
    <row r="9661" spans="1:12" ht="25" customHeight="1">
      <c r="A9661" s="2" t="s">
        <v>12</v>
      </c>
      <c r="B9661" s="2" t="str">
        <f>HYPERLINK("http://www.12365auto.com/news/20200211/418183.shtml","共交付1598辆 蔚来公布1月销量数据")</f>
        <v>共交付1598辆 蔚来公布1月销量数据</v>
      </c>
      <c r="C9661" s="2" t="s">
        <v>13</v>
      </c>
      <c r="D9661" s="2" t="s">
        <v>12</v>
      </c>
      <c r="E9661" s="2" t="s">
        <v>282</v>
      </c>
      <c r="F9661" s="2" t="str">
        <f>HYPERLINK("http://www.12365auto.com/news/20200211/418183.shtml","http://www.12365auto.com/news/20200211/418183.shtml")</f>
        <v>http://www.12365auto.com/news/20200211/418183.shtml</v>
      </c>
      <c r="G9661" s="2"/>
      <c r="H9661" s="2" t="s">
        <v>12976</v>
      </c>
      <c r="I9661" s="2" t="s">
        <v>19</v>
      </c>
      <c r="J9661" s="2" t="s">
        <v>12</v>
      </c>
      <c r="K9661" s="2" t="s">
        <v>12972</v>
      </c>
      <c r="L9661" s="2">
        <f t="shared" si="150"/>
        <v>150</v>
      </c>
    </row>
    <row r="9662" spans="1:12" ht="25" customHeight="1">
      <c r="A9662" s="2" t="s">
        <v>12</v>
      </c>
      <c r="B9662" s="2" t="str">
        <f>HYPERLINK("http://bbs.12365auto.com/postcontent.aspx?tId=193735","研究显示：鸟粪中腐蚀车漆的成分不是酸，最伤车漆的居然是鸽子粪")</f>
        <v>研究显示：鸟粪中腐蚀车漆的成分不是酸，最伤车漆的居然是鸽子粪</v>
      </c>
      <c r="C9662" s="2" t="s">
        <v>13</v>
      </c>
      <c r="D9662" s="2" t="s">
        <v>12</v>
      </c>
      <c r="E9662" s="2" t="s">
        <v>27</v>
      </c>
      <c r="F9662" s="2" t="str">
        <f>HYPERLINK("http://bbs.12365auto.com/postcontent.aspx?tId=193735","http://bbs.12365auto.com/postcontent.aspx?tId=193735")</f>
        <v>http://bbs.12365auto.com/postcontent.aspx?tId=193735</v>
      </c>
      <c r="G9662" s="2"/>
      <c r="H9662" s="2" t="s">
        <v>12975</v>
      </c>
      <c r="I9662" s="2" t="s">
        <v>15</v>
      </c>
      <c r="J9662" s="2" t="s">
        <v>1960</v>
      </c>
      <c r="K9662" s="2" t="s">
        <v>12972</v>
      </c>
      <c r="L9662" s="2">
        <f t="shared" si="150"/>
        <v>150</v>
      </c>
    </row>
    <row r="9663" spans="1:12" ht="25" customHeight="1">
      <c r="A9663" s="2" t="s">
        <v>12</v>
      </c>
      <c r="B9663" s="2" t="str">
        <f>HYPERLINK("http://m.12365auto.com/news/20200211/418183.shtml","共交付1598辆 蔚来公布1月销量数据")</f>
        <v>共交付1598辆 蔚来公布1月销量数据</v>
      </c>
      <c r="C9663" s="2" t="s">
        <v>13</v>
      </c>
      <c r="D9663" s="2" t="s">
        <v>12</v>
      </c>
      <c r="E9663" s="2"/>
      <c r="F9663" s="2" t="str">
        <f>HYPERLINK("http://m.12365auto.com/news/20200211/418183.shtml","http://m.12365auto.com/news/20200211/418183.shtml")</f>
        <v>http://m.12365auto.com/news/20200211/418183.shtml</v>
      </c>
      <c r="G9663" s="2"/>
      <c r="H9663" s="2" t="s">
        <v>12977</v>
      </c>
      <c r="I9663" s="2" t="s">
        <v>19</v>
      </c>
      <c r="J9663" s="2" t="s">
        <v>286</v>
      </c>
      <c r="K9663" s="2" t="s">
        <v>12972</v>
      </c>
      <c r="L9663" s="2">
        <f t="shared" si="150"/>
        <v>150</v>
      </c>
    </row>
    <row r="9664" spans="1:12" ht="25" customHeight="1">
      <c r="A9664" s="2" t="s">
        <v>12</v>
      </c>
      <c r="B9664" s="2" t="str">
        <f>HYPERLINK("http://bbs.12365auto.com/postcontent.aspx?tId=193734","欧宝大变革，下一代Insignia或为Crossover")</f>
        <v>欧宝大变革，下一代Insignia或为Crossover</v>
      </c>
      <c r="C9664" s="2" t="s">
        <v>13</v>
      </c>
      <c r="D9664" s="2" t="s">
        <v>12</v>
      </c>
      <c r="E9664" s="2" t="s">
        <v>27</v>
      </c>
      <c r="F9664" s="2" t="str">
        <f>HYPERLINK("http://bbs.12365auto.com/postcontent.aspx?tId=193734","http://bbs.12365auto.com/postcontent.aspx?tId=193734")</f>
        <v>http://bbs.12365auto.com/postcontent.aspx?tId=193734</v>
      </c>
      <c r="G9664" s="2"/>
      <c r="H9664" s="2" t="s">
        <v>12978</v>
      </c>
      <c r="I9664" s="2" t="s">
        <v>15</v>
      </c>
      <c r="J9664" s="2" t="s">
        <v>6236</v>
      </c>
      <c r="K9664" s="2" t="s">
        <v>12979</v>
      </c>
      <c r="L9664" s="2">
        <f t="shared" si="150"/>
        <v>150</v>
      </c>
    </row>
    <row r="9665" spans="1:12" ht="25" customHeight="1">
      <c r="A9665" s="2" t="s">
        <v>12</v>
      </c>
      <c r="B9665" s="2" t="str">
        <f>HYPERLINK("http://bbs.12365auto.com/postcontent.aspx?tID=193733","为什么现在汽车寿命越来越短？看看工程师是怎样从机械方面分析的")</f>
        <v>为什么现在汽车寿命越来越短？看看工程师是怎样从机械方面分析的</v>
      </c>
      <c r="C9665" s="2" t="s">
        <v>13</v>
      </c>
      <c r="D9665" s="2" t="s">
        <v>12</v>
      </c>
      <c r="E9665" s="2" t="s">
        <v>28</v>
      </c>
      <c r="F9665" s="2" t="str">
        <f>HYPERLINK("http://bbs.12365auto.com/postcontent.aspx?tID=193733","http://bbs.12365auto.com/postcontent.aspx?tID=193733")</f>
        <v>http://bbs.12365auto.com/postcontent.aspx?tID=193733</v>
      </c>
      <c r="G9665" s="2"/>
      <c r="H9665" s="2" t="s">
        <v>12980</v>
      </c>
      <c r="I9665" s="2" t="s">
        <v>15</v>
      </c>
      <c r="J9665" s="2" t="s">
        <v>1960</v>
      </c>
      <c r="K9665" s="2" t="s">
        <v>12979</v>
      </c>
      <c r="L9665" s="2">
        <f t="shared" si="150"/>
        <v>150</v>
      </c>
    </row>
    <row r="9666" spans="1:12" ht="25" customHeight="1">
      <c r="A9666" s="2" t="s">
        <v>12</v>
      </c>
      <c r="B9666" s="2" t="str">
        <f>HYPERLINK("http://m.12365auto.com/bbs/postcontent.aspx?tID=193733","为什么现在汽车寿命越来越短？看看工程师是怎样从机械方面分析的")</f>
        <v>为什么现在汽车寿命越来越短？看看工程师是怎样从机械方面分析的</v>
      </c>
      <c r="C9666" s="2" t="s">
        <v>13</v>
      </c>
      <c r="D9666" s="2" t="s">
        <v>23</v>
      </c>
      <c r="E9666" s="2"/>
      <c r="F9666" s="2" t="str">
        <f>HYPERLINK("http://m.12365auto.com/bbs/postcontent.aspx?tID=193733","http://m.12365auto.com/bbs/postcontent.aspx?tID=193733")</f>
        <v>http://m.12365auto.com/bbs/postcontent.aspx?tID=193733</v>
      </c>
      <c r="G9666" s="2"/>
      <c r="H9666" s="2" t="s">
        <v>12981</v>
      </c>
      <c r="I9666" s="2" t="s">
        <v>15</v>
      </c>
      <c r="J9666" s="2" t="s">
        <v>1960</v>
      </c>
      <c r="K9666" s="2" t="s">
        <v>12979</v>
      </c>
      <c r="L9666" s="2">
        <f t="shared" si="150"/>
        <v>150</v>
      </c>
    </row>
    <row r="9667" spans="1:12" ht="25" customHeight="1">
      <c r="A9667" s="2" t="s">
        <v>12</v>
      </c>
      <c r="B9667" s="2" t="str">
        <f>HYPERLINK("http://bbs.12365auto.com/postcontent.aspx?tId=193733","为什么现在汽车寿命越来越短？看看工程师是怎样从机械方面分析的")</f>
        <v>为什么现在汽车寿命越来越短？看看工程师是怎样从机械方面分析的</v>
      </c>
      <c r="C9667" s="2" t="s">
        <v>13</v>
      </c>
      <c r="D9667" s="2" t="s">
        <v>12</v>
      </c>
      <c r="E9667" s="2" t="s">
        <v>27</v>
      </c>
      <c r="F9667" s="2" t="str">
        <f>HYPERLINK("http://bbs.12365auto.com/postcontent.aspx?tId=193733","http://bbs.12365auto.com/postcontent.aspx?tId=193733")</f>
        <v>http://bbs.12365auto.com/postcontent.aspx?tId=193733</v>
      </c>
      <c r="G9667" s="2"/>
      <c r="H9667" s="2" t="s">
        <v>12981</v>
      </c>
      <c r="I9667" s="2" t="s">
        <v>15</v>
      </c>
      <c r="J9667" s="2" t="s">
        <v>1960</v>
      </c>
      <c r="K9667" s="2" t="s">
        <v>12979</v>
      </c>
      <c r="L9667" s="2">
        <f t="shared" ref="L9667:L9730" si="151">LEN(H9667)</f>
        <v>150</v>
      </c>
    </row>
    <row r="9668" spans="1:12" ht="25" customHeight="1">
      <c r="A9668" s="2" t="s">
        <v>12</v>
      </c>
      <c r="B9668" s="2" t="str">
        <f>HYPERLINK("http://bbs.12365auto.com/postcontent.aspx?tID=193734","欧宝大变革，下一代Insignia或为Crossover")</f>
        <v>欧宝大变革，下一代Insignia或为Crossover</v>
      </c>
      <c r="C9668" s="2" t="s">
        <v>13</v>
      </c>
      <c r="D9668" s="2" t="s">
        <v>12</v>
      </c>
      <c r="E9668" s="2" t="s">
        <v>28</v>
      </c>
      <c r="F9668" s="2" t="str">
        <f>HYPERLINK("http://bbs.12365auto.com/postcontent.aspx?tID=193734","http://bbs.12365auto.com/postcontent.aspx?tID=193734")</f>
        <v>http://bbs.12365auto.com/postcontent.aspx?tID=193734</v>
      </c>
      <c r="G9668" s="2"/>
      <c r="H9668" s="2" t="s">
        <v>12982</v>
      </c>
      <c r="I9668" s="2" t="s">
        <v>15</v>
      </c>
      <c r="J9668" s="2" t="s">
        <v>6236</v>
      </c>
      <c r="K9668" s="2" t="s">
        <v>12979</v>
      </c>
      <c r="L9668" s="2">
        <f t="shared" si="151"/>
        <v>150</v>
      </c>
    </row>
    <row r="9669" spans="1:12" ht="25" customHeight="1">
      <c r="A9669" s="2" t="s">
        <v>12</v>
      </c>
      <c r="B9669" s="2" t="str">
        <f>HYPERLINK("http://bbs.12365auto.com/postcontent.aspx?tID=193732","汽车仪表盘指示灯大全")</f>
        <v>汽车仪表盘指示灯大全</v>
      </c>
      <c r="C9669" s="2" t="s">
        <v>13</v>
      </c>
      <c r="D9669" s="2" t="s">
        <v>12</v>
      </c>
      <c r="E9669" s="2" t="s">
        <v>28</v>
      </c>
      <c r="F9669" s="2" t="str">
        <f>HYPERLINK("http://bbs.12365auto.com/postcontent.aspx?tID=193732","http://bbs.12365auto.com/postcontent.aspx?tID=193732")</f>
        <v>http://bbs.12365auto.com/postcontent.aspx?tID=193732</v>
      </c>
      <c r="G9669" s="2"/>
      <c r="H9669" s="2" t="s">
        <v>4341</v>
      </c>
      <c r="I9669" s="2" t="s">
        <v>15</v>
      </c>
      <c r="J9669" s="2" t="s">
        <v>1960</v>
      </c>
      <c r="K9669" s="2" t="s">
        <v>12983</v>
      </c>
      <c r="L9669" s="2">
        <f t="shared" si="151"/>
        <v>66</v>
      </c>
    </row>
    <row r="9670" spans="1:12" ht="25" customHeight="1">
      <c r="A9670" s="2" t="s">
        <v>12</v>
      </c>
      <c r="B9670" s="2" t="str">
        <f>HYPERLINK("http://bbs.12365auto.com/postcontent.aspx?tId=193732","汽车仪表盘指示灯大全")</f>
        <v>汽车仪表盘指示灯大全</v>
      </c>
      <c r="C9670" s="2" t="s">
        <v>13</v>
      </c>
      <c r="D9670" s="2" t="s">
        <v>12</v>
      </c>
      <c r="E9670" s="2" t="s">
        <v>27</v>
      </c>
      <c r="F9670" s="2" t="str">
        <f>HYPERLINK("http://bbs.12365auto.com/postcontent.aspx?tId=193732","http://bbs.12365auto.com/postcontent.aspx?tId=193732")</f>
        <v>http://bbs.12365auto.com/postcontent.aspx?tId=193732</v>
      </c>
      <c r="G9670" s="2"/>
      <c r="H9670" s="2" t="s">
        <v>4339</v>
      </c>
      <c r="I9670" s="2" t="s">
        <v>15</v>
      </c>
      <c r="J9670" s="2" t="s">
        <v>1960</v>
      </c>
      <c r="K9670" s="2" t="s">
        <v>12983</v>
      </c>
      <c r="L9670" s="2">
        <f t="shared" si="151"/>
        <v>56</v>
      </c>
    </row>
    <row r="9671" spans="1:12" ht="25" customHeight="1">
      <c r="A9671" s="2" t="s">
        <v>12</v>
      </c>
      <c r="B9671" s="2" t="str">
        <f>HYPERLINK("http://m.12365auto.com/xcdg/20200211/418182.shtml","解读低配车 实拍2020款华晨宝马525Li")</f>
        <v>解读低配车 实拍2020款华晨宝马525Li</v>
      </c>
      <c r="C9671" s="2" t="s">
        <v>13</v>
      </c>
      <c r="D9671" s="2" t="s">
        <v>12</v>
      </c>
      <c r="E9671" s="2"/>
      <c r="F9671" s="2" t="str">
        <f>HYPERLINK("http://m.12365auto.com/xcdg/20200211/418182.shtml","http://m.12365auto.com/xcdg/20200211/418182.shtml")</f>
        <v>http://m.12365auto.com/xcdg/20200211/418182.shtml</v>
      </c>
      <c r="G9671" s="2"/>
      <c r="H9671" s="2" t="s">
        <v>12984</v>
      </c>
      <c r="I9671" s="2" t="s">
        <v>19</v>
      </c>
      <c r="J9671" s="2" t="s">
        <v>4712</v>
      </c>
      <c r="K9671" s="2" t="s">
        <v>12983</v>
      </c>
      <c r="L9671" s="2">
        <f t="shared" si="151"/>
        <v>150</v>
      </c>
    </row>
    <row r="9672" spans="1:12" ht="25" customHeight="1">
      <c r="A9672" s="2" t="s">
        <v>12</v>
      </c>
      <c r="B9672" s="2" t="str">
        <f>HYPERLINK("http://www.12365auto.com/zlts/20200211/446841.shtml","凯翼C3冬季启动发动机抖动 三缸失火")</f>
        <v>凯翼C3冬季启动发动机抖动 三缸失火</v>
      </c>
      <c r="C9672" s="2" t="s">
        <v>13</v>
      </c>
      <c r="D9672" s="2" t="s">
        <v>12</v>
      </c>
      <c r="E9672" s="2" t="s">
        <v>17</v>
      </c>
      <c r="F9672" s="2" t="str">
        <f>HYPERLINK("http://www.12365auto.com/zlts/20200211/446841.shtml","http://www.12365auto.com/zlts/20200211/446841.shtml")</f>
        <v>http://www.12365auto.com/zlts/20200211/446841.shtml</v>
      </c>
      <c r="G9672" s="2"/>
      <c r="H9672" s="2" t="s">
        <v>12985</v>
      </c>
      <c r="I9672" s="2" t="s">
        <v>15</v>
      </c>
      <c r="J9672" s="2" t="s">
        <v>12</v>
      </c>
      <c r="K9672" s="2" t="s">
        <v>12986</v>
      </c>
      <c r="L9672" s="2">
        <f t="shared" si="151"/>
        <v>150</v>
      </c>
    </row>
    <row r="9673" spans="1:12" ht="25" customHeight="1">
      <c r="A9673" s="2" t="s">
        <v>12</v>
      </c>
      <c r="B9673" s="2" t="str">
        <f>HYPERLINK("http://bbs.12365auto.com/postcontent.aspx?tID=193731","为啥说北方人开车不知道谁穷，南方人开车不知道谁有钱？")</f>
        <v>为啥说北方人开车不知道谁穷，南方人开车不知道谁有钱？</v>
      </c>
      <c r="C9673" s="2" t="s">
        <v>13</v>
      </c>
      <c r="D9673" s="2" t="s">
        <v>12</v>
      </c>
      <c r="E9673" s="2" t="s">
        <v>28</v>
      </c>
      <c r="F9673" s="2" t="str">
        <f>HYPERLINK("http://bbs.12365auto.com/postcontent.aspx?tID=193731","http://bbs.12365auto.com/postcontent.aspx?tID=193731")</f>
        <v>http://bbs.12365auto.com/postcontent.aspx?tID=193731</v>
      </c>
      <c r="G9673" s="2"/>
      <c r="H9673" s="2" t="s">
        <v>12987</v>
      </c>
      <c r="I9673" s="2" t="s">
        <v>15</v>
      </c>
      <c r="J9673" s="2" t="s">
        <v>1960</v>
      </c>
      <c r="K9673" s="2" t="s">
        <v>12988</v>
      </c>
      <c r="L9673" s="2">
        <f t="shared" si="151"/>
        <v>150</v>
      </c>
    </row>
    <row r="9674" spans="1:12" ht="25" customHeight="1">
      <c r="A9674" s="2" t="s">
        <v>12</v>
      </c>
      <c r="B9674" s="2" t="str">
        <f>HYPERLINK("http://bbs.12365auto.com/postcontent.aspx?tID=193730","“买车容易养车难”还没买车的看好了 凯美瑞10万公里免费保养")</f>
        <v>“买车容易养车难”还没买车的看好了 凯美瑞10万公里免费保养</v>
      </c>
      <c r="C9674" s="2" t="s">
        <v>13</v>
      </c>
      <c r="D9674" s="2" t="s">
        <v>12</v>
      </c>
      <c r="E9674" s="2" t="s">
        <v>28</v>
      </c>
      <c r="F9674" s="2" t="str">
        <f>HYPERLINK("http://bbs.12365auto.com/postcontent.aspx?tID=193730","http://bbs.12365auto.com/postcontent.aspx?tID=193730")</f>
        <v>http://bbs.12365auto.com/postcontent.aspx?tID=193730</v>
      </c>
      <c r="G9674" s="2"/>
      <c r="H9674" s="2" t="s">
        <v>12989</v>
      </c>
      <c r="I9674" s="2" t="s">
        <v>15</v>
      </c>
      <c r="J9674" s="2" t="s">
        <v>1960</v>
      </c>
      <c r="K9674" s="2" t="s">
        <v>12988</v>
      </c>
      <c r="L9674" s="2">
        <f t="shared" si="151"/>
        <v>150</v>
      </c>
    </row>
    <row r="9675" spans="1:12" ht="25" customHeight="1">
      <c r="A9675" s="2" t="s">
        <v>12</v>
      </c>
      <c r="B9675" s="2" t="str">
        <f>HYPERLINK("http://www.12365auto.com/zlts/20200211/446840.shtml","上汽大众帕萨特B柱以及驾驶室车窗异响")</f>
        <v>上汽大众帕萨特B柱以及驾驶室车窗异响</v>
      </c>
      <c r="C9675" s="2" t="s">
        <v>13</v>
      </c>
      <c r="D9675" s="2" t="s">
        <v>12</v>
      </c>
      <c r="E9675" s="2" t="s">
        <v>17</v>
      </c>
      <c r="F9675" s="2" t="str">
        <f>HYPERLINK("http://www.12365auto.com/zlts/20200211/446840.shtml","http://www.12365auto.com/zlts/20200211/446840.shtml")</f>
        <v>http://www.12365auto.com/zlts/20200211/446840.shtml</v>
      </c>
      <c r="G9675" s="2"/>
      <c r="H9675" s="2" t="s">
        <v>12990</v>
      </c>
      <c r="I9675" s="2" t="s">
        <v>15</v>
      </c>
      <c r="J9675" s="2" t="s">
        <v>12</v>
      </c>
      <c r="K9675" s="2" t="s">
        <v>12988</v>
      </c>
      <c r="L9675" s="2">
        <f t="shared" si="151"/>
        <v>150</v>
      </c>
    </row>
    <row r="9676" spans="1:12" ht="25" customHeight="1">
      <c r="A9676" s="2" t="s">
        <v>12</v>
      </c>
      <c r="B9676" s="2" t="str">
        <f>HYPERLINK("http://www.12365auto.com/news/20200211/418181.shtml","AI看市场 数据解读WEY VV5产品竞争力")</f>
        <v>AI看市场 数据解读WEY VV5产品竞争力</v>
      </c>
      <c r="C9676" s="2" t="s">
        <v>13</v>
      </c>
      <c r="D9676" s="2" t="s">
        <v>12</v>
      </c>
      <c r="E9676" s="2" t="s">
        <v>282</v>
      </c>
      <c r="F9676" s="2" t="str">
        <f>HYPERLINK("http://www.12365auto.com/news/20200211/418181.shtml","http://www.12365auto.com/news/20200211/418181.shtml")</f>
        <v>http://www.12365auto.com/news/20200211/418181.shtml</v>
      </c>
      <c r="G9676" s="2"/>
      <c r="H9676" s="2" t="s">
        <v>12991</v>
      </c>
      <c r="I9676" s="2" t="s">
        <v>19</v>
      </c>
      <c r="J9676" s="2" t="s">
        <v>12</v>
      </c>
      <c r="K9676" s="2" t="s">
        <v>12988</v>
      </c>
      <c r="L9676" s="2">
        <f t="shared" si="151"/>
        <v>150</v>
      </c>
    </row>
    <row r="9677" spans="1:12" ht="25" customHeight="1">
      <c r="A9677" s="2" t="s">
        <v>12</v>
      </c>
      <c r="B9677" s="2" t="str">
        <f>HYPERLINK("http://bbs.12365auto.com/postcontent.aspx?tId=193730","“买车容易养车难”还没买车的看好了 凯美瑞10万公里免费保养")</f>
        <v>“买车容易养车难”还没买车的看好了 凯美瑞10万公里免费保养</v>
      </c>
      <c r="C9677" s="2" t="s">
        <v>13</v>
      </c>
      <c r="D9677" s="2" t="s">
        <v>12</v>
      </c>
      <c r="E9677" s="2" t="s">
        <v>27</v>
      </c>
      <c r="F9677" s="2" t="str">
        <f>HYPERLINK("http://bbs.12365auto.com/postcontent.aspx?tId=193730","http://bbs.12365auto.com/postcontent.aspx?tId=193730")</f>
        <v>http://bbs.12365auto.com/postcontent.aspx?tId=193730</v>
      </c>
      <c r="G9677" s="2"/>
      <c r="H9677" s="2" t="s">
        <v>12992</v>
      </c>
      <c r="I9677" s="2" t="s">
        <v>15</v>
      </c>
      <c r="J9677" s="2" t="s">
        <v>1960</v>
      </c>
      <c r="K9677" s="2" t="s">
        <v>12988</v>
      </c>
      <c r="L9677" s="2">
        <f t="shared" si="151"/>
        <v>150</v>
      </c>
    </row>
    <row r="9678" spans="1:12" ht="25" customHeight="1">
      <c r="A9678" s="2" t="s">
        <v>12</v>
      </c>
      <c r="B9678" s="2" t="str">
        <f>HYPERLINK("http://bbs.12365auto.com/postcontent.aspx?tId=193731","为啥说北方人开车不知道谁穷，南方人开车不知道谁有钱？")</f>
        <v>为啥说北方人开车不知道谁穷，南方人开车不知道谁有钱？</v>
      </c>
      <c r="C9678" s="2" t="s">
        <v>13</v>
      </c>
      <c r="D9678" s="2" t="s">
        <v>12</v>
      </c>
      <c r="E9678" s="2" t="s">
        <v>27</v>
      </c>
      <c r="F9678" s="2" t="str">
        <f>HYPERLINK("http://bbs.12365auto.com/postcontent.aspx?tId=193731","http://bbs.12365auto.com/postcontent.aspx?tId=193731")</f>
        <v>http://bbs.12365auto.com/postcontent.aspx?tId=193731</v>
      </c>
      <c r="G9678" s="2"/>
      <c r="H9678" s="2" t="s">
        <v>12993</v>
      </c>
      <c r="I9678" s="2" t="s">
        <v>15</v>
      </c>
      <c r="J9678" s="2" t="s">
        <v>1960</v>
      </c>
      <c r="K9678" s="2" t="s">
        <v>12988</v>
      </c>
      <c r="L9678" s="2">
        <f t="shared" si="151"/>
        <v>150</v>
      </c>
    </row>
    <row r="9679" spans="1:12" ht="25" customHeight="1">
      <c r="A9679" s="2" t="s">
        <v>12</v>
      </c>
      <c r="B9679" s="2" t="str">
        <f>HYPERLINK("http://m.12365auto.com/news/20200211/418181.shtml","AI看市场 数据解读WEY VV5产品竞争力")</f>
        <v>AI看市场 数据解读WEY VV5产品竞争力</v>
      </c>
      <c r="C9679" s="2" t="s">
        <v>13</v>
      </c>
      <c r="D9679" s="2" t="s">
        <v>12</v>
      </c>
      <c r="E9679" s="2"/>
      <c r="F9679" s="2" t="str">
        <f>HYPERLINK("http://m.12365auto.com/news/20200211/418181.shtml","http://m.12365auto.com/news/20200211/418181.shtml")</f>
        <v>http://m.12365auto.com/news/20200211/418181.shtml</v>
      </c>
      <c r="G9679" s="2"/>
      <c r="H9679" s="2" t="s">
        <v>12994</v>
      </c>
      <c r="I9679" s="2" t="s">
        <v>19</v>
      </c>
      <c r="J9679" s="2" t="s">
        <v>6928</v>
      </c>
      <c r="K9679" s="2" t="s">
        <v>12988</v>
      </c>
      <c r="L9679" s="2">
        <f t="shared" si="151"/>
        <v>150</v>
      </c>
    </row>
    <row r="9680" spans="1:12" ht="25" customHeight="1">
      <c r="A9680" s="2" t="s">
        <v>12</v>
      </c>
      <c r="B9680" s="2" t="str">
        <f>HYPERLINK("http://bbs.12365auto.com/postcontent.aspx?tID=193729","“倒车雷达”与“倒车影像”哪个好？内行人：老司机会选择它")</f>
        <v>“倒车雷达”与“倒车影像”哪个好？内行人：老司机会选择它</v>
      </c>
      <c r="C9680" s="2" t="s">
        <v>13</v>
      </c>
      <c r="D9680" s="2" t="s">
        <v>12</v>
      </c>
      <c r="E9680" s="2" t="s">
        <v>28</v>
      </c>
      <c r="F9680" s="2" t="str">
        <f>HYPERLINK("http://bbs.12365auto.com/postcontent.aspx?tID=193729","http://bbs.12365auto.com/postcontent.aspx?tID=193729")</f>
        <v>http://bbs.12365auto.com/postcontent.aspx?tID=193729</v>
      </c>
      <c r="G9680" s="2"/>
      <c r="H9680" s="2" t="s">
        <v>12995</v>
      </c>
      <c r="I9680" s="2" t="s">
        <v>15</v>
      </c>
      <c r="J9680" s="2" t="s">
        <v>1960</v>
      </c>
      <c r="K9680" s="2" t="s">
        <v>12996</v>
      </c>
      <c r="L9680" s="2">
        <f t="shared" si="151"/>
        <v>150</v>
      </c>
    </row>
    <row r="9681" spans="1:12" ht="25" customHeight="1">
      <c r="A9681" s="2" t="s">
        <v>12</v>
      </c>
      <c r="B9681" s="2" t="str">
        <f>HYPERLINK("http://bbs.12365auto.com/postcontent.aspx?tId=193729","“倒车雷达”与“倒车影像”哪个好？内行人：老司机会选择它")</f>
        <v>“倒车雷达”与“倒车影像”哪个好？内行人：老司机会选择它</v>
      </c>
      <c r="C9681" s="2" t="s">
        <v>13</v>
      </c>
      <c r="D9681" s="2" t="s">
        <v>12</v>
      </c>
      <c r="E9681" s="2" t="s">
        <v>27</v>
      </c>
      <c r="F9681" s="2" t="str">
        <f>HYPERLINK("http://bbs.12365auto.com/postcontent.aspx?tId=193729","http://bbs.12365auto.com/postcontent.aspx?tId=193729")</f>
        <v>http://bbs.12365auto.com/postcontent.aspx?tId=193729</v>
      </c>
      <c r="G9681" s="2"/>
      <c r="H9681" s="2" t="s">
        <v>12997</v>
      </c>
      <c r="I9681" s="2" t="s">
        <v>15</v>
      </c>
      <c r="J9681" s="2" t="s">
        <v>1960</v>
      </c>
      <c r="K9681" s="2" t="s">
        <v>12996</v>
      </c>
      <c r="L9681" s="2">
        <f t="shared" si="151"/>
        <v>150</v>
      </c>
    </row>
    <row r="9682" spans="1:12" ht="25" customHeight="1">
      <c r="A9682" s="2" t="s">
        <v>12</v>
      </c>
      <c r="B9682" s="2" t="str">
        <f>HYPERLINK("http://bbs.12365auto.com/postcontent.aspx?tID=193728","司机先生求求您，开车前一定检查下，可能挽救一只或一窝小生命")</f>
        <v>司机先生求求您，开车前一定检查下，可能挽救一只或一窝小生命</v>
      </c>
      <c r="C9682" s="2" t="s">
        <v>13</v>
      </c>
      <c r="D9682" s="2" t="s">
        <v>12</v>
      </c>
      <c r="E9682" s="2" t="s">
        <v>28</v>
      </c>
      <c r="F9682" s="2" t="str">
        <f>HYPERLINK("http://bbs.12365auto.com/postcontent.aspx?tID=193728","http://bbs.12365auto.com/postcontent.aspx?tID=193728")</f>
        <v>http://bbs.12365auto.com/postcontent.aspx?tID=193728</v>
      </c>
      <c r="G9682" s="2"/>
      <c r="H9682" s="2" t="s">
        <v>12998</v>
      </c>
      <c r="I9682" s="2" t="s">
        <v>15</v>
      </c>
      <c r="J9682" s="2" t="s">
        <v>1960</v>
      </c>
      <c r="K9682" s="2" t="s">
        <v>12999</v>
      </c>
      <c r="L9682" s="2">
        <f t="shared" si="151"/>
        <v>150</v>
      </c>
    </row>
    <row r="9683" spans="1:12" ht="25" customHeight="1">
      <c r="A9683" s="2" t="s">
        <v>12</v>
      </c>
      <c r="B9683" s="2" t="str">
        <f>HYPERLINK("http://bbs.12365auto.com/postcontent.aspx?tId=193728","司机先生求求您，开车前一定检查下，可能挽救一只或一窝小生命")</f>
        <v>司机先生求求您，开车前一定检查下，可能挽救一只或一窝小生命</v>
      </c>
      <c r="C9683" s="2" t="s">
        <v>13</v>
      </c>
      <c r="D9683" s="2" t="s">
        <v>12</v>
      </c>
      <c r="E9683" s="2" t="s">
        <v>27</v>
      </c>
      <c r="F9683" s="2" t="str">
        <f>HYPERLINK("http://bbs.12365auto.com/postcontent.aspx?tId=193728","http://bbs.12365auto.com/postcontent.aspx?tId=193728")</f>
        <v>http://bbs.12365auto.com/postcontent.aspx?tId=193728</v>
      </c>
      <c r="G9683" s="2"/>
      <c r="H9683" s="2" t="s">
        <v>13000</v>
      </c>
      <c r="I9683" s="2" t="s">
        <v>15</v>
      </c>
      <c r="J9683" s="2" t="s">
        <v>1960</v>
      </c>
      <c r="K9683" s="2" t="s">
        <v>12999</v>
      </c>
      <c r="L9683" s="2">
        <f t="shared" si="151"/>
        <v>150</v>
      </c>
    </row>
    <row r="9684" spans="1:12" ht="25" customHeight="1">
      <c r="A9684" s="2" t="s">
        <v>12</v>
      </c>
      <c r="B9684" s="2" t="str">
        <f>HYPERLINK("http://www.12365auto.com/xcdg/20200211/418180.shtml","雪铁龙电动车预告图发布 将2月27日亮相")</f>
        <v>雪铁龙电动车预告图发布 将2月27日亮相</v>
      </c>
      <c r="C9684" s="2" t="s">
        <v>13</v>
      </c>
      <c r="D9684" s="2" t="s">
        <v>12</v>
      </c>
      <c r="E9684" s="2" t="s">
        <v>245</v>
      </c>
      <c r="F9684" s="2" t="str">
        <f>HYPERLINK("http://www.12365auto.com/xcdg/20200211/418180.shtml","http://www.12365auto.com/xcdg/20200211/418180.shtml")</f>
        <v>http://www.12365auto.com/xcdg/20200211/418180.shtml</v>
      </c>
      <c r="G9684" s="2"/>
      <c r="H9684" s="2" t="s">
        <v>13001</v>
      </c>
      <c r="I9684" s="2" t="s">
        <v>19</v>
      </c>
      <c r="J9684" s="2" t="s">
        <v>12</v>
      </c>
      <c r="K9684" s="2" t="s">
        <v>13002</v>
      </c>
      <c r="L9684" s="2">
        <f t="shared" si="151"/>
        <v>150</v>
      </c>
    </row>
    <row r="9685" spans="1:12" ht="25" customHeight="1">
      <c r="A9685" s="2" t="s">
        <v>12</v>
      </c>
      <c r="B9685" s="2" t="str">
        <f>HYPERLINK("http://m.12365auto.com/xcdg/20200211/418180.shtml","雪铁龙电动车预告图发布 将2月27日亮相")</f>
        <v>雪铁龙电动车预告图发布 将2月27日亮相</v>
      </c>
      <c r="C9685" s="2" t="s">
        <v>13</v>
      </c>
      <c r="D9685" s="2" t="s">
        <v>12</v>
      </c>
      <c r="E9685" s="2"/>
      <c r="F9685" s="2" t="str">
        <f>HYPERLINK("http://m.12365auto.com/xcdg/20200211/418180.shtml","http://m.12365auto.com/xcdg/20200211/418180.shtml")</f>
        <v>http://m.12365auto.com/xcdg/20200211/418180.shtml</v>
      </c>
      <c r="G9685" s="2"/>
      <c r="H9685" s="2" t="s">
        <v>13003</v>
      </c>
      <c r="I9685" s="2" t="s">
        <v>19</v>
      </c>
      <c r="J9685" s="2" t="s">
        <v>1205</v>
      </c>
      <c r="K9685" s="2" t="s">
        <v>13002</v>
      </c>
      <c r="L9685" s="2">
        <f t="shared" si="151"/>
        <v>150</v>
      </c>
    </row>
    <row r="9686" spans="1:12" ht="25" customHeight="1">
      <c r="A9686" s="2" t="s">
        <v>12</v>
      </c>
      <c r="B9686" s="2" t="str">
        <f>HYPERLINK("http://www.12365auto.com/xcdg/20200211/418179.shtml","宝马X5特别版官图 配大量Alcantara材料")</f>
        <v>宝马X5特别版官图 配大量Alcantara材料</v>
      </c>
      <c r="C9686" s="2" t="s">
        <v>13</v>
      </c>
      <c r="D9686" s="2" t="s">
        <v>12</v>
      </c>
      <c r="E9686" s="2" t="s">
        <v>245</v>
      </c>
      <c r="F9686" s="2" t="str">
        <f>HYPERLINK("http://www.12365auto.com/xcdg/20200211/418179.shtml","http://www.12365auto.com/xcdg/20200211/418179.shtml")</f>
        <v>http://www.12365auto.com/xcdg/20200211/418179.shtml</v>
      </c>
      <c r="G9686" s="2"/>
      <c r="H9686" s="2" t="s">
        <v>13004</v>
      </c>
      <c r="I9686" s="2" t="s">
        <v>19</v>
      </c>
      <c r="J9686" s="2" t="s">
        <v>12</v>
      </c>
      <c r="K9686" s="2" t="s">
        <v>13005</v>
      </c>
      <c r="L9686" s="2">
        <f t="shared" si="151"/>
        <v>150</v>
      </c>
    </row>
    <row r="9687" spans="1:12" ht="25" customHeight="1">
      <c r="A9687" s="2" t="s">
        <v>12</v>
      </c>
      <c r="B9687" s="2" t="str">
        <f>HYPERLINK("http://m.12365auto.com/xcdg/20200211/418179.shtml","宝马X5特别版官图 配大量Alcantara材料")</f>
        <v>宝马X5特别版官图 配大量Alcantara材料</v>
      </c>
      <c r="C9687" s="2" t="s">
        <v>13</v>
      </c>
      <c r="D9687" s="2" t="s">
        <v>12</v>
      </c>
      <c r="E9687" s="2"/>
      <c r="F9687" s="2" t="str">
        <f>HYPERLINK("http://m.12365auto.com/xcdg/20200211/418179.shtml","http://m.12365auto.com/xcdg/20200211/418179.shtml")</f>
        <v>http://m.12365auto.com/xcdg/20200211/418179.shtml</v>
      </c>
      <c r="G9687" s="2"/>
      <c r="H9687" s="2" t="s">
        <v>13006</v>
      </c>
      <c r="I9687" s="2" t="s">
        <v>19</v>
      </c>
      <c r="J9687" s="2" t="s">
        <v>1657</v>
      </c>
      <c r="K9687" s="2" t="s">
        <v>13005</v>
      </c>
      <c r="L9687" s="2">
        <f t="shared" si="151"/>
        <v>150</v>
      </c>
    </row>
    <row r="9688" spans="1:12" ht="25" customHeight="1">
      <c r="A9688" s="2" t="s">
        <v>12</v>
      </c>
      <c r="B9688" s="2" t="str">
        <f>HYPERLINK("http://www.12365auto.com/parts/20200211/418178.shtml","达到N95口罩标准 吉利研发车载净化系统")</f>
        <v>达到N95口罩标准 吉利研发车载净化系统</v>
      </c>
      <c r="C9688" s="2" t="s">
        <v>13</v>
      </c>
      <c r="D9688" s="2" t="s">
        <v>12</v>
      </c>
      <c r="E9688" s="2" t="s">
        <v>240</v>
      </c>
      <c r="F9688" s="2" t="str">
        <f>HYPERLINK("http://www.12365auto.com/parts/20200211/418178.shtml","http://www.12365auto.com/parts/20200211/418178.shtml")</f>
        <v>http://www.12365auto.com/parts/20200211/418178.shtml</v>
      </c>
      <c r="G9688" s="2"/>
      <c r="H9688" s="2" t="s">
        <v>13007</v>
      </c>
      <c r="I9688" s="2" t="s">
        <v>15</v>
      </c>
      <c r="J9688" s="2" t="s">
        <v>12</v>
      </c>
      <c r="K9688" s="2" t="s">
        <v>13008</v>
      </c>
      <c r="L9688" s="2">
        <f t="shared" si="151"/>
        <v>150</v>
      </c>
    </row>
    <row r="9689" spans="1:12" ht="25" customHeight="1">
      <c r="A9689" s="2" t="s">
        <v>12</v>
      </c>
      <c r="B9689" s="2" t="str">
        <f>HYPERLINK("http://m.12365auto.com/parts/20200211/418178.shtml","达到N95口罩标准 吉利研发车载净化系统")</f>
        <v>达到N95口罩标准 吉利研发车载净化系统</v>
      </c>
      <c r="C9689" s="2" t="s">
        <v>13</v>
      </c>
      <c r="D9689" s="2" t="s">
        <v>12</v>
      </c>
      <c r="E9689" s="2"/>
      <c r="F9689" s="2" t="str">
        <f>HYPERLINK("http://m.12365auto.com/parts/20200211/418178.shtml","http://m.12365auto.com/parts/20200211/418178.shtml")</f>
        <v>http://m.12365auto.com/parts/20200211/418178.shtml</v>
      </c>
      <c r="G9689" s="2"/>
      <c r="H9689" s="2" t="s">
        <v>13009</v>
      </c>
      <c r="I9689" s="2" t="s">
        <v>19</v>
      </c>
      <c r="J9689" s="2" t="s">
        <v>1222</v>
      </c>
      <c r="K9689" s="2" t="s">
        <v>13008</v>
      </c>
      <c r="L9689" s="2">
        <f t="shared" si="151"/>
        <v>150</v>
      </c>
    </row>
    <row r="9690" spans="1:12" ht="25" customHeight="1">
      <c r="A9690" s="2" t="s">
        <v>12</v>
      </c>
      <c r="B9690" s="2" t="str">
        <f>HYPERLINK("http://www.12365auto.com/news/20200211/418177.shtml","提供融资支援 领克启动经销商关怀政策")</f>
        <v>提供融资支援 领克启动经销商关怀政策</v>
      </c>
      <c r="C9690" s="2" t="s">
        <v>13</v>
      </c>
      <c r="D9690" s="2" t="s">
        <v>12</v>
      </c>
      <c r="E9690" s="2" t="s">
        <v>276</v>
      </c>
      <c r="F9690" s="2" t="str">
        <f>HYPERLINK("http://www.12365auto.com/news/20200211/418177.shtml","http://www.12365auto.com/news/20200211/418177.shtml")</f>
        <v>http://www.12365auto.com/news/20200211/418177.shtml</v>
      </c>
      <c r="G9690" s="2"/>
      <c r="H9690" s="2" t="s">
        <v>13010</v>
      </c>
      <c r="I9690" s="2" t="s">
        <v>15</v>
      </c>
      <c r="J9690" s="2" t="s">
        <v>12</v>
      </c>
      <c r="K9690" s="2" t="s">
        <v>13011</v>
      </c>
      <c r="L9690" s="2">
        <f t="shared" si="151"/>
        <v>150</v>
      </c>
    </row>
    <row r="9691" spans="1:12" ht="25" customHeight="1">
      <c r="A9691" s="2" t="s">
        <v>12</v>
      </c>
      <c r="B9691" s="2" t="str">
        <f>HYPERLINK("http://m.12365auto.com/news/20200211/418177.shtml","提供融资支援 领克启动经销商关怀政策")</f>
        <v>提供融资支援 领克启动经销商关怀政策</v>
      </c>
      <c r="C9691" s="2" t="s">
        <v>13</v>
      </c>
      <c r="D9691" s="2" t="s">
        <v>12</v>
      </c>
      <c r="E9691" s="2"/>
      <c r="F9691" s="2" t="str">
        <f>HYPERLINK("http://m.12365auto.com/news/20200211/418177.shtml","http://m.12365auto.com/news/20200211/418177.shtml")</f>
        <v>http://m.12365auto.com/news/20200211/418177.shtml</v>
      </c>
      <c r="G9691" s="2"/>
      <c r="H9691" s="2" t="s">
        <v>13012</v>
      </c>
      <c r="I9691" s="2" t="s">
        <v>19</v>
      </c>
      <c r="J9691" s="2" t="s">
        <v>1657</v>
      </c>
      <c r="K9691" s="2" t="s">
        <v>13011</v>
      </c>
      <c r="L9691" s="2">
        <f t="shared" si="151"/>
        <v>150</v>
      </c>
    </row>
    <row r="9692" spans="1:12" ht="25" customHeight="1">
      <c r="A9692" s="2" t="s">
        <v>12</v>
      </c>
      <c r="B9692" s="2" t="str">
        <f>HYPERLINK("http://www.12365auto.com/news/20200211/418176.shtml","长安凯程疫情关怀服务 推出首保延长等")</f>
        <v>长安凯程疫情关怀服务 推出首保延长等</v>
      </c>
      <c r="C9692" s="2" t="s">
        <v>13</v>
      </c>
      <c r="D9692" s="2" t="s">
        <v>12</v>
      </c>
      <c r="E9692" s="2" t="s">
        <v>276</v>
      </c>
      <c r="F9692" s="2" t="str">
        <f>HYPERLINK("http://www.12365auto.com/news/20200211/418176.shtml","http://www.12365auto.com/news/20200211/418176.shtml")</f>
        <v>http://www.12365auto.com/news/20200211/418176.shtml</v>
      </c>
      <c r="G9692" s="2"/>
      <c r="H9692" s="2" t="s">
        <v>13013</v>
      </c>
      <c r="I9692" s="2" t="s">
        <v>15</v>
      </c>
      <c r="J9692" s="2" t="s">
        <v>12</v>
      </c>
      <c r="K9692" s="2" t="s">
        <v>13014</v>
      </c>
      <c r="L9692" s="2">
        <f t="shared" si="151"/>
        <v>150</v>
      </c>
    </row>
    <row r="9693" spans="1:12" ht="25" customHeight="1">
      <c r="A9693" s="2" t="s">
        <v>12</v>
      </c>
      <c r="B9693" s="2" t="str">
        <f>HYPERLINK("http://m.12365auto.com/news/20200211/418176.shtml","长安凯程疫情关怀服务 推出首保延长等")</f>
        <v>长安凯程疫情关怀服务 推出首保延长等</v>
      </c>
      <c r="C9693" s="2" t="s">
        <v>13</v>
      </c>
      <c r="D9693" s="2" t="s">
        <v>12</v>
      </c>
      <c r="E9693" s="2"/>
      <c r="F9693" s="2" t="str">
        <f>HYPERLINK("http://m.12365auto.com/news/20200211/418176.shtml","http://m.12365auto.com/news/20200211/418176.shtml")</f>
        <v>http://m.12365auto.com/news/20200211/418176.shtml</v>
      </c>
      <c r="G9693" s="2"/>
      <c r="H9693" s="2" t="s">
        <v>13015</v>
      </c>
      <c r="I9693" s="2" t="s">
        <v>19</v>
      </c>
      <c r="J9693" s="2" t="s">
        <v>751</v>
      </c>
      <c r="K9693" s="2" t="s">
        <v>13014</v>
      </c>
      <c r="L9693" s="2">
        <f t="shared" si="151"/>
        <v>150</v>
      </c>
    </row>
    <row r="9694" spans="1:12" ht="25" customHeight="1">
      <c r="A9694" s="2" t="s">
        <v>12</v>
      </c>
      <c r="B9694" s="2" t="str">
        <f>HYPERLINK("http://www.12365auto.com/news/20200211/418175.shtml","多方位支持 上汽MAXUS助经销商渡过难关")</f>
        <v>多方位支持 上汽MAXUS助经销商渡过难关</v>
      </c>
      <c r="C9694" s="2" t="s">
        <v>13</v>
      </c>
      <c r="D9694" s="2" t="s">
        <v>12</v>
      </c>
      <c r="E9694" s="2" t="s">
        <v>276</v>
      </c>
      <c r="F9694" s="2" t="str">
        <f>HYPERLINK("http://www.12365auto.com/news/20200211/418175.shtml","http://www.12365auto.com/news/20200211/418175.shtml")</f>
        <v>http://www.12365auto.com/news/20200211/418175.shtml</v>
      </c>
      <c r="G9694" s="2"/>
      <c r="H9694" s="2" t="s">
        <v>13016</v>
      </c>
      <c r="I9694" s="2" t="s">
        <v>15</v>
      </c>
      <c r="J9694" s="2" t="s">
        <v>12</v>
      </c>
      <c r="K9694" s="2" t="s">
        <v>13017</v>
      </c>
      <c r="L9694" s="2">
        <f t="shared" si="151"/>
        <v>150</v>
      </c>
    </row>
    <row r="9695" spans="1:12" ht="25" customHeight="1">
      <c r="A9695" s="2" t="s">
        <v>12</v>
      </c>
      <c r="B9695" s="2" t="str">
        <f>HYPERLINK("http://m.12365auto.com/news/20200211/418175.shtml","多方位支持 上汽MAXUS助经销商渡过难关")</f>
        <v>多方位支持 上汽MAXUS助经销商渡过难关</v>
      </c>
      <c r="C9695" s="2" t="s">
        <v>13</v>
      </c>
      <c r="D9695" s="2" t="s">
        <v>12</v>
      </c>
      <c r="E9695" s="2"/>
      <c r="F9695" s="2" t="str">
        <f>HYPERLINK("http://m.12365auto.com/news/20200211/418175.shtml","http://m.12365auto.com/news/20200211/418175.shtml")</f>
        <v>http://m.12365auto.com/news/20200211/418175.shtml</v>
      </c>
      <c r="G9695" s="2"/>
      <c r="H9695" s="2" t="s">
        <v>13018</v>
      </c>
      <c r="I9695" s="2" t="s">
        <v>19</v>
      </c>
      <c r="J9695" s="2" t="s">
        <v>1657</v>
      </c>
      <c r="K9695" s="2" t="s">
        <v>13017</v>
      </c>
      <c r="L9695" s="2">
        <f t="shared" si="151"/>
        <v>150</v>
      </c>
    </row>
    <row r="9696" spans="1:12" ht="25" customHeight="1">
      <c r="A9696" s="2" t="s">
        <v>12</v>
      </c>
      <c r="B9696" s="2" t="str">
        <f>HYPERLINK("http://www.12365auto.com/news/20200211/418173.shtml","质保延到疫情结束 长安福特推暖心政策")</f>
        <v>质保延到疫情结束 长安福特推暖心政策</v>
      </c>
      <c r="C9696" s="2" t="s">
        <v>13</v>
      </c>
      <c r="D9696" s="2" t="s">
        <v>12</v>
      </c>
      <c r="E9696" s="2" t="s">
        <v>282</v>
      </c>
      <c r="F9696" s="2" t="str">
        <f>HYPERLINK("http://www.12365auto.com/news/20200211/418173.shtml","http://www.12365auto.com/news/20200211/418173.shtml")</f>
        <v>http://www.12365auto.com/news/20200211/418173.shtml</v>
      </c>
      <c r="G9696" s="2"/>
      <c r="H9696" s="2" t="s">
        <v>13019</v>
      </c>
      <c r="I9696" s="2" t="s">
        <v>19</v>
      </c>
      <c r="J9696" s="2" t="s">
        <v>12</v>
      </c>
      <c r="K9696" s="2" t="s">
        <v>13020</v>
      </c>
      <c r="L9696" s="2">
        <f t="shared" si="151"/>
        <v>150</v>
      </c>
    </row>
    <row r="9697" spans="1:12" ht="25" customHeight="1">
      <c r="A9697" s="2" t="s">
        <v>12</v>
      </c>
      <c r="B9697" s="2" t="str">
        <f>HYPERLINK("http://m.12365auto.com/news/20200211/418173.shtml","质保延到疫情结束 长安福特推暖心政策")</f>
        <v>质保延到疫情结束 长安福特推暖心政策</v>
      </c>
      <c r="C9697" s="2" t="s">
        <v>13</v>
      </c>
      <c r="D9697" s="2" t="s">
        <v>12</v>
      </c>
      <c r="E9697" s="2"/>
      <c r="F9697" s="2" t="str">
        <f>HYPERLINK("http://m.12365auto.com/news/20200211/418173.shtml","http://m.12365auto.com/news/20200211/418173.shtml")</f>
        <v>http://m.12365auto.com/news/20200211/418173.shtml</v>
      </c>
      <c r="G9697" s="2"/>
      <c r="H9697" s="2" t="s">
        <v>13021</v>
      </c>
      <c r="I9697" s="2" t="s">
        <v>19</v>
      </c>
      <c r="J9697" s="2" t="s">
        <v>1218</v>
      </c>
      <c r="K9697" s="2" t="s">
        <v>13020</v>
      </c>
      <c r="L9697" s="2">
        <f t="shared" si="151"/>
        <v>150</v>
      </c>
    </row>
    <row r="9698" spans="1:12" ht="25" customHeight="1">
      <c r="A9698" s="2" t="s">
        <v>12</v>
      </c>
      <c r="B9698" s="2" t="str">
        <f>HYPERLINK("http://www.12365auto.com/xcdg/20200211/418174.shtml","换代兰博基尼Aventador渲染图曝光 造型犀利")</f>
        <v>换代兰博基尼Aventador渲染图曝光 造型犀利</v>
      </c>
      <c r="C9698" s="2" t="s">
        <v>13</v>
      </c>
      <c r="D9698" s="2" t="s">
        <v>12</v>
      </c>
      <c r="E9698" s="2" t="s">
        <v>216</v>
      </c>
      <c r="F9698" s="2" t="str">
        <f>HYPERLINK("http://www.12365auto.com/xcdg/20200211/418174.shtml","http://www.12365auto.com/xcdg/20200211/418174.shtml")</f>
        <v>http://www.12365auto.com/xcdg/20200211/418174.shtml</v>
      </c>
      <c r="G9698" s="2"/>
      <c r="H9698" s="2" t="s">
        <v>13022</v>
      </c>
      <c r="I9698" s="2" t="s">
        <v>15</v>
      </c>
      <c r="J9698" s="2" t="s">
        <v>12</v>
      </c>
      <c r="K9698" s="2" t="s">
        <v>13023</v>
      </c>
      <c r="L9698" s="2">
        <f t="shared" si="151"/>
        <v>150</v>
      </c>
    </row>
    <row r="9699" spans="1:12" ht="25" customHeight="1">
      <c r="A9699" s="2" t="s">
        <v>12</v>
      </c>
      <c r="B9699" s="2" t="str">
        <f>HYPERLINK("http://m.12365auto.com/xcdg/20200211/418174.shtml","换代兰博基尼Aventador渲染图曝光 造型犀利")</f>
        <v>换代兰博基尼Aventador渲染图曝光 造型犀利</v>
      </c>
      <c r="C9699" s="2" t="s">
        <v>13</v>
      </c>
      <c r="D9699" s="2" t="s">
        <v>12</v>
      </c>
      <c r="E9699" s="2"/>
      <c r="F9699" s="2" t="str">
        <f>HYPERLINK("http://m.12365auto.com/xcdg/20200211/418174.shtml","http://m.12365auto.com/xcdg/20200211/418174.shtml")</f>
        <v>http://m.12365auto.com/xcdg/20200211/418174.shtml</v>
      </c>
      <c r="G9699" s="2"/>
      <c r="H9699" s="2" t="s">
        <v>13024</v>
      </c>
      <c r="I9699" s="2" t="s">
        <v>19</v>
      </c>
      <c r="J9699" s="2" t="s">
        <v>1241</v>
      </c>
      <c r="K9699" s="2" t="s">
        <v>13023</v>
      </c>
      <c r="L9699" s="2">
        <f t="shared" si="151"/>
        <v>150</v>
      </c>
    </row>
    <row r="9700" spans="1:12" ht="25" customHeight="1">
      <c r="A9700" s="2" t="s">
        <v>12</v>
      </c>
      <c r="B9700" s="2" t="str">
        <f>HYPERLINK("http://m.12365auto.com/news/20200211/418171.shtml","广汽集团：计划打造口罩生产线支援防疫")</f>
        <v>广汽集团：计划打造口罩生产线支援防疫</v>
      </c>
      <c r="C9700" s="2" t="s">
        <v>13</v>
      </c>
      <c r="D9700" s="2" t="s">
        <v>12</v>
      </c>
      <c r="E9700" s="2"/>
      <c r="F9700" s="2" t="str">
        <f>HYPERLINK("http://m.12365auto.com/news/20200211/418171.shtml","http://m.12365auto.com/news/20200211/418171.shtml")</f>
        <v>http://m.12365auto.com/news/20200211/418171.shtml</v>
      </c>
      <c r="G9700" s="2"/>
      <c r="H9700" s="2" t="s">
        <v>13025</v>
      </c>
      <c r="I9700" s="2" t="s">
        <v>19</v>
      </c>
      <c r="J9700" s="2" t="s">
        <v>1222</v>
      </c>
      <c r="K9700" s="2" t="s">
        <v>13026</v>
      </c>
      <c r="L9700" s="2">
        <f t="shared" si="151"/>
        <v>150</v>
      </c>
    </row>
    <row r="9701" spans="1:12" ht="25" customHeight="1">
      <c r="A9701" s="2" t="s">
        <v>12</v>
      </c>
      <c r="B9701" s="2" t="str">
        <f>HYPERLINK("http://www.12365auto.com/news/20200211/418171.shtml","广汽集团：计划打造口罩生产线支援防疫")</f>
        <v>广汽集团：计划打造口罩生产线支援防疫</v>
      </c>
      <c r="C9701" s="2" t="s">
        <v>13</v>
      </c>
      <c r="D9701" s="2" t="s">
        <v>12</v>
      </c>
      <c r="E9701" s="2" t="s">
        <v>282</v>
      </c>
      <c r="F9701" s="2" t="str">
        <f>HYPERLINK("http://www.12365auto.com/news/20200211/418171.shtml","http://www.12365auto.com/news/20200211/418171.shtml")</f>
        <v>http://www.12365auto.com/news/20200211/418171.shtml</v>
      </c>
      <c r="G9701" s="2"/>
      <c r="H9701" s="2" t="s">
        <v>13027</v>
      </c>
      <c r="I9701" s="2" t="s">
        <v>19</v>
      </c>
      <c r="J9701" s="2" t="s">
        <v>12</v>
      </c>
      <c r="K9701" s="2" t="s">
        <v>13026</v>
      </c>
      <c r="L9701" s="2">
        <f t="shared" si="151"/>
        <v>150</v>
      </c>
    </row>
    <row r="9702" spans="1:12" ht="25" customHeight="1">
      <c r="A9702" s="2" t="s">
        <v>12</v>
      </c>
      <c r="B9702" s="2" t="str">
        <f>HYPERLINK("http://www.12365auto.com/zlts/20200211/446839.shtml","东风风神A30转向卡滞沉重要求召回")</f>
        <v>东风风神A30转向卡滞沉重要求召回</v>
      </c>
      <c r="C9702" s="2" t="s">
        <v>13</v>
      </c>
      <c r="D9702" s="2" t="s">
        <v>12</v>
      </c>
      <c r="E9702" s="2" t="s">
        <v>17</v>
      </c>
      <c r="F9702" s="2" t="str">
        <f>HYPERLINK("http://www.12365auto.com/zlts/20200211/446839.shtml","http://www.12365auto.com/zlts/20200211/446839.shtml")</f>
        <v>http://www.12365auto.com/zlts/20200211/446839.shtml</v>
      </c>
      <c r="G9702" s="2"/>
      <c r="H9702" s="2" t="s">
        <v>13028</v>
      </c>
      <c r="I9702" s="2" t="s">
        <v>15</v>
      </c>
      <c r="J9702" s="2" t="s">
        <v>12</v>
      </c>
      <c r="K9702" s="2" t="s">
        <v>13029</v>
      </c>
      <c r="L9702" s="2">
        <f t="shared" si="151"/>
        <v>150</v>
      </c>
    </row>
    <row r="9703" spans="1:12" ht="25" customHeight="1">
      <c r="A9703" s="2" t="s">
        <v>12</v>
      </c>
      <c r="B9703" s="2" t="str">
        <f>HYPERLINK("http://www.12365auto.com/news/20200211/418170.shtml","林肯推出疫情关怀政策 含五大关爱行动")</f>
        <v>林肯推出疫情关怀政策 含五大关爱行动</v>
      </c>
      <c r="C9703" s="2" t="s">
        <v>13</v>
      </c>
      <c r="D9703" s="2" t="s">
        <v>12</v>
      </c>
      <c r="E9703" s="2" t="s">
        <v>282</v>
      </c>
      <c r="F9703" s="2" t="str">
        <f>HYPERLINK("http://www.12365auto.com/news/20200211/418170.shtml","http://www.12365auto.com/news/20200211/418170.shtml")</f>
        <v>http://www.12365auto.com/news/20200211/418170.shtml</v>
      </c>
      <c r="G9703" s="2"/>
      <c r="H9703" s="2" t="s">
        <v>13030</v>
      </c>
      <c r="I9703" s="2" t="s">
        <v>19</v>
      </c>
      <c r="J9703" s="2" t="s">
        <v>12</v>
      </c>
      <c r="K9703" s="2" t="s">
        <v>13029</v>
      </c>
      <c r="L9703" s="2">
        <f t="shared" si="151"/>
        <v>150</v>
      </c>
    </row>
    <row r="9704" spans="1:12" ht="25" customHeight="1">
      <c r="A9704" s="2" t="s">
        <v>12</v>
      </c>
      <c r="B9704" s="2" t="str">
        <f>HYPERLINK("http://m.12365auto.com/news/20200211/418170.shtml","林肯推出疫情关怀政策 含五大关爱行动")</f>
        <v>林肯推出疫情关怀政策 含五大关爱行动</v>
      </c>
      <c r="C9704" s="2" t="s">
        <v>13</v>
      </c>
      <c r="D9704" s="2" t="s">
        <v>12</v>
      </c>
      <c r="E9704" s="2"/>
      <c r="F9704" s="2" t="str">
        <f>HYPERLINK("http://m.12365auto.com/news/20200211/418170.shtml","http://m.12365auto.com/news/20200211/418170.shtml")</f>
        <v>http://m.12365auto.com/news/20200211/418170.shtml</v>
      </c>
      <c r="G9704" s="2"/>
      <c r="H9704" s="2" t="s">
        <v>13031</v>
      </c>
      <c r="I9704" s="2" t="s">
        <v>19</v>
      </c>
      <c r="J9704" s="2" t="s">
        <v>751</v>
      </c>
      <c r="K9704" s="2" t="s">
        <v>13029</v>
      </c>
      <c r="L9704" s="2">
        <f t="shared" si="151"/>
        <v>150</v>
      </c>
    </row>
    <row r="9705" spans="1:12" ht="25" customHeight="1">
      <c r="A9705" s="2" t="s">
        <v>12</v>
      </c>
      <c r="B9705" s="2" t="str">
        <f>HYPERLINK("http://www.12365auto.com/zlts/20200211/446838.shtml","上汽名爵6变速箱顿挫闯动 后悬挂异响")</f>
        <v>上汽名爵6变速箱顿挫闯动 后悬挂异响</v>
      </c>
      <c r="C9705" s="2" t="s">
        <v>13</v>
      </c>
      <c r="D9705" s="2" t="s">
        <v>12</v>
      </c>
      <c r="E9705" s="2" t="s">
        <v>17</v>
      </c>
      <c r="F9705" s="2" t="str">
        <f>HYPERLINK("http://www.12365auto.com/zlts/20200211/446838.shtml","http://www.12365auto.com/zlts/20200211/446838.shtml")</f>
        <v>http://www.12365auto.com/zlts/20200211/446838.shtml</v>
      </c>
      <c r="G9705" s="2"/>
      <c r="H9705" s="2" t="s">
        <v>13032</v>
      </c>
      <c r="I9705" s="2" t="s">
        <v>15</v>
      </c>
      <c r="J9705" s="2" t="s">
        <v>12</v>
      </c>
      <c r="K9705" s="2" t="s">
        <v>13033</v>
      </c>
      <c r="L9705" s="2">
        <f t="shared" si="151"/>
        <v>150</v>
      </c>
    </row>
    <row r="9706" spans="1:12" ht="25" customHeight="1">
      <c r="A9706" s="2" t="s">
        <v>12</v>
      </c>
      <c r="B9706" s="2" t="str">
        <f>HYPERLINK("http://m.12365auto.com/news/20200211/418169.shtml","累计1500万元 江淮汽车捐款捐物战疫情")</f>
        <v>累计1500万元 江淮汽车捐款捐物战疫情</v>
      </c>
      <c r="C9706" s="2" t="s">
        <v>13</v>
      </c>
      <c r="D9706" s="2" t="s">
        <v>12</v>
      </c>
      <c r="E9706" s="2"/>
      <c r="F9706" s="2" t="str">
        <f>HYPERLINK("http://m.12365auto.com/news/20200211/418169.shtml","http://m.12365auto.com/news/20200211/418169.shtml")</f>
        <v>http://m.12365auto.com/news/20200211/418169.shtml</v>
      </c>
      <c r="G9706" s="2"/>
      <c r="H9706" s="2" t="s">
        <v>13034</v>
      </c>
      <c r="I9706" s="2" t="s">
        <v>19</v>
      </c>
      <c r="J9706" s="2" t="s">
        <v>1222</v>
      </c>
      <c r="K9706" s="2" t="s">
        <v>13033</v>
      </c>
      <c r="L9706" s="2">
        <f t="shared" si="151"/>
        <v>150</v>
      </c>
    </row>
    <row r="9707" spans="1:12" ht="25" customHeight="1">
      <c r="A9707" s="2" t="s">
        <v>12</v>
      </c>
      <c r="B9707" s="2" t="str">
        <f>HYPERLINK("http://www.12365auto.com/news/20200211/418169.shtml","累计1500万元 江淮汽车捐款捐物战疫情")</f>
        <v>累计1500万元 江淮汽车捐款捐物战疫情</v>
      </c>
      <c r="C9707" s="2" t="s">
        <v>13</v>
      </c>
      <c r="D9707" s="2" t="s">
        <v>12</v>
      </c>
      <c r="E9707" s="2" t="s">
        <v>282</v>
      </c>
      <c r="F9707" s="2" t="str">
        <f>HYPERLINK("http://www.12365auto.com/news/20200211/418169.shtml","http://www.12365auto.com/news/20200211/418169.shtml")</f>
        <v>http://www.12365auto.com/news/20200211/418169.shtml</v>
      </c>
      <c r="G9707" s="2"/>
      <c r="H9707" s="2" t="s">
        <v>13035</v>
      </c>
      <c r="I9707" s="2" t="s">
        <v>19</v>
      </c>
      <c r="J9707" s="2" t="s">
        <v>12</v>
      </c>
      <c r="K9707" s="2" t="s">
        <v>13033</v>
      </c>
      <c r="L9707" s="2">
        <f t="shared" si="151"/>
        <v>150</v>
      </c>
    </row>
    <row r="9708" spans="1:12" ht="25" customHeight="1">
      <c r="A9708" s="2" t="s">
        <v>12</v>
      </c>
      <c r="B9708" s="2" t="str">
        <f>HYPERLINK("http://m.12365auto.com/bbs/postcontent.aspx?tID=193727","1.5L动力 广汽本田锋范值不值得买？")</f>
        <v>1.5L动力 广汽本田锋范值不值得买？</v>
      </c>
      <c r="C9708" s="2" t="s">
        <v>13</v>
      </c>
      <c r="D9708" s="2" t="s">
        <v>23</v>
      </c>
      <c r="E9708" s="2"/>
      <c r="F9708" s="2" t="str">
        <f>HYPERLINK("http://m.12365auto.com/bbs/postcontent.aspx?tID=193727","http://m.12365auto.com/bbs/postcontent.aspx?tID=193727")</f>
        <v>http://m.12365auto.com/bbs/postcontent.aspx?tID=193727</v>
      </c>
      <c r="G9708" s="2"/>
      <c r="H9708" s="2" t="s">
        <v>13036</v>
      </c>
      <c r="I9708" s="2" t="s">
        <v>15</v>
      </c>
      <c r="J9708" s="2" t="s">
        <v>13037</v>
      </c>
      <c r="K9708" s="2" t="s">
        <v>13038</v>
      </c>
      <c r="L9708" s="2">
        <f t="shared" si="151"/>
        <v>150</v>
      </c>
    </row>
    <row r="9709" spans="1:12" ht="25" customHeight="1">
      <c r="A9709" s="2" t="s">
        <v>12</v>
      </c>
      <c r="B9709" s="2" t="str">
        <f>HYPERLINK("http://bbs.12365auto.com/postcontent.aspx?tId=193727","1.5L动力 广汽本田锋范值不值得买？")</f>
        <v>1.5L动力 广汽本田锋范值不值得买？</v>
      </c>
      <c r="C9709" s="2" t="s">
        <v>13</v>
      </c>
      <c r="D9709" s="2" t="s">
        <v>12</v>
      </c>
      <c r="E9709" s="2" t="s">
        <v>27</v>
      </c>
      <c r="F9709" s="2" t="str">
        <f>HYPERLINK("http://bbs.12365auto.com/postcontent.aspx?tId=193727","http://bbs.12365auto.com/postcontent.aspx?tId=193727")</f>
        <v>http://bbs.12365auto.com/postcontent.aspx?tId=193727</v>
      </c>
      <c r="G9709" s="2"/>
      <c r="H9709" s="2" t="s">
        <v>13036</v>
      </c>
      <c r="I9709" s="2" t="s">
        <v>15</v>
      </c>
      <c r="J9709" s="2" t="s">
        <v>13037</v>
      </c>
      <c r="K9709" s="2" t="s">
        <v>13038</v>
      </c>
      <c r="L9709" s="2">
        <f t="shared" si="151"/>
        <v>150</v>
      </c>
    </row>
    <row r="9710" spans="1:12" ht="25" customHeight="1">
      <c r="A9710" s="2" t="s">
        <v>12</v>
      </c>
      <c r="B9710" s="2" t="str">
        <f>HYPERLINK("http://bbs.12365auto.com/postcontent.aspx?tID=193727","1.5L动力 广汽本田锋范值不值得买？")</f>
        <v>1.5L动力 广汽本田锋范值不值得买？</v>
      </c>
      <c r="C9710" s="2" t="s">
        <v>13</v>
      </c>
      <c r="D9710" s="2" t="s">
        <v>12</v>
      </c>
      <c r="E9710" s="2" t="s">
        <v>28</v>
      </c>
      <c r="F9710" s="2" t="str">
        <f>HYPERLINK("http://bbs.12365auto.com/postcontent.aspx?tID=193727","http://bbs.12365auto.com/postcontent.aspx?tID=193727")</f>
        <v>http://bbs.12365auto.com/postcontent.aspx?tID=193727</v>
      </c>
      <c r="G9710" s="2"/>
      <c r="H9710" s="2" t="s">
        <v>13039</v>
      </c>
      <c r="I9710" s="2" t="s">
        <v>15</v>
      </c>
      <c r="J9710" s="2" t="s">
        <v>13037</v>
      </c>
      <c r="K9710" s="2" t="s">
        <v>13038</v>
      </c>
      <c r="L9710" s="2">
        <f t="shared" si="151"/>
        <v>150</v>
      </c>
    </row>
    <row r="9711" spans="1:12" ht="25" customHeight="1">
      <c r="A9711" s="2" t="s">
        <v>12</v>
      </c>
      <c r="B9711" s="2" t="str">
        <f>HYPERLINK("http://m.12365auto.com/bbs/postcontent.aspx?tID=193726","四驱SUV Jeep大指挥官值不值？")</f>
        <v>四驱SUV Jeep大指挥官值不值？</v>
      </c>
      <c r="C9711" s="2" t="s">
        <v>13</v>
      </c>
      <c r="D9711" s="2" t="s">
        <v>23</v>
      </c>
      <c r="E9711" s="2"/>
      <c r="F9711" s="2" t="str">
        <f>HYPERLINK("http://m.12365auto.com/bbs/postcontent.aspx?tID=193726","http://m.12365auto.com/bbs/postcontent.aspx?tID=193726")</f>
        <v>http://m.12365auto.com/bbs/postcontent.aspx?tID=193726</v>
      </c>
      <c r="G9711" s="2"/>
      <c r="H9711" s="2" t="s">
        <v>13040</v>
      </c>
      <c r="I9711" s="2" t="s">
        <v>15</v>
      </c>
      <c r="J9711" s="2" t="s">
        <v>13037</v>
      </c>
      <c r="K9711" s="2" t="s">
        <v>13041</v>
      </c>
      <c r="L9711" s="2">
        <f t="shared" si="151"/>
        <v>150</v>
      </c>
    </row>
    <row r="9712" spans="1:12" ht="25" customHeight="1">
      <c r="A9712" s="2" t="s">
        <v>12</v>
      </c>
      <c r="B9712" s="2" t="str">
        <f>HYPERLINK("http://bbs.12365auto.com/postcontent.aspx?tId=193726","四驱SUV Jeep大指挥官值不值？")</f>
        <v>四驱SUV Jeep大指挥官值不值？</v>
      </c>
      <c r="C9712" s="2" t="s">
        <v>13</v>
      </c>
      <c r="D9712" s="2" t="s">
        <v>12</v>
      </c>
      <c r="E9712" s="2" t="s">
        <v>27</v>
      </c>
      <c r="F9712" s="2" t="str">
        <f>HYPERLINK("http://bbs.12365auto.com/postcontent.aspx?tId=193726","http://bbs.12365auto.com/postcontent.aspx?tId=193726")</f>
        <v>http://bbs.12365auto.com/postcontent.aspx?tId=193726</v>
      </c>
      <c r="G9712" s="2"/>
      <c r="H9712" s="2" t="s">
        <v>13040</v>
      </c>
      <c r="I9712" s="2" t="s">
        <v>15</v>
      </c>
      <c r="J9712" s="2" t="s">
        <v>13037</v>
      </c>
      <c r="K9712" s="2" t="s">
        <v>13041</v>
      </c>
      <c r="L9712" s="2">
        <f t="shared" si="151"/>
        <v>150</v>
      </c>
    </row>
    <row r="9713" spans="1:12" ht="25" customHeight="1">
      <c r="A9713" s="2" t="s">
        <v>12</v>
      </c>
      <c r="B9713" s="2" t="str">
        <f>HYPERLINK("http://bbs.12365auto.com/postcontent.aspx?tID=193726","四驱SUV Jeep大指挥官值不值？")</f>
        <v>四驱SUV Jeep大指挥官值不值？</v>
      </c>
      <c r="C9713" s="2" t="s">
        <v>13</v>
      </c>
      <c r="D9713" s="2" t="s">
        <v>12</v>
      </c>
      <c r="E9713" s="2" t="s">
        <v>28</v>
      </c>
      <c r="F9713" s="2" t="str">
        <f>HYPERLINK("http://bbs.12365auto.com/postcontent.aspx?tID=193726","http://bbs.12365auto.com/postcontent.aspx?tID=193726")</f>
        <v>http://bbs.12365auto.com/postcontent.aspx?tID=193726</v>
      </c>
      <c r="G9713" s="2"/>
      <c r="H9713" s="2" t="s">
        <v>13042</v>
      </c>
      <c r="I9713" s="2" t="s">
        <v>15</v>
      </c>
      <c r="J9713" s="2" t="s">
        <v>13037</v>
      </c>
      <c r="K9713" s="2" t="s">
        <v>13041</v>
      </c>
      <c r="L9713" s="2">
        <f t="shared" si="151"/>
        <v>150</v>
      </c>
    </row>
    <row r="9714" spans="1:12" ht="25" customHeight="1">
      <c r="A9714" s="2" t="s">
        <v>12</v>
      </c>
      <c r="B9714" s="2" t="str">
        <f>HYPERLINK("http://m.12365auto.com/bbs/postcontent.aspx?tID=193725","小型MPV 别克GL6值不值得买？")</f>
        <v>小型MPV 别克GL6值不值得买？</v>
      </c>
      <c r="C9714" s="2" t="s">
        <v>13</v>
      </c>
      <c r="D9714" s="2" t="s">
        <v>23</v>
      </c>
      <c r="E9714" s="2"/>
      <c r="F9714" s="2" t="str">
        <f>HYPERLINK("http://m.12365auto.com/bbs/postcontent.aspx?tID=193725","http://m.12365auto.com/bbs/postcontent.aspx?tID=193725")</f>
        <v>http://m.12365auto.com/bbs/postcontent.aspx?tID=193725</v>
      </c>
      <c r="G9714" s="2"/>
      <c r="H9714" s="2" t="s">
        <v>13043</v>
      </c>
      <c r="I9714" s="2" t="s">
        <v>15</v>
      </c>
      <c r="J9714" s="2" t="s">
        <v>13037</v>
      </c>
      <c r="K9714" s="2" t="s">
        <v>13044</v>
      </c>
      <c r="L9714" s="2">
        <f t="shared" si="151"/>
        <v>150</v>
      </c>
    </row>
    <row r="9715" spans="1:12" ht="25" customHeight="1">
      <c r="A9715" s="2" t="s">
        <v>12</v>
      </c>
      <c r="B9715" s="2" t="str">
        <f>HYPERLINK("http://bbs.12365auto.com/postcontent.aspx?tId=193725","小型MPV 别克GL6值不值得买？")</f>
        <v>小型MPV 别克GL6值不值得买？</v>
      </c>
      <c r="C9715" s="2" t="s">
        <v>13</v>
      </c>
      <c r="D9715" s="2" t="s">
        <v>12</v>
      </c>
      <c r="E9715" s="2" t="s">
        <v>27</v>
      </c>
      <c r="F9715" s="2" t="str">
        <f>HYPERLINK("http://bbs.12365auto.com/postcontent.aspx?tId=193725","http://bbs.12365auto.com/postcontent.aspx?tId=193725")</f>
        <v>http://bbs.12365auto.com/postcontent.aspx?tId=193725</v>
      </c>
      <c r="G9715" s="2"/>
      <c r="H9715" s="2" t="s">
        <v>13043</v>
      </c>
      <c r="I9715" s="2" t="s">
        <v>15</v>
      </c>
      <c r="J9715" s="2" t="s">
        <v>13037</v>
      </c>
      <c r="K9715" s="2" t="s">
        <v>13044</v>
      </c>
      <c r="L9715" s="2">
        <f t="shared" si="151"/>
        <v>150</v>
      </c>
    </row>
    <row r="9716" spans="1:12" ht="25" customHeight="1">
      <c r="A9716" s="2" t="s">
        <v>12</v>
      </c>
      <c r="B9716" s="2" t="str">
        <f>HYPERLINK("http://bbs.12365auto.com/postcontent.aspx?tID=193725","小型MPV 别克GL6值不值得买？")</f>
        <v>小型MPV 别克GL6值不值得买？</v>
      </c>
      <c r="C9716" s="2" t="s">
        <v>13</v>
      </c>
      <c r="D9716" s="2" t="s">
        <v>12</v>
      </c>
      <c r="E9716" s="2" t="s">
        <v>28</v>
      </c>
      <c r="F9716" s="2" t="str">
        <f>HYPERLINK("http://bbs.12365auto.com/postcontent.aspx?tID=193725","http://bbs.12365auto.com/postcontent.aspx?tID=193725")</f>
        <v>http://bbs.12365auto.com/postcontent.aspx?tID=193725</v>
      </c>
      <c r="G9716" s="2"/>
      <c r="H9716" s="2" t="s">
        <v>13045</v>
      </c>
      <c r="I9716" s="2" t="s">
        <v>15</v>
      </c>
      <c r="J9716" s="2" t="s">
        <v>13037</v>
      </c>
      <c r="K9716" s="2" t="s">
        <v>13044</v>
      </c>
      <c r="L9716" s="2">
        <f t="shared" si="151"/>
        <v>150</v>
      </c>
    </row>
    <row r="9717" spans="1:12" ht="25" customHeight="1">
      <c r="A9717" s="2" t="s">
        <v>12</v>
      </c>
      <c r="B9717" s="2" t="str">
        <f>HYPERLINK("http://m.12365auto.com/bbs/postcontent.aspx?tID=193724","4.4秒破百 比亚迪唐EV值不值得入手？")</f>
        <v>4.4秒破百 比亚迪唐EV值不值得入手？</v>
      </c>
      <c r="C9717" s="2" t="s">
        <v>13</v>
      </c>
      <c r="D9717" s="2" t="s">
        <v>23</v>
      </c>
      <c r="E9717" s="2"/>
      <c r="F9717" s="2" t="str">
        <f>HYPERLINK("http://m.12365auto.com/bbs/postcontent.aspx?tID=193724","http://m.12365auto.com/bbs/postcontent.aspx?tID=193724")</f>
        <v>http://m.12365auto.com/bbs/postcontent.aspx?tID=193724</v>
      </c>
      <c r="G9717" s="2"/>
      <c r="H9717" s="2" t="s">
        <v>13046</v>
      </c>
      <c r="I9717" s="2" t="s">
        <v>15</v>
      </c>
      <c r="J9717" s="2" t="s">
        <v>13037</v>
      </c>
      <c r="K9717" s="2" t="s">
        <v>13047</v>
      </c>
      <c r="L9717" s="2">
        <f t="shared" si="151"/>
        <v>150</v>
      </c>
    </row>
    <row r="9718" spans="1:12" ht="25" customHeight="1">
      <c r="A9718" s="2" t="s">
        <v>12</v>
      </c>
      <c r="B9718" s="2" t="str">
        <f>HYPERLINK("http://www.12365auto.com/xcdg/20200211/418167.shtml","外观细节变化较多 新款大众蔚揽GTE谍照曝光")</f>
        <v>外观细节变化较多 新款大众蔚揽GTE谍照曝光</v>
      </c>
      <c r="C9718" s="2" t="s">
        <v>13</v>
      </c>
      <c r="D9718" s="2" t="s">
        <v>12</v>
      </c>
      <c r="E9718" s="2" t="s">
        <v>224</v>
      </c>
      <c r="F9718" s="2" t="str">
        <f>HYPERLINK("http://www.12365auto.com/xcdg/20200211/418167.shtml","http://www.12365auto.com/xcdg/20200211/418167.shtml")</f>
        <v>http://www.12365auto.com/xcdg/20200211/418167.shtml</v>
      </c>
      <c r="G9718" s="2"/>
      <c r="H9718" s="2" t="s">
        <v>13048</v>
      </c>
      <c r="I9718" s="2" t="s">
        <v>15</v>
      </c>
      <c r="J9718" s="2" t="s">
        <v>12</v>
      </c>
      <c r="K9718" s="2" t="s">
        <v>13047</v>
      </c>
      <c r="L9718" s="2">
        <f t="shared" si="151"/>
        <v>150</v>
      </c>
    </row>
    <row r="9719" spans="1:12" ht="25" customHeight="1">
      <c r="A9719" s="2" t="s">
        <v>12</v>
      </c>
      <c r="B9719" s="2" t="str">
        <f>HYPERLINK("http://bbs.12365auto.com/postcontent.aspx?tID=193724","4.4秒破百 比亚迪唐EV值不值得入手？")</f>
        <v>4.4秒破百 比亚迪唐EV值不值得入手？</v>
      </c>
      <c r="C9719" s="2" t="s">
        <v>13</v>
      </c>
      <c r="D9719" s="2" t="s">
        <v>12</v>
      </c>
      <c r="E9719" s="2" t="s">
        <v>28</v>
      </c>
      <c r="F9719" s="2" t="str">
        <f>HYPERLINK("http://bbs.12365auto.com/postcontent.aspx?tID=193724","http://bbs.12365auto.com/postcontent.aspx?tID=193724")</f>
        <v>http://bbs.12365auto.com/postcontent.aspx?tID=193724</v>
      </c>
      <c r="G9719" s="2"/>
      <c r="H9719" s="2" t="s">
        <v>13049</v>
      </c>
      <c r="I9719" s="2" t="s">
        <v>15</v>
      </c>
      <c r="J9719" s="2" t="s">
        <v>13037</v>
      </c>
      <c r="K9719" s="2" t="s">
        <v>13047</v>
      </c>
      <c r="L9719" s="2">
        <f t="shared" si="151"/>
        <v>150</v>
      </c>
    </row>
    <row r="9720" spans="1:12" ht="25" customHeight="1">
      <c r="A9720" s="2" t="s">
        <v>12</v>
      </c>
      <c r="B9720" s="2" t="str">
        <f>HYPERLINK("http://bbs.12365auto.com/postcontent.aspx?tId=193724","4.4秒破百 比亚迪唐EV值不值得入手？")</f>
        <v>4.4秒破百 比亚迪唐EV值不值得入手？</v>
      </c>
      <c r="C9720" s="2" t="s">
        <v>13</v>
      </c>
      <c r="D9720" s="2" t="s">
        <v>12</v>
      </c>
      <c r="E9720" s="2" t="s">
        <v>27</v>
      </c>
      <c r="F9720" s="2" t="str">
        <f>HYPERLINK("http://bbs.12365auto.com/postcontent.aspx?tId=193724","http://bbs.12365auto.com/postcontent.aspx?tId=193724")</f>
        <v>http://bbs.12365auto.com/postcontent.aspx?tId=193724</v>
      </c>
      <c r="G9720" s="2"/>
      <c r="H9720" s="2" t="s">
        <v>13046</v>
      </c>
      <c r="I9720" s="2" t="s">
        <v>15</v>
      </c>
      <c r="J9720" s="2" t="s">
        <v>13037</v>
      </c>
      <c r="K9720" s="2" t="s">
        <v>13047</v>
      </c>
      <c r="L9720" s="2">
        <f t="shared" si="151"/>
        <v>150</v>
      </c>
    </row>
    <row r="9721" spans="1:12" ht="25" customHeight="1">
      <c r="A9721" s="2" t="s">
        <v>12</v>
      </c>
      <c r="B9721" s="2" t="str">
        <f>HYPERLINK("http://www.12365auto.com/xcdg/20200211/418168.shtml","增加续航里程 索纳塔混动版将配太阳能车顶")</f>
        <v>增加续航里程 索纳塔混动版将配太阳能车顶</v>
      </c>
      <c r="C9721" s="2" t="s">
        <v>13</v>
      </c>
      <c r="D9721" s="2" t="s">
        <v>12</v>
      </c>
      <c r="E9721" s="2" t="s">
        <v>216</v>
      </c>
      <c r="F9721" s="2" t="str">
        <f>HYPERLINK("http://www.12365auto.com/xcdg/20200211/418168.shtml","http://www.12365auto.com/xcdg/20200211/418168.shtml")</f>
        <v>http://www.12365auto.com/xcdg/20200211/418168.shtml</v>
      </c>
      <c r="G9721" s="2"/>
      <c r="H9721" s="2" t="s">
        <v>13050</v>
      </c>
      <c r="I9721" s="2" t="s">
        <v>15</v>
      </c>
      <c r="J9721" s="2" t="s">
        <v>12</v>
      </c>
      <c r="K9721" s="2" t="s">
        <v>13051</v>
      </c>
      <c r="L9721" s="2">
        <f t="shared" si="151"/>
        <v>150</v>
      </c>
    </row>
    <row r="9722" spans="1:12" ht="25" customHeight="1">
      <c r="A9722" s="2" t="s">
        <v>12</v>
      </c>
      <c r="B9722" s="2" t="str">
        <f>HYPERLINK("http://m.12365auto.com/xcdg/20200211/418168.shtml","增加续航里程 索纳塔混动版将配太阳能车顶")</f>
        <v>增加续航里程 索纳塔混动版将配太阳能车顶</v>
      </c>
      <c r="C9722" s="2" t="s">
        <v>13</v>
      </c>
      <c r="D9722" s="2" t="s">
        <v>12</v>
      </c>
      <c r="E9722" s="2"/>
      <c r="F9722" s="2" t="str">
        <f>HYPERLINK("http://m.12365auto.com/xcdg/20200211/418168.shtml","http://m.12365auto.com/xcdg/20200211/418168.shtml")</f>
        <v>http://m.12365auto.com/xcdg/20200211/418168.shtml</v>
      </c>
      <c r="G9722" s="2"/>
      <c r="H9722" s="2" t="s">
        <v>13052</v>
      </c>
      <c r="I9722" s="2" t="s">
        <v>19</v>
      </c>
      <c r="J9722" s="2" t="s">
        <v>1250</v>
      </c>
      <c r="K9722" s="2" t="s">
        <v>13051</v>
      </c>
      <c r="L9722" s="2">
        <f t="shared" si="151"/>
        <v>150</v>
      </c>
    </row>
    <row r="9723" spans="1:12" ht="25" customHeight="1">
      <c r="A9723" s="2" t="s">
        <v>12</v>
      </c>
      <c r="B9723" s="2" t="str">
        <f>HYPERLINK("http://www.12365auto.com/xcdg/20200211/418172.shtml","沿用家族设计 长安逸动PLUS暂定3月17日上市")</f>
        <v>沿用家族设计 长安逸动PLUS暂定3月17日上市</v>
      </c>
      <c r="C9723" s="2" t="s">
        <v>13</v>
      </c>
      <c r="D9723" s="2" t="s">
        <v>12</v>
      </c>
      <c r="E9723" s="2" t="s">
        <v>245</v>
      </c>
      <c r="F9723" s="2" t="str">
        <f>HYPERLINK("http://www.12365auto.com/xcdg/20200211/418172.shtml","http://www.12365auto.com/xcdg/20200211/418172.shtml")</f>
        <v>http://www.12365auto.com/xcdg/20200211/418172.shtml</v>
      </c>
      <c r="G9723" s="2"/>
      <c r="H9723" s="2" t="s">
        <v>13053</v>
      </c>
      <c r="I9723" s="2" t="s">
        <v>19</v>
      </c>
      <c r="J9723" s="2" t="s">
        <v>12</v>
      </c>
      <c r="K9723" s="2" t="s">
        <v>13054</v>
      </c>
      <c r="L9723" s="2">
        <f t="shared" si="151"/>
        <v>150</v>
      </c>
    </row>
    <row r="9724" spans="1:12" ht="25" customHeight="1">
      <c r="A9724" s="2" t="s">
        <v>12</v>
      </c>
      <c r="B9724" s="2" t="str">
        <f>HYPERLINK("http://m.12365auto.com/zjdy/20200211/121152.shtml","大众宝来传奇和日产轩逸经典哪个适合家用？")</f>
        <v>大众宝来传奇和日产轩逸经典哪个适合家用？</v>
      </c>
      <c r="C9724" s="2" t="s">
        <v>13</v>
      </c>
      <c r="D9724" s="2" t="s">
        <v>12</v>
      </c>
      <c r="E9724" s="2"/>
      <c r="F9724" s="2" t="str">
        <f>HYPERLINK("http://m.12365auto.com/zjdy/20200211/121152.shtml","http://m.12365auto.com/zjdy/20200211/121152.shtml")</f>
        <v>http://m.12365auto.com/zjdy/20200211/121152.shtml</v>
      </c>
      <c r="G9724" s="2"/>
      <c r="H9724" s="2" t="s">
        <v>13055</v>
      </c>
      <c r="I9724" s="2" t="s">
        <v>19</v>
      </c>
      <c r="J9724" s="2" t="s">
        <v>12</v>
      </c>
      <c r="K9724" s="2" t="s">
        <v>13056</v>
      </c>
      <c r="L9724" s="2">
        <f t="shared" si="151"/>
        <v>39</v>
      </c>
    </row>
    <row r="9725" spans="1:12" ht="25" customHeight="1">
      <c r="A9725" s="2" t="s">
        <v>12</v>
      </c>
      <c r="B9725" s="2" t="str">
        <f>HYPERLINK("http://m.12365auto.com/xcdg/20200211/418165.shtml","大众ID.4将推迟发布 有望年内实现国产")</f>
        <v>大众ID.4将推迟发布 有望年内实现国产</v>
      </c>
      <c r="C9725" s="2" t="s">
        <v>13</v>
      </c>
      <c r="D9725" s="2" t="s">
        <v>12</v>
      </c>
      <c r="E9725" s="2"/>
      <c r="F9725" s="2" t="str">
        <f>HYPERLINK("http://m.12365auto.com/xcdg/20200211/418165.shtml","http://m.12365auto.com/xcdg/20200211/418165.shtml")</f>
        <v>http://m.12365auto.com/xcdg/20200211/418165.shtml</v>
      </c>
      <c r="G9725" s="2"/>
      <c r="H9725" s="2" t="s">
        <v>13057</v>
      </c>
      <c r="I9725" s="2" t="s">
        <v>19</v>
      </c>
      <c r="J9725" s="2" t="s">
        <v>371</v>
      </c>
      <c r="K9725" s="2" t="s">
        <v>13058</v>
      </c>
      <c r="L9725" s="2">
        <f t="shared" si="151"/>
        <v>150</v>
      </c>
    </row>
    <row r="9726" spans="1:12" ht="25" customHeight="1">
      <c r="A9726" s="2" t="s">
        <v>12</v>
      </c>
      <c r="B9726" s="2" t="str">
        <f>HYPERLINK("http://www.12365auto.com/xcdg/20200211/418165.shtml","大众ID.4将推迟发布 有望年内实现国产")</f>
        <v>大众ID.4将推迟发布 有望年内实现国产</v>
      </c>
      <c r="C9726" s="2" t="s">
        <v>13</v>
      </c>
      <c r="D9726" s="2" t="s">
        <v>12</v>
      </c>
      <c r="E9726" s="2" t="s">
        <v>216</v>
      </c>
      <c r="F9726" s="2" t="str">
        <f>HYPERLINK("http://www.12365auto.com/xcdg/20200211/418165.shtml","http://www.12365auto.com/xcdg/20200211/418165.shtml")</f>
        <v>http://www.12365auto.com/xcdg/20200211/418165.shtml</v>
      </c>
      <c r="G9726" s="2"/>
      <c r="H9726" s="2" t="s">
        <v>13059</v>
      </c>
      <c r="I9726" s="2" t="s">
        <v>15</v>
      </c>
      <c r="J9726" s="2" t="s">
        <v>12</v>
      </c>
      <c r="K9726" s="2" t="s">
        <v>13058</v>
      </c>
      <c r="L9726" s="2">
        <f t="shared" si="151"/>
        <v>150</v>
      </c>
    </row>
    <row r="9727" spans="1:12" ht="25" customHeight="1">
      <c r="A9727" s="2" t="s">
        <v>12</v>
      </c>
      <c r="B9727" s="2" t="str">
        <f>HYPERLINK("http://www.12365auto.com/xcdg/20200211/418166.shtml","外观变化明显 全新雪铁龙C4 Cactus谍照曝光")</f>
        <v>外观变化明显 全新雪铁龙C4 Cactus谍照曝光</v>
      </c>
      <c r="C9727" s="2" t="s">
        <v>13</v>
      </c>
      <c r="D9727" s="2" t="s">
        <v>12</v>
      </c>
      <c r="E9727" s="2" t="s">
        <v>224</v>
      </c>
      <c r="F9727" s="2" t="str">
        <f>HYPERLINK("http://www.12365auto.com/xcdg/20200211/418166.shtml","http://www.12365auto.com/xcdg/20200211/418166.shtml")</f>
        <v>http://www.12365auto.com/xcdg/20200211/418166.shtml</v>
      </c>
      <c r="G9727" s="2"/>
      <c r="H9727" s="2" t="s">
        <v>13060</v>
      </c>
      <c r="I9727" s="2" t="s">
        <v>15</v>
      </c>
      <c r="J9727" s="2" t="s">
        <v>12</v>
      </c>
      <c r="K9727" s="2" t="s">
        <v>13061</v>
      </c>
      <c r="L9727" s="2">
        <f t="shared" si="151"/>
        <v>150</v>
      </c>
    </row>
    <row r="9728" spans="1:12" ht="25" customHeight="1">
      <c r="A9728" s="2" t="s">
        <v>12</v>
      </c>
      <c r="B9728" s="2" t="str">
        <f>HYPERLINK("http://m.12365auto.com/xcdg/20200211/418166.shtml","外观变化明显 全新雪铁龙C4 Cactus谍照曝光")</f>
        <v>外观变化明显 全新雪铁龙C4 Cactus谍照曝光</v>
      </c>
      <c r="C9728" s="2" t="s">
        <v>13</v>
      </c>
      <c r="D9728" s="2" t="s">
        <v>12</v>
      </c>
      <c r="E9728" s="2"/>
      <c r="F9728" s="2" t="str">
        <f>HYPERLINK("http://m.12365auto.com/xcdg/20200211/418166.shtml","http://m.12365auto.com/xcdg/20200211/418166.shtml")</f>
        <v>http://m.12365auto.com/xcdg/20200211/418166.shtml</v>
      </c>
      <c r="G9728" s="2"/>
      <c r="H9728" s="2" t="s">
        <v>13062</v>
      </c>
      <c r="I9728" s="2" t="s">
        <v>19</v>
      </c>
      <c r="J9728" s="2" t="s">
        <v>1305</v>
      </c>
      <c r="K9728" s="2" t="s">
        <v>13061</v>
      </c>
      <c r="L9728" s="2">
        <f t="shared" si="151"/>
        <v>150</v>
      </c>
    </row>
    <row r="9729" spans="1:12" ht="25" customHeight="1">
      <c r="A9729" s="2" t="s">
        <v>12</v>
      </c>
      <c r="B9729" s="2" t="str">
        <f>HYPERLINK("http://m.12365auto.com/xcdg/20200211/418164.shtml","科技感提升明显 新宝骏E300内饰谍照曝光")</f>
        <v>科技感提升明显 新宝骏E300内饰谍照曝光</v>
      </c>
      <c r="C9729" s="2" t="s">
        <v>13</v>
      </c>
      <c r="D9729" s="2" t="s">
        <v>12</v>
      </c>
      <c r="E9729" s="2"/>
      <c r="F9729" s="2" t="str">
        <f>HYPERLINK("http://m.12365auto.com/xcdg/20200211/418164.shtml","http://m.12365auto.com/xcdg/20200211/418164.shtml")</f>
        <v>http://m.12365auto.com/xcdg/20200211/418164.shtml</v>
      </c>
      <c r="G9729" s="2"/>
      <c r="H9729" s="2" t="s">
        <v>13063</v>
      </c>
      <c r="I9729" s="2" t="s">
        <v>19</v>
      </c>
      <c r="J9729" s="2" t="s">
        <v>369</v>
      </c>
      <c r="K9729" s="2" t="s">
        <v>13064</v>
      </c>
      <c r="L9729" s="2">
        <f t="shared" si="151"/>
        <v>150</v>
      </c>
    </row>
    <row r="9730" spans="1:12" ht="25" customHeight="1">
      <c r="A9730" s="2" t="s">
        <v>12</v>
      </c>
      <c r="B9730" s="2" t="str">
        <f>HYPERLINK("http://www.12365auto.com/xcdg/20200211/418164.shtml","科技感提升明显 新宝骏E300内饰谍照曝光")</f>
        <v>科技感提升明显 新宝骏E300内饰谍照曝光</v>
      </c>
      <c r="C9730" s="2" t="s">
        <v>13</v>
      </c>
      <c r="D9730" s="2" t="s">
        <v>12</v>
      </c>
      <c r="E9730" s="2" t="s">
        <v>216</v>
      </c>
      <c r="F9730" s="2" t="str">
        <f>HYPERLINK("http://www.12365auto.com/xcdg/20200211/418164.shtml","http://www.12365auto.com/xcdg/20200211/418164.shtml")</f>
        <v>http://www.12365auto.com/xcdg/20200211/418164.shtml</v>
      </c>
      <c r="G9730" s="2"/>
      <c r="H9730" s="2" t="s">
        <v>13065</v>
      </c>
      <c r="I9730" s="2" t="s">
        <v>15</v>
      </c>
      <c r="J9730" s="2" t="s">
        <v>12</v>
      </c>
      <c r="K9730" s="2" t="s">
        <v>13064</v>
      </c>
      <c r="L9730" s="2">
        <f t="shared" si="151"/>
        <v>150</v>
      </c>
    </row>
    <row r="9731" spans="1:12" ht="25" customHeight="1">
      <c r="A9731" s="2" t="s">
        <v>12</v>
      </c>
      <c r="B9731" s="2" t="str">
        <f>HYPERLINK("http://m.12365auto.com/zjdy/20200210/121148.shtml","东风日产轩逸油门踏板震动是为什么？")</f>
        <v>东风日产轩逸油门踏板震动是为什么？</v>
      </c>
      <c r="C9731" s="2" t="s">
        <v>13</v>
      </c>
      <c r="D9731" s="2" t="s">
        <v>12</v>
      </c>
      <c r="E9731" s="2"/>
      <c r="F9731" s="2" t="str">
        <f>HYPERLINK("http://m.12365auto.com/zjdy/20200210/121148.shtml","http://m.12365auto.com/zjdy/20200210/121148.shtml")</f>
        <v>http://m.12365auto.com/zjdy/20200210/121148.shtml</v>
      </c>
      <c r="G9731" s="2"/>
      <c r="H9731" s="2" t="s">
        <v>13066</v>
      </c>
      <c r="I9731" s="2" t="s">
        <v>19</v>
      </c>
      <c r="J9731" s="2" t="s">
        <v>12</v>
      </c>
      <c r="K9731" s="2" t="s">
        <v>13067</v>
      </c>
      <c r="L9731" s="2">
        <f t="shared" ref="L9731:L9794" si="152">LEN(H9731)</f>
        <v>83</v>
      </c>
    </row>
    <row r="9732" spans="1:12" ht="25" customHeight="1">
      <c r="A9732" s="2" t="s">
        <v>12</v>
      </c>
      <c r="B9732" s="2" t="str">
        <f>HYPERLINK("http://m.12365auto.com/zjdy/20200210/121149.shtml","别克君越变速箱故障灯亮是怎么回事？")</f>
        <v>别克君越变速箱故障灯亮是怎么回事？</v>
      </c>
      <c r="C9732" s="2" t="s">
        <v>13</v>
      </c>
      <c r="D9732" s="2" t="s">
        <v>12</v>
      </c>
      <c r="E9732" s="2"/>
      <c r="F9732" s="2" t="str">
        <f>HYPERLINK("http://m.12365auto.com/zjdy/20200210/121149.shtml","http://m.12365auto.com/zjdy/20200210/121149.shtml")</f>
        <v>http://m.12365auto.com/zjdy/20200210/121149.shtml</v>
      </c>
      <c r="G9732" s="2"/>
      <c r="H9732" s="2" t="s">
        <v>13068</v>
      </c>
      <c r="I9732" s="2" t="s">
        <v>19</v>
      </c>
      <c r="J9732" s="2" t="s">
        <v>12</v>
      </c>
      <c r="K9732" s="2" t="s">
        <v>13069</v>
      </c>
      <c r="L9732" s="2">
        <f t="shared" si="152"/>
        <v>17</v>
      </c>
    </row>
    <row r="9733" spans="1:12" ht="25" customHeight="1">
      <c r="A9733" s="2" t="s">
        <v>12</v>
      </c>
      <c r="B9733" s="2" t="str">
        <f>HYPERLINK("http://m.12365auto.com/zjdy/20200210/121147.shtml","东风风神AX7故障灯一直亮是什么原因？")</f>
        <v>东风风神AX7故障灯一直亮是什么原因？</v>
      </c>
      <c r="C9733" s="2" t="s">
        <v>13</v>
      </c>
      <c r="D9733" s="2" t="s">
        <v>12</v>
      </c>
      <c r="E9733" s="2"/>
      <c r="F9733" s="2" t="str">
        <f>HYPERLINK("http://m.12365auto.com/zjdy/20200210/121147.shtml","http://m.12365auto.com/zjdy/20200210/121147.shtml")</f>
        <v>http://m.12365auto.com/zjdy/20200210/121147.shtml</v>
      </c>
      <c r="G9733" s="2"/>
      <c r="H9733" s="2" t="s">
        <v>13070</v>
      </c>
      <c r="I9733" s="2" t="s">
        <v>19</v>
      </c>
      <c r="J9733" s="2" t="s">
        <v>12</v>
      </c>
      <c r="K9733" s="2" t="s">
        <v>13069</v>
      </c>
      <c r="L9733" s="2">
        <f t="shared" si="152"/>
        <v>34</v>
      </c>
    </row>
    <row r="9734" spans="1:12" ht="25" customHeight="1">
      <c r="A9734" s="2" t="s">
        <v>12</v>
      </c>
      <c r="B9734" s="2" t="str">
        <f>HYPERLINK("http://www.12365auto.com/zlts/20200211/446835.shtml","跑高速满载，整车共振抖动")</f>
        <v>跑高速满载，整车共振抖动</v>
      </c>
      <c r="C9734" s="2" t="s">
        <v>13</v>
      </c>
      <c r="D9734" s="2" t="s">
        <v>12</v>
      </c>
      <c r="E9734" s="2"/>
      <c r="F9734" s="2" t="str">
        <f>HYPERLINK("http://www.12365auto.com/zlts/20200211/446835.shtml","http://www.12365auto.com/zlts/20200211/446835.shtml")</f>
        <v>http://www.12365auto.com/zlts/20200211/446835.shtml</v>
      </c>
      <c r="G9734" s="2"/>
      <c r="H9734" s="2" t="s">
        <v>13072</v>
      </c>
      <c r="I9734" s="2" t="s">
        <v>15</v>
      </c>
      <c r="J9734" s="2" t="s">
        <v>12</v>
      </c>
      <c r="K9734" s="2" t="s">
        <v>13071</v>
      </c>
      <c r="L9734" s="2">
        <f t="shared" si="152"/>
        <v>86</v>
      </c>
    </row>
    <row r="9735" spans="1:12" ht="25" customHeight="1">
      <c r="A9735" s="2" t="s">
        <v>12</v>
      </c>
      <c r="B9735" s="2" t="str">
        <f>HYPERLINK("http://m.12365auto.com/zjdy/20200210/121150.shtml","1.6L大众速腾手动变速箱油需要多少升？")</f>
        <v>1.6L大众速腾手动变速箱油需要多少升？</v>
      </c>
      <c r="C9735" s="2" t="s">
        <v>13</v>
      </c>
      <c r="D9735" s="2" t="s">
        <v>12</v>
      </c>
      <c r="E9735" s="2"/>
      <c r="F9735" s="2" t="str">
        <f>HYPERLINK("http://m.12365auto.com/zjdy/20200210/121150.shtml","http://m.12365auto.com/zjdy/20200210/121150.shtml")</f>
        <v>http://m.12365auto.com/zjdy/20200210/121150.shtml</v>
      </c>
      <c r="G9735" s="2"/>
      <c r="H9735" s="2" t="s">
        <v>13073</v>
      </c>
      <c r="I9735" s="2" t="s">
        <v>19</v>
      </c>
      <c r="J9735" s="2" t="s">
        <v>12</v>
      </c>
      <c r="K9735" s="2" t="s">
        <v>13074</v>
      </c>
      <c r="L9735" s="2">
        <f t="shared" si="152"/>
        <v>29</v>
      </c>
    </row>
    <row r="9736" spans="1:12" ht="25" customHeight="1">
      <c r="A9736" s="2" t="s">
        <v>12</v>
      </c>
      <c r="B9736" s="2" t="str">
        <f>HYPERLINK("http://m.12365auto.com/zjdy/20200210/121146.shtml","上汽名爵6手动运动版整体质量怎么样？")</f>
        <v>上汽名爵6手动运动版整体质量怎么样？</v>
      </c>
      <c r="C9736" s="2" t="s">
        <v>13</v>
      </c>
      <c r="D9736" s="2" t="s">
        <v>12</v>
      </c>
      <c r="E9736" s="2"/>
      <c r="F9736" s="2" t="str">
        <f>HYPERLINK("http://m.12365auto.com/zjdy/20200210/121146.shtml","http://m.12365auto.com/zjdy/20200210/121146.shtml")</f>
        <v>http://m.12365auto.com/zjdy/20200210/121146.shtml</v>
      </c>
      <c r="G9736" s="2"/>
      <c r="H9736" s="2" t="s">
        <v>13075</v>
      </c>
      <c r="I9736" s="2" t="s">
        <v>19</v>
      </c>
      <c r="J9736" s="2" t="s">
        <v>12</v>
      </c>
      <c r="K9736" s="2" t="s">
        <v>13074</v>
      </c>
      <c r="L9736" s="2">
        <f t="shared" si="152"/>
        <v>46</v>
      </c>
    </row>
    <row r="9737" spans="1:12" ht="25" customHeight="1">
      <c r="A9737" s="2" t="s">
        <v>12</v>
      </c>
      <c r="B9737" s="2" t="str">
        <f>HYPERLINK("http://m.12365auto.com/zjdy/20200210/121151.shtml","吉利远景变速箱故障为何不召回？")</f>
        <v>吉利远景变速箱故障为何不召回？</v>
      </c>
      <c r="C9737" s="2" t="s">
        <v>13</v>
      </c>
      <c r="D9737" s="2" t="s">
        <v>12</v>
      </c>
      <c r="E9737" s="2"/>
      <c r="F9737" s="2" t="str">
        <f>HYPERLINK("http://m.12365auto.com/zjdy/20200210/121151.shtml","http://m.12365auto.com/zjdy/20200210/121151.shtml")</f>
        <v>http://m.12365auto.com/zjdy/20200210/121151.shtml</v>
      </c>
      <c r="G9737" s="2"/>
      <c r="H9737" s="2" t="s">
        <v>13076</v>
      </c>
      <c r="I9737" s="2" t="s">
        <v>19</v>
      </c>
      <c r="J9737" s="2" t="s">
        <v>12</v>
      </c>
      <c r="K9737" s="2" t="s">
        <v>13077</v>
      </c>
      <c r="L9737" s="2">
        <f t="shared" si="152"/>
        <v>54</v>
      </c>
    </row>
    <row r="9738" spans="1:12" ht="25" customHeight="1">
      <c r="A9738" s="2" t="s">
        <v>12</v>
      </c>
      <c r="B9738" s="2" t="str">
        <f>HYPERLINK("http://m.12365auto.com/zjdy/20200210/121145.shtml","本田锋范一键启动失效需要如何处理？")</f>
        <v>本田锋范一键启动失效需要如何处理？</v>
      </c>
      <c r="C9738" s="2" t="s">
        <v>13</v>
      </c>
      <c r="D9738" s="2" t="s">
        <v>12</v>
      </c>
      <c r="E9738" s="2"/>
      <c r="F9738" s="2" t="str">
        <f>HYPERLINK("http://m.12365auto.com/zjdy/20200210/121145.shtml","http://m.12365auto.com/zjdy/20200210/121145.shtml")</f>
        <v>http://m.12365auto.com/zjdy/20200210/121145.shtml</v>
      </c>
      <c r="G9738" s="2"/>
      <c r="H9738" s="2" t="s">
        <v>13078</v>
      </c>
      <c r="I9738" s="2" t="s">
        <v>19</v>
      </c>
      <c r="J9738" s="2" t="s">
        <v>12</v>
      </c>
      <c r="K9738" s="2" t="s">
        <v>13077</v>
      </c>
      <c r="L9738" s="2">
        <f t="shared" si="152"/>
        <v>12</v>
      </c>
    </row>
    <row r="9739" spans="1:12" ht="25" customHeight="1">
      <c r="A9739" s="2" t="s">
        <v>12</v>
      </c>
      <c r="B9739" s="2" t="str">
        <f>HYPERLINK("http://m.12365auto.com/zjdy/20200210/121144.shtml","冷启动时发动机会有异响是为什么？")</f>
        <v>冷启动时发动机会有异响是为什么？</v>
      </c>
      <c r="C9739" s="2" t="s">
        <v>13</v>
      </c>
      <c r="D9739" s="2" t="s">
        <v>12</v>
      </c>
      <c r="E9739" s="2"/>
      <c r="F9739" s="2" t="str">
        <f>HYPERLINK("http://m.12365auto.com/zjdy/20200210/121144.shtml","http://m.12365auto.com/zjdy/20200210/121144.shtml")</f>
        <v>http://m.12365auto.com/zjdy/20200210/121144.shtml</v>
      </c>
      <c r="G9739" s="2"/>
      <c r="H9739" s="2" t="s">
        <v>13079</v>
      </c>
      <c r="I9739" s="2" t="s">
        <v>19</v>
      </c>
      <c r="J9739" s="2" t="s">
        <v>12</v>
      </c>
      <c r="K9739" s="2" t="s">
        <v>13080</v>
      </c>
      <c r="L9739" s="2">
        <f t="shared" si="152"/>
        <v>11</v>
      </c>
    </row>
    <row r="9740" spans="1:12" ht="25" customHeight="1">
      <c r="A9740" s="2" t="s">
        <v>12</v>
      </c>
      <c r="B9740" s="2" t="str">
        <f>HYPERLINK("http://www.12365auto.com/xcdg/20200211/418161.shtml","贯彻运动之名 新款路虎发现神行新车图解")</f>
        <v>贯彻运动之名 新款路虎发现神行新车图解</v>
      </c>
      <c r="C9740" s="2" t="s">
        <v>13</v>
      </c>
      <c r="D9740" s="2" t="s">
        <v>12</v>
      </c>
      <c r="E9740" s="2" t="s">
        <v>216</v>
      </c>
      <c r="F9740" s="2" t="str">
        <f>HYPERLINK("http://www.12365auto.com/xcdg/20200211/418161.shtml","http://www.12365auto.com/xcdg/20200211/418161.shtml")</f>
        <v>http://www.12365auto.com/xcdg/20200211/418161.shtml</v>
      </c>
      <c r="G9740" s="2"/>
      <c r="H9740" s="2" t="s">
        <v>13081</v>
      </c>
      <c r="I9740" s="2" t="s">
        <v>15</v>
      </c>
      <c r="J9740" s="2" t="s">
        <v>12</v>
      </c>
      <c r="K9740" s="2" t="s">
        <v>13082</v>
      </c>
      <c r="L9740" s="2">
        <f t="shared" si="152"/>
        <v>150</v>
      </c>
    </row>
    <row r="9741" spans="1:12" ht="25" customHeight="1">
      <c r="A9741" s="2" t="s">
        <v>12</v>
      </c>
      <c r="B9741" s="2" t="str">
        <f>HYPERLINK("http://www.12365auto.com/xcdg/20200211/418162.shtml","2020年第4-6周上市新车汇总")</f>
        <v>2020年第4-6周上市新车汇总</v>
      </c>
      <c r="C9741" s="2" t="s">
        <v>13</v>
      </c>
      <c r="D9741" s="2" t="s">
        <v>12</v>
      </c>
      <c r="E9741" s="2" t="s">
        <v>216</v>
      </c>
      <c r="F9741" s="2" t="str">
        <f>HYPERLINK("http://www.12365auto.com/xcdg/20200211/418162.shtml","http://www.12365auto.com/xcdg/20200211/418162.shtml")</f>
        <v>http://www.12365auto.com/xcdg/20200211/418162.shtml</v>
      </c>
      <c r="G9741" s="2"/>
      <c r="H9741" s="2" t="s">
        <v>13083</v>
      </c>
      <c r="I9741" s="2" t="s">
        <v>15</v>
      </c>
      <c r="J9741" s="2" t="s">
        <v>12</v>
      </c>
      <c r="K9741" s="2" t="s">
        <v>13082</v>
      </c>
      <c r="L9741" s="2">
        <f t="shared" si="152"/>
        <v>150</v>
      </c>
    </row>
    <row r="9742" spans="1:12" ht="25" customHeight="1">
      <c r="A9742" s="2" t="s">
        <v>12</v>
      </c>
      <c r="B9742" s="2" t="str">
        <f>HYPERLINK("http://m.12365auto.com/xcdg/20200211/418163.shtml","向年轻继续进发 长安CS55新老款车型对比")</f>
        <v>向年轻继续进发 长安CS55新老款车型对比</v>
      </c>
      <c r="C9742" s="2" t="s">
        <v>13</v>
      </c>
      <c r="D9742" s="2" t="s">
        <v>12</v>
      </c>
      <c r="E9742" s="2"/>
      <c r="F9742" s="2" t="str">
        <f>HYPERLINK("http://m.12365auto.com/xcdg/20200211/418163.shtml","http://m.12365auto.com/xcdg/20200211/418163.shtml")</f>
        <v>http://m.12365auto.com/xcdg/20200211/418163.shtml</v>
      </c>
      <c r="G9742" s="2"/>
      <c r="H9742" s="2" t="s">
        <v>13084</v>
      </c>
      <c r="I9742" s="2" t="s">
        <v>19</v>
      </c>
      <c r="J9742" s="2" t="s">
        <v>1326</v>
      </c>
      <c r="K9742" s="2" t="s">
        <v>13082</v>
      </c>
      <c r="L9742" s="2">
        <f t="shared" si="152"/>
        <v>150</v>
      </c>
    </row>
    <row r="9743" spans="1:12" ht="25" customHeight="1">
      <c r="A9743" s="2" t="s">
        <v>12</v>
      </c>
      <c r="B9743" s="2" t="str">
        <f>HYPERLINK("http://m.12365auto.com/xcdg/20200211/418161.shtml","贯彻运动之名 新款路虎发现神行新车图解")</f>
        <v>贯彻运动之名 新款路虎发现神行新车图解</v>
      </c>
      <c r="C9743" s="2" t="s">
        <v>13</v>
      </c>
      <c r="D9743" s="2" t="s">
        <v>12</v>
      </c>
      <c r="E9743" s="2"/>
      <c r="F9743" s="2" t="str">
        <f>HYPERLINK("http://m.12365auto.com/xcdg/20200211/418161.shtml","http://m.12365auto.com/xcdg/20200211/418161.shtml")</f>
        <v>http://m.12365auto.com/xcdg/20200211/418161.shtml</v>
      </c>
      <c r="G9743" s="2"/>
      <c r="H9743" s="2" t="s">
        <v>13085</v>
      </c>
      <c r="I9743" s="2" t="s">
        <v>19</v>
      </c>
      <c r="J9743" s="2" t="s">
        <v>1250</v>
      </c>
      <c r="K9743" s="2" t="s">
        <v>13082</v>
      </c>
      <c r="L9743" s="2">
        <f t="shared" si="152"/>
        <v>150</v>
      </c>
    </row>
    <row r="9744" spans="1:12" ht="25" customHeight="1">
      <c r="A9744" s="2" t="s">
        <v>12</v>
      </c>
      <c r="B9744" s="2" t="str">
        <f>HYPERLINK("http://m.12365auto.com/xcdg/20200211/418162.shtml","2020年第4-6周上市新车汇总")</f>
        <v>2020年第4-6周上市新车汇总</v>
      </c>
      <c r="C9744" s="2" t="s">
        <v>13</v>
      </c>
      <c r="D9744" s="2" t="s">
        <v>12</v>
      </c>
      <c r="E9744" s="2"/>
      <c r="F9744" s="2" t="str">
        <f>HYPERLINK("http://m.12365auto.com/xcdg/20200211/418162.shtml","http://m.12365auto.com/xcdg/20200211/418162.shtml")</f>
        <v>http://m.12365auto.com/xcdg/20200211/418162.shtml</v>
      </c>
      <c r="G9744" s="2"/>
      <c r="H9744" s="2" t="s">
        <v>13086</v>
      </c>
      <c r="I9744" s="2" t="s">
        <v>19</v>
      </c>
      <c r="J9744" s="2" t="s">
        <v>1230</v>
      </c>
      <c r="K9744" s="2" t="s">
        <v>13082</v>
      </c>
      <c r="L9744" s="2">
        <f t="shared" si="152"/>
        <v>150</v>
      </c>
    </row>
    <row r="9745" spans="1:12" ht="25" customHeight="1">
      <c r="A9745" s="2" t="s">
        <v>12</v>
      </c>
      <c r="B9745" s="2" t="str">
        <f>HYPERLINK("http://www.12365auto.com/zlts/20200210/446832.shtml","车子95~108码车响严重")</f>
        <v>车子95~108码车响严重</v>
      </c>
      <c r="C9745" s="2" t="s">
        <v>13</v>
      </c>
      <c r="D9745" s="2" t="s">
        <v>12</v>
      </c>
      <c r="E9745" s="2"/>
      <c r="F9745" s="2" t="str">
        <f>HYPERLINK("http://www.12365auto.com/zlts/20200210/446832.shtml","http://www.12365auto.com/zlts/20200210/446832.shtml")</f>
        <v>http://www.12365auto.com/zlts/20200210/446832.shtml</v>
      </c>
      <c r="G9745" s="2"/>
      <c r="H9745" s="2" t="s">
        <v>13088</v>
      </c>
      <c r="I9745" s="2" t="s">
        <v>15</v>
      </c>
      <c r="J9745" s="2" t="s">
        <v>12</v>
      </c>
      <c r="K9745" s="2" t="s">
        <v>13087</v>
      </c>
      <c r="L9745" s="2">
        <f t="shared" si="152"/>
        <v>88</v>
      </c>
    </row>
    <row r="9746" spans="1:12" ht="25" customHeight="1">
      <c r="A9746" s="2" t="s">
        <v>12</v>
      </c>
      <c r="B9746" s="2" t="str">
        <f>HYPERLINK("http://www.12365auto.com/zlts/20200210/446831.shtml","存在极大安全隐患。")</f>
        <v>存在极大安全隐患。</v>
      </c>
      <c r="C9746" s="2" t="s">
        <v>13</v>
      </c>
      <c r="D9746" s="2" t="s">
        <v>12</v>
      </c>
      <c r="E9746" s="2"/>
      <c r="F9746" s="2" t="str">
        <f>HYPERLINK("http://www.12365auto.com/zlts/20200210/446831.shtml","http://www.12365auto.com/zlts/20200210/446831.shtml")</f>
        <v>http://www.12365auto.com/zlts/20200210/446831.shtml</v>
      </c>
      <c r="G9746" s="2"/>
      <c r="H9746" s="2" t="s">
        <v>13090</v>
      </c>
      <c r="I9746" s="2" t="s">
        <v>15</v>
      </c>
      <c r="J9746" s="2" t="s">
        <v>12</v>
      </c>
      <c r="K9746" s="2" t="s">
        <v>13089</v>
      </c>
      <c r="L9746" s="2">
        <f t="shared" si="152"/>
        <v>84</v>
      </c>
    </row>
    <row r="9747" spans="1:12" ht="25" customHeight="1">
      <c r="A9747" s="2" t="s">
        <v>12</v>
      </c>
      <c r="B9747" s="2" t="str">
        <f>HYPERLINK("http://www.12365auto.com/zlts/20200210/446829.shtml","该车频道出现故障，黑屏，异响，中控键不管用")</f>
        <v>该车频道出现故障，黑屏，异响，中控键不管用</v>
      </c>
      <c r="C9747" s="2" t="s">
        <v>13</v>
      </c>
      <c r="D9747" s="2" t="s">
        <v>12</v>
      </c>
      <c r="E9747" s="2"/>
      <c r="F9747" s="2" t="str">
        <f>HYPERLINK("http://www.12365auto.com/zlts/20200210/446829.shtml","http://www.12365auto.com/zlts/20200210/446829.shtml")</f>
        <v>http://www.12365auto.com/zlts/20200210/446829.shtml</v>
      </c>
      <c r="G9747" s="2"/>
      <c r="H9747" s="2" t="s">
        <v>13092</v>
      </c>
      <c r="I9747" s="2" t="s">
        <v>15</v>
      </c>
      <c r="J9747" s="2" t="s">
        <v>12</v>
      </c>
      <c r="K9747" s="2" t="s">
        <v>13091</v>
      </c>
      <c r="L9747" s="2">
        <f t="shared" si="152"/>
        <v>82</v>
      </c>
    </row>
    <row r="9748" spans="1:12" ht="25" customHeight="1">
      <c r="A9748" s="2" t="s">
        <v>12</v>
      </c>
      <c r="B9748" s="2" t="str">
        <f>HYPERLINK("http://www.12365auto.com/zlts/20200210/446828.shtml","上汽大众帕萨特新车烧机油电瓶电量不足")</f>
        <v>上汽大众帕萨特新车烧机油电瓶电量不足</v>
      </c>
      <c r="C9748" s="2" t="s">
        <v>13</v>
      </c>
      <c r="D9748" s="2" t="s">
        <v>12</v>
      </c>
      <c r="E9748" s="2"/>
      <c r="F9748" s="2" t="str">
        <f>HYPERLINK("http://www.12365auto.com/zlts/20200210/446828.shtml","http://www.12365auto.com/zlts/20200210/446828.shtml")</f>
        <v>http://www.12365auto.com/zlts/20200210/446828.shtml</v>
      </c>
      <c r="G9748" s="2"/>
      <c r="H9748" s="2" t="s">
        <v>13094</v>
      </c>
      <c r="I9748" s="2" t="s">
        <v>15</v>
      </c>
      <c r="J9748" s="2" t="s">
        <v>12</v>
      </c>
      <c r="K9748" s="2" t="s">
        <v>13093</v>
      </c>
      <c r="L9748" s="2">
        <f t="shared" si="152"/>
        <v>84</v>
      </c>
    </row>
    <row r="9749" spans="1:12" ht="25" customHeight="1">
      <c r="A9749" s="2" t="s">
        <v>12</v>
      </c>
      <c r="B9749" s="2" t="str">
        <f>HYPERLINK("http://www.12365auto.com/zlts/20200210/446827.shtml","汽车停放8天左右电瓶亏点无法启动")</f>
        <v>汽车停放8天左右电瓶亏点无法启动</v>
      </c>
      <c r="C9749" s="2" t="s">
        <v>13</v>
      </c>
      <c r="D9749" s="2" t="s">
        <v>12</v>
      </c>
      <c r="E9749" s="2"/>
      <c r="F9749" s="2" t="str">
        <f>HYPERLINK("http://www.12365auto.com/zlts/20200210/446827.shtml","http://www.12365auto.com/zlts/20200210/446827.shtml")</f>
        <v>http://www.12365auto.com/zlts/20200210/446827.shtml</v>
      </c>
      <c r="G9749" s="2"/>
      <c r="H9749" s="2" t="s">
        <v>13096</v>
      </c>
      <c r="I9749" s="2" t="s">
        <v>15</v>
      </c>
      <c r="J9749" s="2" t="s">
        <v>12</v>
      </c>
      <c r="K9749" s="2" t="s">
        <v>13095</v>
      </c>
      <c r="L9749" s="2">
        <f t="shared" si="152"/>
        <v>85</v>
      </c>
    </row>
    <row r="9750" spans="1:12" ht="25" customHeight="1">
      <c r="A9750" s="2" t="s">
        <v>12</v>
      </c>
      <c r="B9750" s="2" t="str">
        <f>HYPERLINK("http://www.12365auto.com/zlts/20200210/446822.shtml","车子变速箱执行总成漏液压油，")</f>
        <v>车子变速箱执行总成漏液压油，</v>
      </c>
      <c r="C9750" s="2" t="s">
        <v>13</v>
      </c>
      <c r="D9750" s="2" t="s">
        <v>12</v>
      </c>
      <c r="E9750" s="2"/>
      <c r="F9750" s="2" t="str">
        <f>HYPERLINK("http://www.12365auto.com/zlts/20200210/446822.shtml","http://www.12365auto.com/zlts/20200210/446822.shtml")</f>
        <v>http://www.12365auto.com/zlts/20200210/446822.shtml</v>
      </c>
      <c r="G9750" s="2"/>
      <c r="H9750" s="2" t="s">
        <v>13098</v>
      </c>
      <c r="I9750" s="2" t="s">
        <v>15</v>
      </c>
      <c r="J9750" s="2" t="s">
        <v>12</v>
      </c>
      <c r="K9750" s="2" t="s">
        <v>13097</v>
      </c>
      <c r="L9750" s="2">
        <f t="shared" si="152"/>
        <v>83</v>
      </c>
    </row>
    <row r="9751" spans="1:12" ht="25" customHeight="1">
      <c r="A9751" s="2" t="s">
        <v>12</v>
      </c>
      <c r="B9751" s="2" t="str">
        <f>HYPERLINK("http://www.12365auto.com/zlts/20200210/446824.shtml","郑州日产途达电池亏电问题无法解决")</f>
        <v>郑州日产途达电池亏电问题无法解决</v>
      </c>
      <c r="C9751" s="2" t="s">
        <v>13</v>
      </c>
      <c r="D9751" s="2" t="s">
        <v>12</v>
      </c>
      <c r="E9751" s="2" t="s">
        <v>17</v>
      </c>
      <c r="F9751" s="2" t="str">
        <f>HYPERLINK("http://www.12365auto.com/zlts/20200210/446824.shtml","http://www.12365auto.com/zlts/20200210/446824.shtml")</f>
        <v>http://www.12365auto.com/zlts/20200210/446824.shtml</v>
      </c>
      <c r="G9751" s="2"/>
      <c r="H9751" s="2" t="s">
        <v>13099</v>
      </c>
      <c r="I9751" s="2" t="s">
        <v>19</v>
      </c>
      <c r="J9751" s="2" t="s">
        <v>12</v>
      </c>
      <c r="K9751" s="2" t="s">
        <v>13100</v>
      </c>
      <c r="L9751" s="2">
        <f t="shared" si="152"/>
        <v>150</v>
      </c>
    </row>
    <row r="9752" spans="1:12" ht="25" customHeight="1">
      <c r="A9752" s="2" t="s">
        <v>12</v>
      </c>
      <c r="B9752" s="2" t="str">
        <f>HYPERLINK("http://www.12365auto.com/zlts/20200210/446823.shtml","东风悦达起亚奕跑行驶中熄火发动机报警")</f>
        <v>东风悦达起亚奕跑行驶中熄火发动机报警</v>
      </c>
      <c r="C9752" s="2" t="s">
        <v>13</v>
      </c>
      <c r="D9752" s="2" t="s">
        <v>12</v>
      </c>
      <c r="E9752" s="2" t="s">
        <v>17</v>
      </c>
      <c r="F9752" s="2" t="str">
        <f>HYPERLINK("http://www.12365auto.com/zlts/20200210/446823.shtml","http://www.12365auto.com/zlts/20200210/446823.shtml")</f>
        <v>http://www.12365auto.com/zlts/20200210/446823.shtml</v>
      </c>
      <c r="G9752" s="2"/>
      <c r="H9752" s="2" t="s">
        <v>13101</v>
      </c>
      <c r="I9752" s="2" t="s">
        <v>19</v>
      </c>
      <c r="J9752" s="2" t="s">
        <v>12</v>
      </c>
      <c r="K9752" s="2" t="s">
        <v>13102</v>
      </c>
      <c r="L9752" s="2">
        <f t="shared" si="152"/>
        <v>150</v>
      </c>
    </row>
    <row r="9753" spans="1:12" ht="25" customHeight="1">
      <c r="A9753" s="2" t="s">
        <v>12</v>
      </c>
      <c r="B9753" s="2" t="str">
        <f>HYPERLINK("http://www.12365auto.com/zlts/20200210/446819.shtml","变速箱故障，加油门不走，不提速")</f>
        <v>变速箱故障，加油门不走，不提速</v>
      </c>
      <c r="C9753" s="2" t="s">
        <v>13</v>
      </c>
      <c r="D9753" s="2" t="s">
        <v>12</v>
      </c>
      <c r="E9753" s="2"/>
      <c r="F9753" s="2" t="str">
        <f>HYPERLINK("http://www.12365auto.com/zlts/20200210/446819.shtml","http://www.12365auto.com/zlts/20200210/446819.shtml")</f>
        <v>http://www.12365auto.com/zlts/20200210/446819.shtml</v>
      </c>
      <c r="G9753" s="2"/>
      <c r="H9753" s="2" t="s">
        <v>13104</v>
      </c>
      <c r="I9753" s="2" t="s">
        <v>15</v>
      </c>
      <c r="J9753" s="2" t="s">
        <v>12</v>
      </c>
      <c r="K9753" s="2" t="s">
        <v>13103</v>
      </c>
      <c r="L9753" s="2">
        <f t="shared" si="152"/>
        <v>84</v>
      </c>
    </row>
    <row r="9754" spans="1:12" ht="25" customHeight="1">
      <c r="A9754" s="2" t="s">
        <v>12</v>
      </c>
      <c r="B9754" s="2" t="str">
        <f>HYPERLINK("http://www.12365auto.com/zlts/20200210/446820.shtml","长安锐程CC新车发动机故障灯亮 抖动")</f>
        <v>长安锐程CC新车发动机故障灯亮 抖动</v>
      </c>
      <c r="C9754" s="2" t="s">
        <v>13</v>
      </c>
      <c r="D9754" s="2" t="s">
        <v>12</v>
      </c>
      <c r="E9754" s="2" t="s">
        <v>17</v>
      </c>
      <c r="F9754" s="2" t="str">
        <f>HYPERLINK("http://www.12365auto.com/zlts/20200210/446820.shtml","http://www.12365auto.com/zlts/20200210/446820.shtml")</f>
        <v>http://www.12365auto.com/zlts/20200210/446820.shtml</v>
      </c>
      <c r="G9754" s="2"/>
      <c r="H9754" s="2" t="s">
        <v>13105</v>
      </c>
      <c r="I9754" s="2" t="s">
        <v>19</v>
      </c>
      <c r="J9754" s="2" t="s">
        <v>12</v>
      </c>
      <c r="K9754" s="2" t="s">
        <v>13106</v>
      </c>
      <c r="L9754" s="2">
        <f t="shared" si="152"/>
        <v>150</v>
      </c>
    </row>
    <row r="9755" spans="1:12" ht="25" customHeight="1">
      <c r="A9755" s="2" t="s">
        <v>12</v>
      </c>
      <c r="B9755" s="2" t="str">
        <f>HYPERLINK("http://www.12365auto.com/zlts/20200210/446817.shtml","东风本田思域优科豪马轮胎起皮影响安全")</f>
        <v>东风本田思域优科豪马轮胎起皮影响安全</v>
      </c>
      <c r="C9755" s="2" t="s">
        <v>13</v>
      </c>
      <c r="D9755" s="2" t="s">
        <v>12</v>
      </c>
      <c r="E9755" s="2" t="s">
        <v>17</v>
      </c>
      <c r="F9755" s="2" t="str">
        <f>HYPERLINK("http://www.12365auto.com/zlts/20200210/446817.shtml","http://www.12365auto.com/zlts/20200210/446817.shtml")</f>
        <v>http://www.12365auto.com/zlts/20200210/446817.shtml</v>
      </c>
      <c r="G9755" s="2"/>
      <c r="H9755" s="2" t="s">
        <v>13107</v>
      </c>
      <c r="I9755" s="2" t="s">
        <v>19</v>
      </c>
      <c r="J9755" s="2" t="s">
        <v>12</v>
      </c>
      <c r="K9755" s="2" t="s">
        <v>13108</v>
      </c>
      <c r="L9755" s="2">
        <f t="shared" si="152"/>
        <v>150</v>
      </c>
    </row>
    <row r="9756" spans="1:12" ht="25" customHeight="1">
      <c r="A9756" s="2" t="s">
        <v>12</v>
      </c>
      <c r="B9756" s="2" t="str">
        <f>HYPERLINK("http://www.12365auto.com/zlts/20200210/446816.shtml","华晨宝马1系韩泰轮胎出现裂纹要求索赔")</f>
        <v>华晨宝马1系韩泰轮胎出现裂纹要求索赔</v>
      </c>
      <c r="C9756" s="2" t="s">
        <v>13</v>
      </c>
      <c r="D9756" s="2" t="s">
        <v>12</v>
      </c>
      <c r="E9756" s="2" t="s">
        <v>17</v>
      </c>
      <c r="F9756" s="2" t="str">
        <f>HYPERLINK("http://www.12365auto.com/zlts/20200210/446816.shtml","http://www.12365auto.com/zlts/20200210/446816.shtml")</f>
        <v>http://www.12365auto.com/zlts/20200210/446816.shtml</v>
      </c>
      <c r="G9756" s="2"/>
      <c r="H9756" s="2" t="s">
        <v>13109</v>
      </c>
      <c r="I9756" s="2" t="s">
        <v>19</v>
      </c>
      <c r="J9756" s="2" t="s">
        <v>12</v>
      </c>
      <c r="K9756" s="2" t="s">
        <v>13110</v>
      </c>
      <c r="L9756" s="2">
        <f t="shared" si="152"/>
        <v>150</v>
      </c>
    </row>
    <row r="9757" spans="1:12" ht="25" customHeight="1">
      <c r="A9757" s="2" t="s">
        <v>12</v>
      </c>
      <c r="B9757" s="2" t="str">
        <f>HYPERLINK("http://www.12365auto.com/zlts/20200210/446814.shtml","跑了4万多后轮就磨平了，吃胎严重，后悬挂设计缺陷")</f>
        <v>跑了4万多后轮就磨平了，吃胎严重，后悬挂设计缺陷</v>
      </c>
      <c r="C9757" s="2" t="s">
        <v>13</v>
      </c>
      <c r="D9757" s="2" t="s">
        <v>12</v>
      </c>
      <c r="E9757" s="2"/>
      <c r="F9757" s="2" t="str">
        <f>HYPERLINK("http://www.12365auto.com/zlts/20200210/446814.shtml","http://www.12365auto.com/zlts/20200210/446814.shtml")</f>
        <v>http://www.12365auto.com/zlts/20200210/446814.shtml</v>
      </c>
      <c r="G9757" s="2"/>
      <c r="H9757" s="2" t="s">
        <v>13112</v>
      </c>
      <c r="I9757" s="2" t="s">
        <v>15</v>
      </c>
      <c r="J9757" s="2" t="s">
        <v>12</v>
      </c>
      <c r="K9757" s="2" t="s">
        <v>13111</v>
      </c>
      <c r="L9757" s="2">
        <f t="shared" si="152"/>
        <v>88</v>
      </c>
    </row>
    <row r="9758" spans="1:12" ht="25" customHeight="1">
      <c r="A9758" s="2" t="s">
        <v>12</v>
      </c>
      <c r="B9758" s="2" t="str">
        <f>HYPERLINK("http://www.12365auto.com/zlts/20200210/446815.shtml","中控台下面暖水箱漏水")</f>
        <v>中控台下面暖水箱漏水</v>
      </c>
      <c r="C9758" s="2" t="s">
        <v>13</v>
      </c>
      <c r="D9758" s="2" t="s">
        <v>12</v>
      </c>
      <c r="E9758" s="2"/>
      <c r="F9758" s="2" t="str">
        <f>HYPERLINK("http://www.12365auto.com/zlts/20200210/446815.shtml","http://www.12365auto.com/zlts/20200210/446815.shtml")</f>
        <v>http://www.12365auto.com/zlts/20200210/446815.shtml</v>
      </c>
      <c r="G9758" s="2"/>
      <c r="H9758" s="2" t="s">
        <v>13114</v>
      </c>
      <c r="I9758" s="2" t="s">
        <v>15</v>
      </c>
      <c r="J9758" s="2" t="s">
        <v>12</v>
      </c>
      <c r="K9758" s="2" t="s">
        <v>13113</v>
      </c>
      <c r="L9758" s="2">
        <f t="shared" si="152"/>
        <v>82</v>
      </c>
    </row>
    <row r="9759" spans="1:12" ht="25" customHeight="1">
      <c r="A9759" s="2" t="s">
        <v>12</v>
      </c>
      <c r="B9759" s="2" t="str">
        <f>HYPERLINK("http://www.12365auto.com/zlts/20200210/446807.shtml","请将挡位置于P挡后再离开车辆")</f>
        <v>请将挡位置于P挡后再离开车辆</v>
      </c>
      <c r="C9759" s="2" t="s">
        <v>13</v>
      </c>
      <c r="D9759" s="2" t="s">
        <v>12</v>
      </c>
      <c r="E9759" s="2"/>
      <c r="F9759" s="2" t="str">
        <f>HYPERLINK("http://www.12365auto.com/zlts/20200210/446807.shtml","http://www.12365auto.com/zlts/20200210/446807.shtml")</f>
        <v>http://www.12365auto.com/zlts/20200210/446807.shtml</v>
      </c>
      <c r="G9759" s="2"/>
      <c r="H9759" s="2" t="s">
        <v>13116</v>
      </c>
      <c r="I9759" s="2" t="s">
        <v>15</v>
      </c>
      <c r="J9759" s="2" t="s">
        <v>12</v>
      </c>
      <c r="K9759" s="2" t="s">
        <v>13115</v>
      </c>
      <c r="L9759" s="2">
        <f t="shared" si="152"/>
        <v>83</v>
      </c>
    </row>
    <row r="9760" spans="1:12" ht="25" customHeight="1">
      <c r="A9760" s="2" t="s">
        <v>12</v>
      </c>
      <c r="B9760" s="2" t="str">
        <f>HYPERLINK("http://www.12365auto.com/zlts/20200210/446811.shtml","车身抖动，前桥梁异响严重")</f>
        <v>车身抖动，前桥梁异响严重</v>
      </c>
      <c r="C9760" s="2" t="s">
        <v>13</v>
      </c>
      <c r="D9760" s="2" t="s">
        <v>12</v>
      </c>
      <c r="E9760" s="2"/>
      <c r="F9760" s="2" t="str">
        <f>HYPERLINK("http://www.12365auto.com/zlts/20200210/446811.shtml","http://www.12365auto.com/zlts/20200210/446811.shtml")</f>
        <v>http://www.12365auto.com/zlts/20200210/446811.shtml</v>
      </c>
      <c r="G9760" s="2"/>
      <c r="H9760" s="2" t="s">
        <v>13118</v>
      </c>
      <c r="I9760" s="2" t="s">
        <v>15</v>
      </c>
      <c r="J9760" s="2" t="s">
        <v>12</v>
      </c>
      <c r="K9760" s="2" t="s">
        <v>13117</v>
      </c>
      <c r="L9760" s="2">
        <f t="shared" si="152"/>
        <v>85</v>
      </c>
    </row>
    <row r="9761" spans="1:12" ht="25" customHeight="1">
      <c r="A9761" s="2" t="s">
        <v>12</v>
      </c>
      <c r="B9761" s="2" t="str">
        <f>HYPERLINK("http://bbs.12365auto.com/postcontent.aspx?tID=193723","奔驰C级旅行自动启停时好时坏 多次维修无果")</f>
        <v>奔驰C级旅行自动启停时好时坏 多次维修无果</v>
      </c>
      <c r="C9761" s="2" t="s">
        <v>13</v>
      </c>
      <c r="D9761" s="2" t="s">
        <v>12</v>
      </c>
      <c r="E9761" s="2" t="s">
        <v>67</v>
      </c>
      <c r="F9761" s="2" t="str">
        <f>HYPERLINK("http://bbs.12365auto.com/postcontent.aspx?tID=193723","http://bbs.12365auto.com/postcontent.aspx?tID=193723")</f>
        <v>http://bbs.12365auto.com/postcontent.aspx?tID=193723</v>
      </c>
      <c r="G9761" s="2"/>
      <c r="H9761" s="2" t="s">
        <v>13119</v>
      </c>
      <c r="I9761" s="2" t="s">
        <v>15</v>
      </c>
      <c r="J9761" s="2" t="s">
        <v>13120</v>
      </c>
      <c r="K9761" s="2" t="s">
        <v>13121</v>
      </c>
      <c r="L9761" s="2">
        <f t="shared" si="152"/>
        <v>119</v>
      </c>
    </row>
    <row r="9762" spans="1:12" ht="25" customHeight="1">
      <c r="A9762" s="2" t="s">
        <v>12</v>
      </c>
      <c r="B9762" s="2" t="str">
        <f>HYPERLINK("http://bbs.12365auto.com/postcontent.aspx?tId=193723","C旅自动启停图标消失")</f>
        <v>C旅自动启停图标消失</v>
      </c>
      <c r="C9762" s="2" t="s">
        <v>13</v>
      </c>
      <c r="D9762" s="2" t="s">
        <v>12</v>
      </c>
      <c r="E9762" s="2" t="s">
        <v>13122</v>
      </c>
      <c r="F9762" s="2" t="str">
        <f>HYPERLINK("http://bbs.12365auto.com/postcontent.aspx?tId=193723","http://bbs.12365auto.com/postcontent.aspx?tId=193723")</f>
        <v>http://bbs.12365auto.com/postcontent.aspx?tId=193723</v>
      </c>
      <c r="G9762" s="2"/>
      <c r="H9762" s="2" t="s">
        <v>13123</v>
      </c>
      <c r="I9762" s="2" t="s">
        <v>15</v>
      </c>
      <c r="J9762" s="2" t="s">
        <v>13120</v>
      </c>
      <c r="K9762" s="2" t="s">
        <v>13121</v>
      </c>
      <c r="L9762" s="2">
        <f t="shared" si="152"/>
        <v>98</v>
      </c>
    </row>
    <row r="9763" spans="1:12" ht="25" customHeight="1">
      <c r="A9763" s="2" t="s">
        <v>12</v>
      </c>
      <c r="B9763" s="2" t="str">
        <f>HYPERLINK("http://m.12365auto.com/bbs/postcontent.aspx?tID=193723","C旅自动启停图标消失")</f>
        <v>C旅自动启停图标消失</v>
      </c>
      <c r="C9763" s="2" t="s">
        <v>13</v>
      </c>
      <c r="D9763" s="2" t="s">
        <v>23</v>
      </c>
      <c r="E9763" s="2"/>
      <c r="F9763" s="2" t="str">
        <f>HYPERLINK("http://m.12365auto.com/bbs/postcontent.aspx?tID=193723","http://m.12365auto.com/bbs/postcontent.aspx?tID=193723")</f>
        <v>http://m.12365auto.com/bbs/postcontent.aspx?tID=193723</v>
      </c>
      <c r="G9763" s="2"/>
      <c r="H9763" s="2" t="s">
        <v>13123</v>
      </c>
      <c r="I9763" s="2" t="s">
        <v>15</v>
      </c>
      <c r="J9763" s="2" t="s">
        <v>13120</v>
      </c>
      <c r="K9763" s="2" t="s">
        <v>13121</v>
      </c>
      <c r="L9763" s="2">
        <f t="shared" si="152"/>
        <v>98</v>
      </c>
    </row>
    <row r="9764" spans="1:12" ht="25" customHeight="1">
      <c r="A9764" s="2" t="s">
        <v>12</v>
      </c>
      <c r="B9764" s="2" t="str">
        <f>HYPERLINK("http://bbs.12365auto.com/postcontent.aspx?tId=193722","18款凯美瑞混动机油增多。")</f>
        <v>18款凯美瑞混动机油增多。</v>
      </c>
      <c r="C9764" s="2" t="s">
        <v>13</v>
      </c>
      <c r="D9764" s="2" t="s">
        <v>12</v>
      </c>
      <c r="E9764" s="2" t="s">
        <v>13124</v>
      </c>
      <c r="F9764" s="2" t="str">
        <f>HYPERLINK("http://bbs.12365auto.com/postcontent.aspx?tId=193722","http://bbs.12365auto.com/postcontent.aspx?tId=193722")</f>
        <v>http://bbs.12365auto.com/postcontent.aspx?tId=193722</v>
      </c>
      <c r="G9764" s="2"/>
      <c r="H9764" s="2" t="s">
        <v>13125</v>
      </c>
      <c r="I9764" s="2" t="s">
        <v>15</v>
      </c>
      <c r="J9764" s="2" t="s">
        <v>13126</v>
      </c>
      <c r="K9764" s="2" t="s">
        <v>13127</v>
      </c>
      <c r="L9764" s="2">
        <f t="shared" si="152"/>
        <v>150</v>
      </c>
    </row>
    <row r="9765" spans="1:12" ht="25" customHeight="1">
      <c r="A9765" s="2" t="s">
        <v>12</v>
      </c>
      <c r="B9765" s="2" t="str">
        <f>HYPERLINK("http://m.12365auto.com/bbs/postcontent.aspx?tID=193722","18款凯美瑞混动机油增多。")</f>
        <v>18款凯美瑞混动机油增多。</v>
      </c>
      <c r="C9765" s="2" t="s">
        <v>13</v>
      </c>
      <c r="D9765" s="2" t="s">
        <v>23</v>
      </c>
      <c r="E9765" s="2"/>
      <c r="F9765" s="2" t="str">
        <f>HYPERLINK("http://m.12365auto.com/bbs/postcontent.aspx?tID=193722","http://m.12365auto.com/bbs/postcontent.aspx?tID=193722")</f>
        <v>http://m.12365auto.com/bbs/postcontent.aspx?tID=193722</v>
      </c>
      <c r="G9765" s="2"/>
      <c r="H9765" s="2" t="s">
        <v>13125</v>
      </c>
      <c r="I9765" s="2" t="s">
        <v>15</v>
      </c>
      <c r="J9765" s="2" t="s">
        <v>13126</v>
      </c>
      <c r="K9765" s="2" t="s">
        <v>13127</v>
      </c>
      <c r="L9765" s="2">
        <f t="shared" si="152"/>
        <v>150</v>
      </c>
    </row>
    <row r="9766" spans="1:12" ht="25" customHeight="1">
      <c r="A9766" s="2" t="s">
        <v>12</v>
      </c>
      <c r="B9766" s="2" t="str">
        <f>HYPERLINK("http://bbs.12365auto.com/postcontent.aspx?tID=193722","2018款凯美瑞混动机油增多没办法解决")</f>
        <v>2018款凯美瑞混动机油增多没办法解决</v>
      </c>
      <c r="C9766" s="2" t="s">
        <v>13</v>
      </c>
      <c r="D9766" s="2" t="s">
        <v>12</v>
      </c>
      <c r="E9766" s="2" t="s">
        <v>67</v>
      </c>
      <c r="F9766" s="2" t="str">
        <f>HYPERLINK("http://bbs.12365auto.com/postcontent.aspx?tID=193722","http://bbs.12365auto.com/postcontent.aspx?tID=193722")</f>
        <v>http://bbs.12365auto.com/postcontent.aspx?tID=193722</v>
      </c>
      <c r="G9766" s="2"/>
      <c r="H9766" s="2" t="s">
        <v>13128</v>
      </c>
      <c r="I9766" s="2" t="s">
        <v>15</v>
      </c>
      <c r="J9766" s="2" t="s">
        <v>13126</v>
      </c>
      <c r="K9766" s="2" t="s">
        <v>13127</v>
      </c>
      <c r="L9766" s="2">
        <f t="shared" si="152"/>
        <v>150</v>
      </c>
    </row>
    <row r="9767" spans="1:12" ht="25" customHeight="1">
      <c r="A9767" s="2" t="s">
        <v>12</v>
      </c>
      <c r="B9767" s="2" t="str">
        <f>HYPERLINK("http://www.12365auto.com/zlts/20200210/446806.shtml","奇瑞瑞虎8防冻液渗漏多次维修未解决")</f>
        <v>奇瑞瑞虎8防冻液渗漏多次维修未解决</v>
      </c>
      <c r="C9767" s="2" t="s">
        <v>13</v>
      </c>
      <c r="D9767" s="2" t="s">
        <v>12</v>
      </c>
      <c r="E9767" s="2" t="s">
        <v>17</v>
      </c>
      <c r="F9767" s="2" t="str">
        <f>HYPERLINK("http://www.12365auto.com/zlts/20200210/446806.shtml","http://www.12365auto.com/zlts/20200210/446806.shtml")</f>
        <v>http://www.12365auto.com/zlts/20200210/446806.shtml</v>
      </c>
      <c r="G9767" s="2"/>
      <c r="H9767" s="2" t="s">
        <v>13129</v>
      </c>
      <c r="I9767" s="2" t="s">
        <v>19</v>
      </c>
      <c r="J9767" s="2" t="s">
        <v>12</v>
      </c>
      <c r="K9767" s="2" t="s">
        <v>13130</v>
      </c>
      <c r="L9767" s="2">
        <f t="shared" si="152"/>
        <v>150</v>
      </c>
    </row>
    <row r="9768" spans="1:12" ht="25" customHeight="1">
      <c r="A9768" s="2" t="s">
        <v>12</v>
      </c>
      <c r="B9768" s="2" t="str">
        <f>HYPERLINK("http://m.12365auto.com/bbs/postcontent.aspx?tID=193720","宝马5系新能源电池续航里程减少")</f>
        <v>宝马5系新能源电池续航里程减少</v>
      </c>
      <c r="C9768" s="2" t="s">
        <v>13</v>
      </c>
      <c r="D9768" s="2" t="s">
        <v>23</v>
      </c>
      <c r="E9768" s="2"/>
      <c r="F9768" s="2" t="str">
        <f>HYPERLINK("http://m.12365auto.com/bbs/postcontent.aspx?tID=193720","http://m.12365auto.com/bbs/postcontent.aspx?tID=193720")</f>
        <v>http://m.12365auto.com/bbs/postcontent.aspx?tID=193720</v>
      </c>
      <c r="G9768" s="2"/>
      <c r="H9768" s="2" t="s">
        <v>13131</v>
      </c>
      <c r="I9768" s="2" t="s">
        <v>15</v>
      </c>
      <c r="J9768" s="2" t="s">
        <v>3885</v>
      </c>
      <c r="K9768" s="2" t="s">
        <v>13132</v>
      </c>
      <c r="L9768" s="2">
        <f t="shared" si="152"/>
        <v>150</v>
      </c>
    </row>
    <row r="9769" spans="1:12" ht="25" customHeight="1">
      <c r="A9769" s="2" t="s">
        <v>12</v>
      </c>
      <c r="B9769" s="2" t="str">
        <f>HYPERLINK("http://bbs.12365auto.com/postcontent.aspx?tId=193720","宝马5系新能源电池续航里程减少")</f>
        <v>宝马5系新能源电池续航里程减少</v>
      </c>
      <c r="C9769" s="2" t="s">
        <v>13</v>
      </c>
      <c r="D9769" s="2" t="s">
        <v>12</v>
      </c>
      <c r="E9769" s="2" t="s">
        <v>66</v>
      </c>
      <c r="F9769" s="2" t="str">
        <f>HYPERLINK("http://bbs.12365auto.com/postcontent.aspx?tId=193720","http://bbs.12365auto.com/postcontent.aspx?tId=193720")</f>
        <v>http://bbs.12365auto.com/postcontent.aspx?tId=193720</v>
      </c>
      <c r="G9769" s="2"/>
      <c r="H9769" s="2" t="s">
        <v>13131</v>
      </c>
      <c r="I9769" s="2" t="s">
        <v>15</v>
      </c>
      <c r="J9769" s="2" t="s">
        <v>3885</v>
      </c>
      <c r="K9769" s="2" t="s">
        <v>13132</v>
      </c>
      <c r="L9769" s="2">
        <f t="shared" si="152"/>
        <v>150</v>
      </c>
    </row>
    <row r="9770" spans="1:12" ht="25" customHeight="1">
      <c r="A9770" s="2" t="s">
        <v>12</v>
      </c>
      <c r="B9770" s="2" t="str">
        <f>HYPERLINK("http://bbs.12365auto.com/postcontent.aspx?tID=193720","宝马5系新能源电池续航里程减少")</f>
        <v>宝马5系新能源电池续航里程减少</v>
      </c>
      <c r="C9770" s="2" t="s">
        <v>13</v>
      </c>
      <c r="D9770" s="2" t="s">
        <v>12</v>
      </c>
      <c r="E9770" s="2" t="s">
        <v>67</v>
      </c>
      <c r="F9770" s="2" t="str">
        <f>HYPERLINK("http://bbs.12365auto.com/postcontent.aspx?tID=193720","http://bbs.12365auto.com/postcontent.aspx?tID=193720")</f>
        <v>http://bbs.12365auto.com/postcontent.aspx?tID=193720</v>
      </c>
      <c r="G9770" s="2"/>
      <c r="H9770" s="2" t="s">
        <v>13133</v>
      </c>
      <c r="I9770" s="2" t="s">
        <v>15</v>
      </c>
      <c r="J9770" s="2" t="s">
        <v>3885</v>
      </c>
      <c r="K9770" s="2" t="s">
        <v>13132</v>
      </c>
      <c r="L9770" s="2">
        <f t="shared" si="152"/>
        <v>150</v>
      </c>
    </row>
    <row r="9771" spans="1:12" ht="25" customHeight="1">
      <c r="A9771" s="2" t="s">
        <v>12</v>
      </c>
      <c r="B9771" s="2" t="str">
        <f>HYPERLINK("http://bbs.12365auto.com/postcontent.aspx?tID=193719&amp;sId=1650&amp;ppage=1&amp;from=s","宝骏560右后减震器漏油")</f>
        <v>宝骏560右后减震器漏油</v>
      </c>
      <c r="C9771" s="2" t="s">
        <v>13</v>
      </c>
      <c r="D9771" s="2" t="s">
        <v>12</v>
      </c>
      <c r="E9771" s="2" t="s">
        <v>564</v>
      </c>
      <c r="F9771" s="2" t="str">
        <f>HYPERLINK("http://bbs.12365auto.com/postcontent.aspx?tID=193719&amp;sId=1650&amp;ppage=1&amp;from=s","http://bbs.12365auto.com/postcontent.aspx?tID=193719&amp;sId=1650&amp;ppage=1&amp;from=s")</f>
        <v>http://bbs.12365auto.com/postcontent.aspx?tID=193719&amp;sId=1650&amp;ppage=1&amp;from=s</v>
      </c>
      <c r="G9771" s="2"/>
      <c r="H9771" s="2" t="s">
        <v>13134</v>
      </c>
      <c r="I9771" s="2" t="s">
        <v>15</v>
      </c>
      <c r="J9771" s="2" t="s">
        <v>13135</v>
      </c>
      <c r="K9771" s="2" t="s">
        <v>13136</v>
      </c>
      <c r="L9771" s="2">
        <f t="shared" si="152"/>
        <v>36</v>
      </c>
    </row>
    <row r="9772" spans="1:12" ht="25" customHeight="1">
      <c r="A9772" s="2" t="s">
        <v>12</v>
      </c>
      <c r="B9772" s="2" t="str">
        <f>HYPERLINK("http://m.12365auto.com/bbs/postcontent.aspx?tID=193719","宝骏560右后减震器漏油")</f>
        <v>宝骏560右后减震器漏油</v>
      </c>
      <c r="C9772" s="2" t="s">
        <v>13</v>
      </c>
      <c r="D9772" s="2" t="s">
        <v>23</v>
      </c>
      <c r="E9772" s="2"/>
      <c r="F9772" s="2" t="str">
        <f>HYPERLINK("http://m.12365auto.com/bbs/postcontent.aspx?tID=193719","http://m.12365auto.com/bbs/postcontent.aspx?tID=193719")</f>
        <v>http://m.12365auto.com/bbs/postcontent.aspx?tID=193719</v>
      </c>
      <c r="G9772" s="2"/>
      <c r="H9772" s="2" t="s">
        <v>13137</v>
      </c>
      <c r="I9772" s="2" t="s">
        <v>15</v>
      </c>
      <c r="J9772" s="2" t="s">
        <v>3888</v>
      </c>
      <c r="K9772" s="2" t="s">
        <v>13136</v>
      </c>
      <c r="L9772" s="2">
        <f t="shared" si="152"/>
        <v>24</v>
      </c>
    </row>
    <row r="9773" spans="1:12" ht="25" customHeight="1">
      <c r="A9773" s="2" t="s">
        <v>12</v>
      </c>
      <c r="B9773" s="2" t="str">
        <f>HYPERLINK("http://bbs.12365auto.com/postcontent.aspx?tId=193719","宝骏560右后减震器漏油")</f>
        <v>宝骏560右后减震器漏油</v>
      </c>
      <c r="C9773" s="2" t="s">
        <v>13</v>
      </c>
      <c r="D9773" s="2" t="s">
        <v>12</v>
      </c>
      <c r="E9773" s="2" t="s">
        <v>66</v>
      </c>
      <c r="F9773" s="2" t="str">
        <f>HYPERLINK("http://bbs.12365auto.com/postcontent.aspx?tId=193719","http://bbs.12365auto.com/postcontent.aspx?tId=193719")</f>
        <v>http://bbs.12365auto.com/postcontent.aspx?tId=193719</v>
      </c>
      <c r="G9773" s="2"/>
      <c r="H9773" s="2" t="s">
        <v>13137</v>
      </c>
      <c r="I9773" s="2" t="s">
        <v>15</v>
      </c>
      <c r="J9773" s="2" t="s">
        <v>3888</v>
      </c>
      <c r="K9773" s="2" t="s">
        <v>13136</v>
      </c>
      <c r="L9773" s="2">
        <f t="shared" si="152"/>
        <v>24</v>
      </c>
    </row>
    <row r="9774" spans="1:12" ht="25" customHeight="1">
      <c r="A9774" s="2" t="s">
        <v>12</v>
      </c>
      <c r="B9774" s="2" t="str">
        <f>HYPERLINK("http://bbs.12365auto.com/postcontent.aspx?tID=193719","宝骏560右后减震器漏油")</f>
        <v>宝骏560右后减震器漏油</v>
      </c>
      <c r="C9774" s="2" t="s">
        <v>13</v>
      </c>
      <c r="D9774" s="2" t="s">
        <v>12</v>
      </c>
      <c r="E9774" s="2" t="s">
        <v>67</v>
      </c>
      <c r="F9774" s="2" t="str">
        <f>HYPERLINK("http://bbs.12365auto.com/postcontent.aspx?tID=193719","http://bbs.12365auto.com/postcontent.aspx?tID=193719")</f>
        <v>http://bbs.12365auto.com/postcontent.aspx?tID=193719</v>
      </c>
      <c r="G9774" s="2"/>
      <c r="H9774" s="2" t="s">
        <v>13134</v>
      </c>
      <c r="I9774" s="2" t="s">
        <v>15</v>
      </c>
      <c r="J9774" s="2" t="s">
        <v>3888</v>
      </c>
      <c r="K9774" s="2" t="s">
        <v>13136</v>
      </c>
      <c r="L9774" s="2">
        <f t="shared" si="152"/>
        <v>36</v>
      </c>
    </row>
    <row r="9775" spans="1:12" ht="25" customHeight="1">
      <c r="A9775" s="2" t="s">
        <v>12</v>
      </c>
      <c r="B9775" s="2" t="str">
        <f>HYPERLINK("http://bbs.12365auto.com/postcontent.aspx?tId=193718","比速T5暖风电机不工作")</f>
        <v>比速T5暖风电机不工作</v>
      </c>
      <c r="C9775" s="2" t="s">
        <v>13</v>
      </c>
      <c r="D9775" s="2" t="s">
        <v>12</v>
      </c>
      <c r="E9775" s="2" t="s">
        <v>66</v>
      </c>
      <c r="F9775" s="2" t="str">
        <f>HYPERLINK("http://bbs.12365auto.com/postcontent.aspx?tId=193718","http://bbs.12365auto.com/postcontent.aspx?tId=193718")</f>
        <v>http://bbs.12365auto.com/postcontent.aspx?tId=193718</v>
      </c>
      <c r="G9775" s="2"/>
      <c r="H9775" s="2" t="s">
        <v>13138</v>
      </c>
      <c r="I9775" s="2" t="s">
        <v>15</v>
      </c>
      <c r="J9775" s="2" t="s">
        <v>3892</v>
      </c>
      <c r="K9775" s="2" t="s">
        <v>13139</v>
      </c>
      <c r="L9775" s="2">
        <f t="shared" si="152"/>
        <v>22</v>
      </c>
    </row>
    <row r="9776" spans="1:12" ht="25" customHeight="1">
      <c r="A9776" s="2" t="s">
        <v>12</v>
      </c>
      <c r="B9776" s="2" t="str">
        <f>HYPERLINK("http://m.12365auto.com/bbs/postcontent.aspx?tID=193718","比速T5暖风电机不工作")</f>
        <v>比速T5暖风电机不工作</v>
      </c>
      <c r="C9776" s="2" t="s">
        <v>13</v>
      </c>
      <c r="D9776" s="2" t="s">
        <v>23</v>
      </c>
      <c r="E9776" s="2"/>
      <c r="F9776" s="2" t="str">
        <f>HYPERLINK("http://m.12365auto.com/bbs/postcontent.aspx?tID=193718","http://m.12365auto.com/bbs/postcontent.aspx?tID=193718")</f>
        <v>http://m.12365auto.com/bbs/postcontent.aspx?tID=193718</v>
      </c>
      <c r="G9776" s="2"/>
      <c r="H9776" s="2" t="s">
        <v>13138</v>
      </c>
      <c r="I9776" s="2" t="s">
        <v>15</v>
      </c>
      <c r="J9776" s="2" t="s">
        <v>3892</v>
      </c>
      <c r="K9776" s="2" t="s">
        <v>13139</v>
      </c>
      <c r="L9776" s="2">
        <f t="shared" si="152"/>
        <v>22</v>
      </c>
    </row>
    <row r="9777" spans="1:12" ht="25" customHeight="1">
      <c r="A9777" s="2" t="s">
        <v>12</v>
      </c>
      <c r="B9777" s="2" t="str">
        <f>HYPERLINK("http://bbs.12365auto.com/postcontent.aspx?tID=193718","比速T5暖风电机不工作")</f>
        <v>比速T5暖风电机不工作</v>
      </c>
      <c r="C9777" s="2" t="s">
        <v>13</v>
      </c>
      <c r="D9777" s="2" t="s">
        <v>12</v>
      </c>
      <c r="E9777" s="2" t="s">
        <v>67</v>
      </c>
      <c r="F9777" s="2" t="str">
        <f>HYPERLINK("http://bbs.12365auto.com/postcontent.aspx?tID=193718","http://bbs.12365auto.com/postcontent.aspx?tID=193718")</f>
        <v>http://bbs.12365auto.com/postcontent.aspx?tID=193718</v>
      </c>
      <c r="G9777" s="2"/>
      <c r="H9777" s="2" t="s">
        <v>13140</v>
      </c>
      <c r="I9777" s="2" t="s">
        <v>15</v>
      </c>
      <c r="J9777" s="2" t="s">
        <v>3892</v>
      </c>
      <c r="K9777" s="2" t="s">
        <v>13139</v>
      </c>
      <c r="L9777" s="2">
        <f t="shared" si="152"/>
        <v>33</v>
      </c>
    </row>
    <row r="9778" spans="1:12" ht="25" customHeight="1">
      <c r="A9778" s="2" t="s">
        <v>12</v>
      </c>
      <c r="B9778" s="2" t="str">
        <f>HYPERLINK("http://bbs.12365auto.com/postcontent.aspx?tID=193716","进口宝马X3天窗排水管漏水")</f>
        <v>进口宝马X3天窗排水管漏水</v>
      </c>
      <c r="C9778" s="2" t="s">
        <v>13</v>
      </c>
      <c r="D9778" s="2" t="s">
        <v>12</v>
      </c>
      <c r="E9778" s="2" t="s">
        <v>67</v>
      </c>
      <c r="F9778" s="2" t="str">
        <f>HYPERLINK("http://bbs.12365auto.com/postcontent.aspx?tID=193716","http://bbs.12365auto.com/postcontent.aspx?tID=193716")</f>
        <v>http://bbs.12365auto.com/postcontent.aspx?tID=193716</v>
      </c>
      <c r="G9778" s="2"/>
      <c r="H9778" s="2" t="s">
        <v>13141</v>
      </c>
      <c r="I9778" s="2" t="s">
        <v>15</v>
      </c>
      <c r="J9778" s="2" t="s">
        <v>3904</v>
      </c>
      <c r="K9778" s="2" t="s">
        <v>13142</v>
      </c>
      <c r="L9778" s="2">
        <f t="shared" si="152"/>
        <v>150</v>
      </c>
    </row>
    <row r="9779" spans="1:12" ht="25" customHeight="1">
      <c r="A9779" s="2" t="s">
        <v>12</v>
      </c>
      <c r="B9779" s="2" t="str">
        <f>HYPERLINK("http://bbs.12365auto.com/postcontent.aspx?tId=193716","进口宝马X3天窗排水管漏水")</f>
        <v>进口宝马X3天窗排水管漏水</v>
      </c>
      <c r="C9779" s="2" t="s">
        <v>13</v>
      </c>
      <c r="D9779" s="2" t="s">
        <v>12</v>
      </c>
      <c r="E9779" s="2" t="s">
        <v>66</v>
      </c>
      <c r="F9779" s="2" t="str">
        <f>HYPERLINK("http://bbs.12365auto.com/postcontent.aspx?tId=193716","http://bbs.12365auto.com/postcontent.aspx?tId=193716")</f>
        <v>http://bbs.12365auto.com/postcontent.aspx?tId=193716</v>
      </c>
      <c r="G9779" s="2"/>
      <c r="H9779" s="2" t="s">
        <v>13143</v>
      </c>
      <c r="I9779" s="2" t="s">
        <v>15</v>
      </c>
      <c r="J9779" s="2" t="s">
        <v>3904</v>
      </c>
      <c r="K9779" s="2" t="s">
        <v>13142</v>
      </c>
      <c r="L9779" s="2">
        <f t="shared" si="152"/>
        <v>150</v>
      </c>
    </row>
    <row r="9780" spans="1:12" ht="25" customHeight="1">
      <c r="A9780" s="2" t="s">
        <v>12</v>
      </c>
      <c r="B9780" s="2" t="str">
        <f>HYPERLINK("http://bbs.12365auto.com/postcontent.aspx?tId=193717","大众帕萨特变速箱双离合器抖动")</f>
        <v>大众帕萨特变速箱双离合器抖动</v>
      </c>
      <c r="C9780" s="2" t="s">
        <v>13</v>
      </c>
      <c r="D9780" s="2" t="s">
        <v>12</v>
      </c>
      <c r="E9780" s="2" t="s">
        <v>66</v>
      </c>
      <c r="F9780" s="2" t="str">
        <f>HYPERLINK("http://bbs.12365auto.com/postcontent.aspx?tId=193717","http://bbs.12365auto.com/postcontent.aspx?tId=193717")</f>
        <v>http://bbs.12365auto.com/postcontent.aspx?tId=193717</v>
      </c>
      <c r="G9780" s="2"/>
      <c r="H9780" s="2" t="s">
        <v>13144</v>
      </c>
      <c r="I9780" s="2" t="s">
        <v>15</v>
      </c>
      <c r="J9780" s="2" t="s">
        <v>3899</v>
      </c>
      <c r="K9780" s="2" t="s">
        <v>13142</v>
      </c>
      <c r="L9780" s="2">
        <f t="shared" si="152"/>
        <v>150</v>
      </c>
    </row>
    <row r="9781" spans="1:12" ht="25" customHeight="1">
      <c r="A9781" s="2" t="s">
        <v>12</v>
      </c>
      <c r="B9781" s="2" t="str">
        <f>HYPERLINK("http://m.12365auto.com/bbs/postcontent.aspx?tID=193717","大众帕萨特变速箱双离合器抖动")</f>
        <v>大众帕萨特变速箱双离合器抖动</v>
      </c>
      <c r="C9781" s="2" t="s">
        <v>13</v>
      </c>
      <c r="D9781" s="2" t="s">
        <v>23</v>
      </c>
      <c r="E9781" s="2"/>
      <c r="F9781" s="2" t="str">
        <f>HYPERLINK("http://m.12365auto.com/bbs/postcontent.aspx?tID=193717","http://m.12365auto.com/bbs/postcontent.aspx?tID=193717")</f>
        <v>http://m.12365auto.com/bbs/postcontent.aspx?tID=193717</v>
      </c>
      <c r="G9781" s="2"/>
      <c r="H9781" s="2" t="s">
        <v>13144</v>
      </c>
      <c r="I9781" s="2" t="s">
        <v>15</v>
      </c>
      <c r="J9781" s="2" t="s">
        <v>3899</v>
      </c>
      <c r="K9781" s="2" t="s">
        <v>13142</v>
      </c>
      <c r="L9781" s="2">
        <f t="shared" si="152"/>
        <v>150</v>
      </c>
    </row>
    <row r="9782" spans="1:12" ht="25" customHeight="1">
      <c r="A9782" s="2" t="s">
        <v>12</v>
      </c>
      <c r="B9782" s="2" t="str">
        <f>HYPERLINK("http://m.12365auto.com/bbs/postcontent.aspx?tID=193716","进口宝马X3天窗排水管漏水")</f>
        <v>进口宝马X3天窗排水管漏水</v>
      </c>
      <c r="C9782" s="2" t="s">
        <v>13</v>
      </c>
      <c r="D9782" s="2" t="s">
        <v>23</v>
      </c>
      <c r="E9782" s="2"/>
      <c r="F9782" s="2" t="str">
        <f>HYPERLINK("http://m.12365auto.com/bbs/postcontent.aspx?tID=193716","http://m.12365auto.com/bbs/postcontent.aspx?tID=193716")</f>
        <v>http://m.12365auto.com/bbs/postcontent.aspx?tID=193716</v>
      </c>
      <c r="G9782" s="2"/>
      <c r="H9782" s="2" t="s">
        <v>13143</v>
      </c>
      <c r="I9782" s="2" t="s">
        <v>15</v>
      </c>
      <c r="J9782" s="2" t="s">
        <v>3904</v>
      </c>
      <c r="K9782" s="2" t="s">
        <v>13142</v>
      </c>
      <c r="L9782" s="2">
        <f t="shared" si="152"/>
        <v>150</v>
      </c>
    </row>
    <row r="9783" spans="1:12" ht="25" customHeight="1">
      <c r="A9783" s="2" t="s">
        <v>12</v>
      </c>
      <c r="B9783" s="2" t="str">
        <f>HYPERLINK("http://bbs.12365auto.com/postcontent.aspx?tID=193717","大众帕萨特变速箱双离合器抖动")</f>
        <v>大众帕萨特变速箱双离合器抖动</v>
      </c>
      <c r="C9783" s="2" t="s">
        <v>13</v>
      </c>
      <c r="D9783" s="2" t="s">
        <v>12</v>
      </c>
      <c r="E9783" s="2" t="s">
        <v>67</v>
      </c>
      <c r="F9783" s="2" t="str">
        <f>HYPERLINK("http://bbs.12365auto.com/postcontent.aspx?tID=193717","http://bbs.12365auto.com/postcontent.aspx?tID=193717")</f>
        <v>http://bbs.12365auto.com/postcontent.aspx?tID=193717</v>
      </c>
      <c r="G9783" s="2"/>
      <c r="H9783" s="2" t="s">
        <v>13145</v>
      </c>
      <c r="I9783" s="2" t="s">
        <v>15</v>
      </c>
      <c r="J9783" s="2" t="s">
        <v>3899</v>
      </c>
      <c r="K9783" s="2" t="s">
        <v>13142</v>
      </c>
      <c r="L9783" s="2">
        <f t="shared" si="152"/>
        <v>150</v>
      </c>
    </row>
    <row r="9784" spans="1:12" ht="25" customHeight="1">
      <c r="A9784" s="2" t="s">
        <v>12</v>
      </c>
      <c r="B9784" s="2" t="str">
        <f>HYPERLINK("http://bbs.12365auto.com/postcontent.aspx?tID=193715","现代悦动发动机无法启动要求解决")</f>
        <v>现代悦动发动机无法启动要求解决</v>
      </c>
      <c r="C9784" s="2" t="s">
        <v>13</v>
      </c>
      <c r="D9784" s="2" t="s">
        <v>12</v>
      </c>
      <c r="E9784" s="2" t="s">
        <v>67</v>
      </c>
      <c r="F9784" s="2" t="str">
        <f>HYPERLINK("http://bbs.12365auto.com/postcontent.aspx?tID=193715","http://bbs.12365auto.com/postcontent.aspx?tID=193715")</f>
        <v>http://bbs.12365auto.com/postcontent.aspx?tID=193715</v>
      </c>
      <c r="G9784" s="2"/>
      <c r="H9784" s="2" t="s">
        <v>13146</v>
      </c>
      <c r="I9784" s="2" t="s">
        <v>15</v>
      </c>
      <c r="J9784" s="2" t="s">
        <v>3912</v>
      </c>
      <c r="K9784" s="2" t="s">
        <v>13147</v>
      </c>
      <c r="L9784" s="2">
        <f t="shared" si="152"/>
        <v>142</v>
      </c>
    </row>
    <row r="9785" spans="1:12" ht="25" customHeight="1">
      <c r="A9785" s="2" t="s">
        <v>12</v>
      </c>
      <c r="B9785" s="2" t="str">
        <f>HYPERLINK("http://m.12365auto.com/bbs/postcontent.aspx?tID=193715","现代悦动发动机无法启动要求解决")</f>
        <v>现代悦动发动机无法启动要求解决</v>
      </c>
      <c r="C9785" s="2" t="s">
        <v>13</v>
      </c>
      <c r="D9785" s="2" t="s">
        <v>23</v>
      </c>
      <c r="E9785" s="2"/>
      <c r="F9785" s="2" t="str">
        <f>HYPERLINK("http://m.12365auto.com/bbs/postcontent.aspx?tID=193715","http://m.12365auto.com/bbs/postcontent.aspx?tID=193715")</f>
        <v>http://m.12365auto.com/bbs/postcontent.aspx?tID=193715</v>
      </c>
      <c r="G9785" s="2"/>
      <c r="H9785" s="2" t="s">
        <v>13148</v>
      </c>
      <c r="I9785" s="2" t="s">
        <v>15</v>
      </c>
      <c r="J9785" s="2" t="s">
        <v>3912</v>
      </c>
      <c r="K9785" s="2" t="s">
        <v>13147</v>
      </c>
      <c r="L9785" s="2">
        <f t="shared" si="152"/>
        <v>127</v>
      </c>
    </row>
    <row r="9786" spans="1:12" ht="25" customHeight="1">
      <c r="A9786" s="2" t="s">
        <v>12</v>
      </c>
      <c r="B9786" s="2" t="str">
        <f>HYPERLINK("http://bbs.12365auto.com/postcontent.aspx?tId=193715","现代悦动发动机无法启动要求解决")</f>
        <v>现代悦动发动机无法启动要求解决</v>
      </c>
      <c r="C9786" s="2" t="s">
        <v>13</v>
      </c>
      <c r="D9786" s="2" t="s">
        <v>12</v>
      </c>
      <c r="E9786" s="2" t="s">
        <v>66</v>
      </c>
      <c r="F9786" s="2" t="str">
        <f>HYPERLINK("http://bbs.12365auto.com/postcontent.aspx?tId=193715","http://bbs.12365auto.com/postcontent.aspx?tId=193715")</f>
        <v>http://bbs.12365auto.com/postcontent.aspx?tId=193715</v>
      </c>
      <c r="G9786" s="2"/>
      <c r="H9786" s="2" t="s">
        <v>13148</v>
      </c>
      <c r="I9786" s="2" t="s">
        <v>15</v>
      </c>
      <c r="J9786" s="2" t="s">
        <v>3912</v>
      </c>
      <c r="K9786" s="2" t="s">
        <v>13147</v>
      </c>
      <c r="L9786" s="2">
        <f t="shared" si="152"/>
        <v>127</v>
      </c>
    </row>
    <row r="9787" spans="1:12" ht="25" customHeight="1">
      <c r="A9787" s="2" t="s">
        <v>12</v>
      </c>
      <c r="B9787" s="2" t="str">
        <f>HYPERLINK("http://bbs.12365auto.com/postcontent.aspx?tID=193714","丰田凯美瑞发动机机油增多严重")</f>
        <v>丰田凯美瑞发动机机油增多严重</v>
      </c>
      <c r="C9787" s="2" t="s">
        <v>13</v>
      </c>
      <c r="D9787" s="2" t="s">
        <v>12</v>
      </c>
      <c r="E9787" s="2" t="s">
        <v>67</v>
      </c>
      <c r="F9787" s="2" t="str">
        <f>HYPERLINK("http://bbs.12365auto.com/postcontent.aspx?tID=193714","http://bbs.12365auto.com/postcontent.aspx?tID=193714")</f>
        <v>http://bbs.12365auto.com/postcontent.aspx?tID=193714</v>
      </c>
      <c r="G9787" s="2"/>
      <c r="H9787" s="2" t="s">
        <v>13149</v>
      </c>
      <c r="I9787" s="2" t="s">
        <v>15</v>
      </c>
      <c r="J9787" s="2" t="s">
        <v>3922</v>
      </c>
      <c r="K9787" s="2" t="s">
        <v>13150</v>
      </c>
      <c r="L9787" s="2">
        <f t="shared" si="152"/>
        <v>79</v>
      </c>
    </row>
    <row r="9788" spans="1:12" ht="25" customHeight="1">
      <c r="A9788" s="2" t="s">
        <v>12</v>
      </c>
      <c r="B9788" s="2" t="str">
        <f>HYPERLINK("http://bbs.12365auto.com/postcontent.aspx?tId=193714","丰田凯美瑞发动机机油增多严重")</f>
        <v>丰田凯美瑞发动机机油增多严重</v>
      </c>
      <c r="C9788" s="2" t="s">
        <v>13</v>
      </c>
      <c r="D9788" s="2" t="s">
        <v>12</v>
      </c>
      <c r="E9788" s="2" t="s">
        <v>66</v>
      </c>
      <c r="F9788" s="2" t="str">
        <f>HYPERLINK("http://bbs.12365auto.com/postcontent.aspx?tId=193714","http://bbs.12365auto.com/postcontent.aspx?tId=193714")</f>
        <v>http://bbs.12365auto.com/postcontent.aspx?tId=193714</v>
      </c>
      <c r="G9788" s="2"/>
      <c r="H9788" s="2" t="s">
        <v>13151</v>
      </c>
      <c r="I9788" s="2" t="s">
        <v>15</v>
      </c>
      <c r="J9788" s="2" t="s">
        <v>3922</v>
      </c>
      <c r="K9788" s="2" t="s">
        <v>13150</v>
      </c>
      <c r="L9788" s="2">
        <f t="shared" si="152"/>
        <v>65</v>
      </c>
    </row>
    <row r="9789" spans="1:12" ht="25" customHeight="1">
      <c r="A9789" s="2" t="s">
        <v>12</v>
      </c>
      <c r="B9789" s="2" t="str">
        <f>HYPERLINK("http://m.12365auto.com/bbs/postcontent.aspx?tID=193714","丰田凯美瑞发动机机油增多严重")</f>
        <v>丰田凯美瑞发动机机油增多严重</v>
      </c>
      <c r="C9789" s="2" t="s">
        <v>13</v>
      </c>
      <c r="D9789" s="2" t="s">
        <v>23</v>
      </c>
      <c r="E9789" s="2"/>
      <c r="F9789" s="2" t="str">
        <f>HYPERLINK("http://m.12365auto.com/bbs/postcontent.aspx?tID=193714","http://m.12365auto.com/bbs/postcontent.aspx?tID=193714")</f>
        <v>http://m.12365auto.com/bbs/postcontent.aspx?tID=193714</v>
      </c>
      <c r="G9789" s="2"/>
      <c r="H9789" s="2" t="s">
        <v>13151</v>
      </c>
      <c r="I9789" s="2" t="s">
        <v>15</v>
      </c>
      <c r="J9789" s="2" t="s">
        <v>3922</v>
      </c>
      <c r="K9789" s="2" t="s">
        <v>13150</v>
      </c>
      <c r="L9789" s="2">
        <f t="shared" si="152"/>
        <v>65</v>
      </c>
    </row>
    <row r="9790" spans="1:12" ht="25" customHeight="1">
      <c r="A9790" s="2" t="s">
        <v>12</v>
      </c>
      <c r="B9790" s="2" t="str">
        <f>HYPERLINK("http://m.12365auto.com/bbs/postcontent.aspx?tID=193713","大众奥迪A4L发动机防冻液壶渗漏防冻液")</f>
        <v>大众奥迪A4L发动机防冻液壶渗漏防冻液</v>
      </c>
      <c r="C9790" s="2" t="s">
        <v>13</v>
      </c>
      <c r="D9790" s="2" t="s">
        <v>23</v>
      </c>
      <c r="E9790" s="2"/>
      <c r="F9790" s="2" t="str">
        <f>HYPERLINK("http://m.12365auto.com/bbs/postcontent.aspx?tID=193713","http://m.12365auto.com/bbs/postcontent.aspx?tID=193713")</f>
        <v>http://m.12365auto.com/bbs/postcontent.aspx?tID=193713</v>
      </c>
      <c r="G9790" s="2"/>
      <c r="H9790" s="2" t="s">
        <v>13152</v>
      </c>
      <c r="I9790" s="2" t="s">
        <v>15</v>
      </c>
      <c r="J9790" s="2" t="s">
        <v>3919</v>
      </c>
      <c r="K9790" s="2" t="s">
        <v>13150</v>
      </c>
      <c r="L9790" s="2">
        <f t="shared" si="152"/>
        <v>29</v>
      </c>
    </row>
    <row r="9791" spans="1:12" ht="25" customHeight="1">
      <c r="A9791" s="2" t="s">
        <v>12</v>
      </c>
      <c r="B9791" s="2" t="str">
        <f>HYPERLINK("http://bbs.12365auto.com/postcontent.aspx?tId=193713","大众奥迪A4L发动机防冻液壶渗漏防冻液")</f>
        <v>大众奥迪A4L发动机防冻液壶渗漏防冻液</v>
      </c>
      <c r="C9791" s="2" t="s">
        <v>13</v>
      </c>
      <c r="D9791" s="2" t="s">
        <v>12</v>
      </c>
      <c r="E9791" s="2" t="s">
        <v>66</v>
      </c>
      <c r="F9791" s="2" t="str">
        <f>HYPERLINK("http://bbs.12365auto.com/postcontent.aspx?tId=193713","http://bbs.12365auto.com/postcontent.aspx?tId=193713")</f>
        <v>http://bbs.12365auto.com/postcontent.aspx?tId=193713</v>
      </c>
      <c r="G9791" s="2"/>
      <c r="H9791" s="2" t="s">
        <v>13152</v>
      </c>
      <c r="I9791" s="2" t="s">
        <v>15</v>
      </c>
      <c r="J9791" s="2" t="s">
        <v>3919</v>
      </c>
      <c r="K9791" s="2" t="s">
        <v>13150</v>
      </c>
      <c r="L9791" s="2">
        <f t="shared" si="152"/>
        <v>29</v>
      </c>
    </row>
    <row r="9792" spans="1:12" ht="25" customHeight="1">
      <c r="A9792" s="2" t="s">
        <v>12</v>
      </c>
      <c r="B9792" s="2" t="str">
        <f>HYPERLINK("http://bbs.12365auto.com/postcontent.aspx?tID=193713","大众奥迪A4L发动机防冻液壶渗漏防冻液")</f>
        <v>大众奥迪A4L发动机防冻液壶渗漏防冻液</v>
      </c>
      <c r="C9792" s="2" t="s">
        <v>13</v>
      </c>
      <c r="D9792" s="2" t="s">
        <v>12</v>
      </c>
      <c r="E9792" s="2" t="s">
        <v>67</v>
      </c>
      <c r="F9792" s="2" t="str">
        <f>HYPERLINK("http://bbs.12365auto.com/postcontent.aspx?tID=193713","http://bbs.12365auto.com/postcontent.aspx?tID=193713")</f>
        <v>http://bbs.12365auto.com/postcontent.aspx?tID=193713</v>
      </c>
      <c r="G9792" s="2"/>
      <c r="H9792" s="2" t="s">
        <v>13153</v>
      </c>
      <c r="I9792" s="2" t="s">
        <v>15</v>
      </c>
      <c r="J9792" s="2" t="s">
        <v>3919</v>
      </c>
      <c r="K9792" s="2" t="s">
        <v>13150</v>
      </c>
      <c r="L9792" s="2">
        <f t="shared" si="152"/>
        <v>48</v>
      </c>
    </row>
    <row r="9793" spans="1:12" ht="25" customHeight="1">
      <c r="A9793" s="2" t="s">
        <v>12</v>
      </c>
      <c r="B9793" s="2" t="str">
        <f>HYPERLINK("http://bbs.12365auto.com/postcontent.aspx?tID=193712","如何节约车辆保养费")</f>
        <v>如何节约车辆保养费</v>
      </c>
      <c r="C9793" s="2" t="s">
        <v>13</v>
      </c>
      <c r="D9793" s="2" t="s">
        <v>12</v>
      </c>
      <c r="E9793" s="2" t="s">
        <v>1393</v>
      </c>
      <c r="F9793" s="2" t="str">
        <f>HYPERLINK("http://bbs.12365auto.com/postcontent.aspx?tID=193712","http://bbs.12365auto.com/postcontent.aspx?tID=193712")</f>
        <v>http://bbs.12365auto.com/postcontent.aspx?tID=193712</v>
      </c>
      <c r="G9793" s="2"/>
      <c r="H9793" s="2" t="s">
        <v>13154</v>
      </c>
      <c r="I9793" s="2" t="s">
        <v>15</v>
      </c>
      <c r="J9793" s="2" t="s">
        <v>1446</v>
      </c>
      <c r="K9793" s="2" t="s">
        <v>13155</v>
      </c>
      <c r="L9793" s="2">
        <f t="shared" si="152"/>
        <v>150</v>
      </c>
    </row>
    <row r="9794" spans="1:12" ht="25" customHeight="1">
      <c r="A9794" s="2" t="s">
        <v>12</v>
      </c>
      <c r="B9794" s="2" t="str">
        <f>HYPERLINK("http://bbs.12365auto.com/postcontent.aspx?tId=193712","如何节约车辆保养费")</f>
        <v>如何节约车辆保养费</v>
      </c>
      <c r="C9794" s="2" t="s">
        <v>13</v>
      </c>
      <c r="D9794" s="2" t="s">
        <v>12</v>
      </c>
      <c r="E9794" s="2" t="s">
        <v>1397</v>
      </c>
      <c r="F9794" s="2" t="str">
        <f>HYPERLINK("http://bbs.12365auto.com/postcontent.aspx?tId=193712","http://bbs.12365auto.com/postcontent.aspx?tId=193712")</f>
        <v>http://bbs.12365auto.com/postcontent.aspx?tId=193712</v>
      </c>
      <c r="G9794" s="2"/>
      <c r="H9794" s="2" t="s">
        <v>13156</v>
      </c>
      <c r="I9794" s="2" t="s">
        <v>15</v>
      </c>
      <c r="J9794" s="2" t="s">
        <v>1446</v>
      </c>
      <c r="K9794" s="2" t="s">
        <v>13155</v>
      </c>
      <c r="L9794" s="2">
        <f t="shared" si="152"/>
        <v>150</v>
      </c>
    </row>
    <row r="9795" spans="1:12" ht="25" customHeight="1">
      <c r="A9795" s="2" t="s">
        <v>12</v>
      </c>
      <c r="B9795" s="2" t="str">
        <f>HYPERLINK("http://bbs.12365auto.com/postcontent.aspx?tId=193711","本田飞度冷车变速箱反应迟钝 起步抖动")</f>
        <v>本田飞度冷车变速箱反应迟钝 起步抖动</v>
      </c>
      <c r="C9795" s="2" t="s">
        <v>13</v>
      </c>
      <c r="D9795" s="2" t="s">
        <v>12</v>
      </c>
      <c r="E9795" s="2" t="s">
        <v>66</v>
      </c>
      <c r="F9795" s="2" t="str">
        <f>HYPERLINK("http://bbs.12365auto.com/postcontent.aspx?tId=193711","http://bbs.12365auto.com/postcontent.aspx?tId=193711")</f>
        <v>http://bbs.12365auto.com/postcontent.aspx?tId=193711</v>
      </c>
      <c r="G9795" s="2"/>
      <c r="H9795" s="2" t="s">
        <v>13157</v>
      </c>
      <c r="I9795" s="2" t="s">
        <v>15</v>
      </c>
      <c r="J9795" s="2" t="s">
        <v>3934</v>
      </c>
      <c r="K9795" s="2" t="s">
        <v>13155</v>
      </c>
      <c r="L9795" s="2">
        <f t="shared" ref="L9795:L9858" si="153">LEN(H9795)</f>
        <v>39</v>
      </c>
    </row>
    <row r="9796" spans="1:12" ht="25" customHeight="1">
      <c r="A9796" s="2" t="s">
        <v>12</v>
      </c>
      <c r="B9796" s="2" t="str">
        <f>HYPERLINK("http://m.12365auto.com/bbs/postcontent.aspx?tID=193711","本田飞度冷车变速箱反应迟钝 起步抖动")</f>
        <v>本田飞度冷车变速箱反应迟钝 起步抖动</v>
      </c>
      <c r="C9796" s="2" t="s">
        <v>13</v>
      </c>
      <c r="D9796" s="2" t="s">
        <v>23</v>
      </c>
      <c r="E9796" s="2"/>
      <c r="F9796" s="2" t="str">
        <f>HYPERLINK("http://m.12365auto.com/bbs/postcontent.aspx?tID=193711","http://m.12365auto.com/bbs/postcontent.aspx?tID=193711")</f>
        <v>http://m.12365auto.com/bbs/postcontent.aspx?tID=193711</v>
      </c>
      <c r="G9796" s="2"/>
      <c r="H9796" s="2" t="s">
        <v>13157</v>
      </c>
      <c r="I9796" s="2" t="s">
        <v>15</v>
      </c>
      <c r="J9796" s="2" t="s">
        <v>3934</v>
      </c>
      <c r="K9796" s="2" t="s">
        <v>13155</v>
      </c>
      <c r="L9796" s="2">
        <f t="shared" si="153"/>
        <v>39</v>
      </c>
    </row>
    <row r="9797" spans="1:12" ht="25" customHeight="1">
      <c r="A9797" s="2" t="s">
        <v>12</v>
      </c>
      <c r="B9797" s="2" t="str">
        <f>HYPERLINK("http://bbs.12365auto.com/postcontent.aspx?tID=193711","本田飞度冷车变速箱反应迟钝 起步抖动")</f>
        <v>本田飞度冷车变速箱反应迟钝 起步抖动</v>
      </c>
      <c r="C9797" s="2" t="s">
        <v>13</v>
      </c>
      <c r="D9797" s="2" t="s">
        <v>12</v>
      </c>
      <c r="E9797" s="2" t="s">
        <v>67</v>
      </c>
      <c r="F9797" s="2" t="str">
        <f>HYPERLINK("http://bbs.12365auto.com/postcontent.aspx?tID=193711","http://bbs.12365auto.com/postcontent.aspx?tID=193711")</f>
        <v>http://bbs.12365auto.com/postcontent.aspx?tID=193711</v>
      </c>
      <c r="G9797" s="2"/>
      <c r="H9797" s="2" t="s">
        <v>13158</v>
      </c>
      <c r="I9797" s="2" t="s">
        <v>15</v>
      </c>
      <c r="J9797" s="2" t="s">
        <v>3934</v>
      </c>
      <c r="K9797" s="2" t="s">
        <v>13155</v>
      </c>
      <c r="L9797" s="2">
        <f t="shared" si="153"/>
        <v>57</v>
      </c>
    </row>
    <row r="9798" spans="1:12" ht="25" customHeight="1">
      <c r="A9798" s="2" t="s">
        <v>12</v>
      </c>
      <c r="B9798" s="2" t="str">
        <f>HYPERLINK("http://bbs.12365auto.com/postcontent.aspx?tID=193710","标致3008驻车制动报警多次出现")</f>
        <v>标致3008驻车制动报警多次出现</v>
      </c>
      <c r="C9798" s="2" t="s">
        <v>13</v>
      </c>
      <c r="D9798" s="2" t="s">
        <v>12</v>
      </c>
      <c r="E9798" s="2" t="s">
        <v>67</v>
      </c>
      <c r="F9798" s="2" t="str">
        <f>HYPERLINK("http://bbs.12365auto.com/postcontent.aspx?tID=193710","http://bbs.12365auto.com/postcontent.aspx?tID=193710")</f>
        <v>http://bbs.12365auto.com/postcontent.aspx?tID=193710</v>
      </c>
      <c r="G9798" s="2"/>
      <c r="H9798" s="2" t="s">
        <v>13159</v>
      </c>
      <c r="I9798" s="2" t="s">
        <v>15</v>
      </c>
      <c r="J9798" s="2" t="s">
        <v>3942</v>
      </c>
      <c r="K9798" s="2" t="s">
        <v>13160</v>
      </c>
      <c r="L9798" s="2">
        <f t="shared" si="153"/>
        <v>106</v>
      </c>
    </row>
    <row r="9799" spans="1:12" ht="25" customHeight="1">
      <c r="A9799" s="2" t="s">
        <v>12</v>
      </c>
      <c r="B9799" s="2" t="str">
        <f>HYPERLINK("http://bbs.12365auto.com/postcontent.aspx?tId=193710","标致3008驻车制动报警多次出现")</f>
        <v>标致3008驻车制动报警多次出现</v>
      </c>
      <c r="C9799" s="2" t="s">
        <v>13</v>
      </c>
      <c r="D9799" s="2" t="s">
        <v>12</v>
      </c>
      <c r="E9799" s="2" t="s">
        <v>66</v>
      </c>
      <c r="F9799" s="2" t="str">
        <f>HYPERLINK("http://bbs.12365auto.com/postcontent.aspx?tId=193710","http://bbs.12365auto.com/postcontent.aspx?tId=193710")</f>
        <v>http://bbs.12365auto.com/postcontent.aspx?tId=193710</v>
      </c>
      <c r="G9799" s="2"/>
      <c r="H9799" s="2" t="s">
        <v>13161</v>
      </c>
      <c r="I9799" s="2" t="s">
        <v>15</v>
      </c>
      <c r="J9799" s="2" t="s">
        <v>3942</v>
      </c>
      <c r="K9799" s="2" t="s">
        <v>13160</v>
      </c>
      <c r="L9799" s="2">
        <f t="shared" si="153"/>
        <v>90</v>
      </c>
    </row>
    <row r="9800" spans="1:12" ht="25" customHeight="1">
      <c r="A9800" s="2" t="s">
        <v>12</v>
      </c>
      <c r="B9800" s="2" t="str">
        <f>HYPERLINK("http://m.12365auto.com/bbs/postcontent.aspx?tID=193710","标致3008驻车制动报警多次出现")</f>
        <v>标致3008驻车制动报警多次出现</v>
      </c>
      <c r="C9800" s="2" t="s">
        <v>13</v>
      </c>
      <c r="D9800" s="2" t="s">
        <v>23</v>
      </c>
      <c r="E9800" s="2"/>
      <c r="F9800" s="2" t="str">
        <f>HYPERLINK("http://m.12365auto.com/bbs/postcontent.aspx?tID=193710","http://m.12365auto.com/bbs/postcontent.aspx?tID=193710")</f>
        <v>http://m.12365auto.com/bbs/postcontent.aspx?tID=193710</v>
      </c>
      <c r="G9800" s="2"/>
      <c r="H9800" s="2" t="s">
        <v>13161</v>
      </c>
      <c r="I9800" s="2" t="s">
        <v>15</v>
      </c>
      <c r="J9800" s="2" t="s">
        <v>3942</v>
      </c>
      <c r="K9800" s="2" t="s">
        <v>13160</v>
      </c>
      <c r="L9800" s="2">
        <f t="shared" si="153"/>
        <v>90</v>
      </c>
    </row>
    <row r="9801" spans="1:12" ht="25" customHeight="1">
      <c r="A9801" s="2" t="s">
        <v>12</v>
      </c>
      <c r="B9801" s="2" t="str">
        <f>HYPERLINK("http://www.12365auto.com/zlts/20200210/446803.shtml","刹车异响，车身异响，导航形同虚设，车机问题")</f>
        <v>刹车异响，车身异响，导航形同虚设，车机问题</v>
      </c>
      <c r="C9801" s="2" t="s">
        <v>13</v>
      </c>
      <c r="D9801" s="2" t="s">
        <v>12</v>
      </c>
      <c r="E9801" s="2"/>
      <c r="F9801" s="2" t="str">
        <f>HYPERLINK("http://www.12365auto.com/zlts/20200210/446803.shtml","http://www.12365auto.com/zlts/20200210/446803.shtml")</f>
        <v>http://www.12365auto.com/zlts/20200210/446803.shtml</v>
      </c>
      <c r="G9801" s="2"/>
      <c r="H9801" s="2" t="s">
        <v>13163</v>
      </c>
      <c r="I9801" s="2" t="s">
        <v>15</v>
      </c>
      <c r="J9801" s="2" t="s">
        <v>12</v>
      </c>
      <c r="K9801" s="2" t="s">
        <v>13162</v>
      </c>
      <c r="L9801" s="2">
        <f t="shared" si="153"/>
        <v>81</v>
      </c>
    </row>
    <row r="9802" spans="1:12" ht="25" customHeight="1">
      <c r="A9802" s="2" t="s">
        <v>12</v>
      </c>
      <c r="B9802" s="2" t="str">
        <f>HYPERLINK("http://www.12365auto.com/zlts/20200210/446802.shtml","别克君越变速箱显示紧急维修故障灯")</f>
        <v>别克君越变速箱显示紧急维修故障灯</v>
      </c>
      <c r="C9802" s="2" t="s">
        <v>13</v>
      </c>
      <c r="D9802" s="2" t="s">
        <v>12</v>
      </c>
      <c r="E9802" s="2"/>
      <c r="F9802" s="2" t="str">
        <f>HYPERLINK("http://www.12365auto.com/zlts/20200210/446802.shtml","http://www.12365auto.com/zlts/20200210/446802.shtml")</f>
        <v>http://www.12365auto.com/zlts/20200210/446802.shtml</v>
      </c>
      <c r="G9802" s="2"/>
      <c r="H9802" s="2" t="s">
        <v>13165</v>
      </c>
      <c r="I9802" s="2" t="s">
        <v>15</v>
      </c>
      <c r="J9802" s="2" t="s">
        <v>12</v>
      </c>
      <c r="K9802" s="2" t="s">
        <v>13164</v>
      </c>
      <c r="L9802" s="2">
        <f t="shared" si="153"/>
        <v>78</v>
      </c>
    </row>
    <row r="9803" spans="1:12" ht="25" customHeight="1">
      <c r="A9803" s="2" t="s">
        <v>12</v>
      </c>
      <c r="B9803" s="2" t="str">
        <f>HYPERLINK("http://m.12365auto.com/zjdy/20200210/121142.shtml","日产天籁高速行驶无法提速是什么原因？")</f>
        <v>日产天籁高速行驶无法提速是什么原因？</v>
      </c>
      <c r="C9803" s="2" t="s">
        <v>13</v>
      </c>
      <c r="D9803" s="2" t="s">
        <v>12</v>
      </c>
      <c r="E9803" s="2"/>
      <c r="F9803" s="2" t="str">
        <f>HYPERLINK("http://m.12365auto.com/zjdy/20200210/121142.shtml","http://m.12365auto.com/zjdy/20200210/121142.shtml")</f>
        <v>http://m.12365auto.com/zjdy/20200210/121142.shtml</v>
      </c>
      <c r="G9803" s="2"/>
      <c r="H9803" s="2" t="s">
        <v>13166</v>
      </c>
      <c r="I9803" s="2" t="s">
        <v>19</v>
      </c>
      <c r="J9803" s="2" t="s">
        <v>12</v>
      </c>
      <c r="K9803" s="2" t="s">
        <v>13167</v>
      </c>
      <c r="L9803" s="2">
        <f t="shared" si="153"/>
        <v>45</v>
      </c>
    </row>
    <row r="9804" spans="1:12" ht="25" customHeight="1">
      <c r="A9804" s="2" t="s">
        <v>12</v>
      </c>
      <c r="B9804" s="2" t="str">
        <f>HYPERLINK("http://www.12365auto.com/zlts/20200210/446801.shtml","东风雪铁龙C4L冷却液水管损坏存在质量问题")</f>
        <v>东风雪铁龙C4L冷却液水管损坏存在质量问题</v>
      </c>
      <c r="C9804" s="2" t="s">
        <v>13</v>
      </c>
      <c r="D9804" s="2" t="s">
        <v>12</v>
      </c>
      <c r="E9804" s="2" t="s">
        <v>17</v>
      </c>
      <c r="F9804" s="2" t="str">
        <f>HYPERLINK("http://www.12365auto.com/zlts/20200210/446801.shtml","http://www.12365auto.com/zlts/20200210/446801.shtml")</f>
        <v>http://www.12365auto.com/zlts/20200210/446801.shtml</v>
      </c>
      <c r="G9804" s="2"/>
      <c r="H9804" s="2" t="s">
        <v>13168</v>
      </c>
      <c r="I9804" s="2" t="s">
        <v>19</v>
      </c>
      <c r="J9804" s="2" t="s">
        <v>12</v>
      </c>
      <c r="K9804" s="2" t="s">
        <v>13169</v>
      </c>
      <c r="L9804" s="2">
        <f t="shared" si="153"/>
        <v>150</v>
      </c>
    </row>
    <row r="9805" spans="1:12" ht="25" customHeight="1">
      <c r="A9805" s="2" t="s">
        <v>12</v>
      </c>
      <c r="B9805" s="2" t="str">
        <f>HYPERLINK("http://www.12365auto.com/zlts/20200210/446800.shtml","东风标致3008驻车制动报警多次出现")</f>
        <v>东风标致3008驻车制动报警多次出现</v>
      </c>
      <c r="C9805" s="2" t="s">
        <v>13</v>
      </c>
      <c r="D9805" s="2" t="s">
        <v>12</v>
      </c>
      <c r="E9805" s="2" t="s">
        <v>17</v>
      </c>
      <c r="F9805" s="2" t="str">
        <f>HYPERLINK("http://www.12365auto.com/zlts/20200210/446800.shtml","http://www.12365auto.com/zlts/20200210/446800.shtml")</f>
        <v>http://www.12365auto.com/zlts/20200210/446800.shtml</v>
      </c>
      <c r="G9805" s="2"/>
      <c r="H9805" s="2" t="s">
        <v>13170</v>
      </c>
      <c r="I9805" s="2" t="s">
        <v>19</v>
      </c>
      <c r="J9805" s="2" t="s">
        <v>12</v>
      </c>
      <c r="K9805" s="2" t="s">
        <v>13171</v>
      </c>
      <c r="L9805" s="2">
        <f t="shared" si="153"/>
        <v>150</v>
      </c>
    </row>
    <row r="9806" spans="1:12" ht="25" customHeight="1">
      <c r="A9806" s="2" t="s">
        <v>12</v>
      </c>
      <c r="B9806" s="2" t="str">
        <f>HYPERLINK("http://m.12365auto.com/zjdy/20200210/121141.shtml","吉利博越Pro的变速箱稳定性怎么样？")</f>
        <v>吉利博越Pro的变速箱稳定性怎么样？</v>
      </c>
      <c r="C9806" s="2" t="s">
        <v>13</v>
      </c>
      <c r="D9806" s="2" t="s">
        <v>12</v>
      </c>
      <c r="E9806" s="2"/>
      <c r="F9806" s="2" t="str">
        <f>HYPERLINK("http://m.12365auto.com/zjdy/20200210/121141.shtml","http://m.12365auto.com/zjdy/20200210/121141.shtml")</f>
        <v>http://m.12365auto.com/zjdy/20200210/121141.shtml</v>
      </c>
      <c r="G9806" s="2"/>
      <c r="H9806" s="2" t="s">
        <v>13172</v>
      </c>
      <c r="I9806" s="2" t="s">
        <v>19</v>
      </c>
      <c r="J9806" s="2" t="s">
        <v>12</v>
      </c>
      <c r="K9806" s="2" t="s">
        <v>13173</v>
      </c>
      <c r="L9806" s="2">
        <f t="shared" si="153"/>
        <v>28</v>
      </c>
    </row>
    <row r="9807" spans="1:12" ht="25" customHeight="1">
      <c r="A9807" s="2" t="s">
        <v>12</v>
      </c>
      <c r="B9807" s="2" t="str">
        <f>HYPERLINK("http://www.12365auto.com/zlts/20200210/446798.shtml","广汽本田飞度冷车变速箱反应迟钝 起步抖动")</f>
        <v>广汽本田飞度冷车变速箱反应迟钝 起步抖动</v>
      </c>
      <c r="C9807" s="2" t="s">
        <v>13</v>
      </c>
      <c r="D9807" s="2" t="s">
        <v>12</v>
      </c>
      <c r="E9807" s="2" t="s">
        <v>17</v>
      </c>
      <c r="F9807" s="2" t="str">
        <f>HYPERLINK("http://www.12365auto.com/zlts/20200210/446798.shtml","http://www.12365auto.com/zlts/20200210/446798.shtml")</f>
        <v>http://www.12365auto.com/zlts/20200210/446798.shtml</v>
      </c>
      <c r="G9807" s="2"/>
      <c r="H9807" s="2" t="s">
        <v>13174</v>
      </c>
      <c r="I9807" s="2" t="s">
        <v>19</v>
      </c>
      <c r="J9807" s="2" t="s">
        <v>12</v>
      </c>
      <c r="K9807" s="2" t="s">
        <v>13175</v>
      </c>
      <c r="L9807" s="2">
        <f t="shared" si="153"/>
        <v>150</v>
      </c>
    </row>
    <row r="9808" spans="1:12" ht="25" customHeight="1">
      <c r="A9808" s="2" t="s">
        <v>12</v>
      </c>
      <c r="B9808" s="2" t="str">
        <f>HYPERLINK("http://www.12365auto.com/zlts/20200210/446794.shtml","一汽大众奥迪A4L发动机防冻液壶渗漏防冻液")</f>
        <v>一汽大众奥迪A4L发动机防冻液壶渗漏防冻液</v>
      </c>
      <c r="C9808" s="2" t="s">
        <v>13</v>
      </c>
      <c r="D9808" s="2" t="s">
        <v>12</v>
      </c>
      <c r="E9808" s="2" t="s">
        <v>17</v>
      </c>
      <c r="F9808" s="2" t="str">
        <f>HYPERLINK("http://www.12365auto.com/zlts/20200210/446794.shtml","http://www.12365auto.com/zlts/20200210/446794.shtml")</f>
        <v>http://www.12365auto.com/zlts/20200210/446794.shtml</v>
      </c>
      <c r="G9808" s="2"/>
      <c r="H9808" s="2" t="s">
        <v>13176</v>
      </c>
      <c r="I9808" s="2" t="s">
        <v>15</v>
      </c>
      <c r="J9808" s="2" t="s">
        <v>12</v>
      </c>
      <c r="K9808" s="2" t="s">
        <v>13177</v>
      </c>
      <c r="L9808" s="2">
        <f t="shared" si="153"/>
        <v>150</v>
      </c>
    </row>
    <row r="9809" spans="1:12" ht="25" customHeight="1">
      <c r="A9809" s="2" t="s">
        <v>12</v>
      </c>
      <c r="B9809" s="2" t="str">
        <f>HYPERLINK("http://www.12365auto.com/zlts/20200210/446792.shtml","东风日产奇骏低速顿挫发动机舱异响内饰异响")</f>
        <v>东风日产奇骏低速顿挫发动机舱异响内饰异响</v>
      </c>
      <c r="C9809" s="2" t="s">
        <v>13</v>
      </c>
      <c r="D9809" s="2" t="s">
        <v>12</v>
      </c>
      <c r="E9809" s="2" t="s">
        <v>17</v>
      </c>
      <c r="F9809" s="2" t="str">
        <f>HYPERLINK("http://www.12365auto.com/zlts/20200210/446792.shtml","http://www.12365auto.com/zlts/20200210/446792.shtml")</f>
        <v>http://www.12365auto.com/zlts/20200210/446792.shtml</v>
      </c>
      <c r="G9809" s="2"/>
      <c r="H9809" s="2" t="s">
        <v>13178</v>
      </c>
      <c r="I9809" s="2" t="s">
        <v>15</v>
      </c>
      <c r="J9809" s="2" t="s">
        <v>12</v>
      </c>
      <c r="K9809" s="2" t="s">
        <v>13179</v>
      </c>
      <c r="L9809" s="2">
        <f t="shared" si="153"/>
        <v>150</v>
      </c>
    </row>
    <row r="9810" spans="1:12" ht="25" customHeight="1">
      <c r="A9810" s="2" t="s">
        <v>12</v>
      </c>
      <c r="B9810" s="2" t="str">
        <f>HYPERLINK("http://www.12365auto.com/zlts/20200210/446793.shtml","东风风行景逸X5两条后轮异常磨损严重")</f>
        <v>东风风行景逸X5两条后轮异常磨损严重</v>
      </c>
      <c r="C9810" s="2" t="s">
        <v>13</v>
      </c>
      <c r="D9810" s="2" t="s">
        <v>12</v>
      </c>
      <c r="E9810" s="2" t="s">
        <v>17</v>
      </c>
      <c r="F9810" s="2" t="str">
        <f>HYPERLINK("http://www.12365auto.com/zlts/20200210/446793.shtml","http://www.12365auto.com/zlts/20200210/446793.shtml")</f>
        <v>http://www.12365auto.com/zlts/20200210/446793.shtml</v>
      </c>
      <c r="G9810" s="2"/>
      <c r="H9810" s="2" t="s">
        <v>13180</v>
      </c>
      <c r="I9810" s="2" t="s">
        <v>15</v>
      </c>
      <c r="J9810" s="2" t="s">
        <v>12</v>
      </c>
      <c r="K9810" s="2" t="s">
        <v>13179</v>
      </c>
      <c r="L9810" s="2">
        <f t="shared" si="153"/>
        <v>150</v>
      </c>
    </row>
    <row r="9811" spans="1:12" ht="25" customHeight="1">
      <c r="A9811" s="2" t="s">
        <v>12</v>
      </c>
      <c r="B9811" s="2" t="str">
        <f>HYPERLINK("http://www.12365auto.com/zlts/20200210/446791.shtml","吉利远景X6变速箱故障灯亮要求更换")</f>
        <v>吉利远景X6变速箱故障灯亮要求更换</v>
      </c>
      <c r="C9811" s="2" t="s">
        <v>13</v>
      </c>
      <c r="D9811" s="2" t="s">
        <v>12</v>
      </c>
      <c r="E9811" s="2" t="s">
        <v>17</v>
      </c>
      <c r="F9811" s="2" t="str">
        <f>HYPERLINK("http://www.12365auto.com/zlts/20200210/446791.shtml","http://www.12365auto.com/zlts/20200210/446791.shtml")</f>
        <v>http://www.12365auto.com/zlts/20200210/446791.shtml</v>
      </c>
      <c r="G9811" s="2"/>
      <c r="H9811" s="2" t="s">
        <v>13181</v>
      </c>
      <c r="I9811" s="2" t="s">
        <v>19</v>
      </c>
      <c r="J9811" s="2" t="s">
        <v>12</v>
      </c>
      <c r="K9811" s="2" t="s">
        <v>13182</v>
      </c>
      <c r="L9811" s="2">
        <f t="shared" si="153"/>
        <v>150</v>
      </c>
    </row>
    <row r="9812" spans="1:12" ht="25" customHeight="1">
      <c r="A9812" s="2" t="s">
        <v>12</v>
      </c>
      <c r="B9812" s="2" t="str">
        <f>HYPERLINK("http://www.12365auto.com/zlts/20200210/446790.shtml","一汽马自达阿特兹转向异响长期无法解决")</f>
        <v>一汽马自达阿特兹转向异响长期无法解决</v>
      </c>
      <c r="C9812" s="2" t="s">
        <v>13</v>
      </c>
      <c r="D9812" s="2" t="s">
        <v>12</v>
      </c>
      <c r="E9812" s="2" t="s">
        <v>17</v>
      </c>
      <c r="F9812" s="2" t="str">
        <f>HYPERLINK("http://www.12365auto.com/zlts/20200210/446790.shtml","http://www.12365auto.com/zlts/20200210/446790.shtml")</f>
        <v>http://www.12365auto.com/zlts/20200210/446790.shtml</v>
      </c>
      <c r="G9812" s="2"/>
      <c r="H9812" s="2" t="s">
        <v>13183</v>
      </c>
      <c r="I9812" s="2" t="s">
        <v>19</v>
      </c>
      <c r="J9812" s="2" t="s">
        <v>12</v>
      </c>
      <c r="K9812" s="2" t="s">
        <v>13184</v>
      </c>
      <c r="L9812" s="2">
        <f t="shared" si="153"/>
        <v>150</v>
      </c>
    </row>
    <row r="9813" spans="1:12" ht="25" customHeight="1">
      <c r="A9813" s="2" t="s">
        <v>12</v>
      </c>
      <c r="B9813" s="2" t="str">
        <f>HYPERLINK("http://m.12365auto.com/zjdy/20200210/121140.shtml","轮胎出现开裂是什么原因引起的怎么办？")</f>
        <v>轮胎出现开裂是什么原因引起的怎么办？</v>
      </c>
      <c r="C9813" s="2" t="s">
        <v>13</v>
      </c>
      <c r="D9813" s="2" t="s">
        <v>12</v>
      </c>
      <c r="E9813" s="2"/>
      <c r="F9813" s="2" t="str">
        <f>HYPERLINK("http://m.12365auto.com/zjdy/20200210/121140.shtml","http://m.12365auto.com/zjdy/20200210/121140.shtml")</f>
        <v>http://m.12365auto.com/zjdy/20200210/121140.shtml</v>
      </c>
      <c r="G9813" s="2"/>
      <c r="H9813" s="2" t="s">
        <v>13185</v>
      </c>
      <c r="I9813" s="2" t="s">
        <v>19</v>
      </c>
      <c r="J9813" s="2" t="s">
        <v>12</v>
      </c>
      <c r="K9813" s="2" t="s">
        <v>13186</v>
      </c>
      <c r="L9813" s="2">
        <f t="shared" si="153"/>
        <v>26</v>
      </c>
    </row>
    <row r="9814" spans="1:12" ht="25" customHeight="1">
      <c r="A9814" s="2" t="s">
        <v>12</v>
      </c>
      <c r="B9814" s="2" t="str">
        <f>HYPERLINK("http://m.12365auto.com/zjdy/20200210/121138.shtml","04款马自达6热车挂挡起步熄火为什么？")</f>
        <v>04款马自达6热车挂挡起步熄火为什么？</v>
      </c>
      <c r="C9814" s="2" t="s">
        <v>13</v>
      </c>
      <c r="D9814" s="2" t="s">
        <v>12</v>
      </c>
      <c r="E9814" s="2"/>
      <c r="F9814" s="2" t="str">
        <f>HYPERLINK("http://m.12365auto.com/zjdy/20200210/121138.shtml","http://m.12365auto.com/zjdy/20200210/121138.shtml")</f>
        <v>http://m.12365auto.com/zjdy/20200210/121138.shtml</v>
      </c>
      <c r="G9814" s="2"/>
      <c r="H9814" s="2" t="s">
        <v>13187</v>
      </c>
      <c r="I9814" s="2" t="s">
        <v>19</v>
      </c>
      <c r="J9814" s="2" t="s">
        <v>12</v>
      </c>
      <c r="K9814" s="2" t="s">
        <v>13188</v>
      </c>
      <c r="L9814" s="2">
        <f t="shared" si="153"/>
        <v>45</v>
      </c>
    </row>
    <row r="9815" spans="1:12" ht="25" customHeight="1">
      <c r="A9815" s="2" t="s">
        <v>12</v>
      </c>
      <c r="B9815" s="2" t="str">
        <f>HYPERLINK("http://m.12365auto.com/zjdy/20200210/121139.shtml","吉利帝豪组合仪表车速表最高车速是多少？")</f>
        <v>吉利帝豪组合仪表车速表最高车速是多少？</v>
      </c>
      <c r="C9815" s="2" t="s">
        <v>13</v>
      </c>
      <c r="D9815" s="2" t="s">
        <v>12</v>
      </c>
      <c r="E9815" s="2"/>
      <c r="F9815" s="2" t="str">
        <f>HYPERLINK("http://m.12365auto.com/zjdy/20200210/121139.shtml","http://m.12365auto.com/zjdy/20200210/121139.shtml")</f>
        <v>http://m.12365auto.com/zjdy/20200210/121139.shtml</v>
      </c>
      <c r="G9815" s="2"/>
      <c r="H9815" s="2" t="s">
        <v>13189</v>
      </c>
      <c r="I9815" s="2" t="s">
        <v>19</v>
      </c>
      <c r="J9815" s="2" t="s">
        <v>12</v>
      </c>
      <c r="K9815" s="2" t="s">
        <v>13188</v>
      </c>
      <c r="L9815" s="2">
        <f t="shared" si="153"/>
        <v>27</v>
      </c>
    </row>
    <row r="9816" spans="1:12" ht="25" customHeight="1">
      <c r="A9816" s="2" t="s">
        <v>12</v>
      </c>
      <c r="B9816" s="2" t="str">
        <f>HYPERLINK("http://m.12365auto.com/zjdy/20200210/121137.shtml","自动启停电瓶行业内的寿命是多长时间？")</f>
        <v>自动启停电瓶行业内的寿命是多长时间？</v>
      </c>
      <c r="C9816" s="2" t="s">
        <v>13</v>
      </c>
      <c r="D9816" s="2" t="s">
        <v>12</v>
      </c>
      <c r="E9816" s="2"/>
      <c r="F9816" s="2" t="str">
        <f>HYPERLINK("http://m.12365auto.com/zjdy/20200210/121137.shtml","http://m.12365auto.com/zjdy/20200210/121137.shtml")</f>
        <v>http://m.12365auto.com/zjdy/20200210/121137.shtml</v>
      </c>
      <c r="G9816" s="2"/>
      <c r="H9816" s="2" t="s">
        <v>13190</v>
      </c>
      <c r="I9816" s="2" t="s">
        <v>19</v>
      </c>
      <c r="J9816" s="2" t="s">
        <v>12</v>
      </c>
      <c r="K9816" s="2" t="s">
        <v>13191</v>
      </c>
      <c r="L9816" s="2">
        <f t="shared" si="153"/>
        <v>21</v>
      </c>
    </row>
    <row r="9817" spans="1:12" ht="25" customHeight="1">
      <c r="A9817" s="2" t="s">
        <v>12</v>
      </c>
      <c r="B9817" s="2" t="str">
        <f>HYPERLINK("http://www.12365auto.com/zlts/20200210/446787.shtml","一汽丰田卡罗拉变速箱故障顿挫感强烈")</f>
        <v>一汽丰田卡罗拉变速箱故障顿挫感强烈</v>
      </c>
      <c r="C9817" s="2" t="s">
        <v>13</v>
      </c>
      <c r="D9817" s="2" t="s">
        <v>12</v>
      </c>
      <c r="E9817" s="2" t="s">
        <v>17</v>
      </c>
      <c r="F9817" s="2" t="str">
        <f>HYPERLINK("http://www.12365auto.com/zlts/20200210/446787.shtml","http://www.12365auto.com/zlts/20200210/446787.shtml")</f>
        <v>http://www.12365auto.com/zlts/20200210/446787.shtml</v>
      </c>
      <c r="G9817" s="2"/>
      <c r="H9817" s="2" t="s">
        <v>13192</v>
      </c>
      <c r="I9817" s="2" t="s">
        <v>19</v>
      </c>
      <c r="J9817" s="2" t="s">
        <v>12</v>
      </c>
      <c r="K9817" s="2" t="s">
        <v>13193</v>
      </c>
      <c r="L9817" s="2">
        <f t="shared" si="153"/>
        <v>150</v>
      </c>
    </row>
    <row r="9818" spans="1:12" ht="25" customHeight="1">
      <c r="A9818" s="2" t="s">
        <v>12</v>
      </c>
      <c r="B9818" s="2" t="str">
        <f>HYPERLINK("http://www.12365auto.com/zlts/20200210/446783.shtml","广汽本田雅阁发动机渗油无解决方案")</f>
        <v>广汽本田雅阁发动机渗油无解决方案</v>
      </c>
      <c r="C9818" s="2" t="s">
        <v>13</v>
      </c>
      <c r="D9818" s="2" t="s">
        <v>12</v>
      </c>
      <c r="E9818" s="2" t="s">
        <v>17</v>
      </c>
      <c r="F9818" s="2" t="str">
        <f>HYPERLINK("http://www.12365auto.com/zlts/20200210/446783.shtml","http://www.12365auto.com/zlts/20200210/446783.shtml")</f>
        <v>http://www.12365auto.com/zlts/20200210/446783.shtml</v>
      </c>
      <c r="G9818" s="2"/>
      <c r="H9818" s="2" t="s">
        <v>13194</v>
      </c>
      <c r="I9818" s="2" t="s">
        <v>19</v>
      </c>
      <c r="J9818" s="2" t="s">
        <v>12</v>
      </c>
      <c r="K9818" s="2" t="s">
        <v>13195</v>
      </c>
      <c r="L9818" s="2">
        <f t="shared" si="153"/>
        <v>150</v>
      </c>
    </row>
    <row r="9819" spans="1:12" ht="25" customHeight="1">
      <c r="A9819" s="2" t="s">
        <v>12</v>
      </c>
      <c r="B9819" s="2" t="str">
        <f>HYPERLINK("http://www.12365auto.com/zlts/20200210/446782.shtml","纳智捷优 6SUV中控台和减震器存在异响")</f>
        <v>纳智捷优 6SUV中控台和减震器存在异响</v>
      </c>
      <c r="C9819" s="2" t="s">
        <v>13</v>
      </c>
      <c r="D9819" s="2" t="s">
        <v>12</v>
      </c>
      <c r="E9819" s="2" t="s">
        <v>17</v>
      </c>
      <c r="F9819" s="2" t="str">
        <f>HYPERLINK("http://www.12365auto.com/zlts/20200210/446782.shtml","http://www.12365auto.com/zlts/20200210/446782.shtml")</f>
        <v>http://www.12365auto.com/zlts/20200210/446782.shtml</v>
      </c>
      <c r="G9819" s="2"/>
      <c r="H9819" s="2" t="s">
        <v>13196</v>
      </c>
      <c r="I9819" s="2" t="s">
        <v>19</v>
      </c>
      <c r="J9819" s="2" t="s">
        <v>12</v>
      </c>
      <c r="K9819" s="2" t="s">
        <v>13197</v>
      </c>
      <c r="L9819" s="2">
        <f t="shared" si="153"/>
        <v>150</v>
      </c>
    </row>
    <row r="9820" spans="1:12" ht="25" customHeight="1">
      <c r="A9820" s="2" t="s">
        <v>12</v>
      </c>
      <c r="B9820" s="2" t="str">
        <f>HYPERLINK("http://www.12365auto.com/zlts/20200210/446780.shtml","捷途X90行驶四百公里后离合器片烧毁")</f>
        <v>捷途X90行驶四百公里后离合器片烧毁</v>
      </c>
      <c r="C9820" s="2" t="s">
        <v>13</v>
      </c>
      <c r="D9820" s="2" t="s">
        <v>12</v>
      </c>
      <c r="E9820" s="2" t="s">
        <v>17</v>
      </c>
      <c r="F9820" s="2" t="str">
        <f>HYPERLINK("http://www.12365auto.com/zlts/20200210/446780.shtml","http://www.12365auto.com/zlts/20200210/446780.shtml")</f>
        <v>http://www.12365auto.com/zlts/20200210/446780.shtml</v>
      </c>
      <c r="G9820" s="2"/>
      <c r="H9820" s="2" t="s">
        <v>13198</v>
      </c>
      <c r="I9820" s="2" t="s">
        <v>15</v>
      </c>
      <c r="J9820" s="2" t="s">
        <v>12</v>
      </c>
      <c r="K9820" s="2" t="s">
        <v>13199</v>
      </c>
      <c r="L9820" s="2">
        <f t="shared" si="153"/>
        <v>150</v>
      </c>
    </row>
    <row r="9821" spans="1:12" ht="25" customHeight="1">
      <c r="A9821" s="2" t="s">
        <v>12</v>
      </c>
      <c r="B9821" s="2" t="str">
        <f>HYPERLINK("http://www.12365auto.com/zlts/20200210/446779.shtml","哈弗H9发动机噪音大动力减弱抖动")</f>
        <v>哈弗H9发动机噪音大动力减弱抖动</v>
      </c>
      <c r="C9821" s="2" t="s">
        <v>13</v>
      </c>
      <c r="D9821" s="2" t="s">
        <v>12</v>
      </c>
      <c r="E9821" s="2" t="s">
        <v>17</v>
      </c>
      <c r="F9821" s="2" t="str">
        <f>HYPERLINK("http://www.12365auto.com/zlts/20200210/446779.shtml","http://www.12365auto.com/zlts/20200210/446779.shtml")</f>
        <v>http://www.12365auto.com/zlts/20200210/446779.shtml</v>
      </c>
      <c r="G9821" s="2"/>
      <c r="H9821" s="2" t="s">
        <v>13200</v>
      </c>
      <c r="I9821" s="2" t="s">
        <v>19</v>
      </c>
      <c r="J9821" s="2" t="s">
        <v>12</v>
      </c>
      <c r="K9821" s="2" t="s">
        <v>13201</v>
      </c>
      <c r="L9821" s="2">
        <f t="shared" si="153"/>
        <v>150</v>
      </c>
    </row>
    <row r="9822" spans="1:12" ht="25" customHeight="1">
      <c r="A9822" s="2" t="s">
        <v>12</v>
      </c>
      <c r="B9822" s="2" t="str">
        <f>HYPERLINK("http://www.12365auto.com/xcdg/20200210/418158.shtml","新款三菱Mirage官图发布 搭载1.2L发动机")</f>
        <v>新款三菱Mirage官图发布 搭载1.2L发动机</v>
      </c>
      <c r="C9822" s="2" t="s">
        <v>13</v>
      </c>
      <c r="D9822" s="2" t="s">
        <v>12</v>
      </c>
      <c r="E9822" s="2" t="s">
        <v>245</v>
      </c>
      <c r="F9822" s="2" t="str">
        <f>HYPERLINK("http://www.12365auto.com/xcdg/20200210/418158.shtml","http://www.12365auto.com/xcdg/20200210/418158.shtml")</f>
        <v>http://www.12365auto.com/xcdg/20200210/418158.shtml</v>
      </c>
      <c r="G9822" s="2"/>
      <c r="H9822" s="2" t="s">
        <v>13202</v>
      </c>
      <c r="I9822" s="2" t="s">
        <v>19</v>
      </c>
      <c r="J9822" s="2" t="s">
        <v>12</v>
      </c>
      <c r="K9822" s="2" t="s">
        <v>13203</v>
      </c>
      <c r="L9822" s="2">
        <f t="shared" si="153"/>
        <v>150</v>
      </c>
    </row>
    <row r="9823" spans="1:12" ht="25" customHeight="1">
      <c r="A9823" s="2" t="s">
        <v>12</v>
      </c>
      <c r="B9823" s="2" t="str">
        <f>HYPERLINK("http://m.12365auto.com/xcdg/20200210/418158.shtml","新款三菱Mirage官图发布 搭载1.2L发动机")</f>
        <v>新款三菱Mirage官图发布 搭载1.2L发动机</v>
      </c>
      <c r="C9823" s="2" t="s">
        <v>13</v>
      </c>
      <c r="D9823" s="2" t="s">
        <v>12</v>
      </c>
      <c r="E9823" s="2"/>
      <c r="F9823" s="2" t="str">
        <f>HYPERLINK("http://m.12365auto.com/xcdg/20200210/418158.shtml","http://m.12365auto.com/xcdg/20200210/418158.shtml")</f>
        <v>http://m.12365auto.com/xcdg/20200210/418158.shtml</v>
      </c>
      <c r="G9823" s="2"/>
      <c r="H9823" s="2" t="s">
        <v>13204</v>
      </c>
      <c r="I9823" s="2" t="s">
        <v>19</v>
      </c>
      <c r="J9823" s="2" t="s">
        <v>12</v>
      </c>
      <c r="K9823" s="2" t="s">
        <v>13203</v>
      </c>
      <c r="L9823" s="2">
        <f t="shared" si="153"/>
        <v>150</v>
      </c>
    </row>
    <row r="9824" spans="1:12" ht="25" customHeight="1">
      <c r="A9824" s="2" t="s">
        <v>12</v>
      </c>
      <c r="B9824" s="2" t="str">
        <f>HYPERLINK("http://www.12365auto.com/zlts/20200210/446775.shtml","奇瑞艾瑞泽5车门生锈要求更换车门")</f>
        <v>奇瑞艾瑞泽5车门生锈要求更换车门</v>
      </c>
      <c r="C9824" s="2" t="s">
        <v>13</v>
      </c>
      <c r="D9824" s="2" t="s">
        <v>12</v>
      </c>
      <c r="E9824" s="2" t="s">
        <v>17</v>
      </c>
      <c r="F9824" s="2" t="str">
        <f>HYPERLINK("http://www.12365auto.com/zlts/20200210/446775.shtml","http://www.12365auto.com/zlts/20200210/446775.shtml")</f>
        <v>http://www.12365auto.com/zlts/20200210/446775.shtml</v>
      </c>
      <c r="G9824" s="2"/>
      <c r="H9824" s="2" t="s">
        <v>13205</v>
      </c>
      <c r="I9824" s="2" t="s">
        <v>15</v>
      </c>
      <c r="J9824" s="2" t="s">
        <v>12</v>
      </c>
      <c r="K9824" s="2" t="s">
        <v>13206</v>
      </c>
      <c r="L9824" s="2">
        <f t="shared" si="153"/>
        <v>150</v>
      </c>
    </row>
    <row r="9825" spans="1:12" ht="25" customHeight="1">
      <c r="A9825" s="2" t="s">
        <v>12</v>
      </c>
      <c r="B9825" s="2" t="str">
        <f>HYPERLINK("http://www.12365auto.com/zlts/20200210/446774.shtml","华晨宝马3系电池老化过快导致无法启动")</f>
        <v>华晨宝马3系电池老化过快导致无法启动</v>
      </c>
      <c r="C9825" s="2" t="s">
        <v>13</v>
      </c>
      <c r="D9825" s="2" t="s">
        <v>12</v>
      </c>
      <c r="E9825" s="2" t="s">
        <v>17</v>
      </c>
      <c r="F9825" s="2" t="str">
        <f>HYPERLINK("http://www.12365auto.com/zlts/20200210/446774.shtml","http://www.12365auto.com/zlts/20200210/446774.shtml")</f>
        <v>http://www.12365auto.com/zlts/20200210/446774.shtml</v>
      </c>
      <c r="G9825" s="2"/>
      <c r="H9825" s="2" t="s">
        <v>13207</v>
      </c>
      <c r="I9825" s="2" t="s">
        <v>15</v>
      </c>
      <c r="J9825" s="2" t="s">
        <v>12</v>
      </c>
      <c r="K9825" s="2" t="s">
        <v>13208</v>
      </c>
      <c r="L9825" s="2">
        <f t="shared" si="153"/>
        <v>150</v>
      </c>
    </row>
    <row r="9826" spans="1:12" ht="25" customHeight="1">
      <c r="A9826" s="2" t="s">
        <v>12</v>
      </c>
      <c r="B9826" s="2" t="str">
        <f>HYPERLINK("http://www.12365auto.com/xcdg/20200210/418157.shtml","宝马电动SUV来袭 iX3将于下半年上市")</f>
        <v>宝马电动SUV来袭 iX3将于下半年上市</v>
      </c>
      <c r="C9826" s="2" t="s">
        <v>13</v>
      </c>
      <c r="D9826" s="2" t="s">
        <v>12</v>
      </c>
      <c r="E9826" s="2" t="s">
        <v>245</v>
      </c>
      <c r="F9826" s="2" t="str">
        <f>HYPERLINK("http://www.12365auto.com/xcdg/20200210/418157.shtml","http://www.12365auto.com/xcdg/20200210/418157.shtml")</f>
        <v>http://www.12365auto.com/xcdg/20200210/418157.shtml</v>
      </c>
      <c r="G9826" s="2"/>
      <c r="H9826" s="2" t="s">
        <v>13209</v>
      </c>
      <c r="I9826" s="2" t="s">
        <v>19</v>
      </c>
      <c r="J9826" s="2" t="s">
        <v>12</v>
      </c>
      <c r="K9826" s="2" t="s">
        <v>13210</v>
      </c>
      <c r="L9826" s="2">
        <f t="shared" si="153"/>
        <v>150</v>
      </c>
    </row>
    <row r="9827" spans="1:12" ht="25" customHeight="1">
      <c r="A9827" s="2" t="s">
        <v>12</v>
      </c>
      <c r="B9827" s="2" t="str">
        <f>HYPERLINK("http://m.12365auto.com/xcdg/20200210/418157.shtml","宝马电动SUV来袭 iX3将于下半年上市")</f>
        <v>宝马电动SUV来袭 iX3将于下半年上市</v>
      </c>
      <c r="C9827" s="2" t="s">
        <v>13</v>
      </c>
      <c r="D9827" s="2" t="s">
        <v>12</v>
      </c>
      <c r="E9827" s="2"/>
      <c r="F9827" s="2" t="str">
        <f>HYPERLINK("http://m.12365auto.com/xcdg/20200210/418157.shtml","http://m.12365auto.com/xcdg/20200210/418157.shtml")</f>
        <v>http://m.12365auto.com/xcdg/20200210/418157.shtml</v>
      </c>
      <c r="G9827" s="2"/>
      <c r="H9827" s="2" t="s">
        <v>13211</v>
      </c>
      <c r="I9827" s="2" t="s">
        <v>19</v>
      </c>
      <c r="J9827" s="2" t="s">
        <v>13212</v>
      </c>
      <c r="K9827" s="2" t="s">
        <v>13210</v>
      </c>
      <c r="L9827" s="2">
        <f t="shared" si="153"/>
        <v>150</v>
      </c>
    </row>
    <row r="9828" spans="1:12" ht="25" customHeight="1">
      <c r="A9828" s="2" t="s">
        <v>12</v>
      </c>
      <c r="B9828" s="2" t="str">
        <f>HYPERLINK("http://www.12365auto.com/zlts/20200210/446770.shtml","吉利帝豪新能源空调制热故障存在质量问题")</f>
        <v>吉利帝豪新能源空调制热故障存在质量问题</v>
      </c>
      <c r="C9828" s="2" t="s">
        <v>13</v>
      </c>
      <c r="D9828" s="2" t="s">
        <v>12</v>
      </c>
      <c r="E9828" s="2" t="s">
        <v>17</v>
      </c>
      <c r="F9828" s="2" t="str">
        <f>HYPERLINK("http://www.12365auto.com/zlts/20200210/446770.shtml","http://www.12365auto.com/zlts/20200210/446770.shtml")</f>
        <v>http://www.12365auto.com/zlts/20200210/446770.shtml</v>
      </c>
      <c r="G9828" s="2"/>
      <c r="H9828" s="2" t="s">
        <v>13213</v>
      </c>
      <c r="I9828" s="2" t="s">
        <v>19</v>
      </c>
      <c r="J9828" s="2" t="s">
        <v>12</v>
      </c>
      <c r="K9828" s="2" t="s">
        <v>13214</v>
      </c>
      <c r="L9828" s="2">
        <f t="shared" si="153"/>
        <v>150</v>
      </c>
    </row>
    <row r="9829" spans="1:12" ht="25" customHeight="1">
      <c r="A9829" s="2" t="s">
        <v>12</v>
      </c>
      <c r="B9829" s="2" t="str">
        <f>HYPERLINK("http://www.12365auto.com/zlts/20200210/446771.shtml","广汽本田雅阁后尾灯进水希望厂家更换车灯")</f>
        <v>广汽本田雅阁后尾灯进水希望厂家更换车灯</v>
      </c>
      <c r="C9829" s="2" t="s">
        <v>13</v>
      </c>
      <c r="D9829" s="2" t="s">
        <v>12</v>
      </c>
      <c r="E9829" s="2" t="s">
        <v>17</v>
      </c>
      <c r="F9829" s="2" t="str">
        <f>HYPERLINK("http://www.12365auto.com/zlts/20200210/446771.shtml","http://www.12365auto.com/zlts/20200210/446771.shtml")</f>
        <v>http://www.12365auto.com/zlts/20200210/446771.shtml</v>
      </c>
      <c r="G9829" s="2"/>
      <c r="H9829" s="2" t="s">
        <v>13215</v>
      </c>
      <c r="I9829" s="2" t="s">
        <v>15</v>
      </c>
      <c r="J9829" s="2" t="s">
        <v>12</v>
      </c>
      <c r="K9829" s="2" t="s">
        <v>13214</v>
      </c>
      <c r="L9829" s="2">
        <f t="shared" si="153"/>
        <v>150</v>
      </c>
    </row>
    <row r="9830" spans="1:12" ht="25" customHeight="1">
      <c r="A9830" s="2" t="s">
        <v>12</v>
      </c>
      <c r="B9830" s="2" t="str">
        <f>HYPERLINK("http://www.12365auto.com/zlts/20200210/446769.shtml","北京现代悦动发动机无法启动要求解决")</f>
        <v>北京现代悦动发动机无法启动要求解决</v>
      </c>
      <c r="C9830" s="2" t="s">
        <v>13</v>
      </c>
      <c r="D9830" s="2" t="s">
        <v>12</v>
      </c>
      <c r="E9830" s="2" t="s">
        <v>17</v>
      </c>
      <c r="F9830" s="2" t="str">
        <f>HYPERLINK("http://www.12365auto.com/zlts/20200210/446769.shtml","http://www.12365auto.com/zlts/20200210/446769.shtml")</f>
        <v>http://www.12365auto.com/zlts/20200210/446769.shtml</v>
      </c>
      <c r="G9830" s="2"/>
      <c r="H9830" s="2" t="s">
        <v>13216</v>
      </c>
      <c r="I9830" s="2" t="s">
        <v>15</v>
      </c>
      <c r="J9830" s="2" t="s">
        <v>12</v>
      </c>
      <c r="K9830" s="2" t="s">
        <v>13217</v>
      </c>
      <c r="L9830" s="2">
        <f t="shared" si="153"/>
        <v>150</v>
      </c>
    </row>
    <row r="9831" spans="1:12" ht="25" customHeight="1">
      <c r="A9831" s="2" t="s">
        <v>12</v>
      </c>
      <c r="B9831" s="2" t="str">
        <f>HYPERLINK("http://www.12365auto.com/zlts/20200210/446768.shtml","领克01自动启停电瓶亏电导致启停失灵")</f>
        <v>领克01自动启停电瓶亏电导致启停失灵</v>
      </c>
      <c r="C9831" s="2" t="s">
        <v>13</v>
      </c>
      <c r="D9831" s="2" t="s">
        <v>12</v>
      </c>
      <c r="E9831" s="2" t="s">
        <v>17</v>
      </c>
      <c r="F9831" s="2" t="str">
        <f>HYPERLINK("http://www.12365auto.com/zlts/20200210/446768.shtml","http://www.12365auto.com/zlts/20200210/446768.shtml")</f>
        <v>http://www.12365auto.com/zlts/20200210/446768.shtml</v>
      </c>
      <c r="G9831" s="2"/>
      <c r="H9831" s="2" t="s">
        <v>13218</v>
      </c>
      <c r="I9831" s="2" t="s">
        <v>15</v>
      </c>
      <c r="J9831" s="2" t="s">
        <v>12</v>
      </c>
      <c r="K9831" s="2" t="s">
        <v>13219</v>
      </c>
      <c r="L9831" s="2">
        <f t="shared" si="153"/>
        <v>150</v>
      </c>
    </row>
    <row r="9832" spans="1:12" ht="25" customHeight="1">
      <c r="A9832" s="2" t="s">
        <v>12</v>
      </c>
      <c r="B9832" s="2" t="str">
        <f>HYPERLINK("http://www.12365auto.com/zlts/20200210/446765.shtml","斯柯达明锐车内异味一直无法解决")</f>
        <v>斯柯达明锐车内异味一直无法解决</v>
      </c>
      <c r="C9832" s="2" t="s">
        <v>13</v>
      </c>
      <c r="D9832" s="2" t="s">
        <v>12</v>
      </c>
      <c r="E9832" s="2"/>
      <c r="F9832" s="2" t="str">
        <f>HYPERLINK("http://www.12365auto.com/zlts/20200210/446765.shtml","http://www.12365auto.com/zlts/20200210/446765.shtml")</f>
        <v>http://www.12365auto.com/zlts/20200210/446765.shtml</v>
      </c>
      <c r="G9832" s="2"/>
      <c r="H9832" s="2" t="s">
        <v>13221</v>
      </c>
      <c r="I9832" s="2" t="s">
        <v>15</v>
      </c>
      <c r="J9832" s="2" t="s">
        <v>12</v>
      </c>
      <c r="K9832" s="2" t="s">
        <v>13220</v>
      </c>
      <c r="L9832" s="2">
        <f t="shared" si="153"/>
        <v>81</v>
      </c>
    </row>
    <row r="9833" spans="1:12" ht="25" customHeight="1">
      <c r="A9833" s="2" t="s">
        <v>12</v>
      </c>
      <c r="B9833" s="2" t="str">
        <f>HYPERLINK("http://www.12365auto.com/zlts/20200210/446766.shtml","一汽大众迈腾变速箱机电控制单元损坏")</f>
        <v>一汽大众迈腾变速箱机电控制单元损坏</v>
      </c>
      <c r="C9833" s="2" t="s">
        <v>13</v>
      </c>
      <c r="D9833" s="2" t="s">
        <v>12</v>
      </c>
      <c r="E9833" s="2"/>
      <c r="F9833" s="2" t="str">
        <f>HYPERLINK("http://www.12365auto.com/zlts/20200210/446766.shtml","http://www.12365auto.com/zlts/20200210/446766.shtml")</f>
        <v>http://www.12365auto.com/zlts/20200210/446766.shtml</v>
      </c>
      <c r="G9833" s="2"/>
      <c r="H9833" s="2" t="s">
        <v>13223</v>
      </c>
      <c r="I9833" s="2" t="s">
        <v>15</v>
      </c>
      <c r="J9833" s="2" t="s">
        <v>12</v>
      </c>
      <c r="K9833" s="2" t="s">
        <v>13222</v>
      </c>
      <c r="L9833" s="2">
        <f t="shared" si="153"/>
        <v>84</v>
      </c>
    </row>
    <row r="9834" spans="1:12" ht="25" customHeight="1">
      <c r="A9834" s="2" t="s">
        <v>12</v>
      </c>
      <c r="B9834" s="2" t="str">
        <f>HYPERLINK("http://m.12365auto.com/zjdy/20200210/121135.shtml","长安逸动DT轮胎显示异常应该如何处理？")</f>
        <v>长安逸动DT轮胎显示异常应该如何处理？</v>
      </c>
      <c r="C9834" s="2" t="s">
        <v>13</v>
      </c>
      <c r="D9834" s="2" t="s">
        <v>12</v>
      </c>
      <c r="E9834" s="2"/>
      <c r="F9834" s="2" t="str">
        <f>HYPERLINK("http://m.12365auto.com/zjdy/20200210/121135.shtml","http://m.12365auto.com/zjdy/20200210/121135.shtml")</f>
        <v>http://m.12365auto.com/zjdy/20200210/121135.shtml</v>
      </c>
      <c r="G9834" s="2"/>
      <c r="H9834" s="2" t="s">
        <v>13224</v>
      </c>
      <c r="I9834" s="2" t="s">
        <v>19</v>
      </c>
      <c r="J9834" s="2" t="s">
        <v>12</v>
      </c>
      <c r="K9834" s="2" t="s">
        <v>13225</v>
      </c>
      <c r="L9834" s="2">
        <f t="shared" si="153"/>
        <v>53</v>
      </c>
    </row>
    <row r="9835" spans="1:12" ht="25" customHeight="1">
      <c r="A9835" s="2" t="s">
        <v>12</v>
      </c>
      <c r="B9835" s="2" t="str">
        <f>HYPERLINK("http://m.12365auto.com/zjdy/20200210/121136.shtml","长安逸动电量消耗快应该如何处理？")</f>
        <v>长安逸动电量消耗快应该如何处理？</v>
      </c>
      <c r="C9835" s="2" t="s">
        <v>13</v>
      </c>
      <c r="D9835" s="2" t="s">
        <v>12</v>
      </c>
      <c r="E9835" s="2"/>
      <c r="F9835" s="2" t="str">
        <f>HYPERLINK("http://m.12365auto.com/zjdy/20200210/121136.shtml","http://m.12365auto.com/zjdy/20200210/121136.shtml")</f>
        <v>http://m.12365auto.com/zjdy/20200210/121136.shtml</v>
      </c>
      <c r="G9835" s="2"/>
      <c r="H9835" s="2" t="s">
        <v>13226</v>
      </c>
      <c r="I9835" s="2" t="s">
        <v>19</v>
      </c>
      <c r="J9835" s="2" t="s">
        <v>12</v>
      </c>
      <c r="K9835" s="2" t="s">
        <v>13227</v>
      </c>
      <c r="L9835" s="2">
        <f t="shared" si="153"/>
        <v>32</v>
      </c>
    </row>
    <row r="9836" spans="1:12" ht="25" customHeight="1">
      <c r="A9836" s="2" t="s">
        <v>12</v>
      </c>
      <c r="B9836" s="2" t="str">
        <f>HYPERLINK("http://m.12365auto.com/zjdy/20200210/121134.shtml","君越显示牵引系统故障和TC故障灯怎么办？")</f>
        <v>君越显示牵引系统故障和TC故障灯怎么办？</v>
      </c>
      <c r="C9836" s="2" t="s">
        <v>13</v>
      </c>
      <c r="D9836" s="2" t="s">
        <v>12</v>
      </c>
      <c r="E9836" s="2"/>
      <c r="F9836" s="2" t="str">
        <f>HYPERLINK("http://m.12365auto.com/zjdy/20200210/121134.shtml","http://m.12365auto.com/zjdy/20200210/121134.shtml")</f>
        <v>http://m.12365auto.com/zjdy/20200210/121134.shtml</v>
      </c>
      <c r="G9836" s="2"/>
      <c r="H9836" s="2" t="s">
        <v>13228</v>
      </c>
      <c r="I9836" s="2" t="s">
        <v>19</v>
      </c>
      <c r="J9836" s="2" t="s">
        <v>12</v>
      </c>
      <c r="K9836" s="2" t="s">
        <v>13227</v>
      </c>
      <c r="L9836" s="2">
        <f t="shared" si="153"/>
        <v>79</v>
      </c>
    </row>
    <row r="9837" spans="1:12" ht="25" customHeight="1">
      <c r="A9837" s="2" t="s">
        <v>12</v>
      </c>
      <c r="B9837" s="2" t="str">
        <f>HYPERLINK("http://www.12365auto.com/zlts/20200210/446761.shtml","长安CS35发动机正时链条磨损严重")</f>
        <v>长安CS35发动机正时链条磨损严重</v>
      </c>
      <c r="C9837" s="2" t="s">
        <v>13</v>
      </c>
      <c r="D9837" s="2" t="s">
        <v>12</v>
      </c>
      <c r="E9837" s="2"/>
      <c r="F9837" s="2" t="str">
        <f>HYPERLINK("http://www.12365auto.com/zlts/20200210/446761.shtml","http://www.12365auto.com/zlts/20200210/446761.shtml")</f>
        <v>http://www.12365auto.com/zlts/20200210/446761.shtml</v>
      </c>
      <c r="G9837" s="2"/>
      <c r="H9837" s="2" t="s">
        <v>13230</v>
      </c>
      <c r="I9837" s="2" t="s">
        <v>15</v>
      </c>
      <c r="J9837" s="2" t="s">
        <v>12</v>
      </c>
      <c r="K9837" s="2" t="s">
        <v>13229</v>
      </c>
      <c r="L9837" s="2">
        <f t="shared" si="153"/>
        <v>84</v>
      </c>
    </row>
    <row r="9838" spans="1:12" ht="25" customHeight="1">
      <c r="A9838" s="2" t="s">
        <v>12</v>
      </c>
      <c r="B9838" s="2" t="str">
        <f>HYPERLINK("http://m.12365auto.com/zjdy/20200210/121132.shtml","别克君越和丰田亚洲龙哪款用车成本低？")</f>
        <v>别克君越和丰田亚洲龙哪款用车成本低？</v>
      </c>
      <c r="C9838" s="2" t="s">
        <v>13</v>
      </c>
      <c r="D9838" s="2" t="s">
        <v>12</v>
      </c>
      <c r="E9838" s="2"/>
      <c r="F9838" s="2" t="str">
        <f>HYPERLINK("http://m.12365auto.com/zjdy/20200210/121132.shtml","http://m.12365auto.com/zjdy/20200210/121132.shtml")</f>
        <v>http://m.12365auto.com/zjdy/20200210/121132.shtml</v>
      </c>
      <c r="G9838" s="2"/>
      <c r="H9838" s="2" t="s">
        <v>13231</v>
      </c>
      <c r="I9838" s="2" t="s">
        <v>19</v>
      </c>
      <c r="J9838" s="2" t="s">
        <v>12</v>
      </c>
      <c r="K9838" s="2" t="s">
        <v>13232</v>
      </c>
      <c r="L9838" s="2">
        <f t="shared" si="153"/>
        <v>20</v>
      </c>
    </row>
    <row r="9839" spans="1:12" ht="25" customHeight="1">
      <c r="A9839" s="2" t="s">
        <v>12</v>
      </c>
      <c r="B9839" s="2" t="str">
        <f>HYPERLINK("http://www.12365auto.com/zlts/20200210/446762.shtml","众泰E200行驶中频繁断电 加速动力不足")</f>
        <v>众泰E200行驶中频繁断电 加速动力不足</v>
      </c>
      <c r="C9839" s="2" t="s">
        <v>13</v>
      </c>
      <c r="D9839" s="2" t="s">
        <v>12</v>
      </c>
      <c r="E9839" s="2"/>
      <c r="F9839" s="2" t="str">
        <f>HYPERLINK("http://www.12365auto.com/zlts/20200210/446762.shtml","http://www.12365auto.com/zlts/20200210/446762.shtml")</f>
        <v>http://www.12365auto.com/zlts/20200210/446762.shtml</v>
      </c>
      <c r="G9839" s="2"/>
      <c r="H9839" s="2" t="s">
        <v>13233</v>
      </c>
      <c r="I9839" s="2" t="s">
        <v>15</v>
      </c>
      <c r="J9839" s="2" t="s">
        <v>12</v>
      </c>
      <c r="K9839" s="2" t="s">
        <v>13232</v>
      </c>
      <c r="L9839" s="2">
        <f t="shared" si="153"/>
        <v>84</v>
      </c>
    </row>
    <row r="9840" spans="1:12" ht="25" customHeight="1">
      <c r="A9840" s="2" t="s">
        <v>12</v>
      </c>
      <c r="B9840" s="2" t="str">
        <f>HYPERLINK("http://m.12365auto.com/zjdy/20200210/121133.shtml","车辆防盗系统锁止怎么打开车门与启动？")</f>
        <v>车辆防盗系统锁止怎么打开车门与启动？</v>
      </c>
      <c r="C9840" s="2" t="s">
        <v>13</v>
      </c>
      <c r="D9840" s="2" t="s">
        <v>12</v>
      </c>
      <c r="E9840" s="2"/>
      <c r="F9840" s="2" t="str">
        <f>HYPERLINK("http://m.12365auto.com/zjdy/20200210/121133.shtml","http://m.12365auto.com/zjdy/20200210/121133.shtml")</f>
        <v>http://m.12365auto.com/zjdy/20200210/121133.shtml</v>
      </c>
      <c r="G9840" s="2"/>
      <c r="H9840" s="2" t="s">
        <v>13234</v>
      </c>
      <c r="I9840" s="2" t="s">
        <v>19</v>
      </c>
      <c r="J9840" s="2" t="s">
        <v>12</v>
      </c>
      <c r="K9840" s="2" t="s">
        <v>13235</v>
      </c>
      <c r="L9840" s="2">
        <f t="shared" si="153"/>
        <v>18</v>
      </c>
    </row>
    <row r="9841" spans="1:12" ht="25" customHeight="1">
      <c r="A9841" s="2" t="s">
        <v>12</v>
      </c>
      <c r="B9841" s="2" t="str">
        <f>HYPERLINK("http://www.12365auto.com/zlts/20200210/446764.shtml","猎豹CS9高温报警维修多次无法解决")</f>
        <v>猎豹CS9高温报警维修多次无法解决</v>
      </c>
      <c r="C9841" s="2" t="s">
        <v>13</v>
      </c>
      <c r="D9841" s="2" t="s">
        <v>12</v>
      </c>
      <c r="E9841" s="2" t="s">
        <v>17</v>
      </c>
      <c r="F9841" s="2" t="str">
        <f>HYPERLINK("http://www.12365auto.com/zlts/20200210/446764.shtml","http://www.12365auto.com/zlts/20200210/446764.shtml")</f>
        <v>http://www.12365auto.com/zlts/20200210/446764.shtml</v>
      </c>
      <c r="G9841" s="2"/>
      <c r="H9841" s="2" t="s">
        <v>13236</v>
      </c>
      <c r="I9841" s="2" t="s">
        <v>15</v>
      </c>
      <c r="J9841" s="2" t="s">
        <v>12</v>
      </c>
      <c r="K9841" s="2" t="s">
        <v>13237</v>
      </c>
      <c r="L9841" s="2">
        <f t="shared" si="153"/>
        <v>150</v>
      </c>
    </row>
    <row r="9842" spans="1:12" ht="25" customHeight="1">
      <c r="A9842" s="2" t="s">
        <v>12</v>
      </c>
      <c r="B9842" s="2" t="str">
        <f>HYPERLINK("http://www.12365auto.com/zlts/20200210/446763.shtml","广汽三菱奕歌电瓶亏电 无法启动")</f>
        <v>广汽三菱奕歌电瓶亏电 无法启动</v>
      </c>
      <c r="C9842" s="2" t="s">
        <v>13</v>
      </c>
      <c r="D9842" s="2" t="s">
        <v>12</v>
      </c>
      <c r="E9842" s="2" t="s">
        <v>17</v>
      </c>
      <c r="F9842" s="2" t="str">
        <f>HYPERLINK("http://www.12365auto.com/zlts/20200210/446763.shtml","http://www.12365auto.com/zlts/20200210/446763.shtml")</f>
        <v>http://www.12365auto.com/zlts/20200210/446763.shtml</v>
      </c>
      <c r="G9842" s="2"/>
      <c r="H9842" s="2" t="s">
        <v>13238</v>
      </c>
      <c r="I9842" s="2" t="s">
        <v>19</v>
      </c>
      <c r="J9842" s="2" t="s">
        <v>12</v>
      </c>
      <c r="K9842" s="2" t="s">
        <v>13239</v>
      </c>
      <c r="L9842" s="2">
        <f t="shared" si="153"/>
        <v>150</v>
      </c>
    </row>
    <row r="9843" spans="1:12" ht="25" customHeight="1">
      <c r="A9843" s="2" t="s">
        <v>12</v>
      </c>
      <c r="B9843" s="2" t="str">
        <f>HYPERLINK("http://www.12365auto.com/zlts/20200210/446760.shtml","吉利帝豪刹车盘生锈朝阳轮胎鼓包开裂")</f>
        <v>吉利帝豪刹车盘生锈朝阳轮胎鼓包开裂</v>
      </c>
      <c r="C9843" s="2" t="s">
        <v>13</v>
      </c>
      <c r="D9843" s="2" t="s">
        <v>12</v>
      </c>
      <c r="E9843" s="2" t="s">
        <v>17</v>
      </c>
      <c r="F9843" s="2" t="str">
        <f>HYPERLINK("http://www.12365auto.com/zlts/20200210/446760.shtml","http://www.12365auto.com/zlts/20200210/446760.shtml")</f>
        <v>http://www.12365auto.com/zlts/20200210/446760.shtml</v>
      </c>
      <c r="G9843" s="2"/>
      <c r="H9843" s="2" t="s">
        <v>13240</v>
      </c>
      <c r="I9843" s="2" t="s">
        <v>15</v>
      </c>
      <c r="J9843" s="2" t="s">
        <v>12</v>
      </c>
      <c r="K9843" s="2" t="s">
        <v>13241</v>
      </c>
      <c r="L9843" s="2">
        <f t="shared" si="153"/>
        <v>150</v>
      </c>
    </row>
    <row r="9844" spans="1:12" ht="25" customHeight="1">
      <c r="A9844" s="2" t="s">
        <v>12</v>
      </c>
      <c r="B9844" s="2" t="str">
        <f>HYPERLINK("http://www.12365auto.com/xcdg/20200210/418156.shtml","2020芝加哥车展 JEEP牧马人特别版发布")</f>
        <v>2020芝加哥车展 JEEP牧马人特别版发布</v>
      </c>
      <c r="C9844" s="2" t="s">
        <v>13</v>
      </c>
      <c r="D9844" s="2" t="s">
        <v>12</v>
      </c>
      <c r="E9844" s="2" t="s">
        <v>216</v>
      </c>
      <c r="F9844" s="2" t="str">
        <f>HYPERLINK("http://www.12365auto.com/xcdg/20200210/418156.shtml","http://www.12365auto.com/xcdg/20200210/418156.shtml")</f>
        <v>http://www.12365auto.com/xcdg/20200210/418156.shtml</v>
      </c>
      <c r="G9844" s="2"/>
      <c r="H9844" s="2" t="s">
        <v>13242</v>
      </c>
      <c r="I9844" s="2" t="s">
        <v>15</v>
      </c>
      <c r="J9844" s="2" t="s">
        <v>12</v>
      </c>
      <c r="K9844" s="2" t="s">
        <v>13243</v>
      </c>
      <c r="L9844" s="2">
        <f t="shared" si="153"/>
        <v>150</v>
      </c>
    </row>
    <row r="9845" spans="1:12" ht="25" customHeight="1">
      <c r="A9845" s="2" t="s">
        <v>12</v>
      </c>
      <c r="B9845" s="2" t="str">
        <f>HYPERLINK("http://m.12365auto.com/xcdg/20200210/418156.shtml","2020芝加哥车展 JEEP牧马人特别版发布")</f>
        <v>2020芝加哥车展 JEEP牧马人特别版发布</v>
      </c>
      <c r="C9845" s="2" t="s">
        <v>13</v>
      </c>
      <c r="D9845" s="2" t="s">
        <v>12</v>
      </c>
      <c r="E9845" s="2"/>
      <c r="F9845" s="2" t="str">
        <f>HYPERLINK("http://m.12365auto.com/xcdg/20200210/418156.shtml","http://m.12365auto.com/xcdg/20200210/418156.shtml")</f>
        <v>http://m.12365auto.com/xcdg/20200210/418156.shtml</v>
      </c>
      <c r="G9845" s="2"/>
      <c r="H9845" s="2" t="s">
        <v>13244</v>
      </c>
      <c r="I9845" s="2" t="s">
        <v>19</v>
      </c>
      <c r="J9845" s="2" t="s">
        <v>13245</v>
      </c>
      <c r="K9845" s="2" t="s">
        <v>13243</v>
      </c>
      <c r="L9845" s="2">
        <f t="shared" si="153"/>
        <v>150</v>
      </c>
    </row>
    <row r="9846" spans="1:12" ht="25" customHeight="1">
      <c r="A9846" s="2" t="s">
        <v>12</v>
      </c>
      <c r="B9846" s="2" t="str">
        <f>HYPERLINK("http://www.12365auto.com/zlts/20200210/446757.shtml","郑州日产途达电瓶亏电导致无法启动")</f>
        <v>郑州日产途达电瓶亏电导致无法启动</v>
      </c>
      <c r="C9846" s="2" t="s">
        <v>13</v>
      </c>
      <c r="D9846" s="2" t="s">
        <v>12</v>
      </c>
      <c r="E9846" s="2" t="s">
        <v>17</v>
      </c>
      <c r="F9846" s="2" t="str">
        <f>HYPERLINK("http://www.12365auto.com/zlts/20200210/446757.shtml","http://www.12365auto.com/zlts/20200210/446757.shtml")</f>
        <v>http://www.12365auto.com/zlts/20200210/446757.shtml</v>
      </c>
      <c r="G9846" s="2"/>
      <c r="H9846" s="2" t="s">
        <v>13246</v>
      </c>
      <c r="I9846" s="2" t="s">
        <v>19</v>
      </c>
      <c r="J9846" s="2" t="s">
        <v>12</v>
      </c>
      <c r="K9846" s="2" t="s">
        <v>13247</v>
      </c>
      <c r="L9846" s="2">
        <f t="shared" si="153"/>
        <v>150</v>
      </c>
    </row>
    <row r="9847" spans="1:12" ht="25" customHeight="1">
      <c r="A9847" s="2" t="s">
        <v>12</v>
      </c>
      <c r="B9847" s="2" t="str">
        <f>HYPERLINK("http://www.12365auto.com/zlts/20200210/446758.shtml","广汽丰田雷凌要求4S店尽快安装精品")</f>
        <v>广汽丰田雷凌要求4S店尽快安装精品</v>
      </c>
      <c r="C9847" s="2" t="s">
        <v>13</v>
      </c>
      <c r="D9847" s="2" t="s">
        <v>12</v>
      </c>
      <c r="E9847" s="2" t="s">
        <v>17</v>
      </c>
      <c r="F9847" s="2" t="str">
        <f>HYPERLINK("http://www.12365auto.com/zlts/20200210/446758.shtml","http://www.12365auto.com/zlts/20200210/446758.shtml")</f>
        <v>http://www.12365auto.com/zlts/20200210/446758.shtml</v>
      </c>
      <c r="G9847" s="2"/>
      <c r="H9847" s="2" t="s">
        <v>13248</v>
      </c>
      <c r="I9847" s="2" t="s">
        <v>19</v>
      </c>
      <c r="J9847" s="2" t="s">
        <v>12</v>
      </c>
      <c r="K9847" s="2" t="s">
        <v>13247</v>
      </c>
      <c r="L9847" s="2">
        <f t="shared" si="153"/>
        <v>150</v>
      </c>
    </row>
    <row r="9848" spans="1:12" ht="25" customHeight="1">
      <c r="A9848" s="2" t="s">
        <v>12</v>
      </c>
      <c r="B9848" s="2" t="str">
        <f>HYPERLINK("http://www.12365auto.com/zlts/20200210/446756.shtml","斯柯达速锐发动机缸体破损导致漏防冻液")</f>
        <v>斯柯达速锐发动机缸体破损导致漏防冻液</v>
      </c>
      <c r="C9848" s="2" t="s">
        <v>13</v>
      </c>
      <c r="D9848" s="2" t="s">
        <v>12</v>
      </c>
      <c r="E9848" s="2" t="s">
        <v>17</v>
      </c>
      <c r="F9848" s="2" t="str">
        <f>HYPERLINK("http://www.12365auto.com/zlts/20200210/446756.shtml","http://www.12365auto.com/zlts/20200210/446756.shtml")</f>
        <v>http://www.12365auto.com/zlts/20200210/446756.shtml</v>
      </c>
      <c r="G9848" s="2"/>
      <c r="H9848" s="2" t="s">
        <v>13249</v>
      </c>
      <c r="I9848" s="2" t="s">
        <v>19</v>
      </c>
      <c r="J9848" s="2" t="s">
        <v>12</v>
      </c>
      <c r="K9848" s="2" t="s">
        <v>13250</v>
      </c>
      <c r="L9848" s="2">
        <f t="shared" si="153"/>
        <v>150</v>
      </c>
    </row>
    <row r="9849" spans="1:12" ht="25" customHeight="1">
      <c r="A9849" s="2" t="s">
        <v>12</v>
      </c>
      <c r="B9849" s="2" t="str">
        <f>HYPERLINK("http://www.12365auto.com/zlts/20200210/446754.shtml","吉利帝豪新能源空调不出暖风影响使用")</f>
        <v>吉利帝豪新能源空调不出暖风影响使用</v>
      </c>
      <c r="C9849" s="2" t="s">
        <v>13</v>
      </c>
      <c r="D9849" s="2" t="s">
        <v>12</v>
      </c>
      <c r="E9849" s="2" t="s">
        <v>17</v>
      </c>
      <c r="F9849" s="2" t="str">
        <f>HYPERLINK("http://www.12365auto.com/zlts/20200210/446754.shtml","http://www.12365auto.com/zlts/20200210/446754.shtml")</f>
        <v>http://www.12365auto.com/zlts/20200210/446754.shtml</v>
      </c>
      <c r="G9849" s="2"/>
      <c r="H9849" s="2" t="s">
        <v>13251</v>
      </c>
      <c r="I9849" s="2" t="s">
        <v>19</v>
      </c>
      <c r="J9849" s="2" t="s">
        <v>12</v>
      </c>
      <c r="K9849" s="2" t="s">
        <v>13252</v>
      </c>
      <c r="L9849" s="2">
        <f t="shared" si="153"/>
        <v>150</v>
      </c>
    </row>
    <row r="9850" spans="1:12" ht="25" customHeight="1">
      <c r="A9850" s="2" t="s">
        <v>12</v>
      </c>
      <c r="B9850" s="2" t="str">
        <f>HYPERLINK("http://www.12365auto.com/zlts/20200210/446751.shtml","东风悦达起亚KX CROSS怠速时发动机抖动")</f>
        <v>东风悦达起亚KX CROSS怠速时发动机抖动</v>
      </c>
      <c r="C9850" s="2" t="s">
        <v>13</v>
      </c>
      <c r="D9850" s="2" t="s">
        <v>12</v>
      </c>
      <c r="E9850" s="2"/>
      <c r="F9850" s="2" t="str">
        <f>HYPERLINK("http://www.12365auto.com/zlts/20200210/446751.shtml","http://www.12365auto.com/zlts/20200210/446751.shtml")</f>
        <v>http://www.12365auto.com/zlts/20200210/446751.shtml</v>
      </c>
      <c r="G9850" s="2"/>
      <c r="H9850" s="2" t="s">
        <v>13254</v>
      </c>
      <c r="I9850" s="2" t="s">
        <v>15</v>
      </c>
      <c r="J9850" s="2" t="s">
        <v>12</v>
      </c>
      <c r="K9850" s="2" t="s">
        <v>13253</v>
      </c>
      <c r="L9850" s="2">
        <f t="shared" si="153"/>
        <v>90</v>
      </c>
    </row>
    <row r="9851" spans="1:12" ht="25" customHeight="1">
      <c r="A9851" s="2" t="s">
        <v>12</v>
      </c>
      <c r="B9851" s="2" t="str">
        <f>HYPERLINK("http://www.12365auto.com/zlts/20200210/446753.shtml","停放超3天就会亏电无法启动")</f>
        <v>停放超3天就会亏电无法启动</v>
      </c>
      <c r="C9851" s="2" t="s">
        <v>13</v>
      </c>
      <c r="D9851" s="2" t="s">
        <v>12</v>
      </c>
      <c r="E9851" s="2"/>
      <c r="F9851" s="2" t="str">
        <f>HYPERLINK("http://www.12365auto.com/zlts/20200210/446753.shtml","http://www.12365auto.com/zlts/20200210/446753.shtml")</f>
        <v>http://www.12365auto.com/zlts/20200210/446753.shtml</v>
      </c>
      <c r="G9851" s="2"/>
      <c r="H9851" s="2" t="s">
        <v>13256</v>
      </c>
      <c r="I9851" s="2" t="s">
        <v>15</v>
      </c>
      <c r="J9851" s="2" t="s">
        <v>12</v>
      </c>
      <c r="K9851" s="2" t="s">
        <v>13255</v>
      </c>
      <c r="L9851" s="2">
        <f t="shared" si="153"/>
        <v>83</v>
      </c>
    </row>
    <row r="9852" spans="1:12" ht="25" customHeight="1">
      <c r="A9852" s="2" t="s">
        <v>12</v>
      </c>
      <c r="B9852" s="2" t="str">
        <f>HYPERLINK("http://www.12365auto.com/zlts/20200210/446749.shtml","一汽奔腾T77发动机和胎压监测故障灯亮")</f>
        <v>一汽奔腾T77发动机和胎压监测故障灯亮</v>
      </c>
      <c r="C9852" s="2" t="s">
        <v>13</v>
      </c>
      <c r="D9852" s="2" t="s">
        <v>12</v>
      </c>
      <c r="E9852" s="2" t="s">
        <v>17</v>
      </c>
      <c r="F9852" s="2" t="str">
        <f>HYPERLINK("http://www.12365auto.com/zlts/20200210/446749.shtml","http://www.12365auto.com/zlts/20200210/446749.shtml")</f>
        <v>http://www.12365auto.com/zlts/20200210/446749.shtml</v>
      </c>
      <c r="G9852" s="2"/>
      <c r="H9852" s="2" t="s">
        <v>13257</v>
      </c>
      <c r="I9852" s="2" t="s">
        <v>19</v>
      </c>
      <c r="J9852" s="2" t="s">
        <v>12</v>
      </c>
      <c r="K9852" s="2" t="s">
        <v>13258</v>
      </c>
      <c r="L9852" s="2">
        <f t="shared" si="153"/>
        <v>150</v>
      </c>
    </row>
    <row r="9853" spans="1:12" ht="25" customHeight="1">
      <c r="A9853" s="2" t="s">
        <v>12</v>
      </c>
      <c r="B9853" s="2" t="str">
        <f>HYPERLINK("http://bbs.12365auto.com/postcontent.aspx?tID=193708","补过的轮胎还能不能上高速跑120")</f>
        <v>补过的轮胎还能不能上高速跑120</v>
      </c>
      <c r="C9853" s="2" t="s">
        <v>13</v>
      </c>
      <c r="D9853" s="2" t="s">
        <v>12</v>
      </c>
      <c r="E9853" s="2" t="s">
        <v>28</v>
      </c>
      <c r="F9853" s="2" t="str">
        <f>HYPERLINK("http://bbs.12365auto.com/postcontent.aspx?tID=193708","http://bbs.12365auto.com/postcontent.aspx?tID=193708")</f>
        <v>http://bbs.12365auto.com/postcontent.aspx?tID=193708</v>
      </c>
      <c r="G9853" s="2"/>
      <c r="H9853" s="2" t="s">
        <v>13259</v>
      </c>
      <c r="I9853" s="2" t="s">
        <v>15</v>
      </c>
      <c r="J9853" s="2" t="s">
        <v>4330</v>
      </c>
      <c r="K9853" s="2" t="s">
        <v>13260</v>
      </c>
      <c r="L9853" s="2">
        <f t="shared" si="153"/>
        <v>150</v>
      </c>
    </row>
    <row r="9854" spans="1:12" ht="25" customHeight="1">
      <c r="A9854" s="2" t="s">
        <v>12</v>
      </c>
      <c r="B9854" s="2" t="str">
        <f>HYPERLINK("http://bbs.12365auto.com/postcontent.aspx?tId=193708","补过的轮胎还能不能上高速跑120")</f>
        <v>补过的轮胎还能不能上高速跑120</v>
      </c>
      <c r="C9854" s="2" t="s">
        <v>13</v>
      </c>
      <c r="D9854" s="2" t="s">
        <v>12</v>
      </c>
      <c r="E9854" s="2" t="s">
        <v>27</v>
      </c>
      <c r="F9854" s="2" t="str">
        <f>HYPERLINK("http://bbs.12365auto.com/postcontent.aspx?tId=193708","http://bbs.12365auto.com/postcontent.aspx?tId=193708")</f>
        <v>http://bbs.12365auto.com/postcontent.aspx?tId=193708</v>
      </c>
      <c r="G9854" s="2"/>
      <c r="H9854" s="2" t="s">
        <v>13261</v>
      </c>
      <c r="I9854" s="2" t="s">
        <v>15</v>
      </c>
      <c r="J9854" s="2" t="s">
        <v>4330</v>
      </c>
      <c r="K9854" s="2" t="s">
        <v>13260</v>
      </c>
      <c r="L9854" s="2">
        <f t="shared" si="153"/>
        <v>150</v>
      </c>
    </row>
    <row r="9855" spans="1:12" ht="25" customHeight="1">
      <c r="A9855" s="2" t="s">
        <v>12</v>
      </c>
      <c r="B9855" s="2" t="str">
        <f>HYPERLINK("http://m.12365auto.com/bbs/postcontent.aspx?tID=193708","补过的轮胎还能不能上高速跑120")</f>
        <v>补过的轮胎还能不能上高速跑120</v>
      </c>
      <c r="C9855" s="2" t="s">
        <v>13</v>
      </c>
      <c r="D9855" s="2" t="s">
        <v>23</v>
      </c>
      <c r="E9855" s="2"/>
      <c r="F9855" s="2" t="str">
        <f>HYPERLINK("http://m.12365auto.com/bbs/postcontent.aspx?tID=193708","http://m.12365auto.com/bbs/postcontent.aspx?tID=193708")</f>
        <v>http://m.12365auto.com/bbs/postcontent.aspx?tID=193708</v>
      </c>
      <c r="G9855" s="2"/>
      <c r="H9855" s="2" t="s">
        <v>13261</v>
      </c>
      <c r="I9855" s="2" t="s">
        <v>15</v>
      </c>
      <c r="J9855" s="2" t="s">
        <v>4330</v>
      </c>
      <c r="K9855" s="2" t="s">
        <v>13260</v>
      </c>
      <c r="L9855" s="2">
        <f t="shared" si="153"/>
        <v>150</v>
      </c>
    </row>
    <row r="9856" spans="1:12" ht="25" customHeight="1">
      <c r="A9856" s="2" t="s">
        <v>12</v>
      </c>
      <c r="B9856" s="2" t="str">
        <f>HYPERLINK("http://bbs.12365auto.com/postcontent.aspx?tID=193707","记一辆事故车的修复记录")</f>
        <v>记一辆事故车的修复记录</v>
      </c>
      <c r="C9856" s="2" t="s">
        <v>13</v>
      </c>
      <c r="D9856" s="2" t="s">
        <v>12</v>
      </c>
      <c r="E9856" s="2" t="s">
        <v>28</v>
      </c>
      <c r="F9856" s="2" t="str">
        <f>HYPERLINK("http://bbs.12365auto.com/postcontent.aspx?tID=193707","http://bbs.12365auto.com/postcontent.aspx?tID=193707")</f>
        <v>http://bbs.12365auto.com/postcontent.aspx?tID=193707</v>
      </c>
      <c r="G9856" s="2"/>
      <c r="H9856" s="2" t="s">
        <v>13262</v>
      </c>
      <c r="I9856" s="2" t="s">
        <v>15</v>
      </c>
      <c r="J9856" s="2" t="s">
        <v>4330</v>
      </c>
      <c r="K9856" s="2" t="s">
        <v>13263</v>
      </c>
      <c r="L9856" s="2">
        <f t="shared" si="153"/>
        <v>150</v>
      </c>
    </row>
    <row r="9857" spans="1:12" ht="25" customHeight="1">
      <c r="A9857" s="2" t="s">
        <v>12</v>
      </c>
      <c r="B9857" s="2" t="str">
        <f>HYPERLINK("http://bbs.12365auto.com/postcontent.aspx?tId=193707","记一辆事故车的修复记录")</f>
        <v>记一辆事故车的修复记录</v>
      </c>
      <c r="C9857" s="2" t="s">
        <v>13</v>
      </c>
      <c r="D9857" s="2" t="s">
        <v>12</v>
      </c>
      <c r="E9857" s="2" t="s">
        <v>27</v>
      </c>
      <c r="F9857" s="2" t="str">
        <f>HYPERLINK("http://bbs.12365auto.com/postcontent.aspx?tId=193707","http://bbs.12365auto.com/postcontent.aspx?tId=193707")</f>
        <v>http://bbs.12365auto.com/postcontent.aspx?tId=193707</v>
      </c>
      <c r="G9857" s="2"/>
      <c r="H9857" s="2" t="s">
        <v>13264</v>
      </c>
      <c r="I9857" s="2" t="s">
        <v>15</v>
      </c>
      <c r="J9857" s="2" t="s">
        <v>4330</v>
      </c>
      <c r="K9857" s="2" t="s">
        <v>13263</v>
      </c>
      <c r="L9857" s="2">
        <f t="shared" si="153"/>
        <v>150</v>
      </c>
    </row>
    <row r="9858" spans="1:12" ht="25" customHeight="1">
      <c r="A9858" s="2" t="s">
        <v>12</v>
      </c>
      <c r="B9858" s="2" t="str">
        <f>HYPERLINK("http://m.12365auto.com/bbs/postcontent.aspx?tID=193707","记一辆事故车的修复记录")</f>
        <v>记一辆事故车的修复记录</v>
      </c>
      <c r="C9858" s="2" t="s">
        <v>13</v>
      </c>
      <c r="D9858" s="2" t="s">
        <v>23</v>
      </c>
      <c r="E9858" s="2"/>
      <c r="F9858" s="2" t="str">
        <f>HYPERLINK("http://m.12365auto.com/bbs/postcontent.aspx?tID=193707","http://m.12365auto.com/bbs/postcontent.aspx?tID=193707")</f>
        <v>http://m.12365auto.com/bbs/postcontent.aspx?tID=193707</v>
      </c>
      <c r="G9858" s="2"/>
      <c r="H9858" s="2" t="s">
        <v>13264</v>
      </c>
      <c r="I9858" s="2" t="s">
        <v>15</v>
      </c>
      <c r="J9858" s="2" t="s">
        <v>4330</v>
      </c>
      <c r="K9858" s="2" t="s">
        <v>13263</v>
      </c>
      <c r="L9858" s="2">
        <f t="shared" si="153"/>
        <v>150</v>
      </c>
    </row>
    <row r="9859" spans="1:12" ht="25" customHeight="1">
      <c r="A9859" s="2" t="s">
        <v>12</v>
      </c>
      <c r="B9859" s="2" t="str">
        <f>HYPERLINK("http://bbs.12365auto.com/postcontent.aspx?tID=193705","修理工粗心大意 差点出人命")</f>
        <v>修理工粗心大意 差点出人命</v>
      </c>
      <c r="C9859" s="2" t="s">
        <v>13</v>
      </c>
      <c r="D9859" s="2" t="s">
        <v>12</v>
      </c>
      <c r="E9859" s="2" t="s">
        <v>28</v>
      </c>
      <c r="F9859" s="2" t="str">
        <f>HYPERLINK("http://bbs.12365auto.com/postcontent.aspx?tID=193705","http://bbs.12365auto.com/postcontent.aspx?tID=193705")</f>
        <v>http://bbs.12365auto.com/postcontent.aspx?tID=193705</v>
      </c>
      <c r="G9859" s="2"/>
      <c r="H9859" s="2" t="s">
        <v>13265</v>
      </c>
      <c r="I9859" s="2" t="s">
        <v>15</v>
      </c>
      <c r="J9859" s="2" t="s">
        <v>4330</v>
      </c>
      <c r="K9859" s="2" t="s">
        <v>13266</v>
      </c>
      <c r="L9859" s="2">
        <f t="shared" ref="L9859:L9922" si="154">LEN(H9859)</f>
        <v>150</v>
      </c>
    </row>
    <row r="9860" spans="1:12" ht="25" customHeight="1">
      <c r="A9860" s="2" t="s">
        <v>12</v>
      </c>
      <c r="B9860" s="2" t="str">
        <f>HYPERLINK("http://bbs.12365auto.com/postcontent.aspx?tID=193706","瞌睡一秒 后悔一生")</f>
        <v>瞌睡一秒 后悔一生</v>
      </c>
      <c r="C9860" s="2" t="s">
        <v>13</v>
      </c>
      <c r="D9860" s="2" t="s">
        <v>12</v>
      </c>
      <c r="E9860" s="2" t="s">
        <v>28</v>
      </c>
      <c r="F9860" s="2" t="str">
        <f>HYPERLINK("http://bbs.12365auto.com/postcontent.aspx?tID=193706","http://bbs.12365auto.com/postcontent.aspx?tID=193706")</f>
        <v>http://bbs.12365auto.com/postcontent.aspx?tID=193706</v>
      </c>
      <c r="G9860" s="2"/>
      <c r="H9860" s="2" t="s">
        <v>13267</v>
      </c>
      <c r="I9860" s="2" t="s">
        <v>15</v>
      </c>
      <c r="J9860" s="2" t="s">
        <v>4330</v>
      </c>
      <c r="K9860" s="2" t="s">
        <v>13266</v>
      </c>
      <c r="L9860" s="2">
        <f t="shared" si="154"/>
        <v>150</v>
      </c>
    </row>
    <row r="9861" spans="1:12" ht="25" customHeight="1">
      <c r="A9861" s="2" t="s">
        <v>12</v>
      </c>
      <c r="B9861" s="2" t="str">
        <f>HYPERLINK("http://bbs.12365auto.com/postcontent.aspx?tId=193705","修理工粗心大意 差点出人命")</f>
        <v>修理工粗心大意 差点出人命</v>
      </c>
      <c r="C9861" s="2" t="s">
        <v>13</v>
      </c>
      <c r="D9861" s="2" t="s">
        <v>12</v>
      </c>
      <c r="E9861" s="2" t="s">
        <v>27</v>
      </c>
      <c r="F9861" s="2" t="str">
        <f>HYPERLINK("http://bbs.12365auto.com/postcontent.aspx?tId=193705","http://bbs.12365auto.com/postcontent.aspx?tId=193705")</f>
        <v>http://bbs.12365auto.com/postcontent.aspx?tId=193705</v>
      </c>
      <c r="G9861" s="2"/>
      <c r="H9861" s="2" t="s">
        <v>13268</v>
      </c>
      <c r="I9861" s="2" t="s">
        <v>15</v>
      </c>
      <c r="J9861" s="2" t="s">
        <v>4330</v>
      </c>
      <c r="K9861" s="2" t="s">
        <v>13266</v>
      </c>
      <c r="L9861" s="2">
        <f t="shared" si="154"/>
        <v>150</v>
      </c>
    </row>
    <row r="9862" spans="1:12" ht="25" customHeight="1">
      <c r="A9862" s="2" t="s">
        <v>12</v>
      </c>
      <c r="B9862" s="2" t="str">
        <f>HYPERLINK("http://bbs.12365auto.com/postcontent.aspx?tId=193706","瞌睡一秒 后悔一生")</f>
        <v>瞌睡一秒 后悔一生</v>
      </c>
      <c r="C9862" s="2" t="s">
        <v>13</v>
      </c>
      <c r="D9862" s="2" t="s">
        <v>12</v>
      </c>
      <c r="E9862" s="2" t="s">
        <v>27</v>
      </c>
      <c r="F9862" s="2" t="str">
        <f>HYPERLINK("http://bbs.12365auto.com/postcontent.aspx?tId=193706","http://bbs.12365auto.com/postcontent.aspx?tId=193706")</f>
        <v>http://bbs.12365auto.com/postcontent.aspx?tId=193706</v>
      </c>
      <c r="G9862" s="2"/>
      <c r="H9862" s="2" t="s">
        <v>13269</v>
      </c>
      <c r="I9862" s="2" t="s">
        <v>15</v>
      </c>
      <c r="J9862" s="2" t="s">
        <v>4330</v>
      </c>
      <c r="K9862" s="2" t="s">
        <v>13266</v>
      </c>
      <c r="L9862" s="2">
        <f t="shared" si="154"/>
        <v>150</v>
      </c>
    </row>
    <row r="9863" spans="1:12" ht="25" customHeight="1">
      <c r="A9863" s="2" t="s">
        <v>12</v>
      </c>
      <c r="B9863" s="2" t="str">
        <f>HYPERLINK("http://m.12365auto.com/bbs/postcontent.aspx?tID=193706","瞌睡一秒 后悔一生")</f>
        <v>瞌睡一秒 后悔一生</v>
      </c>
      <c r="C9863" s="2" t="s">
        <v>13</v>
      </c>
      <c r="D9863" s="2" t="s">
        <v>23</v>
      </c>
      <c r="E9863" s="2"/>
      <c r="F9863" s="2" t="str">
        <f>HYPERLINK("http://m.12365auto.com/bbs/postcontent.aspx?tID=193706","http://m.12365auto.com/bbs/postcontent.aspx?tID=193706")</f>
        <v>http://m.12365auto.com/bbs/postcontent.aspx?tID=193706</v>
      </c>
      <c r="G9863" s="2"/>
      <c r="H9863" s="2" t="s">
        <v>13269</v>
      </c>
      <c r="I9863" s="2" t="s">
        <v>15</v>
      </c>
      <c r="J9863" s="2" t="s">
        <v>4330</v>
      </c>
      <c r="K9863" s="2" t="s">
        <v>13266</v>
      </c>
      <c r="L9863" s="2">
        <f t="shared" si="154"/>
        <v>150</v>
      </c>
    </row>
    <row r="9864" spans="1:12" ht="25" customHeight="1">
      <c r="A9864" s="2" t="s">
        <v>12</v>
      </c>
      <c r="B9864" s="2" t="str">
        <f>HYPERLINK("http://m.12365auto.com/bbs/postcontent.aspx?tID=193705","修理工粗心大意 差点出人命")</f>
        <v>修理工粗心大意 差点出人命</v>
      </c>
      <c r="C9864" s="2" t="s">
        <v>13</v>
      </c>
      <c r="D9864" s="2" t="s">
        <v>23</v>
      </c>
      <c r="E9864" s="2"/>
      <c r="F9864" s="2" t="str">
        <f>HYPERLINK("http://m.12365auto.com/bbs/postcontent.aspx?tID=193705","http://m.12365auto.com/bbs/postcontent.aspx?tID=193705")</f>
        <v>http://m.12365auto.com/bbs/postcontent.aspx?tID=193705</v>
      </c>
      <c r="G9864" s="2"/>
      <c r="H9864" s="2" t="s">
        <v>13268</v>
      </c>
      <c r="I9864" s="2" t="s">
        <v>15</v>
      </c>
      <c r="J9864" s="2" t="s">
        <v>4330</v>
      </c>
      <c r="K9864" s="2" t="s">
        <v>13266</v>
      </c>
      <c r="L9864" s="2">
        <f t="shared" si="154"/>
        <v>150</v>
      </c>
    </row>
    <row r="9865" spans="1:12" ht="25" customHeight="1">
      <c r="A9865" s="2" t="s">
        <v>12</v>
      </c>
      <c r="B9865" s="2" t="str">
        <f>HYPERLINK("http://bbs.12365auto.com/postcontent.aspx?tID=193703","有需要的老司机看过来")</f>
        <v>有需要的老司机看过来</v>
      </c>
      <c r="C9865" s="2" t="s">
        <v>13</v>
      </c>
      <c r="D9865" s="2" t="s">
        <v>12</v>
      </c>
      <c r="E9865" s="2" t="s">
        <v>28</v>
      </c>
      <c r="F9865" s="2" t="str">
        <f>HYPERLINK("http://bbs.12365auto.com/postcontent.aspx?tID=193703","http://bbs.12365auto.com/postcontent.aspx?tID=193703")</f>
        <v>http://bbs.12365auto.com/postcontent.aspx?tID=193703</v>
      </c>
      <c r="G9865" s="2"/>
      <c r="H9865" s="2" t="s">
        <v>13270</v>
      </c>
      <c r="I9865" s="2" t="s">
        <v>15</v>
      </c>
      <c r="J9865" s="2" t="s">
        <v>4330</v>
      </c>
      <c r="K9865" s="2" t="s">
        <v>13271</v>
      </c>
      <c r="L9865" s="2">
        <f t="shared" si="154"/>
        <v>150</v>
      </c>
    </row>
    <row r="9866" spans="1:12" ht="25" customHeight="1">
      <c r="A9866" s="2" t="s">
        <v>12</v>
      </c>
      <c r="B9866" s="2" t="str">
        <f>HYPERLINK("http://bbs.12365auto.com/postcontent.aspx?tID=193704","三张比较简单的色盲检测图")</f>
        <v>三张比较简单的色盲检测图</v>
      </c>
      <c r="C9866" s="2" t="s">
        <v>13</v>
      </c>
      <c r="D9866" s="2" t="s">
        <v>12</v>
      </c>
      <c r="E9866" s="2" t="s">
        <v>28</v>
      </c>
      <c r="F9866" s="2" t="str">
        <f>HYPERLINK("http://bbs.12365auto.com/postcontent.aspx?tID=193704","http://bbs.12365auto.com/postcontent.aspx?tID=193704")</f>
        <v>http://bbs.12365auto.com/postcontent.aspx?tID=193704</v>
      </c>
      <c r="G9866" s="2"/>
      <c r="H9866" s="2" t="s">
        <v>13272</v>
      </c>
      <c r="I9866" s="2" t="s">
        <v>15</v>
      </c>
      <c r="J9866" s="2" t="s">
        <v>4330</v>
      </c>
      <c r="K9866" s="2" t="s">
        <v>13271</v>
      </c>
      <c r="L9866" s="2">
        <f t="shared" si="154"/>
        <v>150</v>
      </c>
    </row>
    <row r="9867" spans="1:12" ht="25" customHeight="1">
      <c r="A9867" s="2" t="s">
        <v>12</v>
      </c>
      <c r="B9867" s="2" t="str">
        <f>HYPERLINK("http://bbs.12365auto.com/postcontent.aspx?tId=193704","三张比较简单的色盲检测图")</f>
        <v>三张比较简单的色盲检测图</v>
      </c>
      <c r="C9867" s="2" t="s">
        <v>13</v>
      </c>
      <c r="D9867" s="2" t="s">
        <v>12</v>
      </c>
      <c r="E9867" s="2" t="s">
        <v>27</v>
      </c>
      <c r="F9867" s="2" t="str">
        <f>HYPERLINK("http://bbs.12365auto.com/postcontent.aspx?tId=193704","http://bbs.12365auto.com/postcontent.aspx?tId=193704")</f>
        <v>http://bbs.12365auto.com/postcontent.aspx?tId=193704</v>
      </c>
      <c r="G9867" s="2"/>
      <c r="H9867" s="2" t="s">
        <v>13273</v>
      </c>
      <c r="I9867" s="2" t="s">
        <v>15</v>
      </c>
      <c r="J9867" s="2" t="s">
        <v>4330</v>
      </c>
      <c r="K9867" s="2" t="s">
        <v>13271</v>
      </c>
      <c r="L9867" s="2">
        <f t="shared" si="154"/>
        <v>150</v>
      </c>
    </row>
    <row r="9868" spans="1:12" ht="25" customHeight="1">
      <c r="A9868" s="2" t="s">
        <v>12</v>
      </c>
      <c r="B9868" s="2" t="str">
        <f>HYPERLINK("http://bbs.12365auto.com/postcontent.aspx?tId=193703","有需要的老司机看过来")</f>
        <v>有需要的老司机看过来</v>
      </c>
      <c r="C9868" s="2" t="s">
        <v>13</v>
      </c>
      <c r="D9868" s="2" t="s">
        <v>12</v>
      </c>
      <c r="E9868" s="2" t="s">
        <v>27</v>
      </c>
      <c r="F9868" s="2" t="str">
        <f>HYPERLINK("http://bbs.12365auto.com/postcontent.aspx?tId=193703","http://bbs.12365auto.com/postcontent.aspx?tId=193703")</f>
        <v>http://bbs.12365auto.com/postcontent.aspx?tId=193703</v>
      </c>
      <c r="G9868" s="2"/>
      <c r="H9868" s="2" t="s">
        <v>13274</v>
      </c>
      <c r="I9868" s="2" t="s">
        <v>15</v>
      </c>
      <c r="J9868" s="2" t="s">
        <v>4330</v>
      </c>
      <c r="K9868" s="2" t="s">
        <v>13271</v>
      </c>
      <c r="L9868" s="2">
        <f t="shared" si="154"/>
        <v>150</v>
      </c>
    </row>
    <row r="9869" spans="1:12" ht="25" customHeight="1">
      <c r="A9869" s="2" t="s">
        <v>12</v>
      </c>
      <c r="B9869" s="2" t="str">
        <f>HYPERLINK("http://m.12365auto.com/bbs/postcontent.aspx?tID=193703","有需要的老司机看过来")</f>
        <v>有需要的老司机看过来</v>
      </c>
      <c r="C9869" s="2" t="s">
        <v>13</v>
      </c>
      <c r="D9869" s="2" t="s">
        <v>23</v>
      </c>
      <c r="E9869" s="2"/>
      <c r="F9869" s="2" t="str">
        <f>HYPERLINK("http://m.12365auto.com/bbs/postcontent.aspx?tID=193703","http://m.12365auto.com/bbs/postcontent.aspx?tID=193703")</f>
        <v>http://m.12365auto.com/bbs/postcontent.aspx?tID=193703</v>
      </c>
      <c r="G9869" s="2"/>
      <c r="H9869" s="2" t="s">
        <v>13274</v>
      </c>
      <c r="I9869" s="2" t="s">
        <v>15</v>
      </c>
      <c r="J9869" s="2" t="s">
        <v>4330</v>
      </c>
      <c r="K9869" s="2" t="s">
        <v>13271</v>
      </c>
      <c r="L9869" s="2">
        <f t="shared" si="154"/>
        <v>150</v>
      </c>
    </row>
    <row r="9870" spans="1:12" ht="25" customHeight="1">
      <c r="A9870" s="2" t="s">
        <v>12</v>
      </c>
      <c r="B9870" s="2" t="str">
        <f>HYPERLINK("http://m.12365auto.com/bbs/postcontent.aspx?tID=193704","三张比较简单的色盲检测图")</f>
        <v>三张比较简单的色盲检测图</v>
      </c>
      <c r="C9870" s="2" t="s">
        <v>13</v>
      </c>
      <c r="D9870" s="2" t="s">
        <v>23</v>
      </c>
      <c r="E9870" s="2"/>
      <c r="F9870" s="2" t="str">
        <f>HYPERLINK("http://m.12365auto.com/bbs/postcontent.aspx?tID=193704","http://m.12365auto.com/bbs/postcontent.aspx?tID=193704")</f>
        <v>http://m.12365auto.com/bbs/postcontent.aspx?tID=193704</v>
      </c>
      <c r="G9870" s="2"/>
      <c r="H9870" s="2" t="s">
        <v>13273</v>
      </c>
      <c r="I9870" s="2" t="s">
        <v>15</v>
      </c>
      <c r="J9870" s="2" t="s">
        <v>4330</v>
      </c>
      <c r="K9870" s="2" t="s">
        <v>13271</v>
      </c>
      <c r="L9870" s="2">
        <f t="shared" si="154"/>
        <v>150</v>
      </c>
    </row>
    <row r="9871" spans="1:12" ht="25" customHeight="1">
      <c r="A9871" s="2" t="s">
        <v>12</v>
      </c>
      <c r="B9871" s="2" t="str">
        <f>HYPERLINK("http://bbs.12365auto.com/postcontent.aspx?tID=193702","停车时车轮被“恶意”锁住？")</f>
        <v>停车时车轮被“恶意”锁住？</v>
      </c>
      <c r="C9871" s="2" t="s">
        <v>13</v>
      </c>
      <c r="D9871" s="2" t="s">
        <v>12</v>
      </c>
      <c r="E9871" s="2" t="s">
        <v>28</v>
      </c>
      <c r="F9871" s="2" t="str">
        <f>HYPERLINK("http://bbs.12365auto.com/postcontent.aspx?tID=193702","http://bbs.12365auto.com/postcontent.aspx?tID=193702")</f>
        <v>http://bbs.12365auto.com/postcontent.aspx?tID=193702</v>
      </c>
      <c r="G9871" s="2"/>
      <c r="H9871" s="2" t="s">
        <v>13275</v>
      </c>
      <c r="I9871" s="2" t="s">
        <v>15</v>
      </c>
      <c r="J9871" s="2" t="s">
        <v>4330</v>
      </c>
      <c r="K9871" s="2" t="s">
        <v>13276</v>
      </c>
      <c r="L9871" s="2">
        <f t="shared" si="154"/>
        <v>150</v>
      </c>
    </row>
    <row r="9872" spans="1:12" ht="25" customHeight="1">
      <c r="A9872" s="2" t="s">
        <v>12</v>
      </c>
      <c r="B9872" s="2" t="str">
        <f>HYPERLINK("http://bbs.12365auto.com/postcontent.aspx?tID=193701","非常时期特殊对待")</f>
        <v>非常时期特殊对待</v>
      </c>
      <c r="C9872" s="2" t="s">
        <v>13</v>
      </c>
      <c r="D9872" s="2" t="s">
        <v>12</v>
      </c>
      <c r="E9872" s="2" t="s">
        <v>28</v>
      </c>
      <c r="F9872" s="2" t="str">
        <f>HYPERLINK("http://bbs.12365auto.com/postcontent.aspx?tID=193701","http://bbs.12365auto.com/postcontent.aspx?tID=193701")</f>
        <v>http://bbs.12365auto.com/postcontent.aspx?tID=193701</v>
      </c>
      <c r="G9872" s="2"/>
      <c r="H9872" s="2" t="s">
        <v>13277</v>
      </c>
      <c r="I9872" s="2" t="s">
        <v>15</v>
      </c>
      <c r="J9872" s="2" t="s">
        <v>4330</v>
      </c>
      <c r="K9872" s="2" t="s">
        <v>13276</v>
      </c>
      <c r="L9872" s="2">
        <f t="shared" si="154"/>
        <v>150</v>
      </c>
    </row>
    <row r="9873" spans="1:12" ht="25" customHeight="1">
      <c r="A9873" s="2" t="s">
        <v>12</v>
      </c>
      <c r="B9873" s="2" t="str">
        <f>HYPERLINK("http://bbs.12365auto.com/postcontent.aspx?tId=193702","停车时车轮被“恶意”锁住？")</f>
        <v>停车时车轮被“恶意”锁住？</v>
      </c>
      <c r="C9873" s="2" t="s">
        <v>13</v>
      </c>
      <c r="D9873" s="2" t="s">
        <v>12</v>
      </c>
      <c r="E9873" s="2" t="s">
        <v>27</v>
      </c>
      <c r="F9873" s="2" t="str">
        <f>HYPERLINK("http://bbs.12365auto.com/postcontent.aspx?tId=193702","http://bbs.12365auto.com/postcontent.aspx?tId=193702")</f>
        <v>http://bbs.12365auto.com/postcontent.aspx?tId=193702</v>
      </c>
      <c r="G9873" s="2"/>
      <c r="H9873" s="2" t="s">
        <v>13278</v>
      </c>
      <c r="I9873" s="2" t="s">
        <v>15</v>
      </c>
      <c r="J9873" s="2" t="s">
        <v>4330</v>
      </c>
      <c r="K9873" s="2" t="s">
        <v>13276</v>
      </c>
      <c r="L9873" s="2">
        <f t="shared" si="154"/>
        <v>150</v>
      </c>
    </row>
    <row r="9874" spans="1:12" ht="25" customHeight="1">
      <c r="A9874" s="2" t="s">
        <v>12</v>
      </c>
      <c r="B9874" s="2" t="str">
        <f>HYPERLINK("http://bbs.12365auto.com/postcontent.aspx?tId=193701","非常时期特殊对待")</f>
        <v>非常时期特殊对待</v>
      </c>
      <c r="C9874" s="2" t="s">
        <v>13</v>
      </c>
      <c r="D9874" s="2" t="s">
        <v>12</v>
      </c>
      <c r="E9874" s="2" t="s">
        <v>27</v>
      </c>
      <c r="F9874" s="2" t="str">
        <f>HYPERLINK("http://bbs.12365auto.com/postcontent.aspx?tId=193701","http://bbs.12365auto.com/postcontent.aspx?tId=193701")</f>
        <v>http://bbs.12365auto.com/postcontent.aspx?tId=193701</v>
      </c>
      <c r="G9874" s="2"/>
      <c r="H9874" s="2" t="s">
        <v>13279</v>
      </c>
      <c r="I9874" s="2" t="s">
        <v>15</v>
      </c>
      <c r="J9874" s="2" t="s">
        <v>4330</v>
      </c>
      <c r="K9874" s="2" t="s">
        <v>13276</v>
      </c>
      <c r="L9874" s="2">
        <f t="shared" si="154"/>
        <v>150</v>
      </c>
    </row>
    <row r="9875" spans="1:12" ht="25" customHeight="1">
      <c r="A9875" s="2" t="s">
        <v>12</v>
      </c>
      <c r="B9875" s="2" t="str">
        <f>HYPERLINK("http://m.12365auto.com/bbs/postcontent.aspx?tID=193702","停车时车轮被“恶意”锁住？")</f>
        <v>停车时车轮被“恶意”锁住？</v>
      </c>
      <c r="C9875" s="2" t="s">
        <v>13</v>
      </c>
      <c r="D9875" s="2" t="s">
        <v>23</v>
      </c>
      <c r="E9875" s="2"/>
      <c r="F9875" s="2" t="str">
        <f>HYPERLINK("http://m.12365auto.com/bbs/postcontent.aspx?tID=193702","http://m.12365auto.com/bbs/postcontent.aspx?tID=193702")</f>
        <v>http://m.12365auto.com/bbs/postcontent.aspx?tID=193702</v>
      </c>
      <c r="G9875" s="2"/>
      <c r="H9875" s="2" t="s">
        <v>13278</v>
      </c>
      <c r="I9875" s="2" t="s">
        <v>15</v>
      </c>
      <c r="J9875" s="2" t="s">
        <v>4330</v>
      </c>
      <c r="K9875" s="2" t="s">
        <v>13276</v>
      </c>
      <c r="L9875" s="2">
        <f t="shared" si="154"/>
        <v>150</v>
      </c>
    </row>
    <row r="9876" spans="1:12" ht="25" customHeight="1">
      <c r="A9876" s="2" t="s">
        <v>12</v>
      </c>
      <c r="B9876" s="2" t="str">
        <f>HYPERLINK("http://m.12365auto.com/bbs/postcontent.aspx?tID=193701","非常时期特殊对待")</f>
        <v>非常时期特殊对待</v>
      </c>
      <c r="C9876" s="2" t="s">
        <v>13</v>
      </c>
      <c r="D9876" s="2" t="s">
        <v>23</v>
      </c>
      <c r="E9876" s="2"/>
      <c r="F9876" s="2" t="str">
        <f>HYPERLINK("http://m.12365auto.com/bbs/postcontent.aspx?tID=193701","http://m.12365auto.com/bbs/postcontent.aspx?tID=193701")</f>
        <v>http://m.12365auto.com/bbs/postcontent.aspx?tID=193701</v>
      </c>
      <c r="G9876" s="2"/>
      <c r="H9876" s="2" t="s">
        <v>13279</v>
      </c>
      <c r="I9876" s="2" t="s">
        <v>15</v>
      </c>
      <c r="J9876" s="2" t="s">
        <v>4330</v>
      </c>
      <c r="K9876" s="2" t="s">
        <v>13276</v>
      </c>
      <c r="L9876" s="2">
        <f t="shared" si="154"/>
        <v>150</v>
      </c>
    </row>
    <row r="9877" spans="1:12" ht="25" customHeight="1">
      <c r="A9877" s="2" t="s">
        <v>12</v>
      </c>
      <c r="B9877" s="2" t="str">
        <f>HYPERLINK("http://www.12365auto.com/zlts/20200210/446748.shtml","吉利博越行驶中报各种故障码4S店无法解决")</f>
        <v>吉利博越行驶中报各种故障码4S店无法解决</v>
      </c>
      <c r="C9877" s="2" t="s">
        <v>13</v>
      </c>
      <c r="D9877" s="2" t="s">
        <v>12</v>
      </c>
      <c r="E9877" s="2" t="s">
        <v>17</v>
      </c>
      <c r="F9877" s="2" t="str">
        <f>HYPERLINK("http://www.12365auto.com/zlts/20200210/446748.shtml","http://www.12365auto.com/zlts/20200210/446748.shtml")</f>
        <v>http://www.12365auto.com/zlts/20200210/446748.shtml</v>
      </c>
      <c r="G9877" s="2"/>
      <c r="H9877" s="2" t="s">
        <v>13280</v>
      </c>
      <c r="I9877" s="2" t="s">
        <v>19</v>
      </c>
      <c r="J9877" s="2" t="s">
        <v>12</v>
      </c>
      <c r="K9877" s="2" t="s">
        <v>13281</v>
      </c>
      <c r="L9877" s="2">
        <f t="shared" si="154"/>
        <v>150</v>
      </c>
    </row>
    <row r="9878" spans="1:12" ht="25" customHeight="1">
      <c r="A9878" s="2" t="s">
        <v>12</v>
      </c>
      <c r="B9878" s="2" t="str">
        <f>HYPERLINK("http://bbs.12365auto.com/postcontent.aspx?tID=193700","日系车不再把行车落锁当标配？")</f>
        <v>日系车不再把行车落锁当标配？</v>
      </c>
      <c r="C9878" s="2" t="s">
        <v>13</v>
      </c>
      <c r="D9878" s="2" t="s">
        <v>12</v>
      </c>
      <c r="E9878" s="2" t="s">
        <v>28</v>
      </c>
      <c r="F9878" s="2" t="str">
        <f>HYPERLINK("http://bbs.12365auto.com/postcontent.aspx?tID=193700","http://bbs.12365auto.com/postcontent.aspx?tID=193700")</f>
        <v>http://bbs.12365auto.com/postcontent.aspx?tID=193700</v>
      </c>
      <c r="G9878" s="2"/>
      <c r="H9878" s="2" t="s">
        <v>13282</v>
      </c>
      <c r="I9878" s="2" t="s">
        <v>15</v>
      </c>
      <c r="J9878" s="2" t="s">
        <v>4330</v>
      </c>
      <c r="K9878" s="2" t="s">
        <v>13283</v>
      </c>
      <c r="L9878" s="2">
        <f t="shared" si="154"/>
        <v>150</v>
      </c>
    </row>
    <row r="9879" spans="1:12" ht="25" customHeight="1">
      <c r="A9879" s="2" t="s">
        <v>12</v>
      </c>
      <c r="B9879" s="2" t="str">
        <f>HYPERLINK("http://bbs.12365auto.com/postcontent.aspx?tId=193700","日系车不再把行车落锁当标配？")</f>
        <v>日系车不再把行车落锁当标配？</v>
      </c>
      <c r="C9879" s="2" t="s">
        <v>13</v>
      </c>
      <c r="D9879" s="2" t="s">
        <v>12</v>
      </c>
      <c r="E9879" s="2" t="s">
        <v>27</v>
      </c>
      <c r="F9879" s="2" t="str">
        <f>HYPERLINK("http://bbs.12365auto.com/postcontent.aspx?tId=193700","http://bbs.12365auto.com/postcontent.aspx?tId=193700")</f>
        <v>http://bbs.12365auto.com/postcontent.aspx?tId=193700</v>
      </c>
      <c r="G9879" s="2"/>
      <c r="H9879" s="2" t="s">
        <v>13284</v>
      </c>
      <c r="I9879" s="2" t="s">
        <v>15</v>
      </c>
      <c r="J9879" s="2" t="s">
        <v>4330</v>
      </c>
      <c r="K9879" s="2" t="s">
        <v>13283</v>
      </c>
      <c r="L9879" s="2">
        <f t="shared" si="154"/>
        <v>150</v>
      </c>
    </row>
    <row r="9880" spans="1:12" ht="25" customHeight="1">
      <c r="A9880" s="2" t="s">
        <v>12</v>
      </c>
      <c r="B9880" s="2" t="str">
        <f>HYPERLINK("http://m.12365auto.com/bbs/postcontent.aspx?tID=193700","日系车不再把行车落锁当标配？")</f>
        <v>日系车不再把行车落锁当标配？</v>
      </c>
      <c r="C9880" s="2" t="s">
        <v>13</v>
      </c>
      <c r="D9880" s="2" t="s">
        <v>23</v>
      </c>
      <c r="E9880" s="2"/>
      <c r="F9880" s="2" t="str">
        <f>HYPERLINK("http://m.12365auto.com/bbs/postcontent.aspx?tID=193700","http://m.12365auto.com/bbs/postcontent.aspx?tID=193700")</f>
        <v>http://m.12365auto.com/bbs/postcontent.aspx?tID=193700</v>
      </c>
      <c r="G9880" s="2"/>
      <c r="H9880" s="2" t="s">
        <v>13284</v>
      </c>
      <c r="I9880" s="2" t="s">
        <v>15</v>
      </c>
      <c r="J9880" s="2" t="s">
        <v>4330</v>
      </c>
      <c r="K9880" s="2" t="s">
        <v>13283</v>
      </c>
      <c r="L9880" s="2">
        <f t="shared" si="154"/>
        <v>150</v>
      </c>
    </row>
    <row r="9881" spans="1:12" ht="25" customHeight="1">
      <c r="A9881" s="2" t="s">
        <v>12</v>
      </c>
      <c r="B9881" s="2" t="str">
        <f>HYPERLINK("http://bbs.12365auto.com/postcontent.aspx?tID=193698","或两年推量产版 塔塔发Sierra EV概念车")</f>
        <v>或两年推量产版 塔塔发Sierra EV概念车</v>
      </c>
      <c r="C9881" s="2" t="s">
        <v>13</v>
      </c>
      <c r="D9881" s="2" t="s">
        <v>12</v>
      </c>
      <c r="E9881" s="2" t="s">
        <v>28</v>
      </c>
      <c r="F9881" s="2" t="str">
        <f>HYPERLINK("http://bbs.12365auto.com/postcontent.aspx?tID=193698","http://bbs.12365auto.com/postcontent.aspx?tID=193698")</f>
        <v>http://bbs.12365auto.com/postcontent.aspx?tID=193698</v>
      </c>
      <c r="G9881" s="2"/>
      <c r="H9881" s="2" t="s">
        <v>13285</v>
      </c>
      <c r="I9881" s="2" t="s">
        <v>15</v>
      </c>
      <c r="J9881" s="2" t="s">
        <v>1960</v>
      </c>
      <c r="K9881" s="2" t="s">
        <v>13286</v>
      </c>
      <c r="L9881" s="2">
        <f t="shared" si="154"/>
        <v>150</v>
      </c>
    </row>
    <row r="9882" spans="1:12" ht="25" customHeight="1">
      <c r="A9882" s="2" t="s">
        <v>12</v>
      </c>
      <c r="B9882" s="2" t="str">
        <f>HYPERLINK("http://bbs.12365auto.com/postcontent.aspx?tId=193698","或两年推量产版 塔塔发Sierra EV概念车")</f>
        <v>或两年推量产版 塔塔发Sierra EV概念车</v>
      </c>
      <c r="C9882" s="2" t="s">
        <v>13</v>
      </c>
      <c r="D9882" s="2" t="s">
        <v>12</v>
      </c>
      <c r="E9882" s="2" t="s">
        <v>27</v>
      </c>
      <c r="F9882" s="2" t="str">
        <f>HYPERLINK("http://bbs.12365auto.com/postcontent.aspx?tId=193698","http://bbs.12365auto.com/postcontent.aspx?tId=193698")</f>
        <v>http://bbs.12365auto.com/postcontent.aspx?tId=193698</v>
      </c>
      <c r="G9882" s="2"/>
      <c r="H9882" s="2" t="s">
        <v>13287</v>
      </c>
      <c r="I9882" s="2" t="s">
        <v>15</v>
      </c>
      <c r="J9882" s="2" t="s">
        <v>1960</v>
      </c>
      <c r="K9882" s="2" t="s">
        <v>13286</v>
      </c>
      <c r="L9882" s="2">
        <f t="shared" si="154"/>
        <v>150</v>
      </c>
    </row>
    <row r="9883" spans="1:12" ht="25" customHeight="1">
      <c r="A9883" s="2" t="s">
        <v>12</v>
      </c>
      <c r="B9883" s="2" t="str">
        <f>HYPERLINK("http://bbs.12365auto.com/postcontent.aspx?tID=193699","疫情时期开车需要戴口罩吗")</f>
        <v>疫情时期开车需要戴口罩吗</v>
      </c>
      <c r="C9883" s="2" t="s">
        <v>13</v>
      </c>
      <c r="D9883" s="2" t="s">
        <v>12</v>
      </c>
      <c r="E9883" s="2" t="s">
        <v>28</v>
      </c>
      <c r="F9883" s="2" t="str">
        <f>HYPERLINK("http://bbs.12365auto.com/postcontent.aspx?tID=193699","http://bbs.12365auto.com/postcontent.aspx?tID=193699")</f>
        <v>http://bbs.12365auto.com/postcontent.aspx?tID=193699</v>
      </c>
      <c r="G9883" s="2"/>
      <c r="H9883" s="2" t="s">
        <v>12711</v>
      </c>
      <c r="I9883" s="2" t="s">
        <v>15</v>
      </c>
      <c r="J9883" s="2" t="s">
        <v>4330</v>
      </c>
      <c r="K9883" s="2" t="s">
        <v>13286</v>
      </c>
      <c r="L9883" s="2">
        <f t="shared" si="154"/>
        <v>150</v>
      </c>
    </row>
    <row r="9884" spans="1:12" ht="25" customHeight="1">
      <c r="A9884" s="2" t="s">
        <v>12</v>
      </c>
      <c r="B9884" s="2" t="str">
        <f>HYPERLINK("http://bbs.12365auto.com/postcontent.aspx?tId=193699","疫情时期开车需要戴口罩吗")</f>
        <v>疫情时期开车需要戴口罩吗</v>
      </c>
      <c r="C9884" s="2" t="s">
        <v>13</v>
      </c>
      <c r="D9884" s="2" t="s">
        <v>12</v>
      </c>
      <c r="E9884" s="2" t="s">
        <v>27</v>
      </c>
      <c r="F9884" s="2" t="str">
        <f>HYPERLINK("http://bbs.12365auto.com/postcontent.aspx?tId=193699","http://bbs.12365auto.com/postcontent.aspx?tId=193699")</f>
        <v>http://bbs.12365auto.com/postcontent.aspx?tId=193699</v>
      </c>
      <c r="G9884" s="2"/>
      <c r="H9884" s="2" t="s">
        <v>12715</v>
      </c>
      <c r="I9884" s="2" t="s">
        <v>15</v>
      </c>
      <c r="J9884" s="2" t="s">
        <v>4330</v>
      </c>
      <c r="K9884" s="2" t="s">
        <v>13286</v>
      </c>
      <c r="L9884" s="2">
        <f t="shared" si="154"/>
        <v>150</v>
      </c>
    </row>
    <row r="9885" spans="1:12" ht="25" customHeight="1">
      <c r="A9885" s="2" t="s">
        <v>12</v>
      </c>
      <c r="B9885" s="2" t="str">
        <f>HYPERLINK("http://m.12365auto.com/bbs/postcontent.aspx?tID=193699","疫情时期开车需要戴口罩吗")</f>
        <v>疫情时期开车需要戴口罩吗</v>
      </c>
      <c r="C9885" s="2" t="s">
        <v>13</v>
      </c>
      <c r="D9885" s="2" t="s">
        <v>23</v>
      </c>
      <c r="E9885" s="2"/>
      <c r="F9885" s="2" t="str">
        <f>HYPERLINK("http://m.12365auto.com/bbs/postcontent.aspx?tID=193699","http://m.12365auto.com/bbs/postcontent.aspx?tID=193699")</f>
        <v>http://m.12365auto.com/bbs/postcontent.aspx?tID=193699</v>
      </c>
      <c r="G9885" s="2"/>
      <c r="H9885" s="2" t="s">
        <v>12715</v>
      </c>
      <c r="I9885" s="2" t="s">
        <v>15</v>
      </c>
      <c r="J9885" s="2" t="s">
        <v>4330</v>
      </c>
      <c r="K9885" s="2" t="s">
        <v>13286</v>
      </c>
      <c r="L9885" s="2">
        <f t="shared" si="154"/>
        <v>150</v>
      </c>
    </row>
    <row r="9886" spans="1:12" ht="25" customHeight="1">
      <c r="A9886" s="2" t="s">
        <v>12</v>
      </c>
      <c r="B9886" s="2" t="str">
        <f>HYPERLINK("http://www.12365auto.com/zlts/20200210/446747.shtml","郑州日产途达停放两天后电瓶亏电无法启动")</f>
        <v>郑州日产途达停放两天后电瓶亏电无法启动</v>
      </c>
      <c r="C9886" s="2" t="s">
        <v>13</v>
      </c>
      <c r="D9886" s="2" t="s">
        <v>12</v>
      </c>
      <c r="E9886" s="2" t="s">
        <v>17</v>
      </c>
      <c r="F9886" s="2" t="str">
        <f>HYPERLINK("http://www.12365auto.com/zlts/20200210/446747.shtml","http://www.12365auto.com/zlts/20200210/446747.shtml")</f>
        <v>http://www.12365auto.com/zlts/20200210/446747.shtml</v>
      </c>
      <c r="G9886" s="2"/>
      <c r="H9886" s="2" t="s">
        <v>13288</v>
      </c>
      <c r="I9886" s="2" t="s">
        <v>15</v>
      </c>
      <c r="J9886" s="2" t="s">
        <v>12</v>
      </c>
      <c r="K9886" s="2" t="s">
        <v>13289</v>
      </c>
      <c r="L9886" s="2">
        <f t="shared" si="154"/>
        <v>150</v>
      </c>
    </row>
    <row r="9887" spans="1:12" ht="25" customHeight="1">
      <c r="A9887" s="2" t="s">
        <v>12</v>
      </c>
      <c r="B9887" s="2" t="str">
        <f>HYPERLINK("http://bbs.12365auto.com/postcontent.aspx?tID=193695","1成首付 车子在还款期间出了事故谁负责？")</f>
        <v>1成首付 车子在还款期间出了事故谁负责？</v>
      </c>
      <c r="C9887" s="2" t="s">
        <v>13</v>
      </c>
      <c r="D9887" s="2" t="s">
        <v>12</v>
      </c>
      <c r="E9887" s="2" t="s">
        <v>214</v>
      </c>
      <c r="F9887" s="2" t="str">
        <f>HYPERLINK("http://bbs.12365auto.com/postcontent.aspx?tID=193695","http://bbs.12365auto.com/postcontent.aspx?tID=193695")</f>
        <v>http://bbs.12365auto.com/postcontent.aspx?tID=193695</v>
      </c>
      <c r="G9887" s="2"/>
      <c r="H9887" s="2" t="s">
        <v>13290</v>
      </c>
      <c r="I9887" s="2" t="s">
        <v>15</v>
      </c>
      <c r="J9887" s="2" t="s">
        <v>13291</v>
      </c>
      <c r="K9887" s="2" t="s">
        <v>13292</v>
      </c>
      <c r="L9887" s="2">
        <f t="shared" si="154"/>
        <v>150</v>
      </c>
    </row>
    <row r="9888" spans="1:12" ht="25" customHeight="1">
      <c r="A9888" s="2" t="s">
        <v>12</v>
      </c>
      <c r="B9888" s="2" t="str">
        <f>HYPERLINK("http://bbs.12365auto.com/postcontent.aspx?tID=193697","剐蹭劳斯莱斯保险该怎么办")</f>
        <v>剐蹭劳斯莱斯保险该怎么办</v>
      </c>
      <c r="C9888" s="2" t="s">
        <v>13</v>
      </c>
      <c r="D9888" s="2" t="s">
        <v>12</v>
      </c>
      <c r="E9888" s="2" t="s">
        <v>214</v>
      </c>
      <c r="F9888" s="2" t="str">
        <f>HYPERLINK("http://bbs.12365auto.com/postcontent.aspx?tID=193697","http://bbs.12365auto.com/postcontent.aspx?tID=193697")</f>
        <v>http://bbs.12365auto.com/postcontent.aspx?tID=193697</v>
      </c>
      <c r="G9888" s="2"/>
      <c r="H9888" s="2" t="s">
        <v>13293</v>
      </c>
      <c r="I9888" s="2" t="s">
        <v>15</v>
      </c>
      <c r="J9888" s="2" t="s">
        <v>13291</v>
      </c>
      <c r="K9888" s="2" t="s">
        <v>13292</v>
      </c>
      <c r="L9888" s="2">
        <f t="shared" si="154"/>
        <v>150</v>
      </c>
    </row>
    <row r="9889" spans="1:12" ht="25" customHeight="1">
      <c r="A9889" s="2" t="s">
        <v>12</v>
      </c>
      <c r="B9889" s="2" t="str">
        <f>HYPERLINK("http://bbs.12365auto.com/postcontent.aspx?tID=193696","车企应如何“掘金”后市场 利润丰厚")</f>
        <v>车企应如何“掘金”后市场 利润丰厚</v>
      </c>
      <c r="C9889" s="2" t="s">
        <v>13</v>
      </c>
      <c r="D9889" s="2" t="s">
        <v>12</v>
      </c>
      <c r="E9889" s="2" t="s">
        <v>214</v>
      </c>
      <c r="F9889" s="2" t="str">
        <f>HYPERLINK("http://bbs.12365auto.com/postcontent.aspx?tID=193696","http://bbs.12365auto.com/postcontent.aspx?tID=193696")</f>
        <v>http://bbs.12365auto.com/postcontent.aspx?tID=193696</v>
      </c>
      <c r="G9889" s="2"/>
      <c r="H9889" s="2" t="s">
        <v>13294</v>
      </c>
      <c r="I9889" s="2" t="s">
        <v>15</v>
      </c>
      <c r="J9889" s="2" t="s">
        <v>13291</v>
      </c>
      <c r="K9889" s="2" t="s">
        <v>13292</v>
      </c>
      <c r="L9889" s="2">
        <f t="shared" si="154"/>
        <v>150</v>
      </c>
    </row>
    <row r="9890" spans="1:12" ht="25" customHeight="1">
      <c r="A9890" s="2" t="s">
        <v>12</v>
      </c>
      <c r="B9890" s="2" t="str">
        <f>HYPERLINK("http://bbs.12365auto.com/postcontent.aspx?tId=193697","剐蹭劳斯莱斯保险该怎么办")</f>
        <v>剐蹭劳斯莱斯保险该怎么办</v>
      </c>
      <c r="C9890" s="2" t="s">
        <v>13</v>
      </c>
      <c r="D9890" s="2" t="s">
        <v>12</v>
      </c>
      <c r="E9890" s="2" t="s">
        <v>210</v>
      </c>
      <c r="F9890" s="2" t="str">
        <f>HYPERLINK("http://bbs.12365auto.com/postcontent.aspx?tId=193697","http://bbs.12365auto.com/postcontent.aspx?tId=193697")</f>
        <v>http://bbs.12365auto.com/postcontent.aspx?tId=193697</v>
      </c>
      <c r="G9890" s="2"/>
      <c r="H9890" s="2" t="s">
        <v>13295</v>
      </c>
      <c r="I9890" s="2" t="s">
        <v>15</v>
      </c>
      <c r="J9890" s="2" t="s">
        <v>13291</v>
      </c>
      <c r="K9890" s="2" t="s">
        <v>13292</v>
      </c>
      <c r="L9890" s="2">
        <f t="shared" si="154"/>
        <v>150</v>
      </c>
    </row>
    <row r="9891" spans="1:12" ht="25" customHeight="1">
      <c r="A9891" s="2" t="s">
        <v>12</v>
      </c>
      <c r="B9891" s="2" t="str">
        <f>HYPERLINK("http://bbs.12365auto.com/postcontent.aspx?tId=193696","车企应如何“掘金”后市场 利润丰厚")</f>
        <v>车企应如何“掘金”后市场 利润丰厚</v>
      </c>
      <c r="C9891" s="2" t="s">
        <v>13</v>
      </c>
      <c r="D9891" s="2" t="s">
        <v>12</v>
      </c>
      <c r="E9891" s="2" t="s">
        <v>210</v>
      </c>
      <c r="F9891" s="2" t="str">
        <f>HYPERLINK("http://bbs.12365auto.com/postcontent.aspx?tId=193696","http://bbs.12365auto.com/postcontent.aspx?tId=193696")</f>
        <v>http://bbs.12365auto.com/postcontent.aspx?tId=193696</v>
      </c>
      <c r="G9891" s="2"/>
      <c r="H9891" s="2" t="s">
        <v>13296</v>
      </c>
      <c r="I9891" s="2" t="s">
        <v>15</v>
      </c>
      <c r="J9891" s="2" t="s">
        <v>13291</v>
      </c>
      <c r="K9891" s="2" t="s">
        <v>13292</v>
      </c>
      <c r="L9891" s="2">
        <f t="shared" si="154"/>
        <v>150</v>
      </c>
    </row>
    <row r="9892" spans="1:12" ht="25" customHeight="1">
      <c r="A9892" s="2" t="s">
        <v>12</v>
      </c>
      <c r="B9892" s="2" t="str">
        <f>HYPERLINK("http://bbs.12365auto.com/postcontent.aspx?tId=193695","1成首付 车子在还款期间出了事故谁负责？")</f>
        <v>1成首付 车子在还款期间出了事故谁负责？</v>
      </c>
      <c r="C9892" s="2" t="s">
        <v>13</v>
      </c>
      <c r="D9892" s="2" t="s">
        <v>12</v>
      </c>
      <c r="E9892" s="2" t="s">
        <v>210</v>
      </c>
      <c r="F9892" s="2" t="str">
        <f>HYPERLINK("http://bbs.12365auto.com/postcontent.aspx?tId=193695","http://bbs.12365auto.com/postcontent.aspx?tId=193695")</f>
        <v>http://bbs.12365auto.com/postcontent.aspx?tId=193695</v>
      </c>
      <c r="G9892" s="2"/>
      <c r="H9892" s="2" t="s">
        <v>13297</v>
      </c>
      <c r="I9892" s="2" t="s">
        <v>15</v>
      </c>
      <c r="J9892" s="2" t="s">
        <v>13291</v>
      </c>
      <c r="K9892" s="2" t="s">
        <v>13292</v>
      </c>
      <c r="L9892" s="2">
        <f t="shared" si="154"/>
        <v>150</v>
      </c>
    </row>
    <row r="9893" spans="1:12" ht="25" customHeight="1">
      <c r="A9893" s="2" t="s">
        <v>12</v>
      </c>
      <c r="B9893" s="2" t="str">
        <f>HYPERLINK("http://m.12365auto.com/bbs/postcontent.aspx?tID=193695","1成首付 车子在还款期间出了事故谁负责？")</f>
        <v>1成首付 车子在还款期间出了事故谁负责？</v>
      </c>
      <c r="C9893" s="2" t="s">
        <v>13</v>
      </c>
      <c r="D9893" s="2" t="s">
        <v>23</v>
      </c>
      <c r="E9893" s="2"/>
      <c r="F9893" s="2" t="str">
        <f>HYPERLINK("http://m.12365auto.com/bbs/postcontent.aspx?tID=193695","http://m.12365auto.com/bbs/postcontent.aspx?tID=193695")</f>
        <v>http://m.12365auto.com/bbs/postcontent.aspx?tID=193695</v>
      </c>
      <c r="G9893" s="2"/>
      <c r="H9893" s="2" t="s">
        <v>13297</v>
      </c>
      <c r="I9893" s="2" t="s">
        <v>15</v>
      </c>
      <c r="J9893" s="2" t="s">
        <v>13291</v>
      </c>
      <c r="K9893" s="2" t="s">
        <v>13292</v>
      </c>
      <c r="L9893" s="2">
        <f t="shared" si="154"/>
        <v>150</v>
      </c>
    </row>
    <row r="9894" spans="1:12" ht="25" customHeight="1">
      <c r="A9894" s="2" t="s">
        <v>12</v>
      </c>
      <c r="B9894" s="2" t="str">
        <f>HYPERLINK("http://m.12365auto.com/bbs/postcontent.aspx?tID=193697","剐蹭劳斯莱斯保险该怎么办")</f>
        <v>剐蹭劳斯莱斯保险该怎么办</v>
      </c>
      <c r="C9894" s="2" t="s">
        <v>13</v>
      </c>
      <c r="D9894" s="2" t="s">
        <v>23</v>
      </c>
      <c r="E9894" s="2"/>
      <c r="F9894" s="2" t="str">
        <f>HYPERLINK("http://m.12365auto.com/bbs/postcontent.aspx?tID=193697","http://m.12365auto.com/bbs/postcontent.aspx?tID=193697")</f>
        <v>http://m.12365auto.com/bbs/postcontent.aspx?tID=193697</v>
      </c>
      <c r="G9894" s="2"/>
      <c r="H9894" s="2" t="s">
        <v>13295</v>
      </c>
      <c r="I9894" s="2" t="s">
        <v>15</v>
      </c>
      <c r="J9894" s="2" t="s">
        <v>13291</v>
      </c>
      <c r="K9894" s="2" t="s">
        <v>13292</v>
      </c>
      <c r="L9894" s="2">
        <f t="shared" si="154"/>
        <v>150</v>
      </c>
    </row>
    <row r="9895" spans="1:12" ht="25" customHeight="1">
      <c r="A9895" s="2" t="s">
        <v>12</v>
      </c>
      <c r="B9895" s="2" t="str">
        <f>HYPERLINK("http://m.12365auto.com/bbs/postcontent.aspx?tID=193696","车企应如何“掘金”后市场 利润丰厚")</f>
        <v>车企应如何“掘金”后市场 利润丰厚</v>
      </c>
      <c r="C9895" s="2" t="s">
        <v>13</v>
      </c>
      <c r="D9895" s="2" t="s">
        <v>23</v>
      </c>
      <c r="E9895" s="2"/>
      <c r="F9895" s="2" t="str">
        <f>HYPERLINK("http://m.12365auto.com/bbs/postcontent.aspx?tID=193696","http://m.12365auto.com/bbs/postcontent.aspx?tID=193696")</f>
        <v>http://m.12365auto.com/bbs/postcontent.aspx?tID=193696</v>
      </c>
      <c r="G9895" s="2"/>
      <c r="H9895" s="2" t="s">
        <v>13296</v>
      </c>
      <c r="I9895" s="2" t="s">
        <v>15</v>
      </c>
      <c r="J9895" s="2" t="s">
        <v>13291</v>
      </c>
      <c r="K9895" s="2" t="s">
        <v>13292</v>
      </c>
      <c r="L9895" s="2">
        <f t="shared" si="154"/>
        <v>150</v>
      </c>
    </row>
    <row r="9896" spans="1:12" ht="25" customHeight="1">
      <c r="A9896" s="2" t="s">
        <v>12</v>
      </c>
      <c r="B9896" s="2" t="str">
        <f>HYPERLINK("http://bbs.12365auto.com/postcontent.aspx?tID=193693","驴死车毁谁来赔 会车斗大灯撞死毛驴")</f>
        <v>驴死车毁谁来赔 会车斗大灯撞死毛驴</v>
      </c>
      <c r="C9896" s="2" t="s">
        <v>13</v>
      </c>
      <c r="D9896" s="2" t="s">
        <v>12</v>
      </c>
      <c r="E9896" s="2" t="s">
        <v>214</v>
      </c>
      <c r="F9896" s="2" t="str">
        <f>HYPERLINK("http://bbs.12365auto.com/postcontent.aspx?tID=193693","http://bbs.12365auto.com/postcontent.aspx?tID=193693")</f>
        <v>http://bbs.12365auto.com/postcontent.aspx?tID=193693</v>
      </c>
      <c r="G9896" s="2"/>
      <c r="H9896" s="2" t="s">
        <v>13298</v>
      </c>
      <c r="I9896" s="2" t="s">
        <v>15</v>
      </c>
      <c r="J9896" s="2" t="s">
        <v>13299</v>
      </c>
      <c r="K9896" s="2" t="s">
        <v>13300</v>
      </c>
      <c r="L9896" s="2">
        <f t="shared" si="154"/>
        <v>150</v>
      </c>
    </row>
    <row r="9897" spans="1:12" ht="25" customHeight="1">
      <c r="A9897" s="2" t="s">
        <v>12</v>
      </c>
      <c r="B9897" s="2" t="str">
        <f>HYPERLINK("http://bbs.12365auto.com/postcontent.aspx?tID=193694","买豪华车税费要三四万 钱到底差在哪儿了？")</f>
        <v>买豪华车税费要三四万 钱到底差在哪儿了？</v>
      </c>
      <c r="C9897" s="2" t="s">
        <v>13</v>
      </c>
      <c r="D9897" s="2" t="s">
        <v>12</v>
      </c>
      <c r="E9897" s="2" t="s">
        <v>214</v>
      </c>
      <c r="F9897" s="2" t="str">
        <f>HYPERLINK("http://bbs.12365auto.com/postcontent.aspx?tID=193694","http://bbs.12365auto.com/postcontent.aspx?tID=193694")</f>
        <v>http://bbs.12365auto.com/postcontent.aspx?tID=193694</v>
      </c>
      <c r="G9897" s="2"/>
      <c r="H9897" s="2" t="s">
        <v>13301</v>
      </c>
      <c r="I9897" s="2" t="s">
        <v>15</v>
      </c>
      <c r="J9897" s="2" t="s">
        <v>13299</v>
      </c>
      <c r="K9897" s="2" t="s">
        <v>13300</v>
      </c>
      <c r="L9897" s="2">
        <f t="shared" si="154"/>
        <v>150</v>
      </c>
    </row>
    <row r="9898" spans="1:12" ht="25" customHeight="1">
      <c r="A9898" s="2" t="s">
        <v>12</v>
      </c>
      <c r="B9898" s="2" t="str">
        <f>HYPERLINK("http://bbs.12365auto.com/postcontent.aspx?tId=193693","驴死车毁谁来赔 会车斗大灯撞死毛驴")</f>
        <v>驴死车毁谁来赔 会车斗大灯撞死毛驴</v>
      </c>
      <c r="C9898" s="2" t="s">
        <v>13</v>
      </c>
      <c r="D9898" s="2" t="s">
        <v>12</v>
      </c>
      <c r="E9898" s="2" t="s">
        <v>210</v>
      </c>
      <c r="F9898" s="2" t="str">
        <f>HYPERLINK("http://bbs.12365auto.com/postcontent.aspx?tId=193693","http://bbs.12365auto.com/postcontent.aspx?tId=193693")</f>
        <v>http://bbs.12365auto.com/postcontent.aspx?tId=193693</v>
      </c>
      <c r="G9898" s="2"/>
      <c r="H9898" s="2" t="s">
        <v>13302</v>
      </c>
      <c r="I9898" s="2" t="s">
        <v>15</v>
      </c>
      <c r="J9898" s="2" t="s">
        <v>13299</v>
      </c>
      <c r="K9898" s="2" t="s">
        <v>13300</v>
      </c>
      <c r="L9898" s="2">
        <f t="shared" si="154"/>
        <v>150</v>
      </c>
    </row>
    <row r="9899" spans="1:12" ht="25" customHeight="1">
      <c r="A9899" s="2" t="s">
        <v>12</v>
      </c>
      <c r="B9899" s="2" t="str">
        <f>HYPERLINK("http://bbs.12365auto.com/postcontent.aspx?tId=193694","买豪华车税费要三四万 钱到底差在哪儿了？")</f>
        <v>买豪华车税费要三四万 钱到底差在哪儿了？</v>
      </c>
      <c r="C9899" s="2" t="s">
        <v>13</v>
      </c>
      <c r="D9899" s="2" t="s">
        <v>12</v>
      </c>
      <c r="E9899" s="2" t="s">
        <v>210</v>
      </c>
      <c r="F9899" s="2" t="str">
        <f>HYPERLINK("http://bbs.12365auto.com/postcontent.aspx?tId=193694","http://bbs.12365auto.com/postcontent.aspx?tId=193694")</f>
        <v>http://bbs.12365auto.com/postcontent.aspx?tId=193694</v>
      </c>
      <c r="G9899" s="2"/>
      <c r="H9899" s="2" t="s">
        <v>13303</v>
      </c>
      <c r="I9899" s="2" t="s">
        <v>15</v>
      </c>
      <c r="J9899" s="2" t="s">
        <v>13299</v>
      </c>
      <c r="K9899" s="2" t="s">
        <v>13300</v>
      </c>
      <c r="L9899" s="2">
        <f t="shared" si="154"/>
        <v>150</v>
      </c>
    </row>
    <row r="9900" spans="1:12" ht="25" customHeight="1">
      <c r="A9900" s="2" t="s">
        <v>12</v>
      </c>
      <c r="B9900" s="2" t="str">
        <f>HYPERLINK("http://m.12365auto.com/bbs/postcontent.aspx?tID=193693","驴死车毁谁来赔 会车斗大灯撞死毛驴")</f>
        <v>驴死车毁谁来赔 会车斗大灯撞死毛驴</v>
      </c>
      <c r="C9900" s="2" t="s">
        <v>13</v>
      </c>
      <c r="D9900" s="2" t="s">
        <v>23</v>
      </c>
      <c r="E9900" s="2"/>
      <c r="F9900" s="2" t="str">
        <f>HYPERLINK("http://m.12365auto.com/bbs/postcontent.aspx?tID=193693","http://m.12365auto.com/bbs/postcontent.aspx?tID=193693")</f>
        <v>http://m.12365auto.com/bbs/postcontent.aspx?tID=193693</v>
      </c>
      <c r="G9900" s="2"/>
      <c r="H9900" s="2" t="s">
        <v>13302</v>
      </c>
      <c r="I9900" s="2" t="s">
        <v>15</v>
      </c>
      <c r="J9900" s="2" t="s">
        <v>13299</v>
      </c>
      <c r="K9900" s="2" t="s">
        <v>13300</v>
      </c>
      <c r="L9900" s="2">
        <f t="shared" si="154"/>
        <v>150</v>
      </c>
    </row>
    <row r="9901" spans="1:12" ht="25" customHeight="1">
      <c r="A9901" s="2" t="s">
        <v>12</v>
      </c>
      <c r="B9901" s="2" t="str">
        <f>HYPERLINK("http://m.12365auto.com/bbs/postcontent.aspx?tID=193694","买豪华车税费要三四万 钱到底差在哪儿了？")</f>
        <v>买豪华车税费要三四万 钱到底差在哪儿了？</v>
      </c>
      <c r="C9901" s="2" t="s">
        <v>13</v>
      </c>
      <c r="D9901" s="2" t="s">
        <v>23</v>
      </c>
      <c r="E9901" s="2"/>
      <c r="F9901" s="2" t="str">
        <f>HYPERLINK("http://m.12365auto.com/bbs/postcontent.aspx?tID=193694","http://m.12365auto.com/bbs/postcontent.aspx?tID=193694")</f>
        <v>http://m.12365auto.com/bbs/postcontent.aspx?tID=193694</v>
      </c>
      <c r="G9901" s="2"/>
      <c r="H9901" s="2" t="s">
        <v>13303</v>
      </c>
      <c r="I9901" s="2" t="s">
        <v>15</v>
      </c>
      <c r="J9901" s="2" t="s">
        <v>13299</v>
      </c>
      <c r="K9901" s="2" t="s">
        <v>13300</v>
      </c>
      <c r="L9901" s="2">
        <f t="shared" si="154"/>
        <v>150</v>
      </c>
    </row>
    <row r="9902" spans="1:12" ht="25" customHeight="1">
      <c r="A9902" s="2" t="s">
        <v>12</v>
      </c>
      <c r="B9902" s="2" t="str">
        <f>HYPERLINK("http://www.12365auto.com/zlts/20200210/446745.shtml","别克凯越仪表台")</f>
        <v>别克凯越仪表台</v>
      </c>
      <c r="C9902" s="2" t="s">
        <v>13</v>
      </c>
      <c r="D9902" s="2" t="s">
        <v>12</v>
      </c>
      <c r="E9902" s="2"/>
      <c r="F9902" s="2" t="str">
        <f>HYPERLINK("http://www.12365auto.com/zlts/20200210/446745.shtml","http://www.12365auto.com/zlts/20200210/446745.shtml")</f>
        <v>http://www.12365auto.com/zlts/20200210/446745.shtml</v>
      </c>
      <c r="G9902" s="2"/>
      <c r="H9902" s="2" t="s">
        <v>13305</v>
      </c>
      <c r="I9902" s="2" t="s">
        <v>15</v>
      </c>
      <c r="J9902" s="2" t="s">
        <v>12</v>
      </c>
      <c r="K9902" s="2" t="s">
        <v>13304</v>
      </c>
      <c r="L9902" s="2">
        <f t="shared" si="154"/>
        <v>80</v>
      </c>
    </row>
    <row r="9903" spans="1:12" ht="25" customHeight="1">
      <c r="A9903" s="2" t="s">
        <v>12</v>
      </c>
      <c r="B9903" s="2" t="str">
        <f>HYPERLINK("http://bbs.12365auto.com/postcontent.aspx?tID=193692","贷款买车 你得知道这些毁征信行为")</f>
        <v>贷款买车 你得知道这些毁征信行为</v>
      </c>
      <c r="C9903" s="2" t="s">
        <v>13</v>
      </c>
      <c r="D9903" s="2" t="s">
        <v>12</v>
      </c>
      <c r="E9903" s="2" t="s">
        <v>214</v>
      </c>
      <c r="F9903" s="2" t="str">
        <f>HYPERLINK("http://bbs.12365auto.com/postcontent.aspx?tID=193692","http://bbs.12365auto.com/postcontent.aspx?tID=193692")</f>
        <v>http://bbs.12365auto.com/postcontent.aspx?tID=193692</v>
      </c>
      <c r="G9903" s="2"/>
      <c r="H9903" s="2" t="s">
        <v>13306</v>
      </c>
      <c r="I9903" s="2" t="s">
        <v>15</v>
      </c>
      <c r="J9903" s="2" t="s">
        <v>13299</v>
      </c>
      <c r="K9903" s="2" t="s">
        <v>13307</v>
      </c>
      <c r="L9903" s="2">
        <f t="shared" si="154"/>
        <v>150</v>
      </c>
    </row>
    <row r="9904" spans="1:12" ht="25" customHeight="1">
      <c r="A9904" s="2" t="s">
        <v>12</v>
      </c>
      <c r="B9904" s="2" t="str">
        <f>HYPERLINK("http://bbs.12365auto.com/postcontent.aspx?tId=193692","贷款买车 你得知道这些毁征信行为")</f>
        <v>贷款买车 你得知道这些毁征信行为</v>
      </c>
      <c r="C9904" s="2" t="s">
        <v>13</v>
      </c>
      <c r="D9904" s="2" t="s">
        <v>12</v>
      </c>
      <c r="E9904" s="2" t="s">
        <v>210</v>
      </c>
      <c r="F9904" s="2" t="str">
        <f>HYPERLINK("http://bbs.12365auto.com/postcontent.aspx?tId=193692","http://bbs.12365auto.com/postcontent.aspx?tId=193692")</f>
        <v>http://bbs.12365auto.com/postcontent.aspx?tId=193692</v>
      </c>
      <c r="G9904" s="2"/>
      <c r="H9904" s="2" t="s">
        <v>13308</v>
      </c>
      <c r="I9904" s="2" t="s">
        <v>15</v>
      </c>
      <c r="J9904" s="2" t="s">
        <v>13299</v>
      </c>
      <c r="K9904" s="2" t="s">
        <v>13307</v>
      </c>
      <c r="L9904" s="2">
        <f t="shared" si="154"/>
        <v>150</v>
      </c>
    </row>
    <row r="9905" spans="1:12" ht="25" customHeight="1">
      <c r="A9905" s="2" t="s">
        <v>12</v>
      </c>
      <c r="B9905" s="2" t="str">
        <f>HYPERLINK("http://m.12365auto.com/bbs/postcontent.aspx?tID=193692","贷款买车 你得知道这些毁征信行为")</f>
        <v>贷款买车 你得知道这些毁征信行为</v>
      </c>
      <c r="C9905" s="2" t="s">
        <v>13</v>
      </c>
      <c r="D9905" s="2" t="s">
        <v>23</v>
      </c>
      <c r="E9905" s="2"/>
      <c r="F9905" s="2" t="str">
        <f>HYPERLINK("http://m.12365auto.com/bbs/postcontent.aspx?tID=193692","http://m.12365auto.com/bbs/postcontent.aspx?tID=193692")</f>
        <v>http://m.12365auto.com/bbs/postcontent.aspx?tID=193692</v>
      </c>
      <c r="G9905" s="2"/>
      <c r="H9905" s="2" t="s">
        <v>13308</v>
      </c>
      <c r="I9905" s="2" t="s">
        <v>15</v>
      </c>
      <c r="J9905" s="2" t="s">
        <v>13299</v>
      </c>
      <c r="K9905" s="2" t="s">
        <v>13307</v>
      </c>
      <c r="L9905" s="2">
        <f t="shared" si="154"/>
        <v>150</v>
      </c>
    </row>
    <row r="9906" spans="1:12" ht="25" customHeight="1">
      <c r="A9906" s="2" t="s">
        <v>12</v>
      </c>
      <c r="B9906" s="2" t="str">
        <f>HYPERLINK("http://bbs.12365auto.com/postcontent.aspx?tID=193689","为何冬天纯电动车续航差？三大主要因素导致")</f>
        <v>为何冬天纯电动车续航差？三大主要因素导致</v>
      </c>
      <c r="C9906" s="2" t="s">
        <v>13</v>
      </c>
      <c r="D9906" s="2" t="s">
        <v>12</v>
      </c>
      <c r="E9906" s="2" t="s">
        <v>214</v>
      </c>
      <c r="F9906" s="2" t="str">
        <f>HYPERLINK("http://bbs.12365auto.com/postcontent.aspx?tID=193689","http://bbs.12365auto.com/postcontent.aspx?tID=193689")</f>
        <v>http://bbs.12365auto.com/postcontent.aspx?tID=193689</v>
      </c>
      <c r="G9906" s="2"/>
      <c r="H9906" s="2" t="s">
        <v>13309</v>
      </c>
      <c r="I9906" s="2" t="s">
        <v>15</v>
      </c>
      <c r="J9906" s="2" t="s">
        <v>13310</v>
      </c>
      <c r="K9906" s="2" t="s">
        <v>13311</v>
      </c>
      <c r="L9906" s="2">
        <f t="shared" si="154"/>
        <v>150</v>
      </c>
    </row>
    <row r="9907" spans="1:12" ht="25" customHeight="1">
      <c r="A9907" s="2" t="s">
        <v>12</v>
      </c>
      <c r="B9907" s="2" t="str">
        <f>HYPERLINK("http://bbs.12365auto.com/postcontent.aspx?tID=193691","区别在哪里 国外Lease车VS国内1成首付")</f>
        <v>区别在哪里 国外Lease车VS国内1成首付</v>
      </c>
      <c r="C9907" s="2" t="s">
        <v>13</v>
      </c>
      <c r="D9907" s="2" t="s">
        <v>12</v>
      </c>
      <c r="E9907" s="2" t="s">
        <v>214</v>
      </c>
      <c r="F9907" s="2" t="str">
        <f>HYPERLINK("http://bbs.12365auto.com/postcontent.aspx?tID=193691","http://bbs.12365auto.com/postcontent.aspx?tID=193691")</f>
        <v>http://bbs.12365auto.com/postcontent.aspx?tID=193691</v>
      </c>
      <c r="G9907" s="2"/>
      <c r="H9907" s="2" t="s">
        <v>13312</v>
      </c>
      <c r="I9907" s="2" t="s">
        <v>15</v>
      </c>
      <c r="J9907" s="2" t="s">
        <v>13310</v>
      </c>
      <c r="K9907" s="2" t="s">
        <v>13311</v>
      </c>
      <c r="L9907" s="2">
        <f t="shared" si="154"/>
        <v>150</v>
      </c>
    </row>
    <row r="9908" spans="1:12" ht="25" customHeight="1">
      <c r="A9908" s="2" t="s">
        <v>12</v>
      </c>
      <c r="B9908" s="2" t="str">
        <f>HYPERLINK("http://bbs.12365auto.com/postcontent.aspx?tID=193690","48V微混系统是混动吗？优势和意义何在？")</f>
        <v>48V微混系统是混动吗？优势和意义何在？</v>
      </c>
      <c r="C9908" s="2" t="s">
        <v>13</v>
      </c>
      <c r="D9908" s="2" t="s">
        <v>12</v>
      </c>
      <c r="E9908" s="2" t="s">
        <v>214</v>
      </c>
      <c r="F9908" s="2" t="str">
        <f>HYPERLINK("http://bbs.12365auto.com/postcontent.aspx?tID=193690","http://bbs.12365auto.com/postcontent.aspx?tID=193690")</f>
        <v>http://bbs.12365auto.com/postcontent.aspx?tID=193690</v>
      </c>
      <c r="G9908" s="2"/>
      <c r="H9908" s="2" t="s">
        <v>13313</v>
      </c>
      <c r="I9908" s="2" t="s">
        <v>15</v>
      </c>
      <c r="J9908" s="2" t="s">
        <v>13310</v>
      </c>
      <c r="K9908" s="2" t="s">
        <v>13311</v>
      </c>
      <c r="L9908" s="2">
        <f t="shared" si="154"/>
        <v>150</v>
      </c>
    </row>
    <row r="9909" spans="1:12" ht="25" customHeight="1">
      <c r="A9909" s="2" t="s">
        <v>12</v>
      </c>
      <c r="B9909" s="2" t="str">
        <f>HYPERLINK("http://bbs.12365auto.com/postcontent.aspx?tId=193691","区别在哪里 国外Lease车VS国内1成首付")</f>
        <v>区别在哪里 国外Lease车VS国内1成首付</v>
      </c>
      <c r="C9909" s="2" t="s">
        <v>13</v>
      </c>
      <c r="D9909" s="2" t="s">
        <v>12</v>
      </c>
      <c r="E9909" s="2" t="s">
        <v>210</v>
      </c>
      <c r="F9909" s="2" t="str">
        <f>HYPERLINK("http://bbs.12365auto.com/postcontent.aspx?tId=193691","http://bbs.12365auto.com/postcontent.aspx?tId=193691")</f>
        <v>http://bbs.12365auto.com/postcontent.aspx?tId=193691</v>
      </c>
      <c r="G9909" s="2"/>
      <c r="H9909" s="2" t="s">
        <v>13314</v>
      </c>
      <c r="I9909" s="2" t="s">
        <v>15</v>
      </c>
      <c r="J9909" s="2" t="s">
        <v>13310</v>
      </c>
      <c r="K9909" s="2" t="s">
        <v>13311</v>
      </c>
      <c r="L9909" s="2">
        <f t="shared" si="154"/>
        <v>150</v>
      </c>
    </row>
    <row r="9910" spans="1:12" ht="25" customHeight="1">
      <c r="A9910" s="2" t="s">
        <v>12</v>
      </c>
      <c r="B9910" s="2" t="str">
        <f>HYPERLINK("http://bbs.12365auto.com/postcontent.aspx?tId=193689","为何冬天纯电动车续航差？三大主要因素导致")</f>
        <v>为何冬天纯电动车续航差？三大主要因素导致</v>
      </c>
      <c r="C9910" s="2" t="s">
        <v>13</v>
      </c>
      <c r="D9910" s="2" t="s">
        <v>12</v>
      </c>
      <c r="E9910" s="2" t="s">
        <v>210</v>
      </c>
      <c r="F9910" s="2" t="str">
        <f>HYPERLINK("http://bbs.12365auto.com/postcontent.aspx?tId=193689","http://bbs.12365auto.com/postcontent.aspx?tId=193689")</f>
        <v>http://bbs.12365auto.com/postcontent.aspx?tId=193689</v>
      </c>
      <c r="G9910" s="2"/>
      <c r="H9910" s="2" t="s">
        <v>13315</v>
      </c>
      <c r="I9910" s="2" t="s">
        <v>15</v>
      </c>
      <c r="J9910" s="2" t="s">
        <v>13310</v>
      </c>
      <c r="K9910" s="2" t="s">
        <v>13311</v>
      </c>
      <c r="L9910" s="2">
        <f t="shared" si="154"/>
        <v>150</v>
      </c>
    </row>
    <row r="9911" spans="1:12" ht="25" customHeight="1">
      <c r="A9911" s="2" t="s">
        <v>12</v>
      </c>
      <c r="B9911" s="2" t="str">
        <f>HYPERLINK("http://bbs.12365auto.com/postcontent.aspx?tId=193690","48V微混系统是混动吗？优势和意义何在？")</f>
        <v>48V微混系统是混动吗？优势和意义何在？</v>
      </c>
      <c r="C9911" s="2" t="s">
        <v>13</v>
      </c>
      <c r="D9911" s="2" t="s">
        <v>12</v>
      </c>
      <c r="E9911" s="2" t="s">
        <v>210</v>
      </c>
      <c r="F9911" s="2" t="str">
        <f>HYPERLINK("http://bbs.12365auto.com/postcontent.aspx?tId=193690","http://bbs.12365auto.com/postcontent.aspx?tId=193690")</f>
        <v>http://bbs.12365auto.com/postcontent.aspx?tId=193690</v>
      </c>
      <c r="G9911" s="2"/>
      <c r="H9911" s="2" t="s">
        <v>13316</v>
      </c>
      <c r="I9911" s="2" t="s">
        <v>15</v>
      </c>
      <c r="J9911" s="2" t="s">
        <v>13310</v>
      </c>
      <c r="K9911" s="2" t="s">
        <v>13311</v>
      </c>
      <c r="L9911" s="2">
        <f t="shared" si="154"/>
        <v>150</v>
      </c>
    </row>
    <row r="9912" spans="1:12" ht="25" customHeight="1">
      <c r="A9912" s="2" t="s">
        <v>12</v>
      </c>
      <c r="B9912" s="2" t="str">
        <f>HYPERLINK("http://m.12365auto.com/bbs/postcontent.aspx?tID=193691","区别在哪里 国外Lease车VS国内1成首付")</f>
        <v>区别在哪里 国外Lease车VS国内1成首付</v>
      </c>
      <c r="C9912" s="2" t="s">
        <v>13</v>
      </c>
      <c r="D9912" s="2" t="s">
        <v>23</v>
      </c>
      <c r="E9912" s="2"/>
      <c r="F9912" s="2" t="str">
        <f>HYPERLINK("http://m.12365auto.com/bbs/postcontent.aspx?tID=193691","http://m.12365auto.com/bbs/postcontent.aspx?tID=193691")</f>
        <v>http://m.12365auto.com/bbs/postcontent.aspx?tID=193691</v>
      </c>
      <c r="G9912" s="2"/>
      <c r="H9912" s="2" t="s">
        <v>13314</v>
      </c>
      <c r="I9912" s="2" t="s">
        <v>15</v>
      </c>
      <c r="J9912" s="2" t="s">
        <v>13310</v>
      </c>
      <c r="K9912" s="2" t="s">
        <v>13311</v>
      </c>
      <c r="L9912" s="2">
        <f t="shared" si="154"/>
        <v>150</v>
      </c>
    </row>
    <row r="9913" spans="1:12" ht="25" customHeight="1">
      <c r="A9913" s="2" t="s">
        <v>12</v>
      </c>
      <c r="B9913" s="2" t="str">
        <f>HYPERLINK("http://m.12365auto.com/bbs/postcontent.aspx?tID=193690","48V微混系统是混动吗？优势和意义何在？")</f>
        <v>48V微混系统是混动吗？优势和意义何在？</v>
      </c>
      <c r="C9913" s="2" t="s">
        <v>13</v>
      </c>
      <c r="D9913" s="2" t="s">
        <v>23</v>
      </c>
      <c r="E9913" s="2"/>
      <c r="F9913" s="2" t="str">
        <f>HYPERLINK("http://m.12365auto.com/bbs/postcontent.aspx?tID=193690","http://m.12365auto.com/bbs/postcontent.aspx?tID=193690")</f>
        <v>http://m.12365auto.com/bbs/postcontent.aspx?tID=193690</v>
      </c>
      <c r="G9913" s="2"/>
      <c r="H9913" s="2" t="s">
        <v>13316</v>
      </c>
      <c r="I9913" s="2" t="s">
        <v>15</v>
      </c>
      <c r="J9913" s="2" t="s">
        <v>13310</v>
      </c>
      <c r="K9913" s="2" t="s">
        <v>13311</v>
      </c>
      <c r="L9913" s="2">
        <f t="shared" si="154"/>
        <v>150</v>
      </c>
    </row>
    <row r="9914" spans="1:12" ht="25" customHeight="1">
      <c r="A9914" s="2" t="s">
        <v>12</v>
      </c>
      <c r="B9914" s="2" t="str">
        <f>HYPERLINK("http://m.12365auto.com/bbs/postcontent.aspx?tID=193689","为何冬天纯电动车续航差？三大主要因素导致")</f>
        <v>为何冬天纯电动车续航差？三大主要因素导致</v>
      </c>
      <c r="C9914" s="2" t="s">
        <v>13</v>
      </c>
      <c r="D9914" s="2" t="s">
        <v>23</v>
      </c>
      <c r="E9914" s="2"/>
      <c r="F9914" s="2" t="str">
        <f>HYPERLINK("http://m.12365auto.com/bbs/postcontent.aspx?tID=193689","http://m.12365auto.com/bbs/postcontent.aspx?tID=193689")</f>
        <v>http://m.12365auto.com/bbs/postcontent.aspx?tID=193689</v>
      </c>
      <c r="G9914" s="2"/>
      <c r="H9914" s="2" t="s">
        <v>13315</v>
      </c>
      <c r="I9914" s="2" t="s">
        <v>15</v>
      </c>
      <c r="J9914" s="2" t="s">
        <v>13310</v>
      </c>
      <c r="K9914" s="2" t="s">
        <v>13311</v>
      </c>
      <c r="L9914" s="2">
        <f t="shared" si="154"/>
        <v>150</v>
      </c>
    </row>
    <row r="9915" spans="1:12" ht="25" customHeight="1">
      <c r="A9915" s="2" t="s">
        <v>12</v>
      </c>
      <c r="B9915" s="2" t="str">
        <f>HYPERLINK("http://bbs.12365auto.com/postcontent.aspx?tId=193687","拒绝跟风 宝马不会开发电动车专有平台")</f>
        <v>拒绝跟风 宝马不会开发电动车专有平台</v>
      </c>
      <c r="C9915" s="2" t="s">
        <v>13</v>
      </c>
      <c r="D9915" s="2" t="s">
        <v>12</v>
      </c>
      <c r="E9915" s="2" t="s">
        <v>27</v>
      </c>
      <c r="F9915" s="2" t="str">
        <f>HYPERLINK("http://bbs.12365auto.com/postcontent.aspx?tId=193687","http://bbs.12365auto.com/postcontent.aspx?tId=193687")</f>
        <v>http://bbs.12365auto.com/postcontent.aspx?tId=193687</v>
      </c>
      <c r="G9915" s="2"/>
      <c r="H9915" s="2" t="s">
        <v>13317</v>
      </c>
      <c r="I9915" s="2" t="s">
        <v>15</v>
      </c>
      <c r="J9915" s="2" t="s">
        <v>1960</v>
      </c>
      <c r="K9915" s="2" t="s">
        <v>13318</v>
      </c>
      <c r="L9915" s="2">
        <f t="shared" si="154"/>
        <v>150</v>
      </c>
    </row>
    <row r="9916" spans="1:12" ht="25" customHeight="1">
      <c r="A9916" s="2" t="s">
        <v>12</v>
      </c>
      <c r="B9916" s="2" t="str">
        <f>HYPERLINK("http://bbs.12365auto.com/postcontent.aspx?tID=193687","拒绝跟风 宝马不会开发电动车专有平台")</f>
        <v>拒绝跟风 宝马不会开发电动车专有平台</v>
      </c>
      <c r="C9916" s="2" t="s">
        <v>13</v>
      </c>
      <c r="D9916" s="2" t="s">
        <v>12</v>
      </c>
      <c r="E9916" s="2" t="s">
        <v>28</v>
      </c>
      <c r="F9916" s="2" t="str">
        <f>HYPERLINK("http://bbs.12365auto.com/postcontent.aspx?tID=193687","http://bbs.12365auto.com/postcontent.aspx?tID=193687")</f>
        <v>http://bbs.12365auto.com/postcontent.aspx?tID=193687</v>
      </c>
      <c r="G9916" s="2"/>
      <c r="H9916" s="2" t="s">
        <v>13319</v>
      </c>
      <c r="I9916" s="2" t="s">
        <v>15</v>
      </c>
      <c r="J9916" s="2" t="s">
        <v>1960</v>
      </c>
      <c r="K9916" s="2" t="s">
        <v>13318</v>
      </c>
      <c r="L9916" s="2">
        <f t="shared" si="154"/>
        <v>150</v>
      </c>
    </row>
    <row r="9917" spans="1:12" ht="25" customHeight="1">
      <c r="A9917" s="2" t="s">
        <v>12</v>
      </c>
      <c r="B9917" s="2" t="str">
        <f>HYPERLINK("http://bbs.12365auto.com/postcontent.aspx?tID=193688","长途开车犯困怎么办？这是一本过年必备的提神宝典")</f>
        <v>长途开车犯困怎么办？这是一本过年必备的提神宝典</v>
      </c>
      <c r="C9917" s="2" t="s">
        <v>13</v>
      </c>
      <c r="D9917" s="2" t="s">
        <v>12</v>
      </c>
      <c r="E9917" s="2" t="s">
        <v>214</v>
      </c>
      <c r="F9917" s="2" t="str">
        <f>HYPERLINK("http://bbs.12365auto.com/postcontent.aspx?tID=193688","http://bbs.12365auto.com/postcontent.aspx?tID=193688")</f>
        <v>http://bbs.12365auto.com/postcontent.aspx?tID=193688</v>
      </c>
      <c r="G9917" s="2"/>
      <c r="H9917" s="2" t="s">
        <v>13320</v>
      </c>
      <c r="I9917" s="2" t="s">
        <v>15</v>
      </c>
      <c r="J9917" s="2" t="s">
        <v>13321</v>
      </c>
      <c r="K9917" s="2" t="s">
        <v>13318</v>
      </c>
      <c r="L9917" s="2">
        <f t="shared" si="154"/>
        <v>150</v>
      </c>
    </row>
    <row r="9918" spans="1:12" ht="25" customHeight="1">
      <c r="A9918" s="2" t="s">
        <v>12</v>
      </c>
      <c r="B9918" s="2" t="str">
        <f>HYPERLINK("http://bbs.12365auto.com/postcontent.aspx?tId=193688","长途开车犯困怎么办？这是一本过年必备的提神宝典")</f>
        <v>长途开车犯困怎么办？这是一本过年必备的提神宝典</v>
      </c>
      <c r="C9918" s="2" t="s">
        <v>13</v>
      </c>
      <c r="D9918" s="2" t="s">
        <v>12</v>
      </c>
      <c r="E9918" s="2" t="s">
        <v>210</v>
      </c>
      <c r="F9918" s="2" t="str">
        <f>HYPERLINK("http://bbs.12365auto.com/postcontent.aspx?tId=193688","http://bbs.12365auto.com/postcontent.aspx?tId=193688")</f>
        <v>http://bbs.12365auto.com/postcontent.aspx?tId=193688</v>
      </c>
      <c r="G9918" s="2"/>
      <c r="H9918" s="2" t="s">
        <v>13322</v>
      </c>
      <c r="I9918" s="2" t="s">
        <v>15</v>
      </c>
      <c r="J9918" s="2" t="s">
        <v>13321</v>
      </c>
      <c r="K9918" s="2" t="s">
        <v>13318</v>
      </c>
      <c r="L9918" s="2">
        <f t="shared" si="154"/>
        <v>150</v>
      </c>
    </row>
    <row r="9919" spans="1:12" ht="25" customHeight="1">
      <c r="A9919" s="2" t="s">
        <v>12</v>
      </c>
      <c r="B9919" s="2" t="str">
        <f>HYPERLINK("http://m.12365auto.com/bbs/postcontent.aspx?tID=193688","长途开车犯困怎么办？这是一本过年必备的提神宝典")</f>
        <v>长途开车犯困怎么办？这是一本过年必备的提神宝典</v>
      </c>
      <c r="C9919" s="2" t="s">
        <v>13</v>
      </c>
      <c r="D9919" s="2" t="s">
        <v>23</v>
      </c>
      <c r="E9919" s="2"/>
      <c r="F9919" s="2" t="str">
        <f>HYPERLINK("http://m.12365auto.com/bbs/postcontent.aspx?tID=193688","http://m.12365auto.com/bbs/postcontent.aspx?tID=193688")</f>
        <v>http://m.12365auto.com/bbs/postcontent.aspx?tID=193688</v>
      </c>
      <c r="G9919" s="2"/>
      <c r="H9919" s="2" t="s">
        <v>13322</v>
      </c>
      <c r="I9919" s="2" t="s">
        <v>15</v>
      </c>
      <c r="J9919" s="2" t="s">
        <v>13321</v>
      </c>
      <c r="K9919" s="2" t="s">
        <v>13318</v>
      </c>
      <c r="L9919" s="2">
        <f t="shared" si="154"/>
        <v>150</v>
      </c>
    </row>
    <row r="9920" spans="1:12" ht="25" customHeight="1">
      <c r="A9920" s="2" t="s">
        <v>12</v>
      </c>
      <c r="B9920" s="2" t="str">
        <f>HYPERLINK("http://bbs.12365auto.com/postcontent.aspx?tID=193685","返工关键期来了 乘公共交通工具这些必须注意")</f>
        <v>返工关键期来了 乘公共交通工具这些必须注意</v>
      </c>
      <c r="C9920" s="2" t="s">
        <v>13</v>
      </c>
      <c r="D9920" s="2" t="s">
        <v>12</v>
      </c>
      <c r="E9920" s="2" t="s">
        <v>214</v>
      </c>
      <c r="F9920" s="2" t="str">
        <f>HYPERLINK("http://bbs.12365auto.com/postcontent.aspx?tID=193685","http://bbs.12365auto.com/postcontent.aspx?tID=193685")</f>
        <v>http://bbs.12365auto.com/postcontent.aspx?tID=193685</v>
      </c>
      <c r="G9920" s="2"/>
      <c r="H9920" s="2" t="s">
        <v>13323</v>
      </c>
      <c r="I9920" s="2" t="s">
        <v>15</v>
      </c>
      <c r="J9920" s="2" t="s">
        <v>13321</v>
      </c>
      <c r="K9920" s="2" t="s">
        <v>13324</v>
      </c>
      <c r="L9920" s="2">
        <f t="shared" si="154"/>
        <v>150</v>
      </c>
    </row>
    <row r="9921" spans="1:12" ht="25" customHeight="1">
      <c r="A9921" s="2" t="s">
        <v>12</v>
      </c>
      <c r="B9921" s="2" t="str">
        <f>HYPERLINK("http://bbs.12365auto.com/postcontent.aspx?tID=193686","异地出事故保险员来不了？其实处理起来也并不困难")</f>
        <v>异地出事故保险员来不了？其实处理起来也并不困难</v>
      </c>
      <c r="C9921" s="2" t="s">
        <v>13</v>
      </c>
      <c r="D9921" s="2" t="s">
        <v>12</v>
      </c>
      <c r="E9921" s="2" t="s">
        <v>214</v>
      </c>
      <c r="F9921" s="2" t="str">
        <f>HYPERLINK("http://bbs.12365auto.com/postcontent.aspx?tID=193686","http://bbs.12365auto.com/postcontent.aspx?tID=193686")</f>
        <v>http://bbs.12365auto.com/postcontent.aspx?tID=193686</v>
      </c>
      <c r="G9921" s="2"/>
      <c r="H9921" s="2" t="s">
        <v>13325</v>
      </c>
      <c r="I9921" s="2" t="s">
        <v>15</v>
      </c>
      <c r="J9921" s="2" t="s">
        <v>13321</v>
      </c>
      <c r="K9921" s="2" t="s">
        <v>13324</v>
      </c>
      <c r="L9921" s="2">
        <f t="shared" si="154"/>
        <v>150</v>
      </c>
    </row>
    <row r="9922" spans="1:12" ht="25" customHeight="1">
      <c r="A9922" s="2" t="s">
        <v>12</v>
      </c>
      <c r="B9922" s="2" t="str">
        <f>HYPERLINK("http://bbs.12365auto.com/postcontent.aspx?tId=193685","返工关键期来了 乘公共交通工具这些必须注意")</f>
        <v>返工关键期来了 乘公共交通工具这些必须注意</v>
      </c>
      <c r="C9922" s="2" t="s">
        <v>13</v>
      </c>
      <c r="D9922" s="2" t="s">
        <v>12</v>
      </c>
      <c r="E9922" s="2" t="s">
        <v>210</v>
      </c>
      <c r="F9922" s="2" t="str">
        <f>HYPERLINK("http://bbs.12365auto.com/postcontent.aspx?tId=193685","http://bbs.12365auto.com/postcontent.aspx?tId=193685")</f>
        <v>http://bbs.12365auto.com/postcontent.aspx?tId=193685</v>
      </c>
      <c r="G9922" s="2"/>
      <c r="H9922" s="2" t="s">
        <v>13326</v>
      </c>
      <c r="I9922" s="2" t="s">
        <v>15</v>
      </c>
      <c r="J9922" s="2" t="s">
        <v>13321</v>
      </c>
      <c r="K9922" s="2" t="s">
        <v>13324</v>
      </c>
      <c r="L9922" s="2">
        <f t="shared" si="154"/>
        <v>150</v>
      </c>
    </row>
    <row r="9923" spans="1:12" ht="25" customHeight="1">
      <c r="A9923" s="2" t="s">
        <v>12</v>
      </c>
      <c r="B9923" s="2" t="str">
        <f>HYPERLINK("http://bbs.12365auto.com/postcontent.aspx?tId=193686","异地出事故保险员来不了？其实处理起来也并不困难")</f>
        <v>异地出事故保险员来不了？其实处理起来也并不困难</v>
      </c>
      <c r="C9923" s="2" t="s">
        <v>13</v>
      </c>
      <c r="D9923" s="2" t="s">
        <v>12</v>
      </c>
      <c r="E9923" s="2" t="s">
        <v>210</v>
      </c>
      <c r="F9923" s="2" t="str">
        <f>HYPERLINK("http://bbs.12365auto.com/postcontent.aspx?tId=193686","http://bbs.12365auto.com/postcontent.aspx?tId=193686")</f>
        <v>http://bbs.12365auto.com/postcontent.aspx?tId=193686</v>
      </c>
      <c r="G9923" s="2"/>
      <c r="H9923" s="2" t="s">
        <v>13327</v>
      </c>
      <c r="I9923" s="2" t="s">
        <v>15</v>
      </c>
      <c r="J9923" s="2" t="s">
        <v>13321</v>
      </c>
      <c r="K9923" s="2" t="s">
        <v>13324</v>
      </c>
      <c r="L9923" s="2">
        <f t="shared" ref="L9923:L9986" si="155">LEN(H9923)</f>
        <v>150</v>
      </c>
    </row>
    <row r="9924" spans="1:12" ht="25" customHeight="1">
      <c r="A9924" s="2" t="s">
        <v>12</v>
      </c>
      <c r="B9924" s="2" t="str">
        <f>HYPERLINK("http://bbs.12365auto.com/postcontent.aspx?tId=193684","这些车企也要上马口罩生产线了")</f>
        <v>这些车企也要上马口罩生产线了</v>
      </c>
      <c r="C9924" s="2" t="s">
        <v>13</v>
      </c>
      <c r="D9924" s="2" t="s">
        <v>12</v>
      </c>
      <c r="E9924" s="2" t="s">
        <v>27</v>
      </c>
      <c r="F9924" s="2" t="str">
        <f>HYPERLINK("http://bbs.12365auto.com/postcontent.aspx?tId=193684","http://bbs.12365auto.com/postcontent.aspx?tId=193684")</f>
        <v>http://bbs.12365auto.com/postcontent.aspx?tId=193684</v>
      </c>
      <c r="G9924" s="2"/>
      <c r="H9924" s="2" t="s">
        <v>13328</v>
      </c>
      <c r="I9924" s="2" t="s">
        <v>15</v>
      </c>
      <c r="J9924" s="2" t="s">
        <v>1960</v>
      </c>
      <c r="K9924" s="2" t="s">
        <v>13329</v>
      </c>
      <c r="L9924" s="2">
        <f t="shared" si="155"/>
        <v>150</v>
      </c>
    </row>
    <row r="9925" spans="1:12" ht="25" customHeight="1">
      <c r="A9925" s="2" t="s">
        <v>12</v>
      </c>
      <c r="B9925" s="2" t="str">
        <f>HYPERLINK("http://bbs.12365auto.com/postcontent.aspx?tId=193682","光明时评：延期恢复机动车限行，不为防疫“添堵”")</f>
        <v>光明时评：延期恢复机动车限行，不为防疫“添堵”</v>
      </c>
      <c r="C9925" s="2" t="s">
        <v>13</v>
      </c>
      <c r="D9925" s="2" t="s">
        <v>12</v>
      </c>
      <c r="E9925" s="2" t="s">
        <v>27</v>
      </c>
      <c r="F9925" s="2" t="str">
        <f>HYPERLINK("http://bbs.12365auto.com/postcontent.aspx?tId=193682","http://bbs.12365auto.com/postcontent.aspx?tId=193682")</f>
        <v>http://bbs.12365auto.com/postcontent.aspx?tId=193682</v>
      </c>
      <c r="G9925" s="2"/>
      <c r="H9925" s="2" t="s">
        <v>13330</v>
      </c>
      <c r="I9925" s="2" t="s">
        <v>15</v>
      </c>
      <c r="J9925" s="2" t="s">
        <v>1960</v>
      </c>
      <c r="K9925" s="2" t="s">
        <v>13329</v>
      </c>
      <c r="L9925" s="2">
        <f t="shared" si="155"/>
        <v>150</v>
      </c>
    </row>
    <row r="9926" spans="1:12" ht="25" customHeight="1">
      <c r="A9926" s="2" t="s">
        <v>12</v>
      </c>
      <c r="B9926" s="2" t="str">
        <f>HYPERLINK("http://bbs.12365auto.com/postcontent.aspx?tId=193681","防疫还能让驾照加分？这些临时调整或跟你密切相关")</f>
        <v>防疫还能让驾照加分？这些临时调整或跟你密切相关</v>
      </c>
      <c r="C9926" s="2" t="s">
        <v>13</v>
      </c>
      <c r="D9926" s="2" t="s">
        <v>12</v>
      </c>
      <c r="E9926" s="2" t="s">
        <v>210</v>
      </c>
      <c r="F9926" s="2" t="str">
        <f>HYPERLINK("http://bbs.12365auto.com/postcontent.aspx?tId=193681","http://bbs.12365auto.com/postcontent.aspx?tId=193681")</f>
        <v>http://bbs.12365auto.com/postcontent.aspx?tId=193681</v>
      </c>
      <c r="G9926" s="2"/>
      <c r="H9926" s="2" t="s">
        <v>13331</v>
      </c>
      <c r="I9926" s="2" t="s">
        <v>15</v>
      </c>
      <c r="J9926" s="2" t="s">
        <v>13332</v>
      </c>
      <c r="K9926" s="2" t="s">
        <v>13329</v>
      </c>
      <c r="L9926" s="2">
        <f t="shared" si="155"/>
        <v>150</v>
      </c>
    </row>
    <row r="9927" spans="1:12" ht="25" customHeight="1">
      <c r="A9927" s="2" t="s">
        <v>12</v>
      </c>
      <c r="B9927" s="2" t="str">
        <f>HYPERLINK("http://bbs.12365auto.com/postcontent.aspx?tId=193683","高速堵车无聊至极？广场舞/打火锅这些骚操作了解一下")</f>
        <v>高速堵车无聊至极？广场舞/打火锅这些骚操作了解一下</v>
      </c>
      <c r="C9927" s="2" t="s">
        <v>13</v>
      </c>
      <c r="D9927" s="2" t="s">
        <v>12</v>
      </c>
      <c r="E9927" s="2" t="s">
        <v>210</v>
      </c>
      <c r="F9927" s="2" t="str">
        <f>HYPERLINK("http://bbs.12365auto.com/postcontent.aspx?tId=193683","http://bbs.12365auto.com/postcontent.aspx?tId=193683")</f>
        <v>http://bbs.12365auto.com/postcontent.aspx?tId=193683</v>
      </c>
      <c r="G9927" s="2"/>
      <c r="H9927" s="2" t="s">
        <v>13333</v>
      </c>
      <c r="I9927" s="2" t="s">
        <v>15</v>
      </c>
      <c r="J9927" s="2" t="s">
        <v>13332</v>
      </c>
      <c r="K9927" s="2" t="s">
        <v>13329</v>
      </c>
      <c r="L9927" s="2">
        <f t="shared" si="155"/>
        <v>150</v>
      </c>
    </row>
    <row r="9928" spans="1:12" ht="25" customHeight="1">
      <c r="A9928" s="2" t="s">
        <v>12</v>
      </c>
      <c r="B9928" s="2" t="str">
        <f>HYPERLINK("http://bbs.12365auto.com/postcontent.aspx?tID=193682","光明时评：延期恢复机动车限行，不为防疫“添堵”")</f>
        <v>光明时评：延期恢复机动车限行，不为防疫“添堵”</v>
      </c>
      <c r="C9928" s="2" t="s">
        <v>13</v>
      </c>
      <c r="D9928" s="2" t="s">
        <v>12</v>
      </c>
      <c r="E9928" s="2" t="s">
        <v>28</v>
      </c>
      <c r="F9928" s="2" t="str">
        <f>HYPERLINK("http://bbs.12365auto.com/postcontent.aspx?tID=193682","http://bbs.12365auto.com/postcontent.aspx?tID=193682")</f>
        <v>http://bbs.12365auto.com/postcontent.aspx?tID=193682</v>
      </c>
      <c r="G9928" s="2"/>
      <c r="H9928" s="2" t="s">
        <v>13334</v>
      </c>
      <c r="I9928" s="2" t="s">
        <v>15</v>
      </c>
      <c r="J9928" s="2" t="s">
        <v>1960</v>
      </c>
      <c r="K9928" s="2" t="s">
        <v>13329</v>
      </c>
      <c r="L9928" s="2">
        <f t="shared" si="155"/>
        <v>150</v>
      </c>
    </row>
    <row r="9929" spans="1:12" ht="25" customHeight="1">
      <c r="A9929" s="2" t="s">
        <v>12</v>
      </c>
      <c r="B9929" s="2" t="str">
        <f>HYPERLINK("http://bbs.12365auto.com/postcontent.aspx?tID=193683","高速堵车无聊至极？广场舞/打火锅这些骚操作了解一下")</f>
        <v>高速堵车无聊至极？广场舞/打火锅这些骚操作了解一下</v>
      </c>
      <c r="C9929" s="2" t="s">
        <v>13</v>
      </c>
      <c r="D9929" s="2" t="s">
        <v>12</v>
      </c>
      <c r="E9929" s="2" t="s">
        <v>214</v>
      </c>
      <c r="F9929" s="2" t="str">
        <f>HYPERLINK("http://bbs.12365auto.com/postcontent.aspx?tID=193683","http://bbs.12365auto.com/postcontent.aspx?tID=193683")</f>
        <v>http://bbs.12365auto.com/postcontent.aspx?tID=193683</v>
      </c>
      <c r="G9929" s="2"/>
      <c r="H9929" s="2" t="s">
        <v>13335</v>
      </c>
      <c r="I9929" s="2" t="s">
        <v>15</v>
      </c>
      <c r="J9929" s="2" t="s">
        <v>13332</v>
      </c>
      <c r="K9929" s="2" t="s">
        <v>13329</v>
      </c>
      <c r="L9929" s="2">
        <f t="shared" si="155"/>
        <v>150</v>
      </c>
    </row>
    <row r="9930" spans="1:12" ht="25" customHeight="1">
      <c r="A9930" s="2" t="s">
        <v>12</v>
      </c>
      <c r="B9930" s="2" t="str">
        <f>HYPERLINK("http://bbs.12365auto.com/postcontent.aspx?tID=193681","防疫还能让驾照加分？这些临时调整或跟你密切相关")</f>
        <v>防疫还能让驾照加分？这些临时调整或跟你密切相关</v>
      </c>
      <c r="C9930" s="2" t="s">
        <v>13</v>
      </c>
      <c r="D9930" s="2" t="s">
        <v>12</v>
      </c>
      <c r="E9930" s="2" t="s">
        <v>214</v>
      </c>
      <c r="F9930" s="2" t="str">
        <f>HYPERLINK("http://bbs.12365auto.com/postcontent.aspx?tID=193681","http://bbs.12365auto.com/postcontent.aspx?tID=193681")</f>
        <v>http://bbs.12365auto.com/postcontent.aspx?tID=193681</v>
      </c>
      <c r="G9930" s="2"/>
      <c r="H9930" s="2" t="s">
        <v>13336</v>
      </c>
      <c r="I9930" s="2" t="s">
        <v>15</v>
      </c>
      <c r="J9930" s="2" t="s">
        <v>13332</v>
      </c>
      <c r="K9930" s="2" t="s">
        <v>13329</v>
      </c>
      <c r="L9930" s="2">
        <f t="shared" si="155"/>
        <v>150</v>
      </c>
    </row>
    <row r="9931" spans="1:12" ht="25" customHeight="1">
      <c r="A9931" s="2" t="s">
        <v>12</v>
      </c>
      <c r="B9931" s="2" t="str">
        <f>HYPERLINK("http://bbs.12365auto.com/postcontent.aspx?tID=193684","这些车企也要上马口罩生产线了")</f>
        <v>这些车企也要上马口罩生产线了</v>
      </c>
      <c r="C9931" s="2" t="s">
        <v>13</v>
      </c>
      <c r="D9931" s="2" t="s">
        <v>12</v>
      </c>
      <c r="E9931" s="2" t="s">
        <v>28</v>
      </c>
      <c r="F9931" s="2" t="str">
        <f>HYPERLINK("http://bbs.12365auto.com/postcontent.aspx?tID=193684","http://bbs.12365auto.com/postcontent.aspx?tID=193684")</f>
        <v>http://bbs.12365auto.com/postcontent.aspx?tID=193684</v>
      </c>
      <c r="G9931" s="2"/>
      <c r="H9931" s="2" t="s">
        <v>13337</v>
      </c>
      <c r="I9931" s="2" t="s">
        <v>15</v>
      </c>
      <c r="J9931" s="2" t="s">
        <v>1960</v>
      </c>
      <c r="K9931" s="2" t="s">
        <v>13329</v>
      </c>
      <c r="L9931" s="2">
        <f t="shared" si="155"/>
        <v>150</v>
      </c>
    </row>
    <row r="9932" spans="1:12" ht="25" customHeight="1">
      <c r="A9932" s="2" t="s">
        <v>12</v>
      </c>
      <c r="B9932" s="2" t="str">
        <f>HYPERLINK("http://bbs.12365auto.com/postcontent.aspx?tId=193679","汽车业复工战“疫”：乘用车企减负经销商")</f>
        <v>汽车业复工战“疫”：乘用车企减负经销商</v>
      </c>
      <c r="C9932" s="2" t="s">
        <v>13</v>
      </c>
      <c r="D9932" s="2" t="s">
        <v>12</v>
      </c>
      <c r="E9932" s="2" t="s">
        <v>27</v>
      </c>
      <c r="F9932" s="2" t="str">
        <f>HYPERLINK("http://bbs.12365auto.com/postcontent.aspx?tId=193679","http://bbs.12365auto.com/postcontent.aspx?tId=193679")</f>
        <v>http://bbs.12365auto.com/postcontent.aspx?tId=193679</v>
      </c>
      <c r="G9932" s="2"/>
      <c r="H9932" s="2" t="s">
        <v>13338</v>
      </c>
      <c r="I9932" s="2" t="s">
        <v>15</v>
      </c>
      <c r="J9932" s="2" t="s">
        <v>1960</v>
      </c>
      <c r="K9932" s="2" t="s">
        <v>13339</v>
      </c>
      <c r="L9932" s="2">
        <f t="shared" si="155"/>
        <v>150</v>
      </c>
    </row>
    <row r="9933" spans="1:12" ht="25" customHeight="1">
      <c r="A9933" s="2" t="s">
        <v>12</v>
      </c>
      <c r="B9933" s="2" t="str">
        <f>HYPERLINK("http://bbs.12365auto.com/postcontent.aspx?tId=193680","全车防疫消毒实操演示 仅十分钟便可让你安心出行")</f>
        <v>全车防疫消毒实操演示 仅十分钟便可让你安心出行</v>
      </c>
      <c r="C9933" s="2" t="s">
        <v>13</v>
      </c>
      <c r="D9933" s="2" t="s">
        <v>12</v>
      </c>
      <c r="E9933" s="2" t="s">
        <v>210</v>
      </c>
      <c r="F9933" s="2" t="str">
        <f>HYPERLINK("http://bbs.12365auto.com/postcontent.aspx?tId=193680","http://bbs.12365auto.com/postcontent.aspx?tId=193680")</f>
        <v>http://bbs.12365auto.com/postcontent.aspx?tId=193680</v>
      </c>
      <c r="G9933" s="2"/>
      <c r="H9933" s="2" t="s">
        <v>13340</v>
      </c>
      <c r="I9933" s="2" t="s">
        <v>15</v>
      </c>
      <c r="J9933" s="2" t="s">
        <v>13332</v>
      </c>
      <c r="K9933" s="2" t="s">
        <v>13339</v>
      </c>
      <c r="L9933" s="2">
        <f t="shared" si="155"/>
        <v>150</v>
      </c>
    </row>
    <row r="9934" spans="1:12" ht="25" customHeight="1">
      <c r="A9934" s="2" t="s">
        <v>12</v>
      </c>
      <c r="B9934" s="2" t="str">
        <f>HYPERLINK("http://bbs.12365auto.com/postcontent.aspx?tID=193679","汽车业复工战“疫”：乘用车企减负经销商")</f>
        <v>汽车业复工战“疫”：乘用车企减负经销商</v>
      </c>
      <c r="C9934" s="2" t="s">
        <v>13</v>
      </c>
      <c r="D9934" s="2" t="s">
        <v>12</v>
      </c>
      <c r="E9934" s="2" t="s">
        <v>28</v>
      </c>
      <c r="F9934" s="2" t="str">
        <f>HYPERLINK("http://bbs.12365auto.com/postcontent.aspx?tID=193679","http://bbs.12365auto.com/postcontent.aspx?tID=193679")</f>
        <v>http://bbs.12365auto.com/postcontent.aspx?tID=193679</v>
      </c>
      <c r="G9934" s="2"/>
      <c r="H9934" s="2" t="s">
        <v>13341</v>
      </c>
      <c r="I9934" s="2" t="s">
        <v>15</v>
      </c>
      <c r="J9934" s="2" t="s">
        <v>1960</v>
      </c>
      <c r="K9934" s="2" t="s">
        <v>13339</v>
      </c>
      <c r="L9934" s="2">
        <f t="shared" si="155"/>
        <v>150</v>
      </c>
    </row>
    <row r="9935" spans="1:12" ht="25" customHeight="1">
      <c r="A9935" s="2" t="s">
        <v>12</v>
      </c>
      <c r="B9935" s="2" t="str">
        <f>HYPERLINK("http://bbs.12365auto.com/postcontent.aspx?tID=193680","全车防疫消毒实操演示 仅十分钟便可让你安心出行")</f>
        <v>全车防疫消毒实操演示 仅十分钟便可让你安心出行</v>
      </c>
      <c r="C9935" s="2" t="s">
        <v>13</v>
      </c>
      <c r="D9935" s="2" t="s">
        <v>12</v>
      </c>
      <c r="E9935" s="2" t="s">
        <v>214</v>
      </c>
      <c r="F9935" s="2" t="str">
        <f>HYPERLINK("http://bbs.12365auto.com/postcontent.aspx?tID=193680","http://bbs.12365auto.com/postcontent.aspx?tID=193680")</f>
        <v>http://bbs.12365auto.com/postcontent.aspx?tID=193680</v>
      </c>
      <c r="G9935" s="2"/>
      <c r="H9935" s="2" t="s">
        <v>13342</v>
      </c>
      <c r="I9935" s="2" t="s">
        <v>15</v>
      </c>
      <c r="J9935" s="2" t="s">
        <v>13332</v>
      </c>
      <c r="K9935" s="2" t="s">
        <v>13339</v>
      </c>
      <c r="L9935" s="2">
        <f t="shared" si="155"/>
        <v>150</v>
      </c>
    </row>
    <row r="9936" spans="1:12" ht="25" customHeight="1">
      <c r="A9936" s="2" t="s">
        <v>12</v>
      </c>
      <c r="B9936" s="2" t="str">
        <f>HYPERLINK("http://bbs.12365auto.com/postcontent.aspx?tId=193678","最容易搞混的四组道路标志，开车别中招")</f>
        <v>最容易搞混的四组道路标志，开车别中招</v>
      </c>
      <c r="C9936" s="2" t="s">
        <v>13</v>
      </c>
      <c r="D9936" s="2" t="s">
        <v>12</v>
      </c>
      <c r="E9936" s="2" t="s">
        <v>27</v>
      </c>
      <c r="F9936" s="2" t="str">
        <f>HYPERLINK("http://bbs.12365auto.com/postcontent.aspx?tId=193678","http://bbs.12365auto.com/postcontent.aspx?tId=193678")</f>
        <v>http://bbs.12365auto.com/postcontent.aspx?tId=193678</v>
      </c>
      <c r="G9936" s="2"/>
      <c r="H9936" s="2" t="s">
        <v>13343</v>
      </c>
      <c r="I9936" s="2" t="s">
        <v>15</v>
      </c>
      <c r="J9936" s="2" t="s">
        <v>1960</v>
      </c>
      <c r="K9936" s="2" t="s">
        <v>13344</v>
      </c>
      <c r="L9936" s="2">
        <f t="shared" si="155"/>
        <v>150</v>
      </c>
    </row>
    <row r="9937" spans="1:12" ht="25" customHeight="1">
      <c r="A9937" s="2" t="s">
        <v>12</v>
      </c>
      <c r="B9937" s="2" t="str">
        <f>HYPERLINK("http://bbs.12365auto.com/postcontent.aspx?tID=193678","最容易搞混的四组道路标志，开车别中招")</f>
        <v>最容易搞混的四组道路标志，开车别中招</v>
      </c>
      <c r="C9937" s="2" t="s">
        <v>13</v>
      </c>
      <c r="D9937" s="2" t="s">
        <v>12</v>
      </c>
      <c r="E9937" s="2" t="s">
        <v>28</v>
      </c>
      <c r="F9937" s="2" t="str">
        <f>HYPERLINK("http://bbs.12365auto.com/postcontent.aspx?tID=193678","http://bbs.12365auto.com/postcontent.aspx?tID=193678")</f>
        <v>http://bbs.12365auto.com/postcontent.aspx?tID=193678</v>
      </c>
      <c r="G9937" s="2"/>
      <c r="H9937" s="2" t="s">
        <v>13345</v>
      </c>
      <c r="I9937" s="2" t="s">
        <v>15</v>
      </c>
      <c r="J9937" s="2" t="s">
        <v>1960</v>
      </c>
      <c r="K9937" s="2" t="s">
        <v>13344</v>
      </c>
      <c r="L9937" s="2">
        <f t="shared" si="155"/>
        <v>150</v>
      </c>
    </row>
    <row r="9938" spans="1:12" ht="25" customHeight="1">
      <c r="A9938" s="2" t="s">
        <v>12</v>
      </c>
      <c r="B9938" s="2" t="str">
        <f>HYPERLINK("http://www.12365auto.com/zlts/20200210/446744.shtml","郑州日产途达车身漏电导致发动机无法启动")</f>
        <v>郑州日产途达车身漏电导致发动机无法启动</v>
      </c>
      <c r="C9938" s="2" t="s">
        <v>13</v>
      </c>
      <c r="D9938" s="2" t="s">
        <v>12</v>
      </c>
      <c r="E9938" s="2" t="s">
        <v>17</v>
      </c>
      <c r="F9938" s="2" t="str">
        <f>HYPERLINK("http://www.12365auto.com/zlts/20200210/446744.shtml","http://www.12365auto.com/zlts/20200210/446744.shtml")</f>
        <v>http://www.12365auto.com/zlts/20200210/446744.shtml</v>
      </c>
      <c r="G9938" s="2"/>
      <c r="H9938" s="2" t="s">
        <v>13346</v>
      </c>
      <c r="I9938" s="2" t="s">
        <v>19</v>
      </c>
      <c r="J9938" s="2" t="s">
        <v>12</v>
      </c>
      <c r="K9938" s="2" t="s">
        <v>13347</v>
      </c>
      <c r="L9938" s="2">
        <f t="shared" si="155"/>
        <v>150</v>
      </c>
    </row>
    <row r="9939" spans="1:12" ht="25" customHeight="1">
      <c r="A9939" s="2" t="s">
        <v>12</v>
      </c>
      <c r="B9939" s="2" t="str">
        <f>HYPERLINK("http://bbs.12365auto.com/postcontent.aspx?tID=193677","氢燃料技术加持，四川现代能否复制乘用车的成功？")</f>
        <v>氢燃料技术加持，四川现代能否复制乘用车的成功？</v>
      </c>
      <c r="C9939" s="2" t="s">
        <v>13</v>
      </c>
      <c r="D9939" s="2" t="s">
        <v>12</v>
      </c>
      <c r="E9939" s="2" t="s">
        <v>28</v>
      </c>
      <c r="F9939" s="2" t="str">
        <f>HYPERLINK("http://bbs.12365auto.com/postcontent.aspx?tID=193677","http://bbs.12365auto.com/postcontent.aspx?tID=193677")</f>
        <v>http://bbs.12365auto.com/postcontent.aspx?tID=193677</v>
      </c>
      <c r="G9939" s="2"/>
      <c r="H9939" s="2" t="s">
        <v>13348</v>
      </c>
      <c r="I9939" s="2" t="s">
        <v>15</v>
      </c>
      <c r="J9939" s="2" t="s">
        <v>1960</v>
      </c>
      <c r="K9939" s="2" t="s">
        <v>13347</v>
      </c>
      <c r="L9939" s="2">
        <f t="shared" si="155"/>
        <v>150</v>
      </c>
    </row>
    <row r="9940" spans="1:12" ht="25" customHeight="1">
      <c r="A9940" s="2" t="s">
        <v>12</v>
      </c>
      <c r="B9940" s="2" t="str">
        <f>HYPERLINK("http://bbs.12365auto.com/postcontent.aspx?tID=193676","特斯拉新专利曝光：取消换挡杆 重新定义方向盘")</f>
        <v>特斯拉新专利曝光：取消换挡杆 重新定义方向盘</v>
      </c>
      <c r="C9940" s="2" t="s">
        <v>13</v>
      </c>
      <c r="D9940" s="2" t="s">
        <v>12</v>
      </c>
      <c r="E9940" s="2" t="s">
        <v>28</v>
      </c>
      <c r="F9940" s="2" t="str">
        <f>HYPERLINK("http://bbs.12365auto.com/postcontent.aspx?tID=193676","http://bbs.12365auto.com/postcontent.aspx?tID=193676")</f>
        <v>http://bbs.12365auto.com/postcontent.aspx?tID=193676</v>
      </c>
      <c r="G9940" s="2"/>
      <c r="H9940" s="2" t="s">
        <v>13349</v>
      </c>
      <c r="I9940" s="2" t="s">
        <v>15</v>
      </c>
      <c r="J9940" s="2" t="s">
        <v>1960</v>
      </c>
      <c r="K9940" s="2" t="s">
        <v>13350</v>
      </c>
      <c r="L9940" s="2">
        <f t="shared" si="155"/>
        <v>150</v>
      </c>
    </row>
    <row r="9941" spans="1:12" ht="25" customHeight="1">
      <c r="A9941" s="2" t="s">
        <v>12</v>
      </c>
      <c r="B9941" s="2" t="str">
        <f>HYPERLINK("http://bbs.12365auto.com/postcontent.aspx?tId=193675","最低10几万的敞篷车 论回头率还是得看它们")</f>
        <v>最低10几万的敞篷车 论回头率还是得看它们</v>
      </c>
      <c r="C9941" s="2" t="s">
        <v>13</v>
      </c>
      <c r="D9941" s="2" t="s">
        <v>12</v>
      </c>
      <c r="E9941" s="2" t="s">
        <v>27</v>
      </c>
      <c r="F9941" s="2" t="str">
        <f>HYPERLINK("http://bbs.12365auto.com/postcontent.aspx?tId=193675","http://bbs.12365auto.com/postcontent.aspx?tId=193675")</f>
        <v>http://bbs.12365auto.com/postcontent.aspx?tId=193675</v>
      </c>
      <c r="G9941" s="2"/>
      <c r="H9941" s="2" t="s">
        <v>13351</v>
      </c>
      <c r="I9941" s="2" t="s">
        <v>15</v>
      </c>
      <c r="J9941" s="2" t="s">
        <v>683</v>
      </c>
      <c r="K9941" s="2" t="s">
        <v>13352</v>
      </c>
      <c r="L9941" s="2">
        <f t="shared" si="155"/>
        <v>150</v>
      </c>
    </row>
    <row r="9942" spans="1:12" ht="25" customHeight="1">
      <c r="A9942" s="2" t="s">
        <v>12</v>
      </c>
      <c r="B9942" s="2" t="str">
        <f>HYPERLINK("http://m.12365auto.com/bbs/postcontent.aspx?tID=193675","最低10几万的敞篷车 论回头率还是得看它们")</f>
        <v>最低10几万的敞篷车 论回头率还是得看它们</v>
      </c>
      <c r="C9942" s="2" t="s">
        <v>13</v>
      </c>
      <c r="D9942" s="2" t="s">
        <v>23</v>
      </c>
      <c r="E9942" s="2"/>
      <c r="F9942" s="2" t="str">
        <f>HYPERLINK("http://m.12365auto.com/bbs/postcontent.aspx?tID=193675","http://m.12365auto.com/bbs/postcontent.aspx?tID=193675")</f>
        <v>http://m.12365auto.com/bbs/postcontent.aspx?tID=193675</v>
      </c>
      <c r="G9942" s="2"/>
      <c r="H9942" s="2" t="s">
        <v>13351</v>
      </c>
      <c r="I9942" s="2" t="s">
        <v>15</v>
      </c>
      <c r="J9942" s="2" t="s">
        <v>683</v>
      </c>
      <c r="K9942" s="2" t="s">
        <v>13352</v>
      </c>
      <c r="L9942" s="2">
        <f t="shared" si="155"/>
        <v>150</v>
      </c>
    </row>
    <row r="9943" spans="1:12" ht="25" customHeight="1">
      <c r="A9943" s="2" t="s">
        <v>12</v>
      </c>
      <c r="B9943" s="2" t="str">
        <f>HYPERLINK("http://bbs.12365auto.com/postcontent.aspx?tID=193675","最低10几万的敞篷车 论回头率还是得看它们")</f>
        <v>最低10几万的敞篷车 论回头率还是得看它们</v>
      </c>
      <c r="C9943" s="2" t="s">
        <v>13</v>
      </c>
      <c r="D9943" s="2" t="s">
        <v>12</v>
      </c>
      <c r="E9943" s="2" t="s">
        <v>28</v>
      </c>
      <c r="F9943" s="2" t="str">
        <f>HYPERLINK("http://bbs.12365auto.com/postcontent.aspx?tID=193675","http://bbs.12365auto.com/postcontent.aspx?tID=193675")</f>
        <v>http://bbs.12365auto.com/postcontent.aspx?tID=193675</v>
      </c>
      <c r="G9943" s="2"/>
      <c r="H9943" s="2" t="s">
        <v>13353</v>
      </c>
      <c r="I9943" s="2" t="s">
        <v>15</v>
      </c>
      <c r="J9943" s="2" t="s">
        <v>683</v>
      </c>
      <c r="K9943" s="2" t="s">
        <v>13352</v>
      </c>
      <c r="L9943" s="2">
        <f t="shared" si="155"/>
        <v>150</v>
      </c>
    </row>
    <row r="9944" spans="1:12" ht="25" customHeight="1">
      <c r="A9944" s="2" t="s">
        <v>12</v>
      </c>
      <c r="B9944" s="2" t="str">
        <f>HYPERLINK("http://bbs.12365auto.com/postcontent.aspx?tId=193674","兰博基尼靠拖拉机起家？保时捷：其实我也是")</f>
        <v>兰博基尼靠拖拉机起家？保时捷：其实我也是</v>
      </c>
      <c r="C9944" s="2" t="s">
        <v>13</v>
      </c>
      <c r="D9944" s="2" t="s">
        <v>12</v>
      </c>
      <c r="E9944" s="2" t="s">
        <v>27</v>
      </c>
      <c r="F9944" s="2" t="str">
        <f>HYPERLINK("http://bbs.12365auto.com/postcontent.aspx?tId=193674","http://bbs.12365auto.com/postcontent.aspx?tId=193674")</f>
        <v>http://bbs.12365auto.com/postcontent.aspx?tId=193674</v>
      </c>
      <c r="G9944" s="2"/>
      <c r="H9944" s="2" t="s">
        <v>13354</v>
      </c>
      <c r="I9944" s="2" t="s">
        <v>15</v>
      </c>
      <c r="J9944" s="2" t="s">
        <v>683</v>
      </c>
      <c r="K9944" s="2" t="s">
        <v>13355</v>
      </c>
      <c r="L9944" s="2">
        <f t="shared" si="155"/>
        <v>150</v>
      </c>
    </row>
    <row r="9945" spans="1:12" ht="25" customHeight="1">
      <c r="A9945" s="2" t="s">
        <v>12</v>
      </c>
      <c r="B9945" s="2" t="str">
        <f>HYPERLINK("http://bbs.12365auto.com/postcontent.aspx?tID=193674","兰博基尼靠拖拉机起家？保时捷：其实我也是")</f>
        <v>兰博基尼靠拖拉机起家？保时捷：其实我也是</v>
      </c>
      <c r="C9945" s="2" t="s">
        <v>13</v>
      </c>
      <c r="D9945" s="2" t="s">
        <v>12</v>
      </c>
      <c r="E9945" s="2" t="s">
        <v>28</v>
      </c>
      <c r="F9945" s="2" t="str">
        <f>HYPERLINK("http://bbs.12365auto.com/postcontent.aspx?tID=193674","http://bbs.12365auto.com/postcontent.aspx?tID=193674")</f>
        <v>http://bbs.12365auto.com/postcontent.aspx?tID=193674</v>
      </c>
      <c r="G9945" s="2"/>
      <c r="H9945" s="2" t="s">
        <v>13356</v>
      </c>
      <c r="I9945" s="2" t="s">
        <v>15</v>
      </c>
      <c r="J9945" s="2" t="s">
        <v>683</v>
      </c>
      <c r="K9945" s="2" t="s">
        <v>13355</v>
      </c>
      <c r="L9945" s="2">
        <f t="shared" si="155"/>
        <v>150</v>
      </c>
    </row>
    <row r="9946" spans="1:12" ht="25" customHeight="1">
      <c r="A9946" s="2" t="s">
        <v>12</v>
      </c>
      <c r="B9946" s="2" t="str">
        <f>HYPERLINK("http://bbs.12365auto.com/postcontent.aspx?tID=193673","丰田发布最新应急安全系统 防止错踩油门")</f>
        <v>丰田发布最新应急安全系统 防止错踩油门</v>
      </c>
      <c r="C9946" s="2" t="s">
        <v>13</v>
      </c>
      <c r="D9946" s="2" t="s">
        <v>12</v>
      </c>
      <c r="E9946" s="2" t="s">
        <v>28</v>
      </c>
      <c r="F9946" s="2" t="str">
        <f>HYPERLINK("http://bbs.12365auto.com/postcontent.aspx?tID=193673","http://bbs.12365auto.com/postcontent.aspx?tID=193673")</f>
        <v>http://bbs.12365auto.com/postcontent.aspx?tID=193673</v>
      </c>
      <c r="G9946" s="2"/>
      <c r="H9946" s="2" t="s">
        <v>13357</v>
      </c>
      <c r="I9946" s="2" t="s">
        <v>15</v>
      </c>
      <c r="J9946" s="2" t="s">
        <v>1960</v>
      </c>
      <c r="K9946" s="2" t="s">
        <v>13355</v>
      </c>
      <c r="L9946" s="2">
        <f t="shared" si="155"/>
        <v>150</v>
      </c>
    </row>
    <row r="9947" spans="1:12" ht="25" customHeight="1">
      <c r="A9947" s="2" t="s">
        <v>12</v>
      </c>
      <c r="B9947" s="2" t="str">
        <f>HYPERLINK("http://bbs.12365auto.com/postcontent.aspx?tID=193672","冬季新能源车长时间停放 有哪些注意事项")</f>
        <v>冬季新能源车长时间停放 有哪些注意事项</v>
      </c>
      <c r="C9947" s="2" t="s">
        <v>13</v>
      </c>
      <c r="D9947" s="2" t="s">
        <v>12</v>
      </c>
      <c r="E9947" s="2" t="s">
        <v>214</v>
      </c>
      <c r="F9947" s="2" t="str">
        <f>HYPERLINK("http://bbs.12365auto.com/postcontent.aspx?tID=193672","http://bbs.12365auto.com/postcontent.aspx?tID=193672")</f>
        <v>http://bbs.12365auto.com/postcontent.aspx?tID=193672</v>
      </c>
      <c r="G9947" s="2"/>
      <c r="H9947" s="2" t="s">
        <v>13358</v>
      </c>
      <c r="I9947" s="2" t="s">
        <v>15</v>
      </c>
      <c r="J9947" s="2" t="s">
        <v>4561</v>
      </c>
      <c r="K9947" s="2" t="s">
        <v>13359</v>
      </c>
      <c r="L9947" s="2">
        <f t="shared" si="155"/>
        <v>150</v>
      </c>
    </row>
    <row r="9948" spans="1:12" ht="25" customHeight="1">
      <c r="A9948" s="2" t="s">
        <v>12</v>
      </c>
      <c r="B9948" s="2" t="str">
        <f>HYPERLINK("http://bbs.12365auto.com/postcontent.aspx?tId=193671","2019年我试驾过印象最深刻的5台车")</f>
        <v>2019年我试驾过印象最深刻的5台车</v>
      </c>
      <c r="C9948" s="2" t="s">
        <v>13</v>
      </c>
      <c r="D9948" s="2" t="s">
        <v>12</v>
      </c>
      <c r="E9948" s="2" t="s">
        <v>27</v>
      </c>
      <c r="F9948" s="2" t="str">
        <f>HYPERLINK("http://bbs.12365auto.com/postcontent.aspx?tId=193671","http://bbs.12365auto.com/postcontent.aspx?tId=193671")</f>
        <v>http://bbs.12365auto.com/postcontent.aspx?tId=193671</v>
      </c>
      <c r="G9948" s="2"/>
      <c r="H9948" s="2" t="s">
        <v>13360</v>
      </c>
      <c r="I9948" s="2" t="s">
        <v>15</v>
      </c>
      <c r="J9948" s="2" t="s">
        <v>683</v>
      </c>
      <c r="K9948" s="2" t="s">
        <v>13359</v>
      </c>
      <c r="L9948" s="2">
        <f t="shared" si="155"/>
        <v>150</v>
      </c>
    </row>
    <row r="9949" spans="1:12" ht="25" customHeight="1">
      <c r="A9949" s="2" t="s">
        <v>12</v>
      </c>
      <c r="B9949" s="2" t="str">
        <f>HYPERLINK("http://bbs.12365auto.com/postcontent.aspx?tID=193670","2019年我国累计进口汽车超108万辆，同比下降2%")</f>
        <v>2019年我国累计进口汽车超108万辆，同比下降2%</v>
      </c>
      <c r="C9949" s="2" t="s">
        <v>13</v>
      </c>
      <c r="D9949" s="2" t="s">
        <v>12</v>
      </c>
      <c r="E9949" s="2" t="s">
        <v>28</v>
      </c>
      <c r="F9949" s="2" t="str">
        <f>HYPERLINK("http://bbs.12365auto.com/postcontent.aspx?tID=193670","http://bbs.12365auto.com/postcontent.aspx?tID=193670")</f>
        <v>http://bbs.12365auto.com/postcontent.aspx?tID=193670</v>
      </c>
      <c r="G9949" s="2"/>
      <c r="H9949" s="2" t="s">
        <v>13361</v>
      </c>
      <c r="I9949" s="2" t="s">
        <v>15</v>
      </c>
      <c r="J9949" s="2" t="s">
        <v>1960</v>
      </c>
      <c r="K9949" s="2" t="s">
        <v>13359</v>
      </c>
      <c r="L9949" s="2">
        <f t="shared" si="155"/>
        <v>150</v>
      </c>
    </row>
    <row r="9950" spans="1:12" ht="25" customHeight="1">
      <c r="A9950" s="2" t="s">
        <v>12</v>
      </c>
      <c r="B9950" s="2" t="str">
        <f>HYPERLINK("http://bbs.12365auto.com/postcontent.aspx?tID=193669","私家车日常如何消毒")</f>
        <v>私家车日常如何消毒</v>
      </c>
      <c r="C9950" s="2" t="s">
        <v>13</v>
      </c>
      <c r="D9950" s="2" t="s">
        <v>12</v>
      </c>
      <c r="E9950" s="2" t="s">
        <v>214</v>
      </c>
      <c r="F9950" s="2" t="str">
        <f>HYPERLINK("http://bbs.12365auto.com/postcontent.aspx?tID=193669","http://bbs.12365auto.com/postcontent.aspx?tID=193669")</f>
        <v>http://bbs.12365auto.com/postcontent.aspx?tID=193669</v>
      </c>
      <c r="G9950" s="2"/>
      <c r="H9950" s="2" t="s">
        <v>13362</v>
      </c>
      <c r="I9950" s="2" t="s">
        <v>15</v>
      </c>
      <c r="J9950" s="2" t="s">
        <v>4561</v>
      </c>
      <c r="K9950" s="2" t="s">
        <v>13359</v>
      </c>
      <c r="L9950" s="2">
        <f t="shared" si="155"/>
        <v>150</v>
      </c>
    </row>
    <row r="9951" spans="1:12" ht="25" customHeight="1">
      <c r="A9951" s="2" t="s">
        <v>12</v>
      </c>
      <c r="B9951" s="2" t="str">
        <f>HYPERLINK("http://bbs.12365auto.com/postcontent.aspx?tID=193671","2019年我试驾过印象最深刻的5台车")</f>
        <v>2019年我试驾过印象最深刻的5台车</v>
      </c>
      <c r="C9951" s="2" t="s">
        <v>13</v>
      </c>
      <c r="D9951" s="2" t="s">
        <v>12</v>
      </c>
      <c r="E9951" s="2" t="s">
        <v>28</v>
      </c>
      <c r="F9951" s="2" t="str">
        <f>HYPERLINK("http://bbs.12365auto.com/postcontent.aspx?tID=193671","http://bbs.12365auto.com/postcontent.aspx?tID=193671")</f>
        <v>http://bbs.12365auto.com/postcontent.aspx?tID=193671</v>
      </c>
      <c r="G9951" s="2"/>
      <c r="H9951" s="2" t="s">
        <v>13363</v>
      </c>
      <c r="I9951" s="2" t="s">
        <v>15</v>
      </c>
      <c r="J9951" s="2" t="s">
        <v>683</v>
      </c>
      <c r="K9951" s="2" t="s">
        <v>13359</v>
      </c>
      <c r="L9951" s="2">
        <f t="shared" si="155"/>
        <v>150</v>
      </c>
    </row>
    <row r="9952" spans="1:12" ht="25" customHeight="1">
      <c r="A9952" s="2" t="s">
        <v>12</v>
      </c>
      <c r="B9952" s="2" t="str">
        <f>HYPERLINK("http://bbs.12365auto.com/postcontent.aspx?tId=193672","冬季新能源车长时间停放 有哪些注意事项")</f>
        <v>冬季新能源车长时间停放 有哪些注意事项</v>
      </c>
      <c r="C9952" s="2" t="s">
        <v>13</v>
      </c>
      <c r="D9952" s="2" t="s">
        <v>12</v>
      </c>
      <c r="E9952" s="2" t="s">
        <v>210</v>
      </c>
      <c r="F9952" s="2" t="str">
        <f>HYPERLINK("http://bbs.12365auto.com/postcontent.aspx?tId=193672","http://bbs.12365auto.com/postcontent.aspx?tId=193672")</f>
        <v>http://bbs.12365auto.com/postcontent.aspx?tId=193672</v>
      </c>
      <c r="G9952" s="2"/>
      <c r="H9952" s="2" t="s">
        <v>13364</v>
      </c>
      <c r="I9952" s="2" t="s">
        <v>15</v>
      </c>
      <c r="J9952" s="2" t="s">
        <v>4561</v>
      </c>
      <c r="K9952" s="2" t="s">
        <v>13359</v>
      </c>
      <c r="L9952" s="2">
        <f t="shared" si="155"/>
        <v>150</v>
      </c>
    </row>
    <row r="9953" spans="1:12" ht="25" customHeight="1">
      <c r="A9953" s="2" t="s">
        <v>12</v>
      </c>
      <c r="B9953" s="2" t="str">
        <f>HYPERLINK("http://bbs.12365auto.com/postcontent.aspx?tId=193669","私家车日常如何消毒")</f>
        <v>私家车日常如何消毒</v>
      </c>
      <c r="C9953" s="2" t="s">
        <v>13</v>
      </c>
      <c r="D9953" s="2" t="s">
        <v>12</v>
      </c>
      <c r="E9953" s="2" t="s">
        <v>210</v>
      </c>
      <c r="F9953" s="2" t="str">
        <f>HYPERLINK("http://bbs.12365auto.com/postcontent.aspx?tId=193669","http://bbs.12365auto.com/postcontent.aspx?tId=193669")</f>
        <v>http://bbs.12365auto.com/postcontent.aspx?tId=193669</v>
      </c>
      <c r="G9953" s="2"/>
      <c r="H9953" s="2" t="s">
        <v>13365</v>
      </c>
      <c r="I9953" s="2" t="s">
        <v>15</v>
      </c>
      <c r="J9953" s="2" t="s">
        <v>4561</v>
      </c>
      <c r="K9953" s="2" t="s">
        <v>13359</v>
      </c>
      <c r="L9953" s="2">
        <f t="shared" si="155"/>
        <v>150</v>
      </c>
    </row>
    <row r="9954" spans="1:12" ht="25" customHeight="1">
      <c r="A9954" s="2" t="s">
        <v>12</v>
      </c>
      <c r="B9954" s="2" t="str">
        <f>HYPERLINK("http://bbs.12365auto.com/postcontent.aspx?tId=193667","汽车发动机的常见故障有哪些？又该如何处置呢？")</f>
        <v>汽车发动机的常见故障有哪些？又该如何处置呢？</v>
      </c>
      <c r="C9954" s="2" t="s">
        <v>13</v>
      </c>
      <c r="D9954" s="2" t="s">
        <v>12</v>
      </c>
      <c r="E9954" s="2" t="s">
        <v>27</v>
      </c>
      <c r="F9954" s="2" t="str">
        <f>HYPERLINK("http://bbs.12365auto.com/postcontent.aspx?tId=193667","http://bbs.12365auto.com/postcontent.aspx?tId=193667")</f>
        <v>http://bbs.12365auto.com/postcontent.aspx?tId=193667</v>
      </c>
      <c r="G9954" s="2"/>
      <c r="H9954" s="2" t="s">
        <v>13366</v>
      </c>
      <c r="I9954" s="2" t="s">
        <v>15</v>
      </c>
      <c r="J9954" s="2" t="s">
        <v>683</v>
      </c>
      <c r="K9954" s="2" t="s">
        <v>13367</v>
      </c>
      <c r="L9954" s="2">
        <f t="shared" si="155"/>
        <v>150</v>
      </c>
    </row>
    <row r="9955" spans="1:12" ht="25" customHeight="1">
      <c r="A9955" s="2" t="s">
        <v>12</v>
      </c>
      <c r="B9955" s="2" t="str">
        <f>HYPERLINK("http://bbs.12365auto.com/postcontent.aspx?tID=193668","没经历过就不知道爆胎多危险 遇到这些“轮胎杀手”躲着点")</f>
        <v>没经历过就不知道爆胎多危险 遇到这些“轮胎杀手”躲着点</v>
      </c>
      <c r="C9955" s="2" t="s">
        <v>13</v>
      </c>
      <c r="D9955" s="2" t="s">
        <v>12</v>
      </c>
      <c r="E9955" s="2" t="s">
        <v>214</v>
      </c>
      <c r="F9955" s="2" t="str">
        <f>HYPERLINK("http://bbs.12365auto.com/postcontent.aspx?tID=193668","http://bbs.12365auto.com/postcontent.aspx?tID=193668")</f>
        <v>http://bbs.12365auto.com/postcontent.aspx?tID=193668</v>
      </c>
      <c r="G9955" s="2"/>
      <c r="H9955" s="2" t="s">
        <v>13368</v>
      </c>
      <c r="I9955" s="2" t="s">
        <v>15</v>
      </c>
      <c r="J9955" s="2" t="s">
        <v>4561</v>
      </c>
      <c r="K9955" s="2" t="s">
        <v>13367</v>
      </c>
      <c r="L9955" s="2">
        <f t="shared" si="155"/>
        <v>150</v>
      </c>
    </row>
    <row r="9956" spans="1:12" ht="25" customHeight="1">
      <c r="A9956" s="2" t="s">
        <v>12</v>
      </c>
      <c r="B9956" s="2" t="str">
        <f>HYPERLINK("http://bbs.12365auto.com/postcontent.aspx?tID=193666","门把手首次发现肺炎病毒 汽车这些地方也要注意")</f>
        <v>门把手首次发现肺炎病毒 汽车这些地方也要注意</v>
      </c>
      <c r="C9956" s="2" t="s">
        <v>13</v>
      </c>
      <c r="D9956" s="2" t="s">
        <v>12</v>
      </c>
      <c r="E9956" s="2" t="s">
        <v>214</v>
      </c>
      <c r="F9956" s="2" t="str">
        <f>HYPERLINK("http://bbs.12365auto.com/postcontent.aspx?tID=193666","http://bbs.12365auto.com/postcontent.aspx?tID=193666")</f>
        <v>http://bbs.12365auto.com/postcontent.aspx?tID=193666</v>
      </c>
      <c r="G9956" s="2"/>
      <c r="H9956" s="2" t="s">
        <v>13369</v>
      </c>
      <c r="I9956" s="2" t="s">
        <v>15</v>
      </c>
      <c r="J9956" s="2" t="s">
        <v>4561</v>
      </c>
      <c r="K9956" s="2" t="s">
        <v>13367</v>
      </c>
      <c r="L9956" s="2">
        <f t="shared" si="155"/>
        <v>150</v>
      </c>
    </row>
    <row r="9957" spans="1:12" ht="25" customHeight="1">
      <c r="A9957" s="2" t="s">
        <v>12</v>
      </c>
      <c r="B9957" s="2" t="str">
        <f>HYPERLINK("http://bbs.12365auto.com/postcontent.aspx?tID=193667","汽车发动机的常见故障有哪些？又该如何处置呢？")</f>
        <v>汽车发动机的常见故障有哪些？又该如何处置呢？</v>
      </c>
      <c r="C9957" s="2" t="s">
        <v>13</v>
      </c>
      <c r="D9957" s="2" t="s">
        <v>12</v>
      </c>
      <c r="E9957" s="2" t="s">
        <v>28</v>
      </c>
      <c r="F9957" s="2" t="str">
        <f>HYPERLINK("http://bbs.12365auto.com/postcontent.aspx?tID=193667","http://bbs.12365auto.com/postcontent.aspx?tID=193667")</f>
        <v>http://bbs.12365auto.com/postcontent.aspx?tID=193667</v>
      </c>
      <c r="G9957" s="2"/>
      <c r="H9957" s="2" t="s">
        <v>13370</v>
      </c>
      <c r="I9957" s="2" t="s">
        <v>15</v>
      </c>
      <c r="J9957" s="2" t="s">
        <v>683</v>
      </c>
      <c r="K9957" s="2" t="s">
        <v>13367</v>
      </c>
      <c r="L9957" s="2">
        <f t="shared" si="155"/>
        <v>150</v>
      </c>
    </row>
    <row r="9958" spans="1:12" ht="25" customHeight="1">
      <c r="A9958" s="2" t="s">
        <v>12</v>
      </c>
      <c r="B9958" s="2" t="str">
        <f>HYPERLINK("http://bbs.12365auto.com/postcontent.aspx?tId=193666","门把手首次发现肺炎病毒 汽车这些地方也要注意")</f>
        <v>门把手首次发现肺炎病毒 汽车这些地方也要注意</v>
      </c>
      <c r="C9958" s="2" t="s">
        <v>13</v>
      </c>
      <c r="D9958" s="2" t="s">
        <v>12</v>
      </c>
      <c r="E9958" s="2" t="s">
        <v>210</v>
      </c>
      <c r="F9958" s="2" t="str">
        <f>HYPERLINK("http://bbs.12365auto.com/postcontent.aspx?tId=193666","http://bbs.12365auto.com/postcontent.aspx?tId=193666")</f>
        <v>http://bbs.12365auto.com/postcontent.aspx?tId=193666</v>
      </c>
      <c r="G9958" s="2"/>
      <c r="H9958" s="2" t="s">
        <v>13371</v>
      </c>
      <c r="I9958" s="2" t="s">
        <v>15</v>
      </c>
      <c r="J9958" s="2" t="s">
        <v>4561</v>
      </c>
      <c r="K9958" s="2" t="s">
        <v>13367</v>
      </c>
      <c r="L9958" s="2">
        <f t="shared" si="155"/>
        <v>150</v>
      </c>
    </row>
    <row r="9959" spans="1:12" ht="25" customHeight="1">
      <c r="A9959" s="2" t="s">
        <v>12</v>
      </c>
      <c r="B9959" s="2" t="str">
        <f>HYPERLINK("http://bbs.12365auto.com/postcontent.aspx?tId=193668","没经历过就不知道爆胎多危险 遇到这些“轮胎杀手”躲着点")</f>
        <v>没经历过就不知道爆胎多危险 遇到这些“轮胎杀手”躲着点</v>
      </c>
      <c r="C9959" s="2" t="s">
        <v>13</v>
      </c>
      <c r="D9959" s="2" t="s">
        <v>12</v>
      </c>
      <c r="E9959" s="2" t="s">
        <v>210</v>
      </c>
      <c r="F9959" s="2" t="str">
        <f>HYPERLINK("http://bbs.12365auto.com/postcontent.aspx?tId=193668","http://bbs.12365auto.com/postcontent.aspx?tId=193668")</f>
        <v>http://bbs.12365auto.com/postcontent.aspx?tId=193668</v>
      </c>
      <c r="G9959" s="2"/>
      <c r="H9959" s="2" t="s">
        <v>13372</v>
      </c>
      <c r="I9959" s="2" t="s">
        <v>15</v>
      </c>
      <c r="J9959" s="2" t="s">
        <v>4561</v>
      </c>
      <c r="K9959" s="2" t="s">
        <v>13367</v>
      </c>
      <c r="L9959" s="2">
        <f t="shared" si="155"/>
        <v>150</v>
      </c>
    </row>
    <row r="9960" spans="1:12" ht="25" customHeight="1">
      <c r="A9960" s="2" t="s">
        <v>12</v>
      </c>
      <c r="B9960" s="2" t="str">
        <f>HYPERLINK("http://bbs.12365auto.com/postcontent.aspx?tID=193662","一起玩车 JDM模范情侣的正确打开方式")</f>
        <v>一起玩车 JDM模范情侣的正确打开方式</v>
      </c>
      <c r="C9960" s="2" t="s">
        <v>13</v>
      </c>
      <c r="D9960" s="2" t="s">
        <v>12</v>
      </c>
      <c r="E9960" s="2" t="s">
        <v>28</v>
      </c>
      <c r="F9960" s="2" t="str">
        <f>HYPERLINK("http://bbs.12365auto.com/postcontent.aspx?tID=193662","http://bbs.12365auto.com/postcontent.aspx?tID=193662")</f>
        <v>http://bbs.12365auto.com/postcontent.aspx?tID=193662</v>
      </c>
      <c r="G9960" s="2"/>
      <c r="H9960" s="2" t="s">
        <v>13373</v>
      </c>
      <c r="I9960" s="2" t="s">
        <v>15</v>
      </c>
      <c r="J9960" s="2" t="s">
        <v>683</v>
      </c>
      <c r="K9960" s="2" t="s">
        <v>13374</v>
      </c>
      <c r="L9960" s="2">
        <f t="shared" si="155"/>
        <v>150</v>
      </c>
    </row>
    <row r="9961" spans="1:12" ht="25" customHeight="1">
      <c r="A9961" s="2" t="s">
        <v>12</v>
      </c>
      <c r="B9961" s="2" t="str">
        <f>HYPERLINK("http://bbs.12365auto.com/postcontent.aspx?tId=193665","三个名字还在 但早已不是自己的汽车品牌")</f>
        <v>三个名字还在 但早已不是自己的汽车品牌</v>
      </c>
      <c r="C9961" s="2" t="s">
        <v>13</v>
      </c>
      <c r="D9961" s="2" t="s">
        <v>12</v>
      </c>
      <c r="E9961" s="2" t="s">
        <v>27</v>
      </c>
      <c r="F9961" s="2" t="str">
        <f>HYPERLINK("http://bbs.12365auto.com/postcontent.aspx?tId=193665","http://bbs.12365auto.com/postcontent.aspx?tId=193665")</f>
        <v>http://bbs.12365auto.com/postcontent.aspx?tId=193665</v>
      </c>
      <c r="G9961" s="2"/>
      <c r="H9961" s="2" t="s">
        <v>13375</v>
      </c>
      <c r="I9961" s="2" t="s">
        <v>15</v>
      </c>
      <c r="J9961" s="2" t="s">
        <v>683</v>
      </c>
      <c r="K9961" s="2" t="s">
        <v>13374</v>
      </c>
      <c r="L9961" s="2">
        <f t="shared" si="155"/>
        <v>150</v>
      </c>
    </row>
    <row r="9962" spans="1:12" ht="25" customHeight="1">
      <c r="A9962" s="2" t="s">
        <v>12</v>
      </c>
      <c r="B9962" s="2" t="str">
        <f>HYPERLINK("http://bbs.12365auto.com/postcontent.aspx?tId=193662","一起玩车 JDM模范情侣的正确打开方式")</f>
        <v>一起玩车 JDM模范情侣的正确打开方式</v>
      </c>
      <c r="C9962" s="2" t="s">
        <v>13</v>
      </c>
      <c r="D9962" s="2" t="s">
        <v>12</v>
      </c>
      <c r="E9962" s="2" t="s">
        <v>27</v>
      </c>
      <c r="F9962" s="2" t="str">
        <f>HYPERLINK("http://bbs.12365auto.com/postcontent.aspx?tId=193662","http://bbs.12365auto.com/postcontent.aspx?tId=193662")</f>
        <v>http://bbs.12365auto.com/postcontent.aspx?tId=193662</v>
      </c>
      <c r="G9962" s="2"/>
      <c r="H9962" s="2" t="s">
        <v>13376</v>
      </c>
      <c r="I9962" s="2" t="s">
        <v>15</v>
      </c>
      <c r="J9962" s="2" t="s">
        <v>683</v>
      </c>
      <c r="K9962" s="2" t="s">
        <v>13374</v>
      </c>
      <c r="L9962" s="2">
        <f t="shared" si="155"/>
        <v>150</v>
      </c>
    </row>
    <row r="9963" spans="1:12" ht="25" customHeight="1">
      <c r="A9963" s="2" t="s">
        <v>12</v>
      </c>
      <c r="B9963" s="2" t="str">
        <f>HYPERLINK("http://m.12365auto.com/bbs/postcontent.aspx?tID=193662","一起玩车 JDM模范情侣的正确打开方式")</f>
        <v>一起玩车 JDM模范情侣的正确打开方式</v>
      </c>
      <c r="C9963" s="2" t="s">
        <v>13</v>
      </c>
      <c r="D9963" s="2" t="s">
        <v>23</v>
      </c>
      <c r="E9963" s="2"/>
      <c r="F9963" s="2" t="str">
        <f>HYPERLINK("http://m.12365auto.com/bbs/postcontent.aspx?tID=193662","http://m.12365auto.com/bbs/postcontent.aspx?tID=193662")</f>
        <v>http://m.12365auto.com/bbs/postcontent.aspx?tID=193662</v>
      </c>
      <c r="G9963" s="2"/>
      <c r="H9963" s="2" t="s">
        <v>13376</v>
      </c>
      <c r="I9963" s="2" t="s">
        <v>15</v>
      </c>
      <c r="J9963" s="2" t="s">
        <v>683</v>
      </c>
      <c r="K9963" s="2" t="s">
        <v>13374</v>
      </c>
      <c r="L9963" s="2">
        <f t="shared" si="155"/>
        <v>150</v>
      </c>
    </row>
    <row r="9964" spans="1:12" ht="25" customHeight="1">
      <c r="A9964" s="2" t="s">
        <v>12</v>
      </c>
      <c r="B9964" s="2" t="str">
        <f>HYPERLINK("http://bbs.12365auto.com/postcontent.aspx?tID=193665","三个名字还在 但早已不是自己的汽车品牌")</f>
        <v>三个名字还在 但早已不是自己的汽车品牌</v>
      </c>
      <c r="C9964" s="2" t="s">
        <v>13</v>
      </c>
      <c r="D9964" s="2" t="s">
        <v>12</v>
      </c>
      <c r="E9964" s="2" t="s">
        <v>28</v>
      </c>
      <c r="F9964" s="2" t="str">
        <f>HYPERLINK("http://bbs.12365auto.com/postcontent.aspx?tID=193665","http://bbs.12365auto.com/postcontent.aspx?tID=193665")</f>
        <v>http://bbs.12365auto.com/postcontent.aspx?tID=193665</v>
      </c>
      <c r="G9964" s="2"/>
      <c r="H9964" s="2" t="s">
        <v>13377</v>
      </c>
      <c r="I9964" s="2" t="s">
        <v>15</v>
      </c>
      <c r="J9964" s="2" t="s">
        <v>683</v>
      </c>
      <c r="K9964" s="2" t="s">
        <v>13374</v>
      </c>
      <c r="L9964" s="2">
        <f t="shared" si="155"/>
        <v>150</v>
      </c>
    </row>
    <row r="9965" spans="1:12" ht="25" customHeight="1">
      <c r="A9965" s="2" t="s">
        <v>12</v>
      </c>
      <c r="B9965" s="2" t="str">
        <f>HYPERLINK("http://bbs.12365auto.com/postcontent.aspx?tId=193664","轮胎越“扁”越好 那为啥买菜车不用")</f>
        <v>轮胎越“扁”越好 那为啥买菜车不用</v>
      </c>
      <c r="C9965" s="2" t="s">
        <v>13</v>
      </c>
      <c r="D9965" s="2" t="s">
        <v>12</v>
      </c>
      <c r="E9965" s="2" t="s">
        <v>210</v>
      </c>
      <c r="F9965" s="2" t="str">
        <f>HYPERLINK("http://bbs.12365auto.com/postcontent.aspx?tId=193664","http://bbs.12365auto.com/postcontent.aspx?tId=193664")</f>
        <v>http://bbs.12365auto.com/postcontent.aspx?tId=193664</v>
      </c>
      <c r="G9965" s="2"/>
      <c r="H9965" s="2" t="s">
        <v>13378</v>
      </c>
      <c r="I9965" s="2" t="s">
        <v>15</v>
      </c>
      <c r="J9965" s="2" t="s">
        <v>4561</v>
      </c>
      <c r="K9965" s="2" t="s">
        <v>13374</v>
      </c>
      <c r="L9965" s="2">
        <f t="shared" si="155"/>
        <v>150</v>
      </c>
    </row>
    <row r="9966" spans="1:12" ht="25" customHeight="1">
      <c r="A9966" s="2" t="s">
        <v>12</v>
      </c>
      <c r="B9966" s="2" t="str">
        <f>HYPERLINK("http://bbs.12365auto.com/postcontent.aspx?tID=193664","轮胎越“扁”越好 那为啥买菜车不用")</f>
        <v>轮胎越“扁”越好 那为啥买菜车不用</v>
      </c>
      <c r="C9966" s="2" t="s">
        <v>13</v>
      </c>
      <c r="D9966" s="2" t="s">
        <v>12</v>
      </c>
      <c r="E9966" s="2" t="s">
        <v>214</v>
      </c>
      <c r="F9966" s="2" t="str">
        <f>HYPERLINK("http://bbs.12365auto.com/postcontent.aspx?tID=193664","http://bbs.12365auto.com/postcontent.aspx?tID=193664")</f>
        <v>http://bbs.12365auto.com/postcontent.aspx?tID=193664</v>
      </c>
      <c r="G9966" s="2"/>
      <c r="H9966" s="2" t="s">
        <v>13379</v>
      </c>
      <c r="I9966" s="2" t="s">
        <v>15</v>
      </c>
      <c r="J9966" s="2" t="s">
        <v>4561</v>
      </c>
      <c r="K9966" s="2" t="s">
        <v>13374</v>
      </c>
      <c r="L9966" s="2">
        <f t="shared" si="155"/>
        <v>150</v>
      </c>
    </row>
    <row r="9967" spans="1:12" ht="25" customHeight="1">
      <c r="A9967" s="2" t="s">
        <v>12</v>
      </c>
      <c r="B9967" s="2" t="str">
        <f>HYPERLINK("http://bbs.12365auto.com/postcontent.aspx?tID=193663","特殊时期，开车要这样防护才好")</f>
        <v>特殊时期，开车要这样防护才好</v>
      </c>
      <c r="C9967" s="2" t="s">
        <v>13</v>
      </c>
      <c r="D9967" s="2" t="s">
        <v>12</v>
      </c>
      <c r="E9967" s="2" t="s">
        <v>28</v>
      </c>
      <c r="F9967" s="2" t="str">
        <f>HYPERLINK("http://bbs.12365auto.com/postcontent.aspx?tID=193663","http://bbs.12365auto.com/postcontent.aspx?tID=193663")</f>
        <v>http://bbs.12365auto.com/postcontent.aspx?tID=193663</v>
      </c>
      <c r="G9967" s="2"/>
      <c r="H9967" s="2" t="s">
        <v>13380</v>
      </c>
      <c r="I9967" s="2" t="s">
        <v>15</v>
      </c>
      <c r="J9967" s="2" t="s">
        <v>1960</v>
      </c>
      <c r="K9967" s="2" t="s">
        <v>13374</v>
      </c>
      <c r="L9967" s="2">
        <f t="shared" si="155"/>
        <v>150</v>
      </c>
    </row>
    <row r="9968" spans="1:12" ht="25" customHeight="1">
      <c r="A9968" s="2" t="s">
        <v>12</v>
      </c>
      <c r="B9968" s="2" t="str">
        <f>HYPERLINK("http://bbs.12365auto.com/postcontent.aspx?tID=193660","低配和高配的差距 真不止是一张真皮沙发")</f>
        <v>低配和高配的差距 真不止是一张真皮沙发</v>
      </c>
      <c r="C9968" s="2" t="s">
        <v>13</v>
      </c>
      <c r="D9968" s="2" t="s">
        <v>12</v>
      </c>
      <c r="E9968" s="2" t="s">
        <v>214</v>
      </c>
      <c r="F9968" s="2" t="str">
        <f>HYPERLINK("http://bbs.12365auto.com/postcontent.aspx?tID=193660","http://bbs.12365auto.com/postcontent.aspx?tID=193660")</f>
        <v>http://bbs.12365auto.com/postcontent.aspx?tID=193660</v>
      </c>
      <c r="G9968" s="2"/>
      <c r="H9968" s="2" t="s">
        <v>13381</v>
      </c>
      <c r="I9968" s="2" t="s">
        <v>15</v>
      </c>
      <c r="J9968" s="2" t="s">
        <v>4561</v>
      </c>
      <c r="K9968" s="2" t="s">
        <v>13382</v>
      </c>
      <c r="L9968" s="2">
        <f t="shared" si="155"/>
        <v>150</v>
      </c>
    </row>
    <row r="9969" spans="1:12" ht="25" customHeight="1">
      <c r="A9969" s="2" t="s">
        <v>12</v>
      </c>
      <c r="B9969" s="2" t="str">
        <f>HYPERLINK("http://bbs.12365auto.com/postcontent.aspx?tID=193659","金钱无法衡量的信仰 堪称藏品级R34战神日产GT-R")</f>
        <v>金钱无法衡量的信仰 堪称藏品级R34战神日产GT-R</v>
      </c>
      <c r="C9969" s="2" t="s">
        <v>13</v>
      </c>
      <c r="D9969" s="2" t="s">
        <v>12</v>
      </c>
      <c r="E9969" s="2" t="s">
        <v>28</v>
      </c>
      <c r="F9969" s="2" t="str">
        <f>HYPERLINK("http://bbs.12365auto.com/postcontent.aspx?tID=193659","http://bbs.12365auto.com/postcontent.aspx?tID=193659")</f>
        <v>http://bbs.12365auto.com/postcontent.aspx?tID=193659</v>
      </c>
      <c r="G9969" s="2"/>
      <c r="H9969" s="2" t="s">
        <v>13383</v>
      </c>
      <c r="I9969" s="2" t="s">
        <v>15</v>
      </c>
      <c r="J9969" s="2" t="s">
        <v>683</v>
      </c>
      <c r="K9969" s="2" t="s">
        <v>13382</v>
      </c>
      <c r="L9969" s="2">
        <f t="shared" si="155"/>
        <v>150</v>
      </c>
    </row>
    <row r="9970" spans="1:12" ht="25" customHeight="1">
      <c r="A9970" s="2" t="s">
        <v>12</v>
      </c>
      <c r="B9970" s="2" t="str">
        <f>HYPERLINK("http://bbs.12365auto.com/postcontent.aspx?tId=193659","金钱无法衡量的信仰 堪称藏品级R34战神日产GT-R")</f>
        <v>金钱无法衡量的信仰 堪称藏品级R34战神日产GT-R</v>
      </c>
      <c r="C9970" s="2" t="s">
        <v>13</v>
      </c>
      <c r="D9970" s="2" t="s">
        <v>12</v>
      </c>
      <c r="E9970" s="2" t="s">
        <v>27</v>
      </c>
      <c r="F9970" s="2" t="str">
        <f>HYPERLINK("http://bbs.12365auto.com/postcontent.aspx?tId=193659","http://bbs.12365auto.com/postcontent.aspx?tId=193659")</f>
        <v>http://bbs.12365auto.com/postcontent.aspx?tId=193659</v>
      </c>
      <c r="G9970" s="2"/>
      <c r="H9970" s="2" t="s">
        <v>13384</v>
      </c>
      <c r="I9970" s="2" t="s">
        <v>15</v>
      </c>
      <c r="J9970" s="2" t="s">
        <v>683</v>
      </c>
      <c r="K9970" s="2" t="s">
        <v>13382</v>
      </c>
      <c r="L9970" s="2">
        <f t="shared" si="155"/>
        <v>150</v>
      </c>
    </row>
    <row r="9971" spans="1:12" ht="25" customHeight="1">
      <c r="A9971" s="2" t="s">
        <v>12</v>
      </c>
      <c r="B9971" s="2" t="str">
        <f>HYPERLINK("http://bbs.12365auto.com/postcontent.aspx?tID=193661","各个级别汽车中的标杆车型 吐血推荐")</f>
        <v>各个级别汽车中的标杆车型 吐血推荐</v>
      </c>
      <c r="C9971" s="2" t="s">
        <v>13</v>
      </c>
      <c r="D9971" s="2" t="s">
        <v>12</v>
      </c>
      <c r="E9971" s="2" t="s">
        <v>28</v>
      </c>
      <c r="F9971" s="2" t="str">
        <f>HYPERLINK("http://bbs.12365auto.com/postcontent.aspx?tID=193661","http://bbs.12365auto.com/postcontent.aspx?tID=193661")</f>
        <v>http://bbs.12365auto.com/postcontent.aspx?tID=193661</v>
      </c>
      <c r="G9971" s="2"/>
      <c r="H9971" s="2" t="s">
        <v>13385</v>
      </c>
      <c r="I9971" s="2" t="s">
        <v>15</v>
      </c>
      <c r="J9971" s="2" t="s">
        <v>683</v>
      </c>
      <c r="K9971" s="2" t="s">
        <v>13382</v>
      </c>
      <c r="L9971" s="2">
        <f t="shared" si="155"/>
        <v>150</v>
      </c>
    </row>
    <row r="9972" spans="1:12" ht="25" customHeight="1">
      <c r="A9972" s="2" t="s">
        <v>12</v>
      </c>
      <c r="B9972" s="2" t="str">
        <f>HYPERLINK("http://bbs.12365auto.com/postcontent.aspx?tId=193661","各个级别汽车中的标杆车型 吐血推荐")</f>
        <v>各个级别汽车中的标杆车型 吐血推荐</v>
      </c>
      <c r="C9972" s="2" t="s">
        <v>13</v>
      </c>
      <c r="D9972" s="2" t="s">
        <v>12</v>
      </c>
      <c r="E9972" s="2" t="s">
        <v>27</v>
      </c>
      <c r="F9972" s="2" t="str">
        <f>HYPERLINK("http://bbs.12365auto.com/postcontent.aspx?tId=193661","http://bbs.12365auto.com/postcontent.aspx?tId=193661")</f>
        <v>http://bbs.12365auto.com/postcontent.aspx?tId=193661</v>
      </c>
      <c r="G9972" s="2"/>
      <c r="H9972" s="2" t="s">
        <v>13386</v>
      </c>
      <c r="I9972" s="2" t="s">
        <v>15</v>
      </c>
      <c r="J9972" s="2" t="s">
        <v>683</v>
      </c>
      <c r="K9972" s="2" t="s">
        <v>13382</v>
      </c>
      <c r="L9972" s="2">
        <f t="shared" si="155"/>
        <v>150</v>
      </c>
    </row>
    <row r="9973" spans="1:12" ht="25" customHeight="1">
      <c r="A9973" s="2" t="s">
        <v>12</v>
      </c>
      <c r="B9973" s="2" t="str">
        <f>HYPERLINK("http://m.12365auto.com/bbs/postcontent.aspx?tID=193661","各个级别汽车中的标杆车型 吐血推荐")</f>
        <v>各个级别汽车中的标杆车型 吐血推荐</v>
      </c>
      <c r="C9973" s="2" t="s">
        <v>13</v>
      </c>
      <c r="D9973" s="2" t="s">
        <v>23</v>
      </c>
      <c r="E9973" s="2"/>
      <c r="F9973" s="2" t="str">
        <f>HYPERLINK("http://m.12365auto.com/bbs/postcontent.aspx?tID=193661","http://m.12365auto.com/bbs/postcontent.aspx?tID=193661")</f>
        <v>http://m.12365auto.com/bbs/postcontent.aspx?tID=193661</v>
      </c>
      <c r="G9973" s="2"/>
      <c r="H9973" s="2" t="s">
        <v>13386</v>
      </c>
      <c r="I9973" s="2" t="s">
        <v>15</v>
      </c>
      <c r="J9973" s="2" t="s">
        <v>683</v>
      </c>
      <c r="K9973" s="2" t="s">
        <v>13382</v>
      </c>
      <c r="L9973" s="2">
        <f t="shared" si="155"/>
        <v>150</v>
      </c>
    </row>
    <row r="9974" spans="1:12" ht="25" customHeight="1">
      <c r="A9974" s="2" t="s">
        <v>12</v>
      </c>
      <c r="B9974" s="2" t="str">
        <f>HYPERLINK("http://bbs.12365auto.com/postcontent.aspx?tId=193660","低配和高配的差距 真不止是一张真皮沙发")</f>
        <v>低配和高配的差距 真不止是一张真皮沙发</v>
      </c>
      <c r="C9974" s="2" t="s">
        <v>13</v>
      </c>
      <c r="D9974" s="2" t="s">
        <v>12</v>
      </c>
      <c r="E9974" s="2" t="s">
        <v>210</v>
      </c>
      <c r="F9974" s="2" t="str">
        <f>HYPERLINK("http://bbs.12365auto.com/postcontent.aspx?tId=193660","http://bbs.12365auto.com/postcontent.aspx?tId=193660")</f>
        <v>http://bbs.12365auto.com/postcontent.aspx?tId=193660</v>
      </c>
      <c r="G9974" s="2"/>
      <c r="H9974" s="2" t="s">
        <v>13387</v>
      </c>
      <c r="I9974" s="2" t="s">
        <v>15</v>
      </c>
      <c r="J9974" s="2" t="s">
        <v>4561</v>
      </c>
      <c r="K9974" s="2" t="s">
        <v>13382</v>
      </c>
      <c r="L9974" s="2">
        <f t="shared" si="155"/>
        <v>150</v>
      </c>
    </row>
    <row r="9975" spans="1:12" ht="25" customHeight="1">
      <c r="A9975" s="2" t="s">
        <v>12</v>
      </c>
      <c r="B9975" s="2" t="str">
        <f>HYPERLINK("http://bbs.12365auto.com/postcontent.aspx?tID=193658","除了给收音机传递信号 不起眼的天线还有这些功能")</f>
        <v>除了给收音机传递信号 不起眼的天线还有这些功能</v>
      </c>
      <c r="C9975" s="2" t="s">
        <v>13</v>
      </c>
      <c r="D9975" s="2" t="s">
        <v>12</v>
      </c>
      <c r="E9975" s="2" t="s">
        <v>214</v>
      </c>
      <c r="F9975" s="2" t="str">
        <f>HYPERLINK("http://bbs.12365auto.com/postcontent.aspx?tID=193658","http://bbs.12365auto.com/postcontent.aspx?tID=193658")</f>
        <v>http://bbs.12365auto.com/postcontent.aspx?tID=193658</v>
      </c>
      <c r="G9975" s="2"/>
      <c r="H9975" s="2" t="s">
        <v>13388</v>
      </c>
      <c r="I9975" s="2" t="s">
        <v>15</v>
      </c>
      <c r="J9975" s="2" t="s">
        <v>4561</v>
      </c>
      <c r="K9975" s="2" t="s">
        <v>13389</v>
      </c>
      <c r="L9975" s="2">
        <f t="shared" si="155"/>
        <v>150</v>
      </c>
    </row>
    <row r="9976" spans="1:12" ht="25" customHeight="1">
      <c r="A9976" s="2" t="s">
        <v>12</v>
      </c>
      <c r="B9976" s="2" t="str">
        <f>HYPERLINK("http://bbs.12365auto.com/postcontent.aspx?tID=193657","看似不合理其实最合理 盘点汽车上的反人机工程做法")</f>
        <v>看似不合理其实最合理 盘点汽车上的反人机工程做法</v>
      </c>
      <c r="C9976" s="2" t="s">
        <v>13</v>
      </c>
      <c r="D9976" s="2" t="s">
        <v>12</v>
      </c>
      <c r="E9976" s="2" t="s">
        <v>4209</v>
      </c>
      <c r="F9976" s="2" t="str">
        <f>HYPERLINK("http://bbs.12365auto.com/postcontent.aspx?tID=193657","http://bbs.12365auto.com/postcontent.aspx?tID=193657")</f>
        <v>http://bbs.12365auto.com/postcontent.aspx?tID=193657</v>
      </c>
      <c r="G9976" s="2"/>
      <c r="H9976" s="2" t="s">
        <v>13390</v>
      </c>
      <c r="I9976" s="2" t="s">
        <v>15</v>
      </c>
      <c r="J9976" s="2" t="s">
        <v>683</v>
      </c>
      <c r="K9976" s="2" t="s">
        <v>13389</v>
      </c>
      <c r="L9976" s="2">
        <f t="shared" si="155"/>
        <v>150</v>
      </c>
    </row>
    <row r="9977" spans="1:12" ht="25" customHeight="1">
      <c r="A9977" s="2" t="s">
        <v>12</v>
      </c>
      <c r="B9977" s="2" t="str">
        <f>HYPERLINK("http://bbs.12365auto.com/postcontent.aspx?tId=193657","看似不合理其实最合理 盘点汽车上的反人机工程做法")</f>
        <v>看似不合理其实最合理 盘点汽车上的反人机工程做法</v>
      </c>
      <c r="C9977" s="2" t="s">
        <v>13</v>
      </c>
      <c r="D9977" s="2" t="s">
        <v>12</v>
      </c>
      <c r="E9977" s="2" t="s">
        <v>4212</v>
      </c>
      <c r="F9977" s="2" t="str">
        <f>HYPERLINK("http://bbs.12365auto.com/postcontent.aspx?tId=193657","http://bbs.12365auto.com/postcontent.aspx?tId=193657")</f>
        <v>http://bbs.12365auto.com/postcontent.aspx?tId=193657</v>
      </c>
      <c r="G9977" s="2"/>
      <c r="H9977" s="2" t="s">
        <v>13391</v>
      </c>
      <c r="I9977" s="2" t="s">
        <v>15</v>
      </c>
      <c r="J9977" s="2" t="s">
        <v>683</v>
      </c>
      <c r="K9977" s="2" t="s">
        <v>13389</v>
      </c>
      <c r="L9977" s="2">
        <f t="shared" si="155"/>
        <v>150</v>
      </c>
    </row>
    <row r="9978" spans="1:12" ht="25" customHeight="1">
      <c r="A9978" s="2" t="s">
        <v>12</v>
      </c>
      <c r="B9978" s="2" t="str">
        <f>HYPERLINK("http://bbs.12365auto.com/postcontent.aspx?tId=193658","除了给收音机传递信号 不起眼的天线还有这些功能")</f>
        <v>除了给收音机传递信号 不起眼的天线还有这些功能</v>
      </c>
      <c r="C9978" s="2" t="s">
        <v>13</v>
      </c>
      <c r="D9978" s="2" t="s">
        <v>12</v>
      </c>
      <c r="E9978" s="2" t="s">
        <v>210</v>
      </c>
      <c r="F9978" s="2" t="str">
        <f>HYPERLINK("http://bbs.12365auto.com/postcontent.aspx?tId=193658","http://bbs.12365auto.com/postcontent.aspx?tId=193658")</f>
        <v>http://bbs.12365auto.com/postcontent.aspx?tId=193658</v>
      </c>
      <c r="G9978" s="2"/>
      <c r="H9978" s="2" t="s">
        <v>13392</v>
      </c>
      <c r="I9978" s="2" t="s">
        <v>15</v>
      </c>
      <c r="J9978" s="2" t="s">
        <v>4561</v>
      </c>
      <c r="K9978" s="2" t="s">
        <v>13389</v>
      </c>
      <c r="L9978" s="2">
        <f t="shared" si="155"/>
        <v>150</v>
      </c>
    </row>
    <row r="9979" spans="1:12" ht="25" customHeight="1">
      <c r="A9979" s="2" t="s">
        <v>12</v>
      </c>
      <c r="B9979" s="2" t="str">
        <f>HYPERLINK("http://m.12365auto.com/bbs/postcontent.aspx?tID=193655","宝马最美的10款轮圈 你见过几个？")</f>
        <v>宝马最美的10款轮圈 你见过几个？</v>
      </c>
      <c r="C9979" s="2" t="s">
        <v>13</v>
      </c>
      <c r="D9979" s="2" t="s">
        <v>23</v>
      </c>
      <c r="E9979" s="2"/>
      <c r="F9979" s="2" t="str">
        <f>HYPERLINK("http://m.12365auto.com/bbs/postcontent.aspx?tID=193655","http://m.12365auto.com/bbs/postcontent.aspx?tID=193655")</f>
        <v>http://m.12365auto.com/bbs/postcontent.aspx?tID=193655</v>
      </c>
      <c r="G9979" s="2"/>
      <c r="H9979" s="2" t="s">
        <v>13393</v>
      </c>
      <c r="I9979" s="2" t="s">
        <v>15</v>
      </c>
      <c r="J9979" s="2" t="s">
        <v>683</v>
      </c>
      <c r="K9979" s="2" t="s">
        <v>13394</v>
      </c>
      <c r="L9979" s="2">
        <f t="shared" si="155"/>
        <v>150</v>
      </c>
    </row>
    <row r="9980" spans="1:12" ht="25" customHeight="1">
      <c r="A9980" s="2" t="s">
        <v>12</v>
      </c>
      <c r="B9980" s="2" t="str">
        <f>HYPERLINK("http://bbs.12365auto.com/postcontent.aspx?tID=193656","你不知道的5个汽车安全冷知识")</f>
        <v>你不知道的5个汽车安全冷知识</v>
      </c>
      <c r="C9980" s="2" t="s">
        <v>13</v>
      </c>
      <c r="D9980" s="2" t="s">
        <v>12</v>
      </c>
      <c r="E9980" s="2" t="s">
        <v>214</v>
      </c>
      <c r="F9980" s="2" t="str">
        <f>HYPERLINK("http://bbs.12365auto.com/postcontent.aspx?tID=193656","http://bbs.12365auto.com/postcontent.aspx?tID=193656")</f>
        <v>http://bbs.12365auto.com/postcontent.aspx?tID=193656</v>
      </c>
      <c r="G9980" s="2"/>
      <c r="H9980" s="2" t="s">
        <v>13395</v>
      </c>
      <c r="I9980" s="2" t="s">
        <v>15</v>
      </c>
      <c r="J9980" s="2" t="s">
        <v>4561</v>
      </c>
      <c r="K9980" s="2" t="s">
        <v>13394</v>
      </c>
      <c r="L9980" s="2">
        <f t="shared" si="155"/>
        <v>150</v>
      </c>
    </row>
    <row r="9981" spans="1:12" ht="25" customHeight="1">
      <c r="A9981" s="2" t="s">
        <v>12</v>
      </c>
      <c r="B9981" s="2" t="str">
        <f>HYPERLINK("http://bbs.12365auto.com/postcontent.aspx?tId=193656","你不知道的5个汽车安全冷知识")</f>
        <v>你不知道的5个汽车安全冷知识</v>
      </c>
      <c r="C9981" s="2" t="s">
        <v>13</v>
      </c>
      <c r="D9981" s="2" t="s">
        <v>12</v>
      </c>
      <c r="E9981" s="2" t="s">
        <v>210</v>
      </c>
      <c r="F9981" s="2" t="str">
        <f>HYPERLINK("http://bbs.12365auto.com/postcontent.aspx?tId=193656","http://bbs.12365auto.com/postcontent.aspx?tId=193656")</f>
        <v>http://bbs.12365auto.com/postcontent.aspx?tId=193656</v>
      </c>
      <c r="G9981" s="2"/>
      <c r="H9981" s="2" t="s">
        <v>13396</v>
      </c>
      <c r="I9981" s="2" t="s">
        <v>15</v>
      </c>
      <c r="J9981" s="2" t="s">
        <v>4561</v>
      </c>
      <c r="K9981" s="2" t="s">
        <v>13394</v>
      </c>
      <c r="L9981" s="2">
        <f t="shared" si="155"/>
        <v>150</v>
      </c>
    </row>
    <row r="9982" spans="1:12" ht="25" customHeight="1">
      <c r="A9982" s="2" t="s">
        <v>12</v>
      </c>
      <c r="B9982" s="2" t="str">
        <f>HYPERLINK("http://bbs.12365auto.com/postcontent.aspx?tId=193655","宝马最美的10款轮圈 你见过几个？")</f>
        <v>宝马最美的10款轮圈 你见过几个？</v>
      </c>
      <c r="C9982" s="2" t="s">
        <v>13</v>
      </c>
      <c r="D9982" s="2" t="s">
        <v>12</v>
      </c>
      <c r="E9982" s="2" t="s">
        <v>27</v>
      </c>
      <c r="F9982" s="2" t="str">
        <f>HYPERLINK("http://bbs.12365auto.com/postcontent.aspx?tId=193655","http://bbs.12365auto.com/postcontent.aspx?tId=193655")</f>
        <v>http://bbs.12365auto.com/postcontent.aspx?tId=193655</v>
      </c>
      <c r="G9982" s="2"/>
      <c r="H9982" s="2" t="s">
        <v>13393</v>
      </c>
      <c r="I9982" s="2" t="s">
        <v>15</v>
      </c>
      <c r="J9982" s="2" t="s">
        <v>683</v>
      </c>
      <c r="K9982" s="2" t="s">
        <v>13394</v>
      </c>
      <c r="L9982" s="2">
        <f t="shared" si="155"/>
        <v>150</v>
      </c>
    </row>
    <row r="9983" spans="1:12" ht="25" customHeight="1">
      <c r="A9983" s="2" t="s">
        <v>12</v>
      </c>
      <c r="B9983" s="2" t="str">
        <f>HYPERLINK("http://bbs.12365auto.com/postcontent.aspx?tID=193655","宝马最美的10款轮圈 你见过几个？")</f>
        <v>宝马最美的10款轮圈 你见过几个？</v>
      </c>
      <c r="C9983" s="2" t="s">
        <v>13</v>
      </c>
      <c r="D9983" s="2" t="s">
        <v>12</v>
      </c>
      <c r="E9983" s="2" t="s">
        <v>28</v>
      </c>
      <c r="F9983" s="2" t="str">
        <f>HYPERLINK("http://bbs.12365auto.com/postcontent.aspx?tID=193655","http://bbs.12365auto.com/postcontent.aspx?tID=193655")</f>
        <v>http://bbs.12365auto.com/postcontent.aspx?tID=193655</v>
      </c>
      <c r="G9983" s="2"/>
      <c r="H9983" s="2" t="s">
        <v>13397</v>
      </c>
      <c r="I9983" s="2" t="s">
        <v>15</v>
      </c>
      <c r="J9983" s="2" t="s">
        <v>683</v>
      </c>
      <c r="K9983" s="2" t="s">
        <v>13394</v>
      </c>
      <c r="L9983" s="2">
        <f t="shared" si="155"/>
        <v>150</v>
      </c>
    </row>
    <row r="9984" spans="1:12" ht="25" customHeight="1">
      <c r="A9984" s="2" t="s">
        <v>12</v>
      </c>
      <c r="B9984" s="2" t="str">
        <f>HYPERLINK("http://bbs.12365auto.com/postcontent.aspx?tId=193654","最快4.8秒破百 这几台车都是性能爱好者的最爱")</f>
        <v>最快4.8秒破百 这几台车都是性能爱好者的最爱</v>
      </c>
      <c r="C9984" s="2" t="s">
        <v>13</v>
      </c>
      <c r="D9984" s="2" t="s">
        <v>12</v>
      </c>
      <c r="E9984" s="2" t="s">
        <v>27</v>
      </c>
      <c r="F9984" s="2" t="str">
        <f>HYPERLINK("http://bbs.12365auto.com/postcontent.aspx?tId=193654","http://bbs.12365auto.com/postcontent.aspx?tId=193654")</f>
        <v>http://bbs.12365auto.com/postcontent.aspx?tId=193654</v>
      </c>
      <c r="G9984" s="2"/>
      <c r="H9984" s="2" t="s">
        <v>13398</v>
      </c>
      <c r="I9984" s="2" t="s">
        <v>15</v>
      </c>
      <c r="J9984" s="2" t="s">
        <v>683</v>
      </c>
      <c r="K9984" s="2" t="s">
        <v>13399</v>
      </c>
      <c r="L9984" s="2">
        <f t="shared" si="155"/>
        <v>150</v>
      </c>
    </row>
    <row r="9985" spans="1:12" ht="25" customHeight="1">
      <c r="A9985" s="2" t="s">
        <v>12</v>
      </c>
      <c r="B9985" s="2" t="str">
        <f>HYPERLINK("http://bbs.12365auto.com/postcontent.aspx?tID=193654","最快4.8秒破百 这几台车都是性能爱好者的最爱")</f>
        <v>最快4.8秒破百 这几台车都是性能爱好者的最爱</v>
      </c>
      <c r="C9985" s="2" t="s">
        <v>13</v>
      </c>
      <c r="D9985" s="2" t="s">
        <v>12</v>
      </c>
      <c r="E9985" s="2" t="s">
        <v>28</v>
      </c>
      <c r="F9985" s="2" t="str">
        <f>HYPERLINK("http://bbs.12365auto.com/postcontent.aspx?tID=193654","http://bbs.12365auto.com/postcontent.aspx?tID=193654")</f>
        <v>http://bbs.12365auto.com/postcontent.aspx?tID=193654</v>
      </c>
      <c r="G9985" s="2"/>
      <c r="H9985" s="2" t="s">
        <v>13400</v>
      </c>
      <c r="I9985" s="2" t="s">
        <v>15</v>
      </c>
      <c r="J9985" s="2" t="s">
        <v>683</v>
      </c>
      <c r="K9985" s="2" t="s">
        <v>13399</v>
      </c>
      <c r="L9985" s="2">
        <f t="shared" si="155"/>
        <v>150</v>
      </c>
    </row>
    <row r="9986" spans="1:12" ht="25" customHeight="1">
      <c r="A9986" s="2" t="s">
        <v>12</v>
      </c>
      <c r="B9986" s="2" t="str">
        <f>HYPERLINK("http://bbs.12365auto.com/postcontent.aspx?tId=193653","私人充电桩着火怎么办")</f>
        <v>私人充电桩着火怎么办</v>
      </c>
      <c r="C9986" s="2" t="s">
        <v>13</v>
      </c>
      <c r="D9986" s="2" t="s">
        <v>12</v>
      </c>
      <c r="E9986" s="2" t="s">
        <v>210</v>
      </c>
      <c r="F9986" s="2" t="str">
        <f>HYPERLINK("http://bbs.12365auto.com/postcontent.aspx?tId=193653","http://bbs.12365auto.com/postcontent.aspx?tId=193653")</f>
        <v>http://bbs.12365auto.com/postcontent.aspx?tId=193653</v>
      </c>
      <c r="G9986" s="2"/>
      <c r="H9986" s="2" t="s">
        <v>13401</v>
      </c>
      <c r="I9986" s="2" t="s">
        <v>15</v>
      </c>
      <c r="J9986" s="2" t="s">
        <v>4561</v>
      </c>
      <c r="K9986" s="2" t="s">
        <v>13402</v>
      </c>
      <c r="L9986" s="2">
        <f t="shared" si="155"/>
        <v>150</v>
      </c>
    </row>
    <row r="9987" spans="1:12" ht="25" customHeight="1">
      <c r="A9987" s="2" t="s">
        <v>12</v>
      </c>
      <c r="B9987" s="2" t="str">
        <f>HYPERLINK("http://bbs.12365auto.com/postcontent.aspx?tID=193653","私人充电桩着火怎么办")</f>
        <v>私人充电桩着火怎么办</v>
      </c>
      <c r="C9987" s="2" t="s">
        <v>13</v>
      </c>
      <c r="D9987" s="2" t="s">
        <v>12</v>
      </c>
      <c r="E9987" s="2" t="s">
        <v>214</v>
      </c>
      <c r="F9987" s="2" t="str">
        <f>HYPERLINK("http://bbs.12365auto.com/postcontent.aspx?tID=193653","http://bbs.12365auto.com/postcontent.aspx?tID=193653")</f>
        <v>http://bbs.12365auto.com/postcontent.aspx?tID=193653</v>
      </c>
      <c r="G9987" s="2"/>
      <c r="H9987" s="2" t="s">
        <v>13403</v>
      </c>
      <c r="I9987" s="2" t="s">
        <v>15</v>
      </c>
      <c r="J9987" s="2" t="s">
        <v>4561</v>
      </c>
      <c r="K9987" s="2" t="s">
        <v>13402</v>
      </c>
      <c r="L9987" s="2">
        <f t="shared" ref="L9987:L10050" si="156">LEN(H9987)</f>
        <v>150</v>
      </c>
    </row>
    <row r="9988" spans="1:12" ht="25" customHeight="1">
      <c r="A9988" s="2" t="s">
        <v>12</v>
      </c>
      <c r="B9988" s="2" t="str">
        <f>HYPERLINK("http://bbs.12365auto.com/postcontent.aspx?tID=193652","电车长期不用 建议拔掉负极")</f>
        <v>电车长期不用 建议拔掉负极</v>
      </c>
      <c r="C9988" s="2" t="s">
        <v>13</v>
      </c>
      <c r="D9988" s="2" t="s">
        <v>12</v>
      </c>
      <c r="E9988" s="2" t="s">
        <v>214</v>
      </c>
      <c r="F9988" s="2" t="str">
        <f>HYPERLINK("http://bbs.12365auto.com/postcontent.aspx?tID=193652","http://bbs.12365auto.com/postcontent.aspx?tID=193652")</f>
        <v>http://bbs.12365auto.com/postcontent.aspx?tID=193652</v>
      </c>
      <c r="G9988" s="2"/>
      <c r="H9988" s="2" t="s">
        <v>13404</v>
      </c>
      <c r="I9988" s="2" t="s">
        <v>15</v>
      </c>
      <c r="J9988" s="2" t="s">
        <v>4561</v>
      </c>
      <c r="K9988" s="2" t="s">
        <v>13402</v>
      </c>
      <c r="L9988" s="2">
        <f t="shared" si="156"/>
        <v>150</v>
      </c>
    </row>
    <row r="9989" spans="1:12" ht="25" customHeight="1">
      <c r="A9989" s="2" t="s">
        <v>12</v>
      </c>
      <c r="B9989" s="2" t="str">
        <f>HYPERLINK("http://bbs.12365auto.com/postcontent.aspx?tId=193651","9种最伤车的习惯 你占了几样？")</f>
        <v>9种最伤车的习惯 你占了几样？</v>
      </c>
      <c r="C9989" s="2" t="s">
        <v>13</v>
      </c>
      <c r="D9989" s="2" t="s">
        <v>12</v>
      </c>
      <c r="E9989" s="2" t="s">
        <v>27</v>
      </c>
      <c r="F9989" s="2" t="str">
        <f>HYPERLINK("http://bbs.12365auto.com/postcontent.aspx?tId=193651","http://bbs.12365auto.com/postcontent.aspx?tId=193651")</f>
        <v>http://bbs.12365auto.com/postcontent.aspx?tId=193651</v>
      </c>
      <c r="G9989" s="2"/>
      <c r="H9989" s="2" t="s">
        <v>13405</v>
      </c>
      <c r="I9989" s="2" t="s">
        <v>15</v>
      </c>
      <c r="J9989" s="2" t="s">
        <v>2459</v>
      </c>
      <c r="K9989" s="2" t="s">
        <v>13406</v>
      </c>
      <c r="L9989" s="2">
        <f t="shared" si="156"/>
        <v>150</v>
      </c>
    </row>
    <row r="9990" spans="1:12" ht="25" customHeight="1">
      <c r="A9990" s="2" t="s">
        <v>12</v>
      </c>
      <c r="B9990" s="2" t="str">
        <f>HYPERLINK("http://bbs.12365auto.com/postcontent.aspx?tId=193650","用车的这几个大误区 一定要注意")</f>
        <v>用车的这几个大误区 一定要注意</v>
      </c>
      <c r="C9990" s="2" t="s">
        <v>13</v>
      </c>
      <c r="D9990" s="2" t="s">
        <v>12</v>
      </c>
      <c r="E9990" s="2" t="s">
        <v>27</v>
      </c>
      <c r="F9990" s="2" t="str">
        <f>HYPERLINK("http://bbs.12365auto.com/postcontent.aspx?tId=193650","http://bbs.12365auto.com/postcontent.aspx?tId=193650")</f>
        <v>http://bbs.12365auto.com/postcontent.aspx?tId=193650</v>
      </c>
      <c r="G9990" s="2"/>
      <c r="H9990" s="2" t="s">
        <v>13407</v>
      </c>
      <c r="I9990" s="2" t="s">
        <v>15</v>
      </c>
      <c r="J9990" s="2" t="s">
        <v>2459</v>
      </c>
      <c r="K9990" s="2" t="s">
        <v>13406</v>
      </c>
      <c r="L9990" s="2">
        <f t="shared" si="156"/>
        <v>150</v>
      </c>
    </row>
    <row r="9991" spans="1:12" ht="25" customHeight="1">
      <c r="A9991" s="2" t="s">
        <v>12</v>
      </c>
      <c r="B9991" s="2" t="str">
        <f>HYPERLINK("http://m.12365auto.com/bbs/postcontent.aspx?tID=193650","用车的这几个大误区 一定要注意")</f>
        <v>用车的这几个大误区 一定要注意</v>
      </c>
      <c r="C9991" s="2" t="s">
        <v>13</v>
      </c>
      <c r="D9991" s="2" t="s">
        <v>23</v>
      </c>
      <c r="E9991" s="2"/>
      <c r="F9991" s="2" t="str">
        <f>HYPERLINK("http://m.12365auto.com/bbs/postcontent.aspx?tID=193650","http://m.12365auto.com/bbs/postcontent.aspx?tID=193650")</f>
        <v>http://m.12365auto.com/bbs/postcontent.aspx?tID=193650</v>
      </c>
      <c r="G9991" s="2"/>
      <c r="H9991" s="2" t="s">
        <v>13407</v>
      </c>
      <c r="I9991" s="2" t="s">
        <v>15</v>
      </c>
      <c r="J9991" s="2" t="s">
        <v>2459</v>
      </c>
      <c r="K9991" s="2" t="s">
        <v>13406</v>
      </c>
      <c r="L9991" s="2">
        <f t="shared" si="156"/>
        <v>150</v>
      </c>
    </row>
    <row r="9992" spans="1:12" ht="25" customHeight="1">
      <c r="A9992" s="2" t="s">
        <v>12</v>
      </c>
      <c r="B9992" s="2" t="str">
        <f>HYPERLINK("http://m.12365auto.com/bbs/postcontent.aspx?tID=193651","9种最伤车的习惯 你占了几样？")</f>
        <v>9种最伤车的习惯 你占了几样？</v>
      </c>
      <c r="C9992" s="2" t="s">
        <v>13</v>
      </c>
      <c r="D9992" s="2" t="s">
        <v>23</v>
      </c>
      <c r="E9992" s="2"/>
      <c r="F9992" s="2" t="str">
        <f>HYPERLINK("http://m.12365auto.com/bbs/postcontent.aspx?tID=193651","http://m.12365auto.com/bbs/postcontent.aspx?tID=193651")</f>
        <v>http://m.12365auto.com/bbs/postcontent.aspx?tID=193651</v>
      </c>
      <c r="G9992" s="2"/>
      <c r="H9992" s="2" t="s">
        <v>13405</v>
      </c>
      <c r="I9992" s="2" t="s">
        <v>15</v>
      </c>
      <c r="J9992" s="2" t="s">
        <v>2459</v>
      </c>
      <c r="K9992" s="2" t="s">
        <v>13406</v>
      </c>
      <c r="L9992" s="2">
        <f t="shared" si="156"/>
        <v>150</v>
      </c>
    </row>
    <row r="9993" spans="1:12" ht="25" customHeight="1">
      <c r="A9993" s="2" t="s">
        <v>12</v>
      </c>
      <c r="B9993" s="2" t="str">
        <f>HYPERLINK("http://bbs.12365auto.com/postcontent.aspx?tID=193650","用车的这几个大误区 一定要注意")</f>
        <v>用车的这几个大误区 一定要注意</v>
      </c>
      <c r="C9993" s="2" t="s">
        <v>13</v>
      </c>
      <c r="D9993" s="2" t="s">
        <v>12</v>
      </c>
      <c r="E9993" s="2" t="s">
        <v>28</v>
      </c>
      <c r="F9993" s="2" t="str">
        <f>HYPERLINK("http://bbs.12365auto.com/postcontent.aspx?tID=193650","http://bbs.12365auto.com/postcontent.aspx?tID=193650")</f>
        <v>http://bbs.12365auto.com/postcontent.aspx?tID=193650</v>
      </c>
      <c r="G9993" s="2"/>
      <c r="H9993" s="2" t="s">
        <v>13408</v>
      </c>
      <c r="I9993" s="2" t="s">
        <v>15</v>
      </c>
      <c r="J9993" s="2" t="s">
        <v>2459</v>
      </c>
      <c r="K9993" s="2" t="s">
        <v>13406</v>
      </c>
      <c r="L9993" s="2">
        <f t="shared" si="156"/>
        <v>150</v>
      </c>
    </row>
    <row r="9994" spans="1:12" ht="25" customHeight="1">
      <c r="A9994" s="2" t="s">
        <v>12</v>
      </c>
      <c r="B9994" s="2" t="str">
        <f>HYPERLINK("http://bbs.12365auto.com/postcontent.aspx?tID=193651","9种最伤车的习惯 你占了几样？")</f>
        <v>9种最伤车的习惯 你占了几样？</v>
      </c>
      <c r="C9994" s="2" t="s">
        <v>13</v>
      </c>
      <c r="D9994" s="2" t="s">
        <v>12</v>
      </c>
      <c r="E9994" s="2" t="s">
        <v>28</v>
      </c>
      <c r="F9994" s="2" t="str">
        <f>HYPERLINK("http://bbs.12365auto.com/postcontent.aspx?tID=193651","http://bbs.12365auto.com/postcontent.aspx?tID=193651")</f>
        <v>http://bbs.12365auto.com/postcontent.aspx?tID=193651</v>
      </c>
      <c r="G9994" s="2"/>
      <c r="H9994" s="2" t="s">
        <v>13409</v>
      </c>
      <c r="I9994" s="2" t="s">
        <v>15</v>
      </c>
      <c r="J9994" s="2" t="s">
        <v>2459</v>
      </c>
      <c r="K9994" s="2" t="s">
        <v>13406</v>
      </c>
      <c r="L9994" s="2">
        <f t="shared" si="156"/>
        <v>150</v>
      </c>
    </row>
    <row r="9995" spans="1:12" ht="25" customHeight="1">
      <c r="A9995" s="2" t="s">
        <v>12</v>
      </c>
      <c r="B9995" s="2" t="str">
        <f>HYPERLINK("http://bbs.12365auto.com/postcontent.aspx?tId=193648","开车出门前 最好先检查这5个地方")</f>
        <v>开车出门前 最好先检查这5个地方</v>
      </c>
      <c r="C9995" s="2" t="s">
        <v>13</v>
      </c>
      <c r="D9995" s="2" t="s">
        <v>12</v>
      </c>
      <c r="E9995" s="2" t="s">
        <v>27</v>
      </c>
      <c r="F9995" s="2" t="str">
        <f>HYPERLINK("http://bbs.12365auto.com/postcontent.aspx?tId=193648","http://bbs.12365auto.com/postcontent.aspx?tId=193648")</f>
        <v>http://bbs.12365auto.com/postcontent.aspx?tId=193648</v>
      </c>
      <c r="G9995" s="2"/>
      <c r="H9995" s="2" t="s">
        <v>13410</v>
      </c>
      <c r="I9995" s="2" t="s">
        <v>15</v>
      </c>
      <c r="J9995" s="2" t="s">
        <v>2459</v>
      </c>
      <c r="K9995" s="2" t="s">
        <v>13411</v>
      </c>
      <c r="L9995" s="2">
        <f t="shared" si="156"/>
        <v>150</v>
      </c>
    </row>
    <row r="9996" spans="1:12" ht="25" customHeight="1">
      <c r="A9996" s="2" t="s">
        <v>12</v>
      </c>
      <c r="B9996" s="2" t="str">
        <f>HYPERLINK("http://bbs.12365auto.com/postcontent.aspx?tId=193649","这7种踩刹车的方式 开车的你在用吗？")</f>
        <v>这7种踩刹车的方式 开车的你在用吗？</v>
      </c>
      <c r="C9996" s="2" t="s">
        <v>13</v>
      </c>
      <c r="D9996" s="2" t="s">
        <v>12</v>
      </c>
      <c r="E9996" s="2" t="s">
        <v>27</v>
      </c>
      <c r="F9996" s="2" t="str">
        <f>HYPERLINK("http://bbs.12365auto.com/postcontent.aspx?tId=193649","http://bbs.12365auto.com/postcontent.aspx?tId=193649")</f>
        <v>http://bbs.12365auto.com/postcontent.aspx?tId=193649</v>
      </c>
      <c r="G9996" s="2"/>
      <c r="H9996" s="2" t="s">
        <v>13412</v>
      </c>
      <c r="I9996" s="2" t="s">
        <v>15</v>
      </c>
      <c r="J9996" s="2" t="s">
        <v>2459</v>
      </c>
      <c r="K9996" s="2" t="s">
        <v>13411</v>
      </c>
      <c r="L9996" s="2">
        <f t="shared" si="156"/>
        <v>150</v>
      </c>
    </row>
    <row r="9997" spans="1:12" ht="25" customHeight="1">
      <c r="A9997" s="2" t="s">
        <v>12</v>
      </c>
      <c r="B9997" s="2" t="str">
        <f>HYPERLINK("http://m.12365auto.com/bbs/postcontent.aspx?tID=193649","这7种踩刹车的方式 开车的你在用吗？")</f>
        <v>这7种踩刹车的方式 开车的你在用吗？</v>
      </c>
      <c r="C9997" s="2" t="s">
        <v>13</v>
      </c>
      <c r="D9997" s="2" t="s">
        <v>23</v>
      </c>
      <c r="E9997" s="2"/>
      <c r="F9997" s="2" t="str">
        <f>HYPERLINK("http://m.12365auto.com/bbs/postcontent.aspx?tID=193649","http://m.12365auto.com/bbs/postcontent.aspx?tID=193649")</f>
        <v>http://m.12365auto.com/bbs/postcontent.aspx?tID=193649</v>
      </c>
      <c r="G9997" s="2"/>
      <c r="H9997" s="2" t="s">
        <v>13412</v>
      </c>
      <c r="I9997" s="2" t="s">
        <v>15</v>
      </c>
      <c r="J9997" s="2" t="s">
        <v>2459</v>
      </c>
      <c r="K9997" s="2" t="s">
        <v>13411</v>
      </c>
      <c r="L9997" s="2">
        <f t="shared" si="156"/>
        <v>150</v>
      </c>
    </row>
    <row r="9998" spans="1:12" ht="25" customHeight="1">
      <c r="A9998" s="2" t="s">
        <v>12</v>
      </c>
      <c r="B9998" s="2" t="str">
        <f>HYPERLINK("http://m.12365auto.com/bbs/postcontent.aspx?tID=193648","开车出门前 最好先检查这5个地方")</f>
        <v>开车出门前 最好先检查这5个地方</v>
      </c>
      <c r="C9998" s="2" t="s">
        <v>13</v>
      </c>
      <c r="D9998" s="2" t="s">
        <v>23</v>
      </c>
      <c r="E9998" s="2"/>
      <c r="F9998" s="2" t="str">
        <f>HYPERLINK("http://m.12365auto.com/bbs/postcontent.aspx?tID=193648","http://m.12365auto.com/bbs/postcontent.aspx?tID=193648")</f>
        <v>http://m.12365auto.com/bbs/postcontent.aspx?tID=193648</v>
      </c>
      <c r="G9998" s="2"/>
      <c r="H9998" s="2" t="s">
        <v>13410</v>
      </c>
      <c r="I9998" s="2" t="s">
        <v>15</v>
      </c>
      <c r="J9998" s="2" t="s">
        <v>2459</v>
      </c>
      <c r="K9998" s="2" t="s">
        <v>13411</v>
      </c>
      <c r="L9998" s="2">
        <f t="shared" si="156"/>
        <v>150</v>
      </c>
    </row>
    <row r="9999" spans="1:12" ht="25" customHeight="1">
      <c r="A9999" s="2" t="s">
        <v>12</v>
      </c>
      <c r="B9999" s="2" t="str">
        <f>HYPERLINK("http://bbs.12365auto.com/postcontent.aspx?tID=193649","这7种踩刹车的方式 开车的你在用吗？")</f>
        <v>这7种踩刹车的方式 开车的你在用吗？</v>
      </c>
      <c r="C9999" s="2" t="s">
        <v>13</v>
      </c>
      <c r="D9999" s="2" t="s">
        <v>12</v>
      </c>
      <c r="E9999" s="2" t="s">
        <v>28</v>
      </c>
      <c r="F9999" s="2" t="str">
        <f>HYPERLINK("http://bbs.12365auto.com/postcontent.aspx?tID=193649","http://bbs.12365auto.com/postcontent.aspx?tID=193649")</f>
        <v>http://bbs.12365auto.com/postcontent.aspx?tID=193649</v>
      </c>
      <c r="G9999" s="2"/>
      <c r="H9999" s="2" t="s">
        <v>13413</v>
      </c>
      <c r="I9999" s="2" t="s">
        <v>15</v>
      </c>
      <c r="J9999" s="2" t="s">
        <v>2459</v>
      </c>
      <c r="K9999" s="2" t="s">
        <v>13411</v>
      </c>
      <c r="L9999" s="2">
        <f t="shared" si="156"/>
        <v>150</v>
      </c>
    </row>
    <row r="10000" spans="1:12" ht="25" customHeight="1">
      <c r="A10000" s="2" t="s">
        <v>12</v>
      </c>
      <c r="B10000" s="2" t="str">
        <f>HYPERLINK("http://bbs.12365auto.com/postcontent.aspx?tID=193648","开车出门前 最好先检查这5个地方")</f>
        <v>开车出门前 最好先检查这5个地方</v>
      </c>
      <c r="C10000" s="2" t="s">
        <v>13</v>
      </c>
      <c r="D10000" s="2" t="s">
        <v>12</v>
      </c>
      <c r="E10000" s="2" t="s">
        <v>28</v>
      </c>
      <c r="F10000" s="2" t="str">
        <f>HYPERLINK("http://bbs.12365auto.com/postcontent.aspx?tID=193648","http://bbs.12365auto.com/postcontent.aspx?tID=193648")</f>
        <v>http://bbs.12365auto.com/postcontent.aspx?tID=193648</v>
      </c>
      <c r="G10000" s="2"/>
      <c r="H10000" s="2" t="s">
        <v>13414</v>
      </c>
      <c r="I10000" s="2" t="s">
        <v>15</v>
      </c>
      <c r="J10000" s="2" t="s">
        <v>2459</v>
      </c>
      <c r="K10000" s="2" t="s">
        <v>13411</v>
      </c>
      <c r="L10000" s="2">
        <f t="shared" si="156"/>
        <v>150</v>
      </c>
    </row>
    <row r="10001" spans="1:12" ht="25" customHeight="1">
      <c r="A10001" s="2" t="s">
        <v>12</v>
      </c>
      <c r="B10001" s="2" t="str">
        <f>HYPERLINK("http://bbs.12365auto.com/postcontent.aspx?tId=193647","开车时注意纠正不良习惯 规避危险")</f>
        <v>开车时注意纠正不良习惯 规避危险</v>
      </c>
      <c r="C10001" s="2" t="s">
        <v>13</v>
      </c>
      <c r="D10001" s="2" t="s">
        <v>12</v>
      </c>
      <c r="E10001" s="2" t="s">
        <v>27</v>
      </c>
      <c r="F10001" s="2" t="str">
        <f>HYPERLINK("http://bbs.12365auto.com/postcontent.aspx?tId=193647","http://bbs.12365auto.com/postcontent.aspx?tId=193647")</f>
        <v>http://bbs.12365auto.com/postcontent.aspx?tId=193647</v>
      </c>
      <c r="G10001" s="2"/>
      <c r="H10001" s="2" t="s">
        <v>13415</v>
      </c>
      <c r="I10001" s="2" t="s">
        <v>15</v>
      </c>
      <c r="J10001" s="2" t="s">
        <v>2459</v>
      </c>
      <c r="K10001" s="2" t="s">
        <v>13416</v>
      </c>
      <c r="L10001" s="2">
        <f t="shared" si="156"/>
        <v>150</v>
      </c>
    </row>
    <row r="10002" spans="1:12" ht="25" customHeight="1">
      <c r="A10002" s="2" t="s">
        <v>12</v>
      </c>
      <c r="B10002" s="2" t="str">
        <f>HYPERLINK("http://m.12365auto.com/bbs/postcontent.aspx?tID=193647","开车时注意纠正不良习惯 规避危险")</f>
        <v>开车时注意纠正不良习惯 规避危险</v>
      </c>
      <c r="C10002" s="2" t="s">
        <v>13</v>
      </c>
      <c r="D10002" s="2" t="s">
        <v>23</v>
      </c>
      <c r="E10002" s="2"/>
      <c r="F10002" s="2" t="str">
        <f>HYPERLINK("http://m.12365auto.com/bbs/postcontent.aspx?tID=193647","http://m.12365auto.com/bbs/postcontent.aspx?tID=193647")</f>
        <v>http://m.12365auto.com/bbs/postcontent.aspx?tID=193647</v>
      </c>
      <c r="G10002" s="2"/>
      <c r="H10002" s="2" t="s">
        <v>13415</v>
      </c>
      <c r="I10002" s="2" t="s">
        <v>15</v>
      </c>
      <c r="J10002" s="2" t="s">
        <v>2459</v>
      </c>
      <c r="K10002" s="2" t="s">
        <v>13416</v>
      </c>
      <c r="L10002" s="2">
        <f t="shared" si="156"/>
        <v>150</v>
      </c>
    </row>
    <row r="10003" spans="1:12" ht="25" customHeight="1">
      <c r="A10003" s="2" t="s">
        <v>12</v>
      </c>
      <c r="B10003" s="2" t="str">
        <f>HYPERLINK("http://bbs.12365auto.com/postcontent.aspx?tID=193647","开车时注意纠正不良习惯 规避危险")</f>
        <v>开车时注意纠正不良习惯 规避危险</v>
      </c>
      <c r="C10003" s="2" t="s">
        <v>13</v>
      </c>
      <c r="D10003" s="2" t="s">
        <v>12</v>
      </c>
      <c r="E10003" s="2" t="s">
        <v>28</v>
      </c>
      <c r="F10003" s="2" t="str">
        <f>HYPERLINK("http://bbs.12365auto.com/postcontent.aspx?tID=193647","http://bbs.12365auto.com/postcontent.aspx?tID=193647")</f>
        <v>http://bbs.12365auto.com/postcontent.aspx?tID=193647</v>
      </c>
      <c r="G10003" s="2"/>
      <c r="H10003" s="2" t="s">
        <v>13417</v>
      </c>
      <c r="I10003" s="2" t="s">
        <v>15</v>
      </c>
      <c r="J10003" s="2" t="s">
        <v>2459</v>
      </c>
      <c r="K10003" s="2" t="s">
        <v>13416</v>
      </c>
      <c r="L10003" s="2">
        <f t="shared" si="156"/>
        <v>150</v>
      </c>
    </row>
    <row r="10004" spans="1:12" ht="25" customHeight="1">
      <c r="A10004" s="2" t="s">
        <v>12</v>
      </c>
      <c r="B10004" s="2" t="str">
        <f>HYPERLINK("http://bbs.12365auto.com/postcontent.aspx?tId=193646","这10大用车陋习 看看你中了几枪")</f>
        <v>这10大用车陋习 看看你中了几枪</v>
      </c>
      <c r="C10004" s="2" t="s">
        <v>13</v>
      </c>
      <c r="D10004" s="2" t="s">
        <v>12</v>
      </c>
      <c r="E10004" s="2" t="s">
        <v>27</v>
      </c>
      <c r="F10004" s="2" t="str">
        <f>HYPERLINK("http://bbs.12365auto.com/postcontent.aspx?tId=193646","http://bbs.12365auto.com/postcontent.aspx?tId=193646")</f>
        <v>http://bbs.12365auto.com/postcontent.aspx?tId=193646</v>
      </c>
      <c r="G10004" s="2"/>
      <c r="H10004" s="2" t="s">
        <v>13418</v>
      </c>
      <c r="I10004" s="2" t="s">
        <v>15</v>
      </c>
      <c r="J10004" s="2" t="s">
        <v>2459</v>
      </c>
      <c r="K10004" s="2" t="s">
        <v>13419</v>
      </c>
      <c r="L10004" s="2">
        <f t="shared" si="156"/>
        <v>150</v>
      </c>
    </row>
    <row r="10005" spans="1:12" ht="25" customHeight="1">
      <c r="A10005" s="2" t="s">
        <v>12</v>
      </c>
      <c r="B10005" s="2" t="str">
        <f>HYPERLINK("http://m.12365auto.com/bbs/postcontent.aspx?tID=193646","这10大用车陋习 看看你中了几枪")</f>
        <v>这10大用车陋习 看看你中了几枪</v>
      </c>
      <c r="C10005" s="2" t="s">
        <v>13</v>
      </c>
      <c r="D10005" s="2" t="s">
        <v>23</v>
      </c>
      <c r="E10005" s="2"/>
      <c r="F10005" s="2" t="str">
        <f>HYPERLINK("http://m.12365auto.com/bbs/postcontent.aspx?tID=193646","http://m.12365auto.com/bbs/postcontent.aspx?tID=193646")</f>
        <v>http://m.12365auto.com/bbs/postcontent.aspx?tID=193646</v>
      </c>
      <c r="G10005" s="2"/>
      <c r="H10005" s="2" t="s">
        <v>13418</v>
      </c>
      <c r="I10005" s="2" t="s">
        <v>15</v>
      </c>
      <c r="J10005" s="2" t="s">
        <v>2459</v>
      </c>
      <c r="K10005" s="2" t="s">
        <v>13419</v>
      </c>
      <c r="L10005" s="2">
        <f t="shared" si="156"/>
        <v>150</v>
      </c>
    </row>
    <row r="10006" spans="1:12" ht="25" customHeight="1">
      <c r="A10006" s="2" t="s">
        <v>12</v>
      </c>
      <c r="B10006" s="2" t="str">
        <f>HYPERLINK("http://bbs.12365auto.com/postcontent.aspx?tID=193646","这10大用车陋习 看看你中了几枪")</f>
        <v>这10大用车陋习 看看你中了几枪</v>
      </c>
      <c r="C10006" s="2" t="s">
        <v>13</v>
      </c>
      <c r="D10006" s="2" t="s">
        <v>12</v>
      </c>
      <c r="E10006" s="2" t="s">
        <v>28</v>
      </c>
      <c r="F10006" s="2" t="str">
        <f>HYPERLINK("http://bbs.12365auto.com/postcontent.aspx?tID=193646","http://bbs.12365auto.com/postcontent.aspx?tID=193646")</f>
        <v>http://bbs.12365auto.com/postcontent.aspx?tID=193646</v>
      </c>
      <c r="G10006" s="2"/>
      <c r="H10006" s="2" t="s">
        <v>13420</v>
      </c>
      <c r="I10006" s="2" t="s">
        <v>15</v>
      </c>
      <c r="J10006" s="2" t="s">
        <v>2459</v>
      </c>
      <c r="K10006" s="2" t="s">
        <v>13419</v>
      </c>
      <c r="L10006" s="2">
        <f t="shared" si="156"/>
        <v>150</v>
      </c>
    </row>
    <row r="10007" spans="1:12" ht="25" customHeight="1">
      <c r="A10007" s="2" t="s">
        <v>12</v>
      </c>
      <c r="B10007" s="2" t="str">
        <f>HYPERLINK("http://m.12365auto.com/xcdg/20200210/418155.shtml","年内推多款跑车 阿斯顿·马丁新车计划")</f>
        <v>年内推多款跑车 阿斯顿·马丁新车计划</v>
      </c>
      <c r="C10007" s="2" t="s">
        <v>13</v>
      </c>
      <c r="D10007" s="2" t="s">
        <v>12</v>
      </c>
      <c r="E10007" s="2"/>
      <c r="F10007" s="2" t="str">
        <f>HYPERLINK("http://m.12365auto.com/xcdg/20200210/418155.shtml","http://m.12365auto.com/xcdg/20200210/418155.shtml")</f>
        <v>http://m.12365auto.com/xcdg/20200210/418155.shtml</v>
      </c>
      <c r="G10007" s="2"/>
      <c r="H10007" s="2" t="s">
        <v>13421</v>
      </c>
      <c r="I10007" s="2" t="s">
        <v>19</v>
      </c>
      <c r="J10007" s="2" t="s">
        <v>13422</v>
      </c>
      <c r="K10007" s="2" t="s">
        <v>13423</v>
      </c>
      <c r="L10007" s="2">
        <f t="shared" si="156"/>
        <v>150</v>
      </c>
    </row>
    <row r="10008" spans="1:12" ht="25" customHeight="1">
      <c r="A10008" s="2" t="s">
        <v>12</v>
      </c>
      <c r="B10008" s="2" t="str">
        <f>HYPERLINK("http://www.12365auto.com/xcdg/20200210/418155.shtml","年内推多款跑车 阿斯顿·马丁新车计划")</f>
        <v>年内推多款跑车 阿斯顿·马丁新车计划</v>
      </c>
      <c r="C10008" s="2" t="s">
        <v>13</v>
      </c>
      <c r="D10008" s="2" t="s">
        <v>12</v>
      </c>
      <c r="E10008" s="2" t="s">
        <v>216</v>
      </c>
      <c r="F10008" s="2" t="str">
        <f>HYPERLINK("http://www.12365auto.com/xcdg/20200210/418155.shtml","http://www.12365auto.com/xcdg/20200210/418155.shtml")</f>
        <v>http://www.12365auto.com/xcdg/20200210/418155.shtml</v>
      </c>
      <c r="G10008" s="2"/>
      <c r="H10008" s="2" t="s">
        <v>13424</v>
      </c>
      <c r="I10008" s="2" t="s">
        <v>15</v>
      </c>
      <c r="J10008" s="2" t="s">
        <v>12</v>
      </c>
      <c r="K10008" s="2" t="s">
        <v>13423</v>
      </c>
      <c r="L10008" s="2">
        <f t="shared" si="156"/>
        <v>150</v>
      </c>
    </row>
    <row r="10009" spans="1:12" ht="25" customHeight="1">
      <c r="A10009" s="2" t="s">
        <v>12</v>
      </c>
      <c r="B10009" s="2" t="str">
        <f>HYPERLINK("http://bbs.12365auto.com/postcontent.aspx?tID=193645","戴姆勒传扩削支力度裁减1.5万雇员")</f>
        <v>戴姆勒传扩削支力度裁减1.5万雇员</v>
      </c>
      <c r="C10009" s="2" t="s">
        <v>13</v>
      </c>
      <c r="D10009" s="2" t="s">
        <v>12</v>
      </c>
      <c r="E10009" s="2" t="s">
        <v>28</v>
      </c>
      <c r="F10009" s="2" t="str">
        <f>HYPERLINK("http://bbs.12365auto.com/postcontent.aspx?tID=193645","http://bbs.12365auto.com/postcontent.aspx?tID=193645")</f>
        <v>http://bbs.12365auto.com/postcontent.aspx?tID=193645</v>
      </c>
      <c r="G10009" s="2"/>
      <c r="H10009" s="2" t="s">
        <v>13425</v>
      </c>
      <c r="I10009" s="2" t="s">
        <v>15</v>
      </c>
      <c r="J10009" s="2" t="s">
        <v>5704</v>
      </c>
      <c r="K10009" s="2" t="s">
        <v>13426</v>
      </c>
      <c r="L10009" s="2">
        <f t="shared" si="156"/>
        <v>150</v>
      </c>
    </row>
    <row r="10010" spans="1:12" ht="25" customHeight="1">
      <c r="A10010" s="2" t="s">
        <v>12</v>
      </c>
      <c r="B10010" s="2" t="str">
        <f>HYPERLINK("http://bbs.12365auto.com/postcontent.aspx?tId=193645","戴姆勒传扩削支力度裁减1.5万雇员")</f>
        <v>戴姆勒传扩削支力度裁减1.5万雇员</v>
      </c>
      <c r="C10010" s="2" t="s">
        <v>13</v>
      </c>
      <c r="D10010" s="2" t="s">
        <v>12</v>
      </c>
      <c r="E10010" s="2" t="s">
        <v>27</v>
      </c>
      <c r="F10010" s="2" t="str">
        <f>HYPERLINK("http://bbs.12365auto.com/postcontent.aspx?tId=193645","http://bbs.12365auto.com/postcontent.aspx?tId=193645")</f>
        <v>http://bbs.12365auto.com/postcontent.aspx?tId=193645</v>
      </c>
      <c r="G10010" s="2"/>
      <c r="H10010" s="2" t="s">
        <v>13427</v>
      </c>
      <c r="I10010" s="2" t="s">
        <v>15</v>
      </c>
      <c r="J10010" s="2" t="s">
        <v>5704</v>
      </c>
      <c r="K10010" s="2" t="s">
        <v>13426</v>
      </c>
      <c r="L10010" s="2">
        <f t="shared" si="156"/>
        <v>150</v>
      </c>
    </row>
    <row r="10011" spans="1:12" ht="25" customHeight="1">
      <c r="A10011" s="2" t="s">
        <v>12</v>
      </c>
      <c r="B10011" s="2" t="str">
        <f>HYPERLINK("http://m.12365auto.com/bbs/postcontent.aspx?tID=193645","戴姆勒传扩削支力度裁减1.5万雇员")</f>
        <v>戴姆勒传扩削支力度裁减1.5万雇员</v>
      </c>
      <c r="C10011" s="2" t="s">
        <v>13</v>
      </c>
      <c r="D10011" s="2" t="s">
        <v>23</v>
      </c>
      <c r="E10011" s="2"/>
      <c r="F10011" s="2" t="str">
        <f>HYPERLINK("http://m.12365auto.com/bbs/postcontent.aspx?tID=193645","http://m.12365auto.com/bbs/postcontent.aspx?tID=193645")</f>
        <v>http://m.12365auto.com/bbs/postcontent.aspx?tID=193645</v>
      </c>
      <c r="G10011" s="2"/>
      <c r="H10011" s="2" t="s">
        <v>13427</v>
      </c>
      <c r="I10011" s="2" t="s">
        <v>15</v>
      </c>
      <c r="J10011" s="2" t="s">
        <v>5704</v>
      </c>
      <c r="K10011" s="2" t="s">
        <v>13426</v>
      </c>
      <c r="L10011" s="2">
        <f t="shared" si="156"/>
        <v>150</v>
      </c>
    </row>
    <row r="10012" spans="1:12" ht="25" customHeight="1">
      <c r="A10012" s="2" t="s">
        <v>12</v>
      </c>
      <c r="B10012" s="2" t="str">
        <f>HYPERLINK("http://bbs.12365auto.com/postcontent.aspx?tID=193644","降价是不可能的 饿死也不会降价")</f>
        <v>降价是不可能的 饿死也不会降价</v>
      </c>
      <c r="C10012" s="2" t="s">
        <v>13</v>
      </c>
      <c r="D10012" s="2" t="s">
        <v>12</v>
      </c>
      <c r="E10012" s="2" t="s">
        <v>28</v>
      </c>
      <c r="F10012" s="2" t="str">
        <f>HYPERLINK("http://bbs.12365auto.com/postcontent.aspx?tID=193644","http://bbs.12365auto.com/postcontent.aspx?tID=193644")</f>
        <v>http://bbs.12365auto.com/postcontent.aspx?tID=193644</v>
      </c>
      <c r="G10012" s="2"/>
      <c r="H10012" s="2" t="s">
        <v>13428</v>
      </c>
      <c r="I10012" s="2" t="s">
        <v>15</v>
      </c>
      <c r="J10012" s="2" t="s">
        <v>5704</v>
      </c>
      <c r="K10012" s="2" t="s">
        <v>13429</v>
      </c>
      <c r="L10012" s="2">
        <f t="shared" si="156"/>
        <v>150</v>
      </c>
    </row>
    <row r="10013" spans="1:12" ht="25" customHeight="1">
      <c r="A10013" s="2" t="s">
        <v>12</v>
      </c>
      <c r="B10013" s="2" t="str">
        <f>HYPERLINK("http://bbs.12365auto.com/postcontent.aspx?tId=193644","降价是不可能的 饿死也不会降价")</f>
        <v>降价是不可能的 饿死也不会降价</v>
      </c>
      <c r="C10013" s="2" t="s">
        <v>13</v>
      </c>
      <c r="D10013" s="2" t="s">
        <v>12</v>
      </c>
      <c r="E10013" s="2" t="s">
        <v>27</v>
      </c>
      <c r="F10013" s="2" t="str">
        <f>HYPERLINK("http://bbs.12365auto.com/postcontent.aspx?tId=193644","http://bbs.12365auto.com/postcontent.aspx?tId=193644")</f>
        <v>http://bbs.12365auto.com/postcontent.aspx?tId=193644</v>
      </c>
      <c r="G10013" s="2"/>
      <c r="H10013" s="2" t="s">
        <v>1927</v>
      </c>
      <c r="I10013" s="2" t="s">
        <v>15</v>
      </c>
      <c r="J10013" s="2" t="s">
        <v>5704</v>
      </c>
      <c r="K10013" s="2" t="s">
        <v>13429</v>
      </c>
      <c r="L10013" s="2">
        <f t="shared" si="156"/>
        <v>150</v>
      </c>
    </row>
    <row r="10014" spans="1:12" ht="25" customHeight="1">
      <c r="A10014" s="2" t="s">
        <v>12</v>
      </c>
      <c r="B10014" s="2" t="str">
        <f>HYPERLINK("http://m.12365auto.com/bbs/postcontent.aspx?tID=193644","降价是不可能的 饿死也不会降价")</f>
        <v>降价是不可能的 饿死也不会降价</v>
      </c>
      <c r="C10014" s="2" t="s">
        <v>13</v>
      </c>
      <c r="D10014" s="2" t="s">
        <v>23</v>
      </c>
      <c r="E10014" s="2"/>
      <c r="F10014" s="2" t="str">
        <f>HYPERLINK("http://m.12365auto.com/bbs/postcontent.aspx?tID=193644","http://m.12365auto.com/bbs/postcontent.aspx?tID=193644")</f>
        <v>http://m.12365auto.com/bbs/postcontent.aspx?tID=193644</v>
      </c>
      <c r="G10014" s="2"/>
      <c r="H10014" s="2" t="s">
        <v>1927</v>
      </c>
      <c r="I10014" s="2" t="s">
        <v>15</v>
      </c>
      <c r="J10014" s="2" t="s">
        <v>5704</v>
      </c>
      <c r="K10014" s="2" t="s">
        <v>13429</v>
      </c>
      <c r="L10014" s="2">
        <f t="shared" si="156"/>
        <v>150</v>
      </c>
    </row>
    <row r="10015" spans="1:12" ht="25" customHeight="1">
      <c r="A10015" s="2" t="s">
        <v>12</v>
      </c>
      <c r="B10015" s="2" t="str">
        <f>HYPERLINK("http://m.12365auto.com/xcdg/20200210/418154.shtml","剑指宝马3系 凯迪拉克CT4一季度将上市")</f>
        <v>剑指宝马3系 凯迪拉克CT4一季度将上市</v>
      </c>
      <c r="C10015" s="2" t="s">
        <v>13</v>
      </c>
      <c r="D10015" s="2" t="s">
        <v>12</v>
      </c>
      <c r="E10015" s="2"/>
      <c r="F10015" s="2" t="str">
        <f>HYPERLINK("http://m.12365auto.com/xcdg/20200210/418154.shtml","http://m.12365auto.com/xcdg/20200210/418154.shtml")</f>
        <v>http://m.12365auto.com/xcdg/20200210/418154.shtml</v>
      </c>
      <c r="G10015" s="2"/>
      <c r="H10015" s="2" t="s">
        <v>13430</v>
      </c>
      <c r="I10015" s="2" t="s">
        <v>19</v>
      </c>
      <c r="J10015" s="2" t="s">
        <v>13422</v>
      </c>
      <c r="K10015" s="2" t="s">
        <v>13429</v>
      </c>
      <c r="L10015" s="2">
        <f t="shared" si="156"/>
        <v>150</v>
      </c>
    </row>
    <row r="10016" spans="1:12" ht="25" customHeight="1">
      <c r="A10016" s="2" t="s">
        <v>12</v>
      </c>
      <c r="B10016" s="2" t="str">
        <f>HYPERLINK("http://www.12365auto.com/xcdg/20200210/418154.shtml","剑指宝马3系 凯迪拉克CT4一季度将上市")</f>
        <v>剑指宝马3系 凯迪拉克CT4一季度将上市</v>
      </c>
      <c r="C10016" s="2" t="s">
        <v>13</v>
      </c>
      <c r="D10016" s="2" t="s">
        <v>12</v>
      </c>
      <c r="E10016" s="2" t="s">
        <v>216</v>
      </c>
      <c r="F10016" s="2" t="str">
        <f>HYPERLINK("http://www.12365auto.com/xcdg/20200210/418154.shtml","http://www.12365auto.com/xcdg/20200210/418154.shtml")</f>
        <v>http://www.12365auto.com/xcdg/20200210/418154.shtml</v>
      </c>
      <c r="G10016" s="2"/>
      <c r="H10016" s="2" t="s">
        <v>13431</v>
      </c>
      <c r="I10016" s="2" t="s">
        <v>15</v>
      </c>
      <c r="J10016" s="2" t="s">
        <v>12</v>
      </c>
      <c r="K10016" s="2" t="s">
        <v>13429</v>
      </c>
      <c r="L10016" s="2">
        <f t="shared" si="156"/>
        <v>150</v>
      </c>
    </row>
    <row r="10017" spans="1:12" ht="25" customHeight="1">
      <c r="A10017" s="2" t="s">
        <v>12</v>
      </c>
      <c r="B10017" s="2" t="str">
        <f>HYPERLINK("http://bbs.12365auto.com/postcontent.aspx?tID=193643","马自达第三财季利润暴跌76%")</f>
        <v>马自达第三财季利润暴跌76%</v>
      </c>
      <c r="C10017" s="2" t="s">
        <v>13</v>
      </c>
      <c r="D10017" s="2" t="s">
        <v>12</v>
      </c>
      <c r="E10017" s="2" t="s">
        <v>28</v>
      </c>
      <c r="F10017" s="2" t="str">
        <f>HYPERLINK("http://bbs.12365auto.com/postcontent.aspx?tID=193643","http://bbs.12365auto.com/postcontent.aspx?tID=193643")</f>
        <v>http://bbs.12365auto.com/postcontent.aspx?tID=193643</v>
      </c>
      <c r="G10017" s="2"/>
      <c r="H10017" s="2" t="s">
        <v>13432</v>
      </c>
      <c r="I10017" s="2" t="s">
        <v>15</v>
      </c>
      <c r="J10017" s="2" t="s">
        <v>5704</v>
      </c>
      <c r="K10017" s="2" t="s">
        <v>13433</v>
      </c>
      <c r="L10017" s="2">
        <f t="shared" si="156"/>
        <v>150</v>
      </c>
    </row>
    <row r="10018" spans="1:12" ht="25" customHeight="1">
      <c r="A10018" s="2" t="s">
        <v>12</v>
      </c>
      <c r="B10018" s="2" t="str">
        <f>HYPERLINK("http://bbs.12365auto.com/postcontent.aspx?tId=193642","巴博斯版本的奔驰GT四门轿跑")</f>
        <v>巴博斯版本的奔驰GT四门轿跑</v>
      </c>
      <c r="C10018" s="2" t="s">
        <v>13</v>
      </c>
      <c r="D10018" s="2" t="s">
        <v>12</v>
      </c>
      <c r="E10018" s="2" t="s">
        <v>27</v>
      </c>
      <c r="F10018" s="2" t="str">
        <f>HYPERLINK("http://bbs.12365auto.com/postcontent.aspx?tId=193642","http://bbs.12365auto.com/postcontent.aspx?tId=193642")</f>
        <v>http://bbs.12365auto.com/postcontent.aspx?tId=193642</v>
      </c>
      <c r="G10018" s="2"/>
      <c r="H10018" s="2" t="s">
        <v>13434</v>
      </c>
      <c r="I10018" s="2" t="s">
        <v>15</v>
      </c>
      <c r="J10018" s="2" t="s">
        <v>5704</v>
      </c>
      <c r="K10018" s="2" t="s">
        <v>13433</v>
      </c>
      <c r="L10018" s="2">
        <f t="shared" si="156"/>
        <v>150</v>
      </c>
    </row>
    <row r="10019" spans="1:12" ht="25" customHeight="1">
      <c r="A10019" s="2" t="s">
        <v>12</v>
      </c>
      <c r="B10019" s="2" t="str">
        <f>HYPERLINK("http://bbs.12365auto.com/postcontent.aspx?tId=193643","马自达第三财季利润暴跌76%")</f>
        <v>马自达第三财季利润暴跌76%</v>
      </c>
      <c r="C10019" s="2" t="s">
        <v>13</v>
      </c>
      <c r="D10019" s="2" t="s">
        <v>12</v>
      </c>
      <c r="E10019" s="2" t="s">
        <v>27</v>
      </c>
      <c r="F10019" s="2" t="str">
        <f>HYPERLINK("http://bbs.12365auto.com/postcontent.aspx?tId=193643","http://bbs.12365auto.com/postcontent.aspx?tId=193643")</f>
        <v>http://bbs.12365auto.com/postcontent.aspx?tId=193643</v>
      </c>
      <c r="G10019" s="2"/>
      <c r="H10019" s="2" t="s">
        <v>13435</v>
      </c>
      <c r="I10019" s="2" t="s">
        <v>15</v>
      </c>
      <c r="J10019" s="2" t="s">
        <v>5704</v>
      </c>
      <c r="K10019" s="2" t="s">
        <v>13433</v>
      </c>
      <c r="L10019" s="2">
        <f t="shared" si="156"/>
        <v>150</v>
      </c>
    </row>
    <row r="10020" spans="1:12" ht="25" customHeight="1">
      <c r="A10020" s="2" t="s">
        <v>12</v>
      </c>
      <c r="B10020" s="2" t="str">
        <f>HYPERLINK("http://m.12365auto.com/bbs/postcontent.aspx?tID=193642","巴博斯版本的奔驰GT四门轿跑")</f>
        <v>巴博斯版本的奔驰GT四门轿跑</v>
      </c>
      <c r="C10020" s="2" t="s">
        <v>13</v>
      </c>
      <c r="D10020" s="2" t="s">
        <v>23</v>
      </c>
      <c r="E10020" s="2"/>
      <c r="F10020" s="2" t="str">
        <f>HYPERLINK("http://m.12365auto.com/bbs/postcontent.aspx?tID=193642","http://m.12365auto.com/bbs/postcontent.aspx?tID=193642")</f>
        <v>http://m.12365auto.com/bbs/postcontent.aspx?tID=193642</v>
      </c>
      <c r="G10020" s="2"/>
      <c r="H10020" s="2" t="s">
        <v>13434</v>
      </c>
      <c r="I10020" s="2" t="s">
        <v>15</v>
      </c>
      <c r="J10020" s="2" t="s">
        <v>5704</v>
      </c>
      <c r="K10020" s="2" t="s">
        <v>13433</v>
      </c>
      <c r="L10020" s="2">
        <f t="shared" si="156"/>
        <v>150</v>
      </c>
    </row>
    <row r="10021" spans="1:12" ht="25" customHeight="1">
      <c r="A10021" s="2" t="s">
        <v>12</v>
      </c>
      <c r="B10021" s="2" t="str">
        <f>HYPERLINK("http://m.12365auto.com/bbs/postcontent.aspx?tID=193643","马自达第三财季利润暴跌76%")</f>
        <v>马自达第三财季利润暴跌76%</v>
      </c>
      <c r="C10021" s="2" t="s">
        <v>13</v>
      </c>
      <c r="D10021" s="2" t="s">
        <v>23</v>
      </c>
      <c r="E10021" s="2"/>
      <c r="F10021" s="2" t="str">
        <f>HYPERLINK("http://m.12365auto.com/bbs/postcontent.aspx?tID=193643","http://m.12365auto.com/bbs/postcontent.aspx?tID=193643")</f>
        <v>http://m.12365auto.com/bbs/postcontent.aspx?tID=193643</v>
      </c>
      <c r="G10021" s="2"/>
      <c r="H10021" s="2" t="s">
        <v>13435</v>
      </c>
      <c r="I10021" s="2" t="s">
        <v>15</v>
      </c>
      <c r="J10021" s="2" t="s">
        <v>5704</v>
      </c>
      <c r="K10021" s="2" t="s">
        <v>13433</v>
      </c>
      <c r="L10021" s="2">
        <f t="shared" si="156"/>
        <v>150</v>
      </c>
    </row>
    <row r="10022" spans="1:12" ht="25" customHeight="1">
      <c r="A10022" s="2" t="s">
        <v>12</v>
      </c>
      <c r="B10022" s="2" t="str">
        <f>HYPERLINK("http://m.12365auto.com/xcdg/20200210/418153.shtml","配8寸中控 斯柯达新款昕锐/昕动配置公布")</f>
        <v>配8寸中控 斯柯达新款昕锐/昕动配置公布</v>
      </c>
      <c r="C10022" s="2" t="s">
        <v>13</v>
      </c>
      <c r="D10022" s="2" t="s">
        <v>12</v>
      </c>
      <c r="E10022" s="2"/>
      <c r="F10022" s="2" t="str">
        <f>HYPERLINK("http://m.12365auto.com/xcdg/20200210/418153.shtml","http://m.12365auto.com/xcdg/20200210/418153.shtml")</f>
        <v>http://m.12365auto.com/xcdg/20200210/418153.shtml</v>
      </c>
      <c r="G10022" s="2"/>
      <c r="H10022" s="2" t="s">
        <v>13436</v>
      </c>
      <c r="I10022" s="2" t="s">
        <v>19</v>
      </c>
      <c r="J10022" s="2" t="s">
        <v>7937</v>
      </c>
      <c r="K10022" s="2" t="s">
        <v>13433</v>
      </c>
      <c r="L10022" s="2">
        <f t="shared" si="156"/>
        <v>150</v>
      </c>
    </row>
    <row r="10023" spans="1:12" ht="25" customHeight="1">
      <c r="A10023" s="2" t="s">
        <v>12</v>
      </c>
      <c r="B10023" s="2" t="str">
        <f>HYPERLINK("http://www.12365auto.com/xcdg/20200210/418153.shtml","配8寸中控 斯柯达新款昕锐/昕动配置公布")</f>
        <v>配8寸中控 斯柯达新款昕锐/昕动配置公布</v>
      </c>
      <c r="C10023" s="2" t="s">
        <v>13</v>
      </c>
      <c r="D10023" s="2" t="s">
        <v>12</v>
      </c>
      <c r="E10023" s="2" t="s">
        <v>216</v>
      </c>
      <c r="F10023" s="2" t="str">
        <f>HYPERLINK("http://www.12365auto.com/xcdg/20200210/418153.shtml","http://www.12365auto.com/xcdg/20200210/418153.shtml")</f>
        <v>http://www.12365auto.com/xcdg/20200210/418153.shtml</v>
      </c>
      <c r="G10023" s="2"/>
      <c r="H10023" s="2" t="s">
        <v>13437</v>
      </c>
      <c r="I10023" s="2" t="s">
        <v>15</v>
      </c>
      <c r="J10023" s="2" t="s">
        <v>12</v>
      </c>
      <c r="K10023" s="2" t="s">
        <v>13433</v>
      </c>
      <c r="L10023" s="2">
        <f t="shared" si="156"/>
        <v>150</v>
      </c>
    </row>
    <row r="10024" spans="1:12" ht="25" customHeight="1">
      <c r="A10024" s="2" t="s">
        <v>12</v>
      </c>
      <c r="B10024" s="2" t="str">
        <f>HYPERLINK("http://bbs.12365auto.com/postcontent.aspx?tID=193642","巴博斯版本的奔驰GT四门轿跑")</f>
        <v>巴博斯版本的奔驰GT四门轿跑</v>
      </c>
      <c r="C10024" s="2" t="s">
        <v>13</v>
      </c>
      <c r="D10024" s="2" t="s">
        <v>12</v>
      </c>
      <c r="E10024" s="2" t="s">
        <v>28</v>
      </c>
      <c r="F10024" s="2" t="str">
        <f>HYPERLINK("http://bbs.12365auto.com/postcontent.aspx?tID=193642","http://bbs.12365auto.com/postcontent.aspx?tID=193642")</f>
        <v>http://bbs.12365auto.com/postcontent.aspx?tID=193642</v>
      </c>
      <c r="G10024" s="2"/>
      <c r="H10024" s="2" t="s">
        <v>13438</v>
      </c>
      <c r="I10024" s="2" t="s">
        <v>15</v>
      </c>
      <c r="J10024" s="2" t="s">
        <v>5704</v>
      </c>
      <c r="K10024" s="2" t="s">
        <v>13433</v>
      </c>
      <c r="L10024" s="2">
        <f t="shared" si="156"/>
        <v>150</v>
      </c>
    </row>
    <row r="10025" spans="1:12" ht="25" customHeight="1">
      <c r="A10025" s="2" t="s">
        <v>12</v>
      </c>
      <c r="B10025" s="2" t="str">
        <f>HYPERLINK("http://bbs.12365auto.com/postcontent.aspx?tId=193641","大黄蜂来袭 Keyvany改装兰博基尼Urus")</f>
        <v>大黄蜂来袭 Keyvany改装兰博基尼Urus</v>
      </c>
      <c r="C10025" s="2" t="s">
        <v>13</v>
      </c>
      <c r="D10025" s="2" t="s">
        <v>12</v>
      </c>
      <c r="E10025" s="2" t="s">
        <v>27</v>
      </c>
      <c r="F10025" s="2" t="str">
        <f>HYPERLINK("http://bbs.12365auto.com/postcontent.aspx?tId=193641","http://bbs.12365auto.com/postcontent.aspx?tId=193641")</f>
        <v>http://bbs.12365auto.com/postcontent.aspx?tId=193641</v>
      </c>
      <c r="G10025" s="2"/>
      <c r="H10025" s="2" t="s">
        <v>13439</v>
      </c>
      <c r="I10025" s="2" t="s">
        <v>15</v>
      </c>
      <c r="J10025" s="2" t="s">
        <v>5704</v>
      </c>
      <c r="K10025" s="2" t="s">
        <v>13440</v>
      </c>
      <c r="L10025" s="2">
        <f t="shared" si="156"/>
        <v>150</v>
      </c>
    </row>
    <row r="10026" spans="1:12" ht="25" customHeight="1">
      <c r="A10026" s="2" t="s">
        <v>12</v>
      </c>
      <c r="B10026" s="2" t="str">
        <f>HYPERLINK("http://bbs.12365auto.com/postcontent.aspx?tID=193641","大黄蜂来袭 Keyvany改装兰博基尼Urus")</f>
        <v>大黄蜂来袭 Keyvany改装兰博基尼Urus</v>
      </c>
      <c r="C10026" s="2" t="s">
        <v>13</v>
      </c>
      <c r="D10026" s="2" t="s">
        <v>12</v>
      </c>
      <c r="E10026" s="2" t="s">
        <v>28</v>
      </c>
      <c r="F10026" s="2" t="str">
        <f>HYPERLINK("http://bbs.12365auto.com/postcontent.aspx?tID=193641","http://bbs.12365auto.com/postcontent.aspx?tID=193641")</f>
        <v>http://bbs.12365auto.com/postcontent.aspx?tID=193641</v>
      </c>
      <c r="G10026" s="2"/>
      <c r="H10026" s="2" t="s">
        <v>13441</v>
      </c>
      <c r="I10026" s="2" t="s">
        <v>15</v>
      </c>
      <c r="J10026" s="2" t="s">
        <v>5704</v>
      </c>
      <c r="K10026" s="2" t="s">
        <v>13440</v>
      </c>
      <c r="L10026" s="2">
        <f t="shared" si="156"/>
        <v>150</v>
      </c>
    </row>
    <row r="10027" spans="1:12" ht="25" customHeight="1">
      <c r="A10027" s="2" t="s">
        <v>12</v>
      </c>
      <c r="B10027" s="2" t="str">
        <f>HYPERLINK("http://m.12365auto.com/bbs/postcontent.aspx?tID=193641","大黄蜂来袭 Keyvany改装兰博基尼Urus")</f>
        <v>大黄蜂来袭 Keyvany改装兰博基尼Urus</v>
      </c>
      <c r="C10027" s="2" t="s">
        <v>13</v>
      </c>
      <c r="D10027" s="2" t="s">
        <v>23</v>
      </c>
      <c r="E10027" s="2"/>
      <c r="F10027" s="2" t="str">
        <f>HYPERLINK("http://m.12365auto.com/bbs/postcontent.aspx?tID=193641","http://m.12365auto.com/bbs/postcontent.aspx?tID=193641")</f>
        <v>http://m.12365auto.com/bbs/postcontent.aspx?tID=193641</v>
      </c>
      <c r="G10027" s="2"/>
      <c r="H10027" s="2" t="s">
        <v>13439</v>
      </c>
      <c r="I10027" s="2" t="s">
        <v>15</v>
      </c>
      <c r="J10027" s="2" t="s">
        <v>5704</v>
      </c>
      <c r="K10027" s="2" t="s">
        <v>13440</v>
      </c>
      <c r="L10027" s="2">
        <f t="shared" si="156"/>
        <v>150</v>
      </c>
    </row>
    <row r="10028" spans="1:12" ht="25" customHeight="1">
      <c r="A10028" s="2" t="s">
        <v>12</v>
      </c>
      <c r="B10028" s="2" t="str">
        <f>HYPERLINK("http://bbs.12365auto.com/postcontent.aspx?tId=193640","福特F150猛禽太大太霸气了")</f>
        <v>福特F150猛禽太大太霸气了</v>
      </c>
      <c r="C10028" s="2" t="s">
        <v>13</v>
      </c>
      <c r="D10028" s="2" t="s">
        <v>12</v>
      </c>
      <c r="E10028" s="2" t="s">
        <v>27</v>
      </c>
      <c r="F10028" s="2" t="str">
        <f>HYPERLINK("http://bbs.12365auto.com/postcontent.aspx?tId=193640","http://bbs.12365auto.com/postcontent.aspx?tId=193640")</f>
        <v>http://bbs.12365auto.com/postcontent.aspx?tId=193640</v>
      </c>
      <c r="G10028" s="2"/>
      <c r="H10028" s="2" t="s">
        <v>13442</v>
      </c>
      <c r="I10028" s="2" t="s">
        <v>15</v>
      </c>
      <c r="J10028" s="2" t="s">
        <v>5704</v>
      </c>
      <c r="K10028" s="2" t="s">
        <v>13443</v>
      </c>
      <c r="L10028" s="2">
        <f t="shared" si="156"/>
        <v>150</v>
      </c>
    </row>
    <row r="10029" spans="1:12" ht="25" customHeight="1">
      <c r="A10029" s="2" t="s">
        <v>12</v>
      </c>
      <c r="B10029" s="2" t="str">
        <f>HYPERLINK("http://m.12365auto.com/bbs/postcontent.aspx?tID=193640","福特F150猛禽太大太霸气了")</f>
        <v>福特F150猛禽太大太霸气了</v>
      </c>
      <c r="C10029" s="2" t="s">
        <v>13</v>
      </c>
      <c r="D10029" s="2" t="s">
        <v>23</v>
      </c>
      <c r="E10029" s="2"/>
      <c r="F10029" s="2" t="str">
        <f>HYPERLINK("http://m.12365auto.com/bbs/postcontent.aspx?tID=193640","http://m.12365auto.com/bbs/postcontent.aspx?tID=193640")</f>
        <v>http://m.12365auto.com/bbs/postcontent.aspx?tID=193640</v>
      </c>
      <c r="G10029" s="2"/>
      <c r="H10029" s="2" t="s">
        <v>13442</v>
      </c>
      <c r="I10029" s="2" t="s">
        <v>15</v>
      </c>
      <c r="J10029" s="2" t="s">
        <v>5704</v>
      </c>
      <c r="K10029" s="2" t="s">
        <v>13443</v>
      </c>
      <c r="L10029" s="2">
        <f t="shared" si="156"/>
        <v>150</v>
      </c>
    </row>
    <row r="10030" spans="1:12" ht="25" customHeight="1">
      <c r="A10030" s="2" t="s">
        <v>12</v>
      </c>
      <c r="B10030" s="2" t="str">
        <f>HYPERLINK("http://bbs.12365auto.com/postcontent.aspx?tID=193640","福特F150猛禽太大太霸气了")</f>
        <v>福特F150猛禽太大太霸气了</v>
      </c>
      <c r="C10030" s="2" t="s">
        <v>13</v>
      </c>
      <c r="D10030" s="2" t="s">
        <v>12</v>
      </c>
      <c r="E10030" s="2" t="s">
        <v>28</v>
      </c>
      <c r="F10030" s="2" t="str">
        <f>HYPERLINK("http://bbs.12365auto.com/postcontent.aspx?tID=193640","http://bbs.12365auto.com/postcontent.aspx?tID=193640")</f>
        <v>http://bbs.12365auto.com/postcontent.aspx?tID=193640</v>
      </c>
      <c r="G10030" s="2"/>
      <c r="H10030" s="2" t="s">
        <v>13444</v>
      </c>
      <c r="I10030" s="2" t="s">
        <v>15</v>
      </c>
      <c r="J10030" s="2" t="s">
        <v>5704</v>
      </c>
      <c r="K10030" s="2" t="s">
        <v>13443</v>
      </c>
      <c r="L10030" s="2">
        <f t="shared" si="156"/>
        <v>150</v>
      </c>
    </row>
    <row r="10031" spans="1:12" ht="25" customHeight="1">
      <c r="A10031" s="2" t="s">
        <v>12</v>
      </c>
      <c r="B10031" s="2" t="str">
        <f>HYPERLINK("http://bbs.12365auto.com/postcontent.aspx?tId=193639","Jeep牧马人官方改装作品限量发售")</f>
        <v>Jeep牧马人官方改装作品限量发售</v>
      </c>
      <c r="C10031" s="2" t="s">
        <v>13</v>
      </c>
      <c r="D10031" s="2" t="s">
        <v>12</v>
      </c>
      <c r="E10031" s="2" t="s">
        <v>27</v>
      </c>
      <c r="F10031" s="2" t="str">
        <f>HYPERLINK("http://bbs.12365auto.com/postcontent.aspx?tId=193639","http://bbs.12365auto.com/postcontent.aspx?tId=193639")</f>
        <v>http://bbs.12365auto.com/postcontent.aspx?tId=193639</v>
      </c>
      <c r="G10031" s="2"/>
      <c r="H10031" s="2" t="s">
        <v>13445</v>
      </c>
      <c r="I10031" s="2" t="s">
        <v>15</v>
      </c>
      <c r="J10031" s="2" t="s">
        <v>5704</v>
      </c>
      <c r="K10031" s="2" t="s">
        <v>13446</v>
      </c>
      <c r="L10031" s="2">
        <f t="shared" si="156"/>
        <v>150</v>
      </c>
    </row>
    <row r="10032" spans="1:12" ht="25" customHeight="1">
      <c r="A10032" s="2" t="s">
        <v>12</v>
      </c>
      <c r="B10032" s="2" t="str">
        <f>HYPERLINK("http://bbs.12365auto.com/postcontent.aspx?tId=193638","进口豪车不到二十万 抄底林肯MKZ手慢库存没了")</f>
        <v>进口豪车不到二十万 抄底林肯MKZ手慢库存没了</v>
      </c>
      <c r="C10032" s="2" t="s">
        <v>13</v>
      </c>
      <c r="D10032" s="2" t="s">
        <v>12</v>
      </c>
      <c r="E10032" s="2" t="s">
        <v>27</v>
      </c>
      <c r="F10032" s="2" t="str">
        <f>HYPERLINK("http://bbs.12365auto.com/postcontent.aspx?tId=193638","http://bbs.12365auto.com/postcontent.aspx?tId=193638")</f>
        <v>http://bbs.12365auto.com/postcontent.aspx?tId=193638</v>
      </c>
      <c r="G10032" s="2"/>
      <c r="H10032" s="2" t="s">
        <v>13447</v>
      </c>
      <c r="I10032" s="2" t="s">
        <v>15</v>
      </c>
      <c r="J10032" s="2" t="s">
        <v>5704</v>
      </c>
      <c r="K10032" s="2" t="s">
        <v>13446</v>
      </c>
      <c r="L10032" s="2">
        <f t="shared" si="156"/>
        <v>150</v>
      </c>
    </row>
    <row r="10033" spans="1:12" ht="25" customHeight="1">
      <c r="A10033" s="2" t="s">
        <v>12</v>
      </c>
      <c r="B10033" s="2" t="str">
        <f>HYPERLINK("http://m.12365auto.com/bbs/postcontent.aspx?tID=193639","Jeep牧马人官方改装作品限量发售")</f>
        <v>Jeep牧马人官方改装作品限量发售</v>
      </c>
      <c r="C10033" s="2" t="s">
        <v>13</v>
      </c>
      <c r="D10033" s="2" t="s">
        <v>23</v>
      </c>
      <c r="E10033" s="2"/>
      <c r="F10033" s="2" t="str">
        <f>HYPERLINK("http://m.12365auto.com/bbs/postcontent.aspx?tID=193639","http://m.12365auto.com/bbs/postcontent.aspx?tID=193639")</f>
        <v>http://m.12365auto.com/bbs/postcontent.aspx?tID=193639</v>
      </c>
      <c r="G10033" s="2"/>
      <c r="H10033" s="2" t="s">
        <v>13445</v>
      </c>
      <c r="I10033" s="2" t="s">
        <v>15</v>
      </c>
      <c r="J10033" s="2" t="s">
        <v>5704</v>
      </c>
      <c r="K10033" s="2" t="s">
        <v>13446</v>
      </c>
      <c r="L10033" s="2">
        <f t="shared" si="156"/>
        <v>150</v>
      </c>
    </row>
    <row r="10034" spans="1:12" ht="25" customHeight="1">
      <c r="A10034" s="2" t="s">
        <v>12</v>
      </c>
      <c r="B10034" s="2" t="str">
        <f>HYPERLINK("http://m.12365auto.com/bbs/postcontent.aspx?tID=193638","进口豪车不到二十万 抄底林肯MKZ手慢库存没了")</f>
        <v>进口豪车不到二十万 抄底林肯MKZ手慢库存没了</v>
      </c>
      <c r="C10034" s="2" t="s">
        <v>13</v>
      </c>
      <c r="D10034" s="2" t="s">
        <v>23</v>
      </c>
      <c r="E10034" s="2"/>
      <c r="F10034" s="2" t="str">
        <f>HYPERLINK("http://m.12365auto.com/bbs/postcontent.aspx?tID=193638","http://m.12365auto.com/bbs/postcontent.aspx?tID=193638")</f>
        <v>http://m.12365auto.com/bbs/postcontent.aspx?tID=193638</v>
      </c>
      <c r="G10034" s="2"/>
      <c r="H10034" s="2" t="s">
        <v>13447</v>
      </c>
      <c r="I10034" s="2" t="s">
        <v>15</v>
      </c>
      <c r="J10034" s="2" t="s">
        <v>5704</v>
      </c>
      <c r="K10034" s="2" t="s">
        <v>13446</v>
      </c>
      <c r="L10034" s="2">
        <f t="shared" si="156"/>
        <v>150</v>
      </c>
    </row>
    <row r="10035" spans="1:12" ht="25" customHeight="1">
      <c r="A10035" s="2" t="s">
        <v>12</v>
      </c>
      <c r="B10035" s="2" t="str">
        <f>HYPERLINK("http://bbs.12365auto.com/postcontent.aspx?tID=193638","进口豪车不到二十万 抄底林肯MKZ手慢库存没了")</f>
        <v>进口豪车不到二十万 抄底林肯MKZ手慢库存没了</v>
      </c>
      <c r="C10035" s="2" t="s">
        <v>13</v>
      </c>
      <c r="D10035" s="2" t="s">
        <v>12</v>
      </c>
      <c r="E10035" s="2" t="s">
        <v>28</v>
      </c>
      <c r="F10035" s="2" t="str">
        <f>HYPERLINK("http://bbs.12365auto.com/postcontent.aspx?tID=193638","http://bbs.12365auto.com/postcontent.aspx?tID=193638")</f>
        <v>http://bbs.12365auto.com/postcontent.aspx?tID=193638</v>
      </c>
      <c r="G10035" s="2"/>
      <c r="H10035" s="2" t="s">
        <v>13448</v>
      </c>
      <c r="I10035" s="2" t="s">
        <v>15</v>
      </c>
      <c r="J10035" s="2" t="s">
        <v>5704</v>
      </c>
      <c r="K10035" s="2" t="s">
        <v>13446</v>
      </c>
      <c r="L10035" s="2">
        <f t="shared" si="156"/>
        <v>150</v>
      </c>
    </row>
    <row r="10036" spans="1:12" ht="25" customHeight="1">
      <c r="A10036" s="2" t="s">
        <v>12</v>
      </c>
      <c r="B10036" s="2" t="str">
        <f>HYPERLINK("http://bbs.12365auto.com/postcontent.aspx?tID=193639","Jeep牧马人官方改装作品限量发售")</f>
        <v>Jeep牧马人官方改装作品限量发售</v>
      </c>
      <c r="C10036" s="2" t="s">
        <v>13</v>
      </c>
      <c r="D10036" s="2" t="s">
        <v>12</v>
      </c>
      <c r="E10036" s="2" t="s">
        <v>28</v>
      </c>
      <c r="F10036" s="2" t="str">
        <f>HYPERLINK("http://bbs.12365auto.com/postcontent.aspx?tID=193639","http://bbs.12365auto.com/postcontent.aspx?tID=193639")</f>
        <v>http://bbs.12365auto.com/postcontent.aspx?tID=193639</v>
      </c>
      <c r="G10036" s="2"/>
      <c r="H10036" s="2" t="s">
        <v>13449</v>
      </c>
      <c r="I10036" s="2" t="s">
        <v>15</v>
      </c>
      <c r="J10036" s="2" t="s">
        <v>5704</v>
      </c>
      <c r="K10036" s="2" t="s">
        <v>13446</v>
      </c>
      <c r="L10036" s="2">
        <f t="shared" si="156"/>
        <v>150</v>
      </c>
    </row>
    <row r="10037" spans="1:12" ht="25" customHeight="1">
      <c r="A10037" s="2" t="s">
        <v>12</v>
      </c>
      <c r="B10037" s="2" t="str">
        <f>HYPERLINK("http://bbs.12365auto.com/postcontent.aspx?tId=193637","48英寸大屏确认量产 概念车90%设计被保留")</f>
        <v>48英寸大屏确认量产 概念车90%设计被保留</v>
      </c>
      <c r="C10037" s="2" t="s">
        <v>13</v>
      </c>
      <c r="D10037" s="2" t="s">
        <v>12</v>
      </c>
      <c r="E10037" s="2" t="s">
        <v>27</v>
      </c>
      <c r="F10037" s="2" t="str">
        <f>HYPERLINK("http://bbs.12365auto.com/postcontent.aspx?tId=193637","http://bbs.12365auto.com/postcontent.aspx?tId=193637")</f>
        <v>http://bbs.12365auto.com/postcontent.aspx?tId=193637</v>
      </c>
      <c r="G10037" s="2"/>
      <c r="H10037" s="2" t="s">
        <v>13450</v>
      </c>
      <c r="I10037" s="2" t="s">
        <v>15</v>
      </c>
      <c r="J10037" s="2" t="s">
        <v>5704</v>
      </c>
      <c r="K10037" s="2" t="s">
        <v>13451</v>
      </c>
      <c r="L10037" s="2">
        <f t="shared" si="156"/>
        <v>150</v>
      </c>
    </row>
    <row r="10038" spans="1:12" ht="25" customHeight="1">
      <c r="A10038" s="2" t="s">
        <v>12</v>
      </c>
      <c r="B10038" s="2" t="str">
        <f>HYPERLINK("http://m.12365auto.com/bbs/postcontent.aspx?tID=193637","48英寸大屏确认量产 概念车90%设计被保留")</f>
        <v>48英寸大屏确认量产 概念车90%设计被保留</v>
      </c>
      <c r="C10038" s="2" t="s">
        <v>13</v>
      </c>
      <c r="D10038" s="2" t="s">
        <v>23</v>
      </c>
      <c r="E10038" s="2"/>
      <c r="F10038" s="2" t="str">
        <f>HYPERLINK("http://m.12365auto.com/bbs/postcontent.aspx?tID=193637","http://m.12365auto.com/bbs/postcontent.aspx?tID=193637")</f>
        <v>http://m.12365auto.com/bbs/postcontent.aspx?tID=193637</v>
      </c>
      <c r="G10038" s="2"/>
      <c r="H10038" s="2" t="s">
        <v>13450</v>
      </c>
      <c r="I10038" s="2" t="s">
        <v>15</v>
      </c>
      <c r="J10038" s="2" t="s">
        <v>5704</v>
      </c>
      <c r="K10038" s="2" t="s">
        <v>13451</v>
      </c>
      <c r="L10038" s="2">
        <f t="shared" si="156"/>
        <v>150</v>
      </c>
    </row>
    <row r="10039" spans="1:12" ht="25" customHeight="1">
      <c r="A10039" s="2" t="s">
        <v>12</v>
      </c>
      <c r="B10039" s="2" t="str">
        <f>HYPERLINK("http://bbs.12365auto.com/postcontent.aspx?tID=193637","48英寸大屏确认量产 概念车90%设计被保留")</f>
        <v>48英寸大屏确认量产 概念车90%设计被保留</v>
      </c>
      <c r="C10039" s="2" t="s">
        <v>13</v>
      </c>
      <c r="D10039" s="2" t="s">
        <v>12</v>
      </c>
      <c r="E10039" s="2" t="s">
        <v>28</v>
      </c>
      <c r="F10039" s="2" t="str">
        <f>HYPERLINK("http://bbs.12365auto.com/postcontent.aspx?tID=193637","http://bbs.12365auto.com/postcontent.aspx?tID=193637")</f>
        <v>http://bbs.12365auto.com/postcontent.aspx?tID=193637</v>
      </c>
      <c r="G10039" s="2"/>
      <c r="H10039" s="2" t="s">
        <v>13452</v>
      </c>
      <c r="I10039" s="2" t="s">
        <v>15</v>
      </c>
      <c r="J10039" s="2" t="s">
        <v>5704</v>
      </c>
      <c r="K10039" s="2" t="s">
        <v>13451</v>
      </c>
      <c r="L10039" s="2">
        <f t="shared" si="156"/>
        <v>150</v>
      </c>
    </row>
    <row r="10040" spans="1:12" ht="25" customHeight="1">
      <c r="A10040" s="2" t="s">
        <v>12</v>
      </c>
      <c r="B10040" s="2" t="str">
        <f>HYPERLINK("http://bbs.12365auto.com/postcontent.aspx?tID=193636","日产汽车在俄罗斯的1月份销量比去年同期下降1%")</f>
        <v>日产汽车在俄罗斯的1月份销量比去年同期下降1%</v>
      </c>
      <c r="C10040" s="2" t="s">
        <v>13</v>
      </c>
      <c r="D10040" s="2" t="s">
        <v>12</v>
      </c>
      <c r="E10040" s="2" t="s">
        <v>28</v>
      </c>
      <c r="F10040" s="2" t="str">
        <f>HYPERLINK("http://bbs.12365auto.com/postcontent.aspx?tID=193636","http://bbs.12365auto.com/postcontent.aspx?tID=193636")</f>
        <v>http://bbs.12365auto.com/postcontent.aspx?tID=193636</v>
      </c>
      <c r="G10040" s="2"/>
      <c r="H10040" s="2" t="s">
        <v>13453</v>
      </c>
      <c r="I10040" s="2" t="s">
        <v>15</v>
      </c>
      <c r="J10040" s="2" t="s">
        <v>5704</v>
      </c>
      <c r="K10040" s="2" t="s">
        <v>13454</v>
      </c>
      <c r="L10040" s="2">
        <f t="shared" si="156"/>
        <v>150</v>
      </c>
    </row>
    <row r="10041" spans="1:12" ht="25" customHeight="1">
      <c r="A10041" s="2" t="s">
        <v>12</v>
      </c>
      <c r="B10041" s="2" t="str">
        <f>HYPERLINK("http://bbs.12365auto.com/postcontent.aspx?tId=193636","日产汽车在俄罗斯的1月份销量比去年同期下降1%")</f>
        <v>日产汽车在俄罗斯的1月份销量比去年同期下降1%</v>
      </c>
      <c r="C10041" s="2" t="s">
        <v>13</v>
      </c>
      <c r="D10041" s="2" t="s">
        <v>12</v>
      </c>
      <c r="E10041" s="2" t="s">
        <v>27</v>
      </c>
      <c r="F10041" s="2" t="str">
        <f>HYPERLINK("http://bbs.12365auto.com/postcontent.aspx?tId=193636","http://bbs.12365auto.com/postcontent.aspx?tId=193636")</f>
        <v>http://bbs.12365auto.com/postcontent.aspx?tId=193636</v>
      </c>
      <c r="G10041" s="2"/>
      <c r="H10041" s="2" t="s">
        <v>13455</v>
      </c>
      <c r="I10041" s="2" t="s">
        <v>15</v>
      </c>
      <c r="J10041" s="2" t="s">
        <v>5704</v>
      </c>
      <c r="K10041" s="2" t="s">
        <v>13454</v>
      </c>
      <c r="L10041" s="2">
        <f t="shared" si="156"/>
        <v>150</v>
      </c>
    </row>
    <row r="10042" spans="1:12" ht="25" customHeight="1">
      <c r="A10042" s="2" t="s">
        <v>12</v>
      </c>
      <c r="B10042" s="2" t="str">
        <f>HYPERLINK("http://m.12365auto.com/bbs/postcontent.aspx?tID=193636","日产汽车在俄罗斯的1月份销量比去年同期下降1%")</f>
        <v>日产汽车在俄罗斯的1月份销量比去年同期下降1%</v>
      </c>
      <c r="C10042" s="2" t="s">
        <v>13</v>
      </c>
      <c r="D10042" s="2" t="s">
        <v>23</v>
      </c>
      <c r="E10042" s="2"/>
      <c r="F10042" s="2" t="str">
        <f>HYPERLINK("http://m.12365auto.com/bbs/postcontent.aspx?tID=193636","http://m.12365auto.com/bbs/postcontent.aspx?tID=193636")</f>
        <v>http://m.12365auto.com/bbs/postcontent.aspx?tID=193636</v>
      </c>
      <c r="G10042" s="2"/>
      <c r="H10042" s="2" t="s">
        <v>13455</v>
      </c>
      <c r="I10042" s="2" t="s">
        <v>15</v>
      </c>
      <c r="J10042" s="2" t="s">
        <v>5704</v>
      </c>
      <c r="K10042" s="2" t="s">
        <v>13454</v>
      </c>
      <c r="L10042" s="2">
        <f t="shared" si="156"/>
        <v>150</v>
      </c>
    </row>
    <row r="10043" spans="1:12" ht="25" customHeight="1">
      <c r="A10043" s="2" t="s">
        <v>12</v>
      </c>
      <c r="B10043" s="2" t="str">
        <f>HYPERLINK("http://m.12365auto.com/bbs/postcontent.aspx?tID=193634","凯迪拉克全新凯雷德正式发布")</f>
        <v>凯迪拉克全新凯雷德正式发布</v>
      </c>
      <c r="C10043" s="2" t="s">
        <v>13</v>
      </c>
      <c r="D10043" s="2" t="s">
        <v>23</v>
      </c>
      <c r="E10043" s="2"/>
      <c r="F10043" s="2" t="str">
        <f>HYPERLINK("http://m.12365auto.com/bbs/postcontent.aspx?tID=193634","http://m.12365auto.com/bbs/postcontent.aspx?tID=193634")</f>
        <v>http://m.12365auto.com/bbs/postcontent.aspx?tID=193634</v>
      </c>
      <c r="G10043" s="2"/>
      <c r="H10043" s="2" t="s">
        <v>13456</v>
      </c>
      <c r="I10043" s="2" t="s">
        <v>15</v>
      </c>
      <c r="J10043" s="2" t="s">
        <v>11368</v>
      </c>
      <c r="K10043" s="2" t="s">
        <v>13457</v>
      </c>
      <c r="L10043" s="2">
        <f t="shared" si="156"/>
        <v>150</v>
      </c>
    </row>
    <row r="10044" spans="1:12" ht="25" customHeight="1">
      <c r="A10044" s="2" t="s">
        <v>12</v>
      </c>
      <c r="B10044" s="2" t="str">
        <f>HYPERLINK("http://bbs.12365auto.com/postcontent.aspx?tId=193635","氢燃料电池是新能源领域的方向")</f>
        <v>氢燃料电池是新能源领域的方向</v>
      </c>
      <c r="C10044" s="2" t="s">
        <v>13</v>
      </c>
      <c r="D10044" s="2" t="s">
        <v>12</v>
      </c>
      <c r="E10044" s="2" t="s">
        <v>27</v>
      </c>
      <c r="F10044" s="2" t="str">
        <f>HYPERLINK("http://bbs.12365auto.com/postcontent.aspx?tId=193635","http://bbs.12365auto.com/postcontent.aspx?tId=193635")</f>
        <v>http://bbs.12365auto.com/postcontent.aspx?tId=193635</v>
      </c>
      <c r="G10044" s="2"/>
      <c r="H10044" s="2" t="s">
        <v>13458</v>
      </c>
      <c r="I10044" s="2" t="s">
        <v>15</v>
      </c>
      <c r="J10044" s="2" t="s">
        <v>11368</v>
      </c>
      <c r="K10044" s="2" t="s">
        <v>13457</v>
      </c>
      <c r="L10044" s="2">
        <f t="shared" si="156"/>
        <v>150</v>
      </c>
    </row>
    <row r="10045" spans="1:12" ht="25" customHeight="1">
      <c r="A10045" s="2" t="s">
        <v>12</v>
      </c>
      <c r="B10045" s="2" t="str">
        <f>HYPERLINK("http://bbs.12365auto.com/postcontent.aspx?tId=193634","凯迪拉克全新凯雷德正式发布")</f>
        <v>凯迪拉克全新凯雷德正式发布</v>
      </c>
      <c r="C10045" s="2" t="s">
        <v>13</v>
      </c>
      <c r="D10045" s="2" t="s">
        <v>12</v>
      </c>
      <c r="E10045" s="2" t="s">
        <v>27</v>
      </c>
      <c r="F10045" s="2" t="str">
        <f>HYPERLINK("http://bbs.12365auto.com/postcontent.aspx?tId=193634","http://bbs.12365auto.com/postcontent.aspx?tId=193634")</f>
        <v>http://bbs.12365auto.com/postcontent.aspx?tId=193634</v>
      </c>
      <c r="G10045" s="2"/>
      <c r="H10045" s="2" t="s">
        <v>13456</v>
      </c>
      <c r="I10045" s="2" t="s">
        <v>15</v>
      </c>
      <c r="J10045" s="2" t="s">
        <v>11368</v>
      </c>
      <c r="K10045" s="2" t="s">
        <v>13457</v>
      </c>
      <c r="L10045" s="2">
        <f t="shared" si="156"/>
        <v>150</v>
      </c>
    </row>
    <row r="10046" spans="1:12" ht="25" customHeight="1">
      <c r="A10046" s="2" t="s">
        <v>12</v>
      </c>
      <c r="B10046" s="2" t="str">
        <f>HYPERLINK("http://bbs.12365auto.com/postcontent.aspx?tID=193635","氢燃料电池是新能源领域的方向")</f>
        <v>氢燃料电池是新能源领域的方向</v>
      </c>
      <c r="C10046" s="2" t="s">
        <v>13</v>
      </c>
      <c r="D10046" s="2" t="s">
        <v>12</v>
      </c>
      <c r="E10046" s="2" t="s">
        <v>28</v>
      </c>
      <c r="F10046" s="2" t="str">
        <f>HYPERLINK("http://bbs.12365auto.com/postcontent.aspx?tID=193635","http://bbs.12365auto.com/postcontent.aspx?tID=193635")</f>
        <v>http://bbs.12365auto.com/postcontent.aspx?tID=193635</v>
      </c>
      <c r="G10046" s="2"/>
      <c r="H10046" s="2" t="s">
        <v>13459</v>
      </c>
      <c r="I10046" s="2" t="s">
        <v>15</v>
      </c>
      <c r="J10046" s="2" t="s">
        <v>11368</v>
      </c>
      <c r="K10046" s="2" t="s">
        <v>13457</v>
      </c>
      <c r="L10046" s="2">
        <f t="shared" si="156"/>
        <v>150</v>
      </c>
    </row>
    <row r="10047" spans="1:12" ht="25" customHeight="1">
      <c r="A10047" s="2" t="s">
        <v>12</v>
      </c>
      <c r="B10047" s="2" t="str">
        <f>HYPERLINK("http://bbs.12365auto.com/postcontent.aspx?tID=193634","凯迪拉克全新凯雷德正式发布")</f>
        <v>凯迪拉克全新凯雷德正式发布</v>
      </c>
      <c r="C10047" s="2" t="s">
        <v>13</v>
      </c>
      <c r="D10047" s="2" t="s">
        <v>12</v>
      </c>
      <c r="E10047" s="2" t="s">
        <v>28</v>
      </c>
      <c r="F10047" s="2" t="str">
        <f>HYPERLINK("http://bbs.12365auto.com/postcontent.aspx?tID=193634","http://bbs.12365auto.com/postcontent.aspx?tID=193634")</f>
        <v>http://bbs.12365auto.com/postcontent.aspx?tID=193634</v>
      </c>
      <c r="G10047" s="2"/>
      <c r="H10047" s="2" t="s">
        <v>13460</v>
      </c>
      <c r="I10047" s="2" t="s">
        <v>15</v>
      </c>
      <c r="J10047" s="2" t="s">
        <v>11368</v>
      </c>
      <c r="K10047" s="2" t="s">
        <v>13457</v>
      </c>
      <c r="L10047" s="2">
        <f t="shared" si="156"/>
        <v>150</v>
      </c>
    </row>
    <row r="10048" spans="1:12" ht="25" customHeight="1">
      <c r="A10048" s="2" t="s">
        <v>12</v>
      </c>
      <c r="B10048" s="2" t="str">
        <f>HYPERLINK("http://m.12365auto.com/bbs/postcontent.aspx?tID=193633","美媒评选2020年最可靠十大汽车品牌")</f>
        <v>美媒评选2020年最可靠十大汽车品牌</v>
      </c>
      <c r="C10048" s="2" t="s">
        <v>13</v>
      </c>
      <c r="D10048" s="2" t="s">
        <v>23</v>
      </c>
      <c r="E10048" s="2"/>
      <c r="F10048" s="2" t="str">
        <f>HYPERLINK("http://m.12365auto.com/bbs/postcontent.aspx?tID=193633","http://m.12365auto.com/bbs/postcontent.aspx?tID=193633")</f>
        <v>http://m.12365auto.com/bbs/postcontent.aspx?tID=193633</v>
      </c>
      <c r="G10048" s="2"/>
      <c r="H10048" s="2" t="s">
        <v>13461</v>
      </c>
      <c r="I10048" s="2" t="s">
        <v>15</v>
      </c>
      <c r="J10048" s="2" t="s">
        <v>11368</v>
      </c>
      <c r="K10048" s="2" t="s">
        <v>13462</v>
      </c>
      <c r="L10048" s="2">
        <f t="shared" si="156"/>
        <v>150</v>
      </c>
    </row>
    <row r="10049" spans="1:12" ht="25" customHeight="1">
      <c r="A10049" s="2" t="s">
        <v>12</v>
      </c>
      <c r="B10049" s="2" t="str">
        <f>HYPERLINK("http://bbs.12365auto.com/postcontent.aspx?tId=193633","美媒评选2020年最可靠十大汽车品牌")</f>
        <v>美媒评选2020年最可靠十大汽车品牌</v>
      </c>
      <c r="C10049" s="2" t="s">
        <v>13</v>
      </c>
      <c r="D10049" s="2" t="s">
        <v>12</v>
      </c>
      <c r="E10049" s="2" t="s">
        <v>27</v>
      </c>
      <c r="F10049" s="2" t="str">
        <f>HYPERLINK("http://bbs.12365auto.com/postcontent.aspx?tId=193633","http://bbs.12365auto.com/postcontent.aspx?tId=193633")</f>
        <v>http://bbs.12365auto.com/postcontent.aspx?tId=193633</v>
      </c>
      <c r="G10049" s="2"/>
      <c r="H10049" s="2" t="s">
        <v>13461</v>
      </c>
      <c r="I10049" s="2" t="s">
        <v>15</v>
      </c>
      <c r="J10049" s="2" t="s">
        <v>11368</v>
      </c>
      <c r="K10049" s="2" t="s">
        <v>13462</v>
      </c>
      <c r="L10049" s="2">
        <f t="shared" si="156"/>
        <v>150</v>
      </c>
    </row>
    <row r="10050" spans="1:12" ht="25" customHeight="1">
      <c r="A10050" s="2" t="s">
        <v>12</v>
      </c>
      <c r="B10050" s="2" t="str">
        <f>HYPERLINK("http://bbs.12365auto.com/postcontent.aspx?tID=193633","美媒评选2020年最可靠十大汽车品牌")</f>
        <v>美媒评选2020年最可靠十大汽车品牌</v>
      </c>
      <c r="C10050" s="2" t="s">
        <v>13</v>
      </c>
      <c r="D10050" s="2" t="s">
        <v>12</v>
      </c>
      <c r="E10050" s="2" t="s">
        <v>28</v>
      </c>
      <c r="F10050" s="2" t="str">
        <f>HYPERLINK("http://bbs.12365auto.com/postcontent.aspx?tID=193633","http://bbs.12365auto.com/postcontent.aspx?tID=193633")</f>
        <v>http://bbs.12365auto.com/postcontent.aspx?tID=193633</v>
      </c>
      <c r="G10050" s="2"/>
      <c r="H10050" s="2" t="s">
        <v>13463</v>
      </c>
      <c r="I10050" s="2" t="s">
        <v>15</v>
      </c>
      <c r="J10050" s="2" t="s">
        <v>11368</v>
      </c>
      <c r="K10050" s="2" t="s">
        <v>13462</v>
      </c>
      <c r="L10050" s="2">
        <f t="shared" si="156"/>
        <v>150</v>
      </c>
    </row>
    <row r="10051" spans="1:12" ht="25" customHeight="1">
      <c r="A10051" s="2" t="s">
        <v>12</v>
      </c>
      <c r="B10051" s="2" t="str">
        <f>HYPERLINK("http://m.12365auto.com/bbs/postcontent.aspx?tID=193632","6.7秒破百比肩思域 菲斯塔再次破万后为什么又不香了呢")</f>
        <v>6.7秒破百比肩思域 菲斯塔再次破万后为什么又不香了呢</v>
      </c>
      <c r="C10051" s="2" t="s">
        <v>13</v>
      </c>
      <c r="D10051" s="2" t="s">
        <v>23</v>
      </c>
      <c r="E10051" s="2"/>
      <c r="F10051" s="2" t="str">
        <f>HYPERLINK("http://m.12365auto.com/bbs/postcontent.aspx?tID=193632","http://m.12365auto.com/bbs/postcontent.aspx?tID=193632")</f>
        <v>http://m.12365auto.com/bbs/postcontent.aspx?tID=193632</v>
      </c>
      <c r="G10051" s="2"/>
      <c r="H10051" s="2" t="s">
        <v>13464</v>
      </c>
      <c r="I10051" s="2" t="s">
        <v>15</v>
      </c>
      <c r="J10051" s="2" t="s">
        <v>11368</v>
      </c>
      <c r="K10051" s="2" t="s">
        <v>13465</v>
      </c>
      <c r="L10051" s="2">
        <f t="shared" ref="L10051:L10114" si="157">LEN(H10051)</f>
        <v>150</v>
      </c>
    </row>
    <row r="10052" spans="1:12" ht="25" customHeight="1">
      <c r="A10052" s="2" t="s">
        <v>12</v>
      </c>
      <c r="B10052" s="2" t="str">
        <f>HYPERLINK("http://bbs.12365auto.com/postcontent.aspx?tId=193632","6.7秒破百比肩思域 菲斯塔再次破万后为什么又不香了呢")</f>
        <v>6.7秒破百比肩思域 菲斯塔再次破万后为什么又不香了呢</v>
      </c>
      <c r="C10052" s="2" t="s">
        <v>13</v>
      </c>
      <c r="D10052" s="2" t="s">
        <v>12</v>
      </c>
      <c r="E10052" s="2" t="s">
        <v>27</v>
      </c>
      <c r="F10052" s="2" t="str">
        <f>HYPERLINK("http://bbs.12365auto.com/postcontent.aspx?tId=193632","http://bbs.12365auto.com/postcontent.aspx?tId=193632")</f>
        <v>http://bbs.12365auto.com/postcontent.aspx?tId=193632</v>
      </c>
      <c r="G10052" s="2"/>
      <c r="H10052" s="2" t="s">
        <v>13464</v>
      </c>
      <c r="I10052" s="2" t="s">
        <v>15</v>
      </c>
      <c r="J10052" s="2" t="s">
        <v>11368</v>
      </c>
      <c r="K10052" s="2" t="s">
        <v>13465</v>
      </c>
      <c r="L10052" s="2">
        <f t="shared" si="157"/>
        <v>150</v>
      </c>
    </row>
    <row r="10053" spans="1:12" ht="25" customHeight="1">
      <c r="A10053" s="2" t="s">
        <v>12</v>
      </c>
      <c r="B10053" s="2" t="str">
        <f>HYPERLINK("http://bbs.12365auto.com/postcontent.aspx?tID=193632","6.7秒破百比肩思域 菲斯塔再次破万后为什么又不香了呢")</f>
        <v>6.7秒破百比肩思域 菲斯塔再次破万后为什么又不香了呢</v>
      </c>
      <c r="C10053" s="2" t="s">
        <v>13</v>
      </c>
      <c r="D10053" s="2" t="s">
        <v>12</v>
      </c>
      <c r="E10053" s="2" t="s">
        <v>28</v>
      </c>
      <c r="F10053" s="2" t="str">
        <f>HYPERLINK("http://bbs.12365auto.com/postcontent.aspx?tID=193632","http://bbs.12365auto.com/postcontent.aspx?tID=193632")</f>
        <v>http://bbs.12365auto.com/postcontent.aspx?tID=193632</v>
      </c>
      <c r="G10053" s="2"/>
      <c r="H10053" s="2" t="s">
        <v>13466</v>
      </c>
      <c r="I10053" s="2" t="s">
        <v>15</v>
      </c>
      <c r="J10053" s="2" t="s">
        <v>11368</v>
      </c>
      <c r="K10053" s="2" t="s">
        <v>13465</v>
      </c>
      <c r="L10053" s="2">
        <f t="shared" si="157"/>
        <v>150</v>
      </c>
    </row>
    <row r="10054" spans="1:12" ht="25" customHeight="1">
      <c r="A10054" s="2" t="s">
        <v>12</v>
      </c>
      <c r="B10054" s="2" t="str">
        <f>HYPERLINK("http://bbs.12365auto.com/postcontent.aspx?tId=193631","“国产帕拉梅拉”售价24万 续航650公里可有人买单")</f>
        <v>“国产帕拉梅拉”售价24万 续航650公里可有人买单</v>
      </c>
      <c r="C10054" s="2" t="s">
        <v>13</v>
      </c>
      <c r="D10054" s="2" t="s">
        <v>12</v>
      </c>
      <c r="E10054" s="2" t="s">
        <v>27</v>
      </c>
      <c r="F10054" s="2" t="str">
        <f>HYPERLINK("http://bbs.12365auto.com/postcontent.aspx?tId=193631","http://bbs.12365auto.com/postcontent.aspx?tId=193631")</f>
        <v>http://bbs.12365auto.com/postcontent.aspx?tId=193631</v>
      </c>
      <c r="G10054" s="2"/>
      <c r="H10054" s="2" t="s">
        <v>13467</v>
      </c>
      <c r="I10054" s="2" t="s">
        <v>15</v>
      </c>
      <c r="J10054" s="2" t="s">
        <v>11368</v>
      </c>
      <c r="K10054" s="2" t="s">
        <v>13468</v>
      </c>
      <c r="L10054" s="2">
        <f t="shared" si="157"/>
        <v>150</v>
      </c>
    </row>
    <row r="10055" spans="1:12" ht="25" customHeight="1">
      <c r="A10055" s="2" t="s">
        <v>12</v>
      </c>
      <c r="B10055" s="2" t="str">
        <f>HYPERLINK("http://m.12365auto.com/bbs/postcontent.aspx?tID=193631","“国产帕拉梅拉”售价24万 续航650公里可有人买单")</f>
        <v>“国产帕拉梅拉”售价24万 续航650公里可有人买单</v>
      </c>
      <c r="C10055" s="2" t="s">
        <v>13</v>
      </c>
      <c r="D10055" s="2" t="s">
        <v>23</v>
      </c>
      <c r="E10055" s="2"/>
      <c r="F10055" s="2" t="str">
        <f>HYPERLINK("http://m.12365auto.com/bbs/postcontent.aspx?tID=193631","http://m.12365auto.com/bbs/postcontent.aspx?tID=193631")</f>
        <v>http://m.12365auto.com/bbs/postcontent.aspx?tID=193631</v>
      </c>
      <c r="G10055" s="2"/>
      <c r="H10055" s="2" t="s">
        <v>13467</v>
      </c>
      <c r="I10055" s="2" t="s">
        <v>15</v>
      </c>
      <c r="J10055" s="2" t="s">
        <v>11368</v>
      </c>
      <c r="K10055" s="2" t="s">
        <v>13468</v>
      </c>
      <c r="L10055" s="2">
        <f t="shared" si="157"/>
        <v>150</v>
      </c>
    </row>
    <row r="10056" spans="1:12" ht="25" customHeight="1">
      <c r="A10056" s="2" t="s">
        <v>12</v>
      </c>
      <c r="B10056" s="2" t="str">
        <f>HYPERLINK("http://bbs.12365auto.com/postcontent.aspx?tID=193631","“国产帕拉梅拉”售价24万 续航650公里可有人买单")</f>
        <v>“国产帕拉梅拉”售价24万 续航650公里可有人买单</v>
      </c>
      <c r="C10056" s="2" t="s">
        <v>13</v>
      </c>
      <c r="D10056" s="2" t="s">
        <v>12</v>
      </c>
      <c r="E10056" s="2" t="s">
        <v>28</v>
      </c>
      <c r="F10056" s="2" t="str">
        <f>HYPERLINK("http://bbs.12365auto.com/postcontent.aspx?tID=193631","http://bbs.12365auto.com/postcontent.aspx?tID=193631")</f>
        <v>http://bbs.12365auto.com/postcontent.aspx?tID=193631</v>
      </c>
      <c r="G10056" s="2"/>
      <c r="H10056" s="2" t="s">
        <v>13469</v>
      </c>
      <c r="I10056" s="2" t="s">
        <v>15</v>
      </c>
      <c r="J10056" s="2" t="s">
        <v>11368</v>
      </c>
      <c r="K10056" s="2" t="s">
        <v>13468</v>
      </c>
      <c r="L10056" s="2">
        <f t="shared" si="157"/>
        <v>150</v>
      </c>
    </row>
    <row r="10057" spans="1:12" ht="25" customHeight="1">
      <c r="A10057" s="2" t="s">
        <v>12</v>
      </c>
      <c r="B10057" s="2" t="str">
        <f>HYPERLINK("http://bbs.12365auto.com/postcontent.aspx?tId=193630","开蔚来ES6回家过年 我发现了这些问题")</f>
        <v>开蔚来ES6回家过年 我发现了这些问题</v>
      </c>
      <c r="C10057" s="2" t="s">
        <v>13</v>
      </c>
      <c r="D10057" s="2" t="s">
        <v>12</v>
      </c>
      <c r="E10057" s="2" t="s">
        <v>27</v>
      </c>
      <c r="F10057" s="2" t="str">
        <f>HYPERLINK("http://bbs.12365auto.com/postcontent.aspx?tId=193630","http://bbs.12365auto.com/postcontent.aspx?tId=193630")</f>
        <v>http://bbs.12365auto.com/postcontent.aspx?tId=193630</v>
      </c>
      <c r="G10057" s="2"/>
      <c r="H10057" s="2" t="s">
        <v>13470</v>
      </c>
      <c r="I10057" s="2" t="s">
        <v>15</v>
      </c>
      <c r="J10057" s="2" t="s">
        <v>11368</v>
      </c>
      <c r="K10057" s="2" t="s">
        <v>13471</v>
      </c>
      <c r="L10057" s="2">
        <f t="shared" si="157"/>
        <v>150</v>
      </c>
    </row>
    <row r="10058" spans="1:12" ht="25" customHeight="1">
      <c r="A10058" s="2" t="s">
        <v>12</v>
      </c>
      <c r="B10058" s="2" t="str">
        <f>HYPERLINK("http://m.12365auto.com/bbs/postcontent.aspx?tID=193630","开蔚来ES6回家过年 我发现了这些问题")</f>
        <v>开蔚来ES6回家过年 我发现了这些问题</v>
      </c>
      <c r="C10058" s="2" t="s">
        <v>13</v>
      </c>
      <c r="D10058" s="2" t="s">
        <v>23</v>
      </c>
      <c r="E10058" s="2"/>
      <c r="F10058" s="2" t="str">
        <f>HYPERLINK("http://m.12365auto.com/bbs/postcontent.aspx?tID=193630","http://m.12365auto.com/bbs/postcontent.aspx?tID=193630")</f>
        <v>http://m.12365auto.com/bbs/postcontent.aspx?tID=193630</v>
      </c>
      <c r="G10058" s="2"/>
      <c r="H10058" s="2" t="s">
        <v>13470</v>
      </c>
      <c r="I10058" s="2" t="s">
        <v>15</v>
      </c>
      <c r="J10058" s="2" t="s">
        <v>11368</v>
      </c>
      <c r="K10058" s="2" t="s">
        <v>13471</v>
      </c>
      <c r="L10058" s="2">
        <f t="shared" si="157"/>
        <v>150</v>
      </c>
    </row>
    <row r="10059" spans="1:12" ht="25" customHeight="1">
      <c r="A10059" s="2" t="s">
        <v>12</v>
      </c>
      <c r="B10059" s="2" t="str">
        <f>HYPERLINK("http://bbs.12365auto.com/postcontent.aspx?tID=193630","开蔚来ES6回家过年 我发现了这些问题")</f>
        <v>开蔚来ES6回家过年 我发现了这些问题</v>
      </c>
      <c r="C10059" s="2" t="s">
        <v>13</v>
      </c>
      <c r="D10059" s="2" t="s">
        <v>12</v>
      </c>
      <c r="E10059" s="2" t="s">
        <v>28</v>
      </c>
      <c r="F10059" s="2" t="str">
        <f>HYPERLINK("http://bbs.12365auto.com/postcontent.aspx?tID=193630","http://bbs.12365auto.com/postcontent.aspx?tID=193630")</f>
        <v>http://bbs.12365auto.com/postcontent.aspx?tID=193630</v>
      </c>
      <c r="G10059" s="2"/>
      <c r="H10059" s="2" t="s">
        <v>13472</v>
      </c>
      <c r="I10059" s="2" t="s">
        <v>15</v>
      </c>
      <c r="J10059" s="2" t="s">
        <v>11368</v>
      </c>
      <c r="K10059" s="2" t="s">
        <v>13471</v>
      </c>
      <c r="L10059" s="2">
        <f t="shared" si="157"/>
        <v>150</v>
      </c>
    </row>
    <row r="10060" spans="1:12" ht="25" customHeight="1">
      <c r="A10060" s="2" t="s">
        <v>12</v>
      </c>
      <c r="B10060" s="2" t="str">
        <f>HYPERLINK("http://m.12365auto.com/bbs/postcontent.aspx?tID=193629","售价约合人民币138.97-196.21万元 2020款奥迪R8上市")</f>
        <v>售价约合人民币138.97-196.21万元 2020款奥迪R8上市</v>
      </c>
      <c r="C10060" s="2" t="s">
        <v>13</v>
      </c>
      <c r="D10060" s="2" t="s">
        <v>23</v>
      </c>
      <c r="E10060" s="2"/>
      <c r="F10060" s="2" t="str">
        <f>HYPERLINK("http://m.12365auto.com/bbs/postcontent.aspx?tID=193629","http://m.12365auto.com/bbs/postcontent.aspx?tID=193629")</f>
        <v>http://m.12365auto.com/bbs/postcontent.aspx?tID=193629</v>
      </c>
      <c r="G10060" s="2"/>
      <c r="H10060" s="2" t="s">
        <v>13473</v>
      </c>
      <c r="I10060" s="2" t="s">
        <v>15</v>
      </c>
      <c r="J10060" s="2" t="s">
        <v>11368</v>
      </c>
      <c r="K10060" s="2" t="s">
        <v>13474</v>
      </c>
      <c r="L10060" s="2">
        <f t="shared" si="157"/>
        <v>150</v>
      </c>
    </row>
    <row r="10061" spans="1:12" ht="25" customHeight="1">
      <c r="A10061" s="2" t="s">
        <v>12</v>
      </c>
      <c r="B10061" s="2" t="str">
        <f>HYPERLINK("http://www.12365auto.com/xcdg/20200210/418152.shtml","福特全新Bronco双门版谍照 搭2.3T发动机")</f>
        <v>福特全新Bronco双门版谍照 搭2.3T发动机</v>
      </c>
      <c r="C10061" s="2" t="s">
        <v>13</v>
      </c>
      <c r="D10061" s="2" t="s">
        <v>12</v>
      </c>
      <c r="E10061" s="2" t="s">
        <v>224</v>
      </c>
      <c r="F10061" s="2" t="str">
        <f>HYPERLINK("http://www.12365auto.com/xcdg/20200210/418152.shtml","http://www.12365auto.com/xcdg/20200210/418152.shtml")</f>
        <v>http://www.12365auto.com/xcdg/20200210/418152.shtml</v>
      </c>
      <c r="G10061" s="2"/>
      <c r="H10061" s="2" t="s">
        <v>13475</v>
      </c>
      <c r="I10061" s="2" t="s">
        <v>15</v>
      </c>
      <c r="J10061" s="2" t="s">
        <v>12</v>
      </c>
      <c r="K10061" s="2" t="s">
        <v>13474</v>
      </c>
      <c r="L10061" s="2">
        <f t="shared" si="157"/>
        <v>150</v>
      </c>
    </row>
    <row r="10062" spans="1:12" ht="25" customHeight="1">
      <c r="A10062" s="2" t="s">
        <v>12</v>
      </c>
      <c r="B10062" s="2" t="str">
        <f>HYPERLINK("http://m.12365auto.com/xcdg/20200210/418152.shtml","福特全新Bronco双门版谍照 搭2.3T发动机")</f>
        <v>福特全新Bronco双门版谍照 搭2.3T发动机</v>
      </c>
      <c r="C10062" s="2" t="s">
        <v>13</v>
      </c>
      <c r="D10062" s="2" t="s">
        <v>12</v>
      </c>
      <c r="E10062" s="2"/>
      <c r="F10062" s="2" t="str">
        <f>HYPERLINK("http://m.12365auto.com/xcdg/20200210/418152.shtml","http://m.12365auto.com/xcdg/20200210/418152.shtml")</f>
        <v>http://m.12365auto.com/xcdg/20200210/418152.shtml</v>
      </c>
      <c r="G10062" s="2"/>
      <c r="H10062" s="2" t="s">
        <v>13476</v>
      </c>
      <c r="I10062" s="2" t="s">
        <v>19</v>
      </c>
      <c r="J10062" s="2" t="s">
        <v>220</v>
      </c>
      <c r="K10062" s="2" t="s">
        <v>13474</v>
      </c>
      <c r="L10062" s="2">
        <f t="shared" si="157"/>
        <v>150</v>
      </c>
    </row>
    <row r="10063" spans="1:12" ht="25" customHeight="1">
      <c r="A10063" s="2" t="s">
        <v>12</v>
      </c>
      <c r="B10063" s="2" t="str">
        <f>HYPERLINK("http://bbs.12365auto.com/postcontent.aspx?tID=193629","售价约合人民币138.97-196.21万元 2020款奥迪R8上市")</f>
        <v>售价约合人民币138.97-196.21万元 2020款奥迪R8上市</v>
      </c>
      <c r="C10063" s="2" t="s">
        <v>13</v>
      </c>
      <c r="D10063" s="2" t="s">
        <v>12</v>
      </c>
      <c r="E10063" s="2" t="s">
        <v>28</v>
      </c>
      <c r="F10063" s="2" t="str">
        <f>HYPERLINK("http://bbs.12365auto.com/postcontent.aspx?tID=193629","http://bbs.12365auto.com/postcontent.aspx?tID=193629")</f>
        <v>http://bbs.12365auto.com/postcontent.aspx?tID=193629</v>
      </c>
      <c r="G10063" s="2"/>
      <c r="H10063" s="2" t="s">
        <v>13477</v>
      </c>
      <c r="I10063" s="2" t="s">
        <v>15</v>
      </c>
      <c r="J10063" s="2" t="s">
        <v>11368</v>
      </c>
      <c r="K10063" s="2" t="s">
        <v>13474</v>
      </c>
      <c r="L10063" s="2">
        <f t="shared" si="157"/>
        <v>150</v>
      </c>
    </row>
    <row r="10064" spans="1:12" ht="25" customHeight="1">
      <c r="A10064" s="2" t="s">
        <v>12</v>
      </c>
      <c r="B10064" s="2" t="str">
        <f>HYPERLINK("http://bbs.12365auto.com/postcontent.aspx?tId=193629","售价约合人民币138.97-196.21万元 2020款奥迪R8上市")</f>
        <v>售价约合人民币138.97-196.21万元 2020款奥迪R8上市</v>
      </c>
      <c r="C10064" s="2" t="s">
        <v>13</v>
      </c>
      <c r="D10064" s="2" t="s">
        <v>12</v>
      </c>
      <c r="E10064" s="2" t="s">
        <v>27</v>
      </c>
      <c r="F10064" s="2" t="str">
        <f>HYPERLINK("http://bbs.12365auto.com/postcontent.aspx?tId=193629","http://bbs.12365auto.com/postcontent.aspx?tId=193629")</f>
        <v>http://bbs.12365auto.com/postcontent.aspx?tId=193629</v>
      </c>
      <c r="G10064" s="2"/>
      <c r="H10064" s="2" t="s">
        <v>13473</v>
      </c>
      <c r="I10064" s="2" t="s">
        <v>15</v>
      </c>
      <c r="J10064" s="2" t="s">
        <v>11368</v>
      </c>
      <c r="K10064" s="2" t="s">
        <v>13474</v>
      </c>
      <c r="L10064" s="2">
        <f t="shared" si="157"/>
        <v>150</v>
      </c>
    </row>
    <row r="10065" spans="1:12" ht="25" customHeight="1">
      <c r="A10065" s="2" t="s">
        <v>12</v>
      </c>
      <c r="B10065" s="2" t="str">
        <f>HYPERLINK("http://m.12365auto.com/bbs/postcontent.aspx?tID=193628","年底将迎小改款 旅行版或已不远 曝大众Arteon最新消息")</f>
        <v>年底将迎小改款 旅行版或已不远 曝大众Arteon最新消息</v>
      </c>
      <c r="C10065" s="2" t="s">
        <v>13</v>
      </c>
      <c r="D10065" s="2" t="s">
        <v>23</v>
      </c>
      <c r="E10065" s="2"/>
      <c r="F10065" s="2" t="str">
        <f>HYPERLINK("http://m.12365auto.com/bbs/postcontent.aspx?tID=193628","http://m.12365auto.com/bbs/postcontent.aspx?tID=193628")</f>
        <v>http://m.12365auto.com/bbs/postcontent.aspx?tID=193628</v>
      </c>
      <c r="G10065" s="2"/>
      <c r="H10065" s="2" t="s">
        <v>13478</v>
      </c>
      <c r="I10065" s="2" t="s">
        <v>15</v>
      </c>
      <c r="J10065" s="2" t="s">
        <v>11368</v>
      </c>
      <c r="K10065" s="2" t="s">
        <v>13479</v>
      </c>
      <c r="L10065" s="2">
        <f t="shared" si="157"/>
        <v>150</v>
      </c>
    </row>
    <row r="10066" spans="1:12" ht="25" customHeight="1">
      <c r="A10066" s="2" t="s">
        <v>12</v>
      </c>
      <c r="B10066" s="2" t="str">
        <f>HYPERLINK("http://bbs.12365auto.com/postcontent.aspx?tID=193628","年底将迎小改款 旅行版或已不远 曝大众Arteon最新消息")</f>
        <v>年底将迎小改款 旅行版或已不远 曝大众Arteon最新消息</v>
      </c>
      <c r="C10066" s="2" t="s">
        <v>13</v>
      </c>
      <c r="D10066" s="2" t="s">
        <v>12</v>
      </c>
      <c r="E10066" s="2" t="s">
        <v>28</v>
      </c>
      <c r="F10066" s="2" t="str">
        <f>HYPERLINK("http://bbs.12365auto.com/postcontent.aspx?tID=193628","http://bbs.12365auto.com/postcontent.aspx?tID=193628")</f>
        <v>http://bbs.12365auto.com/postcontent.aspx?tID=193628</v>
      </c>
      <c r="G10066" s="2"/>
      <c r="H10066" s="2" t="s">
        <v>13480</v>
      </c>
      <c r="I10066" s="2" t="s">
        <v>15</v>
      </c>
      <c r="J10066" s="2" t="s">
        <v>11368</v>
      </c>
      <c r="K10066" s="2" t="s">
        <v>13479</v>
      </c>
      <c r="L10066" s="2">
        <f t="shared" si="157"/>
        <v>150</v>
      </c>
    </row>
    <row r="10067" spans="1:12" ht="25" customHeight="1">
      <c r="A10067" s="2" t="s">
        <v>12</v>
      </c>
      <c r="B10067" s="2" t="str">
        <f>HYPERLINK("http://bbs.12365auto.com/postcontent.aspx?tId=193628","年底将迎小改款 旅行版或已不远 曝大众Arteon最新消息")</f>
        <v>年底将迎小改款 旅行版或已不远 曝大众Arteon最新消息</v>
      </c>
      <c r="C10067" s="2" t="s">
        <v>13</v>
      </c>
      <c r="D10067" s="2" t="s">
        <v>12</v>
      </c>
      <c r="E10067" s="2" t="s">
        <v>27</v>
      </c>
      <c r="F10067" s="2" t="str">
        <f>HYPERLINK("http://bbs.12365auto.com/postcontent.aspx?tId=193628","http://bbs.12365auto.com/postcontent.aspx?tId=193628")</f>
        <v>http://bbs.12365auto.com/postcontent.aspx?tId=193628</v>
      </c>
      <c r="G10067" s="2"/>
      <c r="H10067" s="2" t="s">
        <v>13478</v>
      </c>
      <c r="I10067" s="2" t="s">
        <v>15</v>
      </c>
      <c r="J10067" s="2" t="s">
        <v>11368</v>
      </c>
      <c r="K10067" s="2" t="s">
        <v>13479</v>
      </c>
      <c r="L10067" s="2">
        <f t="shared" si="157"/>
        <v>150</v>
      </c>
    </row>
    <row r="10068" spans="1:12" ht="25" customHeight="1">
      <c r="A10068" s="2" t="s">
        <v>12</v>
      </c>
      <c r="B10068" s="2" t="str">
        <f>HYPERLINK("http://m.12365auto.com/bbs/postcontent.aspx?tID=193627","终于等到你 两厢思域就要来了")</f>
        <v>终于等到你 两厢思域就要来了</v>
      </c>
      <c r="C10068" s="2" t="s">
        <v>13</v>
      </c>
      <c r="D10068" s="2" t="s">
        <v>23</v>
      </c>
      <c r="E10068" s="2"/>
      <c r="F10068" s="2" t="str">
        <f>HYPERLINK("http://m.12365auto.com/bbs/postcontent.aspx?tID=193627","http://m.12365auto.com/bbs/postcontent.aspx?tID=193627")</f>
        <v>http://m.12365auto.com/bbs/postcontent.aspx?tID=193627</v>
      </c>
      <c r="G10068" s="2"/>
      <c r="H10068" s="2" t="s">
        <v>13481</v>
      </c>
      <c r="I10068" s="2" t="s">
        <v>15</v>
      </c>
      <c r="J10068" s="2" t="s">
        <v>11368</v>
      </c>
      <c r="K10068" s="2" t="s">
        <v>13482</v>
      </c>
      <c r="L10068" s="2">
        <f t="shared" si="157"/>
        <v>150</v>
      </c>
    </row>
    <row r="10069" spans="1:12" ht="25" customHeight="1">
      <c r="A10069" s="2" t="s">
        <v>12</v>
      </c>
      <c r="B10069" s="2" t="str">
        <f>HYPERLINK("http://m.12365auto.com/bbs/postcontent.aspx?tID=193626","福特Bronco效果图曝光")</f>
        <v>福特Bronco效果图曝光</v>
      </c>
      <c r="C10069" s="2" t="s">
        <v>13</v>
      </c>
      <c r="D10069" s="2" t="s">
        <v>23</v>
      </c>
      <c r="E10069" s="2"/>
      <c r="F10069" s="2" t="str">
        <f>HYPERLINK("http://m.12365auto.com/bbs/postcontent.aspx?tID=193626","http://m.12365auto.com/bbs/postcontent.aspx?tID=193626")</f>
        <v>http://m.12365auto.com/bbs/postcontent.aspx?tID=193626</v>
      </c>
      <c r="G10069" s="2"/>
      <c r="H10069" s="2" t="s">
        <v>13483</v>
      </c>
      <c r="I10069" s="2" t="s">
        <v>15</v>
      </c>
      <c r="J10069" s="2" t="s">
        <v>11368</v>
      </c>
      <c r="K10069" s="2" t="s">
        <v>13482</v>
      </c>
      <c r="L10069" s="2">
        <f t="shared" si="157"/>
        <v>150</v>
      </c>
    </row>
    <row r="10070" spans="1:12" ht="25" customHeight="1">
      <c r="A10070" s="2" t="s">
        <v>12</v>
      </c>
      <c r="B10070" s="2" t="str">
        <f>HYPERLINK("http://bbs.12365auto.com/postcontent.aspx?tID=193627","终于等到你 两厢思域就要来了")</f>
        <v>终于等到你 两厢思域就要来了</v>
      </c>
      <c r="C10070" s="2" t="s">
        <v>13</v>
      </c>
      <c r="D10070" s="2" t="s">
        <v>12</v>
      </c>
      <c r="E10070" s="2" t="s">
        <v>28</v>
      </c>
      <c r="F10070" s="2" t="str">
        <f>HYPERLINK("http://bbs.12365auto.com/postcontent.aspx?tID=193627","http://bbs.12365auto.com/postcontent.aspx?tID=193627")</f>
        <v>http://bbs.12365auto.com/postcontent.aspx?tID=193627</v>
      </c>
      <c r="G10070" s="2"/>
      <c r="H10070" s="2" t="s">
        <v>13484</v>
      </c>
      <c r="I10070" s="2" t="s">
        <v>15</v>
      </c>
      <c r="J10070" s="2" t="s">
        <v>11368</v>
      </c>
      <c r="K10070" s="2" t="s">
        <v>13482</v>
      </c>
      <c r="L10070" s="2">
        <f t="shared" si="157"/>
        <v>150</v>
      </c>
    </row>
    <row r="10071" spans="1:12" ht="25" customHeight="1">
      <c r="A10071" s="2" t="s">
        <v>12</v>
      </c>
      <c r="B10071" s="2" t="str">
        <f>HYPERLINK("http://bbs.12365auto.com/postcontent.aspx?tID=193626","福特Bronco效果图曝光")</f>
        <v>福特Bronco效果图曝光</v>
      </c>
      <c r="C10071" s="2" t="s">
        <v>13</v>
      </c>
      <c r="D10071" s="2" t="s">
        <v>12</v>
      </c>
      <c r="E10071" s="2" t="s">
        <v>28</v>
      </c>
      <c r="F10071" s="2" t="str">
        <f>HYPERLINK("http://bbs.12365auto.com/postcontent.aspx?tID=193626","http://bbs.12365auto.com/postcontent.aspx?tID=193626")</f>
        <v>http://bbs.12365auto.com/postcontent.aspx?tID=193626</v>
      </c>
      <c r="G10071" s="2"/>
      <c r="H10071" s="2" t="s">
        <v>13485</v>
      </c>
      <c r="I10071" s="2" t="s">
        <v>15</v>
      </c>
      <c r="J10071" s="2" t="s">
        <v>11368</v>
      </c>
      <c r="K10071" s="2" t="s">
        <v>13482</v>
      </c>
      <c r="L10071" s="2">
        <f t="shared" si="157"/>
        <v>150</v>
      </c>
    </row>
    <row r="10072" spans="1:12" ht="25" customHeight="1">
      <c r="A10072" s="2" t="s">
        <v>12</v>
      </c>
      <c r="B10072" s="2" t="str">
        <f>HYPERLINK("http://bbs.12365auto.com/postcontent.aspx?tId=193627","终于等到你 两厢思域就要来了")</f>
        <v>终于等到你 两厢思域就要来了</v>
      </c>
      <c r="C10072" s="2" t="s">
        <v>13</v>
      </c>
      <c r="D10072" s="2" t="s">
        <v>12</v>
      </c>
      <c r="E10072" s="2" t="s">
        <v>27</v>
      </c>
      <c r="F10072" s="2" t="str">
        <f>HYPERLINK("http://bbs.12365auto.com/postcontent.aspx?tId=193627","http://bbs.12365auto.com/postcontent.aspx?tId=193627")</f>
        <v>http://bbs.12365auto.com/postcontent.aspx?tId=193627</v>
      </c>
      <c r="G10072" s="2"/>
      <c r="H10072" s="2" t="s">
        <v>13481</v>
      </c>
      <c r="I10072" s="2" t="s">
        <v>15</v>
      </c>
      <c r="J10072" s="2" t="s">
        <v>11368</v>
      </c>
      <c r="K10072" s="2" t="s">
        <v>13482</v>
      </c>
      <c r="L10072" s="2">
        <f t="shared" si="157"/>
        <v>150</v>
      </c>
    </row>
    <row r="10073" spans="1:12" ht="25" customHeight="1">
      <c r="A10073" s="2" t="s">
        <v>12</v>
      </c>
      <c r="B10073" s="2" t="str">
        <f>HYPERLINK("http://bbs.12365auto.com/postcontent.aspx?tId=193626","福特Bronco效果图曝光")</f>
        <v>福特Bronco效果图曝光</v>
      </c>
      <c r="C10073" s="2" t="s">
        <v>13</v>
      </c>
      <c r="D10073" s="2" t="s">
        <v>12</v>
      </c>
      <c r="E10073" s="2" t="s">
        <v>27</v>
      </c>
      <c r="F10073" s="2" t="str">
        <f>HYPERLINK("http://bbs.12365auto.com/postcontent.aspx?tId=193626","http://bbs.12365auto.com/postcontent.aspx?tId=193626")</f>
        <v>http://bbs.12365auto.com/postcontent.aspx?tId=193626</v>
      </c>
      <c r="G10073" s="2"/>
      <c r="H10073" s="2" t="s">
        <v>13483</v>
      </c>
      <c r="I10073" s="2" t="s">
        <v>15</v>
      </c>
      <c r="J10073" s="2" t="s">
        <v>11368</v>
      </c>
      <c r="K10073" s="2" t="s">
        <v>13482</v>
      </c>
      <c r="L10073" s="2">
        <f t="shared" si="157"/>
        <v>150</v>
      </c>
    </row>
    <row r="10074" spans="1:12" ht="25" customHeight="1">
      <c r="A10074" s="2" t="s">
        <v>12</v>
      </c>
      <c r="B10074" s="2" t="str">
        <f>HYPERLINK("http://www.12365auto.com/news/20200210/418150.shtml","销量受疫情影响 日产汽车同比下滑11.8%")</f>
        <v>销量受疫情影响 日产汽车同比下滑11.8%</v>
      </c>
      <c r="C10074" s="2" t="s">
        <v>13</v>
      </c>
      <c r="D10074" s="2" t="s">
        <v>12</v>
      </c>
      <c r="E10074" s="2" t="s">
        <v>276</v>
      </c>
      <c r="F10074" s="2" t="str">
        <f>HYPERLINK("http://www.12365auto.com/news/20200210/418150.shtml","http://www.12365auto.com/news/20200210/418150.shtml")</f>
        <v>http://www.12365auto.com/news/20200210/418150.shtml</v>
      </c>
      <c r="G10074" s="2"/>
      <c r="H10074" s="2" t="s">
        <v>13486</v>
      </c>
      <c r="I10074" s="2" t="s">
        <v>15</v>
      </c>
      <c r="J10074" s="2" t="s">
        <v>12</v>
      </c>
      <c r="K10074" s="2" t="s">
        <v>13487</v>
      </c>
      <c r="L10074" s="2">
        <f t="shared" si="157"/>
        <v>150</v>
      </c>
    </row>
    <row r="10075" spans="1:12" ht="25" customHeight="1">
      <c r="A10075" s="2" t="s">
        <v>12</v>
      </c>
      <c r="B10075" s="2" t="str">
        <f>HYPERLINK("http://m.12365auto.com/news/20200210/418150.shtml","销量受疫情影响 日产汽车同比下滑11.8%")</f>
        <v>销量受疫情影响 日产汽车同比下滑11.8%</v>
      </c>
      <c r="C10075" s="2" t="s">
        <v>13</v>
      </c>
      <c r="D10075" s="2" t="s">
        <v>12</v>
      </c>
      <c r="E10075" s="2"/>
      <c r="F10075" s="2" t="str">
        <f>HYPERLINK("http://m.12365auto.com/news/20200210/418150.shtml","http://m.12365auto.com/news/20200210/418150.shtml")</f>
        <v>http://m.12365auto.com/news/20200210/418150.shtml</v>
      </c>
      <c r="G10075" s="2"/>
      <c r="H10075" s="2" t="s">
        <v>13488</v>
      </c>
      <c r="I10075" s="2" t="s">
        <v>19</v>
      </c>
      <c r="J10075" s="2" t="s">
        <v>13489</v>
      </c>
      <c r="K10075" s="2" t="s">
        <v>13487</v>
      </c>
      <c r="L10075" s="2">
        <f t="shared" si="157"/>
        <v>150</v>
      </c>
    </row>
    <row r="10076" spans="1:12" ht="25" customHeight="1">
      <c r="A10076" s="2" t="s">
        <v>12</v>
      </c>
      <c r="B10076" s="2" t="str">
        <f>HYPERLINK("http://m.12365auto.com/xcdg/20200210/418151.shtml","最高优惠1.2万 10万可入手大空间SUV推荐")</f>
        <v>最高优惠1.2万 10万可入手大空间SUV推荐</v>
      </c>
      <c r="C10076" s="2" t="s">
        <v>13</v>
      </c>
      <c r="D10076" s="2" t="s">
        <v>12</v>
      </c>
      <c r="E10076" s="2"/>
      <c r="F10076" s="2" t="str">
        <f>HYPERLINK("http://m.12365auto.com/xcdg/20200210/418151.shtml","http://m.12365auto.com/xcdg/20200210/418151.shtml")</f>
        <v>http://m.12365auto.com/xcdg/20200210/418151.shtml</v>
      </c>
      <c r="G10076" s="2"/>
      <c r="H10076" s="2" t="s">
        <v>13490</v>
      </c>
      <c r="I10076" s="2" t="s">
        <v>19</v>
      </c>
      <c r="J10076" s="2" t="s">
        <v>12</v>
      </c>
      <c r="K10076" s="2" t="s">
        <v>13487</v>
      </c>
      <c r="L10076" s="2">
        <f t="shared" si="157"/>
        <v>150</v>
      </c>
    </row>
    <row r="10077" spans="1:12" ht="25" customHeight="1">
      <c r="A10077" s="2" t="s">
        <v>12</v>
      </c>
      <c r="B10077" s="2" t="str">
        <f>HYPERLINK("http://www.12365auto.com/news/20200210/418149.shtml","这些费油的驾驶坏习惯 你占几个？")</f>
        <v>这些费油的驾驶坏习惯 你占几个？</v>
      </c>
      <c r="C10077" s="2" t="s">
        <v>13</v>
      </c>
      <c r="D10077" s="2" t="s">
        <v>12</v>
      </c>
      <c r="E10077" s="2" t="s">
        <v>372</v>
      </c>
      <c r="F10077" s="2" t="str">
        <f>HYPERLINK("http://www.12365auto.com/news/20200210/418149.shtml","http://www.12365auto.com/news/20200210/418149.shtml")</f>
        <v>http://www.12365auto.com/news/20200210/418149.shtml</v>
      </c>
      <c r="G10077" s="2"/>
      <c r="H10077" s="2" t="s">
        <v>13491</v>
      </c>
      <c r="I10077" s="2" t="s">
        <v>15</v>
      </c>
      <c r="J10077" s="2" t="s">
        <v>12</v>
      </c>
      <c r="K10077" s="2" t="s">
        <v>13492</v>
      </c>
      <c r="L10077" s="2">
        <f t="shared" si="157"/>
        <v>150</v>
      </c>
    </row>
    <row r="10078" spans="1:12" ht="25" customHeight="1">
      <c r="A10078" s="2" t="s">
        <v>12</v>
      </c>
      <c r="B10078" s="2" t="str">
        <f>HYPERLINK("http://m.12365auto.com/news/20200210/418149.shtml","这些费油的驾驶坏习惯 你占几个？")</f>
        <v>这些费油的驾驶坏习惯 你占几个？</v>
      </c>
      <c r="C10078" s="2" t="s">
        <v>13</v>
      </c>
      <c r="D10078" s="2" t="s">
        <v>12</v>
      </c>
      <c r="E10078" s="2"/>
      <c r="F10078" s="2" t="str">
        <f>HYPERLINK("http://m.12365auto.com/news/20200210/418149.shtml","http://m.12365auto.com/news/20200210/418149.shtml")</f>
        <v>http://m.12365auto.com/news/20200210/418149.shtml</v>
      </c>
      <c r="G10078" s="2"/>
      <c r="H10078" s="2" t="s">
        <v>13493</v>
      </c>
      <c r="I10078" s="2" t="s">
        <v>19</v>
      </c>
      <c r="J10078" s="2" t="s">
        <v>12</v>
      </c>
      <c r="K10078" s="2" t="s">
        <v>13492</v>
      </c>
      <c r="L10078" s="2">
        <f t="shared" si="157"/>
        <v>150</v>
      </c>
    </row>
    <row r="10079" spans="1:12" ht="25" customHeight="1">
      <c r="A10079" s="2" t="s">
        <v>12</v>
      </c>
      <c r="B10079" s="2" t="str">
        <f>HYPERLINK("http://m.12365auto.com/xcdg/20200210/418147.shtml","挑战豪华SUV GLE vs X5 vs AVIATOR谁更强")</f>
        <v>挑战豪华SUV GLE vs X5 vs AVIATOR谁更强</v>
      </c>
      <c r="C10079" s="2" t="s">
        <v>13</v>
      </c>
      <c r="D10079" s="2" t="s">
        <v>12</v>
      </c>
      <c r="E10079" s="2"/>
      <c r="F10079" s="2" t="str">
        <f>HYPERLINK("http://m.12365auto.com/xcdg/20200210/418147.shtml","http://m.12365auto.com/xcdg/20200210/418147.shtml")</f>
        <v>http://m.12365auto.com/xcdg/20200210/418147.shtml</v>
      </c>
      <c r="G10079" s="2"/>
      <c r="H10079" s="2" t="s">
        <v>13494</v>
      </c>
      <c r="I10079" s="2" t="s">
        <v>19</v>
      </c>
      <c r="J10079" s="2" t="s">
        <v>3560</v>
      </c>
      <c r="K10079" s="2" t="s">
        <v>13492</v>
      </c>
      <c r="L10079" s="2">
        <f t="shared" si="157"/>
        <v>150</v>
      </c>
    </row>
    <row r="10080" spans="1:12" ht="25" customHeight="1">
      <c r="A10080" s="2" t="s">
        <v>12</v>
      </c>
      <c r="B10080" s="2" t="str">
        <f>HYPERLINK("http://www.12365auto.com/news/20200210/418148.shtml","保养爱车时 千万别忘了这8个孔")</f>
        <v>保养爱车时 千万别忘了这8个孔</v>
      </c>
      <c r="C10080" s="2" t="s">
        <v>13</v>
      </c>
      <c r="D10080" s="2" t="s">
        <v>12</v>
      </c>
      <c r="E10080" s="2" t="s">
        <v>372</v>
      </c>
      <c r="F10080" s="2" t="str">
        <f>HYPERLINK("http://www.12365auto.com/news/20200210/418148.shtml","http://www.12365auto.com/news/20200210/418148.shtml")</f>
        <v>http://www.12365auto.com/news/20200210/418148.shtml</v>
      </c>
      <c r="G10080" s="2"/>
      <c r="H10080" s="2" t="s">
        <v>13495</v>
      </c>
      <c r="I10080" s="2" t="s">
        <v>15</v>
      </c>
      <c r="J10080" s="2" t="s">
        <v>12</v>
      </c>
      <c r="K10080" s="2" t="s">
        <v>13496</v>
      </c>
      <c r="L10080" s="2">
        <f t="shared" si="157"/>
        <v>150</v>
      </c>
    </row>
    <row r="10081" spans="1:12" ht="25" customHeight="1">
      <c r="A10081" s="2" t="s">
        <v>12</v>
      </c>
      <c r="B10081" s="2" t="str">
        <f>HYPERLINK("http://m.12365auto.com/news/20200210/418148.shtml","保养爱车时 千万别忘了这8个孔")</f>
        <v>保养爱车时 千万别忘了这8个孔</v>
      </c>
      <c r="C10081" s="2" t="s">
        <v>13</v>
      </c>
      <c r="D10081" s="2" t="s">
        <v>12</v>
      </c>
      <c r="E10081" s="2"/>
      <c r="F10081" s="2" t="str">
        <f>HYPERLINK("http://m.12365auto.com/news/20200210/418148.shtml","http://m.12365auto.com/news/20200210/418148.shtml")</f>
        <v>http://m.12365auto.com/news/20200210/418148.shtml</v>
      </c>
      <c r="G10081" s="2"/>
      <c r="H10081" s="2" t="s">
        <v>13497</v>
      </c>
      <c r="I10081" s="2" t="s">
        <v>19</v>
      </c>
      <c r="J10081" s="2" t="s">
        <v>12</v>
      </c>
      <c r="K10081" s="2" t="s">
        <v>13496</v>
      </c>
      <c r="L10081" s="2">
        <f t="shared" si="157"/>
        <v>150</v>
      </c>
    </row>
    <row r="10082" spans="1:12" ht="25" customHeight="1">
      <c r="A10082" s="2" t="s">
        <v>12</v>
      </c>
      <c r="B10082" s="2" t="str">
        <f>HYPERLINK("http://www.12365auto.com/news/20200210/418145.shtml","宝钢：下调车市预期 新能源仍是亮点")</f>
        <v>宝钢：下调车市预期 新能源仍是亮点</v>
      </c>
      <c r="C10082" s="2" t="s">
        <v>13</v>
      </c>
      <c r="D10082" s="2" t="s">
        <v>12</v>
      </c>
      <c r="E10082" s="2" t="s">
        <v>276</v>
      </c>
      <c r="F10082" s="2" t="str">
        <f>HYPERLINK("http://www.12365auto.com/news/20200210/418145.shtml","http://www.12365auto.com/news/20200210/418145.shtml")</f>
        <v>http://www.12365auto.com/news/20200210/418145.shtml</v>
      </c>
      <c r="G10082" s="2"/>
      <c r="H10082" s="2" t="s">
        <v>13498</v>
      </c>
      <c r="I10082" s="2" t="s">
        <v>15</v>
      </c>
      <c r="J10082" s="2" t="s">
        <v>12</v>
      </c>
      <c r="K10082" s="2" t="s">
        <v>13499</v>
      </c>
      <c r="L10082" s="2">
        <f t="shared" si="157"/>
        <v>150</v>
      </c>
    </row>
    <row r="10083" spans="1:12" ht="25" customHeight="1">
      <c r="A10083" s="2" t="s">
        <v>12</v>
      </c>
      <c r="B10083" s="2" t="str">
        <f>HYPERLINK("http://m.12365auto.com/news/20200210/418145.shtml","宝钢：下调车市预期 新能源仍是亮点")</f>
        <v>宝钢：下调车市预期 新能源仍是亮点</v>
      </c>
      <c r="C10083" s="2" t="s">
        <v>13</v>
      </c>
      <c r="D10083" s="2" t="s">
        <v>12</v>
      </c>
      <c r="E10083" s="2"/>
      <c r="F10083" s="2" t="str">
        <f>HYPERLINK("http://m.12365auto.com/news/20200210/418145.shtml","http://m.12365auto.com/news/20200210/418145.shtml")</f>
        <v>http://m.12365auto.com/news/20200210/418145.shtml</v>
      </c>
      <c r="G10083" s="2"/>
      <c r="H10083" s="2" t="s">
        <v>13500</v>
      </c>
      <c r="I10083" s="2" t="s">
        <v>19</v>
      </c>
      <c r="J10083" s="2" t="s">
        <v>13501</v>
      </c>
      <c r="K10083" s="2" t="s">
        <v>13499</v>
      </c>
      <c r="L10083" s="2">
        <f t="shared" si="157"/>
        <v>150</v>
      </c>
    </row>
    <row r="10084" spans="1:12" ht="25" customHeight="1">
      <c r="A10084" s="2" t="s">
        <v>12</v>
      </c>
      <c r="B10084" s="2" t="str">
        <f>HYPERLINK("http://m.12365auto.com/xcdg/20200210/418146.shtml","A4L打8折成为销冠 S60已优惠3万 不香吗？")</f>
        <v>A4L打8折成为销冠 S60已优惠3万 不香吗？</v>
      </c>
      <c r="C10084" s="2" t="s">
        <v>13</v>
      </c>
      <c r="D10084" s="2" t="s">
        <v>12</v>
      </c>
      <c r="E10084" s="2"/>
      <c r="F10084" s="2" t="str">
        <f>HYPERLINK("http://m.12365auto.com/xcdg/20200210/418146.shtml","http://m.12365auto.com/xcdg/20200210/418146.shtml")</f>
        <v>http://m.12365auto.com/xcdg/20200210/418146.shtml</v>
      </c>
      <c r="G10084" s="2"/>
      <c r="H10084" s="2" t="s">
        <v>13502</v>
      </c>
      <c r="I10084" s="2" t="s">
        <v>19</v>
      </c>
      <c r="J10084" s="2" t="s">
        <v>1017</v>
      </c>
      <c r="K10084" s="2" t="s">
        <v>13499</v>
      </c>
      <c r="L10084" s="2">
        <f t="shared" si="157"/>
        <v>150</v>
      </c>
    </row>
    <row r="10085" spans="1:12" ht="25" customHeight="1">
      <c r="A10085" s="2" t="s">
        <v>12</v>
      </c>
      <c r="B10085" s="2" t="str">
        <f>HYPERLINK("http://m.12365auto.com/xcdg/20200210/418144.shtml","现代全新索纳塔油电混动版亮相 亮点在轮毂")</f>
        <v>现代全新索纳塔油电混动版亮相 亮点在轮毂</v>
      </c>
      <c r="C10085" s="2" t="s">
        <v>13</v>
      </c>
      <c r="D10085" s="2" t="s">
        <v>12</v>
      </c>
      <c r="E10085" s="2"/>
      <c r="F10085" s="2" t="str">
        <f>HYPERLINK("http://m.12365auto.com/xcdg/20200210/418144.shtml","http://m.12365auto.com/xcdg/20200210/418144.shtml")</f>
        <v>http://m.12365auto.com/xcdg/20200210/418144.shtml</v>
      </c>
      <c r="G10085" s="2"/>
      <c r="H10085" s="2" t="s">
        <v>13503</v>
      </c>
      <c r="I10085" s="2" t="s">
        <v>19</v>
      </c>
      <c r="J10085" s="2" t="s">
        <v>220</v>
      </c>
      <c r="K10085" s="2" t="s">
        <v>13504</v>
      </c>
      <c r="L10085" s="2">
        <f t="shared" si="157"/>
        <v>150</v>
      </c>
    </row>
    <row r="10086" spans="1:12" ht="25" customHeight="1">
      <c r="A10086" s="2" t="s">
        <v>12</v>
      </c>
      <c r="B10086" s="2" t="str">
        <f>HYPERLINK("http://www.12365auto.com/xcdg/20200210/418144.shtml","现代全新索纳塔油电混动版亮相 亮点在轮毂")</f>
        <v>现代全新索纳塔油电混动版亮相 亮点在轮毂</v>
      </c>
      <c r="C10086" s="2" t="s">
        <v>13</v>
      </c>
      <c r="D10086" s="2" t="s">
        <v>12</v>
      </c>
      <c r="E10086" s="2" t="s">
        <v>216</v>
      </c>
      <c r="F10086" s="2" t="str">
        <f>HYPERLINK("http://www.12365auto.com/xcdg/20200210/418144.shtml","http://www.12365auto.com/xcdg/20200210/418144.shtml")</f>
        <v>http://www.12365auto.com/xcdg/20200210/418144.shtml</v>
      </c>
      <c r="G10086" s="2"/>
      <c r="H10086" s="2" t="s">
        <v>13505</v>
      </c>
      <c r="I10086" s="2" t="s">
        <v>15</v>
      </c>
      <c r="J10086" s="2" t="s">
        <v>12</v>
      </c>
      <c r="K10086" s="2" t="s">
        <v>13504</v>
      </c>
      <c r="L10086" s="2">
        <f t="shared" si="157"/>
        <v>150</v>
      </c>
    </row>
    <row r="10087" spans="1:12" ht="25" customHeight="1">
      <c r="A10087" s="2" t="s">
        <v>12</v>
      </c>
      <c r="B10087" s="2" t="str">
        <f>HYPERLINK("http://www.12365auto.com/news/20200210/418143.shtml","李金勇：经销商如何破解防疫“三重门”")</f>
        <v>李金勇：经销商如何破解防疫“三重门”</v>
      </c>
      <c r="C10087" s="2" t="s">
        <v>13</v>
      </c>
      <c r="D10087" s="2" t="s">
        <v>12</v>
      </c>
      <c r="E10087" s="2" t="s">
        <v>276</v>
      </c>
      <c r="F10087" s="2" t="str">
        <f>HYPERLINK("http://www.12365auto.com/news/20200210/418143.shtml","http://www.12365auto.com/news/20200210/418143.shtml")</f>
        <v>http://www.12365auto.com/news/20200210/418143.shtml</v>
      </c>
      <c r="G10087" s="2"/>
      <c r="H10087" s="2" t="s">
        <v>13506</v>
      </c>
      <c r="I10087" s="2" t="s">
        <v>15</v>
      </c>
      <c r="J10087" s="2" t="s">
        <v>12</v>
      </c>
      <c r="K10087" s="2" t="s">
        <v>13507</v>
      </c>
      <c r="L10087" s="2">
        <f t="shared" si="157"/>
        <v>150</v>
      </c>
    </row>
    <row r="10088" spans="1:12" ht="25" customHeight="1">
      <c r="A10088" s="2" t="s">
        <v>12</v>
      </c>
      <c r="B10088" s="2" t="str">
        <f>HYPERLINK("http://m.12365auto.com/news/20200210/418143.shtml","李金勇：经销商如何破解防疫“三重门”")</f>
        <v>李金勇：经销商如何破解防疫“三重门”</v>
      </c>
      <c r="C10088" s="2" t="s">
        <v>13</v>
      </c>
      <c r="D10088" s="2" t="s">
        <v>12</v>
      </c>
      <c r="E10088" s="2"/>
      <c r="F10088" s="2" t="str">
        <f>HYPERLINK("http://m.12365auto.com/news/20200210/418143.shtml","http://m.12365auto.com/news/20200210/418143.shtml")</f>
        <v>http://m.12365auto.com/news/20200210/418143.shtml</v>
      </c>
      <c r="G10088" s="2"/>
      <c r="H10088" s="2" t="s">
        <v>13508</v>
      </c>
      <c r="I10088" s="2" t="s">
        <v>19</v>
      </c>
      <c r="J10088" s="2" t="s">
        <v>1170</v>
      </c>
      <c r="K10088" s="2" t="s">
        <v>13507</v>
      </c>
      <c r="L10088" s="2">
        <f t="shared" si="157"/>
        <v>150</v>
      </c>
    </row>
    <row r="10089" spans="1:12" ht="25" customHeight="1">
      <c r="A10089" s="2" t="s">
        <v>12</v>
      </c>
      <c r="B10089" s="2" t="str">
        <f>HYPERLINK("http://www.12365auto.com/xcdg/20200210/418142.shtml","不止对标奥迪S3 如何看待奔驰A 35 L AMG")</f>
        <v>不止对标奥迪S3 如何看待奔驰A 35 L AMG</v>
      </c>
      <c r="C10089" s="2" t="s">
        <v>13</v>
      </c>
      <c r="D10089" s="2" t="s">
        <v>12</v>
      </c>
      <c r="E10089" s="2" t="s">
        <v>245</v>
      </c>
      <c r="F10089" s="2" t="str">
        <f>HYPERLINK("http://www.12365auto.com/xcdg/20200210/418142.shtml","http://www.12365auto.com/xcdg/20200210/418142.shtml")</f>
        <v>http://www.12365auto.com/xcdg/20200210/418142.shtml</v>
      </c>
      <c r="G10089" s="2"/>
      <c r="H10089" s="2" t="s">
        <v>13509</v>
      </c>
      <c r="I10089" s="2" t="s">
        <v>19</v>
      </c>
      <c r="J10089" s="2" t="s">
        <v>12</v>
      </c>
      <c r="K10089" s="2" t="s">
        <v>13507</v>
      </c>
      <c r="L10089" s="2">
        <f t="shared" si="157"/>
        <v>150</v>
      </c>
    </row>
    <row r="10090" spans="1:12" ht="25" customHeight="1">
      <c r="A10090" s="2" t="s">
        <v>12</v>
      </c>
      <c r="B10090" s="2" t="str">
        <f>HYPERLINK("http://m.12365auto.com/xcdg/20200210/418142.shtml","不止对标奥迪S3 如何看待奔驰A 35 L AMG")</f>
        <v>不止对标奥迪S3 如何看待奔驰A 35 L AMG</v>
      </c>
      <c r="C10090" s="2" t="s">
        <v>13</v>
      </c>
      <c r="D10090" s="2" t="s">
        <v>12</v>
      </c>
      <c r="E10090" s="2"/>
      <c r="F10090" s="2" t="str">
        <f>HYPERLINK("http://m.12365auto.com/xcdg/20200210/418142.shtml","http://m.12365auto.com/xcdg/20200210/418142.shtml")</f>
        <v>http://m.12365auto.com/xcdg/20200210/418142.shtml</v>
      </c>
      <c r="G10090" s="2"/>
      <c r="H10090" s="2" t="s">
        <v>13510</v>
      </c>
      <c r="I10090" s="2" t="s">
        <v>19</v>
      </c>
      <c r="J10090" s="2" t="s">
        <v>3560</v>
      </c>
      <c r="K10090" s="2" t="s">
        <v>13507</v>
      </c>
      <c r="L10090" s="2">
        <f t="shared" si="157"/>
        <v>150</v>
      </c>
    </row>
    <row r="10091" spans="1:12" ht="25" customHeight="1">
      <c r="A10091" s="2" t="s">
        <v>12</v>
      </c>
      <c r="B10091" s="2" t="str">
        <f>HYPERLINK("http://m.12365auto.com/xcdg/20200210/418141.shtml","本田新款思域Type R官图发布 今年冬季上市")</f>
        <v>本田新款思域Type R官图发布 今年冬季上市</v>
      </c>
      <c r="C10091" s="2" t="s">
        <v>13</v>
      </c>
      <c r="D10091" s="2" t="s">
        <v>12</v>
      </c>
      <c r="E10091" s="2"/>
      <c r="F10091" s="2" t="str">
        <f>HYPERLINK("http://m.12365auto.com/xcdg/20200210/418141.shtml","http://m.12365auto.com/xcdg/20200210/418141.shtml")</f>
        <v>http://m.12365auto.com/xcdg/20200210/418141.shtml</v>
      </c>
      <c r="G10091" s="2"/>
      <c r="H10091" s="2" t="s">
        <v>13511</v>
      </c>
      <c r="I10091" s="2" t="s">
        <v>19</v>
      </c>
      <c r="J10091" s="2" t="s">
        <v>220</v>
      </c>
      <c r="K10091" s="2" t="s">
        <v>13507</v>
      </c>
      <c r="L10091" s="2">
        <f t="shared" si="157"/>
        <v>150</v>
      </c>
    </row>
    <row r="10092" spans="1:12" ht="25" customHeight="1">
      <c r="A10092" s="2" t="s">
        <v>12</v>
      </c>
      <c r="B10092" s="2" t="str">
        <f>HYPERLINK("http://www.12365auto.com/xcdg/20200210/418141.shtml","本田新款思域Type R官图发布 今年冬季上市")</f>
        <v>本田新款思域Type R官图发布 今年冬季上市</v>
      </c>
      <c r="C10092" s="2" t="s">
        <v>13</v>
      </c>
      <c r="D10092" s="2" t="s">
        <v>12</v>
      </c>
      <c r="E10092" s="2" t="s">
        <v>216</v>
      </c>
      <c r="F10092" s="2" t="str">
        <f>HYPERLINK("http://www.12365auto.com/xcdg/20200210/418141.shtml","http://www.12365auto.com/xcdg/20200210/418141.shtml")</f>
        <v>http://www.12365auto.com/xcdg/20200210/418141.shtml</v>
      </c>
      <c r="G10092" s="2"/>
      <c r="H10092" s="2" t="s">
        <v>13512</v>
      </c>
      <c r="I10092" s="2" t="s">
        <v>15</v>
      </c>
      <c r="J10092" s="2" t="s">
        <v>12</v>
      </c>
      <c r="K10092" s="2" t="s">
        <v>13507</v>
      </c>
      <c r="L10092" s="2">
        <f t="shared" si="157"/>
        <v>150</v>
      </c>
    </row>
    <row r="10093" spans="1:12" ht="25" customHeight="1">
      <c r="A10093" s="2" t="s">
        <v>12</v>
      </c>
      <c r="B10093" s="2" t="str">
        <f>HYPERLINK("http://m.12365auto.com/news/20200210/418140.shtml","奥迪将推23款新车 轿车看点多/最低19万起")</f>
        <v>奥迪将推23款新车 轿车看点多/最低19万起</v>
      </c>
      <c r="C10093" s="2" t="s">
        <v>13</v>
      </c>
      <c r="D10093" s="2" t="s">
        <v>12</v>
      </c>
      <c r="E10093" s="2"/>
      <c r="F10093" s="2" t="str">
        <f>HYPERLINK("http://m.12365auto.com/news/20200210/418140.shtml","http://m.12365auto.com/news/20200210/418140.shtml")</f>
        <v>http://m.12365auto.com/news/20200210/418140.shtml</v>
      </c>
      <c r="G10093" s="2"/>
      <c r="H10093" s="2" t="s">
        <v>13513</v>
      </c>
      <c r="I10093" s="2" t="s">
        <v>19</v>
      </c>
      <c r="J10093" s="2" t="s">
        <v>1266</v>
      </c>
      <c r="K10093" s="2" t="s">
        <v>13514</v>
      </c>
      <c r="L10093" s="2">
        <f t="shared" si="157"/>
        <v>150</v>
      </c>
    </row>
    <row r="10094" spans="1:12" ht="25" customHeight="1">
      <c r="A10094" s="2" t="s">
        <v>12</v>
      </c>
      <c r="B10094" s="2" t="str">
        <f>HYPERLINK("http://www.12365auto.com/news/20200210/418140.shtml","奥迪将推23款新车 轿车看点多/最低19万起")</f>
        <v>奥迪将推23款新车 轿车看点多/最低19万起</v>
      </c>
      <c r="C10094" s="2" t="s">
        <v>13</v>
      </c>
      <c r="D10094" s="2" t="s">
        <v>12</v>
      </c>
      <c r="E10094" s="2" t="s">
        <v>276</v>
      </c>
      <c r="F10094" s="2" t="str">
        <f>HYPERLINK("http://www.12365auto.com/news/20200210/418140.shtml","http://www.12365auto.com/news/20200210/418140.shtml")</f>
        <v>http://www.12365auto.com/news/20200210/418140.shtml</v>
      </c>
      <c r="G10094" s="2"/>
      <c r="H10094" s="2" t="s">
        <v>13515</v>
      </c>
      <c r="I10094" s="2" t="s">
        <v>15</v>
      </c>
      <c r="J10094" s="2" t="s">
        <v>12</v>
      </c>
      <c r="K10094" s="2" t="s">
        <v>13514</v>
      </c>
      <c r="L10094" s="2">
        <f t="shared" si="157"/>
        <v>150</v>
      </c>
    </row>
    <row r="10095" spans="1:12" ht="25" customHeight="1">
      <c r="A10095" s="2" t="s">
        <v>12</v>
      </c>
      <c r="B10095" s="2" t="str">
        <f>HYPERLINK("http://m.12365auto.com/xcdg/20200210/418139.shtml","现金直降小7万了 林肯MKC了解一下？")</f>
        <v>现金直降小7万了 林肯MKC了解一下？</v>
      </c>
      <c r="C10095" s="2" t="s">
        <v>13</v>
      </c>
      <c r="D10095" s="2" t="s">
        <v>12</v>
      </c>
      <c r="E10095" s="2"/>
      <c r="F10095" s="2" t="str">
        <f>HYPERLINK("http://m.12365auto.com/xcdg/20200210/418139.shtml","http://m.12365auto.com/xcdg/20200210/418139.shtml")</f>
        <v>http://m.12365auto.com/xcdg/20200210/418139.shtml</v>
      </c>
      <c r="G10095" s="2"/>
      <c r="H10095" s="2" t="s">
        <v>13516</v>
      </c>
      <c r="I10095" s="2" t="s">
        <v>19</v>
      </c>
      <c r="J10095" s="2" t="s">
        <v>6807</v>
      </c>
      <c r="K10095" s="2" t="s">
        <v>13517</v>
      </c>
      <c r="L10095" s="2">
        <f t="shared" si="157"/>
        <v>150</v>
      </c>
    </row>
    <row r="10096" spans="1:12" ht="25" customHeight="1">
      <c r="A10096" s="2" t="s">
        <v>12</v>
      </c>
      <c r="B10096" s="2" t="str">
        <f>HYPERLINK("http://m.12365auto.com/news/20200210/418138.shtml","戴姆勒加大成本削减力度 裁员或达1.5万人")</f>
        <v>戴姆勒加大成本削减力度 裁员或达1.5万人</v>
      </c>
      <c r="C10096" s="2" t="s">
        <v>13</v>
      </c>
      <c r="D10096" s="2" t="s">
        <v>12</v>
      </c>
      <c r="E10096" s="2"/>
      <c r="F10096" s="2" t="str">
        <f>HYPERLINK("http://m.12365auto.com/news/20200210/418138.shtml","http://m.12365auto.com/news/20200210/418138.shtml")</f>
        <v>http://m.12365auto.com/news/20200210/418138.shtml</v>
      </c>
      <c r="G10096" s="2"/>
      <c r="H10096" s="2" t="s">
        <v>13518</v>
      </c>
      <c r="I10096" s="2" t="s">
        <v>19</v>
      </c>
      <c r="J10096" s="2" t="s">
        <v>1041</v>
      </c>
      <c r="K10096" s="2" t="s">
        <v>13519</v>
      </c>
      <c r="L10096" s="2">
        <f t="shared" si="157"/>
        <v>150</v>
      </c>
    </row>
    <row r="10097" spans="1:12" ht="25" customHeight="1">
      <c r="A10097" s="2" t="s">
        <v>12</v>
      </c>
      <c r="B10097" s="2" t="str">
        <f>HYPERLINK("http://www.12365auto.com/news/20200210/418138.shtml","戴姆勒加大成本削减力度 裁员或达1.5万人")</f>
        <v>戴姆勒加大成本削减力度 裁员或达1.5万人</v>
      </c>
      <c r="C10097" s="2" t="s">
        <v>13</v>
      </c>
      <c r="D10097" s="2" t="s">
        <v>12</v>
      </c>
      <c r="E10097" s="2" t="s">
        <v>282</v>
      </c>
      <c r="F10097" s="2" t="str">
        <f>HYPERLINK("http://www.12365auto.com/news/20200210/418138.shtml","http://www.12365auto.com/news/20200210/418138.shtml")</f>
        <v>http://www.12365auto.com/news/20200210/418138.shtml</v>
      </c>
      <c r="G10097" s="2"/>
      <c r="H10097" s="2" t="s">
        <v>13520</v>
      </c>
      <c r="I10097" s="2" t="s">
        <v>19</v>
      </c>
      <c r="J10097" s="2" t="s">
        <v>12</v>
      </c>
      <c r="K10097" s="2" t="s">
        <v>13519</v>
      </c>
      <c r="L10097" s="2">
        <f t="shared" si="157"/>
        <v>150</v>
      </c>
    </row>
    <row r="10098" spans="1:12" ht="25" customHeight="1">
      <c r="A10098" s="2" t="s">
        <v>12</v>
      </c>
      <c r="B10098" s="2" t="str">
        <f>HYPERLINK("http://www.12365auto.com/xcdg/20200210/418136.shtml","正面对抗奔驰\宝马 全新奥迪A3会更强吗？")</f>
        <v>正面对抗奔驰\宝马 全新奥迪A3会更强吗？</v>
      </c>
      <c r="C10098" s="2" t="s">
        <v>13</v>
      </c>
      <c r="D10098" s="2" t="s">
        <v>12</v>
      </c>
      <c r="E10098" s="2" t="s">
        <v>245</v>
      </c>
      <c r="F10098" s="2" t="str">
        <f>HYPERLINK("http://www.12365auto.com/xcdg/20200210/418136.shtml","http://www.12365auto.com/xcdg/20200210/418136.shtml")</f>
        <v>http://www.12365auto.com/xcdg/20200210/418136.shtml</v>
      </c>
      <c r="G10098" s="2"/>
      <c r="H10098" s="2" t="s">
        <v>13521</v>
      </c>
      <c r="I10098" s="2" t="s">
        <v>19</v>
      </c>
      <c r="J10098" s="2" t="s">
        <v>12</v>
      </c>
      <c r="K10098" s="2" t="s">
        <v>13519</v>
      </c>
      <c r="L10098" s="2">
        <f t="shared" si="157"/>
        <v>150</v>
      </c>
    </row>
    <row r="10099" spans="1:12" ht="25" customHeight="1">
      <c r="A10099" s="2" t="s">
        <v>12</v>
      </c>
      <c r="B10099" s="2" t="str">
        <f>HYPERLINK("http://m.12365auto.com/xcdg/20200210/418136.shtml","正面对抗奔驰\宝马 全新奥迪A3会更强吗？")</f>
        <v>正面对抗奔驰\宝马 全新奥迪A3会更强吗？</v>
      </c>
      <c r="C10099" s="2" t="s">
        <v>13</v>
      </c>
      <c r="D10099" s="2" t="s">
        <v>12</v>
      </c>
      <c r="E10099" s="2"/>
      <c r="F10099" s="2" t="str">
        <f>HYPERLINK("http://m.12365auto.com/xcdg/20200210/418136.shtml","http://m.12365auto.com/xcdg/20200210/418136.shtml")</f>
        <v>http://m.12365auto.com/xcdg/20200210/418136.shtml</v>
      </c>
      <c r="G10099" s="2"/>
      <c r="H10099" s="2" t="s">
        <v>13522</v>
      </c>
      <c r="I10099" s="2" t="s">
        <v>19</v>
      </c>
      <c r="J10099" s="2" t="s">
        <v>8579</v>
      </c>
      <c r="K10099" s="2" t="s">
        <v>13519</v>
      </c>
      <c r="L10099" s="2">
        <f t="shared" si="157"/>
        <v>150</v>
      </c>
    </row>
    <row r="10100" spans="1:12" ht="25" customHeight="1">
      <c r="A10100" s="2" t="s">
        <v>12</v>
      </c>
      <c r="B10100" s="2" t="str">
        <f>HYPERLINK("http://m.12365auto.com/news/20200210/418137.shtml","新型冠状病毒期间 私家车日常如何防护消毒")</f>
        <v>新型冠状病毒期间 私家车日常如何防护消毒</v>
      </c>
      <c r="C10100" s="2" t="s">
        <v>13</v>
      </c>
      <c r="D10100" s="2" t="s">
        <v>12</v>
      </c>
      <c r="E10100" s="2"/>
      <c r="F10100" s="2" t="str">
        <f>HYPERLINK("http://m.12365auto.com/news/20200210/418137.shtml","http://m.12365auto.com/news/20200210/418137.shtml")</f>
        <v>http://m.12365auto.com/news/20200210/418137.shtml</v>
      </c>
      <c r="G10100" s="2"/>
      <c r="H10100" s="2" t="s">
        <v>13523</v>
      </c>
      <c r="I10100" s="2" t="s">
        <v>19</v>
      </c>
      <c r="J10100" s="2" t="s">
        <v>12</v>
      </c>
      <c r="K10100" s="2" t="s">
        <v>13524</v>
      </c>
      <c r="L10100" s="2">
        <f t="shared" si="157"/>
        <v>150</v>
      </c>
    </row>
    <row r="10101" spans="1:12" ht="25" customHeight="1">
      <c r="A10101" s="2" t="s">
        <v>12</v>
      </c>
      <c r="B10101" s="2" t="str">
        <f>HYPERLINK("http://m.12365auto.com/news/20200210/418135.shtml","沃尔沃汽车发布2019年财报 营收上涨8.5%")</f>
        <v>沃尔沃汽车发布2019年财报 营收上涨8.5%</v>
      </c>
      <c r="C10101" s="2" t="s">
        <v>13</v>
      </c>
      <c r="D10101" s="2" t="s">
        <v>12</v>
      </c>
      <c r="E10101" s="2"/>
      <c r="F10101" s="2" t="str">
        <f>HYPERLINK("http://m.12365auto.com/news/20200210/418135.shtml","http://m.12365auto.com/news/20200210/418135.shtml")</f>
        <v>http://m.12365auto.com/news/20200210/418135.shtml</v>
      </c>
      <c r="G10101" s="2"/>
      <c r="H10101" s="2" t="s">
        <v>13525</v>
      </c>
      <c r="I10101" s="2" t="s">
        <v>19</v>
      </c>
      <c r="J10101" s="2" t="s">
        <v>10605</v>
      </c>
      <c r="K10101" s="2" t="s">
        <v>13524</v>
      </c>
      <c r="L10101" s="2">
        <f t="shared" si="157"/>
        <v>150</v>
      </c>
    </row>
    <row r="10102" spans="1:12" ht="25" customHeight="1">
      <c r="A10102" s="2" t="s">
        <v>12</v>
      </c>
      <c r="B10102" s="2" t="str">
        <f>HYPERLINK("http://www.12365auto.com/news/20200210/418135.shtml","沃尔沃汽车发布2019年财报 营收上涨8.5%")</f>
        <v>沃尔沃汽车发布2019年财报 营收上涨8.5%</v>
      </c>
      <c r="C10102" s="2" t="s">
        <v>13</v>
      </c>
      <c r="D10102" s="2" t="s">
        <v>12</v>
      </c>
      <c r="E10102" s="2" t="s">
        <v>282</v>
      </c>
      <c r="F10102" s="2" t="str">
        <f>HYPERLINK("http://www.12365auto.com/news/20200210/418135.shtml","http://www.12365auto.com/news/20200210/418135.shtml")</f>
        <v>http://www.12365auto.com/news/20200210/418135.shtml</v>
      </c>
      <c r="G10102" s="2"/>
      <c r="H10102" s="2" t="s">
        <v>13526</v>
      </c>
      <c r="I10102" s="2" t="s">
        <v>19</v>
      </c>
      <c r="J10102" s="2" t="s">
        <v>12</v>
      </c>
      <c r="K10102" s="2" t="s">
        <v>13524</v>
      </c>
      <c r="L10102" s="2">
        <f t="shared" si="157"/>
        <v>150</v>
      </c>
    </row>
    <row r="10103" spans="1:12" ht="25" customHeight="1">
      <c r="A10103" s="2" t="s">
        <v>12</v>
      </c>
      <c r="B10103" s="2" t="str">
        <f>HYPERLINK("http://www.12365auto.com/news/20200210/418137.shtml","新型冠状病毒期间 私家车日常如何防护消毒")</f>
        <v>新型冠状病毒期间 私家车日常如何防护消毒</v>
      </c>
      <c r="C10103" s="2" t="s">
        <v>13</v>
      </c>
      <c r="D10103" s="2" t="s">
        <v>12</v>
      </c>
      <c r="E10103" s="2" t="s">
        <v>372</v>
      </c>
      <c r="F10103" s="2" t="str">
        <f>HYPERLINK("http://www.12365auto.com/news/20200210/418137.shtml","http://www.12365auto.com/news/20200210/418137.shtml")</f>
        <v>http://www.12365auto.com/news/20200210/418137.shtml</v>
      </c>
      <c r="G10103" s="2"/>
      <c r="H10103" s="2" t="s">
        <v>13527</v>
      </c>
      <c r="I10103" s="2" t="s">
        <v>15</v>
      </c>
      <c r="J10103" s="2" t="s">
        <v>12</v>
      </c>
      <c r="K10103" s="2" t="s">
        <v>13524</v>
      </c>
      <c r="L10103" s="2">
        <f t="shared" si="157"/>
        <v>150</v>
      </c>
    </row>
    <row r="10104" spans="1:12" ht="25" customHeight="1">
      <c r="A10104" s="2" t="s">
        <v>12</v>
      </c>
      <c r="B10104" s="2" t="str">
        <f>HYPERLINK("http://www.12365auto.com/news/20200210/418134.shtml","产能转移 丰田将提升墨西哥工厂皮卡产量")</f>
        <v>产能转移 丰田将提升墨西哥工厂皮卡产量</v>
      </c>
      <c r="C10104" s="2" t="s">
        <v>13</v>
      </c>
      <c r="D10104" s="2" t="s">
        <v>12</v>
      </c>
      <c r="E10104" s="2" t="s">
        <v>282</v>
      </c>
      <c r="F10104" s="2" t="str">
        <f>HYPERLINK("http://www.12365auto.com/news/20200210/418134.shtml","http://www.12365auto.com/news/20200210/418134.shtml")</f>
        <v>http://www.12365auto.com/news/20200210/418134.shtml</v>
      </c>
      <c r="G10104" s="2"/>
      <c r="H10104" s="2" t="s">
        <v>13528</v>
      </c>
      <c r="I10104" s="2" t="s">
        <v>19</v>
      </c>
      <c r="J10104" s="2" t="s">
        <v>12</v>
      </c>
      <c r="K10104" s="2" t="s">
        <v>13529</v>
      </c>
      <c r="L10104" s="2">
        <f t="shared" si="157"/>
        <v>150</v>
      </c>
    </row>
    <row r="10105" spans="1:12" ht="25" customHeight="1">
      <c r="A10105" s="2" t="s">
        <v>12</v>
      </c>
      <c r="B10105" s="2" t="str">
        <f>HYPERLINK("http://www.12365auto.com/xcdg/20200210/418133.shtml","高尔夫GTI TCR谍照曝光 或亮相日内瓦车展")</f>
        <v>高尔夫GTI TCR谍照曝光 或亮相日内瓦车展</v>
      </c>
      <c r="C10105" s="2" t="s">
        <v>13</v>
      </c>
      <c r="D10105" s="2" t="s">
        <v>12</v>
      </c>
      <c r="E10105" s="2" t="s">
        <v>224</v>
      </c>
      <c r="F10105" s="2" t="str">
        <f>HYPERLINK("http://www.12365auto.com/xcdg/20200210/418133.shtml","http://www.12365auto.com/xcdg/20200210/418133.shtml")</f>
        <v>http://www.12365auto.com/xcdg/20200210/418133.shtml</v>
      </c>
      <c r="G10105" s="2"/>
      <c r="H10105" s="2" t="s">
        <v>13530</v>
      </c>
      <c r="I10105" s="2" t="s">
        <v>15</v>
      </c>
      <c r="J10105" s="2" t="s">
        <v>12</v>
      </c>
      <c r="K10105" s="2" t="s">
        <v>13529</v>
      </c>
      <c r="L10105" s="2">
        <f t="shared" si="157"/>
        <v>150</v>
      </c>
    </row>
    <row r="10106" spans="1:12" ht="25" customHeight="1">
      <c r="A10106" s="2" t="s">
        <v>12</v>
      </c>
      <c r="B10106" s="2" t="str">
        <f>HYPERLINK("http://m.12365auto.com/news/20200210/418134.shtml","产能转移 丰田将提升墨西哥工厂皮卡产量")</f>
        <v>产能转移 丰田将提升墨西哥工厂皮卡产量</v>
      </c>
      <c r="C10106" s="2" t="s">
        <v>13</v>
      </c>
      <c r="D10106" s="2" t="s">
        <v>12</v>
      </c>
      <c r="E10106" s="2"/>
      <c r="F10106" s="2" t="str">
        <f>HYPERLINK("http://m.12365auto.com/news/20200210/418134.shtml","http://m.12365auto.com/news/20200210/418134.shtml")</f>
        <v>http://m.12365auto.com/news/20200210/418134.shtml</v>
      </c>
      <c r="G10106" s="2"/>
      <c r="H10106" s="2" t="s">
        <v>13531</v>
      </c>
      <c r="I10106" s="2" t="s">
        <v>19</v>
      </c>
      <c r="J10106" s="2" t="s">
        <v>1041</v>
      </c>
      <c r="K10106" s="2" t="s">
        <v>13529</v>
      </c>
      <c r="L10106" s="2">
        <f t="shared" si="157"/>
        <v>150</v>
      </c>
    </row>
    <row r="10107" spans="1:12" ht="25" customHeight="1">
      <c r="A10107" s="2" t="s">
        <v>12</v>
      </c>
      <c r="B10107" s="2" t="str">
        <f>HYPERLINK("http://m.12365auto.com/xcdg/20200210/418133.shtml","高尔夫GTI TCR谍照曝光 或亮相日内瓦车展")</f>
        <v>高尔夫GTI TCR谍照曝光 或亮相日内瓦车展</v>
      </c>
      <c r="C10107" s="2" t="s">
        <v>13</v>
      </c>
      <c r="D10107" s="2" t="s">
        <v>12</v>
      </c>
      <c r="E10107" s="2"/>
      <c r="F10107" s="2" t="str">
        <f>HYPERLINK("http://m.12365auto.com/xcdg/20200210/418133.shtml","http://m.12365auto.com/xcdg/20200210/418133.shtml")</f>
        <v>http://m.12365auto.com/xcdg/20200210/418133.shtml</v>
      </c>
      <c r="G10107" s="2"/>
      <c r="H10107" s="2" t="s">
        <v>13532</v>
      </c>
      <c r="I10107" s="2" t="s">
        <v>19</v>
      </c>
      <c r="J10107" s="2" t="s">
        <v>8604</v>
      </c>
      <c r="K10107" s="2" t="s">
        <v>13529</v>
      </c>
      <c r="L10107" s="2">
        <f t="shared" si="157"/>
        <v>150</v>
      </c>
    </row>
    <row r="10108" spans="1:12" ht="25" customHeight="1">
      <c r="A10108" s="2" t="s">
        <v>12</v>
      </c>
      <c r="B10108" s="2" t="str">
        <f>HYPERLINK("http://www.12365auto.com/xcdg/20200210/418132.shtml","新款奔驰S级渲染图曝光 今年年底上市")</f>
        <v>新款奔驰S级渲染图曝光 今年年底上市</v>
      </c>
      <c r="C10108" s="2" t="s">
        <v>13</v>
      </c>
      <c r="D10108" s="2" t="s">
        <v>12</v>
      </c>
      <c r="E10108" s="2" t="s">
        <v>245</v>
      </c>
      <c r="F10108" s="2" t="str">
        <f>HYPERLINK("http://www.12365auto.com/xcdg/20200210/418132.shtml","http://www.12365auto.com/xcdg/20200210/418132.shtml")</f>
        <v>http://www.12365auto.com/xcdg/20200210/418132.shtml</v>
      </c>
      <c r="G10108" s="2"/>
      <c r="H10108" s="2" t="s">
        <v>13533</v>
      </c>
      <c r="I10108" s="2" t="s">
        <v>19</v>
      </c>
      <c r="J10108" s="2" t="s">
        <v>12</v>
      </c>
      <c r="K10108" s="2" t="s">
        <v>13534</v>
      </c>
      <c r="L10108" s="2">
        <f t="shared" si="157"/>
        <v>150</v>
      </c>
    </row>
    <row r="10109" spans="1:12" ht="25" customHeight="1">
      <c r="A10109" s="2" t="s">
        <v>12</v>
      </c>
      <c r="B10109" s="2" t="str">
        <f>HYPERLINK("http://m.12365auto.com/xcdg/20200210/418132.shtml","新款奔驰S级渲染图曝光 今年年底上市")</f>
        <v>新款奔驰S级渲染图曝光 今年年底上市</v>
      </c>
      <c r="C10109" s="2" t="s">
        <v>13</v>
      </c>
      <c r="D10109" s="2" t="s">
        <v>12</v>
      </c>
      <c r="E10109" s="2"/>
      <c r="F10109" s="2" t="str">
        <f>HYPERLINK("http://m.12365auto.com/xcdg/20200210/418132.shtml","http://m.12365auto.com/xcdg/20200210/418132.shtml")</f>
        <v>http://m.12365auto.com/xcdg/20200210/418132.shtml</v>
      </c>
      <c r="G10109" s="2"/>
      <c r="H10109" s="2" t="s">
        <v>13535</v>
      </c>
      <c r="I10109" s="2" t="s">
        <v>19</v>
      </c>
      <c r="J10109" s="2" t="s">
        <v>8604</v>
      </c>
      <c r="K10109" s="2" t="s">
        <v>13534</v>
      </c>
      <c r="L10109" s="2">
        <f t="shared" si="157"/>
        <v>150</v>
      </c>
    </row>
    <row r="10110" spans="1:12" ht="25" customHeight="1">
      <c r="A10110" s="2" t="s">
        <v>12</v>
      </c>
      <c r="B10110" s="2" t="str">
        <f>HYPERLINK("http://www.12365auto.com/xcdg/20200210/418129.shtml","新款路虎揽胜运动版 谍照首次曝光公布")</f>
        <v>新款路虎揽胜运动版 谍照首次曝光公布</v>
      </c>
      <c r="C10110" s="2" t="s">
        <v>13</v>
      </c>
      <c r="D10110" s="2" t="s">
        <v>12</v>
      </c>
      <c r="E10110" s="2" t="s">
        <v>224</v>
      </c>
      <c r="F10110" s="2" t="str">
        <f>HYPERLINK("http://www.12365auto.com/xcdg/20200210/418129.shtml","http://www.12365auto.com/xcdg/20200210/418129.shtml")</f>
        <v>http://www.12365auto.com/xcdg/20200210/418129.shtml</v>
      </c>
      <c r="G10110" s="2"/>
      <c r="H10110" s="2" t="s">
        <v>13536</v>
      </c>
      <c r="I10110" s="2" t="s">
        <v>15</v>
      </c>
      <c r="J10110" s="2" t="s">
        <v>12</v>
      </c>
      <c r="K10110" s="2" t="s">
        <v>13537</v>
      </c>
      <c r="L10110" s="2">
        <f t="shared" si="157"/>
        <v>150</v>
      </c>
    </row>
    <row r="10111" spans="1:12" ht="25" customHeight="1">
      <c r="A10111" s="2" t="s">
        <v>12</v>
      </c>
      <c r="B10111" s="2" t="str">
        <f>HYPERLINK("http://m.12365auto.com/xcdg/20200210/418129.shtml","新款路虎揽胜运动版 谍照首次曝光公布")</f>
        <v>新款路虎揽胜运动版 谍照首次曝光公布</v>
      </c>
      <c r="C10111" s="2" t="s">
        <v>13</v>
      </c>
      <c r="D10111" s="2" t="s">
        <v>12</v>
      </c>
      <c r="E10111" s="2"/>
      <c r="F10111" s="2" t="str">
        <f>HYPERLINK("http://m.12365auto.com/xcdg/20200210/418129.shtml","http://m.12365auto.com/xcdg/20200210/418129.shtml")</f>
        <v>http://m.12365auto.com/xcdg/20200210/418129.shtml</v>
      </c>
      <c r="G10111" s="2"/>
      <c r="H10111" s="2" t="s">
        <v>13538</v>
      </c>
      <c r="I10111" s="2" t="s">
        <v>19</v>
      </c>
      <c r="J10111" s="2" t="s">
        <v>8604</v>
      </c>
      <c r="K10111" s="2" t="s">
        <v>13537</v>
      </c>
      <c r="L10111" s="2">
        <f t="shared" si="157"/>
        <v>150</v>
      </c>
    </row>
    <row r="10112" spans="1:12" ht="25" customHeight="1">
      <c r="A10112" s="2" t="s">
        <v>12</v>
      </c>
      <c r="B10112" s="2" t="str">
        <f>HYPERLINK("http://www.12365auto.com/zlts/20200210/446739.shtml","哈弗H6刹车泵漏油4S店无法更换")</f>
        <v>哈弗H6刹车泵漏油4S店无法更换</v>
      </c>
      <c r="C10112" s="2" t="s">
        <v>13</v>
      </c>
      <c r="D10112" s="2" t="s">
        <v>12</v>
      </c>
      <c r="E10112" s="2" t="s">
        <v>17</v>
      </c>
      <c r="F10112" s="2" t="str">
        <f>HYPERLINK("http://www.12365auto.com/zlts/20200210/446739.shtml","http://www.12365auto.com/zlts/20200210/446739.shtml")</f>
        <v>http://www.12365auto.com/zlts/20200210/446739.shtml</v>
      </c>
      <c r="G10112" s="2"/>
      <c r="H10112" s="2" t="s">
        <v>13539</v>
      </c>
      <c r="I10112" s="2" t="s">
        <v>19</v>
      </c>
      <c r="J10112" s="2" t="s">
        <v>12</v>
      </c>
      <c r="K10112" s="2" t="s">
        <v>13540</v>
      </c>
      <c r="L10112" s="2">
        <f t="shared" si="157"/>
        <v>150</v>
      </c>
    </row>
    <row r="10113" spans="1:12" ht="25" customHeight="1">
      <c r="A10113" s="2" t="s">
        <v>12</v>
      </c>
      <c r="B10113" s="2" t="str">
        <f>HYPERLINK("http://m.12365auto.com/xcdg/20200210/418131.shtml","都是侧滑门 2020年有哪些中高端MPV上市")</f>
        <v>都是侧滑门 2020年有哪些中高端MPV上市</v>
      </c>
      <c r="C10113" s="2" t="s">
        <v>13</v>
      </c>
      <c r="D10113" s="2" t="s">
        <v>12</v>
      </c>
      <c r="E10113" s="2"/>
      <c r="F10113" s="2" t="str">
        <f>HYPERLINK("http://m.12365auto.com/xcdg/20200210/418131.shtml","http://m.12365auto.com/xcdg/20200210/418131.shtml")</f>
        <v>http://m.12365auto.com/xcdg/20200210/418131.shtml</v>
      </c>
      <c r="G10113" s="2"/>
      <c r="H10113" s="2" t="s">
        <v>13541</v>
      </c>
      <c r="I10113" s="2" t="s">
        <v>19</v>
      </c>
      <c r="J10113" s="2" t="s">
        <v>1730</v>
      </c>
      <c r="K10113" s="2" t="s">
        <v>13542</v>
      </c>
      <c r="L10113" s="2">
        <f t="shared" si="157"/>
        <v>150</v>
      </c>
    </row>
    <row r="10114" spans="1:12" ht="25" customHeight="1">
      <c r="A10114" s="2" t="s">
        <v>12</v>
      </c>
      <c r="B10114" s="2" t="str">
        <f>HYPERLINK("http://www.12365auto.com/news/20200210/418130.shtml","日产汽车中国区发布2020年1月销售业绩")</f>
        <v>日产汽车中国区发布2020年1月销售业绩</v>
      </c>
      <c r="C10114" s="2" t="s">
        <v>13</v>
      </c>
      <c r="D10114" s="2" t="s">
        <v>12</v>
      </c>
      <c r="E10114" s="2" t="s">
        <v>282</v>
      </c>
      <c r="F10114" s="2" t="str">
        <f>HYPERLINK("http://www.12365auto.com/news/20200210/418130.shtml","http://www.12365auto.com/news/20200210/418130.shtml")</f>
        <v>http://www.12365auto.com/news/20200210/418130.shtml</v>
      </c>
      <c r="G10114" s="2"/>
      <c r="H10114" s="2" t="s">
        <v>13543</v>
      </c>
      <c r="I10114" s="2" t="s">
        <v>19</v>
      </c>
      <c r="J10114" s="2" t="s">
        <v>12</v>
      </c>
      <c r="K10114" s="2" t="s">
        <v>13542</v>
      </c>
      <c r="L10114" s="2">
        <f t="shared" si="157"/>
        <v>150</v>
      </c>
    </row>
    <row r="10115" spans="1:12" ht="25" customHeight="1">
      <c r="A10115" s="2" t="s">
        <v>12</v>
      </c>
      <c r="B10115" s="2" t="str">
        <f>HYPERLINK("http://www.12365auto.com/xcdg/20200210/418131.shtml","都是侧滑门 2020年有哪些中高端MPV上市")</f>
        <v>都是侧滑门 2020年有哪些中高端MPV上市</v>
      </c>
      <c r="C10115" s="2" t="s">
        <v>13</v>
      </c>
      <c r="D10115" s="2" t="s">
        <v>12</v>
      </c>
      <c r="E10115" s="2" t="s">
        <v>245</v>
      </c>
      <c r="F10115" s="2" t="str">
        <f>HYPERLINK("http://www.12365auto.com/xcdg/20200210/418131.shtml","http://www.12365auto.com/xcdg/20200210/418131.shtml")</f>
        <v>http://www.12365auto.com/xcdg/20200210/418131.shtml</v>
      </c>
      <c r="G10115" s="2"/>
      <c r="H10115" s="2" t="s">
        <v>13544</v>
      </c>
      <c r="I10115" s="2" t="s">
        <v>19</v>
      </c>
      <c r="J10115" s="2" t="s">
        <v>12</v>
      </c>
      <c r="K10115" s="2" t="s">
        <v>13542</v>
      </c>
      <c r="L10115" s="2">
        <f t="shared" ref="L10115:L10178" si="158">LEN(H10115)</f>
        <v>150</v>
      </c>
    </row>
    <row r="10116" spans="1:12" ht="25" customHeight="1">
      <c r="A10116" s="2" t="s">
        <v>12</v>
      </c>
      <c r="B10116" s="2" t="str">
        <f>HYPERLINK("http://m.12365auto.com/xcdg/20200210/418127.shtml","各家祭出杀手锏 BBA电气化竞争愈演愈烈")</f>
        <v>各家祭出杀手锏 BBA电气化竞争愈演愈烈</v>
      </c>
      <c r="C10116" s="2" t="s">
        <v>13</v>
      </c>
      <c r="D10116" s="2" t="s">
        <v>12</v>
      </c>
      <c r="E10116" s="2"/>
      <c r="F10116" s="2" t="str">
        <f>HYPERLINK("http://m.12365auto.com/xcdg/20200210/418127.shtml","http://m.12365auto.com/xcdg/20200210/418127.shtml")</f>
        <v>http://m.12365auto.com/xcdg/20200210/418127.shtml</v>
      </c>
      <c r="G10116" s="2"/>
      <c r="H10116" s="2" t="s">
        <v>13545</v>
      </c>
      <c r="I10116" s="2" t="s">
        <v>19</v>
      </c>
      <c r="J10116" s="2" t="s">
        <v>13546</v>
      </c>
      <c r="K10116" s="2" t="s">
        <v>13542</v>
      </c>
      <c r="L10116" s="2">
        <f t="shared" si="158"/>
        <v>150</v>
      </c>
    </row>
    <row r="10117" spans="1:12" ht="25" customHeight="1">
      <c r="A10117" s="2" t="s">
        <v>12</v>
      </c>
      <c r="B10117" s="2" t="str">
        <f>HYPERLINK("http://www.12365auto.com/xcdg/20200210/418127.shtml","各家祭出杀手锏 BBA电气化竞争愈演愈烈")</f>
        <v>各家祭出杀手锏 BBA电气化竞争愈演愈烈</v>
      </c>
      <c r="C10117" s="2" t="s">
        <v>13</v>
      </c>
      <c r="D10117" s="2" t="s">
        <v>12</v>
      </c>
      <c r="E10117" s="2" t="s">
        <v>245</v>
      </c>
      <c r="F10117" s="2" t="str">
        <f>HYPERLINK("http://www.12365auto.com/xcdg/20200210/418127.shtml","http://www.12365auto.com/xcdg/20200210/418127.shtml")</f>
        <v>http://www.12365auto.com/xcdg/20200210/418127.shtml</v>
      </c>
      <c r="G10117" s="2"/>
      <c r="H10117" s="2" t="s">
        <v>13547</v>
      </c>
      <c r="I10117" s="2" t="s">
        <v>19</v>
      </c>
      <c r="J10117" s="2" t="s">
        <v>12</v>
      </c>
      <c r="K10117" s="2" t="s">
        <v>13542</v>
      </c>
      <c r="L10117" s="2">
        <f t="shared" si="158"/>
        <v>150</v>
      </c>
    </row>
    <row r="10118" spans="1:12" ht="25" customHeight="1">
      <c r="A10118" s="2" t="s">
        <v>12</v>
      </c>
      <c r="B10118" s="2" t="str">
        <f>HYPERLINK("http://m.12365auto.com/news/20200210/418130.shtml","日产汽车中国区发布2020年1月销售业绩")</f>
        <v>日产汽车中国区发布2020年1月销售业绩</v>
      </c>
      <c r="C10118" s="2" t="s">
        <v>13</v>
      </c>
      <c r="D10118" s="2" t="s">
        <v>12</v>
      </c>
      <c r="E10118" s="2"/>
      <c r="F10118" s="2" t="str">
        <f>HYPERLINK("http://m.12365auto.com/news/20200210/418130.shtml","http://m.12365auto.com/news/20200210/418130.shtml")</f>
        <v>http://m.12365auto.com/news/20200210/418130.shtml</v>
      </c>
      <c r="G10118" s="2"/>
      <c r="H10118" s="2" t="s">
        <v>13548</v>
      </c>
      <c r="I10118" s="2" t="s">
        <v>19</v>
      </c>
      <c r="J10118" s="2" t="s">
        <v>1054</v>
      </c>
      <c r="K10118" s="2" t="s">
        <v>13542</v>
      </c>
      <c r="L10118" s="2">
        <f t="shared" si="158"/>
        <v>150</v>
      </c>
    </row>
    <row r="10119" spans="1:12" ht="25" customHeight="1">
      <c r="A10119" s="2" t="s">
        <v>12</v>
      </c>
      <c r="B10119" s="2" t="str">
        <f>HYPERLINK("http://m.12365auto.com/news/20200210/418128.shtml","零部件供应不及时 FCA一欧洲工厂将停产")</f>
        <v>零部件供应不及时 FCA一欧洲工厂将停产</v>
      </c>
      <c r="C10119" s="2" t="s">
        <v>13</v>
      </c>
      <c r="D10119" s="2" t="s">
        <v>12</v>
      </c>
      <c r="E10119" s="2"/>
      <c r="F10119" s="2" t="str">
        <f>HYPERLINK("http://m.12365auto.com/news/20200210/418128.shtml","http://m.12365auto.com/news/20200210/418128.shtml")</f>
        <v>http://m.12365auto.com/news/20200210/418128.shtml</v>
      </c>
      <c r="G10119" s="2"/>
      <c r="H10119" s="2" t="s">
        <v>13549</v>
      </c>
      <c r="I10119" s="2" t="s">
        <v>19</v>
      </c>
      <c r="J10119" s="2" t="s">
        <v>1041</v>
      </c>
      <c r="K10119" s="2" t="s">
        <v>13550</v>
      </c>
      <c r="L10119" s="2">
        <f t="shared" si="158"/>
        <v>150</v>
      </c>
    </row>
    <row r="10120" spans="1:12" ht="25" customHeight="1">
      <c r="A10120" s="2" t="s">
        <v>12</v>
      </c>
      <c r="B10120" s="2" t="str">
        <f>HYPERLINK("http://www.12365auto.com/news/20200210/418128.shtml","零部件供应不及时 FCA一欧洲工厂将停产")</f>
        <v>零部件供应不及时 FCA一欧洲工厂将停产</v>
      </c>
      <c r="C10120" s="2" t="s">
        <v>13</v>
      </c>
      <c r="D10120" s="2" t="s">
        <v>12</v>
      </c>
      <c r="E10120" s="2" t="s">
        <v>282</v>
      </c>
      <c r="F10120" s="2" t="str">
        <f>HYPERLINK("http://www.12365auto.com/news/20200210/418128.shtml","http://www.12365auto.com/news/20200210/418128.shtml")</f>
        <v>http://www.12365auto.com/news/20200210/418128.shtml</v>
      </c>
      <c r="G10120" s="2"/>
      <c r="H10120" s="2" t="s">
        <v>13551</v>
      </c>
      <c r="I10120" s="2" t="s">
        <v>19</v>
      </c>
      <c r="J10120" s="2" t="s">
        <v>12</v>
      </c>
      <c r="K10120" s="2" t="s">
        <v>13550</v>
      </c>
      <c r="L10120" s="2">
        <f t="shared" si="158"/>
        <v>150</v>
      </c>
    </row>
    <row r="10121" spans="1:12" ht="25" customHeight="1">
      <c r="A10121" s="2" t="s">
        <v>12</v>
      </c>
      <c r="B10121" s="2" t="str">
        <f>HYPERLINK("http://m.12365auto.com/news/20200210/418125.shtml","宝马欧洲最大工厂将提升电动车部件产能")</f>
        <v>宝马欧洲最大工厂将提升电动车部件产能</v>
      </c>
      <c r="C10121" s="2" t="s">
        <v>13</v>
      </c>
      <c r="D10121" s="2" t="s">
        <v>12</v>
      </c>
      <c r="E10121" s="2"/>
      <c r="F10121" s="2" t="str">
        <f>HYPERLINK("http://m.12365auto.com/news/20200210/418125.shtml","http://m.12365auto.com/news/20200210/418125.shtml")</f>
        <v>http://m.12365auto.com/news/20200210/418125.shtml</v>
      </c>
      <c r="G10121" s="2"/>
      <c r="H10121" s="2" t="s">
        <v>13552</v>
      </c>
      <c r="I10121" s="2" t="s">
        <v>19</v>
      </c>
      <c r="J10121" s="2" t="s">
        <v>1041</v>
      </c>
      <c r="K10121" s="2" t="s">
        <v>13553</v>
      </c>
      <c r="L10121" s="2">
        <f t="shared" si="158"/>
        <v>150</v>
      </c>
    </row>
    <row r="10122" spans="1:12" ht="25" customHeight="1">
      <c r="A10122" s="2" t="s">
        <v>12</v>
      </c>
      <c r="B10122" s="2" t="str">
        <f>HYPERLINK("http://www.12365auto.com/news/20200210/418125.shtml","宝马欧洲最大工厂将提升电动车部件产能")</f>
        <v>宝马欧洲最大工厂将提升电动车部件产能</v>
      </c>
      <c r="C10122" s="2" t="s">
        <v>13</v>
      </c>
      <c r="D10122" s="2" t="s">
        <v>12</v>
      </c>
      <c r="E10122" s="2" t="s">
        <v>282</v>
      </c>
      <c r="F10122" s="2" t="str">
        <f>HYPERLINK("http://www.12365auto.com/news/20200210/418125.shtml","http://www.12365auto.com/news/20200210/418125.shtml")</f>
        <v>http://www.12365auto.com/news/20200210/418125.shtml</v>
      </c>
      <c r="G10122" s="2"/>
      <c r="H10122" s="2" t="s">
        <v>13554</v>
      </c>
      <c r="I10122" s="2" t="s">
        <v>19</v>
      </c>
      <c r="J10122" s="2" t="s">
        <v>12</v>
      </c>
      <c r="K10122" s="2" t="s">
        <v>13553</v>
      </c>
      <c r="L10122" s="2">
        <f t="shared" si="158"/>
        <v>150</v>
      </c>
    </row>
    <row r="10123" spans="1:12" ht="25" customHeight="1">
      <c r="A10123" s="2" t="s">
        <v>12</v>
      </c>
      <c r="B10123" s="2" t="str">
        <f>HYPERLINK("http://m.12365auto.com/news/20200210/418124.shtml","林肯品牌在美国残值率超越宝马/奔驰及奥迪")</f>
        <v>林肯品牌在美国残值率超越宝马/奔驰及奥迪</v>
      </c>
      <c r="C10123" s="2" t="s">
        <v>13</v>
      </c>
      <c r="D10123" s="2" t="s">
        <v>12</v>
      </c>
      <c r="E10123" s="2"/>
      <c r="F10123" s="2" t="str">
        <f>HYPERLINK("http://m.12365auto.com/news/20200210/418124.shtml","http://m.12365auto.com/news/20200210/418124.shtml")</f>
        <v>http://m.12365auto.com/news/20200210/418124.shtml</v>
      </c>
      <c r="G10123" s="2"/>
      <c r="H10123" s="2" t="s">
        <v>13555</v>
      </c>
      <c r="I10123" s="2" t="s">
        <v>19</v>
      </c>
      <c r="J10123" s="2" t="s">
        <v>1054</v>
      </c>
      <c r="K10123" s="2" t="s">
        <v>13556</v>
      </c>
      <c r="L10123" s="2">
        <f t="shared" si="158"/>
        <v>150</v>
      </c>
    </row>
    <row r="10124" spans="1:12" ht="25" customHeight="1">
      <c r="A10124" s="2" t="s">
        <v>12</v>
      </c>
      <c r="B10124" s="2" t="str">
        <f>HYPERLINK("http://www.12365auto.com/news/20200210/418124.shtml","林肯品牌在美国残值率超越宝马/奔驰及奥迪")</f>
        <v>林肯品牌在美国残值率超越宝马/奔驰及奥迪</v>
      </c>
      <c r="C10124" s="2" t="s">
        <v>13</v>
      </c>
      <c r="D10124" s="2" t="s">
        <v>12</v>
      </c>
      <c r="E10124" s="2" t="s">
        <v>276</v>
      </c>
      <c r="F10124" s="2" t="str">
        <f>HYPERLINK("http://www.12365auto.com/news/20200210/418124.shtml","http://www.12365auto.com/news/20200210/418124.shtml")</f>
        <v>http://www.12365auto.com/news/20200210/418124.shtml</v>
      </c>
      <c r="G10124" s="2"/>
      <c r="H10124" s="2" t="s">
        <v>13557</v>
      </c>
      <c r="I10124" s="2" t="s">
        <v>15</v>
      </c>
      <c r="J10124" s="2" t="s">
        <v>12</v>
      </c>
      <c r="K10124" s="2" t="s">
        <v>13556</v>
      </c>
      <c r="L10124" s="2">
        <f t="shared" si="158"/>
        <v>150</v>
      </c>
    </row>
    <row r="10125" spans="1:12" ht="25" customHeight="1">
      <c r="A10125" s="2" t="s">
        <v>12</v>
      </c>
      <c r="B10125" s="2" t="str">
        <f>HYPERLINK("http://m.12365auto.com/news/20200210/418122.shtml","丰田在华工厂2月17日复工 本田为2月14日")</f>
        <v>丰田在华工厂2月17日复工 本田为2月14日</v>
      </c>
      <c r="C10125" s="2" t="s">
        <v>13</v>
      </c>
      <c r="D10125" s="2" t="s">
        <v>12</v>
      </c>
      <c r="E10125" s="2"/>
      <c r="F10125" s="2" t="str">
        <f>HYPERLINK("http://m.12365auto.com/news/20200210/418122.shtml","http://m.12365auto.com/news/20200210/418122.shtml")</f>
        <v>http://m.12365auto.com/news/20200210/418122.shtml</v>
      </c>
      <c r="G10125" s="2"/>
      <c r="H10125" s="2" t="s">
        <v>13558</v>
      </c>
      <c r="I10125" s="2" t="s">
        <v>19</v>
      </c>
      <c r="J10125" s="2" t="s">
        <v>10605</v>
      </c>
      <c r="K10125" s="2" t="s">
        <v>13559</v>
      </c>
      <c r="L10125" s="2">
        <f t="shared" si="158"/>
        <v>150</v>
      </c>
    </row>
    <row r="10126" spans="1:12" ht="25" customHeight="1">
      <c r="A10126" s="2" t="s">
        <v>12</v>
      </c>
      <c r="B10126" s="2" t="str">
        <f>HYPERLINK("http://www.12365auto.com/news/20200210/418122.shtml","丰田在华工厂2月17日复工 本田为2月14日")</f>
        <v>丰田在华工厂2月17日复工 本田为2月14日</v>
      </c>
      <c r="C10126" s="2" t="s">
        <v>13</v>
      </c>
      <c r="D10126" s="2" t="s">
        <v>12</v>
      </c>
      <c r="E10126" s="2" t="s">
        <v>276</v>
      </c>
      <c r="F10126" s="2" t="str">
        <f>HYPERLINK("http://www.12365auto.com/news/20200210/418122.shtml","http://www.12365auto.com/news/20200210/418122.shtml")</f>
        <v>http://www.12365auto.com/news/20200210/418122.shtml</v>
      </c>
      <c r="G10126" s="2"/>
      <c r="H10126" s="2" t="s">
        <v>13560</v>
      </c>
      <c r="I10126" s="2" t="s">
        <v>15</v>
      </c>
      <c r="J10126" s="2" t="s">
        <v>12</v>
      </c>
      <c r="K10126" s="2" t="s">
        <v>13559</v>
      </c>
      <c r="L10126" s="2">
        <f t="shared" si="158"/>
        <v>150</v>
      </c>
    </row>
    <row r="10127" spans="1:12" ht="25" customHeight="1">
      <c r="A10127" s="2" t="s">
        <v>12</v>
      </c>
      <c r="B10127" s="2" t="str">
        <f>HYPERLINK("http://m.12365auto.com/xcdg/20200210/418121.shtml","最期待的一年 全新高尔夫/思域两厢领衔")</f>
        <v>最期待的一年 全新高尔夫/思域两厢领衔</v>
      </c>
      <c r="C10127" s="2" t="s">
        <v>13</v>
      </c>
      <c r="D10127" s="2" t="s">
        <v>12</v>
      </c>
      <c r="E10127" s="2"/>
      <c r="F10127" s="2" t="str">
        <f>HYPERLINK("http://m.12365auto.com/xcdg/20200210/418121.shtml","http://m.12365auto.com/xcdg/20200210/418121.shtml")</f>
        <v>http://m.12365auto.com/xcdg/20200210/418121.shtml</v>
      </c>
      <c r="G10127" s="2"/>
      <c r="H10127" s="2" t="s">
        <v>13561</v>
      </c>
      <c r="I10127" s="2" t="s">
        <v>19</v>
      </c>
      <c r="J10127" s="2" t="s">
        <v>5774</v>
      </c>
      <c r="K10127" s="2" t="s">
        <v>13559</v>
      </c>
      <c r="L10127" s="2">
        <f t="shared" si="158"/>
        <v>150</v>
      </c>
    </row>
    <row r="10128" spans="1:12" ht="25" customHeight="1">
      <c r="A10128" s="2" t="s">
        <v>12</v>
      </c>
      <c r="B10128" s="2" t="str">
        <f>HYPERLINK("http://www.12365auto.com/xcdg/20200210/418121.shtml","最期待的一年 全新高尔夫/思域两厢领衔")</f>
        <v>最期待的一年 全新高尔夫/思域两厢领衔</v>
      </c>
      <c r="C10128" s="2" t="s">
        <v>13</v>
      </c>
      <c r="D10128" s="2" t="s">
        <v>12</v>
      </c>
      <c r="E10128" s="2" t="s">
        <v>245</v>
      </c>
      <c r="F10128" s="2" t="str">
        <f>HYPERLINK("http://www.12365auto.com/xcdg/20200210/418121.shtml","http://www.12365auto.com/xcdg/20200210/418121.shtml")</f>
        <v>http://www.12365auto.com/xcdg/20200210/418121.shtml</v>
      </c>
      <c r="G10128" s="2"/>
      <c r="H10128" s="2" t="s">
        <v>13562</v>
      </c>
      <c r="I10128" s="2" t="s">
        <v>19</v>
      </c>
      <c r="J10128" s="2" t="s">
        <v>12</v>
      </c>
      <c r="K10128" s="2" t="s">
        <v>13559</v>
      </c>
      <c r="L10128" s="2">
        <f t="shared" si="158"/>
        <v>150</v>
      </c>
    </row>
    <row r="10129" spans="1:12" ht="25" customHeight="1">
      <c r="A10129" s="2" t="s">
        <v>12</v>
      </c>
      <c r="B10129" s="2" t="str">
        <f>HYPERLINK("http://m.12365auto.com/news/20200210/418120.shtml","特斯拉专利：带有触摸屏/具触摸反馈功能")</f>
        <v>特斯拉专利：带有触摸屏/具触摸反馈功能</v>
      </c>
      <c r="C10129" s="2" t="s">
        <v>13</v>
      </c>
      <c r="D10129" s="2" t="s">
        <v>12</v>
      </c>
      <c r="E10129" s="2"/>
      <c r="F10129" s="2" t="str">
        <f>HYPERLINK("http://m.12365auto.com/news/20200210/418120.shtml","http://m.12365auto.com/news/20200210/418120.shtml")</f>
        <v>http://m.12365auto.com/news/20200210/418120.shtml</v>
      </c>
      <c r="G10129" s="2"/>
      <c r="H10129" s="2" t="s">
        <v>13563</v>
      </c>
      <c r="I10129" s="2" t="s">
        <v>19</v>
      </c>
      <c r="J10129" s="2" t="s">
        <v>1029</v>
      </c>
      <c r="K10129" s="2" t="s">
        <v>13564</v>
      </c>
      <c r="L10129" s="2">
        <f t="shared" si="158"/>
        <v>150</v>
      </c>
    </row>
    <row r="10130" spans="1:12" ht="25" customHeight="1">
      <c r="A10130" s="2" t="s">
        <v>12</v>
      </c>
      <c r="B10130" s="2" t="str">
        <f>HYPERLINK("http://www.12365auto.com/news/20200210/418120.shtml","特斯拉专利：带有触摸屏/具触摸反馈功能")</f>
        <v>特斯拉专利：带有触摸屏/具触摸反馈功能</v>
      </c>
      <c r="C10130" s="2" t="s">
        <v>13</v>
      </c>
      <c r="D10130" s="2" t="s">
        <v>12</v>
      </c>
      <c r="E10130" s="2" t="s">
        <v>276</v>
      </c>
      <c r="F10130" s="2" t="str">
        <f>HYPERLINK("http://www.12365auto.com/news/20200210/418120.shtml","http://www.12365auto.com/news/20200210/418120.shtml")</f>
        <v>http://www.12365auto.com/news/20200210/418120.shtml</v>
      </c>
      <c r="G10130" s="2"/>
      <c r="H10130" s="2" t="s">
        <v>13565</v>
      </c>
      <c r="I10130" s="2" t="s">
        <v>15</v>
      </c>
      <c r="J10130" s="2" t="s">
        <v>12</v>
      </c>
      <c r="K10130" s="2" t="s">
        <v>13564</v>
      </c>
      <c r="L10130" s="2">
        <f t="shared" si="158"/>
        <v>150</v>
      </c>
    </row>
    <row r="10131" spans="1:12" ht="25" customHeight="1">
      <c r="A10131" s="2" t="s">
        <v>12</v>
      </c>
      <c r="B10131" s="2" t="str">
        <f>HYPERLINK("http://m.12365auto.com/news/20200210/418118.shtml","美国大学设计高镍层氧化物阴极 性能更好")</f>
        <v>美国大学设计高镍层氧化物阴极 性能更好</v>
      </c>
      <c r="C10131" s="2" t="s">
        <v>13</v>
      </c>
      <c r="D10131" s="2" t="s">
        <v>12</v>
      </c>
      <c r="E10131" s="2"/>
      <c r="F10131" s="2" t="str">
        <f>HYPERLINK("http://m.12365auto.com/news/20200210/418118.shtml","http://m.12365auto.com/news/20200210/418118.shtml")</f>
        <v>http://m.12365auto.com/news/20200210/418118.shtml</v>
      </c>
      <c r="G10131" s="2"/>
      <c r="H10131" s="2" t="s">
        <v>13566</v>
      </c>
      <c r="I10131" s="2" t="s">
        <v>19</v>
      </c>
      <c r="J10131" s="2" t="s">
        <v>1029</v>
      </c>
      <c r="K10131" s="2" t="s">
        <v>13567</v>
      </c>
      <c r="L10131" s="2">
        <f t="shared" si="158"/>
        <v>150</v>
      </c>
    </row>
    <row r="10132" spans="1:12" ht="25" customHeight="1">
      <c r="A10132" s="2" t="s">
        <v>12</v>
      </c>
      <c r="B10132" s="2" t="str">
        <f>HYPERLINK("http://www.12365auto.com/news/20200210/418118.shtml","美国大学设计高镍层氧化物阴极 性能更好")</f>
        <v>美国大学设计高镍层氧化物阴极 性能更好</v>
      </c>
      <c r="C10132" s="2" t="s">
        <v>13</v>
      </c>
      <c r="D10132" s="2" t="s">
        <v>12</v>
      </c>
      <c r="E10132" s="2" t="s">
        <v>276</v>
      </c>
      <c r="F10132" s="2" t="str">
        <f>HYPERLINK("http://www.12365auto.com/news/20200210/418118.shtml","http://www.12365auto.com/news/20200210/418118.shtml")</f>
        <v>http://www.12365auto.com/news/20200210/418118.shtml</v>
      </c>
      <c r="G10132" s="2"/>
      <c r="H10132" s="2" t="s">
        <v>13568</v>
      </c>
      <c r="I10132" s="2" t="s">
        <v>15</v>
      </c>
      <c r="J10132" s="2" t="s">
        <v>12</v>
      </c>
      <c r="K10132" s="2" t="s">
        <v>13567</v>
      </c>
      <c r="L10132" s="2">
        <f t="shared" si="158"/>
        <v>150</v>
      </c>
    </row>
    <row r="10133" spans="1:12" ht="25" customHeight="1">
      <c r="A10133" s="2" t="s">
        <v>12</v>
      </c>
      <c r="B10133" s="2" t="str">
        <f>HYPERLINK("http://www.12365auto.com/news/20200210/418117.shtml","因供应中断 雷诺韩国釜山工厂暂停生产")</f>
        <v>因供应中断 雷诺韩国釜山工厂暂停生产</v>
      </c>
      <c r="C10133" s="2" t="s">
        <v>13</v>
      </c>
      <c r="D10133" s="2" t="s">
        <v>12</v>
      </c>
      <c r="E10133" s="2" t="s">
        <v>276</v>
      </c>
      <c r="F10133" s="2" t="str">
        <f>HYPERLINK("http://www.12365auto.com/news/20200210/418117.shtml","http://www.12365auto.com/news/20200210/418117.shtml")</f>
        <v>http://www.12365auto.com/news/20200210/418117.shtml</v>
      </c>
      <c r="G10133" s="2"/>
      <c r="H10133" s="2" t="s">
        <v>13569</v>
      </c>
      <c r="I10133" s="2" t="s">
        <v>15</v>
      </c>
      <c r="J10133" s="2" t="s">
        <v>12</v>
      </c>
      <c r="K10133" s="2" t="s">
        <v>13570</v>
      </c>
      <c r="L10133" s="2">
        <f t="shared" si="158"/>
        <v>150</v>
      </c>
    </row>
    <row r="10134" spans="1:12" ht="25" customHeight="1">
      <c r="A10134" s="2" t="s">
        <v>12</v>
      </c>
      <c r="B10134" s="2" t="str">
        <f>HYPERLINK("http://m.12365auto.com/news/20200210/418117.shtml","因供应中断 雷诺韩国釜山工厂暂停生产")</f>
        <v>因供应中断 雷诺韩国釜山工厂暂停生产</v>
      </c>
      <c r="C10134" s="2" t="s">
        <v>13</v>
      </c>
      <c r="D10134" s="2" t="s">
        <v>12</v>
      </c>
      <c r="E10134" s="2"/>
      <c r="F10134" s="2" t="str">
        <f>HYPERLINK("http://m.12365auto.com/news/20200210/418117.shtml","http://m.12365auto.com/news/20200210/418117.shtml")</f>
        <v>http://m.12365auto.com/news/20200210/418117.shtml</v>
      </c>
      <c r="G10134" s="2"/>
      <c r="H10134" s="2" t="s">
        <v>13571</v>
      </c>
      <c r="I10134" s="2" t="s">
        <v>19</v>
      </c>
      <c r="J10134" s="2" t="s">
        <v>10605</v>
      </c>
      <c r="K10134" s="2" t="s">
        <v>13570</v>
      </c>
      <c r="L10134" s="2">
        <f t="shared" si="158"/>
        <v>150</v>
      </c>
    </row>
    <row r="10135" spans="1:12" ht="25" customHeight="1">
      <c r="A10135" s="2" t="s">
        <v>12</v>
      </c>
      <c r="B10135" s="2" t="str">
        <f>HYPERLINK("http://www.12365auto.com/news/20200210/418116.shtml","上海政府将帮特斯拉工厂2月10日恢复生产")</f>
        <v>上海政府将帮特斯拉工厂2月10日恢复生产</v>
      </c>
      <c r="C10135" s="2" t="s">
        <v>13</v>
      </c>
      <c r="D10135" s="2" t="s">
        <v>12</v>
      </c>
      <c r="E10135" s="2" t="s">
        <v>282</v>
      </c>
      <c r="F10135" s="2" t="str">
        <f>HYPERLINK("http://www.12365auto.com/news/20200210/418116.shtml","http://www.12365auto.com/news/20200210/418116.shtml")</f>
        <v>http://www.12365auto.com/news/20200210/418116.shtml</v>
      </c>
      <c r="G10135" s="2"/>
      <c r="H10135" s="2" t="s">
        <v>13572</v>
      </c>
      <c r="I10135" s="2" t="s">
        <v>19</v>
      </c>
      <c r="J10135" s="2" t="s">
        <v>12</v>
      </c>
      <c r="K10135" s="2" t="s">
        <v>13570</v>
      </c>
      <c r="L10135" s="2">
        <f t="shared" si="158"/>
        <v>150</v>
      </c>
    </row>
    <row r="10136" spans="1:12" ht="25" customHeight="1">
      <c r="A10136" s="2" t="s">
        <v>12</v>
      </c>
      <c r="B10136" s="2" t="str">
        <f>HYPERLINK("http://m.12365auto.com/news/20200210/418115.shtml","三叉戟黄金组合 解密传祺GS8空气净化系统")</f>
        <v>三叉戟黄金组合 解密传祺GS8空气净化系统</v>
      </c>
      <c r="C10136" s="2" t="s">
        <v>13</v>
      </c>
      <c r="D10136" s="2" t="s">
        <v>12</v>
      </c>
      <c r="E10136" s="2"/>
      <c r="F10136" s="2" t="str">
        <f>HYPERLINK("http://m.12365auto.com/news/20200210/418115.shtml","http://m.12365auto.com/news/20200210/418115.shtml")</f>
        <v>http://m.12365auto.com/news/20200210/418115.shtml</v>
      </c>
      <c r="G10136" s="2"/>
      <c r="H10136" s="2" t="s">
        <v>13573</v>
      </c>
      <c r="I10136" s="2" t="s">
        <v>19</v>
      </c>
      <c r="J10136" s="2" t="s">
        <v>1054</v>
      </c>
      <c r="K10136" s="2" t="s">
        <v>13574</v>
      </c>
      <c r="L10136" s="2">
        <f t="shared" si="158"/>
        <v>150</v>
      </c>
    </row>
    <row r="10137" spans="1:12" ht="25" customHeight="1">
      <c r="A10137" s="2" t="s">
        <v>12</v>
      </c>
      <c r="B10137" s="2" t="str">
        <f>HYPERLINK("http://m.12365auto.com/news/20200210/418113.shtml","爱车内部消毒别乱喷药水 我们应对症下药")</f>
        <v>爱车内部消毒别乱喷药水 我们应对症下药</v>
      </c>
      <c r="C10137" s="2" t="s">
        <v>13</v>
      </c>
      <c r="D10137" s="2" t="s">
        <v>12</v>
      </c>
      <c r="E10137" s="2"/>
      <c r="F10137" s="2" t="str">
        <f>HYPERLINK("http://m.12365auto.com/news/20200210/418113.shtml","http://m.12365auto.com/news/20200210/418113.shtml")</f>
        <v>http://m.12365auto.com/news/20200210/418113.shtml</v>
      </c>
      <c r="G10137" s="2"/>
      <c r="H10137" s="2" t="s">
        <v>13575</v>
      </c>
      <c r="I10137" s="2" t="s">
        <v>19</v>
      </c>
      <c r="J10137" s="2" t="s">
        <v>222</v>
      </c>
      <c r="K10137" s="2" t="s">
        <v>13574</v>
      </c>
      <c r="L10137" s="2">
        <f t="shared" si="158"/>
        <v>150</v>
      </c>
    </row>
    <row r="10138" spans="1:12" ht="25" customHeight="1">
      <c r="A10138" s="2" t="s">
        <v>12</v>
      </c>
      <c r="B10138" s="2" t="str">
        <f>HYPERLINK("http://www.12365auto.com/news/20200210/418115.shtml","三叉戟黄金组合 解密传祺GS8空气净化系统")</f>
        <v>三叉戟黄金组合 解密传祺GS8空气净化系统</v>
      </c>
      <c r="C10138" s="2" t="s">
        <v>13</v>
      </c>
      <c r="D10138" s="2" t="s">
        <v>12</v>
      </c>
      <c r="E10138" s="2" t="s">
        <v>276</v>
      </c>
      <c r="F10138" s="2" t="str">
        <f>HYPERLINK("http://www.12365auto.com/news/20200210/418115.shtml","http://www.12365auto.com/news/20200210/418115.shtml")</f>
        <v>http://www.12365auto.com/news/20200210/418115.shtml</v>
      </c>
      <c r="G10138" s="2"/>
      <c r="H10138" s="2" t="s">
        <v>13576</v>
      </c>
      <c r="I10138" s="2" t="s">
        <v>15</v>
      </c>
      <c r="J10138" s="2" t="s">
        <v>12</v>
      </c>
      <c r="K10138" s="2" t="s">
        <v>13574</v>
      </c>
      <c r="L10138" s="2">
        <f t="shared" si="158"/>
        <v>150</v>
      </c>
    </row>
    <row r="10139" spans="1:12" ht="25" customHeight="1">
      <c r="A10139" s="2" t="s">
        <v>12</v>
      </c>
      <c r="B10139" s="2" t="str">
        <f>HYPERLINK("http://www.12365auto.com/news/20200210/418113.shtml","爱车内部消毒别乱喷药水 我们应对症下药")</f>
        <v>爱车内部消毒别乱喷药水 我们应对症下药</v>
      </c>
      <c r="C10139" s="2" t="s">
        <v>13</v>
      </c>
      <c r="D10139" s="2" t="s">
        <v>12</v>
      </c>
      <c r="E10139" s="2" t="s">
        <v>372</v>
      </c>
      <c r="F10139" s="2" t="str">
        <f>HYPERLINK("http://www.12365auto.com/news/20200210/418113.shtml","http://www.12365auto.com/news/20200210/418113.shtml")</f>
        <v>http://www.12365auto.com/news/20200210/418113.shtml</v>
      </c>
      <c r="G10139" s="2"/>
      <c r="H10139" s="2" t="s">
        <v>13577</v>
      </c>
      <c r="I10139" s="2" t="s">
        <v>15</v>
      </c>
      <c r="J10139" s="2" t="s">
        <v>12</v>
      </c>
      <c r="K10139" s="2" t="s">
        <v>13574</v>
      </c>
      <c r="L10139" s="2">
        <f t="shared" si="158"/>
        <v>150</v>
      </c>
    </row>
    <row r="10140" spans="1:12" ht="25" customHeight="1">
      <c r="A10140" s="2" t="s">
        <v>12</v>
      </c>
      <c r="B10140" s="2" t="str">
        <f>HYPERLINK("http://m.12365auto.com/xcdg/20200210/418114.shtml","紧凑型轿跑SUV之争 哈弗F7x过招吉利星越")</f>
        <v>紧凑型轿跑SUV之争 哈弗F7x过招吉利星越</v>
      </c>
      <c r="C10140" s="2" t="s">
        <v>13</v>
      </c>
      <c r="D10140" s="2" t="s">
        <v>12</v>
      </c>
      <c r="E10140" s="2"/>
      <c r="F10140" s="2" t="str">
        <f>HYPERLINK("http://m.12365auto.com/xcdg/20200210/418114.shtml","http://m.12365auto.com/xcdg/20200210/418114.shtml")</f>
        <v>http://m.12365auto.com/xcdg/20200210/418114.shtml</v>
      </c>
      <c r="G10140" s="2"/>
      <c r="H10140" s="2" t="s">
        <v>13578</v>
      </c>
      <c r="I10140" s="2" t="s">
        <v>19</v>
      </c>
      <c r="J10140" s="2" t="s">
        <v>1727</v>
      </c>
      <c r="K10140" s="2" t="s">
        <v>13579</v>
      </c>
      <c r="L10140" s="2">
        <f t="shared" si="158"/>
        <v>150</v>
      </c>
    </row>
    <row r="10141" spans="1:12" ht="25" customHeight="1">
      <c r="A10141" s="2" t="s">
        <v>12</v>
      </c>
      <c r="B10141" s="2" t="str">
        <f>HYPERLINK("http://m.12365auto.com/news/20200210/418110.shtml","减免还有补贴  捷途五大举措支持经销商")</f>
        <v>减免还有补贴  捷途五大举措支持经销商</v>
      </c>
      <c r="C10141" s="2" t="s">
        <v>13</v>
      </c>
      <c r="D10141" s="2" t="s">
        <v>12</v>
      </c>
      <c r="E10141" s="2"/>
      <c r="F10141" s="2" t="str">
        <f>HYPERLINK("http://m.12365auto.com/news/20200210/418110.shtml","http://m.12365auto.com/news/20200210/418110.shtml")</f>
        <v>http://m.12365auto.com/news/20200210/418110.shtml</v>
      </c>
      <c r="G10141" s="2"/>
      <c r="H10141" s="2" t="s">
        <v>13580</v>
      </c>
      <c r="I10141" s="2" t="s">
        <v>19</v>
      </c>
      <c r="J10141" s="2" t="s">
        <v>6086</v>
      </c>
      <c r="K10141" s="2" t="s">
        <v>13579</v>
      </c>
      <c r="L10141" s="2">
        <f t="shared" si="158"/>
        <v>150</v>
      </c>
    </row>
    <row r="10142" spans="1:12" ht="25" customHeight="1">
      <c r="A10142" s="2" t="s">
        <v>12</v>
      </c>
      <c r="B10142" s="2" t="str">
        <f>HYPERLINK("http://m.12365auto.com/xcdg/20200210/418112.shtml","2020年6款重磅豪华轿车 不到20万就能买")</f>
        <v>2020年6款重磅豪华轿车 不到20万就能买</v>
      </c>
      <c r="C10142" s="2" t="s">
        <v>13</v>
      </c>
      <c r="D10142" s="2" t="s">
        <v>12</v>
      </c>
      <c r="E10142" s="2"/>
      <c r="F10142" s="2" t="str">
        <f>HYPERLINK("http://m.12365auto.com/xcdg/20200210/418112.shtml","http://m.12365auto.com/xcdg/20200210/418112.shtml")</f>
        <v>http://m.12365auto.com/xcdg/20200210/418112.shtml</v>
      </c>
      <c r="G10142" s="2"/>
      <c r="H10142" s="2" t="s">
        <v>13581</v>
      </c>
      <c r="I10142" s="2" t="s">
        <v>19</v>
      </c>
      <c r="J10142" s="2" t="s">
        <v>2603</v>
      </c>
      <c r="K10142" s="2" t="s">
        <v>13579</v>
      </c>
      <c r="L10142" s="2">
        <f t="shared" si="158"/>
        <v>150</v>
      </c>
    </row>
    <row r="10143" spans="1:12" ht="25" customHeight="1">
      <c r="A10143" s="2" t="s">
        <v>12</v>
      </c>
      <c r="B10143" s="2" t="str">
        <f>HYPERLINK("http://www.12365auto.com/news/20200210/418110.shtml","减免还有补贴  捷途五大举措支持经销商")</f>
        <v>减免还有补贴  捷途五大举措支持经销商</v>
      </c>
      <c r="C10143" s="2" t="s">
        <v>13</v>
      </c>
      <c r="D10143" s="2" t="s">
        <v>12</v>
      </c>
      <c r="E10143" s="2" t="s">
        <v>276</v>
      </c>
      <c r="F10143" s="2" t="str">
        <f>HYPERLINK("http://www.12365auto.com/news/20200210/418110.shtml","http://www.12365auto.com/news/20200210/418110.shtml")</f>
        <v>http://www.12365auto.com/news/20200210/418110.shtml</v>
      </c>
      <c r="G10143" s="2"/>
      <c r="H10143" s="2" t="s">
        <v>13582</v>
      </c>
      <c r="I10143" s="2" t="s">
        <v>15</v>
      </c>
      <c r="J10143" s="2" t="s">
        <v>12</v>
      </c>
      <c r="K10143" s="2" t="s">
        <v>13579</v>
      </c>
      <c r="L10143" s="2">
        <f t="shared" si="158"/>
        <v>150</v>
      </c>
    </row>
    <row r="10144" spans="1:12" ht="25" customHeight="1">
      <c r="A10144" s="2" t="s">
        <v>12</v>
      </c>
      <c r="B10144" s="2" t="str">
        <f>HYPERLINK("http://www.12365auto.com/xcdg/20200210/418112.shtml","2020年6款重磅豪华轿车 不到20万就能买")</f>
        <v>2020年6款重磅豪华轿车 不到20万就能买</v>
      </c>
      <c r="C10144" s="2" t="s">
        <v>13</v>
      </c>
      <c r="D10144" s="2" t="s">
        <v>12</v>
      </c>
      <c r="E10144" s="2" t="s">
        <v>216</v>
      </c>
      <c r="F10144" s="2" t="str">
        <f>HYPERLINK("http://www.12365auto.com/xcdg/20200210/418112.shtml","http://www.12365auto.com/xcdg/20200210/418112.shtml")</f>
        <v>http://www.12365auto.com/xcdg/20200210/418112.shtml</v>
      </c>
      <c r="G10144" s="2"/>
      <c r="H10144" s="2" t="s">
        <v>13583</v>
      </c>
      <c r="I10144" s="2" t="s">
        <v>15</v>
      </c>
      <c r="J10144" s="2" t="s">
        <v>12</v>
      </c>
      <c r="K10144" s="2" t="s">
        <v>13579</v>
      </c>
      <c r="L10144" s="2">
        <f t="shared" si="158"/>
        <v>150</v>
      </c>
    </row>
    <row r="10145" spans="1:12" ht="25" customHeight="1">
      <c r="A10145" s="2" t="s">
        <v>12</v>
      </c>
      <c r="B10145" s="2" t="str">
        <f>HYPERLINK("http://m.12365auto.com/xcdg/20200210/418111.shtml","配置差异不大 广汽蔚来首款车型怎么选？")</f>
        <v>配置差异不大 广汽蔚来首款车型怎么选？</v>
      </c>
      <c r="C10145" s="2" t="s">
        <v>13</v>
      </c>
      <c r="D10145" s="2" t="s">
        <v>12</v>
      </c>
      <c r="E10145" s="2"/>
      <c r="F10145" s="2" t="str">
        <f>HYPERLINK("http://m.12365auto.com/xcdg/20200210/418111.shtml","http://m.12365auto.com/xcdg/20200210/418111.shtml")</f>
        <v>http://m.12365auto.com/xcdg/20200210/418111.shtml</v>
      </c>
      <c r="G10145" s="2"/>
      <c r="H10145" s="2" t="s">
        <v>13584</v>
      </c>
      <c r="I10145" s="2" t="s">
        <v>19</v>
      </c>
      <c r="J10145" s="2" t="s">
        <v>1716</v>
      </c>
      <c r="K10145" s="2" t="s">
        <v>13585</v>
      </c>
      <c r="L10145" s="2">
        <f t="shared" si="158"/>
        <v>150</v>
      </c>
    </row>
    <row r="10146" spans="1:12" ht="25" customHeight="1">
      <c r="A10146" s="2" t="s">
        <v>12</v>
      </c>
      <c r="B10146" s="2" t="str">
        <f>HYPERLINK("http://www.12365auto.com/news/20200210/418108.shtml","江铃汽车产销快报 皮卡销量下滑4.87%")</f>
        <v>江铃汽车产销快报 皮卡销量下滑4.87%</v>
      </c>
      <c r="C10146" s="2" t="s">
        <v>13</v>
      </c>
      <c r="D10146" s="2" t="s">
        <v>12</v>
      </c>
      <c r="E10146" s="2" t="s">
        <v>276</v>
      </c>
      <c r="F10146" s="2" t="str">
        <f>HYPERLINK("http://www.12365auto.com/news/20200210/418108.shtml","http://www.12365auto.com/news/20200210/418108.shtml")</f>
        <v>http://www.12365auto.com/news/20200210/418108.shtml</v>
      </c>
      <c r="G10146" s="2"/>
      <c r="H10146" s="2" t="s">
        <v>13586</v>
      </c>
      <c r="I10146" s="2" t="s">
        <v>15</v>
      </c>
      <c r="J10146" s="2" t="s">
        <v>12</v>
      </c>
      <c r="K10146" s="2" t="s">
        <v>13585</v>
      </c>
      <c r="L10146" s="2">
        <f t="shared" si="158"/>
        <v>150</v>
      </c>
    </row>
    <row r="10147" spans="1:12" ht="25" customHeight="1">
      <c r="A10147" s="2" t="s">
        <v>12</v>
      </c>
      <c r="B10147" s="2" t="str">
        <f>HYPERLINK("http://m.12365auto.com/news/20200210/418108.shtml","江铃汽车产销快报 皮卡销量下滑4.87%")</f>
        <v>江铃汽车产销快报 皮卡销量下滑4.87%</v>
      </c>
      <c r="C10147" s="2" t="s">
        <v>13</v>
      </c>
      <c r="D10147" s="2" t="s">
        <v>12</v>
      </c>
      <c r="E10147" s="2"/>
      <c r="F10147" s="2" t="str">
        <f>HYPERLINK("http://m.12365auto.com/news/20200210/418108.shtml","http://m.12365auto.com/news/20200210/418108.shtml")</f>
        <v>http://m.12365auto.com/news/20200210/418108.shtml</v>
      </c>
      <c r="G10147" s="2"/>
      <c r="H10147" s="2" t="s">
        <v>13587</v>
      </c>
      <c r="I10147" s="2" t="s">
        <v>19</v>
      </c>
      <c r="J10147" s="2" t="s">
        <v>1933</v>
      </c>
      <c r="K10147" s="2" t="s">
        <v>13585</v>
      </c>
      <c r="L10147" s="2">
        <f t="shared" si="158"/>
        <v>150</v>
      </c>
    </row>
    <row r="10148" spans="1:12" ht="25" customHeight="1">
      <c r="A10148" s="2" t="s">
        <v>12</v>
      </c>
      <c r="B10148" s="2" t="str">
        <f>HYPERLINK("http://m.12365auto.com/news/20200210/418109.shtml","福特高层调整 加速智能化/移动出行领域转型")</f>
        <v>福特高层调整 加速智能化/移动出行领域转型</v>
      </c>
      <c r="C10148" s="2" t="s">
        <v>13</v>
      </c>
      <c r="D10148" s="2" t="s">
        <v>12</v>
      </c>
      <c r="E10148" s="2"/>
      <c r="F10148" s="2" t="str">
        <f>HYPERLINK("http://m.12365auto.com/news/20200210/418109.shtml","http://m.12365auto.com/news/20200210/418109.shtml")</f>
        <v>http://m.12365auto.com/news/20200210/418109.shtml</v>
      </c>
      <c r="G10148" s="2"/>
      <c r="H10148" s="2" t="s">
        <v>13588</v>
      </c>
      <c r="I10148" s="2" t="s">
        <v>19</v>
      </c>
      <c r="J10148" s="2" t="s">
        <v>2603</v>
      </c>
      <c r="K10148" s="2" t="s">
        <v>13585</v>
      </c>
      <c r="L10148" s="2">
        <f t="shared" si="158"/>
        <v>150</v>
      </c>
    </row>
    <row r="10149" spans="1:12" ht="25" customHeight="1">
      <c r="A10149" s="2" t="s">
        <v>12</v>
      </c>
      <c r="B10149" s="2" t="str">
        <f>HYPERLINK("http://www.12365auto.com/news/20200210/418109.shtml","福特高层调整 加速智能化/移动出行领域转型")</f>
        <v>福特高层调整 加速智能化/移动出行领域转型</v>
      </c>
      <c r="C10149" s="2" t="s">
        <v>13</v>
      </c>
      <c r="D10149" s="2" t="s">
        <v>12</v>
      </c>
      <c r="E10149" s="2" t="s">
        <v>276</v>
      </c>
      <c r="F10149" s="2" t="str">
        <f>HYPERLINK("http://www.12365auto.com/news/20200210/418109.shtml","http://www.12365auto.com/news/20200210/418109.shtml")</f>
        <v>http://www.12365auto.com/news/20200210/418109.shtml</v>
      </c>
      <c r="G10149" s="2"/>
      <c r="H10149" s="2" t="s">
        <v>13589</v>
      </c>
      <c r="I10149" s="2" t="s">
        <v>15</v>
      </c>
      <c r="J10149" s="2" t="s">
        <v>12</v>
      </c>
      <c r="K10149" s="2" t="s">
        <v>13585</v>
      </c>
      <c r="L10149" s="2">
        <f t="shared" si="158"/>
        <v>150</v>
      </c>
    </row>
    <row r="10150" spans="1:12" ht="25" customHeight="1">
      <c r="A10150" s="2" t="s">
        <v>12</v>
      </c>
      <c r="B10150" s="2" t="str">
        <f>HYPERLINK("http://www.12365auto.com/xcdg/20200210/418106.shtml","2021款日产Frontier渲染图 采用泰坦造型")</f>
        <v>2021款日产Frontier渲染图 采用泰坦造型</v>
      </c>
      <c r="C10150" s="2" t="s">
        <v>13</v>
      </c>
      <c r="D10150" s="2" t="s">
        <v>12</v>
      </c>
      <c r="E10150" s="2" t="s">
        <v>216</v>
      </c>
      <c r="F10150" s="2" t="str">
        <f>HYPERLINK("http://www.12365auto.com/xcdg/20200210/418106.shtml","http://www.12365auto.com/xcdg/20200210/418106.shtml")</f>
        <v>http://www.12365auto.com/xcdg/20200210/418106.shtml</v>
      </c>
      <c r="G10150" s="2"/>
      <c r="H10150" s="2" t="s">
        <v>13590</v>
      </c>
      <c r="I10150" s="2" t="s">
        <v>15</v>
      </c>
      <c r="J10150" s="2" t="s">
        <v>12</v>
      </c>
      <c r="K10150" s="2" t="s">
        <v>13591</v>
      </c>
      <c r="L10150" s="2">
        <f t="shared" si="158"/>
        <v>150</v>
      </c>
    </row>
    <row r="10151" spans="1:12" ht="25" customHeight="1">
      <c r="A10151" s="2" t="s">
        <v>12</v>
      </c>
      <c r="B10151" s="2" t="str">
        <f>HYPERLINK("http://m.12365auto.com/xcdg/20200210/418106.shtml","2021款日产Frontier渲染图 采用泰坦造型")</f>
        <v>2021款日产Frontier渲染图 采用泰坦造型</v>
      </c>
      <c r="C10151" s="2" t="s">
        <v>13</v>
      </c>
      <c r="D10151" s="2" t="s">
        <v>12</v>
      </c>
      <c r="E10151" s="2"/>
      <c r="F10151" s="2" t="str">
        <f>HYPERLINK("http://m.12365auto.com/xcdg/20200210/418106.shtml","http://m.12365auto.com/xcdg/20200210/418106.shtml")</f>
        <v>http://m.12365auto.com/xcdg/20200210/418106.shtml</v>
      </c>
      <c r="G10151" s="2"/>
      <c r="H10151" s="2" t="s">
        <v>13592</v>
      </c>
      <c r="I10151" s="2" t="s">
        <v>19</v>
      </c>
      <c r="J10151" s="2" t="s">
        <v>12</v>
      </c>
      <c r="K10151" s="2" t="s">
        <v>13591</v>
      </c>
      <c r="L10151" s="2">
        <f t="shared" si="158"/>
        <v>150</v>
      </c>
    </row>
    <row r="10152" spans="1:12" ht="25" customHeight="1">
      <c r="A10152" s="2" t="s">
        <v>12</v>
      </c>
      <c r="B10152" s="2" t="str">
        <f>HYPERLINK("http://m.12365auto.com/xcdg/20200210/418107.shtml","菲斯塔纯电动续航490km 将上市或16万起售")</f>
        <v>菲斯塔纯电动续航490km 将上市或16万起售</v>
      </c>
      <c r="C10152" s="2" t="s">
        <v>13</v>
      </c>
      <c r="D10152" s="2" t="s">
        <v>12</v>
      </c>
      <c r="E10152" s="2"/>
      <c r="F10152" s="2" t="str">
        <f>HYPERLINK("http://m.12365auto.com/xcdg/20200210/418107.shtml","http://m.12365auto.com/xcdg/20200210/418107.shtml")</f>
        <v>http://m.12365auto.com/xcdg/20200210/418107.shtml</v>
      </c>
      <c r="G10152" s="2"/>
      <c r="H10152" s="2" t="s">
        <v>13593</v>
      </c>
      <c r="I10152" s="2" t="s">
        <v>19</v>
      </c>
      <c r="J10152" s="2" t="s">
        <v>12</v>
      </c>
      <c r="K10152" s="2" t="s">
        <v>13591</v>
      </c>
      <c r="L10152" s="2">
        <f t="shared" si="158"/>
        <v>150</v>
      </c>
    </row>
    <row r="10153" spans="1:12" ht="25" customHeight="1">
      <c r="A10153" s="2" t="s">
        <v>12</v>
      </c>
      <c r="B10153" s="2" t="str">
        <f>HYPERLINK("http://www.12365auto.com/xcdg/20200210/418107.shtml","菲斯塔纯电动续航490km 将上市或16万起售")</f>
        <v>菲斯塔纯电动续航490km 将上市或16万起售</v>
      </c>
      <c r="C10153" s="2" t="s">
        <v>13</v>
      </c>
      <c r="D10153" s="2" t="s">
        <v>12</v>
      </c>
      <c r="E10153" s="2" t="s">
        <v>216</v>
      </c>
      <c r="F10153" s="2" t="str">
        <f>HYPERLINK("http://www.12365auto.com/xcdg/20200210/418107.shtml","http://www.12365auto.com/xcdg/20200210/418107.shtml")</f>
        <v>http://www.12365auto.com/xcdg/20200210/418107.shtml</v>
      </c>
      <c r="G10153" s="2"/>
      <c r="H10153" s="2" t="s">
        <v>13594</v>
      </c>
      <c r="I10153" s="2" t="s">
        <v>15</v>
      </c>
      <c r="J10153" s="2" t="s">
        <v>12</v>
      </c>
      <c r="K10153" s="2" t="s">
        <v>13591</v>
      </c>
      <c r="L10153" s="2">
        <f t="shared" si="158"/>
        <v>150</v>
      </c>
    </row>
    <row r="10154" spans="1:12" ht="25" customHeight="1">
      <c r="A10154" s="2" t="s">
        <v>12</v>
      </c>
      <c r="B10154" s="2" t="str">
        <f>HYPERLINK("http://www.12365auto.com/news/20200210/418105.shtml","江淮增加捐款500万元 向一线医护人员致敬")</f>
        <v>江淮增加捐款500万元 向一线医护人员致敬</v>
      </c>
      <c r="C10154" s="2" t="s">
        <v>13</v>
      </c>
      <c r="D10154" s="2" t="s">
        <v>12</v>
      </c>
      <c r="E10154" s="2" t="s">
        <v>276</v>
      </c>
      <c r="F10154" s="2" t="str">
        <f>HYPERLINK("http://www.12365auto.com/news/20200210/418105.shtml","http://www.12365auto.com/news/20200210/418105.shtml")</f>
        <v>http://www.12365auto.com/news/20200210/418105.shtml</v>
      </c>
      <c r="G10154" s="2"/>
      <c r="H10154" s="2" t="s">
        <v>13595</v>
      </c>
      <c r="I10154" s="2" t="s">
        <v>15</v>
      </c>
      <c r="J10154" s="2" t="s">
        <v>12</v>
      </c>
      <c r="K10154" s="2" t="s">
        <v>13596</v>
      </c>
      <c r="L10154" s="2">
        <f t="shared" si="158"/>
        <v>150</v>
      </c>
    </row>
    <row r="10155" spans="1:12" ht="25" customHeight="1">
      <c r="A10155" s="2" t="s">
        <v>12</v>
      </c>
      <c r="B10155" s="2" t="str">
        <f>HYPERLINK("http://m.12365auto.com/bbs/postcontent.aspx?tID=193625","不到30万 引进国内必火？福特南美专属“牧马人”了解一下")</f>
        <v>不到30万 引进国内必火？福特南美专属“牧马人”了解一下</v>
      </c>
      <c r="C10155" s="2" t="s">
        <v>13</v>
      </c>
      <c r="D10155" s="2" t="s">
        <v>23</v>
      </c>
      <c r="E10155" s="2"/>
      <c r="F10155" s="2" t="str">
        <f>HYPERLINK("http://m.12365auto.com/bbs/postcontent.aspx?tID=193625","http://m.12365auto.com/bbs/postcontent.aspx?tID=193625")</f>
        <v>http://m.12365auto.com/bbs/postcontent.aspx?tID=193625</v>
      </c>
      <c r="G10155" s="2"/>
      <c r="H10155" s="2" t="s">
        <v>13597</v>
      </c>
      <c r="I10155" s="2" t="s">
        <v>15</v>
      </c>
      <c r="J10155" s="2" t="s">
        <v>949</v>
      </c>
      <c r="K10155" s="2" t="s">
        <v>13596</v>
      </c>
      <c r="L10155" s="2">
        <f t="shared" si="158"/>
        <v>150</v>
      </c>
    </row>
    <row r="10156" spans="1:12" ht="25" customHeight="1">
      <c r="A10156" s="2" t="s">
        <v>12</v>
      </c>
      <c r="B10156" s="2" t="str">
        <f>HYPERLINK("http://bbs.12365auto.com/postcontent.aspx?tID=193625","不到30万 引进国内必火？福特南美专属“牧马人”了解一下")</f>
        <v>不到30万 引进国内必火？福特南美专属“牧马人”了解一下</v>
      </c>
      <c r="C10156" s="2" t="s">
        <v>13</v>
      </c>
      <c r="D10156" s="2" t="s">
        <v>12</v>
      </c>
      <c r="E10156" s="2" t="s">
        <v>214</v>
      </c>
      <c r="F10156" s="2" t="str">
        <f>HYPERLINK("http://bbs.12365auto.com/postcontent.aspx?tID=193625","http://bbs.12365auto.com/postcontent.aspx?tID=193625")</f>
        <v>http://bbs.12365auto.com/postcontent.aspx?tID=193625</v>
      </c>
      <c r="G10156" s="2"/>
      <c r="H10156" s="2" t="s">
        <v>13598</v>
      </c>
      <c r="I10156" s="2" t="s">
        <v>15</v>
      </c>
      <c r="J10156" s="2" t="s">
        <v>949</v>
      </c>
      <c r="K10156" s="2" t="s">
        <v>13596</v>
      </c>
      <c r="L10156" s="2">
        <f t="shared" si="158"/>
        <v>150</v>
      </c>
    </row>
    <row r="10157" spans="1:12" ht="25" customHeight="1">
      <c r="A10157" s="2" t="s">
        <v>12</v>
      </c>
      <c r="B10157" s="2" t="str">
        <f>HYPERLINK("http://www.12365auto.com/xcdg/20200210/418104.shtml","本田全新缤智信息曝光 搭1.5L/明年上市")</f>
        <v>本田全新缤智信息曝光 搭1.5L/明年上市</v>
      </c>
      <c r="C10157" s="2" t="s">
        <v>13</v>
      </c>
      <c r="D10157" s="2" t="s">
        <v>12</v>
      </c>
      <c r="E10157" s="2" t="s">
        <v>216</v>
      </c>
      <c r="F10157" s="2" t="str">
        <f>HYPERLINK("http://www.12365auto.com/xcdg/20200210/418104.shtml","http://www.12365auto.com/xcdg/20200210/418104.shtml")</f>
        <v>http://www.12365auto.com/xcdg/20200210/418104.shtml</v>
      </c>
      <c r="G10157" s="2"/>
      <c r="H10157" s="2" t="s">
        <v>13599</v>
      </c>
      <c r="I10157" s="2" t="s">
        <v>15</v>
      </c>
      <c r="J10157" s="2" t="s">
        <v>12</v>
      </c>
      <c r="K10157" s="2" t="s">
        <v>13596</v>
      </c>
      <c r="L10157" s="2">
        <f t="shared" si="158"/>
        <v>150</v>
      </c>
    </row>
    <row r="10158" spans="1:12" ht="25" customHeight="1">
      <c r="A10158" s="2" t="s">
        <v>12</v>
      </c>
      <c r="B10158" s="2" t="str">
        <f>HYPERLINK("http://m.12365auto.com/xcdg/20200210/418104.shtml","本田全新缤智信息曝光 搭1.5L/明年上市")</f>
        <v>本田全新缤智信息曝光 搭1.5L/明年上市</v>
      </c>
      <c r="C10158" s="2" t="s">
        <v>13</v>
      </c>
      <c r="D10158" s="2" t="s">
        <v>12</v>
      </c>
      <c r="E10158" s="2"/>
      <c r="F10158" s="2" t="str">
        <f>HYPERLINK("http://m.12365auto.com/xcdg/20200210/418104.shtml","http://m.12365auto.com/xcdg/20200210/418104.shtml")</f>
        <v>http://m.12365auto.com/xcdg/20200210/418104.shtml</v>
      </c>
      <c r="G10158" s="2"/>
      <c r="H10158" s="2" t="s">
        <v>13600</v>
      </c>
      <c r="I10158" s="2" t="s">
        <v>19</v>
      </c>
      <c r="J10158" s="2" t="s">
        <v>13601</v>
      </c>
      <c r="K10158" s="2" t="s">
        <v>13596</v>
      </c>
      <c r="L10158" s="2">
        <f t="shared" si="158"/>
        <v>150</v>
      </c>
    </row>
    <row r="10159" spans="1:12" ht="25" customHeight="1">
      <c r="A10159" s="2" t="s">
        <v>12</v>
      </c>
      <c r="B10159" s="2" t="str">
        <f>HYPERLINK("http://bbs.12365auto.com/postcontent.aspx?tId=193625","不到30万 引进国内必火？福特南美专属“牧马人”了解一下")</f>
        <v>不到30万 引进国内必火？福特南美专属“牧马人”了解一下</v>
      </c>
      <c r="C10159" s="2" t="s">
        <v>13</v>
      </c>
      <c r="D10159" s="2" t="s">
        <v>12</v>
      </c>
      <c r="E10159" s="2" t="s">
        <v>210</v>
      </c>
      <c r="F10159" s="2" t="str">
        <f>HYPERLINK("http://bbs.12365auto.com/postcontent.aspx?tId=193625","http://bbs.12365auto.com/postcontent.aspx?tId=193625")</f>
        <v>http://bbs.12365auto.com/postcontent.aspx?tId=193625</v>
      </c>
      <c r="G10159" s="2"/>
      <c r="H10159" s="2" t="s">
        <v>13597</v>
      </c>
      <c r="I10159" s="2" t="s">
        <v>15</v>
      </c>
      <c r="J10159" s="2" t="s">
        <v>949</v>
      </c>
      <c r="K10159" s="2" t="s">
        <v>13596</v>
      </c>
      <c r="L10159" s="2">
        <f t="shared" si="158"/>
        <v>150</v>
      </c>
    </row>
    <row r="10160" spans="1:12" ht="25" customHeight="1">
      <c r="A10160" s="2" t="s">
        <v>12</v>
      </c>
      <c r="B10160" s="2" t="str">
        <f>HYPERLINK("http://m.12365auto.com/bbs/postcontent.aspx?tID=193624","福特F150猛禽太大太霸气了 7座SUV锐界一比就是个弟弟")</f>
        <v>福特F150猛禽太大太霸气了 7座SUV锐界一比就是个弟弟</v>
      </c>
      <c r="C10160" s="2" t="s">
        <v>13</v>
      </c>
      <c r="D10160" s="2" t="s">
        <v>23</v>
      </c>
      <c r="E10160" s="2"/>
      <c r="F10160" s="2" t="str">
        <f>HYPERLINK("http://m.12365auto.com/bbs/postcontent.aspx?tID=193624","http://m.12365auto.com/bbs/postcontent.aspx?tID=193624")</f>
        <v>http://m.12365auto.com/bbs/postcontent.aspx?tID=193624</v>
      </c>
      <c r="G10160" s="2"/>
      <c r="H10160" s="2" t="s">
        <v>13442</v>
      </c>
      <c r="I10160" s="2" t="s">
        <v>15</v>
      </c>
      <c r="J10160" s="2" t="s">
        <v>949</v>
      </c>
      <c r="K10160" s="2" t="s">
        <v>13602</v>
      </c>
      <c r="L10160" s="2">
        <f t="shared" si="158"/>
        <v>150</v>
      </c>
    </row>
    <row r="10161" spans="1:12" ht="25" customHeight="1">
      <c r="A10161" s="2" t="s">
        <v>12</v>
      </c>
      <c r="B10161" s="2" t="str">
        <f>HYPERLINK("http://m.12365auto.com/bbs/postcontent.aspx?tID=193623","4S店买车怎样拿到最低价？不用托人找关系")</f>
        <v>4S店买车怎样拿到最低价？不用托人找关系</v>
      </c>
      <c r="C10161" s="2" t="s">
        <v>13</v>
      </c>
      <c r="D10161" s="2" t="s">
        <v>23</v>
      </c>
      <c r="E10161" s="2"/>
      <c r="F10161" s="2" t="str">
        <f>HYPERLINK("http://m.12365auto.com/bbs/postcontent.aspx?tID=193623","http://m.12365auto.com/bbs/postcontent.aspx?tID=193623")</f>
        <v>http://m.12365auto.com/bbs/postcontent.aspx?tID=193623</v>
      </c>
      <c r="G10161" s="2"/>
      <c r="H10161" s="2" t="s">
        <v>13603</v>
      </c>
      <c r="I10161" s="2" t="s">
        <v>15</v>
      </c>
      <c r="J10161" s="2" t="s">
        <v>949</v>
      </c>
      <c r="K10161" s="2" t="s">
        <v>13602</v>
      </c>
      <c r="L10161" s="2">
        <f t="shared" si="158"/>
        <v>150</v>
      </c>
    </row>
    <row r="10162" spans="1:12" ht="25" customHeight="1">
      <c r="A10162" s="2" t="s">
        <v>12</v>
      </c>
      <c r="B10162" s="2" t="str">
        <f>HYPERLINK("http://www.12365auto.com/xcdg/20200210/418103.shtml","众泰将推出2款新车 SUV尺寸超CS75PLUS")</f>
        <v>众泰将推出2款新车 SUV尺寸超CS75PLUS</v>
      </c>
      <c r="C10162" s="2" t="s">
        <v>13</v>
      </c>
      <c r="D10162" s="2" t="s">
        <v>12</v>
      </c>
      <c r="E10162" s="2" t="s">
        <v>216</v>
      </c>
      <c r="F10162" s="2" t="str">
        <f>HYPERLINK("http://www.12365auto.com/xcdg/20200210/418103.shtml","http://www.12365auto.com/xcdg/20200210/418103.shtml")</f>
        <v>http://www.12365auto.com/xcdg/20200210/418103.shtml</v>
      </c>
      <c r="G10162" s="2"/>
      <c r="H10162" s="2" t="s">
        <v>13604</v>
      </c>
      <c r="I10162" s="2" t="s">
        <v>15</v>
      </c>
      <c r="J10162" s="2" t="s">
        <v>12</v>
      </c>
      <c r="K10162" s="2" t="s">
        <v>13602</v>
      </c>
      <c r="L10162" s="2">
        <f t="shared" si="158"/>
        <v>150</v>
      </c>
    </row>
    <row r="10163" spans="1:12" ht="25" customHeight="1">
      <c r="A10163" s="2" t="s">
        <v>12</v>
      </c>
      <c r="B10163" s="2" t="str">
        <f>HYPERLINK("http://m.12365auto.com/xcdg/20200210/418103.shtml","众泰将推出2款新车 SUV尺寸超CS75PLUS")</f>
        <v>众泰将推出2款新车 SUV尺寸超CS75PLUS</v>
      </c>
      <c r="C10163" s="2" t="s">
        <v>13</v>
      </c>
      <c r="D10163" s="2" t="s">
        <v>12</v>
      </c>
      <c r="E10163" s="2"/>
      <c r="F10163" s="2" t="str">
        <f>HYPERLINK("http://m.12365auto.com/xcdg/20200210/418103.shtml","http://m.12365auto.com/xcdg/20200210/418103.shtml")</f>
        <v>http://m.12365auto.com/xcdg/20200210/418103.shtml</v>
      </c>
      <c r="G10163" s="2"/>
      <c r="H10163" s="2" t="s">
        <v>13605</v>
      </c>
      <c r="I10163" s="2" t="s">
        <v>19</v>
      </c>
      <c r="J10163" s="2" t="s">
        <v>6086</v>
      </c>
      <c r="K10163" s="2" t="s">
        <v>13602</v>
      </c>
      <c r="L10163" s="2">
        <f t="shared" si="158"/>
        <v>150</v>
      </c>
    </row>
    <row r="10164" spans="1:12" ht="25" customHeight="1">
      <c r="A10164" s="2" t="s">
        <v>12</v>
      </c>
      <c r="B10164" s="2" t="str">
        <f>HYPERLINK("http://bbs.12365auto.com/postcontent.aspx?tId=193624","福特F150猛禽太大太霸气了 7座SUV锐界一比就是个弟弟")</f>
        <v>福特F150猛禽太大太霸气了 7座SUV锐界一比就是个弟弟</v>
      </c>
      <c r="C10164" s="2" t="s">
        <v>13</v>
      </c>
      <c r="D10164" s="2" t="s">
        <v>12</v>
      </c>
      <c r="E10164" s="2" t="s">
        <v>210</v>
      </c>
      <c r="F10164" s="2" t="str">
        <f>HYPERLINK("http://bbs.12365auto.com/postcontent.aspx?tId=193624","http://bbs.12365auto.com/postcontent.aspx?tId=193624")</f>
        <v>http://bbs.12365auto.com/postcontent.aspx?tId=193624</v>
      </c>
      <c r="G10164" s="2"/>
      <c r="H10164" s="2" t="s">
        <v>13442</v>
      </c>
      <c r="I10164" s="2" t="s">
        <v>15</v>
      </c>
      <c r="J10164" s="2" t="s">
        <v>949</v>
      </c>
      <c r="K10164" s="2" t="s">
        <v>13602</v>
      </c>
      <c r="L10164" s="2">
        <f t="shared" si="158"/>
        <v>150</v>
      </c>
    </row>
    <row r="10165" spans="1:12" ht="25" customHeight="1">
      <c r="A10165" s="2" t="s">
        <v>12</v>
      </c>
      <c r="B10165" s="2" t="str">
        <f>HYPERLINK("http://bbs.12365auto.com/postcontent.aspx?tId=193623","4S店买车怎样拿到最低价？不用托人找关系")</f>
        <v>4S店买车怎样拿到最低价？不用托人找关系</v>
      </c>
      <c r="C10165" s="2" t="s">
        <v>13</v>
      </c>
      <c r="D10165" s="2" t="s">
        <v>12</v>
      </c>
      <c r="E10165" s="2" t="s">
        <v>210</v>
      </c>
      <c r="F10165" s="2" t="str">
        <f>HYPERLINK("http://bbs.12365auto.com/postcontent.aspx?tId=193623","http://bbs.12365auto.com/postcontent.aspx?tId=193623")</f>
        <v>http://bbs.12365auto.com/postcontent.aspx?tId=193623</v>
      </c>
      <c r="G10165" s="2"/>
      <c r="H10165" s="2" t="s">
        <v>13603</v>
      </c>
      <c r="I10165" s="2" t="s">
        <v>15</v>
      </c>
      <c r="J10165" s="2" t="s">
        <v>949</v>
      </c>
      <c r="K10165" s="2" t="s">
        <v>13602</v>
      </c>
      <c r="L10165" s="2">
        <f t="shared" si="158"/>
        <v>150</v>
      </c>
    </row>
    <row r="10166" spans="1:12" ht="25" customHeight="1">
      <c r="A10166" s="2" t="s">
        <v>12</v>
      </c>
      <c r="B10166" s="2" t="str">
        <f>HYPERLINK("http://bbs.12365auto.com/postcontent.aspx?tID=193623","4S店买车怎样拿到最低价？不用托人找关系")</f>
        <v>4S店买车怎样拿到最低价？不用托人找关系</v>
      </c>
      <c r="C10166" s="2" t="s">
        <v>13</v>
      </c>
      <c r="D10166" s="2" t="s">
        <v>12</v>
      </c>
      <c r="E10166" s="2" t="s">
        <v>214</v>
      </c>
      <c r="F10166" s="2" t="str">
        <f>HYPERLINK("http://bbs.12365auto.com/postcontent.aspx?tID=193623","http://bbs.12365auto.com/postcontent.aspx?tID=193623")</f>
        <v>http://bbs.12365auto.com/postcontent.aspx?tID=193623</v>
      </c>
      <c r="G10166" s="2"/>
      <c r="H10166" s="2" t="s">
        <v>13606</v>
      </c>
      <c r="I10166" s="2" t="s">
        <v>15</v>
      </c>
      <c r="J10166" s="2" t="s">
        <v>949</v>
      </c>
      <c r="K10166" s="2" t="s">
        <v>13602</v>
      </c>
      <c r="L10166" s="2">
        <f t="shared" si="158"/>
        <v>150</v>
      </c>
    </row>
    <row r="10167" spans="1:12" ht="25" customHeight="1">
      <c r="A10167" s="2" t="s">
        <v>12</v>
      </c>
      <c r="B10167" s="2" t="str">
        <f>HYPERLINK("http://bbs.12365auto.com/postcontent.aspx?tID=193624","福特F150猛禽太大太霸气了 7座SUV锐界一比就是个弟弟")</f>
        <v>福特F150猛禽太大太霸气了 7座SUV锐界一比就是个弟弟</v>
      </c>
      <c r="C10167" s="2" t="s">
        <v>13</v>
      </c>
      <c r="D10167" s="2" t="s">
        <v>12</v>
      </c>
      <c r="E10167" s="2" t="s">
        <v>214</v>
      </c>
      <c r="F10167" s="2" t="str">
        <f>HYPERLINK("http://bbs.12365auto.com/postcontent.aspx?tID=193624","http://bbs.12365auto.com/postcontent.aspx?tID=193624")</f>
        <v>http://bbs.12365auto.com/postcontent.aspx?tID=193624</v>
      </c>
      <c r="G10167" s="2"/>
      <c r="H10167" s="2" t="s">
        <v>13607</v>
      </c>
      <c r="I10167" s="2" t="s">
        <v>15</v>
      </c>
      <c r="J10167" s="2" t="s">
        <v>949</v>
      </c>
      <c r="K10167" s="2" t="s">
        <v>13602</v>
      </c>
      <c r="L10167" s="2">
        <f t="shared" si="158"/>
        <v>150</v>
      </c>
    </row>
    <row r="10168" spans="1:12" ht="25" customHeight="1">
      <c r="A10168" s="2" t="s">
        <v>12</v>
      </c>
      <c r="B10168" s="2" t="str">
        <f>HYPERLINK("http://m.12365auto.com/bbs/postcontent.aspx?tID=193622","吉利换回四缸机 是醒悟还是迷失？")</f>
        <v>吉利换回四缸机 是醒悟还是迷失？</v>
      </c>
      <c r="C10168" s="2" t="s">
        <v>13</v>
      </c>
      <c r="D10168" s="2" t="s">
        <v>23</v>
      </c>
      <c r="E10168" s="2"/>
      <c r="F10168" s="2" t="str">
        <f>HYPERLINK("http://m.12365auto.com/bbs/postcontent.aspx?tID=193622","http://m.12365auto.com/bbs/postcontent.aspx?tID=193622")</f>
        <v>http://m.12365auto.com/bbs/postcontent.aspx?tID=193622</v>
      </c>
      <c r="G10168" s="2"/>
      <c r="H10168" s="2" t="s">
        <v>1924</v>
      </c>
      <c r="I10168" s="2" t="s">
        <v>15</v>
      </c>
      <c r="J10168" s="2" t="s">
        <v>949</v>
      </c>
      <c r="K10168" s="2" t="s">
        <v>13608</v>
      </c>
      <c r="L10168" s="2">
        <f t="shared" si="158"/>
        <v>150</v>
      </c>
    </row>
    <row r="10169" spans="1:12" ht="25" customHeight="1">
      <c r="A10169" s="2" t="s">
        <v>12</v>
      </c>
      <c r="B10169" s="2" t="str">
        <f>HYPERLINK("http://bbs.12365auto.com/postcontent.aspx?tId=193622","吉利换回四缸机 是醒悟还是迷失？")</f>
        <v>吉利换回四缸机 是醒悟还是迷失？</v>
      </c>
      <c r="C10169" s="2" t="s">
        <v>13</v>
      </c>
      <c r="D10169" s="2" t="s">
        <v>12</v>
      </c>
      <c r="E10169" s="2" t="s">
        <v>210</v>
      </c>
      <c r="F10169" s="2" t="str">
        <f>HYPERLINK("http://bbs.12365auto.com/postcontent.aspx?tId=193622","http://bbs.12365auto.com/postcontent.aspx?tId=193622")</f>
        <v>http://bbs.12365auto.com/postcontent.aspx?tId=193622</v>
      </c>
      <c r="G10169" s="2"/>
      <c r="H10169" s="2" t="s">
        <v>1924</v>
      </c>
      <c r="I10169" s="2" t="s">
        <v>15</v>
      </c>
      <c r="J10169" s="2" t="s">
        <v>949</v>
      </c>
      <c r="K10169" s="2" t="s">
        <v>13608</v>
      </c>
      <c r="L10169" s="2">
        <f t="shared" si="158"/>
        <v>150</v>
      </c>
    </row>
    <row r="10170" spans="1:12" ht="25" customHeight="1">
      <c r="A10170" s="2" t="s">
        <v>12</v>
      </c>
      <c r="B10170" s="2" t="str">
        <f>HYPERLINK("http://bbs.12365auto.com/postcontent.aspx?tID=193622","吉利换回四缸机 是醒悟还是迷失？")</f>
        <v>吉利换回四缸机 是醒悟还是迷失？</v>
      </c>
      <c r="C10170" s="2" t="s">
        <v>13</v>
      </c>
      <c r="D10170" s="2" t="s">
        <v>12</v>
      </c>
      <c r="E10170" s="2" t="s">
        <v>214</v>
      </c>
      <c r="F10170" s="2" t="str">
        <f>HYPERLINK("http://bbs.12365auto.com/postcontent.aspx?tID=193622","http://bbs.12365auto.com/postcontent.aspx?tID=193622")</f>
        <v>http://bbs.12365auto.com/postcontent.aspx?tID=193622</v>
      </c>
      <c r="G10170" s="2"/>
      <c r="H10170" s="2" t="s">
        <v>1926</v>
      </c>
      <c r="I10170" s="2" t="s">
        <v>15</v>
      </c>
      <c r="J10170" s="2" t="s">
        <v>949</v>
      </c>
      <c r="K10170" s="2" t="s">
        <v>13608</v>
      </c>
      <c r="L10170" s="2">
        <f t="shared" si="158"/>
        <v>150</v>
      </c>
    </row>
    <row r="10171" spans="1:12" ht="25" customHeight="1">
      <c r="A10171" s="2" t="s">
        <v>12</v>
      </c>
      <c r="B10171" s="2" t="str">
        <f>HYPERLINK("http://m.12365auto.com/bbs/postcontent.aspx?tID=193621","销量暴跌亏损严重 这些汽车品牌 优惠再多也不要买（上）")</f>
        <v>销量暴跌亏损严重 这些汽车品牌 优惠再多也不要买（上）</v>
      </c>
      <c r="C10171" s="2" t="s">
        <v>13</v>
      </c>
      <c r="D10171" s="2" t="s">
        <v>23</v>
      </c>
      <c r="E10171" s="2"/>
      <c r="F10171" s="2" t="str">
        <f>HYPERLINK("http://m.12365auto.com/bbs/postcontent.aspx?tID=193621","http://m.12365auto.com/bbs/postcontent.aspx?tID=193621")</f>
        <v>http://m.12365auto.com/bbs/postcontent.aspx?tID=193621</v>
      </c>
      <c r="G10171" s="2"/>
      <c r="H10171" s="2" t="s">
        <v>13609</v>
      </c>
      <c r="I10171" s="2" t="s">
        <v>15</v>
      </c>
      <c r="J10171" s="2" t="s">
        <v>949</v>
      </c>
      <c r="K10171" s="2" t="s">
        <v>13610</v>
      </c>
      <c r="L10171" s="2">
        <f t="shared" si="158"/>
        <v>150</v>
      </c>
    </row>
    <row r="10172" spans="1:12" ht="25" customHeight="1">
      <c r="A10172" s="2" t="s">
        <v>12</v>
      </c>
      <c r="B10172" s="2" t="str">
        <f>HYPERLINK("http://www.12365auto.com/xcdg/20200210/418101.shtml","天际第二款SUV将投产 竞争比亚迪宋Pro EV")</f>
        <v>天际第二款SUV将投产 竞争比亚迪宋Pro EV</v>
      </c>
      <c r="C10172" s="2" t="s">
        <v>13</v>
      </c>
      <c r="D10172" s="2" t="s">
        <v>12</v>
      </c>
      <c r="E10172" s="2" t="s">
        <v>216</v>
      </c>
      <c r="F10172" s="2" t="str">
        <f>HYPERLINK("http://www.12365auto.com/xcdg/20200210/418101.shtml","http://www.12365auto.com/xcdg/20200210/418101.shtml")</f>
        <v>http://www.12365auto.com/xcdg/20200210/418101.shtml</v>
      </c>
      <c r="G10172" s="2"/>
      <c r="H10172" s="2" t="s">
        <v>13611</v>
      </c>
      <c r="I10172" s="2" t="s">
        <v>15</v>
      </c>
      <c r="J10172" s="2" t="s">
        <v>12</v>
      </c>
      <c r="K10172" s="2" t="s">
        <v>13610</v>
      </c>
      <c r="L10172" s="2">
        <f t="shared" si="158"/>
        <v>150</v>
      </c>
    </row>
    <row r="10173" spans="1:12" ht="25" customHeight="1">
      <c r="A10173" s="2" t="s">
        <v>12</v>
      </c>
      <c r="B10173" s="2" t="str">
        <f>HYPERLINK("http://m.12365auto.com/xcdg/20200210/418101.shtml","天际第二款SUV将投产 竞争比亚迪宋Pro EV")</f>
        <v>天际第二款SUV将投产 竞争比亚迪宋Pro EV</v>
      </c>
      <c r="C10173" s="2" t="s">
        <v>13</v>
      </c>
      <c r="D10173" s="2" t="s">
        <v>12</v>
      </c>
      <c r="E10173" s="2"/>
      <c r="F10173" s="2" t="str">
        <f>HYPERLINK("http://m.12365auto.com/xcdg/20200210/418101.shtml","http://m.12365auto.com/xcdg/20200210/418101.shtml")</f>
        <v>http://m.12365auto.com/xcdg/20200210/418101.shtml</v>
      </c>
      <c r="G10173" s="2"/>
      <c r="H10173" s="2" t="s">
        <v>13612</v>
      </c>
      <c r="I10173" s="2" t="s">
        <v>19</v>
      </c>
      <c r="J10173" s="2" t="s">
        <v>257</v>
      </c>
      <c r="K10173" s="2" t="s">
        <v>13610</v>
      </c>
      <c r="L10173" s="2">
        <f t="shared" si="158"/>
        <v>150</v>
      </c>
    </row>
    <row r="10174" spans="1:12" ht="25" customHeight="1">
      <c r="A10174" s="2" t="s">
        <v>12</v>
      </c>
      <c r="B10174" s="2" t="str">
        <f>HYPERLINK("http://bbs.12365auto.com/postcontent.aspx?tId=193621","销量暴跌亏损严重 这些汽车品牌 优惠再多也不要买（上）")</f>
        <v>销量暴跌亏损严重 这些汽车品牌 优惠再多也不要买（上）</v>
      </c>
      <c r="C10174" s="2" t="s">
        <v>13</v>
      </c>
      <c r="D10174" s="2" t="s">
        <v>12</v>
      </c>
      <c r="E10174" s="2" t="s">
        <v>210</v>
      </c>
      <c r="F10174" s="2" t="str">
        <f>HYPERLINK("http://bbs.12365auto.com/postcontent.aspx?tId=193621","http://bbs.12365auto.com/postcontent.aspx?tId=193621")</f>
        <v>http://bbs.12365auto.com/postcontent.aspx?tId=193621</v>
      </c>
      <c r="G10174" s="2"/>
      <c r="H10174" s="2" t="s">
        <v>13609</v>
      </c>
      <c r="I10174" s="2" t="s">
        <v>15</v>
      </c>
      <c r="J10174" s="2" t="s">
        <v>949</v>
      </c>
      <c r="K10174" s="2" t="s">
        <v>13610</v>
      </c>
      <c r="L10174" s="2">
        <f t="shared" si="158"/>
        <v>150</v>
      </c>
    </row>
    <row r="10175" spans="1:12" ht="25" customHeight="1">
      <c r="A10175" s="2" t="s">
        <v>12</v>
      </c>
      <c r="B10175" s="2" t="str">
        <f>HYPERLINK("http://bbs.12365auto.com/postcontent.aspx?tID=193621","销量暴跌亏损严重 这些汽车品牌 优惠再多也不要买（上）")</f>
        <v>销量暴跌亏损严重 这些汽车品牌 优惠再多也不要买（上）</v>
      </c>
      <c r="C10175" s="2" t="s">
        <v>13</v>
      </c>
      <c r="D10175" s="2" t="s">
        <v>12</v>
      </c>
      <c r="E10175" s="2" t="s">
        <v>214</v>
      </c>
      <c r="F10175" s="2" t="str">
        <f>HYPERLINK("http://bbs.12365auto.com/postcontent.aspx?tID=193621","http://bbs.12365auto.com/postcontent.aspx?tID=193621")</f>
        <v>http://bbs.12365auto.com/postcontent.aspx?tID=193621</v>
      </c>
      <c r="G10175" s="2"/>
      <c r="H10175" s="2" t="s">
        <v>13613</v>
      </c>
      <c r="I10175" s="2" t="s">
        <v>15</v>
      </c>
      <c r="J10175" s="2" t="s">
        <v>949</v>
      </c>
      <c r="K10175" s="2" t="s">
        <v>13610</v>
      </c>
      <c r="L10175" s="2">
        <f t="shared" si="158"/>
        <v>150</v>
      </c>
    </row>
    <row r="10176" spans="1:12" ht="25" customHeight="1">
      <c r="A10176" s="2" t="s">
        <v>12</v>
      </c>
      <c r="B10176" s="2" t="str">
        <f>HYPERLINK("http://bbs.12365auto.com/postcontent.aspx?tID=193619","比保时捷718有格调 新款捷豹F-TYPE解析")</f>
        <v>比保时捷718有格调 新款捷豹F-TYPE解析</v>
      </c>
      <c r="C10176" s="2" t="s">
        <v>13</v>
      </c>
      <c r="D10176" s="2" t="s">
        <v>12</v>
      </c>
      <c r="E10176" s="2" t="s">
        <v>214</v>
      </c>
      <c r="F10176" s="2" t="str">
        <f>HYPERLINK("http://bbs.12365auto.com/postcontent.aspx?tID=193619","http://bbs.12365auto.com/postcontent.aspx?tID=193619")</f>
        <v>http://bbs.12365auto.com/postcontent.aspx?tID=193619</v>
      </c>
      <c r="G10176" s="2"/>
      <c r="H10176" s="2" t="s">
        <v>13614</v>
      </c>
      <c r="I10176" s="2" t="s">
        <v>15</v>
      </c>
      <c r="J10176" s="2" t="s">
        <v>949</v>
      </c>
      <c r="K10176" s="2" t="s">
        <v>13615</v>
      </c>
      <c r="L10176" s="2">
        <f t="shared" si="158"/>
        <v>150</v>
      </c>
    </row>
    <row r="10177" spans="1:12" ht="25" customHeight="1">
      <c r="A10177" s="2" t="s">
        <v>12</v>
      </c>
      <c r="B10177" s="2" t="str">
        <f>HYPERLINK("http://bbs.12365auto.com/postcontent.aspx?tId=193620","开蔚来ES6回家过年 我发现了这些问题")</f>
        <v>开蔚来ES6回家过年 我发现了这些问题</v>
      </c>
      <c r="C10177" s="2" t="s">
        <v>13</v>
      </c>
      <c r="D10177" s="2" t="s">
        <v>12</v>
      </c>
      <c r="E10177" s="2" t="s">
        <v>210</v>
      </c>
      <c r="F10177" s="2" t="str">
        <f>HYPERLINK("http://bbs.12365auto.com/postcontent.aspx?tId=193620","http://bbs.12365auto.com/postcontent.aspx?tId=193620")</f>
        <v>http://bbs.12365auto.com/postcontent.aspx?tId=193620</v>
      </c>
      <c r="G10177" s="2"/>
      <c r="H10177" s="2" t="s">
        <v>13470</v>
      </c>
      <c r="I10177" s="2" t="s">
        <v>15</v>
      </c>
      <c r="J10177" s="2" t="s">
        <v>949</v>
      </c>
      <c r="K10177" s="2" t="s">
        <v>13615</v>
      </c>
      <c r="L10177" s="2">
        <f t="shared" si="158"/>
        <v>150</v>
      </c>
    </row>
    <row r="10178" spans="1:12" ht="25" customHeight="1">
      <c r="A10178" s="2" t="s">
        <v>12</v>
      </c>
      <c r="B10178" s="2" t="str">
        <f>HYPERLINK("http://bbs.12365auto.com/postcontent.aspx?tID=193620","开蔚来ES6回家过年 我发现了这些问题")</f>
        <v>开蔚来ES6回家过年 我发现了这些问题</v>
      </c>
      <c r="C10178" s="2" t="s">
        <v>13</v>
      </c>
      <c r="D10178" s="2" t="s">
        <v>12</v>
      </c>
      <c r="E10178" s="2" t="s">
        <v>214</v>
      </c>
      <c r="F10178" s="2" t="str">
        <f>HYPERLINK("http://bbs.12365auto.com/postcontent.aspx?tID=193620","http://bbs.12365auto.com/postcontent.aspx?tID=193620")</f>
        <v>http://bbs.12365auto.com/postcontent.aspx?tID=193620</v>
      </c>
      <c r="G10178" s="2"/>
      <c r="H10178" s="2" t="s">
        <v>13472</v>
      </c>
      <c r="I10178" s="2" t="s">
        <v>15</v>
      </c>
      <c r="J10178" s="2" t="s">
        <v>949</v>
      </c>
      <c r="K10178" s="2" t="s">
        <v>13615</v>
      </c>
      <c r="L10178" s="2">
        <f t="shared" si="158"/>
        <v>150</v>
      </c>
    </row>
    <row r="10179" spans="1:12" ht="25" customHeight="1">
      <c r="A10179" s="2" t="s">
        <v>12</v>
      </c>
      <c r="B10179" s="2" t="str">
        <f>HYPERLINK("http://bbs.12365auto.com/postcontent.aspx?tId=193619","比保时捷718有格调 新款捷豹F-TYPE解析")</f>
        <v>比保时捷718有格调 新款捷豹F-TYPE解析</v>
      </c>
      <c r="C10179" s="2" t="s">
        <v>13</v>
      </c>
      <c r="D10179" s="2" t="s">
        <v>12</v>
      </c>
      <c r="E10179" s="2" t="s">
        <v>210</v>
      </c>
      <c r="F10179" s="2" t="str">
        <f>HYPERLINK("http://bbs.12365auto.com/postcontent.aspx?tId=193619","http://bbs.12365auto.com/postcontent.aspx?tId=193619")</f>
        <v>http://bbs.12365auto.com/postcontent.aspx?tId=193619</v>
      </c>
      <c r="G10179" s="2"/>
      <c r="H10179" s="2" t="s">
        <v>11393</v>
      </c>
      <c r="I10179" s="2" t="s">
        <v>15</v>
      </c>
      <c r="J10179" s="2" t="s">
        <v>949</v>
      </c>
      <c r="K10179" s="2" t="s">
        <v>13615</v>
      </c>
      <c r="L10179" s="2">
        <f t="shared" ref="L10179:L10242" si="159">LEN(H10179)</f>
        <v>150</v>
      </c>
    </row>
    <row r="10180" spans="1:12" ht="25" customHeight="1">
      <c r="A10180" s="2" t="s">
        <v>12</v>
      </c>
      <c r="B10180" s="2" t="str">
        <f>HYPERLINK("http://m.12365auto.com/bbs/postcontent.aspx?tID=193620","开蔚来ES6回家过年 我发现了这些问题")</f>
        <v>开蔚来ES6回家过年 我发现了这些问题</v>
      </c>
      <c r="C10180" s="2" t="s">
        <v>13</v>
      </c>
      <c r="D10180" s="2" t="s">
        <v>23</v>
      </c>
      <c r="E10180" s="2"/>
      <c r="F10180" s="2" t="str">
        <f>HYPERLINK("http://m.12365auto.com/bbs/postcontent.aspx?tID=193620","http://m.12365auto.com/bbs/postcontent.aspx?tID=193620")</f>
        <v>http://m.12365auto.com/bbs/postcontent.aspx?tID=193620</v>
      </c>
      <c r="G10180" s="2"/>
      <c r="H10180" s="2" t="s">
        <v>13470</v>
      </c>
      <c r="I10180" s="2" t="s">
        <v>15</v>
      </c>
      <c r="J10180" s="2" t="s">
        <v>949</v>
      </c>
      <c r="K10180" s="2" t="s">
        <v>13615</v>
      </c>
      <c r="L10180" s="2">
        <f t="shared" si="159"/>
        <v>150</v>
      </c>
    </row>
    <row r="10181" spans="1:12" ht="25" customHeight="1">
      <c r="A10181" s="2" t="s">
        <v>12</v>
      </c>
      <c r="B10181" s="2" t="str">
        <f>HYPERLINK("http://m.12365auto.com/bbs/postcontent.aspx?tID=193619","比保时捷718有格调 新款捷豹F-TYPE解析")</f>
        <v>比保时捷718有格调 新款捷豹F-TYPE解析</v>
      </c>
      <c r="C10181" s="2" t="s">
        <v>13</v>
      </c>
      <c r="D10181" s="2" t="s">
        <v>23</v>
      </c>
      <c r="E10181" s="2"/>
      <c r="F10181" s="2" t="str">
        <f>HYPERLINK("http://m.12365auto.com/bbs/postcontent.aspx?tID=193619","http://m.12365auto.com/bbs/postcontent.aspx?tID=193619")</f>
        <v>http://m.12365auto.com/bbs/postcontent.aspx?tID=193619</v>
      </c>
      <c r="G10181" s="2"/>
      <c r="H10181" s="2" t="s">
        <v>11393</v>
      </c>
      <c r="I10181" s="2" t="s">
        <v>15</v>
      </c>
      <c r="J10181" s="2" t="s">
        <v>949</v>
      </c>
      <c r="K10181" s="2" t="s">
        <v>13615</v>
      </c>
      <c r="L10181" s="2">
        <f t="shared" si="159"/>
        <v>150</v>
      </c>
    </row>
    <row r="10182" spans="1:12" ht="25" customHeight="1">
      <c r="A10182" s="2" t="s">
        <v>12</v>
      </c>
      <c r="B10182" s="2" t="str">
        <f>HYPERLINK("http://www.12365auto.com/xcdg/20200210/418099.shtml","福特全新Bronco五门版渲染图 年内开售")</f>
        <v>福特全新Bronco五门版渲染图 年内开售</v>
      </c>
      <c r="C10182" s="2" t="s">
        <v>13</v>
      </c>
      <c r="D10182" s="2" t="s">
        <v>12</v>
      </c>
      <c r="E10182" s="2" t="s">
        <v>216</v>
      </c>
      <c r="F10182" s="2" t="str">
        <f>HYPERLINK("http://www.12365auto.com/xcdg/20200210/418099.shtml","http://www.12365auto.com/xcdg/20200210/418099.shtml")</f>
        <v>http://www.12365auto.com/xcdg/20200210/418099.shtml</v>
      </c>
      <c r="G10182" s="2"/>
      <c r="H10182" s="2" t="s">
        <v>13616</v>
      </c>
      <c r="I10182" s="2" t="s">
        <v>15</v>
      </c>
      <c r="J10182" s="2" t="s">
        <v>12</v>
      </c>
      <c r="K10182" s="2" t="s">
        <v>13617</v>
      </c>
      <c r="L10182" s="2">
        <f t="shared" si="159"/>
        <v>150</v>
      </c>
    </row>
    <row r="10183" spans="1:12" ht="25" customHeight="1">
      <c r="A10183" s="2" t="s">
        <v>12</v>
      </c>
      <c r="B10183" s="2" t="str">
        <f>HYPERLINK("http://www.12365auto.com/news/20200210/418100.shtml","一文读懂东风汽车集团旗下整车产能规划布局")</f>
        <v>一文读懂东风汽车集团旗下整车产能规划布局</v>
      </c>
      <c r="C10183" s="2" t="s">
        <v>13</v>
      </c>
      <c r="D10183" s="2" t="s">
        <v>12</v>
      </c>
      <c r="E10183" s="2" t="s">
        <v>276</v>
      </c>
      <c r="F10183" s="2" t="str">
        <f>HYPERLINK("http://www.12365auto.com/news/20200210/418100.shtml","http://www.12365auto.com/news/20200210/418100.shtml")</f>
        <v>http://www.12365auto.com/news/20200210/418100.shtml</v>
      </c>
      <c r="G10183" s="2"/>
      <c r="H10183" s="2" t="s">
        <v>13618</v>
      </c>
      <c r="I10183" s="2" t="s">
        <v>15</v>
      </c>
      <c r="J10183" s="2" t="s">
        <v>12</v>
      </c>
      <c r="K10183" s="2" t="s">
        <v>13617</v>
      </c>
      <c r="L10183" s="2">
        <f t="shared" si="159"/>
        <v>150</v>
      </c>
    </row>
    <row r="10184" spans="1:12" ht="25" customHeight="1">
      <c r="A10184" s="2" t="s">
        <v>12</v>
      </c>
      <c r="B10184" s="2" t="str">
        <f>HYPERLINK("http://m.12365auto.com/news/20200210/418100.shtml","一文读懂东风汽车集团旗下整车产能规划布局")</f>
        <v>一文读懂东风汽车集团旗下整车产能规划布局</v>
      </c>
      <c r="C10184" s="2" t="s">
        <v>13</v>
      </c>
      <c r="D10184" s="2" t="s">
        <v>12</v>
      </c>
      <c r="E10184" s="2"/>
      <c r="F10184" s="2" t="str">
        <f>HYPERLINK("http://m.12365auto.com/news/20200210/418100.shtml","http://m.12365auto.com/news/20200210/418100.shtml")</f>
        <v>http://m.12365auto.com/news/20200210/418100.shtml</v>
      </c>
      <c r="G10184" s="2"/>
      <c r="H10184" s="2" t="s">
        <v>13619</v>
      </c>
      <c r="I10184" s="2" t="s">
        <v>19</v>
      </c>
      <c r="J10184" s="2" t="s">
        <v>3629</v>
      </c>
      <c r="K10184" s="2" t="s">
        <v>13617</v>
      </c>
      <c r="L10184" s="2">
        <f t="shared" si="159"/>
        <v>150</v>
      </c>
    </row>
    <row r="10185" spans="1:12" ht="25" customHeight="1">
      <c r="A10185" s="2" t="s">
        <v>12</v>
      </c>
      <c r="B10185" s="2" t="str">
        <f>HYPERLINK("http://bbs.12365auto.com/postcontent.aspx?tId=193618","一辆乞丐奥迪A3的改装进化之路")</f>
        <v>一辆乞丐奥迪A3的改装进化之路</v>
      </c>
      <c r="C10185" s="2" t="s">
        <v>13</v>
      </c>
      <c r="D10185" s="2" t="s">
        <v>12</v>
      </c>
      <c r="E10185" s="2" t="s">
        <v>210</v>
      </c>
      <c r="F10185" s="2" t="str">
        <f>HYPERLINK("http://bbs.12365auto.com/postcontent.aspx?tId=193618","http://bbs.12365auto.com/postcontent.aspx?tId=193618")</f>
        <v>http://bbs.12365auto.com/postcontent.aspx?tId=193618</v>
      </c>
      <c r="G10185" s="2"/>
      <c r="H10185" s="2" t="s">
        <v>13620</v>
      </c>
      <c r="I10185" s="2" t="s">
        <v>15</v>
      </c>
      <c r="J10185" s="2" t="s">
        <v>949</v>
      </c>
      <c r="K10185" s="2" t="s">
        <v>13617</v>
      </c>
      <c r="L10185" s="2">
        <f t="shared" si="159"/>
        <v>150</v>
      </c>
    </row>
    <row r="10186" spans="1:12" ht="25" customHeight="1">
      <c r="A10186" s="2" t="s">
        <v>12</v>
      </c>
      <c r="B10186" s="2" t="str">
        <f>HYPERLINK("http://bbs.12365auto.com/postcontent.aspx?tId=193617","2019全球卖最好的10款车 国内都有卖 你买对了吗？")</f>
        <v>2019全球卖最好的10款车 国内都有卖 你买对了吗？</v>
      </c>
      <c r="C10186" s="2" t="s">
        <v>13</v>
      </c>
      <c r="D10186" s="2" t="s">
        <v>12</v>
      </c>
      <c r="E10186" s="2" t="s">
        <v>210</v>
      </c>
      <c r="F10186" s="2" t="str">
        <f>HYPERLINK("http://bbs.12365auto.com/postcontent.aspx?tId=193617","http://bbs.12365auto.com/postcontent.aspx?tId=193617")</f>
        <v>http://bbs.12365auto.com/postcontent.aspx?tId=193617</v>
      </c>
      <c r="G10186" s="2"/>
      <c r="H10186" s="2" t="s">
        <v>8640</v>
      </c>
      <c r="I10186" s="2" t="s">
        <v>15</v>
      </c>
      <c r="J10186" s="2" t="s">
        <v>949</v>
      </c>
      <c r="K10186" s="2" t="s">
        <v>13617</v>
      </c>
      <c r="L10186" s="2">
        <f t="shared" si="159"/>
        <v>150</v>
      </c>
    </row>
    <row r="10187" spans="1:12" ht="25" customHeight="1">
      <c r="A10187" s="2" t="s">
        <v>12</v>
      </c>
      <c r="B10187" s="2" t="str">
        <f>HYPERLINK("http://m.12365auto.com/bbs/postcontent.aspx?tID=193618","一辆乞丐奥迪A3的改装进化之路")</f>
        <v>一辆乞丐奥迪A3的改装进化之路</v>
      </c>
      <c r="C10187" s="2" t="s">
        <v>13</v>
      </c>
      <c r="D10187" s="2" t="s">
        <v>23</v>
      </c>
      <c r="E10187" s="2"/>
      <c r="F10187" s="2" t="str">
        <f>HYPERLINK("http://m.12365auto.com/bbs/postcontent.aspx?tID=193618","http://m.12365auto.com/bbs/postcontent.aspx?tID=193618")</f>
        <v>http://m.12365auto.com/bbs/postcontent.aspx?tID=193618</v>
      </c>
      <c r="G10187" s="2"/>
      <c r="H10187" s="2" t="s">
        <v>13620</v>
      </c>
      <c r="I10187" s="2" t="s">
        <v>15</v>
      </c>
      <c r="J10187" s="2" t="s">
        <v>949</v>
      </c>
      <c r="K10187" s="2" t="s">
        <v>13617</v>
      </c>
      <c r="L10187" s="2">
        <f t="shared" si="159"/>
        <v>150</v>
      </c>
    </row>
    <row r="10188" spans="1:12" ht="25" customHeight="1">
      <c r="A10188" s="2" t="s">
        <v>12</v>
      </c>
      <c r="B10188" s="2" t="str">
        <f>HYPERLINK("http://m.12365auto.com/bbs/postcontent.aspx?tID=193617","2019全球卖最好的10款车 国内都有卖 你买对了吗？")</f>
        <v>2019全球卖最好的10款车 国内都有卖 你买对了吗？</v>
      </c>
      <c r="C10188" s="2" t="s">
        <v>13</v>
      </c>
      <c r="D10188" s="2" t="s">
        <v>23</v>
      </c>
      <c r="E10188" s="2"/>
      <c r="F10188" s="2" t="str">
        <f>HYPERLINK("http://m.12365auto.com/bbs/postcontent.aspx?tID=193617","http://m.12365auto.com/bbs/postcontent.aspx?tID=193617")</f>
        <v>http://m.12365auto.com/bbs/postcontent.aspx?tID=193617</v>
      </c>
      <c r="G10188" s="2"/>
      <c r="H10188" s="2" t="s">
        <v>8640</v>
      </c>
      <c r="I10188" s="2" t="s">
        <v>15</v>
      </c>
      <c r="J10188" s="2" t="s">
        <v>949</v>
      </c>
      <c r="K10188" s="2" t="s">
        <v>13617</v>
      </c>
      <c r="L10188" s="2">
        <f t="shared" si="159"/>
        <v>150</v>
      </c>
    </row>
    <row r="10189" spans="1:12" ht="25" customHeight="1">
      <c r="A10189" s="2" t="s">
        <v>12</v>
      </c>
      <c r="B10189" s="2" t="str">
        <f>HYPERLINK("http://www.12365auto.com/news/20200210/418098.shtml","放弃私人汽车 用户更爱自动驾驶出租车")</f>
        <v>放弃私人汽车 用户更爱自动驾驶出租车</v>
      </c>
      <c r="C10189" s="2" t="s">
        <v>13</v>
      </c>
      <c r="D10189" s="2" t="s">
        <v>12</v>
      </c>
      <c r="E10189" s="2" t="s">
        <v>276</v>
      </c>
      <c r="F10189" s="2" t="str">
        <f>HYPERLINK("http://www.12365auto.com/news/20200210/418098.shtml","http://www.12365auto.com/news/20200210/418098.shtml")</f>
        <v>http://www.12365auto.com/news/20200210/418098.shtml</v>
      </c>
      <c r="G10189" s="2"/>
      <c r="H10189" s="2" t="s">
        <v>13621</v>
      </c>
      <c r="I10189" s="2" t="s">
        <v>15</v>
      </c>
      <c r="J10189" s="2" t="s">
        <v>12</v>
      </c>
      <c r="K10189" s="2" t="s">
        <v>13617</v>
      </c>
      <c r="L10189" s="2">
        <f t="shared" si="159"/>
        <v>150</v>
      </c>
    </row>
    <row r="10190" spans="1:12" ht="25" customHeight="1">
      <c r="A10190" s="2" t="s">
        <v>12</v>
      </c>
      <c r="B10190" s="2" t="str">
        <f>HYPERLINK("http://bbs.12365auto.com/postcontent.aspx?tID=193618","一辆乞丐奥迪A3的改装进化之路")</f>
        <v>一辆乞丐奥迪A3的改装进化之路</v>
      </c>
      <c r="C10190" s="2" t="s">
        <v>13</v>
      </c>
      <c r="D10190" s="2" t="s">
        <v>12</v>
      </c>
      <c r="E10190" s="2" t="s">
        <v>214</v>
      </c>
      <c r="F10190" s="2" t="str">
        <f>HYPERLINK("http://bbs.12365auto.com/postcontent.aspx?tID=193618","http://bbs.12365auto.com/postcontent.aspx?tID=193618")</f>
        <v>http://bbs.12365auto.com/postcontent.aspx?tID=193618</v>
      </c>
      <c r="G10190" s="2"/>
      <c r="H10190" s="2" t="s">
        <v>13622</v>
      </c>
      <c r="I10190" s="2" t="s">
        <v>15</v>
      </c>
      <c r="J10190" s="2" t="s">
        <v>949</v>
      </c>
      <c r="K10190" s="2" t="s">
        <v>13617</v>
      </c>
      <c r="L10190" s="2">
        <f t="shared" si="159"/>
        <v>150</v>
      </c>
    </row>
    <row r="10191" spans="1:12" ht="25" customHeight="1">
      <c r="A10191" s="2" t="s">
        <v>12</v>
      </c>
      <c r="B10191" s="2" t="str">
        <f>HYPERLINK("http://bbs.12365auto.com/postcontent.aspx?tID=193617","2019全球卖最好的10款车 国内都有卖 你买对了吗？")</f>
        <v>2019全球卖最好的10款车 国内都有卖 你买对了吗？</v>
      </c>
      <c r="C10191" s="2" t="s">
        <v>13</v>
      </c>
      <c r="D10191" s="2" t="s">
        <v>12</v>
      </c>
      <c r="E10191" s="2" t="s">
        <v>214</v>
      </c>
      <c r="F10191" s="2" t="str">
        <f>HYPERLINK("http://bbs.12365auto.com/postcontent.aspx?tID=193617","http://bbs.12365auto.com/postcontent.aspx?tID=193617")</f>
        <v>http://bbs.12365auto.com/postcontent.aspx?tID=193617</v>
      </c>
      <c r="G10191" s="2"/>
      <c r="H10191" s="2" t="s">
        <v>13623</v>
      </c>
      <c r="I10191" s="2" t="s">
        <v>15</v>
      </c>
      <c r="J10191" s="2" t="s">
        <v>949</v>
      </c>
      <c r="K10191" s="2" t="s">
        <v>13617</v>
      </c>
      <c r="L10191" s="2">
        <f t="shared" si="159"/>
        <v>150</v>
      </c>
    </row>
    <row r="10192" spans="1:12" ht="25" customHeight="1">
      <c r="A10192" s="2" t="s">
        <v>12</v>
      </c>
      <c r="B10192" s="2" t="str">
        <f>HYPERLINK("http://m.12365auto.com/xcdg/20200210/418099.shtml","福特全新Bronco五门版渲染图 年内开售")</f>
        <v>福特全新Bronco五门版渲染图 年内开售</v>
      </c>
      <c r="C10192" s="2" t="s">
        <v>13</v>
      </c>
      <c r="D10192" s="2" t="s">
        <v>12</v>
      </c>
      <c r="E10192" s="2"/>
      <c r="F10192" s="2" t="str">
        <f>HYPERLINK("http://m.12365auto.com/xcdg/20200210/418099.shtml","http://m.12365auto.com/xcdg/20200210/418099.shtml")</f>
        <v>http://m.12365auto.com/xcdg/20200210/418099.shtml</v>
      </c>
      <c r="G10192" s="2"/>
      <c r="H10192" s="2" t="s">
        <v>13624</v>
      </c>
      <c r="I10192" s="2" t="s">
        <v>19</v>
      </c>
      <c r="J10192" s="2" t="s">
        <v>220</v>
      </c>
      <c r="K10192" s="2" t="s">
        <v>13617</v>
      </c>
      <c r="L10192" s="2">
        <f t="shared" si="159"/>
        <v>150</v>
      </c>
    </row>
    <row r="10193" spans="1:12" ht="25" customHeight="1">
      <c r="A10193" s="2" t="s">
        <v>12</v>
      </c>
      <c r="B10193" s="2" t="str">
        <f>HYPERLINK("http://bbs.12365auto.com/postcontent.aspx?tId=193616","穷人买不起富人看不上 全新日产天籁推2.0T就是个错误的决定")</f>
        <v>穷人买不起富人看不上 全新日产天籁推2.0T就是个错误的决定</v>
      </c>
      <c r="C10193" s="2" t="s">
        <v>13</v>
      </c>
      <c r="D10193" s="2" t="s">
        <v>12</v>
      </c>
      <c r="E10193" s="2" t="s">
        <v>210</v>
      </c>
      <c r="F10193" s="2" t="str">
        <f>HYPERLINK("http://bbs.12365auto.com/postcontent.aspx?tId=193616","http://bbs.12365auto.com/postcontent.aspx?tId=193616")</f>
        <v>http://bbs.12365auto.com/postcontent.aspx?tId=193616</v>
      </c>
      <c r="G10193" s="2"/>
      <c r="H10193" s="2" t="s">
        <v>13625</v>
      </c>
      <c r="I10193" s="2" t="s">
        <v>15</v>
      </c>
      <c r="J10193" s="2" t="s">
        <v>949</v>
      </c>
      <c r="K10193" s="2" t="s">
        <v>13626</v>
      </c>
      <c r="L10193" s="2">
        <f t="shared" si="159"/>
        <v>150</v>
      </c>
    </row>
    <row r="10194" spans="1:12" ht="25" customHeight="1">
      <c r="A10194" s="2" t="s">
        <v>12</v>
      </c>
      <c r="B10194" s="2" t="str">
        <f>HYPERLINK("http://www.12365auto.com/xcdg/20200210/418096.shtml","北京新BJ80 3.0T版本街拍 车漆跟大G一样")</f>
        <v>北京新BJ80 3.0T版本街拍 车漆跟大G一样</v>
      </c>
      <c r="C10194" s="2" t="s">
        <v>13</v>
      </c>
      <c r="D10194" s="2" t="s">
        <v>12</v>
      </c>
      <c r="E10194" s="2" t="s">
        <v>216</v>
      </c>
      <c r="F10194" s="2" t="str">
        <f>HYPERLINK("http://www.12365auto.com/xcdg/20200210/418096.shtml","http://www.12365auto.com/xcdg/20200210/418096.shtml")</f>
        <v>http://www.12365auto.com/xcdg/20200210/418096.shtml</v>
      </c>
      <c r="G10194" s="2"/>
      <c r="H10194" s="2" t="s">
        <v>13627</v>
      </c>
      <c r="I10194" s="2" t="s">
        <v>15</v>
      </c>
      <c r="J10194" s="2" t="s">
        <v>12</v>
      </c>
      <c r="K10194" s="2" t="s">
        <v>13626</v>
      </c>
      <c r="L10194" s="2">
        <f t="shared" si="159"/>
        <v>150</v>
      </c>
    </row>
    <row r="10195" spans="1:12" ht="25" customHeight="1">
      <c r="A10195" s="2" t="s">
        <v>12</v>
      </c>
      <c r="B10195" s="2" t="str">
        <f>HYPERLINK("http://bbs.12365auto.com/postcontent.aspx?tID=193616","穷人买不起富人看不上 全新日产天籁推2.0T就是个错误的决定")</f>
        <v>穷人买不起富人看不上 全新日产天籁推2.0T就是个错误的决定</v>
      </c>
      <c r="C10195" s="2" t="s">
        <v>13</v>
      </c>
      <c r="D10195" s="2" t="s">
        <v>12</v>
      </c>
      <c r="E10195" s="2" t="s">
        <v>214</v>
      </c>
      <c r="F10195" s="2" t="str">
        <f>HYPERLINK("http://bbs.12365auto.com/postcontent.aspx?tID=193616","http://bbs.12365auto.com/postcontent.aspx?tID=193616")</f>
        <v>http://bbs.12365auto.com/postcontent.aspx?tID=193616</v>
      </c>
      <c r="G10195" s="2"/>
      <c r="H10195" s="2" t="s">
        <v>13628</v>
      </c>
      <c r="I10195" s="2" t="s">
        <v>15</v>
      </c>
      <c r="J10195" s="2" t="s">
        <v>949</v>
      </c>
      <c r="K10195" s="2" t="s">
        <v>13626</v>
      </c>
      <c r="L10195" s="2">
        <f t="shared" si="159"/>
        <v>150</v>
      </c>
    </row>
    <row r="10196" spans="1:12" ht="25" customHeight="1">
      <c r="A10196" s="2" t="s">
        <v>12</v>
      </c>
      <c r="B10196" s="2" t="str">
        <f>HYPERLINK("http://m.12365auto.com/xcdg/20200210/418096.shtml","北京新BJ80 3.0T版本街拍 车漆跟大G一样")</f>
        <v>北京新BJ80 3.0T版本街拍 车漆跟大G一样</v>
      </c>
      <c r="C10196" s="2" t="s">
        <v>13</v>
      </c>
      <c r="D10196" s="2" t="s">
        <v>12</v>
      </c>
      <c r="E10196" s="2"/>
      <c r="F10196" s="2" t="str">
        <f>HYPERLINK("http://m.12365auto.com/xcdg/20200210/418096.shtml","http://m.12365auto.com/xcdg/20200210/418096.shtml")</f>
        <v>http://m.12365auto.com/xcdg/20200210/418096.shtml</v>
      </c>
      <c r="G10196" s="2"/>
      <c r="H10196" s="2" t="s">
        <v>13629</v>
      </c>
      <c r="I10196" s="2" t="s">
        <v>19</v>
      </c>
      <c r="J10196" s="2" t="s">
        <v>6086</v>
      </c>
      <c r="K10196" s="2" t="s">
        <v>13626</v>
      </c>
      <c r="L10196" s="2">
        <f t="shared" si="159"/>
        <v>150</v>
      </c>
    </row>
    <row r="10197" spans="1:12" ht="25" customHeight="1">
      <c r="A10197" s="2" t="s">
        <v>12</v>
      </c>
      <c r="B10197" s="2" t="str">
        <f>HYPERLINK("http://www.12365auto.com/news/20200210/418097.shtml","日本科学家用喷雾沉积法制备硅纳米颗粒")</f>
        <v>日本科学家用喷雾沉积法制备硅纳米颗粒</v>
      </c>
      <c r="C10197" s="2" t="s">
        <v>13</v>
      </c>
      <c r="D10197" s="2" t="s">
        <v>12</v>
      </c>
      <c r="E10197" s="2" t="s">
        <v>276</v>
      </c>
      <c r="F10197" s="2" t="str">
        <f>HYPERLINK("http://www.12365auto.com/news/20200210/418097.shtml","http://www.12365auto.com/news/20200210/418097.shtml")</f>
        <v>http://www.12365auto.com/news/20200210/418097.shtml</v>
      </c>
      <c r="G10197" s="2"/>
      <c r="H10197" s="2" t="s">
        <v>13630</v>
      </c>
      <c r="I10197" s="2" t="s">
        <v>15</v>
      </c>
      <c r="J10197" s="2" t="s">
        <v>12</v>
      </c>
      <c r="K10197" s="2" t="s">
        <v>13631</v>
      </c>
      <c r="L10197" s="2">
        <f t="shared" si="159"/>
        <v>150</v>
      </c>
    </row>
    <row r="10198" spans="1:12" ht="25" customHeight="1">
      <c r="A10198" s="2" t="s">
        <v>12</v>
      </c>
      <c r="B10198" s="2" t="str">
        <f>HYPERLINK("http://www.12365auto.com/xcdg/20200210/418095.shtml","丰田全新Proace City 售价公布/多种动力")</f>
        <v>丰田全新Proace City 售价公布/多种动力</v>
      </c>
      <c r="C10198" s="2" t="s">
        <v>13</v>
      </c>
      <c r="D10198" s="2" t="s">
        <v>12</v>
      </c>
      <c r="E10198" s="2" t="s">
        <v>216</v>
      </c>
      <c r="F10198" s="2" t="str">
        <f>HYPERLINK("http://www.12365auto.com/xcdg/20200210/418095.shtml","http://www.12365auto.com/xcdg/20200210/418095.shtml")</f>
        <v>http://www.12365auto.com/xcdg/20200210/418095.shtml</v>
      </c>
      <c r="G10198" s="2"/>
      <c r="H10198" s="2" t="s">
        <v>13632</v>
      </c>
      <c r="I10198" s="2" t="s">
        <v>15</v>
      </c>
      <c r="J10198" s="2" t="s">
        <v>12</v>
      </c>
      <c r="K10198" s="2" t="s">
        <v>13631</v>
      </c>
      <c r="L10198" s="2">
        <f t="shared" si="159"/>
        <v>150</v>
      </c>
    </row>
    <row r="10199" spans="1:12" ht="25" customHeight="1">
      <c r="A10199" s="2" t="s">
        <v>12</v>
      </c>
      <c r="B10199" s="2" t="str">
        <f>HYPERLINK("http://m.12365auto.com/bbs/postcontent.aspx?tID=193614","法拉利最傲娇的超跑，应该就是它了")</f>
        <v>法拉利最傲娇的超跑，应该就是它了</v>
      </c>
      <c r="C10199" s="2" t="s">
        <v>13</v>
      </c>
      <c r="D10199" s="2" t="s">
        <v>23</v>
      </c>
      <c r="E10199" s="2"/>
      <c r="F10199" s="2" t="str">
        <f>HYPERLINK("http://m.12365auto.com/bbs/postcontent.aspx?tID=193614","http://m.12365auto.com/bbs/postcontent.aspx?tID=193614")</f>
        <v>http://m.12365auto.com/bbs/postcontent.aspx?tID=193614</v>
      </c>
      <c r="G10199" s="2"/>
      <c r="H10199" s="2" t="s">
        <v>13633</v>
      </c>
      <c r="I10199" s="2" t="s">
        <v>15</v>
      </c>
      <c r="J10199" s="2" t="s">
        <v>3718</v>
      </c>
      <c r="K10199" s="2" t="s">
        <v>13631</v>
      </c>
      <c r="L10199" s="2">
        <f t="shared" si="159"/>
        <v>150</v>
      </c>
    </row>
    <row r="10200" spans="1:12" ht="25" customHeight="1">
      <c r="A10200" s="2" t="s">
        <v>12</v>
      </c>
      <c r="B10200" s="2" t="str">
        <f>HYPERLINK("http://bbs.12365auto.com/postcontent.aspx?tID=193615","“国产帕拉梅拉”售价24万 续航650公里可有人买单？")</f>
        <v>“国产帕拉梅拉”售价24万 续航650公里可有人买单？</v>
      </c>
      <c r="C10200" s="2" t="s">
        <v>13</v>
      </c>
      <c r="D10200" s="2" t="s">
        <v>12</v>
      </c>
      <c r="E10200" s="2" t="s">
        <v>214</v>
      </c>
      <c r="F10200" s="2" t="str">
        <f>HYPERLINK("http://bbs.12365auto.com/postcontent.aspx?tID=193615","http://bbs.12365auto.com/postcontent.aspx?tID=193615")</f>
        <v>http://bbs.12365auto.com/postcontent.aspx?tID=193615</v>
      </c>
      <c r="G10200" s="2"/>
      <c r="H10200" s="2" t="s">
        <v>13634</v>
      </c>
      <c r="I10200" s="2" t="s">
        <v>15</v>
      </c>
      <c r="J10200" s="2" t="s">
        <v>949</v>
      </c>
      <c r="K10200" s="2" t="s">
        <v>13631</v>
      </c>
      <c r="L10200" s="2">
        <f t="shared" si="159"/>
        <v>150</v>
      </c>
    </row>
    <row r="10201" spans="1:12" ht="25" customHeight="1">
      <c r="A10201" s="2" t="s">
        <v>12</v>
      </c>
      <c r="B10201" s="2" t="str">
        <f>HYPERLINK("http://bbs.12365auto.com/postcontent.aspx?tID=193614","法拉利最傲娇的超跑，应该就是它了")</f>
        <v>法拉利最傲娇的超跑，应该就是它了</v>
      </c>
      <c r="C10201" s="2" t="s">
        <v>13</v>
      </c>
      <c r="D10201" s="2" t="s">
        <v>12</v>
      </c>
      <c r="E10201" s="2" t="s">
        <v>214</v>
      </c>
      <c r="F10201" s="2" t="str">
        <f>HYPERLINK("http://bbs.12365auto.com/postcontent.aspx?tID=193614","http://bbs.12365auto.com/postcontent.aspx?tID=193614")</f>
        <v>http://bbs.12365auto.com/postcontent.aspx?tID=193614</v>
      </c>
      <c r="G10201" s="2"/>
      <c r="H10201" s="2" t="s">
        <v>13635</v>
      </c>
      <c r="I10201" s="2" t="s">
        <v>15</v>
      </c>
      <c r="J10201" s="2" t="s">
        <v>3718</v>
      </c>
      <c r="K10201" s="2" t="s">
        <v>13631</v>
      </c>
      <c r="L10201" s="2">
        <f t="shared" si="159"/>
        <v>150</v>
      </c>
    </row>
    <row r="10202" spans="1:12" ht="25" customHeight="1">
      <c r="A10202" s="2" t="s">
        <v>12</v>
      </c>
      <c r="B10202" s="2" t="str">
        <f>HYPERLINK("http://bbs.12365auto.com/postcontent.aspx?tId=193614","法拉利最傲娇的超跑，应该就是它了")</f>
        <v>法拉利最傲娇的超跑，应该就是它了</v>
      </c>
      <c r="C10202" s="2" t="s">
        <v>13</v>
      </c>
      <c r="D10202" s="2" t="s">
        <v>12</v>
      </c>
      <c r="E10202" s="2" t="s">
        <v>210</v>
      </c>
      <c r="F10202" s="2" t="str">
        <f>HYPERLINK("http://bbs.12365auto.com/postcontent.aspx?tId=193614","http://bbs.12365auto.com/postcontent.aspx?tId=193614")</f>
        <v>http://bbs.12365auto.com/postcontent.aspx?tId=193614</v>
      </c>
      <c r="G10202" s="2"/>
      <c r="H10202" s="2" t="s">
        <v>13633</v>
      </c>
      <c r="I10202" s="2" t="s">
        <v>15</v>
      </c>
      <c r="J10202" s="2" t="s">
        <v>3718</v>
      </c>
      <c r="K10202" s="2" t="s">
        <v>13631</v>
      </c>
      <c r="L10202" s="2">
        <f t="shared" si="159"/>
        <v>150</v>
      </c>
    </row>
    <row r="10203" spans="1:12" ht="25" customHeight="1">
      <c r="A10203" s="2" t="s">
        <v>12</v>
      </c>
      <c r="B10203" s="2" t="str">
        <f>HYPERLINK("http://m.12365auto.com/news/20200210/418097.shtml","日本科学家用喷雾沉积法制备硅纳米颗粒")</f>
        <v>日本科学家用喷雾沉积法制备硅纳米颗粒</v>
      </c>
      <c r="C10203" s="2" t="s">
        <v>13</v>
      </c>
      <c r="D10203" s="2" t="s">
        <v>12</v>
      </c>
      <c r="E10203" s="2"/>
      <c r="F10203" s="2" t="str">
        <f>HYPERLINK("http://m.12365auto.com/news/20200210/418097.shtml","http://m.12365auto.com/news/20200210/418097.shtml")</f>
        <v>http://m.12365auto.com/news/20200210/418097.shtml</v>
      </c>
      <c r="G10203" s="2"/>
      <c r="H10203" s="2" t="s">
        <v>13636</v>
      </c>
      <c r="I10203" s="2" t="s">
        <v>19</v>
      </c>
      <c r="J10203" s="2" t="s">
        <v>1029</v>
      </c>
      <c r="K10203" s="2" t="s">
        <v>13631</v>
      </c>
      <c r="L10203" s="2">
        <f t="shared" si="159"/>
        <v>150</v>
      </c>
    </row>
    <row r="10204" spans="1:12" ht="25" customHeight="1">
      <c r="A10204" s="2" t="s">
        <v>12</v>
      </c>
      <c r="B10204" s="2" t="str">
        <f>HYPERLINK("http://m.12365auto.com/xcdg/20200210/418095.shtml","丰田全新Proace City 售价公布/多种动力")</f>
        <v>丰田全新Proace City 售价公布/多种动力</v>
      </c>
      <c r="C10204" s="2" t="s">
        <v>13</v>
      </c>
      <c r="D10204" s="2" t="s">
        <v>12</v>
      </c>
      <c r="E10204" s="2"/>
      <c r="F10204" s="2" t="str">
        <f>HYPERLINK("http://m.12365auto.com/xcdg/20200210/418095.shtml","http://m.12365auto.com/xcdg/20200210/418095.shtml")</f>
        <v>http://m.12365auto.com/xcdg/20200210/418095.shtml</v>
      </c>
      <c r="G10204" s="2"/>
      <c r="H10204" s="2" t="s">
        <v>13637</v>
      </c>
      <c r="I10204" s="2" t="s">
        <v>19</v>
      </c>
      <c r="J10204" s="2" t="s">
        <v>13601</v>
      </c>
      <c r="K10204" s="2" t="s">
        <v>13631</v>
      </c>
      <c r="L10204" s="2">
        <f t="shared" si="159"/>
        <v>150</v>
      </c>
    </row>
    <row r="10205" spans="1:12" ht="25" customHeight="1">
      <c r="A10205" s="2" t="s">
        <v>12</v>
      </c>
      <c r="B10205" s="2" t="str">
        <f>HYPERLINK("http://m.12365auto.com/xcdg/20200210/418093.shtml","雷克萨斯日内瓦车展阵容 3款新车将亮相")</f>
        <v>雷克萨斯日内瓦车展阵容 3款新车将亮相</v>
      </c>
      <c r="C10205" s="2" t="s">
        <v>13</v>
      </c>
      <c r="D10205" s="2" t="s">
        <v>12</v>
      </c>
      <c r="E10205" s="2"/>
      <c r="F10205" s="2" t="str">
        <f>HYPERLINK("http://m.12365auto.com/xcdg/20200210/418093.shtml","http://m.12365auto.com/xcdg/20200210/418093.shtml")</f>
        <v>http://m.12365auto.com/xcdg/20200210/418093.shtml</v>
      </c>
      <c r="G10205" s="2"/>
      <c r="H10205" s="2" t="s">
        <v>13638</v>
      </c>
      <c r="I10205" s="2" t="s">
        <v>19</v>
      </c>
      <c r="J10205" s="2" t="s">
        <v>220</v>
      </c>
      <c r="K10205" s="2" t="s">
        <v>13639</v>
      </c>
      <c r="L10205" s="2">
        <f t="shared" si="159"/>
        <v>150</v>
      </c>
    </row>
    <row r="10206" spans="1:12" ht="25" customHeight="1">
      <c r="A10206" s="2" t="s">
        <v>12</v>
      </c>
      <c r="B10206" s="2" t="str">
        <f>HYPERLINK("http://www.12365auto.com/xcdg/20200210/418093.shtml","雷克萨斯日内瓦车展阵容 3款新车将亮相")</f>
        <v>雷克萨斯日内瓦车展阵容 3款新车将亮相</v>
      </c>
      <c r="C10206" s="2" t="s">
        <v>13</v>
      </c>
      <c r="D10206" s="2" t="s">
        <v>12</v>
      </c>
      <c r="E10206" s="2" t="s">
        <v>216</v>
      </c>
      <c r="F10206" s="2" t="str">
        <f>HYPERLINK("http://www.12365auto.com/xcdg/20200210/418093.shtml","http://www.12365auto.com/xcdg/20200210/418093.shtml")</f>
        <v>http://www.12365auto.com/xcdg/20200210/418093.shtml</v>
      </c>
      <c r="G10206" s="2"/>
      <c r="H10206" s="2" t="s">
        <v>13640</v>
      </c>
      <c r="I10206" s="2" t="s">
        <v>15</v>
      </c>
      <c r="J10206" s="2" t="s">
        <v>12</v>
      </c>
      <c r="K10206" s="2" t="s">
        <v>13639</v>
      </c>
      <c r="L10206" s="2">
        <f t="shared" si="159"/>
        <v>150</v>
      </c>
    </row>
    <row r="10207" spans="1:12" ht="25" customHeight="1">
      <c r="A10207" s="2" t="s">
        <v>12</v>
      </c>
      <c r="B10207" s="2" t="str">
        <f>HYPERLINK("http://m.12365auto.com/bbs/postcontent.aspx?tID=193613","2019年销量滑坡的SUV车型")</f>
        <v>2019年销量滑坡的SUV车型</v>
      </c>
      <c r="C10207" s="2" t="s">
        <v>13</v>
      </c>
      <c r="D10207" s="2" t="s">
        <v>23</v>
      </c>
      <c r="E10207" s="2"/>
      <c r="F10207" s="2" t="str">
        <f>HYPERLINK("http://m.12365auto.com/bbs/postcontent.aspx?tID=193613","http://m.12365auto.com/bbs/postcontent.aspx?tID=193613")</f>
        <v>http://m.12365auto.com/bbs/postcontent.aspx?tID=193613</v>
      </c>
      <c r="G10207" s="2"/>
      <c r="H10207" s="2" t="s">
        <v>12141</v>
      </c>
      <c r="I10207" s="2" t="s">
        <v>15</v>
      </c>
      <c r="J10207" s="2" t="s">
        <v>3718</v>
      </c>
      <c r="K10207" s="2" t="s">
        <v>13639</v>
      </c>
      <c r="L10207" s="2">
        <f t="shared" si="159"/>
        <v>150</v>
      </c>
    </row>
    <row r="10208" spans="1:12" ht="25" customHeight="1">
      <c r="A10208" s="2" t="s">
        <v>12</v>
      </c>
      <c r="B10208" s="2" t="str">
        <f>HYPERLINK("http://bbs.12365auto.com/postcontent.aspx?tID=193612","10种开车当天吃了不能开车的药 车主要谨记")</f>
        <v>10种开车当天吃了不能开车的药 车主要谨记</v>
      </c>
      <c r="C10208" s="2" t="s">
        <v>13</v>
      </c>
      <c r="D10208" s="2" t="s">
        <v>12</v>
      </c>
      <c r="E10208" s="2" t="s">
        <v>28</v>
      </c>
      <c r="F10208" s="2" t="str">
        <f>HYPERLINK("http://bbs.12365auto.com/postcontent.aspx?tID=193612","http://bbs.12365auto.com/postcontent.aspx?tID=193612")</f>
        <v>http://bbs.12365auto.com/postcontent.aspx?tID=193612</v>
      </c>
      <c r="G10208" s="2"/>
      <c r="H10208" s="2" t="s">
        <v>13641</v>
      </c>
      <c r="I10208" s="2" t="s">
        <v>15</v>
      </c>
      <c r="J10208" s="2" t="s">
        <v>4760</v>
      </c>
      <c r="K10208" s="2" t="s">
        <v>13639</v>
      </c>
      <c r="L10208" s="2">
        <f t="shared" si="159"/>
        <v>150</v>
      </c>
    </row>
    <row r="10209" spans="1:12" ht="25" customHeight="1">
      <c r="A10209" s="2" t="s">
        <v>12</v>
      </c>
      <c r="B10209" s="2" t="str">
        <f>HYPERLINK("http://bbs.12365auto.com/postcontent.aspx?tID=193613","2019年销量滑坡的SUV车型")</f>
        <v>2019年销量滑坡的SUV车型</v>
      </c>
      <c r="C10209" s="2" t="s">
        <v>13</v>
      </c>
      <c r="D10209" s="2" t="s">
        <v>12</v>
      </c>
      <c r="E10209" s="2" t="s">
        <v>214</v>
      </c>
      <c r="F10209" s="2" t="str">
        <f>HYPERLINK("http://bbs.12365auto.com/postcontent.aspx?tID=193613","http://bbs.12365auto.com/postcontent.aspx?tID=193613")</f>
        <v>http://bbs.12365auto.com/postcontent.aspx?tID=193613</v>
      </c>
      <c r="G10209" s="2"/>
      <c r="H10209" s="2" t="s">
        <v>12142</v>
      </c>
      <c r="I10209" s="2" t="s">
        <v>15</v>
      </c>
      <c r="J10209" s="2" t="s">
        <v>3718</v>
      </c>
      <c r="K10209" s="2" t="s">
        <v>13639</v>
      </c>
      <c r="L10209" s="2">
        <f t="shared" si="159"/>
        <v>150</v>
      </c>
    </row>
    <row r="10210" spans="1:12" ht="25" customHeight="1">
      <c r="A10210" s="2" t="s">
        <v>12</v>
      </c>
      <c r="B10210" s="2" t="str">
        <f>HYPERLINK("http://m.12365auto.com/bbs/postcontent.aspx?tID=193612","10种开车当天吃了不能开车的药 车主要谨记")</f>
        <v>10种开车当天吃了不能开车的药 车主要谨记</v>
      </c>
      <c r="C10210" s="2" t="s">
        <v>13</v>
      </c>
      <c r="D10210" s="2" t="s">
        <v>23</v>
      </c>
      <c r="E10210" s="2"/>
      <c r="F10210" s="2" t="str">
        <f>HYPERLINK("http://m.12365auto.com/bbs/postcontent.aspx?tID=193612","http://m.12365auto.com/bbs/postcontent.aspx?tID=193612")</f>
        <v>http://m.12365auto.com/bbs/postcontent.aspx?tID=193612</v>
      </c>
      <c r="G10210" s="2"/>
      <c r="H10210" s="2" t="s">
        <v>13642</v>
      </c>
      <c r="I10210" s="2" t="s">
        <v>15</v>
      </c>
      <c r="J10210" s="2" t="s">
        <v>4760</v>
      </c>
      <c r="K10210" s="2" t="s">
        <v>13639</v>
      </c>
      <c r="L10210" s="2">
        <f t="shared" si="159"/>
        <v>150</v>
      </c>
    </row>
    <row r="10211" spans="1:12" ht="25" customHeight="1">
      <c r="A10211" s="2" t="s">
        <v>12</v>
      </c>
      <c r="B10211" s="2" t="str">
        <f>HYPERLINK("http://www.12365auto.com/xcdg/20200210/418094.shtml","2020年6款重磅合资SUV 最低11万/月底就能买")</f>
        <v>2020年6款重磅合资SUV 最低11万/月底就能买</v>
      </c>
      <c r="C10211" s="2" t="s">
        <v>13</v>
      </c>
      <c r="D10211" s="2" t="s">
        <v>12</v>
      </c>
      <c r="E10211" s="2" t="s">
        <v>216</v>
      </c>
      <c r="F10211" s="2" t="str">
        <f>HYPERLINK("http://www.12365auto.com/xcdg/20200210/418094.shtml","http://www.12365auto.com/xcdg/20200210/418094.shtml")</f>
        <v>http://www.12365auto.com/xcdg/20200210/418094.shtml</v>
      </c>
      <c r="G10211" s="2"/>
      <c r="H10211" s="2" t="s">
        <v>13643</v>
      </c>
      <c r="I10211" s="2" t="s">
        <v>15</v>
      </c>
      <c r="J10211" s="2" t="s">
        <v>12</v>
      </c>
      <c r="K10211" s="2" t="s">
        <v>13639</v>
      </c>
      <c r="L10211" s="2">
        <f t="shared" si="159"/>
        <v>150</v>
      </c>
    </row>
    <row r="10212" spans="1:12" ht="25" customHeight="1">
      <c r="A10212" s="2" t="s">
        <v>12</v>
      </c>
      <c r="B10212" s="2" t="str">
        <f>HYPERLINK("http://bbs.12365auto.com/postcontent.aspx?tId=193613","2019年销量滑坡的SUV车型")</f>
        <v>2019年销量滑坡的SUV车型</v>
      </c>
      <c r="C10212" s="2" t="s">
        <v>13</v>
      </c>
      <c r="D10212" s="2" t="s">
        <v>12</v>
      </c>
      <c r="E10212" s="2" t="s">
        <v>210</v>
      </c>
      <c r="F10212" s="2" t="str">
        <f>HYPERLINK("http://bbs.12365auto.com/postcontent.aspx?tId=193613","http://bbs.12365auto.com/postcontent.aspx?tId=193613")</f>
        <v>http://bbs.12365auto.com/postcontent.aspx?tId=193613</v>
      </c>
      <c r="G10212" s="2"/>
      <c r="H10212" s="2" t="s">
        <v>12141</v>
      </c>
      <c r="I10212" s="2" t="s">
        <v>15</v>
      </c>
      <c r="J10212" s="2" t="s">
        <v>3718</v>
      </c>
      <c r="K10212" s="2" t="s">
        <v>13639</v>
      </c>
      <c r="L10212" s="2">
        <f t="shared" si="159"/>
        <v>150</v>
      </c>
    </row>
    <row r="10213" spans="1:12" ht="25" customHeight="1">
      <c r="A10213" s="2" t="s">
        <v>12</v>
      </c>
      <c r="B10213" s="2" t="str">
        <f>HYPERLINK("http://bbs.12365auto.com/postcontent.aspx?tId=193612","10种开车当天吃了不能开车的药 车主要谨记")</f>
        <v>10种开车当天吃了不能开车的药 车主要谨记</v>
      </c>
      <c r="C10213" s="2" t="s">
        <v>13</v>
      </c>
      <c r="D10213" s="2" t="s">
        <v>12</v>
      </c>
      <c r="E10213" s="2" t="s">
        <v>27</v>
      </c>
      <c r="F10213" s="2" t="str">
        <f>HYPERLINK("http://bbs.12365auto.com/postcontent.aspx?tId=193612","http://bbs.12365auto.com/postcontent.aspx?tId=193612")</f>
        <v>http://bbs.12365auto.com/postcontent.aspx?tId=193612</v>
      </c>
      <c r="G10213" s="2"/>
      <c r="H10213" s="2" t="s">
        <v>13642</v>
      </c>
      <c r="I10213" s="2" t="s">
        <v>15</v>
      </c>
      <c r="J10213" s="2" t="s">
        <v>4760</v>
      </c>
      <c r="K10213" s="2" t="s">
        <v>13639</v>
      </c>
      <c r="L10213" s="2">
        <f t="shared" si="159"/>
        <v>150</v>
      </c>
    </row>
    <row r="10214" spans="1:12" ht="25" customHeight="1">
      <c r="A10214" s="2" t="s">
        <v>12</v>
      </c>
      <c r="B10214" s="2" t="str">
        <f>HYPERLINK("http://m.12365auto.com/xcdg/20200210/418094.shtml","2020年6款重磅合资SUV 最低11万/月底就能买")</f>
        <v>2020年6款重磅合资SUV 最低11万/月底就能买</v>
      </c>
      <c r="C10214" s="2" t="s">
        <v>13</v>
      </c>
      <c r="D10214" s="2" t="s">
        <v>12</v>
      </c>
      <c r="E10214" s="2"/>
      <c r="F10214" s="2" t="str">
        <f>HYPERLINK("http://m.12365auto.com/xcdg/20200210/418094.shtml","http://m.12365auto.com/xcdg/20200210/418094.shtml")</f>
        <v>http://m.12365auto.com/xcdg/20200210/418094.shtml</v>
      </c>
      <c r="G10214" s="2"/>
      <c r="H10214" s="2" t="s">
        <v>13644</v>
      </c>
      <c r="I10214" s="2" t="s">
        <v>19</v>
      </c>
      <c r="J10214" s="2" t="s">
        <v>265</v>
      </c>
      <c r="K10214" s="2" t="s">
        <v>13639</v>
      </c>
      <c r="L10214" s="2">
        <f t="shared" si="159"/>
        <v>150</v>
      </c>
    </row>
    <row r="10215" spans="1:12" ht="25" customHeight="1">
      <c r="A10215" s="2" t="s">
        <v>12</v>
      </c>
      <c r="B10215" s="2" t="str">
        <f>HYPERLINK("http://m.12365auto.com/news/20200210/418092.shtml","延长质保/套餐合同 奥迪推疫情关爱政策")</f>
        <v>延长质保/套餐合同 奥迪推疫情关爱政策</v>
      </c>
      <c r="C10215" s="2" t="s">
        <v>13</v>
      </c>
      <c r="D10215" s="2" t="s">
        <v>12</v>
      </c>
      <c r="E10215" s="2"/>
      <c r="F10215" s="2" t="str">
        <f>HYPERLINK("http://m.12365auto.com/news/20200210/418092.shtml","http://m.12365auto.com/news/20200210/418092.shtml")</f>
        <v>http://m.12365auto.com/news/20200210/418092.shtml</v>
      </c>
      <c r="G10215" s="2"/>
      <c r="H10215" s="2" t="s">
        <v>13645</v>
      </c>
      <c r="I10215" s="2" t="s">
        <v>19</v>
      </c>
      <c r="J10215" s="2" t="s">
        <v>274</v>
      </c>
      <c r="K10215" s="2" t="s">
        <v>13646</v>
      </c>
      <c r="L10215" s="2">
        <f t="shared" si="159"/>
        <v>150</v>
      </c>
    </row>
    <row r="10216" spans="1:12" ht="25" customHeight="1">
      <c r="A10216" s="2" t="s">
        <v>12</v>
      </c>
      <c r="B10216" s="2" t="str">
        <f>HYPERLINK("http://bbs.12365auto.com/postcontent.aspx?tID=193607","永不磨灭的情怀，这就是JDM")</f>
        <v>永不磨灭的情怀，这就是JDM</v>
      </c>
      <c r="C10216" s="2" t="s">
        <v>13</v>
      </c>
      <c r="D10216" s="2" t="s">
        <v>12</v>
      </c>
      <c r="E10216" s="2" t="s">
        <v>214</v>
      </c>
      <c r="F10216" s="2" t="str">
        <f>HYPERLINK("http://bbs.12365auto.com/postcontent.aspx?tID=193607","http://bbs.12365auto.com/postcontent.aspx?tID=193607")</f>
        <v>http://bbs.12365auto.com/postcontent.aspx?tID=193607</v>
      </c>
      <c r="G10216" s="2"/>
      <c r="H10216" s="2" t="s">
        <v>13647</v>
      </c>
      <c r="I10216" s="2" t="s">
        <v>15</v>
      </c>
      <c r="J10216" s="2" t="s">
        <v>3718</v>
      </c>
      <c r="K10216" s="2" t="s">
        <v>13646</v>
      </c>
      <c r="L10216" s="2">
        <f t="shared" si="159"/>
        <v>150</v>
      </c>
    </row>
    <row r="10217" spans="1:12" ht="25" customHeight="1">
      <c r="A10217" s="2" t="s">
        <v>12</v>
      </c>
      <c r="B10217" s="2" t="str">
        <f>HYPERLINK("http://bbs.12365auto.com/postcontent.aspx?tID=193608","开启路况查询 深度体验新功能")</f>
        <v>开启路况查询 深度体验新功能</v>
      </c>
      <c r="C10217" s="2" t="s">
        <v>13</v>
      </c>
      <c r="D10217" s="2" t="s">
        <v>12</v>
      </c>
      <c r="E10217" s="2" t="s">
        <v>28</v>
      </c>
      <c r="F10217" s="2" t="str">
        <f>HYPERLINK("http://bbs.12365auto.com/postcontent.aspx?tID=193608","http://bbs.12365auto.com/postcontent.aspx?tID=193608")</f>
        <v>http://bbs.12365auto.com/postcontent.aspx?tID=193608</v>
      </c>
      <c r="G10217" s="2"/>
      <c r="H10217" s="2" t="s">
        <v>13648</v>
      </c>
      <c r="I10217" s="2" t="s">
        <v>15</v>
      </c>
      <c r="J10217" s="2" t="s">
        <v>4760</v>
      </c>
      <c r="K10217" s="2" t="s">
        <v>13646</v>
      </c>
      <c r="L10217" s="2">
        <f t="shared" si="159"/>
        <v>150</v>
      </c>
    </row>
    <row r="10218" spans="1:12" ht="25" customHeight="1">
      <c r="A10218" s="2" t="s">
        <v>12</v>
      </c>
      <c r="B10218" s="2" t="str">
        <f>HYPERLINK("http://bbs.12365auto.com/postcontent.aspx?tID=193606","坡中刹车失灵太可怕 学会自救很重要")</f>
        <v>坡中刹车失灵太可怕 学会自救很重要</v>
      </c>
      <c r="C10218" s="2" t="s">
        <v>13</v>
      </c>
      <c r="D10218" s="2" t="s">
        <v>12</v>
      </c>
      <c r="E10218" s="2" t="s">
        <v>28</v>
      </c>
      <c r="F10218" s="2" t="str">
        <f>HYPERLINK("http://bbs.12365auto.com/postcontent.aspx?tID=193606","http://bbs.12365auto.com/postcontent.aspx?tID=193606")</f>
        <v>http://bbs.12365auto.com/postcontent.aspx?tID=193606</v>
      </c>
      <c r="G10218" s="2"/>
      <c r="H10218" s="2" t="s">
        <v>13649</v>
      </c>
      <c r="I10218" s="2" t="s">
        <v>15</v>
      </c>
      <c r="J10218" s="2" t="s">
        <v>4760</v>
      </c>
      <c r="K10218" s="2" t="s">
        <v>13646</v>
      </c>
      <c r="L10218" s="2">
        <f t="shared" si="159"/>
        <v>150</v>
      </c>
    </row>
    <row r="10219" spans="1:12" ht="25" customHeight="1">
      <c r="A10219" s="2" t="s">
        <v>12</v>
      </c>
      <c r="B10219" s="2" t="str">
        <f>HYPERLINK("http://m.12365auto.com/bbs/postcontent.aspx?tID=193607","永不磨灭的情怀，这就是JDM")</f>
        <v>永不磨灭的情怀，这就是JDM</v>
      </c>
      <c r="C10219" s="2" t="s">
        <v>13</v>
      </c>
      <c r="D10219" s="2" t="s">
        <v>23</v>
      </c>
      <c r="E10219" s="2"/>
      <c r="F10219" s="2" t="str">
        <f>HYPERLINK("http://m.12365auto.com/bbs/postcontent.aspx?tID=193607","http://m.12365auto.com/bbs/postcontent.aspx?tID=193607")</f>
        <v>http://m.12365auto.com/bbs/postcontent.aspx?tID=193607</v>
      </c>
      <c r="G10219" s="2"/>
      <c r="H10219" s="2" t="s">
        <v>13650</v>
      </c>
      <c r="I10219" s="2" t="s">
        <v>15</v>
      </c>
      <c r="J10219" s="2" t="s">
        <v>3718</v>
      </c>
      <c r="K10219" s="2" t="s">
        <v>13646</v>
      </c>
      <c r="L10219" s="2">
        <f t="shared" si="159"/>
        <v>150</v>
      </c>
    </row>
    <row r="10220" spans="1:12" ht="25" customHeight="1">
      <c r="A10220" s="2" t="s">
        <v>12</v>
      </c>
      <c r="B10220" s="2" t="str">
        <f>HYPERLINK("http://m.12365auto.com/bbs/postcontent.aspx?tID=193611","为什么日系车这么保值呢？")</f>
        <v>为什么日系车这么保值呢？</v>
      </c>
      <c r="C10220" s="2" t="s">
        <v>13</v>
      </c>
      <c r="D10220" s="2" t="s">
        <v>23</v>
      </c>
      <c r="E10220" s="2"/>
      <c r="F10220" s="2" t="str">
        <f>HYPERLINK("http://m.12365auto.com/bbs/postcontent.aspx?tID=193611","http://m.12365auto.com/bbs/postcontent.aspx?tID=193611")</f>
        <v>http://m.12365auto.com/bbs/postcontent.aspx?tID=193611</v>
      </c>
      <c r="G10220" s="2"/>
      <c r="H10220" s="2" t="s">
        <v>13651</v>
      </c>
      <c r="I10220" s="2" t="s">
        <v>15</v>
      </c>
      <c r="J10220" s="2" t="s">
        <v>3718</v>
      </c>
      <c r="K10220" s="2" t="s">
        <v>13646</v>
      </c>
      <c r="L10220" s="2">
        <f t="shared" si="159"/>
        <v>150</v>
      </c>
    </row>
    <row r="10221" spans="1:12" ht="25" customHeight="1">
      <c r="A10221" s="2" t="s">
        <v>12</v>
      </c>
      <c r="B10221" s="2" t="str">
        <f>HYPERLINK("http://m.12365auto.com/bbs/postcontent.aspx?tID=193609","喜欢开四驱车？盘点一下知名的几个系统")</f>
        <v>喜欢开四驱车？盘点一下知名的几个系统</v>
      </c>
      <c r="C10221" s="2" t="s">
        <v>13</v>
      </c>
      <c r="D10221" s="2" t="s">
        <v>23</v>
      </c>
      <c r="E10221" s="2"/>
      <c r="F10221" s="2" t="str">
        <f>HYPERLINK("http://m.12365auto.com/bbs/postcontent.aspx?tID=193609","http://m.12365auto.com/bbs/postcontent.aspx?tID=193609")</f>
        <v>http://m.12365auto.com/bbs/postcontent.aspx?tID=193609</v>
      </c>
      <c r="G10221" s="2"/>
      <c r="H10221" s="2" t="s">
        <v>13652</v>
      </c>
      <c r="I10221" s="2" t="s">
        <v>15</v>
      </c>
      <c r="J10221" s="2" t="s">
        <v>3718</v>
      </c>
      <c r="K10221" s="2" t="s">
        <v>13646</v>
      </c>
      <c r="L10221" s="2">
        <f t="shared" si="159"/>
        <v>150</v>
      </c>
    </row>
    <row r="10222" spans="1:12" ht="25" customHeight="1">
      <c r="A10222" s="2" t="s">
        <v>12</v>
      </c>
      <c r="B10222" s="2" t="str">
        <f>HYPERLINK("http://bbs.12365auto.com/postcontent.aspx?tID=193610","停车闭窗开暖气不宜超一小时 一氧化碳作怪")</f>
        <v>停车闭窗开暖气不宜超一小时 一氧化碳作怪</v>
      </c>
      <c r="C10222" s="2" t="s">
        <v>13</v>
      </c>
      <c r="D10222" s="2" t="s">
        <v>12</v>
      </c>
      <c r="E10222" s="2" t="s">
        <v>28</v>
      </c>
      <c r="F10222" s="2" t="str">
        <f>HYPERLINK("http://bbs.12365auto.com/postcontent.aspx?tID=193610","http://bbs.12365auto.com/postcontent.aspx?tID=193610")</f>
        <v>http://bbs.12365auto.com/postcontent.aspx?tID=193610</v>
      </c>
      <c r="G10222" s="2"/>
      <c r="H10222" s="2" t="s">
        <v>13653</v>
      </c>
      <c r="I10222" s="2" t="s">
        <v>15</v>
      </c>
      <c r="J10222" s="2" t="s">
        <v>4760</v>
      </c>
      <c r="K10222" s="2" t="s">
        <v>13646</v>
      </c>
      <c r="L10222" s="2">
        <f t="shared" si="159"/>
        <v>150</v>
      </c>
    </row>
    <row r="10223" spans="1:12" ht="25" customHeight="1">
      <c r="A10223" s="2" t="s">
        <v>12</v>
      </c>
      <c r="B10223" s="2" t="str">
        <f>HYPERLINK("http://bbs.12365auto.com/postcontent.aspx?tID=193609","喜欢开四驱车？盘点一下知名的几个系统")</f>
        <v>喜欢开四驱车？盘点一下知名的几个系统</v>
      </c>
      <c r="C10223" s="2" t="s">
        <v>13</v>
      </c>
      <c r="D10223" s="2" t="s">
        <v>12</v>
      </c>
      <c r="E10223" s="2" t="s">
        <v>214</v>
      </c>
      <c r="F10223" s="2" t="str">
        <f>HYPERLINK("http://bbs.12365auto.com/postcontent.aspx?tID=193609","http://bbs.12365auto.com/postcontent.aspx?tID=193609")</f>
        <v>http://bbs.12365auto.com/postcontent.aspx?tID=193609</v>
      </c>
      <c r="G10223" s="2"/>
      <c r="H10223" s="2" t="s">
        <v>13654</v>
      </c>
      <c r="I10223" s="2" t="s">
        <v>15</v>
      </c>
      <c r="J10223" s="2" t="s">
        <v>3718</v>
      </c>
      <c r="K10223" s="2" t="s">
        <v>13646</v>
      </c>
      <c r="L10223" s="2">
        <f t="shared" si="159"/>
        <v>150</v>
      </c>
    </row>
    <row r="10224" spans="1:12" ht="25" customHeight="1">
      <c r="A10224" s="2" t="s">
        <v>12</v>
      </c>
      <c r="B10224" s="2" t="str">
        <f>HYPERLINK("http://bbs.12365auto.com/postcontent.aspx?tID=193611","为什么日系车这么保值呢？")</f>
        <v>为什么日系车这么保值呢？</v>
      </c>
      <c r="C10224" s="2" t="s">
        <v>13</v>
      </c>
      <c r="D10224" s="2" t="s">
        <v>12</v>
      </c>
      <c r="E10224" s="2" t="s">
        <v>214</v>
      </c>
      <c r="F10224" s="2" t="str">
        <f>HYPERLINK("http://bbs.12365auto.com/postcontent.aspx?tID=193611","http://bbs.12365auto.com/postcontent.aspx?tID=193611")</f>
        <v>http://bbs.12365auto.com/postcontent.aspx?tID=193611</v>
      </c>
      <c r="G10224" s="2"/>
      <c r="H10224" s="2" t="s">
        <v>13655</v>
      </c>
      <c r="I10224" s="2" t="s">
        <v>15</v>
      </c>
      <c r="J10224" s="2" t="s">
        <v>3718</v>
      </c>
      <c r="K10224" s="2" t="s">
        <v>13646</v>
      </c>
      <c r="L10224" s="2">
        <f t="shared" si="159"/>
        <v>150</v>
      </c>
    </row>
    <row r="10225" spans="1:12" ht="25" customHeight="1">
      <c r="A10225" s="2" t="s">
        <v>12</v>
      </c>
      <c r="B10225" s="2" t="str">
        <f>HYPERLINK("http://m.12365auto.com/bbs/postcontent.aspx?tID=193610","停车闭窗开暖气不宜超一小时 一氧化碳作怪")</f>
        <v>停车闭窗开暖气不宜超一小时 一氧化碳作怪</v>
      </c>
      <c r="C10225" s="2" t="s">
        <v>13</v>
      </c>
      <c r="D10225" s="2" t="s">
        <v>23</v>
      </c>
      <c r="E10225" s="2"/>
      <c r="F10225" s="2" t="str">
        <f>HYPERLINK("http://m.12365auto.com/bbs/postcontent.aspx?tID=193610","http://m.12365auto.com/bbs/postcontent.aspx?tID=193610")</f>
        <v>http://m.12365auto.com/bbs/postcontent.aspx?tID=193610</v>
      </c>
      <c r="G10225" s="2"/>
      <c r="H10225" s="2" t="s">
        <v>13656</v>
      </c>
      <c r="I10225" s="2" t="s">
        <v>15</v>
      </c>
      <c r="J10225" s="2" t="s">
        <v>4760</v>
      </c>
      <c r="K10225" s="2" t="s">
        <v>13646</v>
      </c>
      <c r="L10225" s="2">
        <f t="shared" si="159"/>
        <v>150</v>
      </c>
    </row>
    <row r="10226" spans="1:12" ht="25" customHeight="1">
      <c r="A10226" s="2" t="s">
        <v>12</v>
      </c>
      <c r="B10226" s="2" t="str">
        <f>HYPERLINK("http://m.12365auto.com/bbs/postcontent.aspx?tID=193608","开启路况查询 深度体验新功能")</f>
        <v>开启路况查询 深度体验新功能</v>
      </c>
      <c r="C10226" s="2" t="s">
        <v>13</v>
      </c>
      <c r="D10226" s="2" t="s">
        <v>23</v>
      </c>
      <c r="E10226" s="2"/>
      <c r="F10226" s="2" t="str">
        <f>HYPERLINK("http://m.12365auto.com/bbs/postcontent.aspx?tID=193608","http://m.12365auto.com/bbs/postcontent.aspx?tID=193608")</f>
        <v>http://m.12365auto.com/bbs/postcontent.aspx?tID=193608</v>
      </c>
      <c r="G10226" s="2"/>
      <c r="H10226" s="2" t="s">
        <v>13657</v>
      </c>
      <c r="I10226" s="2" t="s">
        <v>15</v>
      </c>
      <c r="J10226" s="2" t="s">
        <v>4760</v>
      </c>
      <c r="K10226" s="2" t="s">
        <v>13646</v>
      </c>
      <c r="L10226" s="2">
        <f t="shared" si="159"/>
        <v>150</v>
      </c>
    </row>
    <row r="10227" spans="1:12" ht="25" customHeight="1">
      <c r="A10227" s="2" t="s">
        <v>12</v>
      </c>
      <c r="B10227" s="2" t="str">
        <f>HYPERLINK("http://m.12365auto.com/bbs/postcontent.aspx?tID=193606","坡中刹车失灵太可怕 学会自救很重要")</f>
        <v>坡中刹车失灵太可怕 学会自救很重要</v>
      </c>
      <c r="C10227" s="2" t="s">
        <v>13</v>
      </c>
      <c r="D10227" s="2" t="s">
        <v>23</v>
      </c>
      <c r="E10227" s="2"/>
      <c r="F10227" s="2" t="str">
        <f>HYPERLINK("http://m.12365auto.com/bbs/postcontent.aspx?tID=193606","http://m.12365auto.com/bbs/postcontent.aspx?tID=193606")</f>
        <v>http://m.12365auto.com/bbs/postcontent.aspx?tID=193606</v>
      </c>
      <c r="G10227" s="2"/>
      <c r="H10227" s="2" t="s">
        <v>13658</v>
      </c>
      <c r="I10227" s="2" t="s">
        <v>15</v>
      </c>
      <c r="J10227" s="2" t="s">
        <v>4760</v>
      </c>
      <c r="K10227" s="2" t="s">
        <v>13646</v>
      </c>
      <c r="L10227" s="2">
        <f t="shared" si="159"/>
        <v>150</v>
      </c>
    </row>
    <row r="10228" spans="1:12" ht="25" customHeight="1">
      <c r="A10228" s="2" t="s">
        <v>12</v>
      </c>
      <c r="B10228" s="2" t="str">
        <f>HYPERLINK("http://bbs.12365auto.com/postcontent.aspx?tId=193608","开启路况查询 深度体验新功能")</f>
        <v>开启路况查询 深度体验新功能</v>
      </c>
      <c r="C10228" s="2" t="s">
        <v>13</v>
      </c>
      <c r="D10228" s="2" t="s">
        <v>12</v>
      </c>
      <c r="E10228" s="2" t="s">
        <v>27</v>
      </c>
      <c r="F10228" s="2" t="str">
        <f>HYPERLINK("http://bbs.12365auto.com/postcontent.aspx?tId=193608","http://bbs.12365auto.com/postcontent.aspx?tId=193608")</f>
        <v>http://bbs.12365auto.com/postcontent.aspx?tId=193608</v>
      </c>
      <c r="G10228" s="2"/>
      <c r="H10228" s="2" t="s">
        <v>13657</v>
      </c>
      <c r="I10228" s="2" t="s">
        <v>15</v>
      </c>
      <c r="J10228" s="2" t="s">
        <v>4760</v>
      </c>
      <c r="K10228" s="2" t="s">
        <v>13646</v>
      </c>
      <c r="L10228" s="2">
        <f t="shared" si="159"/>
        <v>150</v>
      </c>
    </row>
    <row r="10229" spans="1:12" ht="25" customHeight="1">
      <c r="A10229" s="2" t="s">
        <v>12</v>
      </c>
      <c r="B10229" s="2" t="str">
        <f>HYPERLINK("http://bbs.12365auto.com/postcontent.aspx?tId=193610","停车闭窗开暖气不宜超一小时 一氧化碳作怪")</f>
        <v>停车闭窗开暖气不宜超一小时 一氧化碳作怪</v>
      </c>
      <c r="C10229" s="2" t="s">
        <v>13</v>
      </c>
      <c r="D10229" s="2" t="s">
        <v>12</v>
      </c>
      <c r="E10229" s="2" t="s">
        <v>27</v>
      </c>
      <c r="F10229" s="2" t="str">
        <f>HYPERLINK("http://bbs.12365auto.com/postcontent.aspx?tId=193610","http://bbs.12365auto.com/postcontent.aspx?tId=193610")</f>
        <v>http://bbs.12365auto.com/postcontent.aspx?tId=193610</v>
      </c>
      <c r="G10229" s="2"/>
      <c r="H10229" s="2" t="s">
        <v>13656</v>
      </c>
      <c r="I10229" s="2" t="s">
        <v>15</v>
      </c>
      <c r="J10229" s="2" t="s">
        <v>4760</v>
      </c>
      <c r="K10229" s="2" t="s">
        <v>13646</v>
      </c>
      <c r="L10229" s="2">
        <f t="shared" si="159"/>
        <v>150</v>
      </c>
    </row>
    <row r="10230" spans="1:12" ht="25" customHeight="1">
      <c r="A10230" s="2" t="s">
        <v>12</v>
      </c>
      <c r="B10230" s="2" t="str">
        <f>HYPERLINK("http://bbs.12365auto.com/postcontent.aspx?tId=193606","坡中刹车失灵太可怕 学会自救很重要")</f>
        <v>坡中刹车失灵太可怕 学会自救很重要</v>
      </c>
      <c r="C10230" s="2" t="s">
        <v>13</v>
      </c>
      <c r="D10230" s="2" t="s">
        <v>12</v>
      </c>
      <c r="E10230" s="2" t="s">
        <v>27</v>
      </c>
      <c r="F10230" s="2" t="str">
        <f>HYPERLINK("http://bbs.12365auto.com/postcontent.aspx?tId=193606","http://bbs.12365auto.com/postcontent.aspx?tId=193606")</f>
        <v>http://bbs.12365auto.com/postcontent.aspx?tId=193606</v>
      </c>
      <c r="G10230" s="2"/>
      <c r="H10230" s="2" t="s">
        <v>13658</v>
      </c>
      <c r="I10230" s="2" t="s">
        <v>15</v>
      </c>
      <c r="J10230" s="2" t="s">
        <v>4760</v>
      </c>
      <c r="K10230" s="2" t="s">
        <v>13646</v>
      </c>
      <c r="L10230" s="2">
        <f t="shared" si="159"/>
        <v>150</v>
      </c>
    </row>
    <row r="10231" spans="1:12" ht="25" customHeight="1">
      <c r="A10231" s="2" t="s">
        <v>12</v>
      </c>
      <c r="B10231" s="2" t="str">
        <f>HYPERLINK("http://www.12365auto.com/news/20200210/418092.shtml","延长质保/套餐合同 奥迪推疫情关爱政策")</f>
        <v>延长质保/套餐合同 奥迪推疫情关爱政策</v>
      </c>
      <c r="C10231" s="2" t="s">
        <v>13</v>
      </c>
      <c r="D10231" s="2" t="s">
        <v>12</v>
      </c>
      <c r="E10231" s="2" t="s">
        <v>276</v>
      </c>
      <c r="F10231" s="2" t="str">
        <f>HYPERLINK("http://www.12365auto.com/news/20200210/418092.shtml","http://www.12365auto.com/news/20200210/418092.shtml")</f>
        <v>http://www.12365auto.com/news/20200210/418092.shtml</v>
      </c>
      <c r="G10231" s="2"/>
      <c r="H10231" s="2" t="s">
        <v>13659</v>
      </c>
      <c r="I10231" s="2" t="s">
        <v>15</v>
      </c>
      <c r="J10231" s="2" t="s">
        <v>12</v>
      </c>
      <c r="K10231" s="2" t="s">
        <v>13646</v>
      </c>
      <c r="L10231" s="2">
        <f t="shared" si="159"/>
        <v>150</v>
      </c>
    </row>
    <row r="10232" spans="1:12" ht="25" customHeight="1">
      <c r="A10232" s="2" t="s">
        <v>12</v>
      </c>
      <c r="B10232" s="2" t="str">
        <f>HYPERLINK("http://bbs.12365auto.com/postcontent.aspx?tId=193611","为什么日系车这么保值呢？")</f>
        <v>为什么日系车这么保值呢？</v>
      </c>
      <c r="C10232" s="2" t="s">
        <v>13</v>
      </c>
      <c r="D10232" s="2" t="s">
        <v>12</v>
      </c>
      <c r="E10232" s="2" t="s">
        <v>210</v>
      </c>
      <c r="F10232" s="2" t="str">
        <f>HYPERLINK("http://bbs.12365auto.com/postcontent.aspx?tId=193611","http://bbs.12365auto.com/postcontent.aspx?tId=193611")</f>
        <v>http://bbs.12365auto.com/postcontent.aspx?tId=193611</v>
      </c>
      <c r="G10232" s="2"/>
      <c r="H10232" s="2" t="s">
        <v>13651</v>
      </c>
      <c r="I10232" s="2" t="s">
        <v>15</v>
      </c>
      <c r="J10232" s="2" t="s">
        <v>3718</v>
      </c>
      <c r="K10232" s="2" t="s">
        <v>13646</v>
      </c>
      <c r="L10232" s="2">
        <f t="shared" si="159"/>
        <v>150</v>
      </c>
    </row>
    <row r="10233" spans="1:12" ht="25" customHeight="1">
      <c r="A10233" s="2" t="s">
        <v>12</v>
      </c>
      <c r="B10233" s="2" t="str">
        <f>HYPERLINK("http://bbs.12365auto.com/postcontent.aspx?tId=193607","永不磨灭的情怀，这就是JDM")</f>
        <v>永不磨灭的情怀，这就是JDM</v>
      </c>
      <c r="C10233" s="2" t="s">
        <v>13</v>
      </c>
      <c r="D10233" s="2" t="s">
        <v>12</v>
      </c>
      <c r="E10233" s="2" t="s">
        <v>210</v>
      </c>
      <c r="F10233" s="2" t="str">
        <f>HYPERLINK("http://bbs.12365auto.com/postcontent.aspx?tId=193607","http://bbs.12365auto.com/postcontent.aspx?tId=193607")</f>
        <v>http://bbs.12365auto.com/postcontent.aspx?tId=193607</v>
      </c>
      <c r="G10233" s="2"/>
      <c r="H10233" s="2" t="s">
        <v>13650</v>
      </c>
      <c r="I10233" s="2" t="s">
        <v>15</v>
      </c>
      <c r="J10233" s="2" t="s">
        <v>3718</v>
      </c>
      <c r="K10233" s="2" t="s">
        <v>13646</v>
      </c>
      <c r="L10233" s="2">
        <f t="shared" si="159"/>
        <v>150</v>
      </c>
    </row>
    <row r="10234" spans="1:12" ht="25" customHeight="1">
      <c r="A10234" s="2" t="s">
        <v>12</v>
      </c>
      <c r="B10234" s="2" t="str">
        <f>HYPERLINK("http://bbs.12365auto.com/postcontent.aspx?tId=193609","喜欢开四驱车？盘点一下知名的几个系统")</f>
        <v>喜欢开四驱车？盘点一下知名的几个系统</v>
      </c>
      <c r="C10234" s="2" t="s">
        <v>13</v>
      </c>
      <c r="D10234" s="2" t="s">
        <v>12</v>
      </c>
      <c r="E10234" s="2" t="s">
        <v>210</v>
      </c>
      <c r="F10234" s="2" t="str">
        <f>HYPERLINK("http://bbs.12365auto.com/postcontent.aspx?tId=193609","http://bbs.12365auto.com/postcontent.aspx?tId=193609")</f>
        <v>http://bbs.12365auto.com/postcontent.aspx?tId=193609</v>
      </c>
      <c r="G10234" s="2"/>
      <c r="H10234" s="2" t="s">
        <v>13652</v>
      </c>
      <c r="I10234" s="2" t="s">
        <v>15</v>
      </c>
      <c r="J10234" s="2" t="s">
        <v>3718</v>
      </c>
      <c r="K10234" s="2" t="s">
        <v>13646</v>
      </c>
      <c r="L10234" s="2">
        <f t="shared" si="159"/>
        <v>150</v>
      </c>
    </row>
    <row r="10235" spans="1:12" ht="25" customHeight="1">
      <c r="A10235" s="2" t="s">
        <v>12</v>
      </c>
      <c r="B10235" s="2" t="str">
        <f>HYPERLINK("http://m.12365auto.com/news/20200210/418089.shtml","足不出户购新车 海马加速推进线上服务")</f>
        <v>足不出户购新车 海马加速推进线上服务</v>
      </c>
      <c r="C10235" s="2" t="s">
        <v>13</v>
      </c>
      <c r="D10235" s="2" t="s">
        <v>12</v>
      </c>
      <c r="E10235" s="2"/>
      <c r="F10235" s="2" t="str">
        <f>HYPERLINK("http://m.12365auto.com/news/20200210/418089.shtml","http://m.12365auto.com/news/20200210/418089.shtml")</f>
        <v>http://m.12365auto.com/news/20200210/418089.shtml</v>
      </c>
      <c r="G10235" s="2"/>
      <c r="H10235" s="2" t="s">
        <v>13660</v>
      </c>
      <c r="I10235" s="2" t="s">
        <v>19</v>
      </c>
      <c r="J10235" s="2" t="s">
        <v>2819</v>
      </c>
      <c r="K10235" s="2" t="s">
        <v>13661</v>
      </c>
      <c r="L10235" s="2">
        <f t="shared" si="159"/>
        <v>150</v>
      </c>
    </row>
    <row r="10236" spans="1:12" ht="25" customHeight="1">
      <c r="A10236" s="2" t="s">
        <v>12</v>
      </c>
      <c r="B10236" s="2" t="str">
        <f>HYPERLINK("http://bbs.12365auto.com/postcontent.aspx?tID=193604","同样3缸机，为什么只有本田是香的？")</f>
        <v>同样3缸机，为什么只有本田是香的？</v>
      </c>
      <c r="C10236" s="2" t="s">
        <v>13</v>
      </c>
      <c r="D10236" s="2" t="s">
        <v>12</v>
      </c>
      <c r="E10236" s="2" t="s">
        <v>214</v>
      </c>
      <c r="F10236" s="2" t="str">
        <f>HYPERLINK("http://bbs.12365auto.com/postcontent.aspx?tID=193604","http://bbs.12365auto.com/postcontent.aspx?tID=193604")</f>
        <v>http://bbs.12365auto.com/postcontent.aspx?tID=193604</v>
      </c>
      <c r="G10236" s="2"/>
      <c r="H10236" s="2" t="s">
        <v>13662</v>
      </c>
      <c r="I10236" s="2" t="s">
        <v>15</v>
      </c>
      <c r="J10236" s="2" t="s">
        <v>3718</v>
      </c>
      <c r="K10236" s="2" t="s">
        <v>13661</v>
      </c>
      <c r="L10236" s="2">
        <f t="shared" si="159"/>
        <v>150</v>
      </c>
    </row>
    <row r="10237" spans="1:12" ht="25" customHeight="1">
      <c r="A10237" s="2" t="s">
        <v>12</v>
      </c>
      <c r="B10237" s="2" t="str">
        <f>HYPERLINK("http://bbs.12365auto.com/postcontent.aspx?tID=193603","安全最重要 谈谈10个关乎安全驾驶的注意事项")</f>
        <v>安全最重要 谈谈10个关乎安全驾驶的注意事项</v>
      </c>
      <c r="C10237" s="2" t="s">
        <v>13</v>
      </c>
      <c r="D10237" s="2" t="s">
        <v>12</v>
      </c>
      <c r="E10237" s="2" t="s">
        <v>28</v>
      </c>
      <c r="F10237" s="2" t="str">
        <f>HYPERLINK("http://bbs.12365auto.com/postcontent.aspx?tID=193603","http://bbs.12365auto.com/postcontent.aspx?tID=193603")</f>
        <v>http://bbs.12365auto.com/postcontent.aspx?tID=193603</v>
      </c>
      <c r="G10237" s="2"/>
      <c r="H10237" s="2" t="s">
        <v>13663</v>
      </c>
      <c r="I10237" s="2" t="s">
        <v>15</v>
      </c>
      <c r="J10237" s="2" t="s">
        <v>4760</v>
      </c>
      <c r="K10237" s="2" t="s">
        <v>13661</v>
      </c>
      <c r="L10237" s="2">
        <f t="shared" si="159"/>
        <v>150</v>
      </c>
    </row>
    <row r="10238" spans="1:12" ht="25" customHeight="1">
      <c r="A10238" s="2" t="s">
        <v>12</v>
      </c>
      <c r="B10238" s="2" t="str">
        <f>HYPERLINK("http://bbs.12365auto.com/postcontent.aspx?tID=193602","奔驰女遭抢劫事件启示 9条女性驾车安全军规")</f>
        <v>奔驰女遭抢劫事件启示 9条女性驾车安全军规</v>
      </c>
      <c r="C10238" s="2" t="s">
        <v>13</v>
      </c>
      <c r="D10238" s="2" t="s">
        <v>12</v>
      </c>
      <c r="E10238" s="2" t="s">
        <v>28</v>
      </c>
      <c r="F10238" s="2" t="str">
        <f>HYPERLINK("http://bbs.12365auto.com/postcontent.aspx?tID=193602","http://bbs.12365auto.com/postcontent.aspx?tID=193602")</f>
        <v>http://bbs.12365auto.com/postcontent.aspx?tID=193602</v>
      </c>
      <c r="G10238" s="2"/>
      <c r="H10238" s="2" t="s">
        <v>13664</v>
      </c>
      <c r="I10238" s="2" t="s">
        <v>15</v>
      </c>
      <c r="J10238" s="2" t="s">
        <v>4760</v>
      </c>
      <c r="K10238" s="2" t="s">
        <v>13661</v>
      </c>
      <c r="L10238" s="2">
        <f t="shared" si="159"/>
        <v>150</v>
      </c>
    </row>
    <row r="10239" spans="1:12" ht="25" customHeight="1">
      <c r="A10239" s="2" t="s">
        <v>12</v>
      </c>
      <c r="B10239" s="2" t="str">
        <f>HYPERLINK("http://bbs.12365auto.com/postcontent.aspx?tID=193605","驾驶技巧有口诀 驾考拿证是小事")</f>
        <v>驾驶技巧有口诀 驾考拿证是小事</v>
      </c>
      <c r="C10239" s="2" t="s">
        <v>13</v>
      </c>
      <c r="D10239" s="2" t="s">
        <v>12</v>
      </c>
      <c r="E10239" s="2" t="s">
        <v>28</v>
      </c>
      <c r="F10239" s="2" t="str">
        <f>HYPERLINK("http://bbs.12365auto.com/postcontent.aspx?tID=193605","http://bbs.12365auto.com/postcontent.aspx?tID=193605")</f>
        <v>http://bbs.12365auto.com/postcontent.aspx?tID=193605</v>
      </c>
      <c r="G10239" s="2"/>
      <c r="H10239" s="2" t="s">
        <v>13665</v>
      </c>
      <c r="I10239" s="2" t="s">
        <v>15</v>
      </c>
      <c r="J10239" s="2" t="s">
        <v>4760</v>
      </c>
      <c r="K10239" s="2" t="s">
        <v>13661</v>
      </c>
      <c r="L10239" s="2">
        <f t="shared" si="159"/>
        <v>150</v>
      </c>
    </row>
    <row r="10240" spans="1:12" ht="25" customHeight="1">
      <c r="A10240" s="2" t="s">
        <v>12</v>
      </c>
      <c r="B10240" s="2" t="str">
        <f>HYPERLINK("http://www.12365auto.com/news/20200210/418091.shtml","为什么司机都说雪地天气适合驾驶四驱车？")</f>
        <v>为什么司机都说雪地天气适合驾驶四驱车？</v>
      </c>
      <c r="C10240" s="2" t="s">
        <v>13</v>
      </c>
      <c r="D10240" s="2" t="s">
        <v>12</v>
      </c>
      <c r="E10240" s="2" t="s">
        <v>372</v>
      </c>
      <c r="F10240" s="2" t="str">
        <f>HYPERLINK("http://www.12365auto.com/news/20200210/418091.shtml","http://www.12365auto.com/news/20200210/418091.shtml")</f>
        <v>http://www.12365auto.com/news/20200210/418091.shtml</v>
      </c>
      <c r="G10240" s="2"/>
      <c r="H10240" s="2" t="s">
        <v>13666</v>
      </c>
      <c r="I10240" s="2" t="s">
        <v>15</v>
      </c>
      <c r="J10240" s="2" t="s">
        <v>12</v>
      </c>
      <c r="K10240" s="2" t="s">
        <v>13661</v>
      </c>
      <c r="L10240" s="2">
        <f t="shared" si="159"/>
        <v>150</v>
      </c>
    </row>
    <row r="10241" spans="1:12" ht="25" customHeight="1">
      <c r="A10241" s="2" t="s">
        <v>12</v>
      </c>
      <c r="B10241" s="2" t="str">
        <f>HYPERLINK("http://m.12365auto.com/bbs/postcontent.aspx?tID=193603","安全最重要 谈谈10个关乎安全驾驶的注意事项")</f>
        <v>安全最重要 谈谈10个关乎安全驾驶的注意事项</v>
      </c>
      <c r="C10241" s="2" t="s">
        <v>13</v>
      </c>
      <c r="D10241" s="2" t="s">
        <v>23</v>
      </c>
      <c r="E10241" s="2"/>
      <c r="F10241" s="2" t="str">
        <f>HYPERLINK("http://m.12365auto.com/bbs/postcontent.aspx?tID=193603","http://m.12365auto.com/bbs/postcontent.aspx?tID=193603")</f>
        <v>http://m.12365auto.com/bbs/postcontent.aspx?tID=193603</v>
      </c>
      <c r="G10241" s="2"/>
      <c r="H10241" s="2" t="s">
        <v>13667</v>
      </c>
      <c r="I10241" s="2" t="s">
        <v>15</v>
      </c>
      <c r="J10241" s="2" t="s">
        <v>4760</v>
      </c>
      <c r="K10241" s="2" t="s">
        <v>13661</v>
      </c>
      <c r="L10241" s="2">
        <f t="shared" si="159"/>
        <v>150</v>
      </c>
    </row>
    <row r="10242" spans="1:12" ht="25" customHeight="1">
      <c r="A10242" s="2" t="s">
        <v>12</v>
      </c>
      <c r="B10242" s="2" t="str">
        <f>HYPERLINK("http://m.12365auto.com/bbs/postcontent.aspx?tID=193605","驾驶技巧有口诀 驾考拿证是小事")</f>
        <v>驾驶技巧有口诀 驾考拿证是小事</v>
      </c>
      <c r="C10242" s="2" t="s">
        <v>13</v>
      </c>
      <c r="D10242" s="2" t="s">
        <v>23</v>
      </c>
      <c r="E10242" s="2"/>
      <c r="F10242" s="2" t="str">
        <f>HYPERLINK("http://m.12365auto.com/bbs/postcontent.aspx?tID=193605","http://m.12365auto.com/bbs/postcontent.aspx?tID=193605")</f>
        <v>http://m.12365auto.com/bbs/postcontent.aspx?tID=193605</v>
      </c>
      <c r="G10242" s="2"/>
      <c r="H10242" s="2" t="s">
        <v>13668</v>
      </c>
      <c r="I10242" s="2" t="s">
        <v>15</v>
      </c>
      <c r="J10242" s="2" t="s">
        <v>4760</v>
      </c>
      <c r="K10242" s="2" t="s">
        <v>13661</v>
      </c>
      <c r="L10242" s="2">
        <f t="shared" si="159"/>
        <v>150</v>
      </c>
    </row>
    <row r="10243" spans="1:12" ht="25" customHeight="1">
      <c r="A10243" s="2" t="s">
        <v>12</v>
      </c>
      <c r="B10243" s="2" t="str">
        <f>HYPERLINK("http://m.12365auto.com/bbs/postcontent.aspx?tID=193602","奔驰女遭抢劫事件启示 9条女性驾车安全军规")</f>
        <v>奔驰女遭抢劫事件启示 9条女性驾车安全军规</v>
      </c>
      <c r="C10243" s="2" t="s">
        <v>13</v>
      </c>
      <c r="D10243" s="2" t="s">
        <v>23</v>
      </c>
      <c r="E10243" s="2"/>
      <c r="F10243" s="2" t="str">
        <f>HYPERLINK("http://m.12365auto.com/bbs/postcontent.aspx?tID=193602","http://m.12365auto.com/bbs/postcontent.aspx?tID=193602")</f>
        <v>http://m.12365auto.com/bbs/postcontent.aspx?tID=193602</v>
      </c>
      <c r="G10243" s="2"/>
      <c r="H10243" s="2" t="s">
        <v>13669</v>
      </c>
      <c r="I10243" s="2" t="s">
        <v>15</v>
      </c>
      <c r="J10243" s="2" t="s">
        <v>4760</v>
      </c>
      <c r="K10243" s="2" t="s">
        <v>13661</v>
      </c>
      <c r="L10243" s="2">
        <f t="shared" ref="L10243:L10306" si="160">LEN(H10243)</f>
        <v>150</v>
      </c>
    </row>
    <row r="10244" spans="1:12" ht="25" customHeight="1">
      <c r="A10244" s="2" t="s">
        <v>12</v>
      </c>
      <c r="B10244" s="2" t="str">
        <f>HYPERLINK("http://bbs.12365auto.com/postcontent.aspx?tId=193605","驾驶技巧有口诀 驾考拿证是小事")</f>
        <v>驾驶技巧有口诀 驾考拿证是小事</v>
      </c>
      <c r="C10244" s="2" t="s">
        <v>13</v>
      </c>
      <c r="D10244" s="2" t="s">
        <v>12</v>
      </c>
      <c r="E10244" s="2" t="s">
        <v>27</v>
      </c>
      <c r="F10244" s="2" t="str">
        <f>HYPERLINK("http://bbs.12365auto.com/postcontent.aspx?tId=193605","http://bbs.12365auto.com/postcontent.aspx?tId=193605")</f>
        <v>http://bbs.12365auto.com/postcontent.aspx?tId=193605</v>
      </c>
      <c r="G10244" s="2"/>
      <c r="H10244" s="2" t="s">
        <v>13668</v>
      </c>
      <c r="I10244" s="2" t="s">
        <v>15</v>
      </c>
      <c r="J10244" s="2" t="s">
        <v>4760</v>
      </c>
      <c r="K10244" s="2" t="s">
        <v>13661</v>
      </c>
      <c r="L10244" s="2">
        <f t="shared" si="160"/>
        <v>150</v>
      </c>
    </row>
    <row r="10245" spans="1:12" ht="25" customHeight="1">
      <c r="A10245" s="2" t="s">
        <v>12</v>
      </c>
      <c r="B10245" s="2" t="str">
        <f>HYPERLINK("http://bbs.12365auto.com/postcontent.aspx?tId=193603","安全最重要 谈谈10个关乎安全驾驶的注意事项")</f>
        <v>安全最重要 谈谈10个关乎安全驾驶的注意事项</v>
      </c>
      <c r="C10245" s="2" t="s">
        <v>13</v>
      </c>
      <c r="D10245" s="2" t="s">
        <v>12</v>
      </c>
      <c r="E10245" s="2" t="s">
        <v>27</v>
      </c>
      <c r="F10245" s="2" t="str">
        <f>HYPERLINK("http://bbs.12365auto.com/postcontent.aspx?tId=193603","http://bbs.12365auto.com/postcontent.aspx?tId=193603")</f>
        <v>http://bbs.12365auto.com/postcontent.aspx?tId=193603</v>
      </c>
      <c r="G10245" s="2"/>
      <c r="H10245" s="2" t="s">
        <v>13667</v>
      </c>
      <c r="I10245" s="2" t="s">
        <v>15</v>
      </c>
      <c r="J10245" s="2" t="s">
        <v>4760</v>
      </c>
      <c r="K10245" s="2" t="s">
        <v>13661</v>
      </c>
      <c r="L10245" s="2">
        <f t="shared" si="160"/>
        <v>150</v>
      </c>
    </row>
    <row r="10246" spans="1:12" ht="25" customHeight="1">
      <c r="A10246" s="2" t="s">
        <v>12</v>
      </c>
      <c r="B10246" s="2" t="str">
        <f>HYPERLINK("http://bbs.12365auto.com/postcontent.aspx?tId=193602","奔驰女遭抢劫事件启示 9条女性驾车安全军规")</f>
        <v>奔驰女遭抢劫事件启示 9条女性驾车安全军规</v>
      </c>
      <c r="C10246" s="2" t="s">
        <v>13</v>
      </c>
      <c r="D10246" s="2" t="s">
        <v>12</v>
      </c>
      <c r="E10246" s="2" t="s">
        <v>27</v>
      </c>
      <c r="F10246" s="2" t="str">
        <f>HYPERLINK("http://bbs.12365auto.com/postcontent.aspx?tId=193602","http://bbs.12365auto.com/postcontent.aspx?tId=193602")</f>
        <v>http://bbs.12365auto.com/postcontent.aspx?tId=193602</v>
      </c>
      <c r="G10246" s="2"/>
      <c r="H10246" s="2" t="s">
        <v>13669</v>
      </c>
      <c r="I10246" s="2" t="s">
        <v>15</v>
      </c>
      <c r="J10246" s="2" t="s">
        <v>4760</v>
      </c>
      <c r="K10246" s="2" t="s">
        <v>13661</v>
      </c>
      <c r="L10246" s="2">
        <f t="shared" si="160"/>
        <v>150</v>
      </c>
    </row>
    <row r="10247" spans="1:12" ht="25" customHeight="1">
      <c r="A10247" s="2" t="s">
        <v>12</v>
      </c>
      <c r="B10247" s="2" t="str">
        <f>HYPERLINK("http://www.12365auto.com/news/20200210/418089.shtml","足不出户购新车 海马加速推进线上服务")</f>
        <v>足不出户购新车 海马加速推进线上服务</v>
      </c>
      <c r="C10247" s="2" t="s">
        <v>13</v>
      </c>
      <c r="D10247" s="2" t="s">
        <v>12</v>
      </c>
      <c r="E10247" s="2" t="s">
        <v>276</v>
      </c>
      <c r="F10247" s="2" t="str">
        <f>HYPERLINK("http://www.12365auto.com/news/20200210/418089.shtml","http://www.12365auto.com/news/20200210/418089.shtml")</f>
        <v>http://www.12365auto.com/news/20200210/418089.shtml</v>
      </c>
      <c r="G10247" s="2"/>
      <c r="H10247" s="2" t="s">
        <v>13670</v>
      </c>
      <c r="I10247" s="2" t="s">
        <v>15</v>
      </c>
      <c r="J10247" s="2" t="s">
        <v>12</v>
      </c>
      <c r="K10247" s="2" t="s">
        <v>13661</v>
      </c>
      <c r="L10247" s="2">
        <f t="shared" si="160"/>
        <v>150</v>
      </c>
    </row>
    <row r="10248" spans="1:12" ht="25" customHeight="1">
      <c r="A10248" s="2" t="s">
        <v>12</v>
      </c>
      <c r="B10248" s="2" t="str">
        <f>HYPERLINK("http://bbs.12365auto.com/postcontent.aspx?tId=193604","同样3缸机，为什么只有本田是香的？")</f>
        <v>同样3缸机，为什么只有本田是香的？</v>
      </c>
      <c r="C10248" s="2" t="s">
        <v>13</v>
      </c>
      <c r="D10248" s="2" t="s">
        <v>12</v>
      </c>
      <c r="E10248" s="2" t="s">
        <v>210</v>
      </c>
      <c r="F10248" s="2" t="str">
        <f>HYPERLINK("http://bbs.12365auto.com/postcontent.aspx?tId=193604","http://bbs.12365auto.com/postcontent.aspx?tId=193604")</f>
        <v>http://bbs.12365auto.com/postcontent.aspx?tId=193604</v>
      </c>
      <c r="G10248" s="2"/>
      <c r="H10248" s="2" t="s">
        <v>13671</v>
      </c>
      <c r="I10248" s="2" t="s">
        <v>15</v>
      </c>
      <c r="J10248" s="2" t="s">
        <v>3718</v>
      </c>
      <c r="K10248" s="2" t="s">
        <v>13661</v>
      </c>
      <c r="L10248" s="2">
        <f t="shared" si="160"/>
        <v>150</v>
      </c>
    </row>
    <row r="10249" spans="1:12" ht="25" customHeight="1">
      <c r="A10249" s="2" t="s">
        <v>12</v>
      </c>
      <c r="B10249" s="2" t="str">
        <f>HYPERLINK("http://m.12365auto.com/news/20200210/418091.shtml","为什么司机都说雪地天气适合驾驶四驱车？")</f>
        <v>为什么司机都说雪地天气适合驾驶四驱车？</v>
      </c>
      <c r="C10249" s="2" t="s">
        <v>13</v>
      </c>
      <c r="D10249" s="2" t="s">
        <v>12</v>
      </c>
      <c r="E10249" s="2"/>
      <c r="F10249" s="2" t="str">
        <f>HYPERLINK("http://m.12365auto.com/news/20200210/418091.shtml","http://m.12365auto.com/news/20200210/418091.shtml")</f>
        <v>http://m.12365auto.com/news/20200210/418091.shtml</v>
      </c>
      <c r="G10249" s="2"/>
      <c r="H10249" s="2" t="s">
        <v>13672</v>
      </c>
      <c r="I10249" s="2" t="s">
        <v>19</v>
      </c>
      <c r="J10249" s="2" t="s">
        <v>222</v>
      </c>
      <c r="K10249" s="2" t="s">
        <v>13661</v>
      </c>
      <c r="L10249" s="2">
        <f t="shared" si="160"/>
        <v>150</v>
      </c>
    </row>
    <row r="10250" spans="1:12" ht="25" customHeight="1">
      <c r="A10250" s="2" t="s">
        <v>12</v>
      </c>
      <c r="B10250" s="2" t="str">
        <f>HYPERLINK("http://bbs.12365auto.com/postcontent.aspx?tID=193599","新手停车陋习不可取 分享三个注意事项")</f>
        <v>新手停车陋习不可取 分享三个注意事项</v>
      </c>
      <c r="C10250" s="2" t="s">
        <v>13</v>
      </c>
      <c r="D10250" s="2" t="s">
        <v>12</v>
      </c>
      <c r="E10250" s="2" t="s">
        <v>28</v>
      </c>
      <c r="F10250" s="2" t="str">
        <f>HYPERLINK("http://bbs.12365auto.com/postcontent.aspx?tID=193599","http://bbs.12365auto.com/postcontent.aspx?tID=193599")</f>
        <v>http://bbs.12365auto.com/postcontent.aspx?tID=193599</v>
      </c>
      <c r="G10250" s="2"/>
      <c r="H10250" s="2" t="s">
        <v>13673</v>
      </c>
      <c r="I10250" s="2" t="s">
        <v>15</v>
      </c>
      <c r="J10250" s="2" t="s">
        <v>4760</v>
      </c>
      <c r="K10250" s="2" t="s">
        <v>13674</v>
      </c>
      <c r="L10250" s="2">
        <f t="shared" si="160"/>
        <v>150</v>
      </c>
    </row>
    <row r="10251" spans="1:12" ht="25" customHeight="1">
      <c r="A10251" s="2" t="s">
        <v>12</v>
      </c>
      <c r="B10251" s="2" t="str">
        <f>HYPERLINK("http://bbs.12365auto.com/postcontent.aspx?tID=193600","这些不能有 冬季开车9大坏习惯汇总")</f>
        <v>这些不能有 冬季开车9大坏习惯汇总</v>
      </c>
      <c r="C10251" s="2" t="s">
        <v>13</v>
      </c>
      <c r="D10251" s="2" t="s">
        <v>12</v>
      </c>
      <c r="E10251" s="2" t="s">
        <v>28</v>
      </c>
      <c r="F10251" s="2" t="str">
        <f>HYPERLINK("http://bbs.12365auto.com/postcontent.aspx?tID=193600","http://bbs.12365auto.com/postcontent.aspx?tID=193600")</f>
        <v>http://bbs.12365auto.com/postcontent.aspx?tID=193600</v>
      </c>
      <c r="G10251" s="2"/>
      <c r="H10251" s="2" t="s">
        <v>13675</v>
      </c>
      <c r="I10251" s="2" t="s">
        <v>15</v>
      </c>
      <c r="J10251" s="2" t="s">
        <v>4760</v>
      </c>
      <c r="K10251" s="2" t="s">
        <v>13674</v>
      </c>
      <c r="L10251" s="2">
        <f t="shared" si="160"/>
        <v>150</v>
      </c>
    </row>
    <row r="10252" spans="1:12" ht="25" customHeight="1">
      <c r="A10252" s="2" t="s">
        <v>12</v>
      </c>
      <c r="B10252" s="2" t="str">
        <f>HYPERLINK("http://bbs.12365auto.com/postcontent.aspx?tID=193601","多地大雪 交警提醒7招应对大雪天行车")</f>
        <v>多地大雪 交警提醒7招应对大雪天行车</v>
      </c>
      <c r="C10252" s="2" t="s">
        <v>13</v>
      </c>
      <c r="D10252" s="2" t="s">
        <v>12</v>
      </c>
      <c r="E10252" s="2" t="s">
        <v>28</v>
      </c>
      <c r="F10252" s="2" t="str">
        <f>HYPERLINK("http://bbs.12365auto.com/postcontent.aspx?tID=193601","http://bbs.12365auto.com/postcontent.aspx?tID=193601")</f>
        <v>http://bbs.12365auto.com/postcontent.aspx?tID=193601</v>
      </c>
      <c r="G10252" s="2"/>
      <c r="H10252" s="2" t="s">
        <v>13676</v>
      </c>
      <c r="I10252" s="2" t="s">
        <v>15</v>
      </c>
      <c r="J10252" s="2" t="s">
        <v>4760</v>
      </c>
      <c r="K10252" s="2" t="s">
        <v>13674</v>
      </c>
      <c r="L10252" s="2">
        <f t="shared" si="160"/>
        <v>150</v>
      </c>
    </row>
    <row r="10253" spans="1:12" ht="25" customHeight="1">
      <c r="A10253" s="2" t="s">
        <v>12</v>
      </c>
      <c r="B10253" s="2" t="str">
        <f>HYPERLINK("http://www.12365auto.com/news/20200210/418088.shtml","特殊时期给爱车消毒？要注意这几件事情")</f>
        <v>特殊时期给爱车消毒？要注意这几件事情</v>
      </c>
      <c r="C10253" s="2" t="s">
        <v>13</v>
      </c>
      <c r="D10253" s="2" t="s">
        <v>12</v>
      </c>
      <c r="E10253" s="2" t="s">
        <v>372</v>
      </c>
      <c r="F10253" s="2" t="str">
        <f>HYPERLINK("http://www.12365auto.com/news/20200210/418088.shtml","http://www.12365auto.com/news/20200210/418088.shtml")</f>
        <v>http://www.12365auto.com/news/20200210/418088.shtml</v>
      </c>
      <c r="G10253" s="2"/>
      <c r="H10253" s="2" t="s">
        <v>13677</v>
      </c>
      <c r="I10253" s="2" t="s">
        <v>15</v>
      </c>
      <c r="J10253" s="2" t="s">
        <v>12</v>
      </c>
      <c r="K10253" s="2" t="s">
        <v>13674</v>
      </c>
      <c r="L10253" s="2">
        <f t="shared" si="160"/>
        <v>150</v>
      </c>
    </row>
    <row r="10254" spans="1:12" ht="25" customHeight="1">
      <c r="A10254" s="2" t="s">
        <v>12</v>
      </c>
      <c r="B10254" s="2" t="str">
        <f>HYPERLINK("http://m.12365auto.com/bbs/postcontent.aspx?tID=193601","多地大雪 交警提醒7招应对大雪天行车")</f>
        <v>多地大雪 交警提醒7招应对大雪天行车</v>
      </c>
      <c r="C10254" s="2" t="s">
        <v>13</v>
      </c>
      <c r="D10254" s="2" t="s">
        <v>23</v>
      </c>
      <c r="E10254" s="2"/>
      <c r="F10254" s="2" t="str">
        <f>HYPERLINK("http://m.12365auto.com/bbs/postcontent.aspx?tID=193601","http://m.12365auto.com/bbs/postcontent.aspx?tID=193601")</f>
        <v>http://m.12365auto.com/bbs/postcontent.aspx?tID=193601</v>
      </c>
      <c r="G10254" s="2"/>
      <c r="H10254" s="2" t="s">
        <v>13678</v>
      </c>
      <c r="I10254" s="2" t="s">
        <v>15</v>
      </c>
      <c r="J10254" s="2" t="s">
        <v>4760</v>
      </c>
      <c r="K10254" s="2" t="s">
        <v>13674</v>
      </c>
      <c r="L10254" s="2">
        <f t="shared" si="160"/>
        <v>150</v>
      </c>
    </row>
    <row r="10255" spans="1:12" ht="25" customHeight="1">
      <c r="A10255" s="2" t="s">
        <v>12</v>
      </c>
      <c r="B10255" s="2" t="str">
        <f>HYPERLINK("http://m.12365auto.com/bbs/postcontent.aspx?tID=193600","这些不能有 冬季开车9大坏习惯汇总")</f>
        <v>这些不能有 冬季开车9大坏习惯汇总</v>
      </c>
      <c r="C10255" s="2" t="s">
        <v>13</v>
      </c>
      <c r="D10255" s="2" t="s">
        <v>23</v>
      </c>
      <c r="E10255" s="2"/>
      <c r="F10255" s="2" t="str">
        <f>HYPERLINK("http://m.12365auto.com/bbs/postcontent.aspx?tID=193600","http://m.12365auto.com/bbs/postcontent.aspx?tID=193600")</f>
        <v>http://m.12365auto.com/bbs/postcontent.aspx?tID=193600</v>
      </c>
      <c r="G10255" s="2"/>
      <c r="H10255" s="2" t="s">
        <v>13679</v>
      </c>
      <c r="I10255" s="2" t="s">
        <v>15</v>
      </c>
      <c r="J10255" s="2" t="s">
        <v>4760</v>
      </c>
      <c r="K10255" s="2" t="s">
        <v>13674</v>
      </c>
      <c r="L10255" s="2">
        <f t="shared" si="160"/>
        <v>150</v>
      </c>
    </row>
    <row r="10256" spans="1:12" ht="25" customHeight="1">
      <c r="A10256" s="2" t="s">
        <v>12</v>
      </c>
      <c r="B10256" s="2" t="str">
        <f>HYPERLINK("http://m.12365auto.com/bbs/postcontent.aspx?tID=193599","新手停车陋习不可取 分享三个注意事项")</f>
        <v>新手停车陋习不可取 分享三个注意事项</v>
      </c>
      <c r="C10256" s="2" t="s">
        <v>13</v>
      </c>
      <c r="D10256" s="2" t="s">
        <v>23</v>
      </c>
      <c r="E10256" s="2"/>
      <c r="F10256" s="2" t="str">
        <f>HYPERLINK("http://m.12365auto.com/bbs/postcontent.aspx?tID=193599","http://m.12365auto.com/bbs/postcontent.aspx?tID=193599")</f>
        <v>http://m.12365auto.com/bbs/postcontent.aspx?tID=193599</v>
      </c>
      <c r="G10256" s="2"/>
      <c r="H10256" s="2" t="s">
        <v>13680</v>
      </c>
      <c r="I10256" s="2" t="s">
        <v>15</v>
      </c>
      <c r="J10256" s="2" t="s">
        <v>4760</v>
      </c>
      <c r="K10256" s="2" t="s">
        <v>13674</v>
      </c>
      <c r="L10256" s="2">
        <f t="shared" si="160"/>
        <v>150</v>
      </c>
    </row>
    <row r="10257" spans="1:12" ht="25" customHeight="1">
      <c r="A10257" s="2" t="s">
        <v>12</v>
      </c>
      <c r="B10257" s="2" t="str">
        <f>HYPERLINK("http://www.12365auto.com/news/20200210/418087.shtml","上汽大通12款新车曝光 2020年挑战18万销量")</f>
        <v>上汽大通12款新车曝光 2020年挑战18万销量</v>
      </c>
      <c r="C10257" s="2" t="s">
        <v>13</v>
      </c>
      <c r="D10257" s="2" t="s">
        <v>12</v>
      </c>
      <c r="E10257" s="2" t="s">
        <v>276</v>
      </c>
      <c r="F10257" s="2" t="str">
        <f>HYPERLINK("http://www.12365auto.com/news/20200210/418087.shtml","http://www.12365auto.com/news/20200210/418087.shtml")</f>
        <v>http://www.12365auto.com/news/20200210/418087.shtml</v>
      </c>
      <c r="G10257" s="2"/>
      <c r="H10257" s="2" t="s">
        <v>13681</v>
      </c>
      <c r="I10257" s="2" t="s">
        <v>15</v>
      </c>
      <c r="J10257" s="2" t="s">
        <v>12</v>
      </c>
      <c r="K10257" s="2" t="s">
        <v>13674</v>
      </c>
      <c r="L10257" s="2">
        <f t="shared" si="160"/>
        <v>150</v>
      </c>
    </row>
    <row r="10258" spans="1:12" ht="25" customHeight="1">
      <c r="A10258" s="2" t="s">
        <v>12</v>
      </c>
      <c r="B10258" s="2" t="str">
        <f>HYPERLINK("http://bbs.12365auto.com/postcontent.aspx?tId=193601","多地大雪 交警提醒7招应对大雪天行车")</f>
        <v>多地大雪 交警提醒7招应对大雪天行车</v>
      </c>
      <c r="C10258" s="2" t="s">
        <v>13</v>
      </c>
      <c r="D10258" s="2" t="s">
        <v>12</v>
      </c>
      <c r="E10258" s="2" t="s">
        <v>27</v>
      </c>
      <c r="F10258" s="2" t="str">
        <f>HYPERLINK("http://bbs.12365auto.com/postcontent.aspx?tId=193601","http://bbs.12365auto.com/postcontent.aspx?tId=193601")</f>
        <v>http://bbs.12365auto.com/postcontent.aspx?tId=193601</v>
      </c>
      <c r="G10258" s="2"/>
      <c r="H10258" s="2" t="s">
        <v>13678</v>
      </c>
      <c r="I10258" s="2" t="s">
        <v>15</v>
      </c>
      <c r="J10258" s="2" t="s">
        <v>4760</v>
      </c>
      <c r="K10258" s="2" t="s">
        <v>13674</v>
      </c>
      <c r="L10258" s="2">
        <f t="shared" si="160"/>
        <v>150</v>
      </c>
    </row>
    <row r="10259" spans="1:12" ht="25" customHeight="1">
      <c r="A10259" s="2" t="s">
        <v>12</v>
      </c>
      <c r="B10259" s="2" t="str">
        <f>HYPERLINK("http://bbs.12365auto.com/postcontent.aspx?tId=193599","新手停车陋习不可取 分享三个注意事项")</f>
        <v>新手停车陋习不可取 分享三个注意事项</v>
      </c>
      <c r="C10259" s="2" t="s">
        <v>13</v>
      </c>
      <c r="D10259" s="2" t="s">
        <v>12</v>
      </c>
      <c r="E10259" s="2" t="s">
        <v>27</v>
      </c>
      <c r="F10259" s="2" t="str">
        <f>HYPERLINK("http://bbs.12365auto.com/postcontent.aspx?tId=193599","http://bbs.12365auto.com/postcontent.aspx?tId=193599")</f>
        <v>http://bbs.12365auto.com/postcontent.aspx?tId=193599</v>
      </c>
      <c r="G10259" s="2"/>
      <c r="H10259" s="2" t="s">
        <v>13680</v>
      </c>
      <c r="I10259" s="2" t="s">
        <v>15</v>
      </c>
      <c r="J10259" s="2" t="s">
        <v>4760</v>
      </c>
      <c r="K10259" s="2" t="s">
        <v>13674</v>
      </c>
      <c r="L10259" s="2">
        <f t="shared" si="160"/>
        <v>150</v>
      </c>
    </row>
    <row r="10260" spans="1:12" ht="25" customHeight="1">
      <c r="A10260" s="2" t="s">
        <v>12</v>
      </c>
      <c r="B10260" s="2" t="str">
        <f>HYPERLINK("http://bbs.12365auto.com/postcontent.aspx?tId=193600","这些不能有 冬季开车9大坏习惯汇总")</f>
        <v>这些不能有 冬季开车9大坏习惯汇总</v>
      </c>
      <c r="C10260" s="2" t="s">
        <v>13</v>
      </c>
      <c r="D10260" s="2" t="s">
        <v>12</v>
      </c>
      <c r="E10260" s="2" t="s">
        <v>27</v>
      </c>
      <c r="F10260" s="2" t="str">
        <f>HYPERLINK("http://bbs.12365auto.com/postcontent.aspx?tId=193600","http://bbs.12365auto.com/postcontent.aspx?tId=193600")</f>
        <v>http://bbs.12365auto.com/postcontent.aspx?tId=193600</v>
      </c>
      <c r="G10260" s="2"/>
      <c r="H10260" s="2" t="s">
        <v>13679</v>
      </c>
      <c r="I10260" s="2" t="s">
        <v>15</v>
      </c>
      <c r="J10260" s="2" t="s">
        <v>4760</v>
      </c>
      <c r="K10260" s="2" t="s">
        <v>13674</v>
      </c>
      <c r="L10260" s="2">
        <f t="shared" si="160"/>
        <v>150</v>
      </c>
    </row>
    <row r="10261" spans="1:12" ht="25" customHeight="1">
      <c r="A10261" s="2" t="s">
        <v>12</v>
      </c>
      <c r="B10261" s="2" t="str">
        <f>HYPERLINK("http://www.12365auto.com/scbg/20200210/418086.shtml","只为消除你的疑虑 测吉利嘉际1.8TD")</f>
        <v>只为消除你的疑虑 测吉利嘉际1.8TD</v>
      </c>
      <c r="C10261" s="2" t="s">
        <v>13</v>
      </c>
      <c r="D10261" s="2" t="s">
        <v>12</v>
      </c>
      <c r="E10261" s="2" t="s">
        <v>1548</v>
      </c>
      <c r="F10261" s="2" t="str">
        <f>HYPERLINK("http://www.12365auto.com/scbg/20200210/418086.shtml","http://www.12365auto.com/scbg/20200210/418086.shtml")</f>
        <v>http://www.12365auto.com/scbg/20200210/418086.shtml</v>
      </c>
      <c r="G10261" s="2"/>
      <c r="H10261" s="2" t="s">
        <v>13682</v>
      </c>
      <c r="I10261" s="2" t="s">
        <v>15</v>
      </c>
      <c r="J10261" s="2" t="s">
        <v>12</v>
      </c>
      <c r="K10261" s="2" t="s">
        <v>13674</v>
      </c>
      <c r="L10261" s="2">
        <f t="shared" si="160"/>
        <v>150</v>
      </c>
    </row>
    <row r="10262" spans="1:12" ht="25" customHeight="1">
      <c r="A10262" s="2" t="s">
        <v>12</v>
      </c>
      <c r="B10262" s="2" t="str">
        <f>HYPERLINK("http://bbs.12365auto.com/postcontent.aspx?tID=193598","白车烂大街，原因到底是什么？")</f>
        <v>白车烂大街，原因到底是什么？</v>
      </c>
      <c r="C10262" s="2" t="s">
        <v>13</v>
      </c>
      <c r="D10262" s="2" t="s">
        <v>12</v>
      </c>
      <c r="E10262" s="2" t="s">
        <v>214</v>
      </c>
      <c r="F10262" s="2" t="str">
        <f>HYPERLINK("http://bbs.12365auto.com/postcontent.aspx?tID=193598","http://bbs.12365auto.com/postcontent.aspx?tID=193598")</f>
        <v>http://bbs.12365auto.com/postcontent.aspx?tID=193598</v>
      </c>
      <c r="G10262" s="2"/>
      <c r="H10262" s="2" t="s">
        <v>13683</v>
      </c>
      <c r="I10262" s="2" t="s">
        <v>15</v>
      </c>
      <c r="J10262" s="2" t="s">
        <v>3718</v>
      </c>
      <c r="K10262" s="2" t="s">
        <v>13684</v>
      </c>
      <c r="L10262" s="2">
        <f t="shared" si="160"/>
        <v>150</v>
      </c>
    </row>
    <row r="10263" spans="1:12" ht="25" customHeight="1">
      <c r="A10263" s="2" t="s">
        <v>12</v>
      </c>
      <c r="B10263" s="2" t="str">
        <f>HYPERLINK("http://www.12365auto.com/xcdg/20200210/418085.shtml","斯柯达全新明锐RS渲染图 下月亮相/搭2.0T")</f>
        <v>斯柯达全新明锐RS渲染图 下月亮相/搭2.0T</v>
      </c>
      <c r="C10263" s="2" t="s">
        <v>13</v>
      </c>
      <c r="D10263" s="2" t="s">
        <v>12</v>
      </c>
      <c r="E10263" s="2" t="s">
        <v>216</v>
      </c>
      <c r="F10263" s="2" t="str">
        <f>HYPERLINK("http://www.12365auto.com/xcdg/20200210/418085.shtml","http://www.12365auto.com/xcdg/20200210/418085.shtml")</f>
        <v>http://www.12365auto.com/xcdg/20200210/418085.shtml</v>
      </c>
      <c r="G10263" s="2"/>
      <c r="H10263" s="2" t="s">
        <v>13685</v>
      </c>
      <c r="I10263" s="2" t="s">
        <v>15</v>
      </c>
      <c r="J10263" s="2" t="s">
        <v>12</v>
      </c>
      <c r="K10263" s="2" t="s">
        <v>13684</v>
      </c>
      <c r="L10263" s="2">
        <f t="shared" si="160"/>
        <v>150</v>
      </c>
    </row>
    <row r="10264" spans="1:12" ht="25" customHeight="1">
      <c r="A10264" s="2" t="s">
        <v>12</v>
      </c>
      <c r="B10264" s="2" t="str">
        <f>HYPERLINK("http://m.12365auto.com/xcdg/20200210/418085.shtml","斯柯达全新明锐RS渲染图 下月亮相/搭2.0T")</f>
        <v>斯柯达全新明锐RS渲染图 下月亮相/搭2.0T</v>
      </c>
      <c r="C10264" s="2" t="s">
        <v>13</v>
      </c>
      <c r="D10264" s="2" t="s">
        <v>12</v>
      </c>
      <c r="E10264" s="2"/>
      <c r="F10264" s="2" t="str">
        <f>HYPERLINK("http://m.12365auto.com/xcdg/20200210/418085.shtml","http://m.12365auto.com/xcdg/20200210/418085.shtml")</f>
        <v>http://m.12365auto.com/xcdg/20200210/418085.shtml</v>
      </c>
      <c r="G10264" s="2"/>
      <c r="H10264" s="2" t="s">
        <v>13686</v>
      </c>
      <c r="I10264" s="2" t="s">
        <v>19</v>
      </c>
      <c r="J10264" s="2" t="s">
        <v>13601</v>
      </c>
      <c r="K10264" s="2" t="s">
        <v>13684</v>
      </c>
      <c r="L10264" s="2">
        <f t="shared" si="160"/>
        <v>150</v>
      </c>
    </row>
    <row r="10265" spans="1:12" ht="25" customHeight="1">
      <c r="A10265" s="2" t="s">
        <v>12</v>
      </c>
      <c r="B10265" s="2" t="str">
        <f>HYPERLINK("http://www.12365auto.com/news/20200210/418084.shtml","上汽大通将打造新平台 覆盖MPV/SUV/皮卡车")</f>
        <v>上汽大通将打造新平台 覆盖MPV/SUV/皮卡车</v>
      </c>
      <c r="C10265" s="2" t="s">
        <v>13</v>
      </c>
      <c r="D10265" s="2" t="s">
        <v>12</v>
      </c>
      <c r="E10265" s="2" t="s">
        <v>276</v>
      </c>
      <c r="F10265" s="2" t="str">
        <f>HYPERLINK("http://www.12365auto.com/news/20200210/418084.shtml","http://www.12365auto.com/news/20200210/418084.shtml")</f>
        <v>http://www.12365auto.com/news/20200210/418084.shtml</v>
      </c>
      <c r="G10265" s="2"/>
      <c r="H10265" s="2" t="s">
        <v>13687</v>
      </c>
      <c r="I10265" s="2" t="s">
        <v>15</v>
      </c>
      <c r="J10265" s="2" t="s">
        <v>12</v>
      </c>
      <c r="K10265" s="2" t="s">
        <v>13684</v>
      </c>
      <c r="L10265" s="2">
        <f t="shared" si="160"/>
        <v>150</v>
      </c>
    </row>
    <row r="10266" spans="1:12" ht="25" customHeight="1">
      <c r="A10266" s="2" t="s">
        <v>12</v>
      </c>
      <c r="B10266" s="2" t="str">
        <f>HYPERLINK("http://bbs.12365auto.com/postcontent.aspx?tId=193598","白车烂大街，原因到底是什么？")</f>
        <v>白车烂大街，原因到底是什么？</v>
      </c>
      <c r="C10266" s="2" t="s">
        <v>13</v>
      </c>
      <c r="D10266" s="2" t="s">
        <v>12</v>
      </c>
      <c r="E10266" s="2" t="s">
        <v>210</v>
      </c>
      <c r="F10266" s="2" t="str">
        <f>HYPERLINK("http://bbs.12365auto.com/postcontent.aspx?tId=193598","http://bbs.12365auto.com/postcontent.aspx?tId=193598")</f>
        <v>http://bbs.12365auto.com/postcontent.aspx?tId=193598</v>
      </c>
      <c r="G10266" s="2"/>
      <c r="H10266" s="2" t="s">
        <v>13688</v>
      </c>
      <c r="I10266" s="2" t="s">
        <v>15</v>
      </c>
      <c r="J10266" s="2" t="s">
        <v>3718</v>
      </c>
      <c r="K10266" s="2" t="s">
        <v>13684</v>
      </c>
      <c r="L10266" s="2">
        <f t="shared" si="160"/>
        <v>150</v>
      </c>
    </row>
    <row r="10267" spans="1:12" ht="25" customHeight="1">
      <c r="A10267" s="2" t="s">
        <v>12</v>
      </c>
      <c r="B10267" s="2" t="str">
        <f>HYPERLINK("http://bbs.12365auto.com/postcontent.aspx?tID=193597","21万你选谁？推荐4款中型车")</f>
        <v>21万你选谁？推荐4款中型车</v>
      </c>
      <c r="C10267" s="2" t="s">
        <v>13</v>
      </c>
      <c r="D10267" s="2" t="s">
        <v>12</v>
      </c>
      <c r="E10267" s="2" t="s">
        <v>214</v>
      </c>
      <c r="F10267" s="2" t="str">
        <f>HYPERLINK("http://bbs.12365auto.com/postcontent.aspx?tID=193597","http://bbs.12365auto.com/postcontent.aspx?tID=193597")</f>
        <v>http://bbs.12365auto.com/postcontent.aspx?tID=193597</v>
      </c>
      <c r="G10267" s="2"/>
      <c r="H10267" s="2" t="s">
        <v>13689</v>
      </c>
      <c r="I10267" s="2" t="s">
        <v>15</v>
      </c>
      <c r="J10267" s="2" t="s">
        <v>3718</v>
      </c>
      <c r="K10267" s="2" t="s">
        <v>13690</v>
      </c>
      <c r="L10267" s="2">
        <f t="shared" si="160"/>
        <v>150</v>
      </c>
    </row>
    <row r="10268" spans="1:12" ht="25" customHeight="1">
      <c r="A10268" s="2" t="s">
        <v>12</v>
      </c>
      <c r="B10268" s="2" t="str">
        <f>HYPERLINK("http://www.12365auto.com/xcdg/20200210/418083.shtml","奥迪全新A3谍照官图曝光 下月亮相/年内投产")</f>
        <v>奥迪全新A3谍照官图曝光 下月亮相/年内投产</v>
      </c>
      <c r="C10268" s="2" t="s">
        <v>13</v>
      </c>
      <c r="D10268" s="2" t="s">
        <v>12</v>
      </c>
      <c r="E10268" s="2" t="s">
        <v>224</v>
      </c>
      <c r="F10268" s="2" t="str">
        <f>HYPERLINK("http://www.12365auto.com/xcdg/20200210/418083.shtml","http://www.12365auto.com/xcdg/20200210/418083.shtml")</f>
        <v>http://www.12365auto.com/xcdg/20200210/418083.shtml</v>
      </c>
      <c r="G10268" s="2"/>
      <c r="H10268" s="2" t="s">
        <v>13691</v>
      </c>
      <c r="I10268" s="2" t="s">
        <v>15</v>
      </c>
      <c r="J10268" s="2" t="s">
        <v>12</v>
      </c>
      <c r="K10268" s="2" t="s">
        <v>13690</v>
      </c>
      <c r="L10268" s="2">
        <f t="shared" si="160"/>
        <v>150</v>
      </c>
    </row>
    <row r="10269" spans="1:12" ht="25" customHeight="1">
      <c r="A10269" s="2" t="s">
        <v>12</v>
      </c>
      <c r="B10269" s="2" t="str">
        <f>HYPERLINK("http://bbs.12365auto.com/postcontent.aspx?tId=193597","21万你选谁？推荐4款中型车")</f>
        <v>21万你选谁？推荐4款中型车</v>
      </c>
      <c r="C10269" s="2" t="s">
        <v>13</v>
      </c>
      <c r="D10269" s="2" t="s">
        <v>12</v>
      </c>
      <c r="E10269" s="2" t="s">
        <v>210</v>
      </c>
      <c r="F10269" s="2" t="str">
        <f>HYPERLINK("http://bbs.12365auto.com/postcontent.aspx?tId=193597","http://bbs.12365auto.com/postcontent.aspx?tId=193597")</f>
        <v>http://bbs.12365auto.com/postcontent.aspx?tId=193597</v>
      </c>
      <c r="G10269" s="2"/>
      <c r="H10269" s="2" t="s">
        <v>13692</v>
      </c>
      <c r="I10269" s="2" t="s">
        <v>15</v>
      </c>
      <c r="J10269" s="2" t="s">
        <v>3718</v>
      </c>
      <c r="K10269" s="2" t="s">
        <v>13690</v>
      </c>
      <c r="L10269" s="2">
        <f t="shared" si="160"/>
        <v>150</v>
      </c>
    </row>
    <row r="10270" spans="1:12" ht="25" customHeight="1">
      <c r="A10270" s="2" t="s">
        <v>12</v>
      </c>
      <c r="B10270" s="2" t="str">
        <f>HYPERLINK("http://bbs.12365auto.com/postcontent.aspx?tID=193596","买什么车安全？这三台车就不错")</f>
        <v>买什么车安全？这三台车就不错</v>
      </c>
      <c r="C10270" s="2" t="s">
        <v>13</v>
      </c>
      <c r="D10270" s="2" t="s">
        <v>12</v>
      </c>
      <c r="E10270" s="2" t="s">
        <v>214</v>
      </c>
      <c r="F10270" s="2" t="str">
        <f>HYPERLINK("http://bbs.12365auto.com/postcontent.aspx?tID=193596","http://bbs.12365auto.com/postcontent.aspx?tID=193596")</f>
        <v>http://bbs.12365auto.com/postcontent.aspx?tID=193596</v>
      </c>
      <c r="G10270" s="2"/>
      <c r="H10270" s="2" t="s">
        <v>13693</v>
      </c>
      <c r="I10270" s="2" t="s">
        <v>15</v>
      </c>
      <c r="J10270" s="2" t="s">
        <v>3718</v>
      </c>
      <c r="K10270" s="2" t="s">
        <v>13694</v>
      </c>
      <c r="L10270" s="2">
        <f t="shared" si="160"/>
        <v>150</v>
      </c>
    </row>
    <row r="10271" spans="1:12" ht="25" customHeight="1">
      <c r="A10271" s="2" t="s">
        <v>12</v>
      </c>
      <c r="B10271" s="2" t="str">
        <f>HYPERLINK("http://www.12365auto.com/zlts/20200210/446738.shtml","长安睿骋CC行驶颠簸路面时右前门窗异响")</f>
        <v>长安睿骋CC行驶颠簸路面时右前门窗异响</v>
      </c>
      <c r="C10271" s="2" t="s">
        <v>13</v>
      </c>
      <c r="D10271" s="2" t="s">
        <v>12</v>
      </c>
      <c r="E10271" s="2" t="s">
        <v>17</v>
      </c>
      <c r="F10271" s="2" t="str">
        <f>HYPERLINK("http://www.12365auto.com/zlts/20200210/446738.shtml","http://www.12365auto.com/zlts/20200210/446738.shtml")</f>
        <v>http://www.12365auto.com/zlts/20200210/446738.shtml</v>
      </c>
      <c r="G10271" s="2"/>
      <c r="H10271" s="2" t="s">
        <v>13695</v>
      </c>
      <c r="I10271" s="2" t="s">
        <v>19</v>
      </c>
      <c r="J10271" s="2" t="s">
        <v>12</v>
      </c>
      <c r="K10271" s="2" t="s">
        <v>13694</v>
      </c>
      <c r="L10271" s="2">
        <f t="shared" si="160"/>
        <v>150</v>
      </c>
    </row>
    <row r="10272" spans="1:12" ht="25" customHeight="1">
      <c r="A10272" s="2" t="s">
        <v>12</v>
      </c>
      <c r="B10272" s="2" t="str">
        <f>HYPERLINK("http://www.12365auto.com/news/20200210/418081.shtml","一汽马自达1月销量增7.45% 多重举措减压")</f>
        <v>一汽马自达1月销量增7.45% 多重举措减压</v>
      </c>
      <c r="C10272" s="2" t="s">
        <v>13</v>
      </c>
      <c r="D10272" s="2" t="s">
        <v>12</v>
      </c>
      <c r="E10272" s="2" t="s">
        <v>276</v>
      </c>
      <c r="F10272" s="2" t="str">
        <f>HYPERLINK("http://www.12365auto.com/news/20200210/418081.shtml","http://www.12365auto.com/news/20200210/418081.shtml")</f>
        <v>http://www.12365auto.com/news/20200210/418081.shtml</v>
      </c>
      <c r="G10272" s="2"/>
      <c r="H10272" s="2" t="s">
        <v>13696</v>
      </c>
      <c r="I10272" s="2" t="s">
        <v>15</v>
      </c>
      <c r="J10272" s="2" t="s">
        <v>12</v>
      </c>
      <c r="K10272" s="2" t="s">
        <v>13694</v>
      </c>
      <c r="L10272" s="2">
        <f t="shared" si="160"/>
        <v>150</v>
      </c>
    </row>
    <row r="10273" spans="1:12" ht="25" customHeight="1">
      <c r="A10273" s="2" t="s">
        <v>12</v>
      </c>
      <c r="B10273" s="2" t="str">
        <f>HYPERLINK("http://www.12365auto.com/xcdg/20200210/418082.shtml","丰田新款凯美瑞信息曝光 售价公布/搭2.5L")</f>
        <v>丰田新款凯美瑞信息曝光 售价公布/搭2.5L</v>
      </c>
      <c r="C10273" s="2" t="s">
        <v>13</v>
      </c>
      <c r="D10273" s="2" t="s">
        <v>12</v>
      </c>
      <c r="E10273" s="2" t="s">
        <v>216</v>
      </c>
      <c r="F10273" s="2" t="str">
        <f>HYPERLINK("http://www.12365auto.com/xcdg/20200210/418082.shtml","http://www.12365auto.com/xcdg/20200210/418082.shtml")</f>
        <v>http://www.12365auto.com/xcdg/20200210/418082.shtml</v>
      </c>
      <c r="G10273" s="2"/>
      <c r="H10273" s="2" t="s">
        <v>13697</v>
      </c>
      <c r="I10273" s="2" t="s">
        <v>15</v>
      </c>
      <c r="J10273" s="2" t="s">
        <v>12</v>
      </c>
      <c r="K10273" s="2" t="s">
        <v>13694</v>
      </c>
      <c r="L10273" s="2">
        <f t="shared" si="160"/>
        <v>150</v>
      </c>
    </row>
    <row r="10274" spans="1:12" ht="25" customHeight="1">
      <c r="A10274" s="2" t="s">
        <v>12</v>
      </c>
      <c r="B10274" s="2" t="str">
        <f>HYPERLINK("http://m.12365auto.com/news/20200210/418081.shtml","一汽马自达1月销量增7.45% 多重举措减压")</f>
        <v>一汽马自达1月销量增7.45% 多重举措减压</v>
      </c>
      <c r="C10274" s="2" t="s">
        <v>13</v>
      </c>
      <c r="D10274" s="2" t="s">
        <v>12</v>
      </c>
      <c r="E10274" s="2"/>
      <c r="F10274" s="2" t="str">
        <f>HYPERLINK("http://m.12365auto.com/news/20200210/418081.shtml","http://m.12365auto.com/news/20200210/418081.shtml")</f>
        <v>http://m.12365auto.com/news/20200210/418081.shtml</v>
      </c>
      <c r="G10274" s="2"/>
      <c r="H10274" s="2" t="s">
        <v>13698</v>
      </c>
      <c r="I10274" s="2" t="s">
        <v>19</v>
      </c>
      <c r="J10274" s="2" t="s">
        <v>739</v>
      </c>
      <c r="K10274" s="2" t="s">
        <v>13694</v>
      </c>
      <c r="L10274" s="2">
        <f t="shared" si="160"/>
        <v>150</v>
      </c>
    </row>
    <row r="10275" spans="1:12" ht="25" customHeight="1">
      <c r="A10275" s="2" t="s">
        <v>12</v>
      </c>
      <c r="B10275" s="2" t="str">
        <f>HYPERLINK("http://m.12365auto.com/xcdg/20200210/418082.shtml","丰田新款凯美瑞信息曝光 售价公布/搭2.5L")</f>
        <v>丰田新款凯美瑞信息曝光 售价公布/搭2.5L</v>
      </c>
      <c r="C10275" s="2" t="s">
        <v>13</v>
      </c>
      <c r="D10275" s="2" t="s">
        <v>12</v>
      </c>
      <c r="E10275" s="2"/>
      <c r="F10275" s="2" t="str">
        <f>HYPERLINK("http://m.12365auto.com/xcdg/20200210/418082.shtml","http://m.12365auto.com/xcdg/20200210/418082.shtml")</f>
        <v>http://m.12365auto.com/xcdg/20200210/418082.shtml</v>
      </c>
      <c r="G10275" s="2"/>
      <c r="H10275" s="2" t="s">
        <v>13699</v>
      </c>
      <c r="I10275" s="2" t="s">
        <v>19</v>
      </c>
      <c r="J10275" s="2" t="s">
        <v>13601</v>
      </c>
      <c r="K10275" s="2" t="s">
        <v>13694</v>
      </c>
      <c r="L10275" s="2">
        <f t="shared" si="160"/>
        <v>150</v>
      </c>
    </row>
    <row r="10276" spans="1:12" ht="25" customHeight="1">
      <c r="A10276" s="2" t="s">
        <v>12</v>
      </c>
      <c r="B10276" s="2" t="str">
        <f>HYPERLINK("http://bbs.12365auto.com/postcontent.aspx?tId=193596","买什么车安全？这三台车就不错")</f>
        <v>买什么车安全？这三台车就不错</v>
      </c>
      <c r="C10276" s="2" t="s">
        <v>13</v>
      </c>
      <c r="D10276" s="2" t="s">
        <v>12</v>
      </c>
      <c r="E10276" s="2" t="s">
        <v>210</v>
      </c>
      <c r="F10276" s="2" t="str">
        <f>HYPERLINK("http://bbs.12365auto.com/postcontent.aspx?tId=193596","http://bbs.12365auto.com/postcontent.aspx?tId=193596")</f>
        <v>http://bbs.12365auto.com/postcontent.aspx?tId=193596</v>
      </c>
      <c r="G10276" s="2"/>
      <c r="H10276" s="2" t="s">
        <v>13700</v>
      </c>
      <c r="I10276" s="2" t="s">
        <v>15</v>
      </c>
      <c r="J10276" s="2" t="s">
        <v>3718</v>
      </c>
      <c r="K10276" s="2" t="s">
        <v>13694</v>
      </c>
      <c r="L10276" s="2">
        <f t="shared" si="160"/>
        <v>150</v>
      </c>
    </row>
    <row r="10277" spans="1:12" ht="25" customHeight="1">
      <c r="A10277" s="2" t="s">
        <v>12</v>
      </c>
      <c r="B10277" s="2" t="str">
        <f>HYPERLINK("http://www.12365auto.com/news/20200210/418080.shtml","汽车精洗需要经常做吗 究竟和普洗有什么区别")</f>
        <v>汽车精洗需要经常做吗 究竟和普洗有什么区别</v>
      </c>
      <c r="C10277" s="2" t="s">
        <v>13</v>
      </c>
      <c r="D10277" s="2" t="s">
        <v>12</v>
      </c>
      <c r="E10277" s="2" t="s">
        <v>372</v>
      </c>
      <c r="F10277" s="2" t="str">
        <f>HYPERLINK("http://www.12365auto.com/news/20200210/418080.shtml","http://www.12365auto.com/news/20200210/418080.shtml")</f>
        <v>http://www.12365auto.com/news/20200210/418080.shtml</v>
      </c>
      <c r="G10277" s="2"/>
      <c r="H10277" s="2" t="s">
        <v>13701</v>
      </c>
      <c r="I10277" s="2" t="s">
        <v>15</v>
      </c>
      <c r="J10277" s="2" t="s">
        <v>12</v>
      </c>
      <c r="K10277" s="2" t="s">
        <v>13702</v>
      </c>
      <c r="L10277" s="2">
        <f t="shared" si="160"/>
        <v>150</v>
      </c>
    </row>
    <row r="10278" spans="1:12" ht="25" customHeight="1">
      <c r="A10278" s="2" t="s">
        <v>12</v>
      </c>
      <c r="B10278" s="2" t="str">
        <f>HYPERLINK("http://www.12365auto.com/xcdg/20200210/418078.shtml","路虎全新轿车渲染图 外观酷似劳斯莱斯")</f>
        <v>路虎全新轿车渲染图 外观酷似劳斯莱斯</v>
      </c>
      <c r="C10278" s="2" t="s">
        <v>13</v>
      </c>
      <c r="D10278" s="2" t="s">
        <v>12</v>
      </c>
      <c r="E10278" s="2" t="s">
        <v>245</v>
      </c>
      <c r="F10278" s="2" t="str">
        <f>HYPERLINK("http://www.12365auto.com/xcdg/20200210/418078.shtml","http://www.12365auto.com/xcdg/20200210/418078.shtml")</f>
        <v>http://www.12365auto.com/xcdg/20200210/418078.shtml</v>
      </c>
      <c r="G10278" s="2"/>
      <c r="H10278" s="2" t="s">
        <v>13703</v>
      </c>
      <c r="I10278" s="2" t="s">
        <v>19</v>
      </c>
      <c r="J10278" s="2" t="s">
        <v>12</v>
      </c>
      <c r="K10278" s="2" t="s">
        <v>13704</v>
      </c>
      <c r="L10278" s="2">
        <f t="shared" si="160"/>
        <v>150</v>
      </c>
    </row>
    <row r="10279" spans="1:12" ht="25" customHeight="1">
      <c r="A10279" s="2" t="s">
        <v>12</v>
      </c>
      <c r="B10279" s="2" t="str">
        <f>HYPERLINK("http://m.12365auto.com/xcdg/20200210/418078.shtml","路虎全新轿车渲染图 外观酷似劳斯莱斯")</f>
        <v>路虎全新轿车渲染图 外观酷似劳斯莱斯</v>
      </c>
      <c r="C10279" s="2" t="s">
        <v>13</v>
      </c>
      <c r="D10279" s="2" t="s">
        <v>12</v>
      </c>
      <c r="E10279" s="2"/>
      <c r="F10279" s="2" t="str">
        <f>HYPERLINK("http://m.12365auto.com/xcdg/20200210/418078.shtml","http://m.12365auto.com/xcdg/20200210/418078.shtml")</f>
        <v>http://m.12365auto.com/xcdg/20200210/418078.shtml</v>
      </c>
      <c r="G10279" s="2"/>
      <c r="H10279" s="2" t="s">
        <v>13705</v>
      </c>
      <c r="I10279" s="2" t="s">
        <v>19</v>
      </c>
      <c r="J10279" s="2" t="s">
        <v>220</v>
      </c>
      <c r="K10279" s="2" t="s">
        <v>13704</v>
      </c>
      <c r="L10279" s="2">
        <f t="shared" si="160"/>
        <v>150</v>
      </c>
    </row>
    <row r="10280" spans="1:12" ht="25" customHeight="1">
      <c r="A10280" s="2" t="s">
        <v>12</v>
      </c>
      <c r="B10280" s="2" t="str">
        <f>HYPERLINK("http://www.12365auto.com/news/20200210/418077.shtml","大通将推横置 承载式皮卡 开辟市场新蓝海")</f>
        <v>大通将推横置 承载式皮卡 开辟市场新蓝海</v>
      </c>
      <c r="C10280" s="2" t="s">
        <v>13</v>
      </c>
      <c r="D10280" s="2" t="s">
        <v>12</v>
      </c>
      <c r="E10280" s="2" t="s">
        <v>276</v>
      </c>
      <c r="F10280" s="2" t="str">
        <f>HYPERLINK("http://www.12365auto.com/news/20200210/418077.shtml","http://www.12365auto.com/news/20200210/418077.shtml")</f>
        <v>http://www.12365auto.com/news/20200210/418077.shtml</v>
      </c>
      <c r="G10280" s="2"/>
      <c r="H10280" s="2" t="s">
        <v>13706</v>
      </c>
      <c r="I10280" s="2" t="s">
        <v>15</v>
      </c>
      <c r="J10280" s="2" t="s">
        <v>12</v>
      </c>
      <c r="K10280" s="2" t="s">
        <v>13704</v>
      </c>
      <c r="L10280" s="2">
        <f t="shared" si="160"/>
        <v>150</v>
      </c>
    </row>
    <row r="10281" spans="1:12" ht="25" customHeight="1">
      <c r="A10281" s="2" t="s">
        <v>12</v>
      </c>
      <c r="B10281" s="2" t="str">
        <f>HYPERLINK("http://www.12365auto.com/news/20200210/418074.shtml","荣威人在行动 经销商取消多项考核")</f>
        <v>荣威人在行动 经销商取消多项考核</v>
      </c>
      <c r="C10281" s="2" t="s">
        <v>13</v>
      </c>
      <c r="D10281" s="2" t="s">
        <v>12</v>
      </c>
      <c r="E10281" s="2" t="s">
        <v>276</v>
      </c>
      <c r="F10281" s="2" t="str">
        <f>HYPERLINK("http://www.12365auto.com/news/20200210/418074.shtml","http://www.12365auto.com/news/20200210/418074.shtml")</f>
        <v>http://www.12365auto.com/news/20200210/418074.shtml</v>
      </c>
      <c r="G10281" s="2"/>
      <c r="H10281" s="2" t="s">
        <v>13707</v>
      </c>
      <c r="I10281" s="2" t="s">
        <v>15</v>
      </c>
      <c r="J10281" s="2" t="s">
        <v>12</v>
      </c>
      <c r="K10281" s="2" t="s">
        <v>13708</v>
      </c>
      <c r="L10281" s="2">
        <f t="shared" si="160"/>
        <v>150</v>
      </c>
    </row>
    <row r="10282" spans="1:12" ht="25" customHeight="1">
      <c r="A10282" s="2" t="s">
        <v>12</v>
      </c>
      <c r="B10282" s="2" t="str">
        <f>HYPERLINK("http://www.12365auto.com/news/20200210/418075.shtml","销量增长42.8% 上汽MAXUS未来产品规划")</f>
        <v>销量增长42.8% 上汽MAXUS未来产品规划</v>
      </c>
      <c r="C10282" s="2" t="s">
        <v>13</v>
      </c>
      <c r="D10282" s="2" t="s">
        <v>12</v>
      </c>
      <c r="E10282" s="2" t="s">
        <v>276</v>
      </c>
      <c r="F10282" s="2" t="str">
        <f>HYPERLINK("http://www.12365auto.com/news/20200210/418075.shtml","http://www.12365auto.com/news/20200210/418075.shtml")</f>
        <v>http://www.12365auto.com/news/20200210/418075.shtml</v>
      </c>
      <c r="G10282" s="2"/>
      <c r="H10282" s="2" t="s">
        <v>13709</v>
      </c>
      <c r="I10282" s="2" t="s">
        <v>15</v>
      </c>
      <c r="J10282" s="2" t="s">
        <v>12</v>
      </c>
      <c r="K10282" s="2" t="s">
        <v>13708</v>
      </c>
      <c r="L10282" s="2">
        <f t="shared" si="160"/>
        <v>150</v>
      </c>
    </row>
    <row r="10283" spans="1:12" ht="25" customHeight="1">
      <c r="A10283" s="2" t="s">
        <v>12</v>
      </c>
      <c r="B10283" s="2" t="str">
        <f>HYPERLINK("http://bbs.12365auto.com/postcontent.aspx?tID=193595","降价太快，买了这几款新车的车主都后悔了")</f>
        <v>降价太快，买了这几款新车的车主都后悔了</v>
      </c>
      <c r="C10283" s="2" t="s">
        <v>13</v>
      </c>
      <c r="D10283" s="2" t="s">
        <v>12</v>
      </c>
      <c r="E10283" s="2" t="s">
        <v>214</v>
      </c>
      <c r="F10283" s="2" t="str">
        <f>HYPERLINK("http://bbs.12365auto.com/postcontent.aspx?tID=193595","http://bbs.12365auto.com/postcontent.aspx?tID=193595")</f>
        <v>http://bbs.12365auto.com/postcontent.aspx?tID=193595</v>
      </c>
      <c r="G10283" s="2"/>
      <c r="H10283" s="2" t="s">
        <v>13710</v>
      </c>
      <c r="I10283" s="2" t="s">
        <v>15</v>
      </c>
      <c r="J10283" s="2" t="s">
        <v>3718</v>
      </c>
      <c r="K10283" s="2" t="s">
        <v>13711</v>
      </c>
      <c r="L10283" s="2">
        <f t="shared" si="160"/>
        <v>150</v>
      </c>
    </row>
    <row r="10284" spans="1:12" ht="25" customHeight="1">
      <c r="A10284" s="2" t="s">
        <v>12</v>
      </c>
      <c r="B10284" s="2" t="str">
        <f>HYPERLINK("http://bbs.12365auto.com/postcontent.aspx?tID=193594","各个级别汽车中的标杆车型，吐血推荐")</f>
        <v>各个级别汽车中的标杆车型，吐血推荐</v>
      </c>
      <c r="C10284" s="2" t="s">
        <v>13</v>
      </c>
      <c r="D10284" s="2" t="s">
        <v>12</v>
      </c>
      <c r="E10284" s="2" t="s">
        <v>214</v>
      </c>
      <c r="F10284" s="2" t="str">
        <f>HYPERLINK("http://bbs.12365auto.com/postcontent.aspx?tID=193594","http://bbs.12365auto.com/postcontent.aspx?tID=193594")</f>
        <v>http://bbs.12365auto.com/postcontent.aspx?tID=193594</v>
      </c>
      <c r="G10284" s="2"/>
      <c r="H10284" s="2" t="s">
        <v>13712</v>
      </c>
      <c r="I10284" s="2" t="s">
        <v>15</v>
      </c>
      <c r="J10284" s="2" t="s">
        <v>3718</v>
      </c>
      <c r="K10284" s="2" t="s">
        <v>13711</v>
      </c>
      <c r="L10284" s="2">
        <f t="shared" si="160"/>
        <v>150</v>
      </c>
    </row>
    <row r="10285" spans="1:12" ht="25" customHeight="1">
      <c r="A10285" s="2" t="s">
        <v>12</v>
      </c>
      <c r="B10285" s="2" t="str">
        <f>HYPERLINK("http://m.12365auto.com/xcdg/20200210/418073.shtml","七八万左右想买合资小型车 这4款值得一看")</f>
        <v>七八万左右想买合资小型车 这4款值得一看</v>
      </c>
      <c r="C10285" s="2" t="s">
        <v>13</v>
      </c>
      <c r="D10285" s="2" t="s">
        <v>12</v>
      </c>
      <c r="E10285" s="2"/>
      <c r="F10285" s="2" t="str">
        <f>HYPERLINK("http://m.12365auto.com/xcdg/20200210/418073.shtml","http://m.12365auto.com/xcdg/20200210/418073.shtml")</f>
        <v>http://m.12365auto.com/xcdg/20200210/418073.shtml</v>
      </c>
      <c r="G10285" s="2"/>
      <c r="H10285" s="2" t="s">
        <v>13713</v>
      </c>
      <c r="I10285" s="2" t="s">
        <v>19</v>
      </c>
      <c r="J10285" s="2" t="s">
        <v>1247</v>
      </c>
      <c r="K10285" s="2" t="s">
        <v>13711</v>
      </c>
      <c r="L10285" s="2">
        <f t="shared" si="160"/>
        <v>150</v>
      </c>
    </row>
    <row r="10286" spans="1:12" ht="25" customHeight="1">
      <c r="A10286" s="2" t="s">
        <v>12</v>
      </c>
      <c r="B10286" s="2" t="str">
        <f>HYPERLINK("http://bbs.12365auto.com/postcontent.aspx?tId=193595","降价太快，买了这几款新车的车主都后悔了")</f>
        <v>降价太快，买了这几款新车的车主都后悔了</v>
      </c>
      <c r="C10286" s="2" t="s">
        <v>13</v>
      </c>
      <c r="D10286" s="2" t="s">
        <v>12</v>
      </c>
      <c r="E10286" s="2" t="s">
        <v>210</v>
      </c>
      <c r="F10286" s="2" t="str">
        <f>HYPERLINK("http://bbs.12365auto.com/postcontent.aspx?tId=193595","http://bbs.12365auto.com/postcontent.aspx?tId=193595")</f>
        <v>http://bbs.12365auto.com/postcontent.aspx?tId=193595</v>
      </c>
      <c r="G10286" s="2"/>
      <c r="H10286" s="2" t="s">
        <v>13714</v>
      </c>
      <c r="I10286" s="2" t="s">
        <v>15</v>
      </c>
      <c r="J10286" s="2" t="s">
        <v>3718</v>
      </c>
      <c r="K10286" s="2" t="s">
        <v>13711</v>
      </c>
      <c r="L10286" s="2">
        <f t="shared" si="160"/>
        <v>150</v>
      </c>
    </row>
    <row r="10287" spans="1:12" ht="25" customHeight="1">
      <c r="A10287" s="2" t="s">
        <v>12</v>
      </c>
      <c r="B10287" s="2" t="str">
        <f>HYPERLINK("http://bbs.12365auto.com/postcontent.aspx?tID=193593","盘点2019年5款热门轿车，有你喜欢的")</f>
        <v>盘点2019年5款热门轿车，有你喜欢的</v>
      </c>
      <c r="C10287" s="2" t="s">
        <v>13</v>
      </c>
      <c r="D10287" s="2" t="s">
        <v>12</v>
      </c>
      <c r="E10287" s="2" t="s">
        <v>214</v>
      </c>
      <c r="F10287" s="2" t="str">
        <f>HYPERLINK("http://bbs.12365auto.com/postcontent.aspx?tID=193593","http://bbs.12365auto.com/postcontent.aspx?tID=193593")</f>
        <v>http://bbs.12365auto.com/postcontent.aspx?tID=193593</v>
      </c>
      <c r="G10287" s="2"/>
      <c r="H10287" s="2" t="s">
        <v>10570</v>
      </c>
      <c r="I10287" s="2" t="s">
        <v>15</v>
      </c>
      <c r="J10287" s="2" t="s">
        <v>3718</v>
      </c>
      <c r="K10287" s="2" t="s">
        <v>13715</v>
      </c>
      <c r="L10287" s="2">
        <f t="shared" si="160"/>
        <v>150</v>
      </c>
    </row>
    <row r="10288" spans="1:12" ht="25" customHeight="1">
      <c r="A10288" s="2" t="s">
        <v>12</v>
      </c>
      <c r="B10288" s="2" t="str">
        <f>HYPERLINK("http://www.12365auto.com/xcdg/20200210/418071.shtml","斯巴鲁翼豹混动版曝光 搭2.0L/明年开售")</f>
        <v>斯巴鲁翼豹混动版曝光 搭2.0L/明年开售</v>
      </c>
      <c r="C10288" s="2" t="s">
        <v>13</v>
      </c>
      <c r="D10288" s="2" t="s">
        <v>12</v>
      </c>
      <c r="E10288" s="2" t="s">
        <v>245</v>
      </c>
      <c r="F10288" s="2" t="str">
        <f>HYPERLINK("http://www.12365auto.com/xcdg/20200210/418071.shtml","http://www.12365auto.com/xcdg/20200210/418071.shtml")</f>
        <v>http://www.12365auto.com/xcdg/20200210/418071.shtml</v>
      </c>
      <c r="G10288" s="2"/>
      <c r="H10288" s="2" t="s">
        <v>13716</v>
      </c>
      <c r="I10288" s="2" t="s">
        <v>19</v>
      </c>
      <c r="J10288" s="2" t="s">
        <v>12</v>
      </c>
      <c r="K10288" s="2" t="s">
        <v>13715</v>
      </c>
      <c r="L10288" s="2">
        <f t="shared" si="160"/>
        <v>150</v>
      </c>
    </row>
    <row r="10289" spans="1:12" ht="25" customHeight="1">
      <c r="A10289" s="2" t="s">
        <v>12</v>
      </c>
      <c r="B10289" s="2" t="str">
        <f>HYPERLINK("http://m.12365auto.com/xcdg/20200210/418071.shtml","斯巴鲁翼豹混动版曝光 搭2.0L/明年开售")</f>
        <v>斯巴鲁翼豹混动版曝光 搭2.0L/明年开售</v>
      </c>
      <c r="C10289" s="2" t="s">
        <v>13</v>
      </c>
      <c r="D10289" s="2" t="s">
        <v>12</v>
      </c>
      <c r="E10289" s="2"/>
      <c r="F10289" s="2" t="str">
        <f>HYPERLINK("http://m.12365auto.com/xcdg/20200210/418071.shtml","http://m.12365auto.com/xcdg/20200210/418071.shtml")</f>
        <v>http://m.12365auto.com/xcdg/20200210/418071.shtml</v>
      </c>
      <c r="G10289" s="2"/>
      <c r="H10289" s="2" t="s">
        <v>13717</v>
      </c>
      <c r="I10289" s="2" t="s">
        <v>19</v>
      </c>
      <c r="J10289" s="2" t="s">
        <v>220</v>
      </c>
      <c r="K10289" s="2" t="s">
        <v>13715</v>
      </c>
      <c r="L10289" s="2">
        <f t="shared" si="160"/>
        <v>150</v>
      </c>
    </row>
    <row r="10290" spans="1:12" ht="25" customHeight="1">
      <c r="A10290" s="2" t="s">
        <v>12</v>
      </c>
      <c r="B10290" s="2" t="str">
        <f>HYPERLINK("http://www.12365auto.com/news/20200210/418072.shtml","盈利约104亿元 沃尔沃公布2019年财报")</f>
        <v>盈利约104亿元 沃尔沃公布2019年财报</v>
      </c>
      <c r="C10290" s="2" t="s">
        <v>13</v>
      </c>
      <c r="D10290" s="2" t="s">
        <v>12</v>
      </c>
      <c r="E10290" s="2" t="s">
        <v>276</v>
      </c>
      <c r="F10290" s="2" t="str">
        <f>HYPERLINK("http://www.12365auto.com/news/20200210/418072.shtml","http://www.12365auto.com/news/20200210/418072.shtml")</f>
        <v>http://www.12365auto.com/news/20200210/418072.shtml</v>
      </c>
      <c r="G10290" s="2"/>
      <c r="H10290" s="2" t="s">
        <v>13718</v>
      </c>
      <c r="I10290" s="2" t="s">
        <v>15</v>
      </c>
      <c r="J10290" s="2" t="s">
        <v>12</v>
      </c>
      <c r="K10290" s="2" t="s">
        <v>13715</v>
      </c>
      <c r="L10290" s="2">
        <f t="shared" si="160"/>
        <v>150</v>
      </c>
    </row>
    <row r="10291" spans="1:12" ht="25" customHeight="1">
      <c r="A10291" s="2" t="s">
        <v>12</v>
      </c>
      <c r="B10291" s="2" t="str">
        <f>HYPERLINK("http://bbs.12365auto.com/postcontent.aspx?tId=193592","北京BJ40	发动机舱抖动很严重")</f>
        <v>北京BJ40	发动机舱抖动很严重</v>
      </c>
      <c r="C10291" s="2" t="s">
        <v>13</v>
      </c>
      <c r="D10291" s="2" t="s">
        <v>12</v>
      </c>
      <c r="E10291" s="2" t="s">
        <v>66</v>
      </c>
      <c r="F10291" s="2" t="str">
        <f>HYPERLINK("http://bbs.12365auto.com/postcontent.aspx?tId=193592","http://bbs.12365auto.com/postcontent.aspx?tId=193592")</f>
        <v>http://bbs.12365auto.com/postcontent.aspx?tId=193592</v>
      </c>
      <c r="G10291" s="2"/>
      <c r="H10291" s="2" t="s">
        <v>13719</v>
      </c>
      <c r="I10291" s="2" t="s">
        <v>15</v>
      </c>
      <c r="J10291" s="2" t="s">
        <v>535</v>
      </c>
      <c r="K10291" s="2" t="s">
        <v>13720</v>
      </c>
      <c r="L10291" s="2">
        <f t="shared" si="160"/>
        <v>89</v>
      </c>
    </row>
    <row r="10292" spans="1:12" ht="25" customHeight="1">
      <c r="A10292" s="2" t="s">
        <v>12</v>
      </c>
      <c r="B10292" s="2" t="str">
        <f>HYPERLINK("http://bbs.12365auto.com/postcontent.aspx?tId=193590","一汽大众捷达VA3天窗无法打开")</f>
        <v>一汽大众捷达VA3天窗无法打开</v>
      </c>
      <c r="C10292" s="2" t="s">
        <v>13</v>
      </c>
      <c r="D10292" s="2" t="s">
        <v>12</v>
      </c>
      <c r="E10292" s="2" t="s">
        <v>66</v>
      </c>
      <c r="F10292" s="2" t="str">
        <f>HYPERLINK("http://bbs.12365auto.com/postcontent.aspx?tId=193590","http://bbs.12365auto.com/postcontent.aspx?tId=193590")</f>
        <v>http://bbs.12365auto.com/postcontent.aspx?tId=193590</v>
      </c>
      <c r="G10292" s="2"/>
      <c r="H10292" s="2" t="s">
        <v>13721</v>
      </c>
      <c r="I10292" s="2" t="s">
        <v>15</v>
      </c>
      <c r="J10292" s="2" t="s">
        <v>532</v>
      </c>
      <c r="K10292" s="2" t="s">
        <v>13720</v>
      </c>
      <c r="L10292" s="2">
        <f t="shared" si="160"/>
        <v>29</v>
      </c>
    </row>
    <row r="10293" spans="1:12" ht="25" customHeight="1">
      <c r="A10293" s="2" t="s">
        <v>12</v>
      </c>
      <c r="B10293" s="2" t="str">
        <f>HYPERLINK("http://m.12365auto.com/bbs/postcontent.aspx?tID=193590","一汽大众捷达VA3天窗无法打开")</f>
        <v>一汽大众捷达VA3天窗无法打开</v>
      </c>
      <c r="C10293" s="2" t="s">
        <v>13</v>
      </c>
      <c r="D10293" s="2" t="s">
        <v>23</v>
      </c>
      <c r="E10293" s="2"/>
      <c r="F10293" s="2" t="str">
        <f>HYPERLINK("http://m.12365auto.com/bbs/postcontent.aspx?tID=193590","http://m.12365auto.com/bbs/postcontent.aspx?tID=193590")</f>
        <v>http://m.12365auto.com/bbs/postcontent.aspx?tID=193590</v>
      </c>
      <c r="G10293" s="2"/>
      <c r="H10293" s="2" t="s">
        <v>13721</v>
      </c>
      <c r="I10293" s="2" t="s">
        <v>15</v>
      </c>
      <c r="J10293" s="2" t="s">
        <v>532</v>
      </c>
      <c r="K10293" s="2" t="s">
        <v>13720</v>
      </c>
      <c r="L10293" s="2">
        <f t="shared" si="160"/>
        <v>29</v>
      </c>
    </row>
    <row r="10294" spans="1:12" ht="25" customHeight="1">
      <c r="A10294" s="2" t="s">
        <v>12</v>
      </c>
      <c r="B10294" s="2" t="str">
        <f>HYPERLINK("http://m.12365auto.com/bbs/postcontent.aspx?tID=193592","北京BJ40	发动机舱抖动很严重")</f>
        <v>北京BJ40	发动机舱抖动很严重</v>
      </c>
      <c r="C10294" s="2" t="s">
        <v>13</v>
      </c>
      <c r="D10294" s="2" t="s">
        <v>23</v>
      </c>
      <c r="E10294" s="2"/>
      <c r="F10294" s="2" t="str">
        <f>HYPERLINK("http://m.12365auto.com/bbs/postcontent.aspx?tID=193592","http://m.12365auto.com/bbs/postcontent.aspx?tID=193592")</f>
        <v>http://m.12365auto.com/bbs/postcontent.aspx?tID=193592</v>
      </c>
      <c r="G10294" s="2"/>
      <c r="H10294" s="2" t="s">
        <v>13719</v>
      </c>
      <c r="I10294" s="2" t="s">
        <v>15</v>
      </c>
      <c r="J10294" s="2" t="s">
        <v>535</v>
      </c>
      <c r="K10294" s="2" t="s">
        <v>13720</v>
      </c>
      <c r="L10294" s="2">
        <f t="shared" si="160"/>
        <v>89</v>
      </c>
    </row>
    <row r="10295" spans="1:12" ht="25" customHeight="1">
      <c r="A10295" s="2" t="s">
        <v>12</v>
      </c>
      <c r="B10295" s="2" t="str">
        <f>HYPERLINK("http://bbs.12365auto.com/postcontent.aspx?tID=193592","北京BJ40	发动机舱抖动很严重")</f>
        <v>北京BJ40	发动机舱抖动很严重</v>
      </c>
      <c r="C10295" s="2" t="s">
        <v>13</v>
      </c>
      <c r="D10295" s="2" t="s">
        <v>12</v>
      </c>
      <c r="E10295" s="2" t="s">
        <v>67</v>
      </c>
      <c r="F10295" s="2" t="str">
        <f>HYPERLINK("http://bbs.12365auto.com/postcontent.aspx?tID=193592","http://bbs.12365auto.com/postcontent.aspx?tID=193592")</f>
        <v>http://bbs.12365auto.com/postcontent.aspx?tID=193592</v>
      </c>
      <c r="G10295" s="2"/>
      <c r="H10295" s="2" t="s">
        <v>13722</v>
      </c>
      <c r="I10295" s="2" t="s">
        <v>15</v>
      </c>
      <c r="J10295" s="2" t="s">
        <v>535</v>
      </c>
      <c r="K10295" s="2" t="s">
        <v>13720</v>
      </c>
      <c r="L10295" s="2">
        <f t="shared" si="160"/>
        <v>105</v>
      </c>
    </row>
    <row r="10296" spans="1:12" ht="25" customHeight="1">
      <c r="A10296" s="2" t="s">
        <v>12</v>
      </c>
      <c r="B10296" s="2" t="str">
        <f>HYPERLINK("http://bbs.12365auto.com/postcontent.aspx?tID=193591","我们为什么越来越不喜欢德系车了")</f>
        <v>我们为什么越来越不喜欢德系车了</v>
      </c>
      <c r="C10296" s="2" t="s">
        <v>13</v>
      </c>
      <c r="D10296" s="2" t="s">
        <v>12</v>
      </c>
      <c r="E10296" s="2" t="s">
        <v>214</v>
      </c>
      <c r="F10296" s="2" t="str">
        <f>HYPERLINK("http://bbs.12365auto.com/postcontent.aspx?tID=193591","http://bbs.12365auto.com/postcontent.aspx?tID=193591")</f>
        <v>http://bbs.12365auto.com/postcontent.aspx?tID=193591</v>
      </c>
      <c r="G10296" s="2"/>
      <c r="H10296" s="2" t="s">
        <v>13723</v>
      </c>
      <c r="I10296" s="2" t="s">
        <v>15</v>
      </c>
      <c r="J10296" s="2" t="s">
        <v>3718</v>
      </c>
      <c r="K10296" s="2" t="s">
        <v>13720</v>
      </c>
      <c r="L10296" s="2">
        <f t="shared" si="160"/>
        <v>150</v>
      </c>
    </row>
    <row r="10297" spans="1:12" ht="25" customHeight="1">
      <c r="A10297" s="2" t="s">
        <v>12</v>
      </c>
      <c r="B10297" s="2" t="str">
        <f>HYPERLINK("http://bbs.12365auto.com/postcontent.aspx?tID=193590","一汽大众捷达VA3天窗无法打开")</f>
        <v>一汽大众捷达VA3天窗无法打开</v>
      </c>
      <c r="C10297" s="2" t="s">
        <v>13</v>
      </c>
      <c r="D10297" s="2" t="s">
        <v>12</v>
      </c>
      <c r="E10297" s="2" t="s">
        <v>67</v>
      </c>
      <c r="F10297" s="2" t="str">
        <f>HYPERLINK("http://bbs.12365auto.com/postcontent.aspx?tID=193590","http://bbs.12365auto.com/postcontent.aspx?tID=193590")</f>
        <v>http://bbs.12365auto.com/postcontent.aspx?tID=193590</v>
      </c>
      <c r="G10297" s="2"/>
      <c r="H10297" s="2" t="s">
        <v>13724</v>
      </c>
      <c r="I10297" s="2" t="s">
        <v>15</v>
      </c>
      <c r="J10297" s="2" t="s">
        <v>532</v>
      </c>
      <c r="K10297" s="2" t="s">
        <v>13720</v>
      </c>
      <c r="L10297" s="2">
        <f t="shared" si="160"/>
        <v>49</v>
      </c>
    </row>
    <row r="10298" spans="1:12" ht="25" customHeight="1">
      <c r="A10298" s="2" t="s">
        <v>12</v>
      </c>
      <c r="B10298" s="2" t="str">
        <f>HYPERLINK("http://www.12365auto.com/news/20200210/418070.shtml","名爵1月增长8.33% 三款重磅新车将上市")</f>
        <v>名爵1月增长8.33% 三款重磅新车将上市</v>
      </c>
      <c r="C10298" s="2" t="s">
        <v>13</v>
      </c>
      <c r="D10298" s="2" t="s">
        <v>12</v>
      </c>
      <c r="E10298" s="2" t="s">
        <v>282</v>
      </c>
      <c r="F10298" s="2" t="str">
        <f>HYPERLINK("http://www.12365auto.com/news/20200210/418070.shtml","http://www.12365auto.com/news/20200210/418070.shtml")</f>
        <v>http://www.12365auto.com/news/20200210/418070.shtml</v>
      </c>
      <c r="G10298" s="2"/>
      <c r="H10298" s="2" t="s">
        <v>13725</v>
      </c>
      <c r="I10298" s="2" t="s">
        <v>19</v>
      </c>
      <c r="J10298" s="2" t="s">
        <v>12</v>
      </c>
      <c r="K10298" s="2" t="s">
        <v>13720</v>
      </c>
      <c r="L10298" s="2">
        <f t="shared" si="160"/>
        <v>150</v>
      </c>
    </row>
    <row r="10299" spans="1:12" ht="25" customHeight="1">
      <c r="A10299" s="2" t="s">
        <v>12</v>
      </c>
      <c r="B10299" s="2" t="str">
        <f>HYPERLINK("http://m.12365auto.com/news/20200210/418070.shtml","名爵1月增长8.33% 三款重磅新车将上市")</f>
        <v>名爵1月增长8.33% 三款重磅新车将上市</v>
      </c>
      <c r="C10299" s="2" t="s">
        <v>13</v>
      </c>
      <c r="D10299" s="2" t="s">
        <v>12</v>
      </c>
      <c r="E10299" s="2"/>
      <c r="F10299" s="2" t="str">
        <f>HYPERLINK("http://m.12365auto.com/news/20200210/418070.shtml","http://m.12365auto.com/news/20200210/418070.shtml")</f>
        <v>http://m.12365auto.com/news/20200210/418070.shtml</v>
      </c>
      <c r="G10299" s="2"/>
      <c r="H10299" s="2" t="s">
        <v>13726</v>
      </c>
      <c r="I10299" s="2" t="s">
        <v>19</v>
      </c>
      <c r="J10299" s="2" t="s">
        <v>6086</v>
      </c>
      <c r="K10299" s="2" t="s">
        <v>13720</v>
      </c>
      <c r="L10299" s="2">
        <f t="shared" si="160"/>
        <v>150</v>
      </c>
    </row>
    <row r="10300" spans="1:12" ht="25" customHeight="1">
      <c r="A10300" s="2" t="s">
        <v>12</v>
      </c>
      <c r="B10300" s="2" t="str">
        <f>HYPERLINK("http://www.12365auto.com/xcdg/20200210/418079.shtml","新款宝马5系/M5谍照曝光 将于年内上市")</f>
        <v>新款宝马5系/M5谍照曝光 将于年内上市</v>
      </c>
      <c r="C10300" s="2" t="s">
        <v>13</v>
      </c>
      <c r="D10300" s="2" t="s">
        <v>12</v>
      </c>
      <c r="E10300" s="2" t="s">
        <v>224</v>
      </c>
      <c r="F10300" s="2" t="str">
        <f>HYPERLINK("http://www.12365auto.com/xcdg/20200210/418079.shtml","http://www.12365auto.com/xcdg/20200210/418079.shtml")</f>
        <v>http://www.12365auto.com/xcdg/20200210/418079.shtml</v>
      </c>
      <c r="G10300" s="2"/>
      <c r="H10300" s="2" t="s">
        <v>13727</v>
      </c>
      <c r="I10300" s="2" t="s">
        <v>15</v>
      </c>
      <c r="J10300" s="2" t="s">
        <v>12</v>
      </c>
      <c r="K10300" s="2" t="s">
        <v>13720</v>
      </c>
      <c r="L10300" s="2">
        <f t="shared" si="160"/>
        <v>150</v>
      </c>
    </row>
    <row r="10301" spans="1:12" ht="25" customHeight="1">
      <c r="A10301" s="2" t="s">
        <v>12</v>
      </c>
      <c r="B10301" s="2" t="str">
        <f>HYPERLINK("http://bbs.12365auto.com/postcontent.aspx?tId=193588","奇瑞艾瑞泽EX车内异响严重")</f>
        <v>奇瑞艾瑞泽EX车内异响严重</v>
      </c>
      <c r="C10301" s="2" t="s">
        <v>13</v>
      </c>
      <c r="D10301" s="2" t="s">
        <v>12</v>
      </c>
      <c r="E10301" s="2" t="s">
        <v>66</v>
      </c>
      <c r="F10301" s="2" t="str">
        <f>HYPERLINK("http://bbs.12365auto.com/postcontent.aspx?tId=193588","http://bbs.12365auto.com/postcontent.aspx?tId=193588")</f>
        <v>http://bbs.12365auto.com/postcontent.aspx?tId=193588</v>
      </c>
      <c r="G10301" s="2"/>
      <c r="H10301" s="2" t="s">
        <v>13728</v>
      </c>
      <c r="I10301" s="2" t="s">
        <v>15</v>
      </c>
      <c r="J10301" s="2" t="s">
        <v>548</v>
      </c>
      <c r="K10301" s="2" t="s">
        <v>13729</v>
      </c>
      <c r="L10301" s="2">
        <f t="shared" si="160"/>
        <v>150</v>
      </c>
    </row>
    <row r="10302" spans="1:12" ht="25" customHeight="1">
      <c r="A10302" s="2" t="s">
        <v>12</v>
      </c>
      <c r="B10302" s="2" t="str">
        <f>HYPERLINK("http://bbs.12365auto.com/postcontent.aspx?tId=193589","一汽丰田威驰经销商疑似出售问题车")</f>
        <v>一汽丰田威驰经销商疑似出售问题车</v>
      </c>
      <c r="C10302" s="2" t="s">
        <v>13</v>
      </c>
      <c r="D10302" s="2" t="s">
        <v>12</v>
      </c>
      <c r="E10302" s="2" t="s">
        <v>66</v>
      </c>
      <c r="F10302" s="2" t="str">
        <f>HYPERLINK("http://bbs.12365auto.com/postcontent.aspx?tId=193589","http://bbs.12365auto.com/postcontent.aspx?tId=193589")</f>
        <v>http://bbs.12365auto.com/postcontent.aspx?tId=193589</v>
      </c>
      <c r="G10302" s="2"/>
      <c r="H10302" s="2" t="s">
        <v>13730</v>
      </c>
      <c r="I10302" s="2" t="s">
        <v>15</v>
      </c>
      <c r="J10302" s="2" t="s">
        <v>546</v>
      </c>
      <c r="K10302" s="2" t="s">
        <v>13729</v>
      </c>
      <c r="L10302" s="2">
        <f t="shared" si="160"/>
        <v>44</v>
      </c>
    </row>
    <row r="10303" spans="1:12" ht="25" customHeight="1">
      <c r="A10303" s="2" t="s">
        <v>12</v>
      </c>
      <c r="B10303" s="2" t="str">
        <f>HYPERLINK("http://m.12365auto.com/bbs/postcontent.aspx?tID=193589","一汽丰田威驰经销商疑似出售问题车")</f>
        <v>一汽丰田威驰经销商疑似出售问题车</v>
      </c>
      <c r="C10303" s="2" t="s">
        <v>13</v>
      </c>
      <c r="D10303" s="2" t="s">
        <v>23</v>
      </c>
      <c r="E10303" s="2"/>
      <c r="F10303" s="2" t="str">
        <f>HYPERLINK("http://m.12365auto.com/bbs/postcontent.aspx?tID=193589","http://m.12365auto.com/bbs/postcontent.aspx?tID=193589")</f>
        <v>http://m.12365auto.com/bbs/postcontent.aspx?tID=193589</v>
      </c>
      <c r="G10303" s="2"/>
      <c r="H10303" s="2" t="s">
        <v>13730</v>
      </c>
      <c r="I10303" s="2" t="s">
        <v>15</v>
      </c>
      <c r="J10303" s="2" t="s">
        <v>546</v>
      </c>
      <c r="K10303" s="2" t="s">
        <v>13729</v>
      </c>
      <c r="L10303" s="2">
        <f t="shared" si="160"/>
        <v>44</v>
      </c>
    </row>
    <row r="10304" spans="1:12" ht="25" customHeight="1">
      <c r="A10304" s="2" t="s">
        <v>12</v>
      </c>
      <c r="B10304" s="2" t="str">
        <f>HYPERLINK("http://m.12365auto.com/bbs/postcontent.aspx?tID=193588","奇瑞艾瑞泽EX车内异响严重")</f>
        <v>奇瑞艾瑞泽EX车内异响严重</v>
      </c>
      <c r="C10304" s="2" t="s">
        <v>13</v>
      </c>
      <c r="D10304" s="2" t="s">
        <v>23</v>
      </c>
      <c r="E10304" s="2"/>
      <c r="F10304" s="2" t="str">
        <f>HYPERLINK("http://m.12365auto.com/bbs/postcontent.aspx?tID=193588","http://m.12365auto.com/bbs/postcontent.aspx?tID=193588")</f>
        <v>http://m.12365auto.com/bbs/postcontent.aspx?tID=193588</v>
      </c>
      <c r="G10304" s="2"/>
      <c r="H10304" s="2" t="s">
        <v>13728</v>
      </c>
      <c r="I10304" s="2" t="s">
        <v>15</v>
      </c>
      <c r="J10304" s="2" t="s">
        <v>548</v>
      </c>
      <c r="K10304" s="2" t="s">
        <v>13729</v>
      </c>
      <c r="L10304" s="2">
        <f t="shared" si="160"/>
        <v>150</v>
      </c>
    </row>
    <row r="10305" spans="1:12" ht="25" customHeight="1">
      <c r="A10305" s="2" t="s">
        <v>12</v>
      </c>
      <c r="B10305" s="2" t="str">
        <f>HYPERLINK("http://bbs.12365auto.com/postcontent.aspx?tID=193589","一汽丰田威驰经销商疑似出售问题车")</f>
        <v>一汽丰田威驰经销商疑似出售问题车</v>
      </c>
      <c r="C10305" s="2" t="s">
        <v>13</v>
      </c>
      <c r="D10305" s="2" t="s">
        <v>12</v>
      </c>
      <c r="E10305" s="2" t="s">
        <v>67</v>
      </c>
      <c r="F10305" s="2" t="str">
        <f>HYPERLINK("http://bbs.12365auto.com/postcontent.aspx?tID=193589","http://bbs.12365auto.com/postcontent.aspx?tID=193589")</f>
        <v>http://bbs.12365auto.com/postcontent.aspx?tID=193589</v>
      </c>
      <c r="G10305" s="2"/>
      <c r="H10305" s="2" t="s">
        <v>13731</v>
      </c>
      <c r="I10305" s="2" t="s">
        <v>15</v>
      </c>
      <c r="J10305" s="2" t="s">
        <v>546</v>
      </c>
      <c r="K10305" s="2" t="s">
        <v>13729</v>
      </c>
      <c r="L10305" s="2">
        <f t="shared" si="160"/>
        <v>66</v>
      </c>
    </row>
    <row r="10306" spans="1:12" ht="25" customHeight="1">
      <c r="A10306" s="2" t="s">
        <v>12</v>
      </c>
      <c r="B10306" s="2" t="str">
        <f>HYPERLINK("http://bbs.12365auto.com/postcontent.aspx?tID=193588","奇瑞艾瑞泽EX车内异响严重")</f>
        <v>奇瑞艾瑞泽EX车内异响严重</v>
      </c>
      <c r="C10306" s="2" t="s">
        <v>13</v>
      </c>
      <c r="D10306" s="2" t="s">
        <v>12</v>
      </c>
      <c r="E10306" s="2" t="s">
        <v>67</v>
      </c>
      <c r="F10306" s="2" t="str">
        <f>HYPERLINK("http://bbs.12365auto.com/postcontent.aspx?tID=193588","http://bbs.12365auto.com/postcontent.aspx?tID=193588")</f>
        <v>http://bbs.12365auto.com/postcontent.aspx?tID=193588</v>
      </c>
      <c r="G10306" s="2"/>
      <c r="H10306" s="2" t="s">
        <v>13732</v>
      </c>
      <c r="I10306" s="2" t="s">
        <v>15</v>
      </c>
      <c r="J10306" s="2" t="s">
        <v>548</v>
      </c>
      <c r="K10306" s="2" t="s">
        <v>13729</v>
      </c>
      <c r="L10306" s="2">
        <f t="shared" si="160"/>
        <v>150</v>
      </c>
    </row>
    <row r="10307" spans="1:12" ht="25" customHeight="1">
      <c r="A10307" s="2" t="s">
        <v>12</v>
      </c>
      <c r="B10307" s="2" t="str">
        <f>HYPERLINK("http://bbs.12365auto.com/postcontent.aspx?tId=193587","华晨中华V6发动机严重烧机油")</f>
        <v>华晨中华V6发动机严重烧机油</v>
      </c>
      <c r="C10307" s="2" t="s">
        <v>13</v>
      </c>
      <c r="D10307" s="2" t="s">
        <v>12</v>
      </c>
      <c r="E10307" s="2" t="s">
        <v>66</v>
      </c>
      <c r="F10307" s="2" t="str">
        <f>HYPERLINK("http://bbs.12365auto.com/postcontent.aspx?tId=193587","http://bbs.12365auto.com/postcontent.aspx?tId=193587")</f>
        <v>http://bbs.12365auto.com/postcontent.aspx?tId=193587</v>
      </c>
      <c r="G10307" s="2"/>
      <c r="H10307" s="2" t="s">
        <v>13733</v>
      </c>
      <c r="I10307" s="2" t="s">
        <v>15</v>
      </c>
      <c r="J10307" s="2" t="s">
        <v>562</v>
      </c>
      <c r="K10307" s="2" t="s">
        <v>13734</v>
      </c>
      <c r="L10307" s="2">
        <f t="shared" ref="L10307:L10370" si="161">LEN(H10307)</f>
        <v>31</v>
      </c>
    </row>
    <row r="10308" spans="1:12" ht="25" customHeight="1">
      <c r="A10308" s="2" t="s">
        <v>12</v>
      </c>
      <c r="B10308" s="2" t="str">
        <f>HYPERLINK("http://bbs.12365auto.com/postcontent.aspx?tId=193586","上汽大众帕萨特车身设计缺陷")</f>
        <v>上汽大众帕萨特车身设计缺陷</v>
      </c>
      <c r="C10308" s="2" t="s">
        <v>13</v>
      </c>
      <c r="D10308" s="2" t="s">
        <v>12</v>
      </c>
      <c r="E10308" s="2" t="s">
        <v>66</v>
      </c>
      <c r="F10308" s="2" t="str">
        <f>HYPERLINK("http://bbs.12365auto.com/postcontent.aspx?tId=193586","http://bbs.12365auto.com/postcontent.aspx?tId=193586")</f>
        <v>http://bbs.12365auto.com/postcontent.aspx?tId=193586</v>
      </c>
      <c r="G10308" s="2"/>
      <c r="H10308" s="2" t="s">
        <v>13735</v>
      </c>
      <c r="I10308" s="2" t="s">
        <v>15</v>
      </c>
      <c r="J10308" s="2" t="s">
        <v>558</v>
      </c>
      <c r="K10308" s="2" t="s">
        <v>13734</v>
      </c>
      <c r="L10308" s="2">
        <f t="shared" si="161"/>
        <v>38</v>
      </c>
    </row>
    <row r="10309" spans="1:12" ht="25" customHeight="1">
      <c r="A10309" s="2" t="s">
        <v>12</v>
      </c>
      <c r="B10309" s="2" t="str">
        <f>HYPERLINK("http://bbs.12365auto.com/postcontent.aspx?tID=193586","上汽大众帕萨特车身设计缺陷")</f>
        <v>上汽大众帕萨特车身设计缺陷</v>
      </c>
      <c r="C10309" s="2" t="s">
        <v>13</v>
      </c>
      <c r="D10309" s="2" t="s">
        <v>12</v>
      </c>
      <c r="E10309" s="2" t="s">
        <v>67</v>
      </c>
      <c r="F10309" s="2" t="str">
        <f>HYPERLINK("http://bbs.12365auto.com/postcontent.aspx?tID=193586","http://bbs.12365auto.com/postcontent.aspx?tID=193586")</f>
        <v>http://bbs.12365auto.com/postcontent.aspx?tID=193586</v>
      </c>
      <c r="G10309" s="2"/>
      <c r="H10309" s="2" t="s">
        <v>13736</v>
      </c>
      <c r="I10309" s="2" t="s">
        <v>15</v>
      </c>
      <c r="J10309" s="2" t="s">
        <v>558</v>
      </c>
      <c r="K10309" s="2" t="s">
        <v>13734</v>
      </c>
      <c r="L10309" s="2">
        <f t="shared" si="161"/>
        <v>58</v>
      </c>
    </row>
    <row r="10310" spans="1:12" ht="25" customHeight="1">
      <c r="A10310" s="2" t="s">
        <v>12</v>
      </c>
      <c r="B10310" s="2" t="str">
        <f>HYPERLINK("http://m.12365auto.com/bbs/postcontent.aspx?tID=193586","上汽大众帕萨特车身设计缺陷")</f>
        <v>上汽大众帕萨特车身设计缺陷</v>
      </c>
      <c r="C10310" s="2" t="s">
        <v>13</v>
      </c>
      <c r="D10310" s="2" t="s">
        <v>23</v>
      </c>
      <c r="E10310" s="2"/>
      <c r="F10310" s="2" t="str">
        <f>HYPERLINK("http://m.12365auto.com/bbs/postcontent.aspx?tID=193586","http://m.12365auto.com/bbs/postcontent.aspx?tID=193586")</f>
        <v>http://m.12365auto.com/bbs/postcontent.aspx?tID=193586</v>
      </c>
      <c r="G10310" s="2"/>
      <c r="H10310" s="2" t="s">
        <v>13735</v>
      </c>
      <c r="I10310" s="2" t="s">
        <v>15</v>
      </c>
      <c r="J10310" s="2" t="s">
        <v>558</v>
      </c>
      <c r="K10310" s="2" t="s">
        <v>13734</v>
      </c>
      <c r="L10310" s="2">
        <f t="shared" si="161"/>
        <v>38</v>
      </c>
    </row>
    <row r="10311" spans="1:12" ht="25" customHeight="1">
      <c r="A10311" s="2" t="s">
        <v>12</v>
      </c>
      <c r="B10311" s="2" t="str">
        <f>HYPERLINK("http://m.12365auto.com/bbs/postcontent.aspx?tID=193587","华晨中华V6发动机严重烧机油")</f>
        <v>华晨中华V6发动机严重烧机油</v>
      </c>
      <c r="C10311" s="2" t="s">
        <v>13</v>
      </c>
      <c r="D10311" s="2" t="s">
        <v>23</v>
      </c>
      <c r="E10311" s="2"/>
      <c r="F10311" s="2" t="str">
        <f>HYPERLINK("http://m.12365auto.com/bbs/postcontent.aspx?tID=193587","http://m.12365auto.com/bbs/postcontent.aspx?tID=193587")</f>
        <v>http://m.12365auto.com/bbs/postcontent.aspx?tID=193587</v>
      </c>
      <c r="G10311" s="2"/>
      <c r="H10311" s="2" t="s">
        <v>13733</v>
      </c>
      <c r="I10311" s="2" t="s">
        <v>15</v>
      </c>
      <c r="J10311" s="2" t="s">
        <v>562</v>
      </c>
      <c r="K10311" s="2" t="s">
        <v>13734</v>
      </c>
      <c r="L10311" s="2">
        <f t="shared" si="161"/>
        <v>31</v>
      </c>
    </row>
    <row r="10312" spans="1:12" ht="25" customHeight="1">
      <c r="A10312" s="2" t="s">
        <v>12</v>
      </c>
      <c r="B10312" s="2" t="str">
        <f>HYPERLINK("http://www.12365auto.com/xcdg/20200210/418067.shtml","今年别错过这10款豪华SUV 改款Q7月底就能买")</f>
        <v>今年别错过这10款豪华SUV 改款Q7月底就能买</v>
      </c>
      <c r="C10312" s="2" t="s">
        <v>13</v>
      </c>
      <c r="D10312" s="2" t="s">
        <v>12</v>
      </c>
      <c r="E10312" s="2" t="s">
        <v>216</v>
      </c>
      <c r="F10312" s="2" t="str">
        <f>HYPERLINK("http://www.12365auto.com/xcdg/20200210/418067.shtml","http://www.12365auto.com/xcdg/20200210/418067.shtml")</f>
        <v>http://www.12365auto.com/xcdg/20200210/418067.shtml</v>
      </c>
      <c r="G10312" s="2"/>
      <c r="H10312" s="2" t="s">
        <v>13737</v>
      </c>
      <c r="I10312" s="2" t="s">
        <v>15</v>
      </c>
      <c r="J10312" s="2" t="s">
        <v>12</v>
      </c>
      <c r="K10312" s="2" t="s">
        <v>13734</v>
      </c>
      <c r="L10312" s="2">
        <f t="shared" si="161"/>
        <v>150</v>
      </c>
    </row>
    <row r="10313" spans="1:12" ht="25" customHeight="1">
      <c r="A10313" s="2" t="s">
        <v>12</v>
      </c>
      <c r="B10313" s="2" t="str">
        <f>HYPERLINK("http://m.12365auto.com/xcdg/20200210/418067.shtml","今年别错过这10款豪华SUV 改款Q7月底就能买")</f>
        <v>今年别错过这10款豪华SUV 改款Q7月底就能买</v>
      </c>
      <c r="C10313" s="2" t="s">
        <v>13</v>
      </c>
      <c r="D10313" s="2" t="s">
        <v>12</v>
      </c>
      <c r="E10313" s="2"/>
      <c r="F10313" s="2" t="str">
        <f>HYPERLINK("http://m.12365auto.com/xcdg/20200210/418067.shtml","http://m.12365auto.com/xcdg/20200210/418067.shtml")</f>
        <v>http://m.12365auto.com/xcdg/20200210/418067.shtml</v>
      </c>
      <c r="G10313" s="2"/>
      <c r="H10313" s="2" t="s">
        <v>13738</v>
      </c>
      <c r="I10313" s="2" t="s">
        <v>19</v>
      </c>
      <c r="J10313" s="2" t="s">
        <v>732</v>
      </c>
      <c r="K10313" s="2" t="s">
        <v>13734</v>
      </c>
      <c r="L10313" s="2">
        <f t="shared" si="161"/>
        <v>150</v>
      </c>
    </row>
    <row r="10314" spans="1:12" ht="25" customHeight="1">
      <c r="A10314" s="2" t="s">
        <v>12</v>
      </c>
      <c r="B10314" s="2" t="str">
        <f>HYPERLINK("http://bbs.12365auto.com/postcontent.aspx?tID=193587","华晨中华V6发动机严重烧机油")</f>
        <v>华晨中华V6发动机严重烧机油</v>
      </c>
      <c r="C10314" s="2" t="s">
        <v>13</v>
      </c>
      <c r="D10314" s="2" t="s">
        <v>12</v>
      </c>
      <c r="E10314" s="2" t="s">
        <v>67</v>
      </c>
      <c r="F10314" s="2" t="str">
        <f>HYPERLINK("http://bbs.12365auto.com/postcontent.aspx?tID=193587","http://bbs.12365auto.com/postcontent.aspx?tID=193587")</f>
        <v>http://bbs.12365auto.com/postcontent.aspx?tID=193587</v>
      </c>
      <c r="G10314" s="2"/>
      <c r="H10314" s="2" t="s">
        <v>13739</v>
      </c>
      <c r="I10314" s="2" t="s">
        <v>15</v>
      </c>
      <c r="J10314" s="2" t="s">
        <v>562</v>
      </c>
      <c r="K10314" s="2" t="s">
        <v>13734</v>
      </c>
      <c r="L10314" s="2">
        <f t="shared" si="161"/>
        <v>55</v>
      </c>
    </row>
    <row r="10315" spans="1:12" ht="25" customHeight="1">
      <c r="A10315" s="2" t="s">
        <v>12</v>
      </c>
      <c r="B10315" s="2" t="str">
        <f>HYPERLINK("http://www.12365auto.com/xcdg/20200210/418066.shtml","福特全新探险者套件版车型 今年夏季开售")</f>
        <v>福特全新探险者套件版车型 今年夏季开售</v>
      </c>
      <c r="C10315" s="2" t="s">
        <v>13</v>
      </c>
      <c r="D10315" s="2" t="s">
        <v>12</v>
      </c>
      <c r="E10315" s="2" t="s">
        <v>245</v>
      </c>
      <c r="F10315" s="2" t="str">
        <f>HYPERLINK("http://www.12365auto.com/xcdg/20200210/418066.shtml","http://www.12365auto.com/xcdg/20200210/418066.shtml")</f>
        <v>http://www.12365auto.com/xcdg/20200210/418066.shtml</v>
      </c>
      <c r="G10315" s="2"/>
      <c r="H10315" s="2" t="s">
        <v>13740</v>
      </c>
      <c r="I10315" s="2" t="s">
        <v>19</v>
      </c>
      <c r="J10315" s="2" t="s">
        <v>12</v>
      </c>
      <c r="K10315" s="2" t="s">
        <v>13734</v>
      </c>
      <c r="L10315" s="2">
        <f t="shared" si="161"/>
        <v>150</v>
      </c>
    </row>
    <row r="10316" spans="1:12" ht="25" customHeight="1">
      <c r="A10316" s="2" t="s">
        <v>12</v>
      </c>
      <c r="B10316" s="2" t="str">
        <f>HYPERLINK("http://www.12365auto.com/zlts/20200210/446737.shtml","江铃域虎5变速箱无法退挡 发动机异响")</f>
        <v>江铃域虎5变速箱无法退挡 发动机异响</v>
      </c>
      <c r="C10316" s="2" t="s">
        <v>13</v>
      </c>
      <c r="D10316" s="2" t="s">
        <v>12</v>
      </c>
      <c r="E10316" s="2"/>
      <c r="F10316" s="2" t="str">
        <f>HYPERLINK("http://www.12365auto.com/zlts/20200210/446737.shtml","http://www.12365auto.com/zlts/20200210/446737.shtml")</f>
        <v>http://www.12365auto.com/zlts/20200210/446737.shtml</v>
      </c>
      <c r="G10316" s="2"/>
      <c r="H10316" s="2" t="s">
        <v>13742</v>
      </c>
      <c r="I10316" s="2" t="s">
        <v>15</v>
      </c>
      <c r="J10316" s="2" t="s">
        <v>12</v>
      </c>
      <c r="K10316" s="2" t="s">
        <v>13741</v>
      </c>
      <c r="L10316" s="2">
        <f t="shared" si="161"/>
        <v>101</v>
      </c>
    </row>
    <row r="10317" spans="1:12" ht="25" customHeight="1">
      <c r="A10317" s="2" t="s">
        <v>12</v>
      </c>
      <c r="B10317" s="2" t="str">
        <f>HYPERLINK("http://bbs.12365auto.com/postcontent.aspx?tId=193584","东风日产轩逸自动启停系统失灵")</f>
        <v>东风日产轩逸自动启停系统失灵</v>
      </c>
      <c r="C10317" s="2" t="s">
        <v>13</v>
      </c>
      <c r="D10317" s="2" t="s">
        <v>12</v>
      </c>
      <c r="E10317" s="2" t="s">
        <v>66</v>
      </c>
      <c r="F10317" s="2" t="str">
        <f>HYPERLINK("http://bbs.12365auto.com/postcontent.aspx?tId=193584","http://bbs.12365auto.com/postcontent.aspx?tId=193584")</f>
        <v>http://bbs.12365auto.com/postcontent.aspx?tId=193584</v>
      </c>
      <c r="G10317" s="2"/>
      <c r="H10317" s="2" t="s">
        <v>13743</v>
      </c>
      <c r="I10317" s="2" t="s">
        <v>15</v>
      </c>
      <c r="J10317" s="2" t="s">
        <v>569</v>
      </c>
      <c r="K10317" s="2" t="s">
        <v>13744</v>
      </c>
      <c r="L10317" s="2">
        <f t="shared" si="161"/>
        <v>43</v>
      </c>
    </row>
    <row r="10318" spans="1:12" ht="25" customHeight="1">
      <c r="A10318" s="2" t="s">
        <v>12</v>
      </c>
      <c r="B10318" s="2" t="str">
        <f>HYPERLINK("http://bbs.12365auto.com/postcontent.aspx?tID=193584","东风日产轩逸自动启停系统失灵")</f>
        <v>东风日产轩逸自动启停系统失灵</v>
      </c>
      <c r="C10318" s="2" t="s">
        <v>13</v>
      </c>
      <c r="D10318" s="2" t="s">
        <v>12</v>
      </c>
      <c r="E10318" s="2" t="s">
        <v>67</v>
      </c>
      <c r="F10318" s="2" t="str">
        <f>HYPERLINK("http://bbs.12365auto.com/postcontent.aspx?tID=193584","http://bbs.12365auto.com/postcontent.aspx?tID=193584")</f>
        <v>http://bbs.12365auto.com/postcontent.aspx?tID=193584</v>
      </c>
      <c r="G10318" s="2"/>
      <c r="H10318" s="2" t="s">
        <v>13745</v>
      </c>
      <c r="I10318" s="2" t="s">
        <v>15</v>
      </c>
      <c r="J10318" s="2" t="s">
        <v>569</v>
      </c>
      <c r="K10318" s="2" t="s">
        <v>13744</v>
      </c>
      <c r="L10318" s="2">
        <f t="shared" si="161"/>
        <v>57</v>
      </c>
    </row>
    <row r="10319" spans="1:12" ht="25" customHeight="1">
      <c r="A10319" s="2" t="s">
        <v>12</v>
      </c>
      <c r="B10319" s="2" t="str">
        <f>HYPERLINK("http://m.12365auto.com/bbs/postcontent.aspx?tID=193584","东风日产轩逸自动启停系统失灵")</f>
        <v>东风日产轩逸自动启停系统失灵</v>
      </c>
      <c r="C10319" s="2" t="s">
        <v>13</v>
      </c>
      <c r="D10319" s="2" t="s">
        <v>23</v>
      </c>
      <c r="E10319" s="2"/>
      <c r="F10319" s="2" t="str">
        <f>HYPERLINK("http://m.12365auto.com/bbs/postcontent.aspx?tID=193584","http://m.12365auto.com/bbs/postcontent.aspx?tID=193584")</f>
        <v>http://m.12365auto.com/bbs/postcontent.aspx?tID=193584</v>
      </c>
      <c r="G10319" s="2"/>
      <c r="H10319" s="2" t="s">
        <v>13743</v>
      </c>
      <c r="I10319" s="2" t="s">
        <v>15</v>
      </c>
      <c r="J10319" s="2" t="s">
        <v>569</v>
      </c>
      <c r="K10319" s="2" t="s">
        <v>13744</v>
      </c>
      <c r="L10319" s="2">
        <f t="shared" si="161"/>
        <v>43</v>
      </c>
    </row>
    <row r="10320" spans="1:12" ht="25" customHeight="1">
      <c r="A10320" s="2" t="s">
        <v>12</v>
      </c>
      <c r="B10320" s="2" t="str">
        <f>HYPERLINK("http://bbs.12365auto.com/postcontent.aspx?tId=193583","广汽丰田凯美瑞两侧半轴防尘套漏油")</f>
        <v>广汽丰田凯美瑞两侧半轴防尘套漏油</v>
      </c>
      <c r="C10320" s="2" t="s">
        <v>13</v>
      </c>
      <c r="D10320" s="2" t="s">
        <v>12</v>
      </c>
      <c r="E10320" s="2" t="s">
        <v>66</v>
      </c>
      <c r="F10320" s="2" t="str">
        <f>HYPERLINK("http://bbs.12365auto.com/postcontent.aspx?tId=193583","http://bbs.12365auto.com/postcontent.aspx?tId=193583")</f>
        <v>http://bbs.12365auto.com/postcontent.aspx?tId=193583</v>
      </c>
      <c r="G10320" s="2"/>
      <c r="H10320" s="2" t="s">
        <v>13746</v>
      </c>
      <c r="I10320" s="2" t="s">
        <v>15</v>
      </c>
      <c r="J10320" s="2" t="s">
        <v>577</v>
      </c>
      <c r="K10320" s="2" t="s">
        <v>13747</v>
      </c>
      <c r="L10320" s="2">
        <f t="shared" si="161"/>
        <v>49</v>
      </c>
    </row>
    <row r="10321" spans="1:12" ht="25" customHeight="1">
      <c r="A10321" s="2" t="s">
        <v>12</v>
      </c>
      <c r="B10321" s="2" t="str">
        <f>HYPERLINK("http://m.12365auto.com/bbs/postcontent.aspx?tID=193583","广汽丰田凯美瑞两侧半轴防尘套漏油")</f>
        <v>广汽丰田凯美瑞两侧半轴防尘套漏油</v>
      </c>
      <c r="C10321" s="2" t="s">
        <v>13</v>
      </c>
      <c r="D10321" s="2" t="s">
        <v>23</v>
      </c>
      <c r="E10321" s="2"/>
      <c r="F10321" s="2" t="str">
        <f>HYPERLINK("http://m.12365auto.com/bbs/postcontent.aspx?tID=193583","http://m.12365auto.com/bbs/postcontent.aspx?tID=193583")</f>
        <v>http://m.12365auto.com/bbs/postcontent.aspx?tID=193583</v>
      </c>
      <c r="G10321" s="2"/>
      <c r="H10321" s="2" t="s">
        <v>13746</v>
      </c>
      <c r="I10321" s="2" t="s">
        <v>15</v>
      </c>
      <c r="J10321" s="2" t="s">
        <v>577</v>
      </c>
      <c r="K10321" s="2" t="s">
        <v>13747</v>
      </c>
      <c r="L10321" s="2">
        <f t="shared" si="161"/>
        <v>49</v>
      </c>
    </row>
    <row r="10322" spans="1:12" ht="25" customHeight="1">
      <c r="A10322" s="2" t="s">
        <v>12</v>
      </c>
      <c r="B10322" s="2" t="str">
        <f>HYPERLINK("http://bbs.12365auto.com/postcontent.aspx?tID=193583","广汽丰田凯美瑞两侧半轴防尘套漏油")</f>
        <v>广汽丰田凯美瑞两侧半轴防尘套漏油</v>
      </c>
      <c r="C10322" s="2" t="s">
        <v>13</v>
      </c>
      <c r="D10322" s="2" t="s">
        <v>12</v>
      </c>
      <c r="E10322" s="2" t="s">
        <v>67</v>
      </c>
      <c r="F10322" s="2" t="str">
        <f>HYPERLINK("http://bbs.12365auto.com/postcontent.aspx?tID=193583","http://bbs.12365auto.com/postcontent.aspx?tID=193583")</f>
        <v>http://bbs.12365auto.com/postcontent.aspx?tID=193583</v>
      </c>
      <c r="G10322" s="2"/>
      <c r="H10322" s="2" t="s">
        <v>13748</v>
      </c>
      <c r="I10322" s="2" t="s">
        <v>15</v>
      </c>
      <c r="J10322" s="2" t="s">
        <v>577</v>
      </c>
      <c r="K10322" s="2" t="s">
        <v>13747</v>
      </c>
      <c r="L10322" s="2">
        <f t="shared" si="161"/>
        <v>65</v>
      </c>
    </row>
    <row r="10323" spans="1:12" ht="25" customHeight="1">
      <c r="A10323" s="2" t="s">
        <v>12</v>
      </c>
      <c r="B10323" s="2" t="str">
        <f>HYPERLINK("http://bbs.12365auto.com/postcontent.aspx?tId=193582","吉利远景行驶过程中无法加速")</f>
        <v>吉利远景行驶过程中无法加速</v>
      </c>
      <c r="C10323" s="2" t="s">
        <v>13</v>
      </c>
      <c r="D10323" s="2" t="s">
        <v>12</v>
      </c>
      <c r="E10323" s="2" t="s">
        <v>66</v>
      </c>
      <c r="F10323" s="2" t="str">
        <f>HYPERLINK("http://bbs.12365auto.com/postcontent.aspx?tId=193582","http://bbs.12365auto.com/postcontent.aspx?tId=193582")</f>
        <v>http://bbs.12365auto.com/postcontent.aspx?tId=193582</v>
      </c>
      <c r="G10323" s="2"/>
      <c r="H10323" s="2" t="s">
        <v>13749</v>
      </c>
      <c r="I10323" s="2" t="s">
        <v>15</v>
      </c>
      <c r="J10323" s="2" t="s">
        <v>574</v>
      </c>
      <c r="K10323" s="2" t="s">
        <v>13750</v>
      </c>
      <c r="L10323" s="2">
        <f t="shared" si="161"/>
        <v>44</v>
      </c>
    </row>
    <row r="10324" spans="1:12" ht="25" customHeight="1">
      <c r="A10324" s="2" t="s">
        <v>12</v>
      </c>
      <c r="B10324" s="2" t="str">
        <f>HYPERLINK("http://m.12365auto.com/bbs/postcontent.aspx?tID=193582","吉利远景行驶过程中无法加速")</f>
        <v>吉利远景行驶过程中无法加速</v>
      </c>
      <c r="C10324" s="2" t="s">
        <v>13</v>
      </c>
      <c r="D10324" s="2" t="s">
        <v>23</v>
      </c>
      <c r="E10324" s="2"/>
      <c r="F10324" s="2" t="str">
        <f>HYPERLINK("http://m.12365auto.com/bbs/postcontent.aspx?tID=193582","http://m.12365auto.com/bbs/postcontent.aspx?tID=193582")</f>
        <v>http://m.12365auto.com/bbs/postcontent.aspx?tID=193582</v>
      </c>
      <c r="G10324" s="2"/>
      <c r="H10324" s="2" t="s">
        <v>13749</v>
      </c>
      <c r="I10324" s="2" t="s">
        <v>15</v>
      </c>
      <c r="J10324" s="2" t="s">
        <v>574</v>
      </c>
      <c r="K10324" s="2" t="s">
        <v>13750</v>
      </c>
      <c r="L10324" s="2">
        <f t="shared" si="161"/>
        <v>44</v>
      </c>
    </row>
    <row r="10325" spans="1:12" ht="25" customHeight="1">
      <c r="A10325" s="2" t="s">
        <v>12</v>
      </c>
      <c r="B10325" s="2" t="str">
        <f>HYPERLINK("http://bbs.12365auto.com/postcontent.aspx?tID=193582","吉利远景行驶过程中无法加速")</f>
        <v>吉利远景行驶过程中无法加速</v>
      </c>
      <c r="C10325" s="2" t="s">
        <v>13</v>
      </c>
      <c r="D10325" s="2" t="s">
        <v>12</v>
      </c>
      <c r="E10325" s="2" t="s">
        <v>67</v>
      </c>
      <c r="F10325" s="2" t="str">
        <f>HYPERLINK("http://bbs.12365auto.com/postcontent.aspx?tID=193582","http://bbs.12365auto.com/postcontent.aspx?tID=193582")</f>
        <v>http://bbs.12365auto.com/postcontent.aspx?tID=193582</v>
      </c>
      <c r="G10325" s="2"/>
      <c r="H10325" s="2" t="s">
        <v>13751</v>
      </c>
      <c r="I10325" s="2" t="s">
        <v>15</v>
      </c>
      <c r="J10325" s="2" t="s">
        <v>574</v>
      </c>
      <c r="K10325" s="2" t="s">
        <v>13750</v>
      </c>
      <c r="L10325" s="2">
        <f t="shared" si="161"/>
        <v>57</v>
      </c>
    </row>
    <row r="10326" spans="1:12" ht="25" customHeight="1">
      <c r="A10326" s="2" t="s">
        <v>12</v>
      </c>
      <c r="B10326" s="2" t="str">
        <f>HYPERLINK("http://bbs.12365auto.com/postcontent.aspx?tId=193581","郑州日产途达两次亏电无法正常启动")</f>
        <v>郑州日产途达两次亏电无法正常启动</v>
      </c>
      <c r="C10326" s="2" t="s">
        <v>13</v>
      </c>
      <c r="D10326" s="2" t="s">
        <v>12</v>
      </c>
      <c r="E10326" s="2" t="s">
        <v>66</v>
      </c>
      <c r="F10326" s="2" t="str">
        <f>HYPERLINK("http://bbs.12365auto.com/postcontent.aspx?tId=193581","http://bbs.12365auto.com/postcontent.aspx?tId=193581")</f>
        <v>http://bbs.12365auto.com/postcontent.aspx?tId=193581</v>
      </c>
      <c r="G10326" s="2"/>
      <c r="H10326" s="2" t="s">
        <v>13752</v>
      </c>
      <c r="I10326" s="2" t="s">
        <v>15</v>
      </c>
      <c r="J10326" s="2" t="s">
        <v>581</v>
      </c>
      <c r="K10326" s="2" t="s">
        <v>13753</v>
      </c>
      <c r="L10326" s="2">
        <f t="shared" si="161"/>
        <v>150</v>
      </c>
    </row>
    <row r="10327" spans="1:12" ht="25" customHeight="1">
      <c r="A10327" s="2" t="s">
        <v>12</v>
      </c>
      <c r="B10327" s="2" t="str">
        <f>HYPERLINK("http://m.12365auto.com/xcdg/20200210/418064.shtml","160公里续航电动车有人买？ 甚至比雅阁还贵")</f>
        <v>160公里续航电动车有人买？ 甚至比雅阁还贵</v>
      </c>
      <c r="C10327" s="2" t="s">
        <v>13</v>
      </c>
      <c r="D10327" s="2" t="s">
        <v>12</v>
      </c>
      <c r="E10327" s="2"/>
      <c r="F10327" s="2" t="str">
        <f>HYPERLINK("http://m.12365auto.com/xcdg/20200210/418064.shtml","http://m.12365auto.com/xcdg/20200210/418064.shtml")</f>
        <v>http://m.12365auto.com/xcdg/20200210/418064.shtml</v>
      </c>
      <c r="G10327" s="2"/>
      <c r="H10327" s="2" t="s">
        <v>13754</v>
      </c>
      <c r="I10327" s="2" t="s">
        <v>19</v>
      </c>
      <c r="J10327" s="2" t="s">
        <v>1257</v>
      </c>
      <c r="K10327" s="2" t="s">
        <v>13753</v>
      </c>
      <c r="L10327" s="2">
        <f t="shared" si="161"/>
        <v>150</v>
      </c>
    </row>
    <row r="10328" spans="1:12" ht="25" customHeight="1">
      <c r="A10328" s="2" t="s">
        <v>12</v>
      </c>
      <c r="B10328" s="2" t="str">
        <f>HYPERLINK("http://bbs.12365auto.com/postcontent.aspx?tID=193581","郑州日产途达两次亏电无法正常启动")</f>
        <v>郑州日产途达两次亏电无法正常启动</v>
      </c>
      <c r="C10328" s="2" t="s">
        <v>13</v>
      </c>
      <c r="D10328" s="2" t="s">
        <v>12</v>
      </c>
      <c r="E10328" s="2" t="s">
        <v>67</v>
      </c>
      <c r="F10328" s="2" t="str">
        <f>HYPERLINK("http://bbs.12365auto.com/postcontent.aspx?tID=193581","http://bbs.12365auto.com/postcontent.aspx?tID=193581")</f>
        <v>http://bbs.12365auto.com/postcontent.aspx?tID=193581</v>
      </c>
      <c r="G10328" s="2"/>
      <c r="H10328" s="2" t="s">
        <v>13755</v>
      </c>
      <c r="I10328" s="2" t="s">
        <v>15</v>
      </c>
      <c r="J10328" s="2" t="s">
        <v>581</v>
      </c>
      <c r="K10328" s="2" t="s">
        <v>13753</v>
      </c>
      <c r="L10328" s="2">
        <f t="shared" si="161"/>
        <v>150</v>
      </c>
    </row>
    <row r="10329" spans="1:12" ht="25" customHeight="1">
      <c r="A10329" s="2" t="s">
        <v>12</v>
      </c>
      <c r="B10329" s="2" t="str">
        <f>HYPERLINK("http://www.12365auto.com/xcdg/20200210/418062.shtml","皮卡也有个性 索罗德Realtree特别版官图")</f>
        <v>皮卡也有个性 索罗德Realtree特别版官图</v>
      </c>
      <c r="C10329" s="2" t="s">
        <v>13</v>
      </c>
      <c r="D10329" s="2" t="s">
        <v>12</v>
      </c>
      <c r="E10329" s="2" t="s">
        <v>216</v>
      </c>
      <c r="F10329" s="2" t="str">
        <f>HYPERLINK("http://www.12365auto.com/xcdg/20200210/418062.shtml","http://www.12365auto.com/xcdg/20200210/418062.shtml")</f>
        <v>http://www.12365auto.com/xcdg/20200210/418062.shtml</v>
      </c>
      <c r="G10329" s="2"/>
      <c r="H10329" s="2" t="s">
        <v>13756</v>
      </c>
      <c r="I10329" s="2" t="s">
        <v>15</v>
      </c>
      <c r="J10329" s="2" t="s">
        <v>12</v>
      </c>
      <c r="K10329" s="2" t="s">
        <v>13757</v>
      </c>
      <c r="L10329" s="2">
        <f t="shared" si="161"/>
        <v>150</v>
      </c>
    </row>
    <row r="10330" spans="1:12" ht="25" customHeight="1">
      <c r="A10330" s="2" t="s">
        <v>12</v>
      </c>
      <c r="B10330" s="2" t="str">
        <f>HYPERLINK("http://bbs.12365auto.com/postcontent.aspx?tId=193580","一汽奔腾B30方向盘卡顿 悬挂异响")</f>
        <v>一汽奔腾B30方向盘卡顿 悬挂异响</v>
      </c>
      <c r="C10330" s="2" t="s">
        <v>13</v>
      </c>
      <c r="D10330" s="2" t="s">
        <v>12</v>
      </c>
      <c r="E10330" s="2" t="s">
        <v>66</v>
      </c>
      <c r="F10330" s="2" t="str">
        <f>HYPERLINK("http://bbs.12365auto.com/postcontent.aspx?tId=193580","http://bbs.12365auto.com/postcontent.aspx?tId=193580")</f>
        <v>http://bbs.12365auto.com/postcontent.aspx?tId=193580</v>
      </c>
      <c r="G10330" s="2"/>
      <c r="H10330" s="2" t="s">
        <v>13758</v>
      </c>
      <c r="I10330" s="2" t="s">
        <v>15</v>
      </c>
      <c r="J10330" s="2" t="s">
        <v>585</v>
      </c>
      <c r="K10330" s="2" t="s">
        <v>13757</v>
      </c>
      <c r="L10330" s="2">
        <f t="shared" si="161"/>
        <v>34</v>
      </c>
    </row>
    <row r="10331" spans="1:12" ht="25" customHeight="1">
      <c r="A10331" s="2" t="s">
        <v>12</v>
      </c>
      <c r="B10331" s="2" t="str">
        <f>HYPERLINK("http://bbs.12365auto.com/postcontent.aspx?tId=193579","绅宝X55转向卡滞沉重发动机噪音大")</f>
        <v>绅宝X55转向卡滞沉重发动机噪音大</v>
      </c>
      <c r="C10331" s="2" t="s">
        <v>13</v>
      </c>
      <c r="D10331" s="2" t="s">
        <v>12</v>
      </c>
      <c r="E10331" s="2" t="s">
        <v>66</v>
      </c>
      <c r="F10331" s="2" t="str">
        <f>HYPERLINK("http://bbs.12365auto.com/postcontent.aspx?tId=193579","http://bbs.12365auto.com/postcontent.aspx?tId=193579")</f>
        <v>http://bbs.12365auto.com/postcontent.aspx?tId=193579</v>
      </c>
      <c r="G10331" s="2"/>
      <c r="H10331" s="2" t="s">
        <v>13759</v>
      </c>
      <c r="I10331" s="2" t="s">
        <v>15</v>
      </c>
      <c r="J10331" s="2" t="s">
        <v>587</v>
      </c>
      <c r="K10331" s="2" t="s">
        <v>13757</v>
      </c>
      <c r="L10331" s="2">
        <f t="shared" si="161"/>
        <v>150</v>
      </c>
    </row>
    <row r="10332" spans="1:12" ht="25" customHeight="1">
      <c r="A10332" s="2" t="s">
        <v>12</v>
      </c>
      <c r="B10332" s="2" t="str">
        <f>HYPERLINK("http://www.12365auto.com/xcdg/20200210/418061.shtml","海外版新款大众途昂官图发布 更精致了")</f>
        <v>海外版新款大众途昂官图发布 更精致了</v>
      </c>
      <c r="C10332" s="2" t="s">
        <v>13</v>
      </c>
      <c r="D10332" s="2" t="s">
        <v>12</v>
      </c>
      <c r="E10332" s="2" t="s">
        <v>216</v>
      </c>
      <c r="F10332" s="2" t="str">
        <f>HYPERLINK("http://www.12365auto.com/xcdg/20200210/418061.shtml","http://www.12365auto.com/xcdg/20200210/418061.shtml")</f>
        <v>http://www.12365auto.com/xcdg/20200210/418061.shtml</v>
      </c>
      <c r="G10332" s="2"/>
      <c r="H10332" s="2" t="s">
        <v>13760</v>
      </c>
      <c r="I10332" s="2" t="s">
        <v>15</v>
      </c>
      <c r="J10332" s="2" t="s">
        <v>12</v>
      </c>
      <c r="K10332" s="2" t="s">
        <v>13757</v>
      </c>
      <c r="L10332" s="2">
        <f t="shared" si="161"/>
        <v>150</v>
      </c>
    </row>
    <row r="10333" spans="1:12" ht="25" customHeight="1">
      <c r="A10333" s="2" t="s">
        <v>12</v>
      </c>
      <c r="B10333" s="2" t="str">
        <f>HYPERLINK("http://m.12365auto.com/xcdg/20200210/418061.shtml","海外版新款大众途昂官图发布 更精致了")</f>
        <v>海外版新款大众途昂官图发布 更精致了</v>
      </c>
      <c r="C10333" s="2" t="s">
        <v>13</v>
      </c>
      <c r="D10333" s="2" t="s">
        <v>12</v>
      </c>
      <c r="E10333" s="2"/>
      <c r="F10333" s="2" t="str">
        <f>HYPERLINK("http://m.12365auto.com/xcdg/20200210/418061.shtml","http://m.12365auto.com/xcdg/20200210/418061.shtml")</f>
        <v>http://m.12365auto.com/xcdg/20200210/418061.shtml</v>
      </c>
      <c r="G10333" s="2"/>
      <c r="H10333" s="2" t="s">
        <v>13761</v>
      </c>
      <c r="I10333" s="2" t="s">
        <v>19</v>
      </c>
      <c r="J10333" s="2" t="s">
        <v>1205</v>
      </c>
      <c r="K10333" s="2" t="s">
        <v>13757</v>
      </c>
      <c r="L10333" s="2">
        <f t="shared" si="161"/>
        <v>150</v>
      </c>
    </row>
    <row r="10334" spans="1:12" ht="25" customHeight="1">
      <c r="A10334" s="2" t="s">
        <v>12</v>
      </c>
      <c r="B10334" s="2" t="str">
        <f>HYPERLINK("http://bbs.12365auto.com/postcontent.aspx?tID=193580","一汽奔腾B30方向盘卡顿 悬挂异响")</f>
        <v>一汽奔腾B30方向盘卡顿 悬挂异响</v>
      </c>
      <c r="C10334" s="2" t="s">
        <v>13</v>
      </c>
      <c r="D10334" s="2" t="s">
        <v>12</v>
      </c>
      <c r="E10334" s="2" t="s">
        <v>67</v>
      </c>
      <c r="F10334" s="2" t="str">
        <f>HYPERLINK("http://bbs.12365auto.com/postcontent.aspx?tID=193580","http://bbs.12365auto.com/postcontent.aspx?tID=193580")</f>
        <v>http://bbs.12365auto.com/postcontent.aspx?tID=193580</v>
      </c>
      <c r="G10334" s="2"/>
      <c r="H10334" s="2" t="s">
        <v>13762</v>
      </c>
      <c r="I10334" s="2" t="s">
        <v>15</v>
      </c>
      <c r="J10334" s="2" t="s">
        <v>585</v>
      </c>
      <c r="K10334" s="2" t="s">
        <v>13757</v>
      </c>
      <c r="L10334" s="2">
        <f t="shared" si="161"/>
        <v>51</v>
      </c>
    </row>
    <row r="10335" spans="1:12" ht="25" customHeight="1">
      <c r="A10335" s="2" t="s">
        <v>12</v>
      </c>
      <c r="B10335" s="2" t="str">
        <f>HYPERLINK("http://bbs.12365auto.com/postcontent.aspx?tID=193579","绅宝X55转向卡滞沉重发动机噪音大")</f>
        <v>绅宝X55转向卡滞沉重发动机噪音大</v>
      </c>
      <c r="C10335" s="2" t="s">
        <v>13</v>
      </c>
      <c r="D10335" s="2" t="s">
        <v>12</v>
      </c>
      <c r="E10335" s="2" t="s">
        <v>67</v>
      </c>
      <c r="F10335" s="2" t="str">
        <f>HYPERLINK("http://bbs.12365auto.com/postcontent.aspx?tID=193579","http://bbs.12365auto.com/postcontent.aspx?tID=193579")</f>
        <v>http://bbs.12365auto.com/postcontent.aspx?tID=193579</v>
      </c>
      <c r="G10335" s="2"/>
      <c r="H10335" s="2" t="s">
        <v>13763</v>
      </c>
      <c r="I10335" s="2" t="s">
        <v>15</v>
      </c>
      <c r="J10335" s="2" t="s">
        <v>587</v>
      </c>
      <c r="K10335" s="2" t="s">
        <v>13757</v>
      </c>
      <c r="L10335" s="2">
        <f t="shared" si="161"/>
        <v>150</v>
      </c>
    </row>
    <row r="10336" spans="1:12" ht="25" customHeight="1">
      <c r="A10336" s="2" t="s">
        <v>12</v>
      </c>
      <c r="B10336" s="2" t="str">
        <f>HYPERLINK("http://m.12365auto.com/xcdg/20200210/418062.shtml","皮卡也有个性 索罗德Realtree特别版官图")</f>
        <v>皮卡也有个性 索罗德Realtree特别版官图</v>
      </c>
      <c r="C10336" s="2" t="s">
        <v>13</v>
      </c>
      <c r="D10336" s="2" t="s">
        <v>12</v>
      </c>
      <c r="E10336" s="2"/>
      <c r="F10336" s="2" t="str">
        <f>HYPERLINK("http://m.12365auto.com/xcdg/20200210/418062.shtml","http://m.12365auto.com/xcdg/20200210/418062.shtml")</f>
        <v>http://m.12365auto.com/xcdg/20200210/418062.shtml</v>
      </c>
      <c r="G10336" s="2"/>
      <c r="H10336" s="2" t="s">
        <v>13764</v>
      </c>
      <c r="I10336" s="2" t="s">
        <v>19</v>
      </c>
      <c r="J10336" s="2" t="s">
        <v>13422</v>
      </c>
      <c r="K10336" s="2" t="s">
        <v>13757</v>
      </c>
      <c r="L10336" s="2">
        <f t="shared" si="161"/>
        <v>150</v>
      </c>
    </row>
    <row r="10337" spans="1:12" ht="25" customHeight="1">
      <c r="A10337" s="2" t="s">
        <v>12</v>
      </c>
      <c r="B10337" s="2" t="str">
        <f>HYPERLINK("http://www.12365auto.com/xcdg/20200210/418060.shtml","凯迪拉克旗舰SUV完成换代 将第三季上市")</f>
        <v>凯迪拉克旗舰SUV完成换代 将第三季上市</v>
      </c>
      <c r="C10337" s="2" t="s">
        <v>13</v>
      </c>
      <c r="D10337" s="2" t="s">
        <v>12</v>
      </c>
      <c r="E10337" s="2" t="s">
        <v>216</v>
      </c>
      <c r="F10337" s="2" t="str">
        <f>HYPERLINK("http://www.12365auto.com/xcdg/20200210/418060.shtml","http://www.12365auto.com/xcdg/20200210/418060.shtml")</f>
        <v>http://www.12365auto.com/xcdg/20200210/418060.shtml</v>
      </c>
      <c r="G10337" s="2"/>
      <c r="H10337" s="2" t="s">
        <v>13765</v>
      </c>
      <c r="I10337" s="2" t="s">
        <v>15</v>
      </c>
      <c r="J10337" s="2" t="s">
        <v>12</v>
      </c>
      <c r="K10337" s="2" t="s">
        <v>13766</v>
      </c>
      <c r="L10337" s="2">
        <f t="shared" si="161"/>
        <v>150</v>
      </c>
    </row>
    <row r="10338" spans="1:12" ht="25" customHeight="1">
      <c r="A10338" s="2" t="s">
        <v>12</v>
      </c>
      <c r="B10338" s="2" t="str">
        <f>HYPERLINK("http://m.12365auto.com/xcdg/20200210/418060.shtml","凯迪拉克旗舰SUV完成换代 将第三季上市")</f>
        <v>凯迪拉克旗舰SUV完成换代 将第三季上市</v>
      </c>
      <c r="C10338" s="2" t="s">
        <v>13</v>
      </c>
      <c r="D10338" s="2" t="s">
        <v>12</v>
      </c>
      <c r="E10338" s="2"/>
      <c r="F10338" s="2" t="str">
        <f>HYPERLINK("http://m.12365auto.com/xcdg/20200210/418060.shtml","http://m.12365auto.com/xcdg/20200210/418060.shtml")</f>
        <v>http://m.12365auto.com/xcdg/20200210/418060.shtml</v>
      </c>
      <c r="G10338" s="2"/>
      <c r="H10338" s="2" t="s">
        <v>13767</v>
      </c>
      <c r="I10338" s="2" t="s">
        <v>19</v>
      </c>
      <c r="J10338" s="2" t="s">
        <v>7596</v>
      </c>
      <c r="K10338" s="2" t="s">
        <v>13766</v>
      </c>
      <c r="L10338" s="2">
        <f t="shared" si="161"/>
        <v>150</v>
      </c>
    </row>
    <row r="10339" spans="1:12" ht="25" customHeight="1">
      <c r="A10339" s="2" t="s">
        <v>12</v>
      </c>
      <c r="B10339" s="2" t="str">
        <f>HYPERLINK("http://www.12365auto.com/xcdg/20200210/418059.shtml","约45万人民币 讴歌MDX PMC海外售价公布")</f>
        <v>约45万人民币 讴歌MDX PMC海外售价公布</v>
      </c>
      <c r="C10339" s="2" t="s">
        <v>13</v>
      </c>
      <c r="D10339" s="2" t="s">
        <v>12</v>
      </c>
      <c r="E10339" s="2" t="s">
        <v>216</v>
      </c>
      <c r="F10339" s="2" t="str">
        <f>HYPERLINK("http://www.12365auto.com/xcdg/20200210/418059.shtml","http://www.12365auto.com/xcdg/20200210/418059.shtml")</f>
        <v>http://www.12365auto.com/xcdg/20200210/418059.shtml</v>
      </c>
      <c r="G10339" s="2"/>
      <c r="H10339" s="2" t="s">
        <v>13768</v>
      </c>
      <c r="I10339" s="2" t="s">
        <v>15</v>
      </c>
      <c r="J10339" s="2" t="s">
        <v>12</v>
      </c>
      <c r="K10339" s="2" t="s">
        <v>13766</v>
      </c>
      <c r="L10339" s="2">
        <f t="shared" si="161"/>
        <v>150</v>
      </c>
    </row>
    <row r="10340" spans="1:12" ht="25" customHeight="1">
      <c r="A10340" s="2" t="s">
        <v>12</v>
      </c>
      <c r="B10340" s="2" t="str">
        <f>HYPERLINK("http://m.12365auto.com/xcdg/20200210/418059.shtml","约45万人民币 讴歌MDX PMC海外售价公布")</f>
        <v>约45万人民币 讴歌MDX PMC海外售价公布</v>
      </c>
      <c r="C10340" s="2" t="s">
        <v>13</v>
      </c>
      <c r="D10340" s="2" t="s">
        <v>12</v>
      </c>
      <c r="E10340" s="2"/>
      <c r="F10340" s="2" t="str">
        <f>HYPERLINK("http://m.12365auto.com/xcdg/20200210/418059.shtml","http://m.12365auto.com/xcdg/20200210/418059.shtml")</f>
        <v>http://m.12365auto.com/xcdg/20200210/418059.shtml</v>
      </c>
      <c r="G10340" s="2"/>
      <c r="H10340" s="2" t="s">
        <v>13769</v>
      </c>
      <c r="I10340" s="2" t="s">
        <v>19</v>
      </c>
      <c r="J10340" s="2" t="s">
        <v>1558</v>
      </c>
      <c r="K10340" s="2" t="s">
        <v>13766</v>
      </c>
      <c r="L10340" s="2">
        <f t="shared" si="161"/>
        <v>150</v>
      </c>
    </row>
    <row r="10341" spans="1:12" ht="25" customHeight="1">
      <c r="A10341" s="2" t="s">
        <v>12</v>
      </c>
      <c r="B10341" s="2" t="str">
        <f>HYPERLINK("http://bbs.12365auto.com/postcontent.aspx?tId=193578","上汽名爵锐腾发动机漏机油冒黑烟")</f>
        <v>上汽名爵锐腾发动机漏机油冒黑烟</v>
      </c>
      <c r="C10341" s="2" t="s">
        <v>13</v>
      </c>
      <c r="D10341" s="2" t="s">
        <v>12</v>
      </c>
      <c r="E10341" s="2" t="s">
        <v>66</v>
      </c>
      <c r="F10341" s="2" t="str">
        <f>HYPERLINK("http://bbs.12365auto.com/postcontent.aspx?tId=193578","http://bbs.12365auto.com/postcontent.aspx?tId=193578")</f>
        <v>http://bbs.12365auto.com/postcontent.aspx?tId=193578</v>
      </c>
      <c r="G10341" s="2"/>
      <c r="H10341" s="2" t="s">
        <v>13770</v>
      </c>
      <c r="I10341" s="2" t="s">
        <v>15</v>
      </c>
      <c r="J10341" s="2" t="s">
        <v>590</v>
      </c>
      <c r="K10341" s="2" t="s">
        <v>13771</v>
      </c>
      <c r="L10341" s="2">
        <f t="shared" si="161"/>
        <v>82</v>
      </c>
    </row>
    <row r="10342" spans="1:12" ht="25" customHeight="1">
      <c r="A10342" s="2" t="s">
        <v>12</v>
      </c>
      <c r="B10342" s="2" t="str">
        <f>HYPERLINK("http://bbs.12365auto.com/postcontent.aspx?tId=193577","一汽大众宝来更换线束一直没配件")</f>
        <v>一汽大众宝来更换线束一直没配件</v>
      </c>
      <c r="C10342" s="2" t="s">
        <v>13</v>
      </c>
      <c r="D10342" s="2" t="s">
        <v>12</v>
      </c>
      <c r="E10342" s="2" t="s">
        <v>66</v>
      </c>
      <c r="F10342" s="2" t="str">
        <f>HYPERLINK("http://bbs.12365auto.com/postcontent.aspx?tId=193577","http://bbs.12365auto.com/postcontent.aspx?tId=193577")</f>
        <v>http://bbs.12365auto.com/postcontent.aspx?tId=193577</v>
      </c>
      <c r="G10342" s="2"/>
      <c r="H10342" s="2" t="s">
        <v>13772</v>
      </c>
      <c r="I10342" s="2" t="s">
        <v>15</v>
      </c>
      <c r="J10342" s="2" t="s">
        <v>594</v>
      </c>
      <c r="K10342" s="2" t="s">
        <v>13771</v>
      </c>
      <c r="L10342" s="2">
        <f t="shared" si="161"/>
        <v>75</v>
      </c>
    </row>
    <row r="10343" spans="1:12" ht="25" customHeight="1">
      <c r="A10343" s="2" t="s">
        <v>12</v>
      </c>
      <c r="B10343" s="2" t="str">
        <f>HYPERLINK("http://bbs.12365auto.com/postcontent.aspx?tID=193578","上汽名爵锐腾发动机漏机油冒黑烟")</f>
        <v>上汽名爵锐腾发动机漏机油冒黑烟</v>
      </c>
      <c r="C10343" s="2" t="s">
        <v>13</v>
      </c>
      <c r="D10343" s="2" t="s">
        <v>12</v>
      </c>
      <c r="E10343" s="2" t="s">
        <v>67</v>
      </c>
      <c r="F10343" s="2" t="str">
        <f>HYPERLINK("http://bbs.12365auto.com/postcontent.aspx?tID=193578","http://bbs.12365auto.com/postcontent.aspx?tID=193578")</f>
        <v>http://bbs.12365auto.com/postcontent.aspx?tID=193578</v>
      </c>
      <c r="G10343" s="2"/>
      <c r="H10343" s="2" t="s">
        <v>13773</v>
      </c>
      <c r="I10343" s="2" t="s">
        <v>15</v>
      </c>
      <c r="J10343" s="2" t="s">
        <v>590</v>
      </c>
      <c r="K10343" s="2" t="s">
        <v>13771</v>
      </c>
      <c r="L10343" s="2">
        <f t="shared" si="161"/>
        <v>97</v>
      </c>
    </row>
    <row r="10344" spans="1:12" ht="25" customHeight="1">
      <c r="A10344" s="2" t="s">
        <v>12</v>
      </c>
      <c r="B10344" s="2" t="str">
        <f>HYPERLINK("http://www.12365auto.com/xcdg/20200210/418058.shtml","新一代奔驰CLA最新消息 有望于3月上市")</f>
        <v>新一代奔驰CLA最新消息 有望于3月上市</v>
      </c>
      <c r="C10344" s="2" t="s">
        <v>13</v>
      </c>
      <c r="D10344" s="2" t="s">
        <v>12</v>
      </c>
      <c r="E10344" s="2" t="s">
        <v>216</v>
      </c>
      <c r="F10344" s="2" t="str">
        <f>HYPERLINK("http://www.12365auto.com/xcdg/20200210/418058.shtml","http://www.12365auto.com/xcdg/20200210/418058.shtml")</f>
        <v>http://www.12365auto.com/xcdg/20200210/418058.shtml</v>
      </c>
      <c r="G10344" s="2"/>
      <c r="H10344" s="2" t="s">
        <v>13774</v>
      </c>
      <c r="I10344" s="2" t="s">
        <v>15</v>
      </c>
      <c r="J10344" s="2" t="s">
        <v>12</v>
      </c>
      <c r="K10344" s="2" t="s">
        <v>13771</v>
      </c>
      <c r="L10344" s="2">
        <f t="shared" si="161"/>
        <v>150</v>
      </c>
    </row>
    <row r="10345" spans="1:12" ht="25" customHeight="1">
      <c r="A10345" s="2" t="s">
        <v>12</v>
      </c>
      <c r="B10345" s="2" t="str">
        <f>HYPERLINK("http://bbs.12365auto.com/postcontent.aspx?tID=193577","一汽大众宝来更换线束一直没配件")</f>
        <v>一汽大众宝来更换线束一直没配件</v>
      </c>
      <c r="C10345" s="2" t="s">
        <v>13</v>
      </c>
      <c r="D10345" s="2" t="s">
        <v>12</v>
      </c>
      <c r="E10345" s="2" t="s">
        <v>67</v>
      </c>
      <c r="F10345" s="2" t="str">
        <f>HYPERLINK("http://bbs.12365auto.com/postcontent.aspx?tID=193577","http://bbs.12365auto.com/postcontent.aspx?tID=193577")</f>
        <v>http://bbs.12365auto.com/postcontent.aspx?tID=193577</v>
      </c>
      <c r="G10345" s="2"/>
      <c r="H10345" s="2" t="s">
        <v>13775</v>
      </c>
      <c r="I10345" s="2" t="s">
        <v>15</v>
      </c>
      <c r="J10345" s="2" t="s">
        <v>594</v>
      </c>
      <c r="K10345" s="2" t="s">
        <v>13771</v>
      </c>
      <c r="L10345" s="2">
        <f t="shared" si="161"/>
        <v>90</v>
      </c>
    </row>
    <row r="10346" spans="1:12" ht="25" customHeight="1">
      <c r="A10346" s="2" t="s">
        <v>12</v>
      </c>
      <c r="B10346" s="2" t="str">
        <f>HYPERLINK("http://m.12365auto.com/xcdg/20200210/418058.shtml","新一代奔驰CLA最新消息 有望于3月上市")</f>
        <v>新一代奔驰CLA最新消息 有望于3月上市</v>
      </c>
      <c r="C10346" s="2" t="s">
        <v>13</v>
      </c>
      <c r="D10346" s="2" t="s">
        <v>12</v>
      </c>
      <c r="E10346" s="2"/>
      <c r="F10346" s="2" t="str">
        <f>HYPERLINK("http://m.12365auto.com/xcdg/20200210/418058.shtml","http://m.12365auto.com/xcdg/20200210/418058.shtml")</f>
        <v>http://m.12365auto.com/xcdg/20200210/418058.shtml</v>
      </c>
      <c r="G10346" s="2"/>
      <c r="H10346" s="2" t="s">
        <v>13776</v>
      </c>
      <c r="I10346" s="2" t="s">
        <v>19</v>
      </c>
      <c r="J10346" s="2" t="s">
        <v>751</v>
      </c>
      <c r="K10346" s="2" t="s">
        <v>13771</v>
      </c>
      <c r="L10346" s="2">
        <f t="shared" si="161"/>
        <v>150</v>
      </c>
    </row>
    <row r="10347" spans="1:12" ht="25" customHeight="1">
      <c r="A10347" s="2" t="s">
        <v>12</v>
      </c>
      <c r="B10347" s="2" t="str">
        <f>HYPERLINK("http://www.12365auto.com/xcdg/20200210/418057.shtml","千匹马力强势回归 纯电悍马将于5月发布")</f>
        <v>千匹马力强势回归 纯电悍马将于5月发布</v>
      </c>
      <c r="C10347" s="2" t="s">
        <v>13</v>
      </c>
      <c r="D10347" s="2" t="s">
        <v>12</v>
      </c>
      <c r="E10347" s="2" t="s">
        <v>216</v>
      </c>
      <c r="F10347" s="2" t="str">
        <f>HYPERLINK("http://www.12365auto.com/xcdg/20200210/418057.shtml","http://www.12365auto.com/xcdg/20200210/418057.shtml")</f>
        <v>http://www.12365auto.com/xcdg/20200210/418057.shtml</v>
      </c>
      <c r="G10347" s="2"/>
      <c r="H10347" s="2" t="s">
        <v>13777</v>
      </c>
      <c r="I10347" s="2" t="s">
        <v>15</v>
      </c>
      <c r="J10347" s="2" t="s">
        <v>12</v>
      </c>
      <c r="K10347" s="2" t="s">
        <v>13778</v>
      </c>
      <c r="L10347" s="2">
        <f t="shared" si="161"/>
        <v>150</v>
      </c>
    </row>
    <row r="10348" spans="1:12" ht="25" customHeight="1">
      <c r="A10348" s="2" t="s">
        <v>12</v>
      </c>
      <c r="B10348" s="2" t="str">
        <f>HYPERLINK("http://m.12365auto.com/xcdg/20200210/418057.shtml","千匹马力强势回归 纯电悍马将于5月发布")</f>
        <v>千匹马力强势回归 纯电悍马将于5月发布</v>
      </c>
      <c r="C10348" s="2" t="s">
        <v>13</v>
      </c>
      <c r="D10348" s="2" t="s">
        <v>12</v>
      </c>
      <c r="E10348" s="2"/>
      <c r="F10348" s="2" t="str">
        <f>HYPERLINK("http://m.12365auto.com/xcdg/20200210/418057.shtml","http://m.12365auto.com/xcdg/20200210/418057.shtml")</f>
        <v>http://m.12365auto.com/xcdg/20200210/418057.shtml</v>
      </c>
      <c r="G10348" s="2"/>
      <c r="H10348" s="2" t="s">
        <v>13779</v>
      </c>
      <c r="I10348" s="2" t="s">
        <v>19</v>
      </c>
      <c r="J10348" s="2" t="s">
        <v>2077</v>
      </c>
      <c r="K10348" s="2" t="s">
        <v>13778</v>
      </c>
      <c r="L10348" s="2">
        <f t="shared" si="161"/>
        <v>150</v>
      </c>
    </row>
    <row r="10349" spans="1:12" ht="25" customHeight="1">
      <c r="A10349" s="2" t="s">
        <v>12</v>
      </c>
      <c r="B10349" s="2" t="str">
        <f>HYPERLINK("http://www.12365auto.com/xcdg/20200210/418056.shtml","小鹏P7将4月正式上市 预售价24万元起")</f>
        <v>小鹏P7将4月正式上市 预售价24万元起</v>
      </c>
      <c r="C10349" s="2" t="s">
        <v>13</v>
      </c>
      <c r="D10349" s="2" t="s">
        <v>12</v>
      </c>
      <c r="E10349" s="2" t="s">
        <v>216</v>
      </c>
      <c r="F10349" s="2" t="str">
        <f>HYPERLINK("http://www.12365auto.com/xcdg/20200210/418056.shtml","http://www.12365auto.com/xcdg/20200210/418056.shtml")</f>
        <v>http://www.12365auto.com/xcdg/20200210/418056.shtml</v>
      </c>
      <c r="G10349" s="2"/>
      <c r="H10349" s="2" t="s">
        <v>13780</v>
      </c>
      <c r="I10349" s="2" t="s">
        <v>15</v>
      </c>
      <c r="J10349" s="2" t="s">
        <v>12</v>
      </c>
      <c r="K10349" s="2" t="s">
        <v>13781</v>
      </c>
      <c r="L10349" s="2">
        <f t="shared" si="161"/>
        <v>150</v>
      </c>
    </row>
    <row r="10350" spans="1:12" ht="25" customHeight="1">
      <c r="A10350" s="2" t="s">
        <v>12</v>
      </c>
      <c r="B10350" s="2" t="str">
        <f>HYPERLINK("http://www.12365auto.com/xcdg/20200210/418055.shtml","2022年亮相 俄罗斯版“库里南”渲染图曝光")</f>
        <v>2022年亮相 俄罗斯版“库里南”渲染图曝光</v>
      </c>
      <c r="C10350" s="2" t="s">
        <v>13</v>
      </c>
      <c r="D10350" s="2" t="s">
        <v>12</v>
      </c>
      <c r="E10350" s="2" t="s">
        <v>216</v>
      </c>
      <c r="F10350" s="2" t="str">
        <f>HYPERLINK("http://www.12365auto.com/xcdg/20200210/418055.shtml","http://www.12365auto.com/xcdg/20200210/418055.shtml")</f>
        <v>http://www.12365auto.com/xcdg/20200210/418055.shtml</v>
      </c>
      <c r="G10350" s="2"/>
      <c r="H10350" s="2" t="s">
        <v>13782</v>
      </c>
      <c r="I10350" s="2" t="s">
        <v>15</v>
      </c>
      <c r="J10350" s="2" t="s">
        <v>12</v>
      </c>
      <c r="K10350" s="2" t="s">
        <v>13781</v>
      </c>
      <c r="L10350" s="2">
        <f t="shared" si="161"/>
        <v>150</v>
      </c>
    </row>
    <row r="10351" spans="1:12" ht="25" customHeight="1">
      <c r="A10351" s="2" t="s">
        <v>12</v>
      </c>
      <c r="B10351" s="2" t="str">
        <f>HYPERLINK("http://m.12365auto.com/xcdg/20200210/418055.shtml","2022年亮相 俄罗斯版“库里南”渲染图曝光")</f>
        <v>2022年亮相 俄罗斯版“库里南”渲染图曝光</v>
      </c>
      <c r="C10351" s="2" t="s">
        <v>13</v>
      </c>
      <c r="D10351" s="2" t="s">
        <v>12</v>
      </c>
      <c r="E10351" s="2"/>
      <c r="F10351" s="2" t="str">
        <f>HYPERLINK("http://m.12365auto.com/xcdg/20200210/418055.shtml","http://m.12365auto.com/xcdg/20200210/418055.shtml")</f>
        <v>http://m.12365auto.com/xcdg/20200210/418055.shtml</v>
      </c>
      <c r="G10351" s="2"/>
      <c r="H10351" s="2" t="s">
        <v>13783</v>
      </c>
      <c r="I10351" s="2" t="s">
        <v>19</v>
      </c>
      <c r="J10351" s="2" t="s">
        <v>2077</v>
      </c>
      <c r="K10351" s="2" t="s">
        <v>13781</v>
      </c>
      <c r="L10351" s="2">
        <f t="shared" si="161"/>
        <v>150</v>
      </c>
    </row>
    <row r="10352" spans="1:12" ht="25" customHeight="1">
      <c r="A10352" s="2" t="s">
        <v>12</v>
      </c>
      <c r="B10352" s="2" t="str">
        <f>HYPERLINK("http://m.12365auto.com/xcdg/20200210/418056.shtml","小鹏P7将4月正式上市 预售价24万元起")</f>
        <v>小鹏P7将4月正式上市 预售价24万元起</v>
      </c>
      <c r="C10352" s="2" t="s">
        <v>13</v>
      </c>
      <c r="D10352" s="2" t="s">
        <v>12</v>
      </c>
      <c r="E10352" s="2"/>
      <c r="F10352" s="2" t="str">
        <f>HYPERLINK("http://m.12365auto.com/xcdg/20200210/418056.shtml","http://m.12365auto.com/xcdg/20200210/418056.shtml")</f>
        <v>http://m.12365auto.com/xcdg/20200210/418056.shtml</v>
      </c>
      <c r="G10352" s="2"/>
      <c r="H10352" s="2" t="s">
        <v>13784</v>
      </c>
      <c r="I10352" s="2" t="s">
        <v>19</v>
      </c>
      <c r="J10352" s="2" t="s">
        <v>1657</v>
      </c>
      <c r="K10352" s="2" t="s">
        <v>13781</v>
      </c>
      <c r="L10352" s="2">
        <f t="shared" si="161"/>
        <v>150</v>
      </c>
    </row>
    <row r="10353" spans="1:12" ht="25" customHeight="1">
      <c r="A10353" s="2" t="s">
        <v>12</v>
      </c>
      <c r="B10353" s="2" t="str">
        <f>HYPERLINK("http://www.12365auto.com/xcdg/20200210/418054.shtml","长安逸动PLUS于3月17日上市 搭2种动力")</f>
        <v>长安逸动PLUS于3月17日上市 搭2种动力</v>
      </c>
      <c r="C10353" s="2" t="s">
        <v>13</v>
      </c>
      <c r="D10353" s="2" t="s">
        <v>12</v>
      </c>
      <c r="E10353" s="2" t="s">
        <v>216</v>
      </c>
      <c r="F10353" s="2" t="str">
        <f>HYPERLINK("http://www.12365auto.com/xcdg/20200210/418054.shtml","http://www.12365auto.com/xcdg/20200210/418054.shtml")</f>
        <v>http://www.12365auto.com/xcdg/20200210/418054.shtml</v>
      </c>
      <c r="G10353" s="2"/>
      <c r="H10353" s="2" t="s">
        <v>13785</v>
      </c>
      <c r="I10353" s="2" t="s">
        <v>15</v>
      </c>
      <c r="J10353" s="2" t="s">
        <v>12</v>
      </c>
      <c r="K10353" s="2" t="s">
        <v>13786</v>
      </c>
      <c r="L10353" s="2">
        <f t="shared" si="161"/>
        <v>150</v>
      </c>
    </row>
    <row r="10354" spans="1:12" ht="25" customHeight="1">
      <c r="A10354" s="2" t="s">
        <v>12</v>
      </c>
      <c r="B10354" s="2" t="str">
        <f>HYPERLINK("http://m.12365auto.com/xcdg/20200210/418054.shtml","长安逸动PLUS于3月17日上市 搭2种动力")</f>
        <v>长安逸动PLUS于3月17日上市 搭2种动力</v>
      </c>
      <c r="C10354" s="2" t="s">
        <v>13</v>
      </c>
      <c r="D10354" s="2" t="s">
        <v>12</v>
      </c>
      <c r="E10354" s="2"/>
      <c r="F10354" s="2" t="str">
        <f>HYPERLINK("http://m.12365auto.com/xcdg/20200210/418054.shtml","http://m.12365auto.com/xcdg/20200210/418054.shtml")</f>
        <v>http://m.12365auto.com/xcdg/20200210/418054.shtml</v>
      </c>
      <c r="G10354" s="2"/>
      <c r="H10354" s="2" t="s">
        <v>13787</v>
      </c>
      <c r="I10354" s="2" t="s">
        <v>19</v>
      </c>
      <c r="J10354" s="2" t="s">
        <v>1657</v>
      </c>
      <c r="K10354" s="2" t="s">
        <v>13786</v>
      </c>
      <c r="L10354" s="2">
        <f t="shared" si="161"/>
        <v>150</v>
      </c>
    </row>
    <row r="10355" spans="1:12" ht="25" customHeight="1">
      <c r="A10355" s="2" t="s">
        <v>12</v>
      </c>
      <c r="B10355" s="2" t="str">
        <f>HYPERLINK("http://www.12365auto.com/xcdg/20200210/418090.shtml","新款大众Polo三厢版渲染图曝光 采用家族风格")</f>
        <v>新款大众Polo三厢版渲染图曝光 采用家族风格</v>
      </c>
      <c r="C10355" s="2" t="s">
        <v>13</v>
      </c>
      <c r="D10355" s="2" t="s">
        <v>12</v>
      </c>
      <c r="E10355" s="2" t="s">
        <v>245</v>
      </c>
      <c r="F10355" s="2" t="str">
        <f>HYPERLINK("http://www.12365auto.com/xcdg/20200210/418090.shtml","http://www.12365auto.com/xcdg/20200210/418090.shtml")</f>
        <v>http://www.12365auto.com/xcdg/20200210/418090.shtml</v>
      </c>
      <c r="G10355" s="2"/>
      <c r="H10355" s="2" t="s">
        <v>13788</v>
      </c>
      <c r="I10355" s="2" t="s">
        <v>19</v>
      </c>
      <c r="J10355" s="2" t="s">
        <v>12</v>
      </c>
      <c r="K10355" s="2" t="s">
        <v>13789</v>
      </c>
      <c r="L10355" s="2">
        <f t="shared" si="161"/>
        <v>150</v>
      </c>
    </row>
    <row r="10356" spans="1:12" ht="25" customHeight="1">
      <c r="A10356" s="2" t="s">
        <v>12</v>
      </c>
      <c r="B10356" s="2" t="str">
        <f>HYPERLINK("http://m.12365auto.com/xcdg/20200210/418090.shtml","新款大众Polo三厢版渲染图曝光 采用家族风格")</f>
        <v>新款大众Polo三厢版渲染图曝光 采用家族风格</v>
      </c>
      <c r="C10356" s="2" t="s">
        <v>13</v>
      </c>
      <c r="D10356" s="2" t="s">
        <v>12</v>
      </c>
      <c r="E10356" s="2"/>
      <c r="F10356" s="2" t="str">
        <f>HYPERLINK("http://m.12365auto.com/xcdg/20200210/418090.shtml","http://m.12365auto.com/xcdg/20200210/418090.shtml")</f>
        <v>http://m.12365auto.com/xcdg/20200210/418090.shtml</v>
      </c>
      <c r="G10356" s="2"/>
      <c r="H10356" s="2" t="s">
        <v>13790</v>
      </c>
      <c r="I10356" s="2" t="s">
        <v>19</v>
      </c>
      <c r="J10356" s="2" t="s">
        <v>1241</v>
      </c>
      <c r="K10356" s="2" t="s">
        <v>13789</v>
      </c>
      <c r="L10356" s="2">
        <f t="shared" si="161"/>
        <v>150</v>
      </c>
    </row>
    <row r="10357" spans="1:12" ht="25" customHeight="1">
      <c r="A10357" s="2" t="s">
        <v>12</v>
      </c>
      <c r="B10357" s="2" t="str">
        <f>HYPERLINK("http://www.12365auto.com/xcdg/20200210/418053.shtml","全新福特蒙迪欧2021年发布 新增跨界版车型")</f>
        <v>全新福特蒙迪欧2021年发布 新增跨界版车型</v>
      </c>
      <c r="C10357" s="2" t="s">
        <v>13</v>
      </c>
      <c r="D10357" s="2" t="s">
        <v>12</v>
      </c>
      <c r="E10357" s="2" t="s">
        <v>216</v>
      </c>
      <c r="F10357" s="2" t="str">
        <f>HYPERLINK("http://www.12365auto.com/xcdg/20200210/418053.shtml","http://www.12365auto.com/xcdg/20200210/418053.shtml")</f>
        <v>http://www.12365auto.com/xcdg/20200210/418053.shtml</v>
      </c>
      <c r="G10357" s="2"/>
      <c r="H10357" s="2" t="s">
        <v>13791</v>
      </c>
      <c r="I10357" s="2" t="s">
        <v>15</v>
      </c>
      <c r="J10357" s="2" t="s">
        <v>12</v>
      </c>
      <c r="K10357" s="2" t="s">
        <v>13789</v>
      </c>
      <c r="L10357" s="2">
        <f t="shared" si="161"/>
        <v>150</v>
      </c>
    </row>
    <row r="10358" spans="1:12" ht="25" customHeight="1">
      <c r="A10358" s="2" t="s">
        <v>12</v>
      </c>
      <c r="B10358" s="2" t="str">
        <f>HYPERLINK("http://m.12365auto.com/xcdg/20200210/418053.shtml","全新福特蒙迪欧2021年发布 新增跨界版车型")</f>
        <v>全新福特蒙迪欧2021年发布 新增跨界版车型</v>
      </c>
      <c r="C10358" s="2" t="s">
        <v>13</v>
      </c>
      <c r="D10358" s="2" t="s">
        <v>12</v>
      </c>
      <c r="E10358" s="2"/>
      <c r="F10358" s="2" t="str">
        <f>HYPERLINK("http://m.12365auto.com/xcdg/20200210/418053.shtml","http://m.12365auto.com/xcdg/20200210/418053.shtml")</f>
        <v>http://m.12365auto.com/xcdg/20200210/418053.shtml</v>
      </c>
      <c r="G10358" s="2"/>
      <c r="H10358" s="2" t="s">
        <v>13792</v>
      </c>
      <c r="I10358" s="2" t="s">
        <v>19</v>
      </c>
      <c r="J10358" s="2" t="s">
        <v>13422</v>
      </c>
      <c r="K10358" s="2" t="s">
        <v>13789</v>
      </c>
      <c r="L10358" s="2">
        <f t="shared" si="161"/>
        <v>150</v>
      </c>
    </row>
    <row r="10359" spans="1:12" ht="25" customHeight="1">
      <c r="A10359" s="2" t="s">
        <v>12</v>
      </c>
      <c r="B10359" s="2" t="str">
        <f>HYPERLINK("http://bbs.12365auto.com/postcontent.aspx?tId=193576","三款20万级中型车该选谁？")</f>
        <v>三款20万级中型车该选谁？</v>
      </c>
      <c r="C10359" s="2" t="s">
        <v>13</v>
      </c>
      <c r="D10359" s="2" t="s">
        <v>12</v>
      </c>
      <c r="E10359" s="2" t="s">
        <v>27</v>
      </c>
      <c r="F10359" s="2" t="str">
        <f>HYPERLINK("http://bbs.12365auto.com/postcontent.aspx?tId=193576","http://bbs.12365auto.com/postcontent.aspx?tId=193576")</f>
        <v>http://bbs.12365auto.com/postcontent.aspx?tId=193576</v>
      </c>
      <c r="G10359" s="2"/>
      <c r="H10359" s="2" t="s">
        <v>13793</v>
      </c>
      <c r="I10359" s="2" t="s">
        <v>15</v>
      </c>
      <c r="J10359" s="2" t="s">
        <v>3089</v>
      </c>
      <c r="K10359" s="2" t="s">
        <v>13794</v>
      </c>
      <c r="L10359" s="2">
        <f t="shared" si="161"/>
        <v>150</v>
      </c>
    </row>
    <row r="10360" spans="1:12" ht="25" customHeight="1">
      <c r="A10360" s="2" t="s">
        <v>12</v>
      </c>
      <c r="B10360" s="2" t="str">
        <f>HYPERLINK("http://bbs.12365auto.com/postcontent.aspx?tID=193576","三款20万级中型车该选谁？")</f>
        <v>三款20万级中型车该选谁？</v>
      </c>
      <c r="C10360" s="2" t="s">
        <v>13</v>
      </c>
      <c r="D10360" s="2" t="s">
        <v>12</v>
      </c>
      <c r="E10360" s="2" t="s">
        <v>28</v>
      </c>
      <c r="F10360" s="2" t="str">
        <f>HYPERLINK("http://bbs.12365auto.com/postcontent.aspx?tID=193576","http://bbs.12365auto.com/postcontent.aspx?tID=193576")</f>
        <v>http://bbs.12365auto.com/postcontent.aspx?tID=193576</v>
      </c>
      <c r="G10360" s="2"/>
      <c r="H10360" s="2" t="s">
        <v>13795</v>
      </c>
      <c r="I10360" s="2" t="s">
        <v>15</v>
      </c>
      <c r="J10360" s="2" t="s">
        <v>3089</v>
      </c>
      <c r="K10360" s="2" t="s">
        <v>13794</v>
      </c>
      <c r="L10360" s="2">
        <f t="shared" si="161"/>
        <v>150</v>
      </c>
    </row>
    <row r="10361" spans="1:12" ht="25" customHeight="1">
      <c r="A10361" s="2" t="s">
        <v>12</v>
      </c>
      <c r="B10361" s="2" t="str">
        <f>HYPERLINK("http://m.12365auto.com/bbs/postcontent.aspx?tID=193576","三款20万级中型车该选谁？")</f>
        <v>三款20万级中型车该选谁？</v>
      </c>
      <c r="C10361" s="2" t="s">
        <v>13</v>
      </c>
      <c r="D10361" s="2" t="s">
        <v>23</v>
      </c>
      <c r="E10361" s="2"/>
      <c r="F10361" s="2" t="str">
        <f>HYPERLINK("http://m.12365auto.com/bbs/postcontent.aspx?tID=193576","http://m.12365auto.com/bbs/postcontent.aspx?tID=193576")</f>
        <v>http://m.12365auto.com/bbs/postcontent.aspx?tID=193576</v>
      </c>
      <c r="G10361" s="2"/>
      <c r="H10361" s="2" t="s">
        <v>13793</v>
      </c>
      <c r="I10361" s="2" t="s">
        <v>15</v>
      </c>
      <c r="J10361" s="2" t="s">
        <v>3089</v>
      </c>
      <c r="K10361" s="2" t="s">
        <v>13794</v>
      </c>
      <c r="L10361" s="2">
        <f t="shared" si="161"/>
        <v>150</v>
      </c>
    </row>
    <row r="10362" spans="1:12" ht="25" customHeight="1">
      <c r="A10362" s="2" t="s">
        <v>12</v>
      </c>
      <c r="B10362" s="2" t="str">
        <f>HYPERLINK("http://www.12365auto.com/xcdg/20200210/418068.shtml","提供两种续航版本 零跑T03将于上半年上市")</f>
        <v>提供两种续航版本 零跑T03将于上半年上市</v>
      </c>
      <c r="C10362" s="2" t="s">
        <v>13</v>
      </c>
      <c r="D10362" s="2" t="s">
        <v>12</v>
      </c>
      <c r="E10362" s="2" t="s">
        <v>216</v>
      </c>
      <c r="F10362" s="2" t="str">
        <f>HYPERLINK("http://www.12365auto.com/xcdg/20200210/418068.shtml","http://www.12365auto.com/xcdg/20200210/418068.shtml")</f>
        <v>http://www.12365auto.com/xcdg/20200210/418068.shtml</v>
      </c>
      <c r="G10362" s="2"/>
      <c r="H10362" s="2" t="s">
        <v>13796</v>
      </c>
      <c r="I10362" s="2" t="s">
        <v>15</v>
      </c>
      <c r="J10362" s="2" t="s">
        <v>12</v>
      </c>
      <c r="K10362" s="2" t="s">
        <v>13794</v>
      </c>
      <c r="L10362" s="2">
        <f t="shared" si="161"/>
        <v>150</v>
      </c>
    </row>
    <row r="10363" spans="1:12" ht="25" customHeight="1">
      <c r="A10363" s="2" t="s">
        <v>12</v>
      </c>
      <c r="B10363" s="2" t="str">
        <f>HYPERLINK("http://m.12365auto.com/xcdg/20200210/418052.shtml","奔驰全新SL谍照曝光 与AMG GT共享平台")</f>
        <v>奔驰全新SL谍照曝光 与AMG GT共享平台</v>
      </c>
      <c r="C10363" s="2" t="s">
        <v>13</v>
      </c>
      <c r="D10363" s="2" t="s">
        <v>12</v>
      </c>
      <c r="E10363" s="2"/>
      <c r="F10363" s="2" t="str">
        <f>HYPERLINK("http://m.12365auto.com/xcdg/20200210/418052.shtml","http://m.12365auto.com/xcdg/20200210/418052.shtml")</f>
        <v>http://m.12365auto.com/xcdg/20200210/418052.shtml</v>
      </c>
      <c r="G10363" s="2"/>
      <c r="H10363" s="2" t="s">
        <v>13797</v>
      </c>
      <c r="I10363" s="2" t="s">
        <v>19</v>
      </c>
      <c r="J10363" s="2" t="s">
        <v>13422</v>
      </c>
      <c r="K10363" s="2" t="s">
        <v>13798</v>
      </c>
      <c r="L10363" s="2">
        <f t="shared" si="161"/>
        <v>150</v>
      </c>
    </row>
    <row r="10364" spans="1:12" ht="25" customHeight="1">
      <c r="A10364" s="2" t="s">
        <v>12</v>
      </c>
      <c r="B10364" s="2" t="str">
        <f>HYPERLINK("http://www.12365auto.com/xcdg/20200210/418052.shtml","奔驰全新SL谍照曝光 与AMG GT共享平台")</f>
        <v>奔驰全新SL谍照曝光 与AMG GT共享平台</v>
      </c>
      <c r="C10364" s="2" t="s">
        <v>13</v>
      </c>
      <c r="D10364" s="2" t="s">
        <v>12</v>
      </c>
      <c r="E10364" s="2" t="s">
        <v>224</v>
      </c>
      <c r="F10364" s="2" t="str">
        <f>HYPERLINK("http://www.12365auto.com/xcdg/20200210/418052.shtml","http://www.12365auto.com/xcdg/20200210/418052.shtml")</f>
        <v>http://www.12365auto.com/xcdg/20200210/418052.shtml</v>
      </c>
      <c r="G10364" s="2"/>
      <c r="H10364" s="2" t="s">
        <v>13799</v>
      </c>
      <c r="I10364" s="2" t="s">
        <v>15</v>
      </c>
      <c r="J10364" s="2" t="s">
        <v>12</v>
      </c>
      <c r="K10364" s="2" t="s">
        <v>13798</v>
      </c>
      <c r="L10364" s="2">
        <f t="shared" si="161"/>
        <v>150</v>
      </c>
    </row>
    <row r="10365" spans="1:12" ht="25" customHeight="1">
      <c r="A10365" s="2" t="s">
        <v>12</v>
      </c>
      <c r="B10365" s="2" t="str">
        <f>HYPERLINK("http://bbs.12365auto.com/postcontent.aspx?tID=193575","互联网汽车 荣威RX5值不值得买？")</f>
        <v>互联网汽车 荣威RX5值不值得买？</v>
      </c>
      <c r="C10365" s="2" t="s">
        <v>13</v>
      </c>
      <c r="D10365" s="2" t="s">
        <v>12</v>
      </c>
      <c r="E10365" s="2" t="s">
        <v>28</v>
      </c>
      <c r="F10365" s="2" t="str">
        <f>HYPERLINK("http://bbs.12365auto.com/postcontent.aspx?tID=193575","http://bbs.12365auto.com/postcontent.aspx?tID=193575")</f>
        <v>http://bbs.12365auto.com/postcontent.aspx?tID=193575</v>
      </c>
      <c r="G10365" s="2"/>
      <c r="H10365" s="2" t="s">
        <v>13800</v>
      </c>
      <c r="I10365" s="2" t="s">
        <v>15</v>
      </c>
      <c r="J10365" s="2" t="s">
        <v>3089</v>
      </c>
      <c r="K10365" s="2" t="s">
        <v>13801</v>
      </c>
      <c r="L10365" s="2">
        <f t="shared" si="161"/>
        <v>150</v>
      </c>
    </row>
    <row r="10366" spans="1:12" ht="25" customHeight="1">
      <c r="A10366" s="2" t="s">
        <v>12</v>
      </c>
      <c r="B10366" s="2" t="str">
        <f>HYPERLINK("http://bbs.12365auto.com/postcontent.aspx?tID=193574","纯电动SUV 奇瑞瑞虎e值不值得买？")</f>
        <v>纯电动SUV 奇瑞瑞虎e值不值得买？</v>
      </c>
      <c r="C10366" s="2" t="s">
        <v>13</v>
      </c>
      <c r="D10366" s="2" t="s">
        <v>12</v>
      </c>
      <c r="E10366" s="2" t="s">
        <v>28</v>
      </c>
      <c r="F10366" s="2" t="str">
        <f>HYPERLINK("http://bbs.12365auto.com/postcontent.aspx?tID=193574","http://bbs.12365auto.com/postcontent.aspx?tID=193574")</f>
        <v>http://bbs.12365auto.com/postcontent.aspx?tID=193574</v>
      </c>
      <c r="G10366" s="2"/>
      <c r="H10366" s="2" t="s">
        <v>13802</v>
      </c>
      <c r="I10366" s="2" t="s">
        <v>15</v>
      </c>
      <c r="J10366" s="2" t="s">
        <v>3089</v>
      </c>
      <c r="K10366" s="2" t="s">
        <v>13801</v>
      </c>
      <c r="L10366" s="2">
        <f t="shared" si="161"/>
        <v>150</v>
      </c>
    </row>
    <row r="10367" spans="1:12" ht="25" customHeight="1">
      <c r="A10367" s="2" t="s">
        <v>12</v>
      </c>
      <c r="B10367" s="2" t="str">
        <f>HYPERLINK("http://m.12365auto.com/xcdg/20200210/418050.shtml","Ghibli将4月发布 玛莎拉蒂开启电气化战略")</f>
        <v>Ghibli将4月发布 玛莎拉蒂开启电气化战略</v>
      </c>
      <c r="C10367" s="2" t="s">
        <v>13</v>
      </c>
      <c r="D10367" s="2" t="s">
        <v>12</v>
      </c>
      <c r="E10367" s="2"/>
      <c r="F10367" s="2" t="str">
        <f>HYPERLINK("http://m.12365auto.com/xcdg/20200210/418050.shtml","http://m.12365auto.com/xcdg/20200210/418050.shtml")</f>
        <v>http://m.12365auto.com/xcdg/20200210/418050.shtml</v>
      </c>
      <c r="G10367" s="2"/>
      <c r="H10367" s="2" t="s">
        <v>13803</v>
      </c>
      <c r="I10367" s="2" t="s">
        <v>19</v>
      </c>
      <c r="J10367" s="2" t="s">
        <v>1558</v>
      </c>
      <c r="K10367" s="2" t="s">
        <v>13801</v>
      </c>
      <c r="L10367" s="2">
        <f t="shared" si="161"/>
        <v>150</v>
      </c>
    </row>
    <row r="10368" spans="1:12" ht="25" customHeight="1">
      <c r="A10368" s="2" t="s">
        <v>12</v>
      </c>
      <c r="B10368" s="2" t="str">
        <f>HYPERLINK("http://www.12365auto.com/xcdg/20200210/418050.shtml","Ghibli将4月发布 玛莎拉蒂开启电气化战略")</f>
        <v>Ghibli将4月发布 玛莎拉蒂开启电气化战略</v>
      </c>
      <c r="C10368" s="2" t="s">
        <v>13</v>
      </c>
      <c r="D10368" s="2" t="s">
        <v>12</v>
      </c>
      <c r="E10368" s="2" t="s">
        <v>216</v>
      </c>
      <c r="F10368" s="2" t="str">
        <f>HYPERLINK("http://www.12365auto.com/xcdg/20200210/418050.shtml","http://www.12365auto.com/xcdg/20200210/418050.shtml")</f>
        <v>http://www.12365auto.com/xcdg/20200210/418050.shtml</v>
      </c>
      <c r="G10368" s="2"/>
      <c r="H10368" s="2" t="s">
        <v>13804</v>
      </c>
      <c r="I10368" s="2" t="s">
        <v>15</v>
      </c>
      <c r="J10368" s="2" t="s">
        <v>12</v>
      </c>
      <c r="K10368" s="2" t="s">
        <v>13801</v>
      </c>
      <c r="L10368" s="2">
        <f t="shared" si="161"/>
        <v>150</v>
      </c>
    </row>
    <row r="10369" spans="1:12" ht="25" customHeight="1">
      <c r="A10369" s="2" t="s">
        <v>12</v>
      </c>
      <c r="B10369" s="2" t="str">
        <f>HYPERLINK("http://bbs.12365auto.com/postcontent.aspx?tId=193575","互联网汽车 荣威RX5值不值得买？")</f>
        <v>互联网汽车 荣威RX5值不值得买？</v>
      </c>
      <c r="C10369" s="2" t="s">
        <v>13</v>
      </c>
      <c r="D10369" s="2" t="s">
        <v>12</v>
      </c>
      <c r="E10369" s="2" t="s">
        <v>27</v>
      </c>
      <c r="F10369" s="2" t="str">
        <f>HYPERLINK("http://bbs.12365auto.com/postcontent.aspx?tId=193575","http://bbs.12365auto.com/postcontent.aspx?tId=193575")</f>
        <v>http://bbs.12365auto.com/postcontent.aspx?tId=193575</v>
      </c>
      <c r="G10369" s="2"/>
      <c r="H10369" s="2" t="s">
        <v>13805</v>
      </c>
      <c r="I10369" s="2" t="s">
        <v>15</v>
      </c>
      <c r="J10369" s="2" t="s">
        <v>3089</v>
      </c>
      <c r="K10369" s="2" t="s">
        <v>13801</v>
      </c>
      <c r="L10369" s="2">
        <f t="shared" si="161"/>
        <v>150</v>
      </c>
    </row>
    <row r="10370" spans="1:12" ht="25" customHeight="1">
      <c r="A10370" s="2" t="s">
        <v>12</v>
      </c>
      <c r="B10370" s="2" t="str">
        <f>HYPERLINK("http://bbs.12365auto.com/postcontent.aspx?tId=193574","纯电动SUV 奇瑞瑞虎e值不值得买？")</f>
        <v>纯电动SUV 奇瑞瑞虎e值不值得买？</v>
      </c>
      <c r="C10370" s="2" t="s">
        <v>13</v>
      </c>
      <c r="D10370" s="2" t="s">
        <v>12</v>
      </c>
      <c r="E10370" s="2" t="s">
        <v>27</v>
      </c>
      <c r="F10370" s="2" t="str">
        <f>HYPERLINK("http://bbs.12365auto.com/postcontent.aspx?tId=193574","http://bbs.12365auto.com/postcontent.aspx?tId=193574")</f>
        <v>http://bbs.12365auto.com/postcontent.aspx?tId=193574</v>
      </c>
      <c r="G10370" s="2"/>
      <c r="H10370" s="2" t="s">
        <v>13806</v>
      </c>
      <c r="I10370" s="2" t="s">
        <v>15</v>
      </c>
      <c r="J10370" s="2" t="s">
        <v>3089</v>
      </c>
      <c r="K10370" s="2" t="s">
        <v>13801</v>
      </c>
      <c r="L10370" s="2">
        <f t="shared" si="161"/>
        <v>150</v>
      </c>
    </row>
    <row r="10371" spans="1:12" ht="25" customHeight="1">
      <c r="A10371" s="2" t="s">
        <v>12</v>
      </c>
      <c r="B10371" s="2" t="str">
        <f>HYPERLINK("http://m.12365auto.com/bbs/postcontent.aspx?tID=193575","互联网汽车 荣威RX5值不值得买？")</f>
        <v>互联网汽车 荣威RX5值不值得买？</v>
      </c>
      <c r="C10371" s="2" t="s">
        <v>13</v>
      </c>
      <c r="D10371" s="2" t="s">
        <v>23</v>
      </c>
      <c r="E10371" s="2"/>
      <c r="F10371" s="2" t="str">
        <f>HYPERLINK("http://m.12365auto.com/bbs/postcontent.aspx?tID=193575","http://m.12365auto.com/bbs/postcontent.aspx?tID=193575")</f>
        <v>http://m.12365auto.com/bbs/postcontent.aspx?tID=193575</v>
      </c>
      <c r="G10371" s="2"/>
      <c r="H10371" s="2" t="s">
        <v>13805</v>
      </c>
      <c r="I10371" s="2" t="s">
        <v>15</v>
      </c>
      <c r="J10371" s="2" t="s">
        <v>3089</v>
      </c>
      <c r="K10371" s="2" t="s">
        <v>13801</v>
      </c>
      <c r="L10371" s="2">
        <f t="shared" ref="L10371:L10434" si="162">LEN(H10371)</f>
        <v>150</v>
      </c>
    </row>
    <row r="10372" spans="1:12" ht="25" customHeight="1">
      <c r="A10372" s="2" t="s">
        <v>12</v>
      </c>
      <c r="B10372" s="2" t="str">
        <f>HYPERLINK("http://m.12365auto.com/bbs/postcontent.aspx?tID=193574","纯电动SUV 奇瑞瑞虎e值不值得买？")</f>
        <v>纯电动SUV 奇瑞瑞虎e值不值得买？</v>
      </c>
      <c r="C10372" s="2" t="s">
        <v>13</v>
      </c>
      <c r="D10372" s="2" t="s">
        <v>23</v>
      </c>
      <c r="E10372" s="2"/>
      <c r="F10372" s="2" t="str">
        <f>HYPERLINK("http://m.12365auto.com/bbs/postcontent.aspx?tID=193574","http://m.12365auto.com/bbs/postcontent.aspx?tID=193574")</f>
        <v>http://m.12365auto.com/bbs/postcontent.aspx?tID=193574</v>
      </c>
      <c r="G10372" s="2"/>
      <c r="H10372" s="2" t="s">
        <v>13806</v>
      </c>
      <c r="I10372" s="2" t="s">
        <v>15</v>
      </c>
      <c r="J10372" s="2" t="s">
        <v>3089</v>
      </c>
      <c r="K10372" s="2" t="s">
        <v>13801</v>
      </c>
      <c r="L10372" s="2">
        <f t="shared" si="162"/>
        <v>150</v>
      </c>
    </row>
    <row r="10373" spans="1:12" ht="25" customHeight="1">
      <c r="A10373" s="2" t="s">
        <v>12</v>
      </c>
      <c r="B10373" s="2" t="str">
        <f>HYPERLINK("http://bbs.12365auto.com/postcontent.aspx?tID=193573","2019款东风标致5008值不值得买")</f>
        <v>2019款东风标致5008值不值得买</v>
      </c>
      <c r="C10373" s="2" t="s">
        <v>13</v>
      </c>
      <c r="D10373" s="2" t="s">
        <v>12</v>
      </c>
      <c r="E10373" s="2" t="s">
        <v>28</v>
      </c>
      <c r="F10373" s="2" t="str">
        <f>HYPERLINK("http://bbs.12365auto.com/postcontent.aspx?tID=193573","http://bbs.12365auto.com/postcontent.aspx?tID=193573")</f>
        <v>http://bbs.12365auto.com/postcontent.aspx?tID=193573</v>
      </c>
      <c r="G10373" s="2"/>
      <c r="H10373" s="2" t="s">
        <v>13807</v>
      </c>
      <c r="I10373" s="2" t="s">
        <v>15</v>
      </c>
      <c r="J10373" s="2" t="s">
        <v>3089</v>
      </c>
      <c r="K10373" s="2" t="s">
        <v>13808</v>
      </c>
      <c r="L10373" s="2">
        <f t="shared" si="162"/>
        <v>150</v>
      </c>
    </row>
    <row r="10374" spans="1:12" ht="25" customHeight="1">
      <c r="A10374" s="2" t="s">
        <v>12</v>
      </c>
      <c r="B10374" s="2" t="str">
        <f>HYPERLINK("http://m.12365auto.com/xcdg/20200210/418049.shtml","预计3月首发 长安UNI-T轿跑SUV内饰曝光")</f>
        <v>预计3月首发 长安UNI-T轿跑SUV内饰曝光</v>
      </c>
      <c r="C10374" s="2" t="s">
        <v>13</v>
      </c>
      <c r="D10374" s="2" t="s">
        <v>12</v>
      </c>
      <c r="E10374" s="2"/>
      <c r="F10374" s="2" t="str">
        <f>HYPERLINK("http://m.12365auto.com/xcdg/20200210/418049.shtml","http://m.12365auto.com/xcdg/20200210/418049.shtml")</f>
        <v>http://m.12365auto.com/xcdg/20200210/418049.shtml</v>
      </c>
      <c r="G10374" s="2"/>
      <c r="H10374" s="2" t="s">
        <v>13809</v>
      </c>
      <c r="I10374" s="2" t="s">
        <v>19</v>
      </c>
      <c r="J10374" s="2" t="s">
        <v>1558</v>
      </c>
      <c r="K10374" s="2" t="s">
        <v>13808</v>
      </c>
      <c r="L10374" s="2">
        <f t="shared" si="162"/>
        <v>150</v>
      </c>
    </row>
    <row r="10375" spans="1:12" ht="25" customHeight="1">
      <c r="A10375" s="2" t="s">
        <v>12</v>
      </c>
      <c r="B10375" s="2" t="str">
        <f>HYPERLINK("http://www.12365auto.com/xcdg/20200210/418049.shtml","预计3月首发 长安UNI-T轿跑SUV内饰曝光")</f>
        <v>预计3月首发 长安UNI-T轿跑SUV内饰曝光</v>
      </c>
      <c r="C10375" s="2" t="s">
        <v>13</v>
      </c>
      <c r="D10375" s="2" t="s">
        <v>12</v>
      </c>
      <c r="E10375" s="2" t="s">
        <v>216</v>
      </c>
      <c r="F10375" s="2" t="str">
        <f>HYPERLINK("http://www.12365auto.com/xcdg/20200210/418049.shtml","http://www.12365auto.com/xcdg/20200210/418049.shtml")</f>
        <v>http://www.12365auto.com/xcdg/20200210/418049.shtml</v>
      </c>
      <c r="G10375" s="2"/>
      <c r="H10375" s="2" t="s">
        <v>13810</v>
      </c>
      <c r="I10375" s="2" t="s">
        <v>15</v>
      </c>
      <c r="J10375" s="2" t="s">
        <v>12</v>
      </c>
      <c r="K10375" s="2" t="s">
        <v>13808</v>
      </c>
      <c r="L10375" s="2">
        <f t="shared" si="162"/>
        <v>150</v>
      </c>
    </row>
    <row r="10376" spans="1:12" ht="25" customHeight="1">
      <c r="A10376" s="2" t="s">
        <v>12</v>
      </c>
      <c r="B10376" s="2" t="str">
        <f>HYPERLINK("http://bbs.12365auto.com/postcontent.aspx?tId=193573","2019款东风标致5008值不值得买")</f>
        <v>2019款东风标致5008值不值得买</v>
      </c>
      <c r="C10376" s="2" t="s">
        <v>13</v>
      </c>
      <c r="D10376" s="2" t="s">
        <v>12</v>
      </c>
      <c r="E10376" s="2" t="s">
        <v>27</v>
      </c>
      <c r="F10376" s="2" t="str">
        <f>HYPERLINK("http://bbs.12365auto.com/postcontent.aspx?tId=193573","http://bbs.12365auto.com/postcontent.aspx?tId=193573")</f>
        <v>http://bbs.12365auto.com/postcontent.aspx?tId=193573</v>
      </c>
      <c r="G10376" s="2"/>
      <c r="H10376" s="2" t="s">
        <v>13811</v>
      </c>
      <c r="I10376" s="2" t="s">
        <v>15</v>
      </c>
      <c r="J10376" s="2" t="s">
        <v>3089</v>
      </c>
      <c r="K10376" s="2" t="s">
        <v>13808</v>
      </c>
      <c r="L10376" s="2">
        <f t="shared" si="162"/>
        <v>150</v>
      </c>
    </row>
    <row r="10377" spans="1:12" ht="25" customHeight="1">
      <c r="A10377" s="2" t="s">
        <v>12</v>
      </c>
      <c r="B10377" s="2" t="str">
        <f>HYPERLINK("http://m.12365auto.com/bbs/postcontent.aspx?tID=193573","2019款东风标致5008值不值得买")</f>
        <v>2019款东风标致5008值不值得买</v>
      </c>
      <c r="C10377" s="2" t="s">
        <v>13</v>
      </c>
      <c r="D10377" s="2" t="s">
        <v>23</v>
      </c>
      <c r="E10377" s="2"/>
      <c r="F10377" s="2" t="str">
        <f>HYPERLINK("http://m.12365auto.com/bbs/postcontent.aspx?tID=193573","http://m.12365auto.com/bbs/postcontent.aspx?tID=193573")</f>
        <v>http://m.12365auto.com/bbs/postcontent.aspx?tID=193573</v>
      </c>
      <c r="G10377" s="2"/>
      <c r="H10377" s="2" t="s">
        <v>13811</v>
      </c>
      <c r="I10377" s="2" t="s">
        <v>15</v>
      </c>
      <c r="J10377" s="2" t="s">
        <v>3089</v>
      </c>
      <c r="K10377" s="2" t="s">
        <v>13808</v>
      </c>
      <c r="L10377" s="2">
        <f t="shared" si="162"/>
        <v>150</v>
      </c>
    </row>
    <row r="10378" spans="1:12" ht="25" customHeight="1">
      <c r="A10378" s="2" t="s">
        <v>12</v>
      </c>
      <c r="B10378" s="2" t="str">
        <f>HYPERLINK("http://m.12365auto.com/xcdg/20200210/418048.shtml","2月18日上市 全新一代瑞虎7配置信息曝光")</f>
        <v>2月18日上市 全新一代瑞虎7配置信息曝光</v>
      </c>
      <c r="C10378" s="2" t="s">
        <v>13</v>
      </c>
      <c r="D10378" s="2" t="s">
        <v>12</v>
      </c>
      <c r="E10378" s="2"/>
      <c r="F10378" s="2" t="str">
        <f>HYPERLINK("http://m.12365auto.com/xcdg/20200210/418048.shtml","http://m.12365auto.com/xcdg/20200210/418048.shtml")</f>
        <v>http://m.12365auto.com/xcdg/20200210/418048.shtml</v>
      </c>
      <c r="G10378" s="2"/>
      <c r="H10378" s="2" t="s">
        <v>13812</v>
      </c>
      <c r="I10378" s="2" t="s">
        <v>19</v>
      </c>
      <c r="J10378" s="2" t="s">
        <v>1558</v>
      </c>
      <c r="K10378" s="2" t="s">
        <v>13813</v>
      </c>
      <c r="L10378" s="2">
        <f t="shared" si="162"/>
        <v>150</v>
      </c>
    </row>
    <row r="10379" spans="1:12" ht="25" customHeight="1">
      <c r="A10379" s="2" t="s">
        <v>12</v>
      </c>
      <c r="B10379" s="2" t="str">
        <f>HYPERLINK("http://www.12365auto.com/xcdg/20200210/418048.shtml","2月18日上市 全新一代瑞虎7配置信息曝光")</f>
        <v>2月18日上市 全新一代瑞虎7配置信息曝光</v>
      </c>
      <c r="C10379" s="2" t="s">
        <v>13</v>
      </c>
      <c r="D10379" s="2" t="s">
        <v>12</v>
      </c>
      <c r="E10379" s="2" t="s">
        <v>216</v>
      </c>
      <c r="F10379" s="2" t="str">
        <f>HYPERLINK("http://www.12365auto.com/xcdg/20200210/418048.shtml","http://www.12365auto.com/xcdg/20200210/418048.shtml")</f>
        <v>http://www.12365auto.com/xcdg/20200210/418048.shtml</v>
      </c>
      <c r="G10379" s="2"/>
      <c r="H10379" s="2" t="s">
        <v>13814</v>
      </c>
      <c r="I10379" s="2" t="s">
        <v>15</v>
      </c>
      <c r="J10379" s="2" t="s">
        <v>12</v>
      </c>
      <c r="K10379" s="2" t="s">
        <v>13813</v>
      </c>
      <c r="L10379" s="2">
        <f t="shared" si="162"/>
        <v>150</v>
      </c>
    </row>
    <row r="10380" spans="1:12" ht="25" customHeight="1">
      <c r="A10380" s="2" t="s">
        <v>12</v>
      </c>
      <c r="B10380" s="2" t="str">
        <f>HYPERLINK("http://m.12365auto.com/xcdg/20200210/418047.shtml","调节车窗透明度 宝马iNext或搭智能玻璃")</f>
        <v>调节车窗透明度 宝马iNext或搭智能玻璃</v>
      </c>
      <c r="C10380" s="2" t="s">
        <v>13</v>
      </c>
      <c r="D10380" s="2" t="s">
        <v>12</v>
      </c>
      <c r="E10380" s="2"/>
      <c r="F10380" s="2" t="str">
        <f>HYPERLINK("http://m.12365auto.com/xcdg/20200210/418047.shtml","http://m.12365auto.com/xcdg/20200210/418047.shtml")</f>
        <v>http://m.12365auto.com/xcdg/20200210/418047.shtml</v>
      </c>
      <c r="G10380" s="2"/>
      <c r="H10380" s="2" t="s">
        <v>13815</v>
      </c>
      <c r="I10380" s="2" t="s">
        <v>19</v>
      </c>
      <c r="J10380" s="2" t="s">
        <v>13816</v>
      </c>
      <c r="K10380" s="2" t="s">
        <v>13817</v>
      </c>
      <c r="L10380" s="2">
        <f t="shared" si="162"/>
        <v>150</v>
      </c>
    </row>
    <row r="10381" spans="1:12" ht="25" customHeight="1">
      <c r="A10381" s="2" t="s">
        <v>12</v>
      </c>
      <c r="B10381" s="2" t="str">
        <f>HYPERLINK("http://www.12365auto.com/xcdg/20200210/418047.shtml","调节车窗透明度 宝马iNext或搭智能玻璃")</f>
        <v>调节车窗透明度 宝马iNext或搭智能玻璃</v>
      </c>
      <c r="C10381" s="2" t="s">
        <v>13</v>
      </c>
      <c r="D10381" s="2" t="s">
        <v>12</v>
      </c>
      <c r="E10381" s="2" t="s">
        <v>216</v>
      </c>
      <c r="F10381" s="2" t="str">
        <f>HYPERLINK("http://www.12365auto.com/xcdg/20200210/418047.shtml","http://www.12365auto.com/xcdg/20200210/418047.shtml")</f>
        <v>http://www.12365auto.com/xcdg/20200210/418047.shtml</v>
      </c>
      <c r="G10381" s="2"/>
      <c r="H10381" s="2" t="s">
        <v>13818</v>
      </c>
      <c r="I10381" s="2" t="s">
        <v>15</v>
      </c>
      <c r="J10381" s="2" t="s">
        <v>12</v>
      </c>
      <c r="K10381" s="2" t="s">
        <v>13817</v>
      </c>
      <c r="L10381" s="2">
        <f t="shared" si="162"/>
        <v>150</v>
      </c>
    </row>
    <row r="10382" spans="1:12" ht="25" customHeight="1">
      <c r="A10382" s="2" t="s">
        <v>12</v>
      </c>
      <c r="B10382" s="2" t="str">
        <f>HYPERLINK("http://www.12365auto.com/xcdg/20200210/418069.shtml","或将5月份上市 斯巴鲁翼豹推出混动版车型")</f>
        <v>或将5月份上市 斯巴鲁翼豹推出混动版车型</v>
      </c>
      <c r="C10382" s="2" t="s">
        <v>13</v>
      </c>
      <c r="D10382" s="2" t="s">
        <v>12</v>
      </c>
      <c r="E10382" s="2" t="s">
        <v>245</v>
      </c>
      <c r="F10382" s="2" t="str">
        <f>HYPERLINK("http://www.12365auto.com/xcdg/20200210/418069.shtml","http://www.12365auto.com/xcdg/20200210/418069.shtml")</f>
        <v>http://www.12365auto.com/xcdg/20200210/418069.shtml</v>
      </c>
      <c r="G10382" s="2"/>
      <c r="H10382" s="2" t="s">
        <v>13819</v>
      </c>
      <c r="I10382" s="2" t="s">
        <v>19</v>
      </c>
      <c r="J10382" s="2" t="s">
        <v>12</v>
      </c>
      <c r="K10382" s="2" t="s">
        <v>13820</v>
      </c>
      <c r="L10382" s="2">
        <f t="shared" si="162"/>
        <v>150</v>
      </c>
    </row>
    <row r="10383" spans="1:12" ht="25" customHeight="1">
      <c r="A10383" s="2" t="s">
        <v>12</v>
      </c>
      <c r="B10383" s="2" t="str">
        <f>HYPERLINK("http://www.12365auto.com/xcdg/20200210/418076.shtml","续航有提升 捷豹新款I-PACE部分信息曝光")</f>
        <v>续航有提升 捷豹新款I-PACE部分信息曝光</v>
      </c>
      <c r="C10383" s="2" t="s">
        <v>13</v>
      </c>
      <c r="D10383" s="2" t="s">
        <v>12</v>
      </c>
      <c r="E10383" s="2" t="s">
        <v>216</v>
      </c>
      <c r="F10383" s="2" t="str">
        <f>HYPERLINK("http://www.12365auto.com/xcdg/20200210/418076.shtml","http://www.12365auto.com/xcdg/20200210/418076.shtml")</f>
        <v>http://www.12365auto.com/xcdg/20200210/418076.shtml</v>
      </c>
      <c r="G10383" s="2"/>
      <c r="H10383" s="2" t="s">
        <v>13821</v>
      </c>
      <c r="I10383" s="2" t="s">
        <v>15</v>
      </c>
      <c r="J10383" s="2" t="s">
        <v>12</v>
      </c>
      <c r="K10383" s="2" t="s">
        <v>13822</v>
      </c>
      <c r="L10383" s="2">
        <f t="shared" si="162"/>
        <v>150</v>
      </c>
    </row>
    <row r="10384" spans="1:12" ht="25" customHeight="1">
      <c r="A10384" s="2" t="s">
        <v>12</v>
      </c>
      <c r="B10384" s="2" t="str">
        <f>HYPERLINK("http://m.12365auto.com/xcdg/20200210/418076.shtml","续航有提升 捷豹新款I-PACE部分信息曝光")</f>
        <v>续航有提升 捷豹新款I-PACE部分信息曝光</v>
      </c>
      <c r="C10384" s="2" t="s">
        <v>13</v>
      </c>
      <c r="D10384" s="2" t="s">
        <v>12</v>
      </c>
      <c r="E10384" s="2"/>
      <c r="F10384" s="2" t="str">
        <f>HYPERLINK("http://m.12365auto.com/xcdg/20200210/418076.shtml","http://m.12365auto.com/xcdg/20200210/418076.shtml")</f>
        <v>http://m.12365auto.com/xcdg/20200210/418076.shtml</v>
      </c>
      <c r="G10384" s="2"/>
      <c r="H10384" s="2" t="s">
        <v>13823</v>
      </c>
      <c r="I10384" s="2" t="s">
        <v>19</v>
      </c>
      <c r="J10384" s="2" t="s">
        <v>1326</v>
      </c>
      <c r="K10384" s="2" t="s">
        <v>13822</v>
      </c>
      <c r="L10384" s="2">
        <f t="shared" si="162"/>
        <v>150</v>
      </c>
    </row>
    <row r="10385" spans="1:12" ht="25" customHeight="1">
      <c r="A10385" s="2" t="s">
        <v>12</v>
      </c>
      <c r="B10385" s="2" t="str">
        <f>HYPERLINK("http://bbs.12365auto.com/postcontent.aspx?tID=193571","风行T5L新车排放系统故障")</f>
        <v>风行T5L新车排放系统故障</v>
      </c>
      <c r="C10385" s="2" t="s">
        <v>13</v>
      </c>
      <c r="D10385" s="2" t="s">
        <v>12</v>
      </c>
      <c r="E10385" s="2" t="s">
        <v>67</v>
      </c>
      <c r="F10385" s="2" t="str">
        <f>HYPERLINK("http://bbs.12365auto.com/postcontent.aspx?tID=193571","http://bbs.12365auto.com/postcontent.aspx?tID=193571")</f>
        <v>http://bbs.12365auto.com/postcontent.aspx?tID=193571</v>
      </c>
      <c r="G10385" s="2"/>
      <c r="H10385" s="2" t="s">
        <v>13824</v>
      </c>
      <c r="I10385" s="2" t="s">
        <v>15</v>
      </c>
      <c r="J10385" s="2" t="s">
        <v>4119</v>
      </c>
      <c r="K10385" s="2" t="s">
        <v>13825</v>
      </c>
      <c r="L10385" s="2">
        <f t="shared" si="162"/>
        <v>56</v>
      </c>
    </row>
    <row r="10386" spans="1:12" ht="25" customHeight="1">
      <c r="A10386" s="2" t="s">
        <v>12</v>
      </c>
      <c r="B10386" s="2" t="str">
        <f>HYPERLINK("http://bbs.12365auto.com/postcontent.aspx?tID=193570","劲炫ASX发动机响个不停")</f>
        <v>劲炫ASX发动机响个不停</v>
      </c>
      <c r="C10386" s="2" t="s">
        <v>13</v>
      </c>
      <c r="D10386" s="2" t="s">
        <v>12</v>
      </c>
      <c r="E10386" s="2" t="s">
        <v>67</v>
      </c>
      <c r="F10386" s="2" t="str">
        <f>HYPERLINK("http://bbs.12365auto.com/postcontent.aspx?tID=193570","http://bbs.12365auto.com/postcontent.aspx?tID=193570")</f>
        <v>http://bbs.12365auto.com/postcontent.aspx?tID=193570</v>
      </c>
      <c r="G10386" s="2"/>
      <c r="H10386" s="2" t="s">
        <v>13826</v>
      </c>
      <c r="I10386" s="2" t="s">
        <v>15</v>
      </c>
      <c r="J10386" s="2" t="s">
        <v>4123</v>
      </c>
      <c r="K10386" s="2" t="s">
        <v>13825</v>
      </c>
      <c r="L10386" s="2">
        <f t="shared" si="162"/>
        <v>142</v>
      </c>
    </row>
    <row r="10387" spans="1:12" ht="25" customHeight="1">
      <c r="A10387" s="2" t="s">
        <v>12</v>
      </c>
      <c r="B10387" s="2" t="str">
        <f>HYPERLINK("http://bbs.12365auto.com/postcontent.aspx?tId=193572","奇骏行驶中发电机皮带轮掉落")</f>
        <v>奇骏行驶中发电机皮带轮掉落</v>
      </c>
      <c r="C10387" s="2" t="s">
        <v>13</v>
      </c>
      <c r="D10387" s="2" t="s">
        <v>12</v>
      </c>
      <c r="E10387" s="2" t="s">
        <v>66</v>
      </c>
      <c r="F10387" s="2" t="str">
        <f>HYPERLINK("http://bbs.12365auto.com/postcontent.aspx?tId=193572","http://bbs.12365auto.com/postcontent.aspx?tId=193572")</f>
        <v>http://bbs.12365auto.com/postcontent.aspx?tId=193572</v>
      </c>
      <c r="G10387" s="2"/>
      <c r="H10387" s="2" t="s">
        <v>13827</v>
      </c>
      <c r="I10387" s="2" t="s">
        <v>15</v>
      </c>
      <c r="J10387" s="2" t="s">
        <v>4119</v>
      </c>
      <c r="K10387" s="2" t="s">
        <v>13825</v>
      </c>
      <c r="L10387" s="2">
        <f t="shared" si="162"/>
        <v>61</v>
      </c>
    </row>
    <row r="10388" spans="1:12" ht="25" customHeight="1">
      <c r="A10388" s="2" t="s">
        <v>12</v>
      </c>
      <c r="B10388" s="2" t="str">
        <f>HYPERLINK("http://bbs.12365auto.com/postcontent.aspx?tId=193571","风行T5L新车排放系统故障")</f>
        <v>风行T5L新车排放系统故障</v>
      </c>
      <c r="C10388" s="2" t="s">
        <v>13</v>
      </c>
      <c r="D10388" s="2" t="s">
        <v>12</v>
      </c>
      <c r="E10388" s="2" t="s">
        <v>66</v>
      </c>
      <c r="F10388" s="2" t="str">
        <f>HYPERLINK("http://bbs.12365auto.com/postcontent.aspx?tId=193571","http://bbs.12365auto.com/postcontent.aspx?tId=193571")</f>
        <v>http://bbs.12365auto.com/postcontent.aspx?tId=193571</v>
      </c>
      <c r="G10388" s="2"/>
      <c r="H10388" s="2" t="s">
        <v>13828</v>
      </c>
      <c r="I10388" s="2" t="s">
        <v>15</v>
      </c>
      <c r="J10388" s="2" t="s">
        <v>4119</v>
      </c>
      <c r="K10388" s="2" t="s">
        <v>13825</v>
      </c>
      <c r="L10388" s="2">
        <f t="shared" si="162"/>
        <v>43</v>
      </c>
    </row>
    <row r="10389" spans="1:12" ht="25" customHeight="1">
      <c r="A10389" s="2" t="s">
        <v>12</v>
      </c>
      <c r="B10389" s="2" t="str">
        <f>HYPERLINK("http://bbs.12365auto.com/postcontent.aspx?tId=193570","劲炫ASX发动机响个不停")</f>
        <v>劲炫ASX发动机响个不停</v>
      </c>
      <c r="C10389" s="2" t="s">
        <v>13</v>
      </c>
      <c r="D10389" s="2" t="s">
        <v>12</v>
      </c>
      <c r="E10389" s="2" t="s">
        <v>66</v>
      </c>
      <c r="F10389" s="2" t="str">
        <f>HYPERLINK("http://bbs.12365auto.com/postcontent.aspx?tId=193570","http://bbs.12365auto.com/postcontent.aspx?tId=193570")</f>
        <v>http://bbs.12365auto.com/postcontent.aspx?tId=193570</v>
      </c>
      <c r="G10389" s="2"/>
      <c r="H10389" s="2" t="s">
        <v>13829</v>
      </c>
      <c r="I10389" s="2" t="s">
        <v>15</v>
      </c>
      <c r="J10389" s="2" t="s">
        <v>4123</v>
      </c>
      <c r="K10389" s="2" t="s">
        <v>13825</v>
      </c>
      <c r="L10389" s="2">
        <f t="shared" si="162"/>
        <v>130</v>
      </c>
    </row>
    <row r="10390" spans="1:12" ht="25" customHeight="1">
      <c r="A10390" s="2" t="s">
        <v>12</v>
      </c>
      <c r="B10390" s="2" t="str">
        <f>HYPERLINK("http://m.12365auto.com/bbs/postcontent.aspx?tID=193572","奇骏行驶中发电机皮带轮掉落")</f>
        <v>奇骏行驶中发电机皮带轮掉落</v>
      </c>
      <c r="C10390" s="2" t="s">
        <v>13</v>
      </c>
      <c r="D10390" s="2" t="s">
        <v>23</v>
      </c>
      <c r="E10390" s="2"/>
      <c r="F10390" s="2" t="str">
        <f>HYPERLINK("http://m.12365auto.com/bbs/postcontent.aspx?tID=193572","http://m.12365auto.com/bbs/postcontent.aspx?tID=193572")</f>
        <v>http://m.12365auto.com/bbs/postcontent.aspx?tID=193572</v>
      </c>
      <c r="G10390" s="2"/>
      <c r="H10390" s="2" t="s">
        <v>13827</v>
      </c>
      <c r="I10390" s="2" t="s">
        <v>15</v>
      </c>
      <c r="J10390" s="2" t="s">
        <v>4119</v>
      </c>
      <c r="K10390" s="2" t="s">
        <v>13825</v>
      </c>
      <c r="L10390" s="2">
        <f t="shared" si="162"/>
        <v>61</v>
      </c>
    </row>
    <row r="10391" spans="1:12" ht="25" customHeight="1">
      <c r="A10391" s="2" t="s">
        <v>12</v>
      </c>
      <c r="B10391" s="2" t="str">
        <f>HYPERLINK("http://m.12365auto.com/bbs/postcontent.aspx?tID=193570","劲炫ASX发动机响个不停")</f>
        <v>劲炫ASX发动机响个不停</v>
      </c>
      <c r="C10391" s="2" t="s">
        <v>13</v>
      </c>
      <c r="D10391" s="2" t="s">
        <v>23</v>
      </c>
      <c r="E10391" s="2"/>
      <c r="F10391" s="2" t="str">
        <f>HYPERLINK("http://m.12365auto.com/bbs/postcontent.aspx?tID=193570","http://m.12365auto.com/bbs/postcontent.aspx?tID=193570")</f>
        <v>http://m.12365auto.com/bbs/postcontent.aspx?tID=193570</v>
      </c>
      <c r="G10391" s="2"/>
      <c r="H10391" s="2" t="s">
        <v>13829</v>
      </c>
      <c r="I10391" s="2" t="s">
        <v>15</v>
      </c>
      <c r="J10391" s="2" t="s">
        <v>4123</v>
      </c>
      <c r="K10391" s="2" t="s">
        <v>13825</v>
      </c>
      <c r="L10391" s="2">
        <f t="shared" si="162"/>
        <v>130</v>
      </c>
    </row>
    <row r="10392" spans="1:12" ht="25" customHeight="1">
      <c r="A10392" s="2" t="s">
        <v>12</v>
      </c>
      <c r="B10392" s="2" t="str">
        <f>HYPERLINK("http://m.12365auto.com/bbs/postcontent.aspx?tID=193571","风行T5L新车排放系统故障")</f>
        <v>风行T5L新车排放系统故障</v>
      </c>
      <c r="C10392" s="2" t="s">
        <v>13</v>
      </c>
      <c r="D10392" s="2" t="s">
        <v>23</v>
      </c>
      <c r="E10392" s="2"/>
      <c r="F10392" s="2" t="str">
        <f>HYPERLINK("http://m.12365auto.com/bbs/postcontent.aspx?tID=193571","http://m.12365auto.com/bbs/postcontent.aspx?tID=193571")</f>
        <v>http://m.12365auto.com/bbs/postcontent.aspx?tID=193571</v>
      </c>
      <c r="G10392" s="2"/>
      <c r="H10392" s="2" t="s">
        <v>13828</v>
      </c>
      <c r="I10392" s="2" t="s">
        <v>15</v>
      </c>
      <c r="J10392" s="2" t="s">
        <v>4119</v>
      </c>
      <c r="K10392" s="2" t="s">
        <v>13825</v>
      </c>
      <c r="L10392" s="2">
        <f t="shared" si="162"/>
        <v>43</v>
      </c>
    </row>
    <row r="10393" spans="1:12" ht="25" customHeight="1">
      <c r="A10393" s="2" t="s">
        <v>12</v>
      </c>
      <c r="B10393" s="2" t="str">
        <f>HYPERLINK("http://bbs.12365auto.com/postcontent.aspx?tID=193572","奇骏行驶中发电机皮带轮掉落")</f>
        <v>奇骏行驶中发电机皮带轮掉落</v>
      </c>
      <c r="C10393" s="2" t="s">
        <v>13</v>
      </c>
      <c r="D10393" s="2" t="s">
        <v>12</v>
      </c>
      <c r="E10393" s="2" t="s">
        <v>67</v>
      </c>
      <c r="F10393" s="2" t="str">
        <f>HYPERLINK("http://bbs.12365auto.com/postcontent.aspx?tID=193572","http://bbs.12365auto.com/postcontent.aspx?tID=193572")</f>
        <v>http://bbs.12365auto.com/postcontent.aspx?tID=193572</v>
      </c>
      <c r="G10393" s="2"/>
      <c r="H10393" s="2" t="s">
        <v>13830</v>
      </c>
      <c r="I10393" s="2" t="s">
        <v>15</v>
      </c>
      <c r="J10393" s="2" t="s">
        <v>4119</v>
      </c>
      <c r="K10393" s="2" t="s">
        <v>13825</v>
      </c>
      <c r="L10393" s="2">
        <f t="shared" si="162"/>
        <v>74</v>
      </c>
    </row>
    <row r="10394" spans="1:12" ht="25" customHeight="1">
      <c r="A10394" s="2" t="s">
        <v>12</v>
      </c>
      <c r="B10394" s="2" t="str">
        <f>HYPERLINK("http://bbs.12365auto.com/postcontent.aspx?tID=193569","名爵HS中间间隔六天电瓶亏电")</f>
        <v>名爵HS中间间隔六天电瓶亏电</v>
      </c>
      <c r="C10394" s="2" t="s">
        <v>13</v>
      </c>
      <c r="D10394" s="2" t="s">
        <v>12</v>
      </c>
      <c r="E10394" s="2" t="s">
        <v>67</v>
      </c>
      <c r="F10394" s="2" t="str">
        <f>HYPERLINK("http://bbs.12365auto.com/postcontent.aspx?tID=193569","http://bbs.12365auto.com/postcontent.aspx?tID=193569")</f>
        <v>http://bbs.12365auto.com/postcontent.aspx?tID=193569</v>
      </c>
      <c r="G10394" s="2"/>
      <c r="H10394" s="2" t="s">
        <v>13831</v>
      </c>
      <c r="I10394" s="2" t="s">
        <v>15</v>
      </c>
      <c r="J10394" s="2" t="s">
        <v>4126</v>
      </c>
      <c r="K10394" s="2" t="s">
        <v>13832</v>
      </c>
      <c r="L10394" s="2">
        <f t="shared" si="162"/>
        <v>132</v>
      </c>
    </row>
    <row r="10395" spans="1:12" ht="25" customHeight="1">
      <c r="A10395" s="2" t="s">
        <v>12</v>
      </c>
      <c r="B10395" s="2" t="str">
        <f>HYPERLINK("http://bbs.12365auto.com/postcontent.aspx?tID=193568","本田雅阁发动机噪音大质量差")</f>
        <v>本田雅阁发动机噪音大质量差</v>
      </c>
      <c r="C10395" s="2" t="s">
        <v>13</v>
      </c>
      <c r="D10395" s="2" t="s">
        <v>12</v>
      </c>
      <c r="E10395" s="2" t="s">
        <v>67</v>
      </c>
      <c r="F10395" s="2" t="str">
        <f>HYPERLINK("http://bbs.12365auto.com/postcontent.aspx?tID=193568","http://bbs.12365auto.com/postcontent.aspx?tID=193568")</f>
        <v>http://bbs.12365auto.com/postcontent.aspx?tID=193568</v>
      </c>
      <c r="G10395" s="2"/>
      <c r="H10395" s="2" t="s">
        <v>13833</v>
      </c>
      <c r="I10395" s="2" t="s">
        <v>15</v>
      </c>
      <c r="J10395" s="2" t="s">
        <v>4132</v>
      </c>
      <c r="K10395" s="2" t="s">
        <v>13832</v>
      </c>
      <c r="L10395" s="2">
        <f t="shared" si="162"/>
        <v>150</v>
      </c>
    </row>
    <row r="10396" spans="1:12" ht="25" customHeight="1">
      <c r="A10396" s="2" t="s">
        <v>12</v>
      </c>
      <c r="B10396" s="2" t="str">
        <f>HYPERLINK("http://bbs.12365auto.com/postcontent.aspx?tId=193568","本田雅阁发动机噪音大质量差")</f>
        <v>本田雅阁发动机噪音大质量差</v>
      </c>
      <c r="C10396" s="2" t="s">
        <v>13</v>
      </c>
      <c r="D10396" s="2" t="s">
        <v>12</v>
      </c>
      <c r="E10396" s="2" t="s">
        <v>66</v>
      </c>
      <c r="F10396" s="2" t="str">
        <f>HYPERLINK("http://bbs.12365auto.com/postcontent.aspx?tId=193568","http://bbs.12365auto.com/postcontent.aspx?tId=193568")</f>
        <v>http://bbs.12365auto.com/postcontent.aspx?tId=193568</v>
      </c>
      <c r="G10396" s="2"/>
      <c r="H10396" s="2" t="s">
        <v>13834</v>
      </c>
      <c r="I10396" s="2" t="s">
        <v>15</v>
      </c>
      <c r="J10396" s="2" t="s">
        <v>4132</v>
      </c>
      <c r="K10396" s="2" t="s">
        <v>13832</v>
      </c>
      <c r="L10396" s="2">
        <f t="shared" si="162"/>
        <v>150</v>
      </c>
    </row>
    <row r="10397" spans="1:12" ht="25" customHeight="1">
      <c r="A10397" s="2" t="s">
        <v>12</v>
      </c>
      <c r="B10397" s="2" t="str">
        <f>HYPERLINK("http://bbs.12365auto.com/postcontent.aspx?tId=193569","名爵HS中间间隔六天电瓶亏电")</f>
        <v>名爵HS中间间隔六天电瓶亏电</v>
      </c>
      <c r="C10397" s="2" t="s">
        <v>13</v>
      </c>
      <c r="D10397" s="2" t="s">
        <v>12</v>
      </c>
      <c r="E10397" s="2" t="s">
        <v>66</v>
      </c>
      <c r="F10397" s="2" t="str">
        <f>HYPERLINK("http://bbs.12365auto.com/postcontent.aspx?tId=193569","http://bbs.12365auto.com/postcontent.aspx?tId=193569")</f>
        <v>http://bbs.12365auto.com/postcontent.aspx?tId=193569</v>
      </c>
      <c r="G10397" s="2"/>
      <c r="H10397" s="2" t="s">
        <v>13835</v>
      </c>
      <c r="I10397" s="2" t="s">
        <v>15</v>
      </c>
      <c r="J10397" s="2" t="s">
        <v>4126</v>
      </c>
      <c r="K10397" s="2" t="s">
        <v>13832</v>
      </c>
      <c r="L10397" s="2">
        <f t="shared" si="162"/>
        <v>118</v>
      </c>
    </row>
    <row r="10398" spans="1:12" ht="25" customHeight="1">
      <c r="A10398" s="2" t="s">
        <v>12</v>
      </c>
      <c r="B10398" s="2" t="str">
        <f>HYPERLINK("http://m.12365auto.com/bbs/postcontent.aspx?tID=193568","本田雅阁发动机噪音大质量差")</f>
        <v>本田雅阁发动机噪音大质量差</v>
      </c>
      <c r="C10398" s="2" t="s">
        <v>13</v>
      </c>
      <c r="D10398" s="2" t="s">
        <v>23</v>
      </c>
      <c r="E10398" s="2"/>
      <c r="F10398" s="2" t="str">
        <f>HYPERLINK("http://m.12365auto.com/bbs/postcontent.aspx?tID=193568","http://m.12365auto.com/bbs/postcontent.aspx?tID=193568")</f>
        <v>http://m.12365auto.com/bbs/postcontent.aspx?tID=193568</v>
      </c>
      <c r="G10398" s="2"/>
      <c r="H10398" s="2" t="s">
        <v>13834</v>
      </c>
      <c r="I10398" s="2" t="s">
        <v>15</v>
      </c>
      <c r="J10398" s="2" t="s">
        <v>4132</v>
      </c>
      <c r="K10398" s="2" t="s">
        <v>13832</v>
      </c>
      <c r="L10398" s="2">
        <f t="shared" si="162"/>
        <v>150</v>
      </c>
    </row>
    <row r="10399" spans="1:12" ht="25" customHeight="1">
      <c r="A10399" s="2" t="s">
        <v>12</v>
      </c>
      <c r="B10399" s="2" t="str">
        <f>HYPERLINK("http://m.12365auto.com/bbs/postcontent.aspx?tID=193569","名爵HS中间间隔六天电瓶亏电")</f>
        <v>名爵HS中间间隔六天电瓶亏电</v>
      </c>
      <c r="C10399" s="2" t="s">
        <v>13</v>
      </c>
      <c r="D10399" s="2" t="s">
        <v>23</v>
      </c>
      <c r="E10399" s="2"/>
      <c r="F10399" s="2" t="str">
        <f>HYPERLINK("http://m.12365auto.com/bbs/postcontent.aspx?tID=193569","http://m.12365auto.com/bbs/postcontent.aspx?tID=193569")</f>
        <v>http://m.12365auto.com/bbs/postcontent.aspx?tID=193569</v>
      </c>
      <c r="G10399" s="2"/>
      <c r="H10399" s="2" t="s">
        <v>13835</v>
      </c>
      <c r="I10399" s="2" t="s">
        <v>15</v>
      </c>
      <c r="J10399" s="2" t="s">
        <v>4126</v>
      </c>
      <c r="K10399" s="2" t="s">
        <v>13832</v>
      </c>
      <c r="L10399" s="2">
        <f t="shared" si="162"/>
        <v>118</v>
      </c>
    </row>
    <row r="10400" spans="1:12" ht="25" customHeight="1">
      <c r="A10400" s="2" t="s">
        <v>12</v>
      </c>
      <c r="B10400" s="2" t="str">
        <f>HYPERLINK("http://bbs.12365auto.com/postcontent.aspx?tID=193567","奥迪A3发动机烧机油强烈要求退车")</f>
        <v>奥迪A3发动机烧机油强烈要求退车</v>
      </c>
      <c r="C10400" s="2" t="s">
        <v>13</v>
      </c>
      <c r="D10400" s="2" t="s">
        <v>12</v>
      </c>
      <c r="E10400" s="2" t="s">
        <v>67</v>
      </c>
      <c r="F10400" s="2" t="str">
        <f>HYPERLINK("http://bbs.12365auto.com/postcontent.aspx?tID=193567","http://bbs.12365auto.com/postcontent.aspx?tID=193567")</f>
        <v>http://bbs.12365auto.com/postcontent.aspx?tID=193567</v>
      </c>
      <c r="G10400" s="2"/>
      <c r="H10400" s="2" t="s">
        <v>13836</v>
      </c>
      <c r="I10400" s="2" t="s">
        <v>15</v>
      </c>
      <c r="J10400" s="2" t="s">
        <v>4134</v>
      </c>
      <c r="K10400" s="2" t="s">
        <v>13837</v>
      </c>
      <c r="L10400" s="2">
        <f t="shared" si="162"/>
        <v>89</v>
      </c>
    </row>
    <row r="10401" spans="1:12" ht="25" customHeight="1">
      <c r="A10401" s="2" t="s">
        <v>12</v>
      </c>
      <c r="B10401" s="2" t="str">
        <f>HYPERLINK("http://bbs.12365auto.com/postcontent.aspx?tId=193567","奥迪A3发动机烧机油强烈要求退车")</f>
        <v>奥迪A3发动机烧机油强烈要求退车</v>
      </c>
      <c r="C10401" s="2" t="s">
        <v>13</v>
      </c>
      <c r="D10401" s="2" t="s">
        <v>12</v>
      </c>
      <c r="E10401" s="2" t="s">
        <v>66</v>
      </c>
      <c r="F10401" s="2" t="str">
        <f>HYPERLINK("http://bbs.12365auto.com/postcontent.aspx?tId=193567","http://bbs.12365auto.com/postcontent.aspx?tId=193567")</f>
        <v>http://bbs.12365auto.com/postcontent.aspx?tId=193567</v>
      </c>
      <c r="G10401" s="2"/>
      <c r="H10401" s="2" t="s">
        <v>13838</v>
      </c>
      <c r="I10401" s="2" t="s">
        <v>15</v>
      </c>
      <c r="J10401" s="2" t="s">
        <v>4134</v>
      </c>
      <c r="K10401" s="2" t="s">
        <v>13837</v>
      </c>
      <c r="L10401" s="2">
        <f t="shared" si="162"/>
        <v>73</v>
      </c>
    </row>
    <row r="10402" spans="1:12" ht="25" customHeight="1">
      <c r="A10402" s="2" t="s">
        <v>12</v>
      </c>
      <c r="B10402" s="2" t="str">
        <f>HYPERLINK("http://m.12365auto.com/bbs/postcontent.aspx?tID=193567","奥迪A3发动机烧机油强烈要求退车")</f>
        <v>奥迪A3发动机烧机油强烈要求退车</v>
      </c>
      <c r="C10402" s="2" t="s">
        <v>13</v>
      </c>
      <c r="D10402" s="2" t="s">
        <v>23</v>
      </c>
      <c r="E10402" s="2"/>
      <c r="F10402" s="2" t="str">
        <f>HYPERLINK("http://m.12365auto.com/bbs/postcontent.aspx?tID=193567","http://m.12365auto.com/bbs/postcontent.aspx?tID=193567")</f>
        <v>http://m.12365auto.com/bbs/postcontent.aspx?tID=193567</v>
      </c>
      <c r="G10402" s="2"/>
      <c r="H10402" s="2" t="s">
        <v>13838</v>
      </c>
      <c r="I10402" s="2" t="s">
        <v>15</v>
      </c>
      <c r="J10402" s="2" t="s">
        <v>4134</v>
      </c>
      <c r="K10402" s="2" t="s">
        <v>13837</v>
      </c>
      <c r="L10402" s="2">
        <f t="shared" si="162"/>
        <v>73</v>
      </c>
    </row>
    <row r="10403" spans="1:12" ht="25" customHeight="1">
      <c r="A10403" s="2" t="s">
        <v>12</v>
      </c>
      <c r="B10403" s="2" t="str">
        <f>HYPERLINK("http://www.12365auto.com/xcdg/20200210/418063.shtml","续航超500公里 特斯拉Model Y将于3月交付")</f>
        <v>续航超500公里 特斯拉Model Y将于3月交付</v>
      </c>
      <c r="C10403" s="2" t="s">
        <v>13</v>
      </c>
      <c r="D10403" s="2" t="s">
        <v>12</v>
      </c>
      <c r="E10403" s="2" t="s">
        <v>216</v>
      </c>
      <c r="F10403" s="2" t="str">
        <f>HYPERLINK("http://www.12365auto.com/xcdg/20200210/418063.shtml","http://www.12365auto.com/xcdg/20200210/418063.shtml")</f>
        <v>http://www.12365auto.com/xcdg/20200210/418063.shtml</v>
      </c>
      <c r="G10403" s="2"/>
      <c r="H10403" s="2" t="s">
        <v>13839</v>
      </c>
      <c r="I10403" s="2" t="s">
        <v>15</v>
      </c>
      <c r="J10403" s="2" t="s">
        <v>12</v>
      </c>
      <c r="K10403" s="2" t="s">
        <v>13840</v>
      </c>
      <c r="L10403" s="2">
        <f t="shared" si="162"/>
        <v>150</v>
      </c>
    </row>
    <row r="10404" spans="1:12" ht="25" customHeight="1">
      <c r="A10404" s="2" t="s">
        <v>12</v>
      </c>
      <c r="B10404" s="2" t="str">
        <f>HYPERLINK("http://bbs.12365auto.com/postcontent.aspx?tID=193566","凯翼C3变速箱换不了挡啦")</f>
        <v>凯翼C3变速箱换不了挡啦</v>
      </c>
      <c r="C10404" s="2" t="s">
        <v>13</v>
      </c>
      <c r="D10404" s="2" t="s">
        <v>12</v>
      </c>
      <c r="E10404" s="2" t="s">
        <v>67</v>
      </c>
      <c r="F10404" s="2" t="str">
        <f>HYPERLINK("http://bbs.12365auto.com/postcontent.aspx?tID=193566","http://bbs.12365auto.com/postcontent.aspx?tID=193566")</f>
        <v>http://bbs.12365auto.com/postcontent.aspx?tID=193566</v>
      </c>
      <c r="G10404" s="2"/>
      <c r="H10404" s="2" t="s">
        <v>13841</v>
      </c>
      <c r="I10404" s="2" t="s">
        <v>15</v>
      </c>
      <c r="J10404" s="2" t="s">
        <v>4138</v>
      </c>
      <c r="K10404" s="2" t="s">
        <v>13840</v>
      </c>
      <c r="L10404" s="2">
        <f t="shared" si="162"/>
        <v>150</v>
      </c>
    </row>
    <row r="10405" spans="1:12" ht="25" customHeight="1">
      <c r="A10405" s="2" t="s">
        <v>12</v>
      </c>
      <c r="B10405" s="2" t="str">
        <f>HYPERLINK("http://bbs.12365auto.com/postcontent.aspx?tID=193565","速派发动机故障灯亮烧机油严重")</f>
        <v>速派发动机故障灯亮烧机油严重</v>
      </c>
      <c r="C10405" s="2" t="s">
        <v>13</v>
      </c>
      <c r="D10405" s="2" t="s">
        <v>12</v>
      </c>
      <c r="E10405" s="2" t="s">
        <v>67</v>
      </c>
      <c r="F10405" s="2" t="str">
        <f>HYPERLINK("http://bbs.12365auto.com/postcontent.aspx?tID=193565","http://bbs.12365auto.com/postcontent.aspx?tID=193565")</f>
        <v>http://bbs.12365auto.com/postcontent.aspx?tID=193565</v>
      </c>
      <c r="G10405" s="2"/>
      <c r="H10405" s="2" t="s">
        <v>13842</v>
      </c>
      <c r="I10405" s="2" t="s">
        <v>15</v>
      </c>
      <c r="J10405" s="2" t="s">
        <v>4145</v>
      </c>
      <c r="K10405" s="2" t="s">
        <v>13840</v>
      </c>
      <c r="L10405" s="2">
        <f t="shared" si="162"/>
        <v>150</v>
      </c>
    </row>
    <row r="10406" spans="1:12" ht="25" customHeight="1">
      <c r="A10406" s="2" t="s">
        <v>12</v>
      </c>
      <c r="B10406" s="2" t="str">
        <f>HYPERLINK("http://bbs.12365auto.com/postcontent.aspx?tId=193566","凯翼C3变速箱换不了挡啦")</f>
        <v>凯翼C3变速箱换不了挡啦</v>
      </c>
      <c r="C10406" s="2" t="s">
        <v>13</v>
      </c>
      <c r="D10406" s="2" t="s">
        <v>12</v>
      </c>
      <c r="E10406" s="2" t="s">
        <v>66</v>
      </c>
      <c r="F10406" s="2" t="str">
        <f>HYPERLINK("http://bbs.12365auto.com/postcontent.aspx?tId=193566","http://bbs.12365auto.com/postcontent.aspx?tId=193566")</f>
        <v>http://bbs.12365auto.com/postcontent.aspx?tId=193566</v>
      </c>
      <c r="G10406" s="2"/>
      <c r="H10406" s="2" t="s">
        <v>13843</v>
      </c>
      <c r="I10406" s="2" t="s">
        <v>15</v>
      </c>
      <c r="J10406" s="2" t="s">
        <v>4138</v>
      </c>
      <c r="K10406" s="2" t="s">
        <v>13840</v>
      </c>
      <c r="L10406" s="2">
        <f t="shared" si="162"/>
        <v>150</v>
      </c>
    </row>
    <row r="10407" spans="1:12" ht="25" customHeight="1">
      <c r="A10407" s="2" t="s">
        <v>12</v>
      </c>
      <c r="B10407" s="2" t="str">
        <f>HYPERLINK("http://bbs.12365auto.com/postcontent.aspx?tId=193565","速派发动机故障灯亮烧机油严重")</f>
        <v>速派发动机故障灯亮烧机油严重</v>
      </c>
      <c r="C10407" s="2" t="s">
        <v>13</v>
      </c>
      <c r="D10407" s="2" t="s">
        <v>12</v>
      </c>
      <c r="E10407" s="2" t="s">
        <v>66</v>
      </c>
      <c r="F10407" s="2" t="str">
        <f>HYPERLINK("http://bbs.12365auto.com/postcontent.aspx?tId=193565","http://bbs.12365auto.com/postcontent.aspx?tId=193565")</f>
        <v>http://bbs.12365auto.com/postcontent.aspx?tId=193565</v>
      </c>
      <c r="G10407" s="2"/>
      <c r="H10407" s="2" t="s">
        <v>8367</v>
      </c>
      <c r="I10407" s="2" t="s">
        <v>15</v>
      </c>
      <c r="J10407" s="2" t="s">
        <v>4145</v>
      </c>
      <c r="K10407" s="2" t="s">
        <v>13840</v>
      </c>
      <c r="L10407" s="2">
        <f t="shared" si="162"/>
        <v>150</v>
      </c>
    </row>
    <row r="10408" spans="1:12" ht="25" customHeight="1">
      <c r="A10408" s="2" t="s">
        <v>12</v>
      </c>
      <c r="B10408" s="2" t="str">
        <f>HYPERLINK("http://m.12365auto.com/bbs/postcontent.aspx?tID=193565","速派发动机故障灯亮烧机油严重")</f>
        <v>速派发动机故障灯亮烧机油严重</v>
      </c>
      <c r="C10408" s="2" t="s">
        <v>13</v>
      </c>
      <c r="D10408" s="2" t="s">
        <v>23</v>
      </c>
      <c r="E10408" s="2"/>
      <c r="F10408" s="2" t="str">
        <f>HYPERLINK("http://m.12365auto.com/bbs/postcontent.aspx?tID=193565","http://m.12365auto.com/bbs/postcontent.aspx?tID=193565")</f>
        <v>http://m.12365auto.com/bbs/postcontent.aspx?tID=193565</v>
      </c>
      <c r="G10408" s="2"/>
      <c r="H10408" s="2" t="s">
        <v>8367</v>
      </c>
      <c r="I10408" s="2" t="s">
        <v>15</v>
      </c>
      <c r="J10408" s="2" t="s">
        <v>4145</v>
      </c>
      <c r="K10408" s="2" t="s">
        <v>13840</v>
      </c>
      <c r="L10408" s="2">
        <f t="shared" si="162"/>
        <v>150</v>
      </c>
    </row>
    <row r="10409" spans="1:12" ht="25" customHeight="1">
      <c r="A10409" s="2" t="s">
        <v>12</v>
      </c>
      <c r="B10409" s="2" t="str">
        <f>HYPERLINK("http://m.12365auto.com/bbs/postcontent.aspx?tID=193566","凯翼C3变速箱换不了挡啦")</f>
        <v>凯翼C3变速箱换不了挡啦</v>
      </c>
      <c r="C10409" s="2" t="s">
        <v>13</v>
      </c>
      <c r="D10409" s="2" t="s">
        <v>23</v>
      </c>
      <c r="E10409" s="2"/>
      <c r="F10409" s="2" t="str">
        <f>HYPERLINK("http://m.12365auto.com/bbs/postcontent.aspx?tID=193566","http://m.12365auto.com/bbs/postcontent.aspx?tID=193566")</f>
        <v>http://m.12365auto.com/bbs/postcontent.aspx?tID=193566</v>
      </c>
      <c r="G10409" s="2"/>
      <c r="H10409" s="2" t="s">
        <v>13843</v>
      </c>
      <c r="I10409" s="2" t="s">
        <v>15</v>
      </c>
      <c r="J10409" s="2" t="s">
        <v>4138</v>
      </c>
      <c r="K10409" s="2" t="s">
        <v>13840</v>
      </c>
      <c r="L10409" s="2">
        <f t="shared" si="162"/>
        <v>150</v>
      </c>
    </row>
    <row r="10410" spans="1:12" ht="25" customHeight="1">
      <c r="A10410" s="2" t="s">
        <v>12</v>
      </c>
      <c r="B10410" s="2" t="str">
        <f>HYPERLINK("http://m.12365auto.com/xcdg/20200210/418063.shtml","续航超500公里 特斯拉Model Y将于3月交付")</f>
        <v>续航超500公里 特斯拉Model Y将于3月交付</v>
      </c>
      <c r="C10410" s="2" t="s">
        <v>13</v>
      </c>
      <c r="D10410" s="2" t="s">
        <v>12</v>
      </c>
      <c r="E10410" s="2"/>
      <c r="F10410" s="2" t="str">
        <f>HYPERLINK("http://m.12365auto.com/xcdg/20200210/418063.shtml","http://m.12365auto.com/xcdg/20200210/418063.shtml")</f>
        <v>http://m.12365auto.com/xcdg/20200210/418063.shtml</v>
      </c>
      <c r="G10410" s="2"/>
      <c r="H10410" s="2" t="s">
        <v>13844</v>
      </c>
      <c r="I10410" s="2" t="s">
        <v>19</v>
      </c>
      <c r="J10410" s="2" t="s">
        <v>1250</v>
      </c>
      <c r="K10410" s="2" t="s">
        <v>13840</v>
      </c>
      <c r="L10410" s="2">
        <f t="shared" si="162"/>
        <v>150</v>
      </c>
    </row>
    <row r="10411" spans="1:12" ht="25" customHeight="1">
      <c r="A10411" s="2" t="s">
        <v>12</v>
      </c>
      <c r="B10411" s="2" t="str">
        <f>HYPERLINK("http://bbs.12365auto.com/postcontent.aspx?tID=193564","五菱荣光V变速箱挂挡困难")</f>
        <v>五菱荣光V变速箱挂挡困难</v>
      </c>
      <c r="C10411" s="2" t="s">
        <v>13</v>
      </c>
      <c r="D10411" s="2" t="s">
        <v>12</v>
      </c>
      <c r="E10411" s="2" t="s">
        <v>67</v>
      </c>
      <c r="F10411" s="2" t="str">
        <f>HYPERLINK("http://bbs.12365auto.com/postcontent.aspx?tID=193564","http://bbs.12365auto.com/postcontent.aspx?tID=193564")</f>
        <v>http://bbs.12365auto.com/postcontent.aspx?tID=193564</v>
      </c>
      <c r="G10411" s="2"/>
      <c r="H10411" s="2" t="s">
        <v>13845</v>
      </c>
      <c r="I10411" s="2" t="s">
        <v>15</v>
      </c>
      <c r="J10411" s="2" t="s">
        <v>4142</v>
      </c>
      <c r="K10411" s="2" t="s">
        <v>13846</v>
      </c>
      <c r="L10411" s="2">
        <f t="shared" si="162"/>
        <v>80</v>
      </c>
    </row>
    <row r="10412" spans="1:12" ht="25" customHeight="1">
      <c r="A10412" s="2" t="s">
        <v>12</v>
      </c>
      <c r="B10412" s="2" t="str">
        <f>HYPERLINK("http://bbs.12365auto.com/postcontent.aspx?tId=193564","五菱荣光V变速箱挂挡困难")</f>
        <v>五菱荣光V变速箱挂挡困难</v>
      </c>
      <c r="C10412" s="2" t="s">
        <v>13</v>
      </c>
      <c r="D10412" s="2" t="s">
        <v>12</v>
      </c>
      <c r="E10412" s="2" t="s">
        <v>66</v>
      </c>
      <c r="F10412" s="2" t="str">
        <f>HYPERLINK("http://bbs.12365auto.com/postcontent.aspx?tId=193564","http://bbs.12365auto.com/postcontent.aspx?tId=193564")</f>
        <v>http://bbs.12365auto.com/postcontent.aspx?tId=193564</v>
      </c>
      <c r="G10412" s="2"/>
      <c r="H10412" s="2" t="s">
        <v>11726</v>
      </c>
      <c r="I10412" s="2" t="s">
        <v>15</v>
      </c>
      <c r="J10412" s="2" t="s">
        <v>4142</v>
      </c>
      <c r="K10412" s="2" t="s">
        <v>13846</v>
      </c>
      <c r="L10412" s="2">
        <f t="shared" si="162"/>
        <v>68</v>
      </c>
    </row>
    <row r="10413" spans="1:12" ht="25" customHeight="1">
      <c r="A10413" s="2" t="s">
        <v>12</v>
      </c>
      <c r="B10413" s="2" t="str">
        <f>HYPERLINK("http://m.12365auto.com/bbs/postcontent.aspx?tID=193564","五菱荣光V变速箱挂挡困难")</f>
        <v>五菱荣光V变速箱挂挡困难</v>
      </c>
      <c r="C10413" s="2" t="s">
        <v>13</v>
      </c>
      <c r="D10413" s="2" t="s">
        <v>23</v>
      </c>
      <c r="E10413" s="2"/>
      <c r="F10413" s="2" t="str">
        <f>HYPERLINK("http://m.12365auto.com/bbs/postcontent.aspx?tID=193564","http://m.12365auto.com/bbs/postcontent.aspx?tID=193564")</f>
        <v>http://m.12365auto.com/bbs/postcontent.aspx?tID=193564</v>
      </c>
      <c r="G10413" s="2"/>
      <c r="H10413" s="2" t="s">
        <v>11726</v>
      </c>
      <c r="I10413" s="2" t="s">
        <v>15</v>
      </c>
      <c r="J10413" s="2" t="s">
        <v>4142</v>
      </c>
      <c r="K10413" s="2" t="s">
        <v>13846</v>
      </c>
      <c r="L10413" s="2">
        <f t="shared" si="162"/>
        <v>68</v>
      </c>
    </row>
    <row r="10414" spans="1:12" ht="25" customHeight="1">
      <c r="A10414" s="2" t="s">
        <v>12</v>
      </c>
      <c r="B10414" s="2" t="str">
        <f>HYPERLINK("http://bbs.12365auto.com/postcontent.aspx?tID=193564&amp;sId=1565&amp;ppage=1&amp;from=s","五菱荣光V变速箱挂挡困难")</f>
        <v>五菱荣光V变速箱挂挡困难</v>
      </c>
      <c r="C10414" s="2" t="s">
        <v>13</v>
      </c>
      <c r="D10414" s="2" t="s">
        <v>12</v>
      </c>
      <c r="E10414" s="2" t="s">
        <v>11729</v>
      </c>
      <c r="F10414" s="2" t="str">
        <f>HYPERLINK("http://bbs.12365auto.com/postcontent.aspx?tID=193564&amp;sId=1565&amp;ppage=1&amp;from=s","http://bbs.12365auto.com/postcontent.aspx?tID=193564&amp;sId=1565&amp;ppage=1&amp;from=s")</f>
        <v>http://bbs.12365auto.com/postcontent.aspx?tID=193564&amp;sId=1565&amp;ppage=1&amp;from=s</v>
      </c>
      <c r="G10414" s="2"/>
      <c r="H10414" s="2" t="s">
        <v>13845</v>
      </c>
      <c r="I10414" s="2" t="s">
        <v>15</v>
      </c>
      <c r="J10414" s="2" t="s">
        <v>13847</v>
      </c>
      <c r="K10414" s="2" t="s">
        <v>13846</v>
      </c>
      <c r="L10414" s="2">
        <f t="shared" si="162"/>
        <v>80</v>
      </c>
    </row>
    <row r="10415" spans="1:12" ht="25" customHeight="1">
      <c r="A10415" s="2" t="s">
        <v>12</v>
      </c>
      <c r="B10415" s="2" t="str">
        <f>HYPERLINK("http://bbs.12365auto.com/postcontent.aspx?tId=193563","名爵HS电动后备箱打开不了了")</f>
        <v>名爵HS电动后备箱打开不了了</v>
      </c>
      <c r="C10415" s="2" t="s">
        <v>13</v>
      </c>
      <c r="D10415" s="2" t="s">
        <v>12</v>
      </c>
      <c r="E10415" s="2" t="s">
        <v>66</v>
      </c>
      <c r="F10415" s="2" t="str">
        <f>HYPERLINK("http://bbs.12365auto.com/postcontent.aspx?tId=193563","http://bbs.12365auto.com/postcontent.aspx?tId=193563")</f>
        <v>http://bbs.12365auto.com/postcontent.aspx?tId=193563</v>
      </c>
      <c r="G10415" s="2"/>
      <c r="H10415" s="2" t="s">
        <v>11724</v>
      </c>
      <c r="I10415" s="2" t="s">
        <v>15</v>
      </c>
      <c r="J10415" s="2" t="s">
        <v>4152</v>
      </c>
      <c r="K10415" s="2" t="s">
        <v>13848</v>
      </c>
      <c r="L10415" s="2">
        <f t="shared" si="162"/>
        <v>113</v>
      </c>
    </row>
    <row r="10416" spans="1:12" ht="25" customHeight="1">
      <c r="A10416" s="2" t="s">
        <v>12</v>
      </c>
      <c r="B10416" s="2" t="str">
        <f>HYPERLINK("http://m.12365auto.com/bbs/postcontent.aspx?tID=193563","名爵HS电动后备箱打开不了了")</f>
        <v>名爵HS电动后备箱打开不了了</v>
      </c>
      <c r="C10416" s="2" t="s">
        <v>13</v>
      </c>
      <c r="D10416" s="2" t="s">
        <v>23</v>
      </c>
      <c r="E10416" s="2"/>
      <c r="F10416" s="2" t="str">
        <f>HYPERLINK("http://m.12365auto.com/bbs/postcontent.aspx?tID=193563","http://m.12365auto.com/bbs/postcontent.aspx?tID=193563")</f>
        <v>http://m.12365auto.com/bbs/postcontent.aspx?tID=193563</v>
      </c>
      <c r="G10416" s="2"/>
      <c r="H10416" s="2" t="s">
        <v>11724</v>
      </c>
      <c r="I10416" s="2" t="s">
        <v>15</v>
      </c>
      <c r="J10416" s="2" t="s">
        <v>4152</v>
      </c>
      <c r="K10416" s="2" t="s">
        <v>13848</v>
      </c>
      <c r="L10416" s="2">
        <f t="shared" si="162"/>
        <v>113</v>
      </c>
    </row>
    <row r="10417" spans="1:12" ht="25" customHeight="1">
      <c r="A10417" s="2" t="s">
        <v>12</v>
      </c>
      <c r="B10417" s="2" t="str">
        <f>HYPERLINK("http://bbs.12365auto.com/postcontent.aspx?tID=193563","名爵HS电动后备箱打开不了了")</f>
        <v>名爵HS电动后备箱打开不了了</v>
      </c>
      <c r="C10417" s="2" t="s">
        <v>13</v>
      </c>
      <c r="D10417" s="2" t="s">
        <v>12</v>
      </c>
      <c r="E10417" s="2" t="s">
        <v>67</v>
      </c>
      <c r="F10417" s="2" t="str">
        <f>HYPERLINK("http://bbs.12365auto.com/postcontent.aspx?tID=193563","http://bbs.12365auto.com/postcontent.aspx?tID=193563")</f>
        <v>http://bbs.12365auto.com/postcontent.aspx?tID=193563</v>
      </c>
      <c r="G10417" s="2"/>
      <c r="H10417" s="2" t="s">
        <v>11728</v>
      </c>
      <c r="I10417" s="2" t="s">
        <v>15</v>
      </c>
      <c r="J10417" s="2" t="s">
        <v>4152</v>
      </c>
      <c r="K10417" s="2" t="s">
        <v>13848</v>
      </c>
      <c r="L10417" s="2">
        <f t="shared" si="162"/>
        <v>127</v>
      </c>
    </row>
    <row r="10418" spans="1:12" ht="25" customHeight="1">
      <c r="A10418" s="2" t="s">
        <v>12</v>
      </c>
      <c r="B10418" s="2" t="str">
        <f>HYPERLINK("http://bbs.12365auto.com/postcontent.aspx?tId=193562","CR-V发动机机油乳化质量不行呀")</f>
        <v>CR-V发动机机油乳化质量不行呀</v>
      </c>
      <c r="C10418" s="2" t="s">
        <v>13</v>
      </c>
      <c r="D10418" s="2" t="s">
        <v>12</v>
      </c>
      <c r="E10418" s="2" t="s">
        <v>66</v>
      </c>
      <c r="F10418" s="2" t="str">
        <f>HYPERLINK("http://bbs.12365auto.com/postcontent.aspx?tId=193562","http://bbs.12365auto.com/postcontent.aspx?tId=193562")</f>
        <v>http://bbs.12365auto.com/postcontent.aspx?tId=193562</v>
      </c>
      <c r="G10418" s="2"/>
      <c r="H10418" s="2" t="s">
        <v>11722</v>
      </c>
      <c r="I10418" s="2" t="s">
        <v>15</v>
      </c>
      <c r="J10418" s="2" t="s">
        <v>4149</v>
      </c>
      <c r="K10418" s="2" t="s">
        <v>13849</v>
      </c>
      <c r="L10418" s="2">
        <f t="shared" si="162"/>
        <v>80</v>
      </c>
    </row>
    <row r="10419" spans="1:12" ht="25" customHeight="1">
      <c r="A10419" s="2" t="s">
        <v>12</v>
      </c>
      <c r="B10419" s="2" t="str">
        <f>HYPERLINK("http://bbs.12365auto.com/postcontent.aspx?tID=193562","CR-V发动机机油乳化质量不行呀")</f>
        <v>CR-V发动机机油乳化质量不行呀</v>
      </c>
      <c r="C10419" s="2" t="s">
        <v>13</v>
      </c>
      <c r="D10419" s="2" t="s">
        <v>12</v>
      </c>
      <c r="E10419" s="2" t="s">
        <v>67</v>
      </c>
      <c r="F10419" s="2" t="str">
        <f>HYPERLINK("http://bbs.12365auto.com/postcontent.aspx?tID=193562","http://bbs.12365auto.com/postcontent.aspx?tID=193562")</f>
        <v>http://bbs.12365auto.com/postcontent.aspx?tID=193562</v>
      </c>
      <c r="G10419" s="2"/>
      <c r="H10419" s="2" t="s">
        <v>13850</v>
      </c>
      <c r="I10419" s="2" t="s">
        <v>15</v>
      </c>
      <c r="J10419" s="2" t="s">
        <v>4149</v>
      </c>
      <c r="K10419" s="2" t="s">
        <v>13849</v>
      </c>
      <c r="L10419" s="2">
        <f t="shared" si="162"/>
        <v>96</v>
      </c>
    </row>
    <row r="10420" spans="1:12" ht="25" customHeight="1">
      <c r="A10420" s="2" t="s">
        <v>12</v>
      </c>
      <c r="B10420" s="2" t="str">
        <f>HYPERLINK("http://bbs.12365auto.com/postcontent.aspx?tId=193561","大众途观天窗卷帘脱胶和漏水")</f>
        <v>大众途观天窗卷帘脱胶和漏水</v>
      </c>
      <c r="C10420" s="2" t="s">
        <v>13</v>
      </c>
      <c r="D10420" s="2" t="s">
        <v>12</v>
      </c>
      <c r="E10420" s="2" t="s">
        <v>66</v>
      </c>
      <c r="F10420" s="2" t="str">
        <f>HYPERLINK("http://bbs.12365auto.com/postcontent.aspx?tId=193561","http://bbs.12365auto.com/postcontent.aspx?tId=193561")</f>
        <v>http://bbs.12365auto.com/postcontent.aspx?tId=193561</v>
      </c>
      <c r="G10420" s="2"/>
      <c r="H10420" s="2" t="s">
        <v>13851</v>
      </c>
      <c r="I10420" s="2" t="s">
        <v>15</v>
      </c>
      <c r="J10420" s="2" t="s">
        <v>13852</v>
      </c>
      <c r="K10420" s="2" t="s">
        <v>13853</v>
      </c>
      <c r="L10420" s="2">
        <f t="shared" si="162"/>
        <v>150</v>
      </c>
    </row>
    <row r="10421" spans="1:12" ht="25" customHeight="1">
      <c r="A10421" s="2" t="s">
        <v>12</v>
      </c>
      <c r="B10421" s="2" t="str">
        <f>HYPERLINK("http://bbs.12365auto.com/postcontent.aspx?tId=193560","宝来天窗排水管漏水质量真差劲")</f>
        <v>宝来天窗排水管漏水质量真差劲</v>
      </c>
      <c r="C10421" s="2" t="s">
        <v>13</v>
      </c>
      <c r="D10421" s="2" t="s">
        <v>12</v>
      </c>
      <c r="E10421" s="2" t="s">
        <v>66</v>
      </c>
      <c r="F10421" s="2" t="str">
        <f>HYPERLINK("http://bbs.12365auto.com/postcontent.aspx?tId=193560","http://bbs.12365auto.com/postcontent.aspx?tId=193560")</f>
        <v>http://bbs.12365auto.com/postcontent.aspx?tId=193560</v>
      </c>
      <c r="G10421" s="2"/>
      <c r="H10421" s="2" t="s">
        <v>13854</v>
      </c>
      <c r="I10421" s="2" t="s">
        <v>15</v>
      </c>
      <c r="J10421" s="2" t="s">
        <v>4156</v>
      </c>
      <c r="K10421" s="2" t="s">
        <v>13853</v>
      </c>
      <c r="L10421" s="2">
        <f t="shared" si="162"/>
        <v>44</v>
      </c>
    </row>
    <row r="10422" spans="1:12" ht="25" customHeight="1">
      <c r="A10422" s="2" t="s">
        <v>12</v>
      </c>
      <c r="B10422" s="2" t="str">
        <f>HYPERLINK("http://m.12365auto.com/bbs/postcontent.aspx?tID=193561","大众途观天窗卷帘脱胶和漏水")</f>
        <v>大众途观天窗卷帘脱胶和漏水</v>
      </c>
      <c r="C10422" s="2" t="s">
        <v>13</v>
      </c>
      <c r="D10422" s="2" t="s">
        <v>23</v>
      </c>
      <c r="E10422" s="2"/>
      <c r="F10422" s="2" t="str">
        <f>HYPERLINK("http://m.12365auto.com/bbs/postcontent.aspx?tID=193561","http://m.12365auto.com/bbs/postcontent.aspx?tID=193561")</f>
        <v>http://m.12365auto.com/bbs/postcontent.aspx?tID=193561</v>
      </c>
      <c r="G10422" s="2"/>
      <c r="H10422" s="2" t="s">
        <v>13851</v>
      </c>
      <c r="I10422" s="2" t="s">
        <v>15</v>
      </c>
      <c r="J10422" s="2" t="s">
        <v>13852</v>
      </c>
      <c r="K10422" s="2" t="s">
        <v>13853</v>
      </c>
      <c r="L10422" s="2">
        <f t="shared" si="162"/>
        <v>150</v>
      </c>
    </row>
    <row r="10423" spans="1:12" ht="25" customHeight="1">
      <c r="A10423" s="2" t="s">
        <v>12</v>
      </c>
      <c r="B10423" s="2" t="str">
        <f>HYPERLINK("http://m.12365auto.com/bbs/postcontent.aspx?tID=193560","宝来天窗排水管漏水质量真差劲")</f>
        <v>宝来天窗排水管漏水质量真差劲</v>
      </c>
      <c r="C10423" s="2" t="s">
        <v>13</v>
      </c>
      <c r="D10423" s="2" t="s">
        <v>23</v>
      </c>
      <c r="E10423" s="2"/>
      <c r="F10423" s="2" t="str">
        <f>HYPERLINK("http://m.12365auto.com/bbs/postcontent.aspx?tID=193560","http://m.12365auto.com/bbs/postcontent.aspx?tID=193560")</f>
        <v>http://m.12365auto.com/bbs/postcontent.aspx?tID=193560</v>
      </c>
      <c r="G10423" s="2"/>
      <c r="H10423" s="2" t="s">
        <v>13854</v>
      </c>
      <c r="I10423" s="2" t="s">
        <v>15</v>
      </c>
      <c r="J10423" s="2" t="s">
        <v>4156</v>
      </c>
      <c r="K10423" s="2" t="s">
        <v>13853</v>
      </c>
      <c r="L10423" s="2">
        <f t="shared" si="162"/>
        <v>44</v>
      </c>
    </row>
    <row r="10424" spans="1:12" ht="25" customHeight="1">
      <c r="A10424" s="2" t="s">
        <v>12</v>
      </c>
      <c r="B10424" s="2" t="str">
        <f>HYPERLINK("http://bbs.12365auto.com/postcontent.aspx?tID=193560","宝来天窗排水管漏水质量真差劲")</f>
        <v>宝来天窗排水管漏水质量真差劲</v>
      </c>
      <c r="C10424" s="2" t="s">
        <v>13</v>
      </c>
      <c r="D10424" s="2" t="s">
        <v>12</v>
      </c>
      <c r="E10424" s="2" t="s">
        <v>67</v>
      </c>
      <c r="F10424" s="2" t="str">
        <f>HYPERLINK("http://bbs.12365auto.com/postcontent.aspx?tID=193560","http://bbs.12365auto.com/postcontent.aspx?tID=193560")</f>
        <v>http://bbs.12365auto.com/postcontent.aspx?tID=193560</v>
      </c>
      <c r="G10424" s="2"/>
      <c r="H10424" s="2" t="s">
        <v>13855</v>
      </c>
      <c r="I10424" s="2" t="s">
        <v>15</v>
      </c>
      <c r="J10424" s="2" t="s">
        <v>4156</v>
      </c>
      <c r="K10424" s="2" t="s">
        <v>13853</v>
      </c>
      <c r="L10424" s="2">
        <f t="shared" si="162"/>
        <v>58</v>
      </c>
    </row>
    <row r="10425" spans="1:12" ht="25" customHeight="1">
      <c r="A10425" s="2" t="s">
        <v>12</v>
      </c>
      <c r="B10425" s="2" t="str">
        <f>HYPERLINK("http://bbs.12365auto.com/postcontent.aspx?tID=193561","大众途观天窗卷帘脱胶和漏水")</f>
        <v>大众途观天窗卷帘脱胶和漏水</v>
      </c>
      <c r="C10425" s="2" t="s">
        <v>13</v>
      </c>
      <c r="D10425" s="2" t="s">
        <v>12</v>
      </c>
      <c r="E10425" s="2" t="s">
        <v>67</v>
      </c>
      <c r="F10425" s="2" t="str">
        <f>HYPERLINK("http://bbs.12365auto.com/postcontent.aspx?tID=193561","http://bbs.12365auto.com/postcontent.aspx?tID=193561")</f>
        <v>http://bbs.12365auto.com/postcontent.aspx?tID=193561</v>
      </c>
      <c r="G10425" s="2"/>
      <c r="H10425" s="2" t="s">
        <v>13856</v>
      </c>
      <c r="I10425" s="2" t="s">
        <v>15</v>
      </c>
      <c r="J10425" s="2" t="s">
        <v>13852</v>
      </c>
      <c r="K10425" s="2" t="s">
        <v>13853</v>
      </c>
      <c r="L10425" s="2">
        <f t="shared" si="162"/>
        <v>150</v>
      </c>
    </row>
    <row r="10426" spans="1:12" ht="25" customHeight="1">
      <c r="A10426" s="2" t="s">
        <v>12</v>
      </c>
      <c r="B10426" s="2" t="str">
        <f>HYPERLINK("http://bbs.12365auto.com/postcontent.aspx?tId=193559","名爵HS蓄电池没电 发动机也启动不了子")</f>
        <v>名爵HS蓄电池没电 发动机也启动不了子</v>
      </c>
      <c r="C10426" s="2" t="s">
        <v>13</v>
      </c>
      <c r="D10426" s="2" t="s">
        <v>12</v>
      </c>
      <c r="E10426" s="2" t="s">
        <v>66</v>
      </c>
      <c r="F10426" s="2" t="str">
        <f>HYPERLINK("http://bbs.12365auto.com/postcontent.aspx?tId=193559","http://bbs.12365auto.com/postcontent.aspx?tId=193559")</f>
        <v>http://bbs.12365auto.com/postcontent.aspx?tId=193559</v>
      </c>
      <c r="G10426" s="2"/>
      <c r="H10426" s="2" t="s">
        <v>13857</v>
      </c>
      <c r="I10426" s="2" t="s">
        <v>15</v>
      </c>
      <c r="J10426" s="2" t="s">
        <v>4160</v>
      </c>
      <c r="K10426" s="2" t="s">
        <v>13858</v>
      </c>
      <c r="L10426" s="2">
        <f t="shared" si="162"/>
        <v>59</v>
      </c>
    </row>
    <row r="10427" spans="1:12" ht="25" customHeight="1">
      <c r="A10427" s="2" t="s">
        <v>12</v>
      </c>
      <c r="B10427" s="2" t="str">
        <f>HYPERLINK("http://bbs.12365auto.com/postcontent.aspx?tId=193558","丰田凯美瑞后备箱液压杆异响变速箱抖动")</f>
        <v>丰田凯美瑞后备箱液压杆异响变速箱抖动</v>
      </c>
      <c r="C10427" s="2" t="s">
        <v>13</v>
      </c>
      <c r="D10427" s="2" t="s">
        <v>12</v>
      </c>
      <c r="E10427" s="2" t="s">
        <v>66</v>
      </c>
      <c r="F10427" s="2" t="str">
        <f>HYPERLINK("http://bbs.12365auto.com/postcontent.aspx?tId=193558","http://bbs.12365auto.com/postcontent.aspx?tId=193558")</f>
        <v>http://bbs.12365auto.com/postcontent.aspx?tId=193558</v>
      </c>
      <c r="G10427" s="2"/>
      <c r="H10427" s="2" t="s">
        <v>13859</v>
      </c>
      <c r="I10427" s="2" t="s">
        <v>15</v>
      </c>
      <c r="J10427" s="2" t="s">
        <v>2150</v>
      </c>
      <c r="K10427" s="2" t="s">
        <v>13858</v>
      </c>
      <c r="L10427" s="2">
        <f t="shared" si="162"/>
        <v>97</v>
      </c>
    </row>
    <row r="10428" spans="1:12" ht="25" customHeight="1">
      <c r="A10428" s="2" t="s">
        <v>12</v>
      </c>
      <c r="B10428" s="2" t="str">
        <f>HYPERLINK("http://bbs.12365auto.com/postcontent.aspx?tId=193556","三菱劲炫ASX启动困难轮胎吃胎偏磨")</f>
        <v>三菱劲炫ASX启动困难轮胎吃胎偏磨</v>
      </c>
      <c r="C10428" s="2" t="s">
        <v>13</v>
      </c>
      <c r="D10428" s="2" t="s">
        <v>12</v>
      </c>
      <c r="E10428" s="2" t="s">
        <v>66</v>
      </c>
      <c r="F10428" s="2" t="str">
        <f>HYPERLINK("http://bbs.12365auto.com/postcontent.aspx?tId=193556","http://bbs.12365auto.com/postcontent.aspx?tId=193556")</f>
        <v>http://bbs.12365auto.com/postcontent.aspx?tId=193556</v>
      </c>
      <c r="G10428" s="2"/>
      <c r="H10428" s="2" t="s">
        <v>13860</v>
      </c>
      <c r="I10428" s="2" t="s">
        <v>15</v>
      </c>
      <c r="J10428" s="2" t="s">
        <v>2154</v>
      </c>
      <c r="K10428" s="2" t="s">
        <v>13858</v>
      </c>
      <c r="L10428" s="2">
        <f t="shared" si="162"/>
        <v>88</v>
      </c>
    </row>
    <row r="10429" spans="1:12" ht="25" customHeight="1">
      <c r="A10429" s="2" t="s">
        <v>12</v>
      </c>
      <c r="B10429" s="2" t="str">
        <f>HYPERLINK("http://bbs.12365auto.com/postcontent.aspx?tId=193557","速腾换挡时变速箱异响声不断")</f>
        <v>速腾换挡时变速箱异响声不断</v>
      </c>
      <c r="C10429" s="2" t="s">
        <v>13</v>
      </c>
      <c r="D10429" s="2" t="s">
        <v>12</v>
      </c>
      <c r="E10429" s="2" t="s">
        <v>66</v>
      </c>
      <c r="F10429" s="2" t="str">
        <f>HYPERLINK("http://bbs.12365auto.com/postcontent.aspx?tId=193557","http://bbs.12365auto.com/postcontent.aspx?tId=193557")</f>
        <v>http://bbs.12365auto.com/postcontent.aspx?tId=193557</v>
      </c>
      <c r="G10429" s="2"/>
      <c r="H10429" s="2" t="s">
        <v>13861</v>
      </c>
      <c r="I10429" s="2" t="s">
        <v>15</v>
      </c>
      <c r="J10429" s="2" t="s">
        <v>4163</v>
      </c>
      <c r="K10429" s="2" t="s">
        <v>13858</v>
      </c>
      <c r="L10429" s="2">
        <f t="shared" si="162"/>
        <v>94</v>
      </c>
    </row>
    <row r="10430" spans="1:12" ht="25" customHeight="1">
      <c r="A10430" s="2" t="s">
        <v>12</v>
      </c>
      <c r="B10430" s="2" t="str">
        <f>HYPERLINK("http://m.12365auto.com/bbs/postcontent.aspx?tID=193557","速腾换挡时变速箱异响声不断")</f>
        <v>速腾换挡时变速箱异响声不断</v>
      </c>
      <c r="C10430" s="2" t="s">
        <v>13</v>
      </c>
      <c r="D10430" s="2" t="s">
        <v>23</v>
      </c>
      <c r="E10430" s="2"/>
      <c r="F10430" s="2" t="str">
        <f>HYPERLINK("http://m.12365auto.com/bbs/postcontent.aspx?tID=193557","http://m.12365auto.com/bbs/postcontent.aspx?tID=193557")</f>
        <v>http://m.12365auto.com/bbs/postcontent.aspx?tID=193557</v>
      </c>
      <c r="G10430" s="2"/>
      <c r="H10430" s="2" t="s">
        <v>13861</v>
      </c>
      <c r="I10430" s="2" t="s">
        <v>15</v>
      </c>
      <c r="J10430" s="2" t="s">
        <v>4163</v>
      </c>
      <c r="K10430" s="2" t="s">
        <v>13858</v>
      </c>
      <c r="L10430" s="2">
        <f t="shared" si="162"/>
        <v>94</v>
      </c>
    </row>
    <row r="10431" spans="1:12" ht="25" customHeight="1">
      <c r="A10431" s="2" t="s">
        <v>12</v>
      </c>
      <c r="B10431" s="2" t="str">
        <f>HYPERLINK("http://m.12365auto.com/bbs/postcontent.aspx?tID=193559","名爵HS蓄电池没电 发动机也启动不了子")</f>
        <v>名爵HS蓄电池没电 发动机也启动不了子</v>
      </c>
      <c r="C10431" s="2" t="s">
        <v>13</v>
      </c>
      <c r="D10431" s="2" t="s">
        <v>23</v>
      </c>
      <c r="E10431" s="2"/>
      <c r="F10431" s="2" t="str">
        <f>HYPERLINK("http://m.12365auto.com/bbs/postcontent.aspx?tID=193559","http://m.12365auto.com/bbs/postcontent.aspx?tID=193559")</f>
        <v>http://m.12365auto.com/bbs/postcontent.aspx?tID=193559</v>
      </c>
      <c r="G10431" s="2"/>
      <c r="H10431" s="2" t="s">
        <v>13857</v>
      </c>
      <c r="I10431" s="2" t="s">
        <v>15</v>
      </c>
      <c r="J10431" s="2" t="s">
        <v>4160</v>
      </c>
      <c r="K10431" s="2" t="s">
        <v>13858</v>
      </c>
      <c r="L10431" s="2">
        <f t="shared" si="162"/>
        <v>59</v>
      </c>
    </row>
    <row r="10432" spans="1:12" ht="25" customHeight="1">
      <c r="A10432" s="2" t="s">
        <v>12</v>
      </c>
      <c r="B10432" s="2" t="str">
        <f>HYPERLINK("http://m.12365auto.com/bbs/postcontent.aspx?tID=193556","三菱劲炫ASX启动困难轮胎吃胎偏磨")</f>
        <v>三菱劲炫ASX启动困难轮胎吃胎偏磨</v>
      </c>
      <c r="C10432" s="2" t="s">
        <v>13</v>
      </c>
      <c r="D10432" s="2" t="s">
        <v>23</v>
      </c>
      <c r="E10432" s="2"/>
      <c r="F10432" s="2" t="str">
        <f>HYPERLINK("http://m.12365auto.com/bbs/postcontent.aspx?tID=193556","http://m.12365auto.com/bbs/postcontent.aspx?tID=193556")</f>
        <v>http://m.12365auto.com/bbs/postcontent.aspx?tID=193556</v>
      </c>
      <c r="G10432" s="2"/>
      <c r="H10432" s="2" t="s">
        <v>13860</v>
      </c>
      <c r="I10432" s="2" t="s">
        <v>15</v>
      </c>
      <c r="J10432" s="2" t="s">
        <v>2154</v>
      </c>
      <c r="K10432" s="2" t="s">
        <v>13858</v>
      </c>
      <c r="L10432" s="2">
        <f t="shared" si="162"/>
        <v>88</v>
      </c>
    </row>
    <row r="10433" spans="1:12" ht="25" customHeight="1">
      <c r="A10433" s="2" t="s">
        <v>12</v>
      </c>
      <c r="B10433" s="2" t="str">
        <f>HYPERLINK("http://m.12365auto.com/bbs/postcontent.aspx?tID=193558","丰田凯美瑞后备箱液压杆异响变速箱抖动")</f>
        <v>丰田凯美瑞后备箱液压杆异响变速箱抖动</v>
      </c>
      <c r="C10433" s="2" t="s">
        <v>13</v>
      </c>
      <c r="D10433" s="2" t="s">
        <v>23</v>
      </c>
      <c r="E10433" s="2"/>
      <c r="F10433" s="2" t="str">
        <f>HYPERLINK("http://m.12365auto.com/bbs/postcontent.aspx?tID=193558","http://m.12365auto.com/bbs/postcontent.aspx?tID=193558")</f>
        <v>http://m.12365auto.com/bbs/postcontent.aspx?tID=193558</v>
      </c>
      <c r="G10433" s="2"/>
      <c r="H10433" s="2" t="s">
        <v>13859</v>
      </c>
      <c r="I10433" s="2" t="s">
        <v>15</v>
      </c>
      <c r="J10433" s="2" t="s">
        <v>2150</v>
      </c>
      <c r="K10433" s="2" t="s">
        <v>13858</v>
      </c>
      <c r="L10433" s="2">
        <f t="shared" si="162"/>
        <v>97</v>
      </c>
    </row>
    <row r="10434" spans="1:12" ht="25" customHeight="1">
      <c r="A10434" s="2" t="s">
        <v>12</v>
      </c>
      <c r="B10434" s="2" t="str">
        <f>HYPERLINK("http://bbs.12365auto.com/postcontent.aspx?tID=193556","三菱劲炫ASX启动困难轮胎吃胎偏磨")</f>
        <v>三菱劲炫ASX启动困难轮胎吃胎偏磨</v>
      </c>
      <c r="C10434" s="2" t="s">
        <v>13</v>
      </c>
      <c r="D10434" s="2" t="s">
        <v>12</v>
      </c>
      <c r="E10434" s="2" t="s">
        <v>67</v>
      </c>
      <c r="F10434" s="2" t="str">
        <f>HYPERLINK("http://bbs.12365auto.com/postcontent.aspx?tID=193556","http://bbs.12365auto.com/postcontent.aspx?tID=193556")</f>
        <v>http://bbs.12365auto.com/postcontent.aspx?tID=193556</v>
      </c>
      <c r="G10434" s="2"/>
      <c r="H10434" s="2" t="s">
        <v>13862</v>
      </c>
      <c r="I10434" s="2" t="s">
        <v>15</v>
      </c>
      <c r="J10434" s="2" t="s">
        <v>2154</v>
      </c>
      <c r="K10434" s="2" t="s">
        <v>13858</v>
      </c>
      <c r="L10434" s="2">
        <f t="shared" si="162"/>
        <v>105</v>
      </c>
    </row>
    <row r="10435" spans="1:12" ht="25" customHeight="1">
      <c r="A10435" s="2" t="s">
        <v>12</v>
      </c>
      <c r="B10435" s="2" t="str">
        <f>HYPERLINK("http://bbs.12365auto.com/postcontent.aspx?tID=193558","丰田凯美瑞后备箱液压杆异响变速箱抖动")</f>
        <v>丰田凯美瑞后备箱液压杆异响变速箱抖动</v>
      </c>
      <c r="C10435" s="2" t="s">
        <v>13</v>
      </c>
      <c r="D10435" s="2" t="s">
        <v>12</v>
      </c>
      <c r="E10435" s="2" t="s">
        <v>67</v>
      </c>
      <c r="F10435" s="2" t="str">
        <f>HYPERLINK("http://bbs.12365auto.com/postcontent.aspx?tID=193558","http://bbs.12365auto.com/postcontent.aspx?tID=193558")</f>
        <v>http://bbs.12365auto.com/postcontent.aspx?tID=193558</v>
      </c>
      <c r="G10435" s="2"/>
      <c r="H10435" s="2" t="s">
        <v>13863</v>
      </c>
      <c r="I10435" s="2" t="s">
        <v>15</v>
      </c>
      <c r="J10435" s="2" t="s">
        <v>2150</v>
      </c>
      <c r="K10435" s="2" t="s">
        <v>13858</v>
      </c>
      <c r="L10435" s="2">
        <f t="shared" ref="L10435:L10498" si="163">LEN(H10435)</f>
        <v>115</v>
      </c>
    </row>
    <row r="10436" spans="1:12" ht="25" customHeight="1">
      <c r="A10436" s="2" t="s">
        <v>12</v>
      </c>
      <c r="B10436" s="2" t="str">
        <f>HYPERLINK("http://bbs.12365auto.com/postcontent.aspx?tID=193557","速腾换挡时变速箱异响声不断")</f>
        <v>速腾换挡时变速箱异响声不断</v>
      </c>
      <c r="C10436" s="2" t="s">
        <v>13</v>
      </c>
      <c r="D10436" s="2" t="s">
        <v>12</v>
      </c>
      <c r="E10436" s="2" t="s">
        <v>67</v>
      </c>
      <c r="F10436" s="2" t="str">
        <f>HYPERLINK("http://bbs.12365auto.com/postcontent.aspx?tID=193557","http://bbs.12365auto.com/postcontent.aspx?tID=193557")</f>
        <v>http://bbs.12365auto.com/postcontent.aspx?tID=193557</v>
      </c>
      <c r="G10436" s="2"/>
      <c r="H10436" s="2" t="s">
        <v>13864</v>
      </c>
      <c r="I10436" s="2" t="s">
        <v>15</v>
      </c>
      <c r="J10436" s="2" t="s">
        <v>4163</v>
      </c>
      <c r="K10436" s="2" t="s">
        <v>13858</v>
      </c>
      <c r="L10436" s="2">
        <f t="shared" si="163"/>
        <v>107</v>
      </c>
    </row>
    <row r="10437" spans="1:12" ht="25" customHeight="1">
      <c r="A10437" s="2" t="s">
        <v>12</v>
      </c>
      <c r="B10437" s="2" t="str">
        <f>HYPERLINK("http://bbs.12365auto.com/postcontent.aspx?tID=193559","名爵HS蓄电池没电 发动机也启动不了子")</f>
        <v>名爵HS蓄电池没电 发动机也启动不了子</v>
      </c>
      <c r="C10437" s="2" t="s">
        <v>13</v>
      </c>
      <c r="D10437" s="2" t="s">
        <v>12</v>
      </c>
      <c r="E10437" s="2" t="s">
        <v>67</v>
      </c>
      <c r="F10437" s="2" t="str">
        <f>HYPERLINK("http://bbs.12365auto.com/postcontent.aspx?tID=193559","http://bbs.12365auto.com/postcontent.aspx?tID=193559")</f>
        <v>http://bbs.12365auto.com/postcontent.aspx?tID=193559</v>
      </c>
      <c r="G10437" s="2"/>
      <c r="H10437" s="2" t="s">
        <v>13865</v>
      </c>
      <c r="I10437" s="2" t="s">
        <v>15</v>
      </c>
      <c r="J10437" s="2" t="s">
        <v>4160</v>
      </c>
      <c r="K10437" s="2" t="s">
        <v>13858</v>
      </c>
      <c r="L10437" s="2">
        <f t="shared" si="163"/>
        <v>78</v>
      </c>
    </row>
    <row r="10438" spans="1:12" ht="25" customHeight="1">
      <c r="A10438" s="2" t="s">
        <v>12</v>
      </c>
      <c r="B10438" s="2" t="str">
        <f>HYPERLINK("http://bbs.12365auto.com/postcontent.aspx?tId=193555","宝马3系中控台异响无法修复了")</f>
        <v>宝马3系中控台异响无法修复了</v>
      </c>
      <c r="C10438" s="2" t="s">
        <v>13</v>
      </c>
      <c r="D10438" s="2" t="s">
        <v>12</v>
      </c>
      <c r="E10438" s="2" t="s">
        <v>66</v>
      </c>
      <c r="F10438" s="2" t="str">
        <f>HYPERLINK("http://bbs.12365auto.com/postcontent.aspx?tId=193555","http://bbs.12365auto.com/postcontent.aspx?tId=193555")</f>
        <v>http://bbs.12365auto.com/postcontent.aspx?tId=193555</v>
      </c>
      <c r="G10438" s="2"/>
      <c r="H10438" s="2" t="s">
        <v>13866</v>
      </c>
      <c r="I10438" s="2" t="s">
        <v>15</v>
      </c>
      <c r="J10438" s="2" t="s">
        <v>4169</v>
      </c>
      <c r="K10438" s="2" t="s">
        <v>13867</v>
      </c>
      <c r="L10438" s="2">
        <f t="shared" si="163"/>
        <v>57</v>
      </c>
    </row>
    <row r="10439" spans="1:12" ht="25" customHeight="1">
      <c r="A10439" s="2" t="s">
        <v>12</v>
      </c>
      <c r="B10439" s="2" t="str">
        <f>HYPERLINK("http://bbs.12365auto.com/postcontent.aspx?tId=193554","日产天籁前后叶子板有色差越来越严重")</f>
        <v>日产天籁前后叶子板有色差越来越严重</v>
      </c>
      <c r="C10439" s="2" t="s">
        <v>13</v>
      </c>
      <c r="D10439" s="2" t="s">
        <v>12</v>
      </c>
      <c r="E10439" s="2" t="s">
        <v>66</v>
      </c>
      <c r="F10439" s="2" t="str">
        <f>HYPERLINK("http://bbs.12365auto.com/postcontent.aspx?tId=193554","http://bbs.12365auto.com/postcontent.aspx?tId=193554")</f>
        <v>http://bbs.12365auto.com/postcontent.aspx?tId=193554</v>
      </c>
      <c r="G10439" s="2"/>
      <c r="H10439" s="2" t="s">
        <v>13868</v>
      </c>
      <c r="I10439" s="2" t="s">
        <v>15</v>
      </c>
      <c r="J10439" s="2" t="s">
        <v>7792</v>
      </c>
      <c r="K10439" s="2" t="s">
        <v>13867</v>
      </c>
      <c r="L10439" s="2">
        <f t="shared" si="163"/>
        <v>57</v>
      </c>
    </row>
    <row r="10440" spans="1:12" ht="25" customHeight="1">
      <c r="A10440" s="2" t="s">
        <v>12</v>
      </c>
      <c r="B10440" s="2" t="str">
        <f>HYPERLINK("http://m.12365auto.com/bbs/postcontent.aspx?tID=193555","宝马3系中控台异响无法修复了")</f>
        <v>宝马3系中控台异响无法修复了</v>
      </c>
      <c r="C10440" s="2" t="s">
        <v>13</v>
      </c>
      <c r="D10440" s="2" t="s">
        <v>23</v>
      </c>
      <c r="E10440" s="2"/>
      <c r="F10440" s="2" t="str">
        <f>HYPERLINK("http://m.12365auto.com/bbs/postcontent.aspx?tID=193555","http://m.12365auto.com/bbs/postcontent.aspx?tID=193555")</f>
        <v>http://m.12365auto.com/bbs/postcontent.aspx?tID=193555</v>
      </c>
      <c r="G10440" s="2"/>
      <c r="H10440" s="2" t="s">
        <v>13866</v>
      </c>
      <c r="I10440" s="2" t="s">
        <v>15</v>
      </c>
      <c r="J10440" s="2" t="s">
        <v>4169</v>
      </c>
      <c r="K10440" s="2" t="s">
        <v>13867</v>
      </c>
      <c r="L10440" s="2">
        <f t="shared" si="163"/>
        <v>57</v>
      </c>
    </row>
    <row r="10441" spans="1:12" ht="25" customHeight="1">
      <c r="A10441" s="2" t="s">
        <v>12</v>
      </c>
      <c r="B10441" s="2" t="str">
        <f>HYPERLINK("http://m.12365auto.com/bbs/postcontent.aspx?tID=193554","日产天籁前后叶子板有色差越来越严重")</f>
        <v>日产天籁前后叶子板有色差越来越严重</v>
      </c>
      <c r="C10441" s="2" t="s">
        <v>13</v>
      </c>
      <c r="D10441" s="2" t="s">
        <v>23</v>
      </c>
      <c r="E10441" s="2"/>
      <c r="F10441" s="2" t="str">
        <f>HYPERLINK("http://m.12365auto.com/bbs/postcontent.aspx?tID=193554","http://m.12365auto.com/bbs/postcontent.aspx?tID=193554")</f>
        <v>http://m.12365auto.com/bbs/postcontent.aspx?tID=193554</v>
      </c>
      <c r="G10441" s="2"/>
      <c r="H10441" s="2" t="s">
        <v>13868</v>
      </c>
      <c r="I10441" s="2" t="s">
        <v>15</v>
      </c>
      <c r="J10441" s="2" t="s">
        <v>7792</v>
      </c>
      <c r="K10441" s="2" t="s">
        <v>13867</v>
      </c>
      <c r="L10441" s="2">
        <f t="shared" si="163"/>
        <v>57</v>
      </c>
    </row>
    <row r="10442" spans="1:12" ht="25" customHeight="1">
      <c r="A10442" s="2" t="s">
        <v>12</v>
      </c>
      <c r="B10442" s="2" t="str">
        <f>HYPERLINK("http://bbs.12365auto.com/postcontent.aspx?tID=193554","日产天籁前后叶子板有色差越来越严重")</f>
        <v>日产天籁前后叶子板有色差越来越严重</v>
      </c>
      <c r="C10442" s="2" t="s">
        <v>13</v>
      </c>
      <c r="D10442" s="2" t="s">
        <v>12</v>
      </c>
      <c r="E10442" s="2" t="s">
        <v>67</v>
      </c>
      <c r="F10442" s="2" t="str">
        <f>HYPERLINK("http://bbs.12365auto.com/postcontent.aspx?tID=193554","http://bbs.12365auto.com/postcontent.aspx?tID=193554")</f>
        <v>http://bbs.12365auto.com/postcontent.aspx?tID=193554</v>
      </c>
      <c r="G10442" s="2"/>
      <c r="H10442" s="2" t="s">
        <v>13869</v>
      </c>
      <c r="I10442" s="2" t="s">
        <v>15</v>
      </c>
      <c r="J10442" s="2" t="s">
        <v>7792</v>
      </c>
      <c r="K10442" s="2" t="s">
        <v>13867</v>
      </c>
      <c r="L10442" s="2">
        <f t="shared" si="163"/>
        <v>74</v>
      </c>
    </row>
    <row r="10443" spans="1:12" ht="25" customHeight="1">
      <c r="A10443" s="2" t="s">
        <v>12</v>
      </c>
      <c r="B10443" s="2" t="str">
        <f>HYPERLINK("http://bbs.12365auto.com/postcontent.aspx?tID=193555","宝马3系中控台异响无法修复了")</f>
        <v>宝马3系中控台异响无法修复了</v>
      </c>
      <c r="C10443" s="2" t="s">
        <v>13</v>
      </c>
      <c r="D10443" s="2" t="s">
        <v>12</v>
      </c>
      <c r="E10443" s="2" t="s">
        <v>67</v>
      </c>
      <c r="F10443" s="2" t="str">
        <f>HYPERLINK("http://bbs.12365auto.com/postcontent.aspx?tID=193555","http://bbs.12365auto.com/postcontent.aspx?tID=193555")</f>
        <v>http://bbs.12365auto.com/postcontent.aspx?tID=193555</v>
      </c>
      <c r="G10443" s="2"/>
      <c r="H10443" s="2" t="s">
        <v>13870</v>
      </c>
      <c r="I10443" s="2" t="s">
        <v>15</v>
      </c>
      <c r="J10443" s="2" t="s">
        <v>4169</v>
      </c>
      <c r="K10443" s="2" t="s">
        <v>13867</v>
      </c>
      <c r="L10443" s="2">
        <f t="shared" si="163"/>
        <v>71</v>
      </c>
    </row>
    <row r="10444" spans="1:12" ht="25" customHeight="1">
      <c r="A10444" s="2" t="s">
        <v>12</v>
      </c>
      <c r="B10444" s="2" t="str">
        <f>HYPERLINK("http://bbs.12365auto.com/postcontent.aspx?tId=193553","这个是啥质量 远景X6漆面掉漆龟裂")</f>
        <v>这个是啥质量 远景X6漆面掉漆龟裂</v>
      </c>
      <c r="C10444" s="2" t="s">
        <v>13</v>
      </c>
      <c r="D10444" s="2" t="s">
        <v>12</v>
      </c>
      <c r="E10444" s="2" t="s">
        <v>66</v>
      </c>
      <c r="F10444" s="2" t="str">
        <f>HYPERLINK("http://bbs.12365auto.com/postcontent.aspx?tId=193553","http://bbs.12365auto.com/postcontent.aspx?tId=193553")</f>
        <v>http://bbs.12365auto.com/postcontent.aspx?tId=193553</v>
      </c>
      <c r="G10444" s="2"/>
      <c r="H10444" s="2" t="s">
        <v>13871</v>
      </c>
      <c r="I10444" s="2" t="s">
        <v>15</v>
      </c>
      <c r="J10444" s="2" t="s">
        <v>2158</v>
      </c>
      <c r="K10444" s="2" t="s">
        <v>13872</v>
      </c>
      <c r="L10444" s="2">
        <f t="shared" si="163"/>
        <v>99</v>
      </c>
    </row>
    <row r="10445" spans="1:12" ht="25" customHeight="1">
      <c r="A10445" s="2" t="s">
        <v>12</v>
      </c>
      <c r="B10445" s="2" t="str">
        <f>HYPERLINK("http://bbs.12365auto.com/postcontent.aspx?tId=193552","风神A30转向卡滞方向盘沉重质量差")</f>
        <v>风神A30转向卡滞方向盘沉重质量差</v>
      </c>
      <c r="C10445" s="2" t="s">
        <v>13</v>
      </c>
      <c r="D10445" s="2" t="s">
        <v>12</v>
      </c>
      <c r="E10445" s="2" t="s">
        <v>66</v>
      </c>
      <c r="F10445" s="2" t="str">
        <f>HYPERLINK("http://bbs.12365auto.com/postcontent.aspx?tId=193552","http://bbs.12365auto.com/postcontent.aspx?tId=193552")</f>
        <v>http://bbs.12365auto.com/postcontent.aspx?tId=193552</v>
      </c>
      <c r="G10445" s="2"/>
      <c r="H10445" s="2" t="s">
        <v>13873</v>
      </c>
      <c r="I10445" s="2" t="s">
        <v>15</v>
      </c>
      <c r="J10445" s="2" t="s">
        <v>4166</v>
      </c>
      <c r="K10445" s="2" t="s">
        <v>13872</v>
      </c>
      <c r="L10445" s="2">
        <f t="shared" si="163"/>
        <v>81</v>
      </c>
    </row>
    <row r="10446" spans="1:12" ht="25" customHeight="1">
      <c r="A10446" s="2" t="s">
        <v>12</v>
      </c>
      <c r="B10446" s="2" t="str">
        <f>HYPERLINK("http://m.12365auto.com/bbs/postcontent.aspx?tID=193552","风神A30转向卡滞方向盘沉重质量差")</f>
        <v>风神A30转向卡滞方向盘沉重质量差</v>
      </c>
      <c r="C10446" s="2" t="s">
        <v>13</v>
      </c>
      <c r="D10446" s="2" t="s">
        <v>23</v>
      </c>
      <c r="E10446" s="2"/>
      <c r="F10446" s="2" t="str">
        <f>HYPERLINK("http://m.12365auto.com/bbs/postcontent.aspx?tID=193552","http://m.12365auto.com/bbs/postcontent.aspx?tID=193552")</f>
        <v>http://m.12365auto.com/bbs/postcontent.aspx?tID=193552</v>
      </c>
      <c r="G10446" s="2"/>
      <c r="H10446" s="2" t="s">
        <v>13873</v>
      </c>
      <c r="I10446" s="2" t="s">
        <v>15</v>
      </c>
      <c r="J10446" s="2" t="s">
        <v>4166</v>
      </c>
      <c r="K10446" s="2" t="s">
        <v>13872</v>
      </c>
      <c r="L10446" s="2">
        <f t="shared" si="163"/>
        <v>81</v>
      </c>
    </row>
    <row r="10447" spans="1:12" ht="25" customHeight="1">
      <c r="A10447" s="2" t="s">
        <v>12</v>
      </c>
      <c r="B10447" s="2" t="str">
        <f>HYPERLINK("http://m.12365auto.com/bbs/postcontent.aspx?tID=193553","这个是啥质量 远景X6漆面掉漆龟裂")</f>
        <v>这个是啥质量 远景X6漆面掉漆龟裂</v>
      </c>
      <c r="C10447" s="2" t="s">
        <v>13</v>
      </c>
      <c r="D10447" s="2" t="s">
        <v>23</v>
      </c>
      <c r="E10447" s="2"/>
      <c r="F10447" s="2" t="str">
        <f>HYPERLINK("http://m.12365auto.com/bbs/postcontent.aspx?tID=193553","http://m.12365auto.com/bbs/postcontent.aspx?tID=193553")</f>
        <v>http://m.12365auto.com/bbs/postcontent.aspx?tID=193553</v>
      </c>
      <c r="G10447" s="2"/>
      <c r="H10447" s="2" t="s">
        <v>13871</v>
      </c>
      <c r="I10447" s="2" t="s">
        <v>15</v>
      </c>
      <c r="J10447" s="2" t="s">
        <v>2158</v>
      </c>
      <c r="K10447" s="2" t="s">
        <v>13872</v>
      </c>
      <c r="L10447" s="2">
        <f t="shared" si="163"/>
        <v>99</v>
      </c>
    </row>
    <row r="10448" spans="1:12" ht="25" customHeight="1">
      <c r="A10448" s="2" t="s">
        <v>12</v>
      </c>
      <c r="B10448" s="2" t="str">
        <f>HYPERLINK("http://bbs.12365auto.com/postcontent.aspx?tID=193553","这个是啥质量 远景X6漆面掉漆龟裂")</f>
        <v>这个是啥质量 远景X6漆面掉漆龟裂</v>
      </c>
      <c r="C10448" s="2" t="s">
        <v>13</v>
      </c>
      <c r="D10448" s="2" t="s">
        <v>12</v>
      </c>
      <c r="E10448" s="2" t="s">
        <v>67</v>
      </c>
      <c r="F10448" s="2" t="str">
        <f>HYPERLINK("http://bbs.12365auto.com/postcontent.aspx?tID=193553","http://bbs.12365auto.com/postcontent.aspx?tID=193553")</f>
        <v>http://bbs.12365auto.com/postcontent.aspx?tID=193553</v>
      </c>
      <c r="G10448" s="2"/>
      <c r="H10448" s="2" t="s">
        <v>13874</v>
      </c>
      <c r="I10448" s="2" t="s">
        <v>15</v>
      </c>
      <c r="J10448" s="2" t="s">
        <v>2158</v>
      </c>
      <c r="K10448" s="2" t="s">
        <v>13872</v>
      </c>
      <c r="L10448" s="2">
        <f t="shared" si="163"/>
        <v>116</v>
      </c>
    </row>
    <row r="10449" spans="1:12" ht="25" customHeight="1">
      <c r="A10449" s="2" t="s">
        <v>12</v>
      </c>
      <c r="B10449" s="2" t="str">
        <f>HYPERLINK("http://bbs.12365auto.com/postcontent.aspx?tID=193552","风神A30转向卡滞方向盘沉重质量差")</f>
        <v>风神A30转向卡滞方向盘沉重质量差</v>
      </c>
      <c r="C10449" s="2" t="s">
        <v>13</v>
      </c>
      <c r="D10449" s="2" t="s">
        <v>12</v>
      </c>
      <c r="E10449" s="2" t="s">
        <v>67</v>
      </c>
      <c r="F10449" s="2" t="str">
        <f>HYPERLINK("http://bbs.12365auto.com/postcontent.aspx?tID=193552","http://bbs.12365auto.com/postcontent.aspx?tID=193552")</f>
        <v>http://bbs.12365auto.com/postcontent.aspx?tID=193552</v>
      </c>
      <c r="G10449" s="2"/>
      <c r="H10449" s="2" t="s">
        <v>13875</v>
      </c>
      <c r="I10449" s="2" t="s">
        <v>15</v>
      </c>
      <c r="J10449" s="2" t="s">
        <v>4166</v>
      </c>
      <c r="K10449" s="2" t="s">
        <v>13872</v>
      </c>
      <c r="L10449" s="2">
        <f t="shared" si="163"/>
        <v>98</v>
      </c>
    </row>
    <row r="10450" spans="1:12" ht="25" customHeight="1">
      <c r="A10450" s="2" t="s">
        <v>12</v>
      </c>
      <c r="B10450" s="2" t="str">
        <f>HYPERLINK("http://bbs.12365auto.com/postcontent.aspx?tId=193551","名爵6车漆脱落变速箱顿挫")</f>
        <v>名爵6车漆脱落变速箱顿挫</v>
      </c>
      <c r="C10450" s="2" t="s">
        <v>13</v>
      </c>
      <c r="D10450" s="2" t="s">
        <v>12</v>
      </c>
      <c r="E10450" s="2" t="s">
        <v>66</v>
      </c>
      <c r="F10450" s="2" t="str">
        <f>HYPERLINK("http://bbs.12365auto.com/postcontent.aspx?tId=193551","http://bbs.12365auto.com/postcontent.aspx?tId=193551")</f>
        <v>http://bbs.12365auto.com/postcontent.aspx?tId=193551</v>
      </c>
      <c r="G10450" s="2"/>
      <c r="H10450" s="2" t="s">
        <v>13876</v>
      </c>
      <c r="I10450" s="2" t="s">
        <v>15</v>
      </c>
      <c r="J10450" s="2" t="s">
        <v>2165</v>
      </c>
      <c r="K10450" s="2" t="s">
        <v>13877</v>
      </c>
      <c r="L10450" s="2">
        <f t="shared" si="163"/>
        <v>150</v>
      </c>
    </row>
    <row r="10451" spans="1:12" ht="25" customHeight="1">
      <c r="A10451" s="2" t="s">
        <v>12</v>
      </c>
      <c r="B10451" s="2" t="str">
        <f>HYPERLINK("http://bbs.12365auto.com/postcontent.aspx?tID=193551","名爵6车漆脱落变速箱顿挫")</f>
        <v>名爵6车漆脱落变速箱顿挫</v>
      </c>
      <c r="C10451" s="2" t="s">
        <v>13</v>
      </c>
      <c r="D10451" s="2" t="s">
        <v>12</v>
      </c>
      <c r="E10451" s="2" t="s">
        <v>67</v>
      </c>
      <c r="F10451" s="2" t="str">
        <f>HYPERLINK("http://bbs.12365auto.com/postcontent.aspx?tID=193551","http://bbs.12365auto.com/postcontent.aspx?tID=193551")</f>
        <v>http://bbs.12365auto.com/postcontent.aspx?tID=193551</v>
      </c>
      <c r="G10451" s="2"/>
      <c r="H10451" s="2" t="s">
        <v>13878</v>
      </c>
      <c r="I10451" s="2" t="s">
        <v>15</v>
      </c>
      <c r="J10451" s="2" t="s">
        <v>2165</v>
      </c>
      <c r="K10451" s="2" t="s">
        <v>13877</v>
      </c>
      <c r="L10451" s="2">
        <f t="shared" si="163"/>
        <v>150</v>
      </c>
    </row>
    <row r="10452" spans="1:12" ht="25" customHeight="1">
      <c r="A10452" s="2" t="s">
        <v>12</v>
      </c>
      <c r="B10452" s="2" t="str">
        <f>HYPERLINK("http://bbs.12365auto.com/postcontent.aspx?tId=193550","长安马自达昂克赛拉挡把脱皮仪表盘掉漆")</f>
        <v>长安马自达昂克赛拉挡把脱皮仪表盘掉漆</v>
      </c>
      <c r="C10452" s="2" t="s">
        <v>13</v>
      </c>
      <c r="D10452" s="2" t="s">
        <v>12</v>
      </c>
      <c r="E10452" s="2" t="s">
        <v>66</v>
      </c>
      <c r="F10452" s="2" t="str">
        <f>HYPERLINK("http://bbs.12365auto.com/postcontent.aspx?tId=193550","http://bbs.12365auto.com/postcontent.aspx?tId=193550")</f>
        <v>http://bbs.12365auto.com/postcontent.aspx?tId=193550</v>
      </c>
      <c r="G10452" s="2"/>
      <c r="H10452" s="2" t="s">
        <v>13879</v>
      </c>
      <c r="I10452" s="2" t="s">
        <v>15</v>
      </c>
      <c r="J10452" s="2" t="s">
        <v>2162</v>
      </c>
      <c r="K10452" s="2" t="s">
        <v>13880</v>
      </c>
      <c r="L10452" s="2">
        <f t="shared" si="163"/>
        <v>34</v>
      </c>
    </row>
    <row r="10453" spans="1:12" ht="25" customHeight="1">
      <c r="A10453" s="2" t="s">
        <v>12</v>
      </c>
      <c r="B10453" s="2" t="str">
        <f>HYPERLINK("http://bbs.12365auto.com/postcontent.aspx?tID=193550","长安马自达昂克赛拉挡把脱皮仪表盘掉漆")</f>
        <v>长安马自达昂克赛拉挡把脱皮仪表盘掉漆</v>
      </c>
      <c r="C10453" s="2" t="s">
        <v>13</v>
      </c>
      <c r="D10453" s="2" t="s">
        <v>12</v>
      </c>
      <c r="E10453" s="2" t="s">
        <v>67</v>
      </c>
      <c r="F10453" s="2" t="str">
        <f>HYPERLINK("http://bbs.12365auto.com/postcontent.aspx?tID=193550","http://bbs.12365auto.com/postcontent.aspx?tID=193550")</f>
        <v>http://bbs.12365auto.com/postcontent.aspx?tID=193550</v>
      </c>
      <c r="G10453" s="2"/>
      <c r="H10453" s="2" t="s">
        <v>13881</v>
      </c>
      <c r="I10453" s="2" t="s">
        <v>15</v>
      </c>
      <c r="J10453" s="2" t="s">
        <v>2162</v>
      </c>
      <c r="K10453" s="2" t="s">
        <v>13880</v>
      </c>
      <c r="L10453" s="2">
        <f t="shared" si="163"/>
        <v>52</v>
      </c>
    </row>
    <row r="10454" spans="1:12" ht="25" customHeight="1">
      <c r="A10454" s="2" t="s">
        <v>12</v>
      </c>
      <c r="B10454" s="2" t="str">
        <f>HYPERLINK("http://bbs.12365auto.com/postcontent.aspx?tId=193549","大众奥迪A4L防冻液渗漏")</f>
        <v>大众奥迪A4L防冻液渗漏</v>
      </c>
      <c r="C10454" s="2" t="s">
        <v>13</v>
      </c>
      <c r="D10454" s="2" t="s">
        <v>12</v>
      </c>
      <c r="E10454" s="2" t="s">
        <v>66</v>
      </c>
      <c r="F10454" s="2" t="str">
        <f>HYPERLINK("http://bbs.12365auto.com/postcontent.aspx?tId=193549","http://bbs.12365auto.com/postcontent.aspx?tId=193549")</f>
        <v>http://bbs.12365auto.com/postcontent.aspx?tId=193549</v>
      </c>
      <c r="G10454" s="2"/>
      <c r="H10454" s="2" t="s">
        <v>13882</v>
      </c>
      <c r="I10454" s="2" t="s">
        <v>15</v>
      </c>
      <c r="J10454" s="2" t="s">
        <v>3959</v>
      </c>
      <c r="K10454" s="2" t="s">
        <v>13883</v>
      </c>
      <c r="L10454" s="2">
        <f t="shared" si="163"/>
        <v>57</v>
      </c>
    </row>
    <row r="10455" spans="1:12" ht="25" customHeight="1">
      <c r="A10455" s="2" t="s">
        <v>12</v>
      </c>
      <c r="B10455" s="2" t="str">
        <f>HYPERLINK("http://bbs.12365auto.com/postcontent.aspx?tID=193549","大众奥迪A4L防冻液渗漏")</f>
        <v>大众奥迪A4L防冻液渗漏</v>
      </c>
      <c r="C10455" s="2" t="s">
        <v>13</v>
      </c>
      <c r="D10455" s="2" t="s">
        <v>12</v>
      </c>
      <c r="E10455" s="2" t="s">
        <v>67</v>
      </c>
      <c r="F10455" s="2" t="str">
        <f>HYPERLINK("http://bbs.12365auto.com/postcontent.aspx?tID=193549","http://bbs.12365auto.com/postcontent.aspx?tID=193549")</f>
        <v>http://bbs.12365auto.com/postcontent.aspx?tID=193549</v>
      </c>
      <c r="G10455" s="2"/>
      <c r="H10455" s="2" t="s">
        <v>13884</v>
      </c>
      <c r="I10455" s="2" t="s">
        <v>15</v>
      </c>
      <c r="J10455" s="2" t="s">
        <v>3959</v>
      </c>
      <c r="K10455" s="2" t="s">
        <v>13883</v>
      </c>
      <c r="L10455" s="2">
        <f t="shared" si="163"/>
        <v>69</v>
      </c>
    </row>
    <row r="10456" spans="1:12" ht="25" customHeight="1">
      <c r="A10456" s="2" t="s">
        <v>12</v>
      </c>
      <c r="B10456" s="2" t="str">
        <f>HYPERLINK("http://bbs.12365auto.com/postcontent.aspx?tId=193546","烧机油的问题如何处理？")</f>
        <v>烧机油的问题如何处理？</v>
      </c>
      <c r="C10456" s="2" t="s">
        <v>13</v>
      </c>
      <c r="D10456" s="2" t="s">
        <v>12</v>
      </c>
      <c r="E10456" s="2" t="s">
        <v>66</v>
      </c>
      <c r="F10456" s="2" t="str">
        <f>HYPERLINK("http://bbs.12365auto.com/postcontent.aspx?tId=193546","http://bbs.12365auto.com/postcontent.aspx?tId=193546")</f>
        <v>http://bbs.12365auto.com/postcontent.aspx?tId=193546</v>
      </c>
      <c r="G10456" s="2"/>
      <c r="H10456" s="2" t="s">
        <v>6340</v>
      </c>
      <c r="I10456" s="2" t="s">
        <v>15</v>
      </c>
      <c r="J10456" s="2" t="s">
        <v>3895</v>
      </c>
      <c r="K10456" s="2" t="s">
        <v>13885</v>
      </c>
      <c r="L10456" s="2">
        <f t="shared" si="163"/>
        <v>150</v>
      </c>
    </row>
    <row r="10457" spans="1:12" ht="25" customHeight="1">
      <c r="A10457" s="2" t="s">
        <v>12</v>
      </c>
      <c r="B10457" s="2" t="str">
        <f>HYPERLINK("http://bbs.12365auto.com/postcontent.aspx?tID=193548&amp;sId=1650&amp;ppage=1&amp;from=s","无任何动力是变速箱的问题吗？")</f>
        <v>无任何动力是变速箱的问题吗？</v>
      </c>
      <c r="C10457" s="2" t="s">
        <v>13</v>
      </c>
      <c r="D10457" s="2" t="s">
        <v>12</v>
      </c>
      <c r="E10457" s="2" t="s">
        <v>564</v>
      </c>
      <c r="F10457" s="2" t="str">
        <f>HYPERLINK("http://bbs.12365auto.com/postcontent.aspx?tID=193548&amp;sId=1650&amp;ppage=1&amp;from=s","http://bbs.12365auto.com/postcontent.aspx?tID=193548&amp;sId=1650&amp;ppage=1&amp;from=s")</f>
        <v>http://bbs.12365auto.com/postcontent.aspx?tID=193548&amp;sId=1650&amp;ppage=1&amp;from=s</v>
      </c>
      <c r="G10457" s="2"/>
      <c r="H10457" s="2" t="s">
        <v>13886</v>
      </c>
      <c r="I10457" s="2" t="s">
        <v>15</v>
      </c>
      <c r="J10457" s="2" t="s">
        <v>13887</v>
      </c>
      <c r="K10457" s="2" t="s">
        <v>13885</v>
      </c>
      <c r="L10457" s="2">
        <f t="shared" si="163"/>
        <v>150</v>
      </c>
    </row>
    <row r="10458" spans="1:12" ht="25" customHeight="1">
      <c r="A10458" s="2" t="s">
        <v>12</v>
      </c>
      <c r="B10458" s="2" t="str">
        <f>HYPERLINK("http://m.12365auto.com/bbs/postcontent.aspx?tID=193546&amp;i=1","烧机油的问题如何处理？")</f>
        <v>烧机油的问题如何处理？</v>
      </c>
      <c r="C10458" s="2" t="s">
        <v>13</v>
      </c>
      <c r="D10458" s="2" t="s">
        <v>23</v>
      </c>
      <c r="E10458" s="2"/>
      <c r="F10458" s="2" t="str">
        <f>HYPERLINK("http://m.12365auto.com/bbs/postcontent.aspx?tID=193546&amp;i=1","http://m.12365auto.com/bbs/postcontent.aspx?tID=193546&amp;i=1")</f>
        <v>http://m.12365auto.com/bbs/postcontent.aspx?tID=193546&amp;i=1</v>
      </c>
      <c r="G10458" s="2"/>
      <c r="H10458" s="2" t="s">
        <v>6340</v>
      </c>
      <c r="I10458" s="2" t="s">
        <v>15</v>
      </c>
      <c r="J10458" s="2" t="s">
        <v>3895</v>
      </c>
      <c r="K10458" s="2" t="s">
        <v>13885</v>
      </c>
      <c r="L10458" s="2">
        <f t="shared" si="163"/>
        <v>150</v>
      </c>
    </row>
    <row r="10459" spans="1:12" ht="25" customHeight="1">
      <c r="A10459" s="2" t="s">
        <v>12</v>
      </c>
      <c r="B10459" s="2" t="str">
        <f>HYPERLINK("http://m.12365auto.com/bbs/postcontent.aspx?tID=193548","无任何动力是变速箱的问题吗？")</f>
        <v>无任何动力是变速箱的问题吗？</v>
      </c>
      <c r="C10459" s="2" t="s">
        <v>13</v>
      </c>
      <c r="D10459" s="2" t="s">
        <v>23</v>
      </c>
      <c r="E10459" s="2"/>
      <c r="F10459" s="2" t="str">
        <f>HYPERLINK("http://m.12365auto.com/bbs/postcontent.aspx?tID=193548","http://m.12365auto.com/bbs/postcontent.aspx?tID=193548")</f>
        <v>http://m.12365auto.com/bbs/postcontent.aspx?tID=193548</v>
      </c>
      <c r="G10459" s="2"/>
      <c r="H10459" s="2" t="s">
        <v>13888</v>
      </c>
      <c r="I10459" s="2" t="s">
        <v>15</v>
      </c>
      <c r="J10459" s="2" t="s">
        <v>13889</v>
      </c>
      <c r="K10459" s="2" t="s">
        <v>13885</v>
      </c>
      <c r="L10459" s="2">
        <f t="shared" si="163"/>
        <v>150</v>
      </c>
    </row>
    <row r="10460" spans="1:12" ht="25" customHeight="1">
      <c r="A10460" s="2" t="s">
        <v>12</v>
      </c>
      <c r="B10460" s="2" t="str">
        <f>HYPERLINK("http://m.12365auto.com/bbs/postcontent.aspx?tID=193546","烧机油的问题如何处理？")</f>
        <v>烧机油的问题如何处理？</v>
      </c>
      <c r="C10460" s="2" t="s">
        <v>13</v>
      </c>
      <c r="D10460" s="2" t="s">
        <v>23</v>
      </c>
      <c r="E10460" s="2"/>
      <c r="F10460" s="2" t="str">
        <f>HYPERLINK("http://m.12365auto.com/bbs/postcontent.aspx?tID=193546","http://m.12365auto.com/bbs/postcontent.aspx?tID=193546")</f>
        <v>http://m.12365auto.com/bbs/postcontent.aspx?tID=193546</v>
      </c>
      <c r="G10460" s="2"/>
      <c r="H10460" s="2" t="s">
        <v>6340</v>
      </c>
      <c r="I10460" s="2" t="s">
        <v>15</v>
      </c>
      <c r="J10460" s="2" t="s">
        <v>3895</v>
      </c>
      <c r="K10460" s="2" t="s">
        <v>13885</v>
      </c>
      <c r="L10460" s="2">
        <f t="shared" si="163"/>
        <v>150</v>
      </c>
    </row>
    <row r="10461" spans="1:12" ht="25" customHeight="1">
      <c r="A10461" s="2" t="s">
        <v>12</v>
      </c>
      <c r="B10461" s="2" t="str">
        <f>HYPERLINK("http://m.12365auto.com/bbs/postcontent.aspx?tID=193547","长安逸动XT发动机渗油严重")</f>
        <v>长安逸动XT发动机渗油严重</v>
      </c>
      <c r="C10461" s="2" t="s">
        <v>13</v>
      </c>
      <c r="D10461" s="2" t="s">
        <v>23</v>
      </c>
      <c r="E10461" s="2"/>
      <c r="F10461" s="2" t="str">
        <f>HYPERLINK("http://m.12365auto.com/bbs/postcontent.aspx?tID=193547","http://m.12365auto.com/bbs/postcontent.aspx?tID=193547")</f>
        <v>http://m.12365auto.com/bbs/postcontent.aspx?tID=193547</v>
      </c>
      <c r="G10461" s="2"/>
      <c r="H10461" s="2" t="s">
        <v>13890</v>
      </c>
      <c r="I10461" s="2" t="s">
        <v>15</v>
      </c>
      <c r="J10461" s="2" t="s">
        <v>3963</v>
      </c>
      <c r="K10461" s="2" t="s">
        <v>13885</v>
      </c>
      <c r="L10461" s="2">
        <f t="shared" si="163"/>
        <v>32</v>
      </c>
    </row>
    <row r="10462" spans="1:12" ht="25" customHeight="1">
      <c r="A10462" s="2" t="s">
        <v>12</v>
      </c>
      <c r="B10462" s="2" t="str">
        <f>HYPERLINK("http://bbs.12365auto.com/postcontent.aspx?tID=193548","无任何动力是变速箱的问题吗？")</f>
        <v>无任何动力是变速箱的问题吗？</v>
      </c>
      <c r="C10462" s="2" t="s">
        <v>13</v>
      </c>
      <c r="D10462" s="2" t="s">
        <v>12</v>
      </c>
      <c r="E10462" s="2" t="s">
        <v>67</v>
      </c>
      <c r="F10462" s="2" t="str">
        <f>HYPERLINK("http://bbs.12365auto.com/postcontent.aspx?tID=193548","http://bbs.12365auto.com/postcontent.aspx?tID=193548")</f>
        <v>http://bbs.12365auto.com/postcontent.aspx?tID=193548</v>
      </c>
      <c r="G10462" s="2"/>
      <c r="H10462" s="2" t="s">
        <v>13886</v>
      </c>
      <c r="I10462" s="2" t="s">
        <v>15</v>
      </c>
      <c r="J10462" s="2" t="s">
        <v>13889</v>
      </c>
      <c r="K10462" s="2" t="s">
        <v>13885</v>
      </c>
      <c r="L10462" s="2">
        <f t="shared" si="163"/>
        <v>150</v>
      </c>
    </row>
    <row r="10463" spans="1:12" ht="25" customHeight="1">
      <c r="A10463" s="2" t="s">
        <v>12</v>
      </c>
      <c r="B10463" s="2" t="str">
        <f>HYPERLINK("http://bbs.12365auto.com/postcontent.aspx?tID=193546","烧机油的问题如何处理？")</f>
        <v>烧机油的问题如何处理？</v>
      </c>
      <c r="C10463" s="2" t="s">
        <v>13</v>
      </c>
      <c r="D10463" s="2" t="s">
        <v>12</v>
      </c>
      <c r="E10463" s="2" t="s">
        <v>67</v>
      </c>
      <c r="F10463" s="2" t="str">
        <f>HYPERLINK("http://bbs.12365auto.com/postcontent.aspx?tID=193546","http://bbs.12365auto.com/postcontent.aspx?tID=193546")</f>
        <v>http://bbs.12365auto.com/postcontent.aspx?tID=193546</v>
      </c>
      <c r="G10463" s="2"/>
      <c r="H10463" s="2" t="s">
        <v>13891</v>
      </c>
      <c r="I10463" s="2" t="s">
        <v>15</v>
      </c>
      <c r="J10463" s="2" t="s">
        <v>3895</v>
      </c>
      <c r="K10463" s="2" t="s">
        <v>13885</v>
      </c>
      <c r="L10463" s="2">
        <f t="shared" si="163"/>
        <v>150</v>
      </c>
    </row>
    <row r="10464" spans="1:12" ht="25" customHeight="1">
      <c r="A10464" s="2" t="s">
        <v>12</v>
      </c>
      <c r="B10464" s="2" t="str">
        <f>HYPERLINK("http://bbs.12365auto.com/postcontent.aspx?tID=193547","长安逸动XT发动机渗油严重")</f>
        <v>长安逸动XT发动机渗油严重</v>
      </c>
      <c r="C10464" s="2" t="s">
        <v>13</v>
      </c>
      <c r="D10464" s="2" t="s">
        <v>12</v>
      </c>
      <c r="E10464" s="2" t="s">
        <v>67</v>
      </c>
      <c r="F10464" s="2" t="str">
        <f>HYPERLINK("http://bbs.12365auto.com/postcontent.aspx?tID=193547","http://bbs.12365auto.com/postcontent.aspx?tID=193547")</f>
        <v>http://bbs.12365auto.com/postcontent.aspx?tID=193547</v>
      </c>
      <c r="G10464" s="2"/>
      <c r="H10464" s="2" t="s">
        <v>13892</v>
      </c>
      <c r="I10464" s="2" t="s">
        <v>15</v>
      </c>
      <c r="J10464" s="2" t="s">
        <v>3963</v>
      </c>
      <c r="K10464" s="2" t="s">
        <v>13885</v>
      </c>
      <c r="L10464" s="2">
        <f t="shared" si="163"/>
        <v>45</v>
      </c>
    </row>
    <row r="10465" spans="1:12" ht="25" customHeight="1">
      <c r="A10465" s="2" t="s">
        <v>12</v>
      </c>
      <c r="B10465" s="2" t="str">
        <f>HYPERLINK("http://bbs.12365auto.com/postcontent.aspx?tId=193547","长安逸动XT发动机渗油严重")</f>
        <v>长安逸动XT发动机渗油严重</v>
      </c>
      <c r="C10465" s="2" t="s">
        <v>13</v>
      </c>
      <c r="D10465" s="2" t="s">
        <v>12</v>
      </c>
      <c r="E10465" s="2" t="s">
        <v>66</v>
      </c>
      <c r="F10465" s="2" t="str">
        <f>HYPERLINK("http://bbs.12365auto.com/postcontent.aspx?tId=193547","http://bbs.12365auto.com/postcontent.aspx?tId=193547")</f>
        <v>http://bbs.12365auto.com/postcontent.aspx?tId=193547</v>
      </c>
      <c r="G10465" s="2"/>
      <c r="H10465" s="2" t="s">
        <v>13890</v>
      </c>
      <c r="I10465" s="2" t="s">
        <v>15</v>
      </c>
      <c r="J10465" s="2" t="s">
        <v>3963</v>
      </c>
      <c r="K10465" s="2" t="s">
        <v>13885</v>
      </c>
      <c r="L10465" s="2">
        <f t="shared" si="163"/>
        <v>32</v>
      </c>
    </row>
    <row r="10466" spans="1:12" ht="25" customHeight="1">
      <c r="A10466" s="2" t="s">
        <v>12</v>
      </c>
      <c r="B10466" s="2" t="str">
        <f>HYPERLINK("http://bbs.12365auto.com/postcontent.aspx?tId=193548","无任何动力是变速箱的问题吗？")</f>
        <v>无任何动力是变速箱的问题吗？</v>
      </c>
      <c r="C10466" s="2" t="s">
        <v>13</v>
      </c>
      <c r="D10466" s="2" t="s">
        <v>12</v>
      </c>
      <c r="E10466" s="2" t="s">
        <v>66</v>
      </c>
      <c r="F10466" s="2" t="str">
        <f>HYPERLINK("http://bbs.12365auto.com/postcontent.aspx?tId=193548","http://bbs.12365auto.com/postcontent.aspx?tId=193548")</f>
        <v>http://bbs.12365auto.com/postcontent.aspx?tId=193548</v>
      </c>
      <c r="G10466" s="2"/>
      <c r="H10466" s="2" t="s">
        <v>13888</v>
      </c>
      <c r="I10466" s="2" t="s">
        <v>15</v>
      </c>
      <c r="J10466" s="2" t="s">
        <v>13889</v>
      </c>
      <c r="K10466" s="2" t="s">
        <v>13885</v>
      </c>
      <c r="L10466" s="2">
        <f t="shared" si="163"/>
        <v>150</v>
      </c>
    </row>
    <row r="10467" spans="1:12" ht="25" customHeight="1">
      <c r="A10467" s="2" t="s">
        <v>12</v>
      </c>
      <c r="B10467" s="2" t="str">
        <f>HYPERLINK("http://bbs.12365auto.com/postcontent.aspx?tId=193544","大众朗逸变速箱挡位灯闪烁失去动力")</f>
        <v>大众朗逸变速箱挡位灯闪烁失去动力</v>
      </c>
      <c r="C10467" s="2" t="s">
        <v>13</v>
      </c>
      <c r="D10467" s="2" t="s">
        <v>12</v>
      </c>
      <c r="E10467" s="2" t="s">
        <v>66</v>
      </c>
      <c r="F10467" s="2" t="str">
        <f>HYPERLINK("http://bbs.12365auto.com/postcontent.aspx?tId=193544","http://bbs.12365auto.com/postcontent.aspx?tId=193544")</f>
        <v>http://bbs.12365auto.com/postcontent.aspx?tId=193544</v>
      </c>
      <c r="G10467" s="2"/>
      <c r="H10467" s="2" t="s">
        <v>13893</v>
      </c>
      <c r="I10467" s="2" t="s">
        <v>15</v>
      </c>
      <c r="J10467" s="2" t="s">
        <v>3966</v>
      </c>
      <c r="K10467" s="2" t="s">
        <v>13894</v>
      </c>
      <c r="L10467" s="2">
        <f t="shared" si="163"/>
        <v>127</v>
      </c>
    </row>
    <row r="10468" spans="1:12" ht="25" customHeight="1">
      <c r="A10468" s="2" t="s">
        <v>12</v>
      </c>
      <c r="B10468" s="2" t="str">
        <f>HYPERLINK("http://bbs.12365auto.com/postcontent.aspx?tId=193545","续航里程降低怎么去解决？")</f>
        <v>续航里程降低怎么去解决？</v>
      </c>
      <c r="C10468" s="2" t="s">
        <v>13</v>
      </c>
      <c r="D10468" s="2" t="s">
        <v>12</v>
      </c>
      <c r="E10468" s="2" t="s">
        <v>66</v>
      </c>
      <c r="F10468" s="2" t="str">
        <f>HYPERLINK("http://bbs.12365auto.com/postcontent.aspx?tId=193545","http://bbs.12365auto.com/postcontent.aspx?tId=193545")</f>
        <v>http://bbs.12365auto.com/postcontent.aspx?tId=193545</v>
      </c>
      <c r="G10468" s="2"/>
      <c r="H10468" s="2" t="s">
        <v>13895</v>
      </c>
      <c r="I10468" s="2" t="s">
        <v>15</v>
      </c>
      <c r="J10468" s="2" t="s">
        <v>3902</v>
      </c>
      <c r="K10468" s="2" t="s">
        <v>13894</v>
      </c>
      <c r="L10468" s="2">
        <f t="shared" si="163"/>
        <v>51</v>
      </c>
    </row>
    <row r="10469" spans="1:12" ht="25" customHeight="1">
      <c r="A10469" s="2" t="s">
        <v>12</v>
      </c>
      <c r="B10469" s="2" t="str">
        <f>HYPERLINK("http://m.12365auto.com/bbs/postcontent.aspx?tID=193545","续航里程降低怎么去解决？")</f>
        <v>续航里程降低怎么去解决？</v>
      </c>
      <c r="C10469" s="2" t="s">
        <v>13</v>
      </c>
      <c r="D10469" s="2" t="s">
        <v>23</v>
      </c>
      <c r="E10469" s="2"/>
      <c r="F10469" s="2" t="str">
        <f>HYPERLINK("http://m.12365auto.com/bbs/postcontent.aspx?tID=193545","http://m.12365auto.com/bbs/postcontent.aspx?tID=193545")</f>
        <v>http://m.12365auto.com/bbs/postcontent.aspx?tID=193545</v>
      </c>
      <c r="G10469" s="2"/>
      <c r="H10469" s="2" t="s">
        <v>13895</v>
      </c>
      <c r="I10469" s="2" t="s">
        <v>15</v>
      </c>
      <c r="J10469" s="2" t="s">
        <v>3902</v>
      </c>
      <c r="K10469" s="2" t="s">
        <v>13894</v>
      </c>
      <c r="L10469" s="2">
        <f t="shared" si="163"/>
        <v>51</v>
      </c>
    </row>
    <row r="10470" spans="1:12" ht="25" customHeight="1">
      <c r="A10470" s="2" t="s">
        <v>12</v>
      </c>
      <c r="B10470" s="2" t="str">
        <f>HYPERLINK("http://m.12365auto.com/bbs/postcontent.aspx?tID=193544","大众朗逸变速箱挡位灯闪烁失去动力")</f>
        <v>大众朗逸变速箱挡位灯闪烁失去动力</v>
      </c>
      <c r="C10470" s="2" t="s">
        <v>13</v>
      </c>
      <c r="D10470" s="2" t="s">
        <v>23</v>
      </c>
      <c r="E10470" s="2"/>
      <c r="F10470" s="2" t="str">
        <f>HYPERLINK("http://m.12365auto.com/bbs/postcontent.aspx?tID=193544","http://m.12365auto.com/bbs/postcontent.aspx?tID=193544")</f>
        <v>http://m.12365auto.com/bbs/postcontent.aspx?tID=193544</v>
      </c>
      <c r="G10470" s="2"/>
      <c r="H10470" s="2" t="s">
        <v>13893</v>
      </c>
      <c r="I10470" s="2" t="s">
        <v>15</v>
      </c>
      <c r="J10470" s="2" t="s">
        <v>3966</v>
      </c>
      <c r="K10470" s="2" t="s">
        <v>13894</v>
      </c>
      <c r="L10470" s="2">
        <f t="shared" si="163"/>
        <v>127</v>
      </c>
    </row>
    <row r="10471" spans="1:12" ht="25" customHeight="1">
      <c r="A10471" s="2" t="s">
        <v>12</v>
      </c>
      <c r="B10471" s="2" t="str">
        <f>HYPERLINK("http://bbs.12365auto.com/postcontent.aspx?tID=193545","续航里程降低怎么去解决？")</f>
        <v>续航里程降低怎么去解决？</v>
      </c>
      <c r="C10471" s="2" t="s">
        <v>13</v>
      </c>
      <c r="D10471" s="2" t="s">
        <v>12</v>
      </c>
      <c r="E10471" s="2" t="s">
        <v>67</v>
      </c>
      <c r="F10471" s="2" t="str">
        <f>HYPERLINK("http://bbs.12365auto.com/postcontent.aspx?tID=193545","http://bbs.12365auto.com/postcontent.aspx?tID=193545")</f>
        <v>http://bbs.12365auto.com/postcontent.aspx?tID=193545</v>
      </c>
      <c r="G10471" s="2"/>
      <c r="H10471" s="2" t="s">
        <v>13896</v>
      </c>
      <c r="I10471" s="2" t="s">
        <v>15</v>
      </c>
      <c r="J10471" s="2" t="s">
        <v>3902</v>
      </c>
      <c r="K10471" s="2" t="s">
        <v>13894</v>
      </c>
      <c r="L10471" s="2">
        <f t="shared" si="163"/>
        <v>63</v>
      </c>
    </row>
    <row r="10472" spans="1:12" ht="25" customHeight="1">
      <c r="A10472" s="2" t="s">
        <v>12</v>
      </c>
      <c r="B10472" s="2" t="str">
        <f>HYPERLINK("http://bbs.12365auto.com/postcontent.aspx?tID=193544","大众朗逸变速箱挡位灯闪烁失去动力")</f>
        <v>大众朗逸变速箱挡位灯闪烁失去动力</v>
      </c>
      <c r="C10472" s="2" t="s">
        <v>13</v>
      </c>
      <c r="D10472" s="2" t="s">
        <v>12</v>
      </c>
      <c r="E10472" s="2" t="s">
        <v>67</v>
      </c>
      <c r="F10472" s="2" t="str">
        <f>HYPERLINK("http://bbs.12365auto.com/postcontent.aspx?tID=193544","http://bbs.12365auto.com/postcontent.aspx?tID=193544")</f>
        <v>http://bbs.12365auto.com/postcontent.aspx?tID=193544</v>
      </c>
      <c r="G10472" s="2"/>
      <c r="H10472" s="2" t="s">
        <v>13897</v>
      </c>
      <c r="I10472" s="2" t="s">
        <v>15</v>
      </c>
      <c r="J10472" s="2" t="s">
        <v>3966</v>
      </c>
      <c r="K10472" s="2" t="s">
        <v>13894</v>
      </c>
      <c r="L10472" s="2">
        <f t="shared" si="163"/>
        <v>143</v>
      </c>
    </row>
    <row r="10473" spans="1:12" ht="25" customHeight="1">
      <c r="A10473" s="2" t="s">
        <v>12</v>
      </c>
      <c r="B10473" s="2" t="str">
        <f>HYPERLINK("http://bbs.12365auto.com/postcontent.aspx?tId=193541","江淮的垃圾车生锈问题能不能解决？")</f>
        <v>江淮的垃圾车生锈问题能不能解决？</v>
      </c>
      <c r="C10473" s="2" t="s">
        <v>13</v>
      </c>
      <c r="D10473" s="2" t="s">
        <v>12</v>
      </c>
      <c r="E10473" s="2" t="s">
        <v>66</v>
      </c>
      <c r="F10473" s="2" t="str">
        <f>HYPERLINK("http://bbs.12365auto.com/postcontent.aspx?tId=193541","http://bbs.12365auto.com/postcontent.aspx?tId=193541")</f>
        <v>http://bbs.12365auto.com/postcontent.aspx?tId=193541</v>
      </c>
      <c r="G10473" s="2"/>
      <c r="H10473" s="2" t="s">
        <v>13898</v>
      </c>
      <c r="I10473" s="2" t="s">
        <v>15</v>
      </c>
      <c r="J10473" s="2" t="s">
        <v>3914</v>
      </c>
      <c r="K10473" s="2" t="s">
        <v>13899</v>
      </c>
      <c r="L10473" s="2">
        <f t="shared" si="163"/>
        <v>150</v>
      </c>
    </row>
    <row r="10474" spans="1:12" ht="25" customHeight="1">
      <c r="A10474" s="2" t="s">
        <v>12</v>
      </c>
      <c r="B10474" s="2" t="str">
        <f>HYPERLINK("http://bbs.12365auto.com/postcontent.aspx?tId=193543","变速箱的问题太多了")</f>
        <v>变速箱的问题太多了</v>
      </c>
      <c r="C10474" s="2" t="s">
        <v>13</v>
      </c>
      <c r="D10474" s="2" t="s">
        <v>12</v>
      </c>
      <c r="E10474" s="2" t="s">
        <v>66</v>
      </c>
      <c r="F10474" s="2" t="str">
        <f>HYPERLINK("http://bbs.12365auto.com/postcontent.aspx?tId=193543","http://bbs.12365auto.com/postcontent.aspx?tId=193543")</f>
        <v>http://bbs.12365auto.com/postcontent.aspx?tId=193543</v>
      </c>
      <c r="G10474" s="2"/>
      <c r="H10474" s="2" t="s">
        <v>13900</v>
      </c>
      <c r="I10474" s="2" t="s">
        <v>15</v>
      </c>
      <c r="J10474" s="2" t="s">
        <v>3909</v>
      </c>
      <c r="K10474" s="2" t="s">
        <v>13899</v>
      </c>
      <c r="L10474" s="2">
        <f t="shared" si="163"/>
        <v>112</v>
      </c>
    </row>
    <row r="10475" spans="1:12" ht="25" customHeight="1">
      <c r="A10475" s="2" t="s">
        <v>12</v>
      </c>
      <c r="B10475" s="2" t="str">
        <f>HYPERLINK("http://bbs.12365auto.com/postcontent.aspx?tId=193542","北京BJ40发动机爆震该不会是通病吧！")</f>
        <v>北京BJ40发动机爆震该不会是通病吧！</v>
      </c>
      <c r="C10475" s="2" t="s">
        <v>13</v>
      </c>
      <c r="D10475" s="2" t="s">
        <v>12</v>
      </c>
      <c r="E10475" s="2" t="s">
        <v>66</v>
      </c>
      <c r="F10475" s="2" t="str">
        <f>HYPERLINK("http://bbs.12365auto.com/postcontent.aspx?tId=193542","http://bbs.12365auto.com/postcontent.aspx?tId=193542")</f>
        <v>http://bbs.12365auto.com/postcontent.aspx?tId=193542</v>
      </c>
      <c r="G10475" s="2"/>
      <c r="H10475" s="2" t="s">
        <v>13901</v>
      </c>
      <c r="I10475" s="2" t="s">
        <v>15</v>
      </c>
      <c r="J10475" s="2" t="s">
        <v>3970</v>
      </c>
      <c r="K10475" s="2" t="s">
        <v>13899</v>
      </c>
      <c r="L10475" s="2">
        <f t="shared" si="163"/>
        <v>38</v>
      </c>
    </row>
    <row r="10476" spans="1:12" ht="25" customHeight="1">
      <c r="A10476" s="2" t="s">
        <v>12</v>
      </c>
      <c r="B10476" s="2" t="str">
        <f>HYPERLINK("http://m.12365auto.com/bbs/postcontent.aspx?tID=193543","变速箱的问题太多了")</f>
        <v>变速箱的问题太多了</v>
      </c>
      <c r="C10476" s="2" t="s">
        <v>13</v>
      </c>
      <c r="D10476" s="2" t="s">
        <v>23</v>
      </c>
      <c r="E10476" s="2"/>
      <c r="F10476" s="2" t="str">
        <f>HYPERLINK("http://m.12365auto.com/bbs/postcontent.aspx?tID=193543","http://m.12365auto.com/bbs/postcontent.aspx?tID=193543")</f>
        <v>http://m.12365auto.com/bbs/postcontent.aspx?tID=193543</v>
      </c>
      <c r="G10476" s="2"/>
      <c r="H10476" s="2" t="s">
        <v>13900</v>
      </c>
      <c r="I10476" s="2" t="s">
        <v>15</v>
      </c>
      <c r="J10476" s="2" t="s">
        <v>3909</v>
      </c>
      <c r="K10476" s="2" t="s">
        <v>13899</v>
      </c>
      <c r="L10476" s="2">
        <f t="shared" si="163"/>
        <v>112</v>
      </c>
    </row>
    <row r="10477" spans="1:12" ht="25" customHeight="1">
      <c r="A10477" s="2" t="s">
        <v>12</v>
      </c>
      <c r="B10477" s="2" t="str">
        <f>HYPERLINK("http://m.12365auto.com/bbs/postcontent.aspx?tID=193542","北京BJ40发动机爆震该不会是通病吧！")</f>
        <v>北京BJ40发动机爆震该不会是通病吧！</v>
      </c>
      <c r="C10477" s="2" t="s">
        <v>13</v>
      </c>
      <c r="D10477" s="2" t="s">
        <v>23</v>
      </c>
      <c r="E10477" s="2"/>
      <c r="F10477" s="2" t="str">
        <f>HYPERLINK("http://m.12365auto.com/bbs/postcontent.aspx?tID=193542","http://m.12365auto.com/bbs/postcontent.aspx?tID=193542")</f>
        <v>http://m.12365auto.com/bbs/postcontent.aspx?tID=193542</v>
      </c>
      <c r="G10477" s="2"/>
      <c r="H10477" s="2" t="s">
        <v>13901</v>
      </c>
      <c r="I10477" s="2" t="s">
        <v>15</v>
      </c>
      <c r="J10477" s="2" t="s">
        <v>3970</v>
      </c>
      <c r="K10477" s="2" t="s">
        <v>13899</v>
      </c>
      <c r="L10477" s="2">
        <f t="shared" si="163"/>
        <v>38</v>
      </c>
    </row>
    <row r="10478" spans="1:12" ht="25" customHeight="1">
      <c r="A10478" s="2" t="s">
        <v>12</v>
      </c>
      <c r="B10478" s="2" t="str">
        <f>HYPERLINK("http://m.12365auto.com/bbs/postcontent.aspx?tID=193541","江淮的垃圾车生锈问题能不能解决？")</f>
        <v>江淮的垃圾车生锈问题能不能解决？</v>
      </c>
      <c r="C10478" s="2" t="s">
        <v>13</v>
      </c>
      <c r="D10478" s="2" t="s">
        <v>23</v>
      </c>
      <c r="E10478" s="2"/>
      <c r="F10478" s="2" t="str">
        <f>HYPERLINK("http://m.12365auto.com/bbs/postcontent.aspx?tID=193541","http://m.12365auto.com/bbs/postcontent.aspx?tID=193541")</f>
        <v>http://m.12365auto.com/bbs/postcontent.aspx?tID=193541</v>
      </c>
      <c r="G10478" s="2"/>
      <c r="H10478" s="2" t="s">
        <v>13898</v>
      </c>
      <c r="I10478" s="2" t="s">
        <v>15</v>
      </c>
      <c r="J10478" s="2" t="s">
        <v>3914</v>
      </c>
      <c r="K10478" s="2" t="s">
        <v>13899</v>
      </c>
      <c r="L10478" s="2">
        <f t="shared" si="163"/>
        <v>150</v>
      </c>
    </row>
    <row r="10479" spans="1:12" ht="25" customHeight="1">
      <c r="A10479" s="2" t="s">
        <v>12</v>
      </c>
      <c r="B10479" s="2" t="str">
        <f>HYPERLINK("http://bbs.12365auto.com/postcontent.aspx?tID=193542","北京BJ40发动机爆震该不会是通病吧！")</f>
        <v>北京BJ40发动机爆震该不会是通病吧！</v>
      </c>
      <c r="C10479" s="2" t="s">
        <v>13</v>
      </c>
      <c r="D10479" s="2" t="s">
        <v>12</v>
      </c>
      <c r="E10479" s="2" t="s">
        <v>67</v>
      </c>
      <c r="F10479" s="2" t="str">
        <f>HYPERLINK("http://bbs.12365auto.com/postcontent.aspx?tID=193542","http://bbs.12365auto.com/postcontent.aspx?tID=193542")</f>
        <v>http://bbs.12365auto.com/postcontent.aspx?tID=193542</v>
      </c>
      <c r="G10479" s="2"/>
      <c r="H10479" s="2" t="s">
        <v>13902</v>
      </c>
      <c r="I10479" s="2" t="s">
        <v>15</v>
      </c>
      <c r="J10479" s="2" t="s">
        <v>3970</v>
      </c>
      <c r="K10479" s="2" t="s">
        <v>13899</v>
      </c>
      <c r="L10479" s="2">
        <f t="shared" si="163"/>
        <v>57</v>
      </c>
    </row>
    <row r="10480" spans="1:12" ht="25" customHeight="1">
      <c r="A10480" s="2" t="s">
        <v>12</v>
      </c>
      <c r="B10480" s="2" t="str">
        <f>HYPERLINK("http://bbs.12365auto.com/postcontent.aspx?tID=193543","变速箱的问题太多了")</f>
        <v>变速箱的问题太多了</v>
      </c>
      <c r="C10480" s="2" t="s">
        <v>13</v>
      </c>
      <c r="D10480" s="2" t="s">
        <v>12</v>
      </c>
      <c r="E10480" s="2" t="s">
        <v>67</v>
      </c>
      <c r="F10480" s="2" t="str">
        <f>HYPERLINK("http://bbs.12365auto.com/postcontent.aspx?tID=193543","http://bbs.12365auto.com/postcontent.aspx?tID=193543")</f>
        <v>http://bbs.12365auto.com/postcontent.aspx?tID=193543</v>
      </c>
      <c r="G10480" s="2"/>
      <c r="H10480" s="2" t="s">
        <v>13903</v>
      </c>
      <c r="I10480" s="2" t="s">
        <v>15</v>
      </c>
      <c r="J10480" s="2" t="s">
        <v>3909</v>
      </c>
      <c r="K10480" s="2" t="s">
        <v>13899</v>
      </c>
      <c r="L10480" s="2">
        <f t="shared" si="163"/>
        <v>121</v>
      </c>
    </row>
    <row r="10481" spans="1:12" ht="25" customHeight="1">
      <c r="A10481" s="2" t="s">
        <v>12</v>
      </c>
      <c r="B10481" s="2" t="str">
        <f>HYPERLINK("http://bbs.12365auto.com/postcontent.aspx?tID=193541","江淮的垃圾车生锈问题能不能解决？")</f>
        <v>江淮的垃圾车生锈问题能不能解决？</v>
      </c>
      <c r="C10481" s="2" t="s">
        <v>13</v>
      </c>
      <c r="D10481" s="2" t="s">
        <v>12</v>
      </c>
      <c r="E10481" s="2" t="s">
        <v>67</v>
      </c>
      <c r="F10481" s="2" t="str">
        <f>HYPERLINK("http://bbs.12365auto.com/postcontent.aspx?tID=193541","http://bbs.12365auto.com/postcontent.aspx?tID=193541")</f>
        <v>http://bbs.12365auto.com/postcontent.aspx?tID=193541</v>
      </c>
      <c r="G10481" s="2"/>
      <c r="H10481" s="2" t="s">
        <v>13904</v>
      </c>
      <c r="I10481" s="2" t="s">
        <v>15</v>
      </c>
      <c r="J10481" s="2" t="s">
        <v>3914</v>
      </c>
      <c r="K10481" s="2" t="s">
        <v>13899</v>
      </c>
      <c r="L10481" s="2">
        <f t="shared" si="163"/>
        <v>150</v>
      </c>
    </row>
    <row r="10482" spans="1:12" ht="25" customHeight="1">
      <c r="A10482" s="2" t="s">
        <v>12</v>
      </c>
      <c r="B10482" s="2" t="str">
        <f>HYPERLINK("http://bbs.12365auto.com/postcontent.aspx?tId=193539","刹车片磨损，是分泵的问题吗")</f>
        <v>刹车片磨损，是分泵的问题吗</v>
      </c>
      <c r="C10482" s="2" t="s">
        <v>13</v>
      </c>
      <c r="D10482" s="2" t="s">
        <v>12</v>
      </c>
      <c r="E10482" s="2" t="s">
        <v>66</v>
      </c>
      <c r="F10482" s="2" t="str">
        <f>HYPERLINK("http://bbs.12365auto.com/postcontent.aspx?tId=193539","http://bbs.12365auto.com/postcontent.aspx?tId=193539")</f>
        <v>http://bbs.12365auto.com/postcontent.aspx?tId=193539</v>
      </c>
      <c r="G10482" s="2"/>
      <c r="H10482" s="2" t="s">
        <v>13905</v>
      </c>
      <c r="I10482" s="2" t="s">
        <v>15</v>
      </c>
      <c r="J10482" s="2" t="s">
        <v>3924</v>
      </c>
      <c r="K10482" s="2" t="s">
        <v>13906</v>
      </c>
      <c r="L10482" s="2">
        <f t="shared" si="163"/>
        <v>104</v>
      </c>
    </row>
    <row r="10483" spans="1:12" ht="25" customHeight="1">
      <c r="A10483" s="2" t="s">
        <v>12</v>
      </c>
      <c r="B10483" s="2" t="str">
        <f>HYPERLINK("http://bbs.12365auto.com/postcontent.aspx?tId=193540","奔驰B级发动机无法启动")</f>
        <v>奔驰B级发动机无法启动</v>
      </c>
      <c r="C10483" s="2" t="s">
        <v>13</v>
      </c>
      <c r="D10483" s="2" t="s">
        <v>12</v>
      </c>
      <c r="E10483" s="2" t="s">
        <v>66</v>
      </c>
      <c r="F10483" s="2" t="str">
        <f>HYPERLINK("http://bbs.12365auto.com/postcontent.aspx?tId=193540","http://bbs.12365auto.com/postcontent.aspx?tId=193540")</f>
        <v>http://bbs.12365auto.com/postcontent.aspx?tId=193540</v>
      </c>
      <c r="G10483" s="2"/>
      <c r="H10483" s="2" t="s">
        <v>13907</v>
      </c>
      <c r="I10483" s="2" t="s">
        <v>15</v>
      </c>
      <c r="J10483" s="2" t="s">
        <v>3974</v>
      </c>
      <c r="K10483" s="2" t="s">
        <v>13906</v>
      </c>
      <c r="L10483" s="2">
        <f t="shared" si="163"/>
        <v>38</v>
      </c>
    </row>
    <row r="10484" spans="1:12" ht="25" customHeight="1">
      <c r="A10484" s="2" t="s">
        <v>12</v>
      </c>
      <c r="B10484" s="2" t="str">
        <f>HYPERLINK("http://m.12365auto.com/bbs/postcontent.aspx?tID=193539","刹车片磨损，是分泵的问题吗")</f>
        <v>刹车片磨损，是分泵的问题吗</v>
      </c>
      <c r="C10484" s="2" t="s">
        <v>13</v>
      </c>
      <c r="D10484" s="2" t="s">
        <v>23</v>
      </c>
      <c r="E10484" s="2"/>
      <c r="F10484" s="2" t="str">
        <f>HYPERLINK("http://m.12365auto.com/bbs/postcontent.aspx?tID=193539","http://m.12365auto.com/bbs/postcontent.aspx?tID=193539")</f>
        <v>http://m.12365auto.com/bbs/postcontent.aspx?tID=193539</v>
      </c>
      <c r="G10484" s="2"/>
      <c r="H10484" s="2" t="s">
        <v>13905</v>
      </c>
      <c r="I10484" s="2" t="s">
        <v>15</v>
      </c>
      <c r="J10484" s="2" t="s">
        <v>3924</v>
      </c>
      <c r="K10484" s="2" t="s">
        <v>13906</v>
      </c>
      <c r="L10484" s="2">
        <f t="shared" si="163"/>
        <v>104</v>
      </c>
    </row>
    <row r="10485" spans="1:12" ht="25" customHeight="1">
      <c r="A10485" s="2" t="s">
        <v>12</v>
      </c>
      <c r="B10485" s="2" t="str">
        <f>HYPERLINK("http://m.12365auto.com/bbs/postcontent.aspx?tID=193540","奔驰B级发动机无法启动")</f>
        <v>奔驰B级发动机无法启动</v>
      </c>
      <c r="C10485" s="2" t="s">
        <v>13</v>
      </c>
      <c r="D10485" s="2" t="s">
        <v>23</v>
      </c>
      <c r="E10485" s="2"/>
      <c r="F10485" s="2" t="str">
        <f>HYPERLINK("http://m.12365auto.com/bbs/postcontent.aspx?tID=193540","http://m.12365auto.com/bbs/postcontent.aspx?tID=193540")</f>
        <v>http://m.12365auto.com/bbs/postcontent.aspx?tID=193540</v>
      </c>
      <c r="G10485" s="2"/>
      <c r="H10485" s="2" t="s">
        <v>13907</v>
      </c>
      <c r="I10485" s="2" t="s">
        <v>15</v>
      </c>
      <c r="J10485" s="2" t="s">
        <v>3974</v>
      </c>
      <c r="K10485" s="2" t="s">
        <v>13906</v>
      </c>
      <c r="L10485" s="2">
        <f t="shared" si="163"/>
        <v>38</v>
      </c>
    </row>
    <row r="10486" spans="1:12" ht="25" customHeight="1">
      <c r="A10486" s="2" t="s">
        <v>12</v>
      </c>
      <c r="B10486" s="2" t="str">
        <f>HYPERLINK("http://bbs.12365auto.com/postcontent.aspx?tID=193539","刹车片磨损，是分泵的问题吗")</f>
        <v>刹车片磨损，是分泵的问题吗</v>
      </c>
      <c r="C10486" s="2" t="s">
        <v>13</v>
      </c>
      <c r="D10486" s="2" t="s">
        <v>12</v>
      </c>
      <c r="E10486" s="2" t="s">
        <v>67</v>
      </c>
      <c r="F10486" s="2" t="str">
        <f>HYPERLINK("http://bbs.12365auto.com/postcontent.aspx?tID=193539","http://bbs.12365auto.com/postcontent.aspx?tID=193539")</f>
        <v>http://bbs.12365auto.com/postcontent.aspx?tID=193539</v>
      </c>
      <c r="G10486" s="2"/>
      <c r="H10486" s="2" t="s">
        <v>13908</v>
      </c>
      <c r="I10486" s="2" t="s">
        <v>15</v>
      </c>
      <c r="J10486" s="2" t="s">
        <v>3924</v>
      </c>
      <c r="K10486" s="2" t="s">
        <v>13906</v>
      </c>
      <c r="L10486" s="2">
        <f t="shared" si="163"/>
        <v>117</v>
      </c>
    </row>
    <row r="10487" spans="1:12" ht="25" customHeight="1">
      <c r="A10487" s="2" t="s">
        <v>12</v>
      </c>
      <c r="B10487" s="2" t="str">
        <f>HYPERLINK("http://bbs.12365auto.com/postcontent.aspx?tID=193540","奔驰B级发动机无法启动")</f>
        <v>奔驰B级发动机无法启动</v>
      </c>
      <c r="C10487" s="2" t="s">
        <v>13</v>
      </c>
      <c r="D10487" s="2" t="s">
        <v>12</v>
      </c>
      <c r="E10487" s="2" t="s">
        <v>67</v>
      </c>
      <c r="F10487" s="2" t="str">
        <f>HYPERLINK("http://bbs.12365auto.com/postcontent.aspx?tID=193540","http://bbs.12365auto.com/postcontent.aspx?tID=193540")</f>
        <v>http://bbs.12365auto.com/postcontent.aspx?tID=193540</v>
      </c>
      <c r="G10487" s="2"/>
      <c r="H10487" s="2" t="s">
        <v>13909</v>
      </c>
      <c r="I10487" s="2" t="s">
        <v>15</v>
      </c>
      <c r="J10487" s="2" t="s">
        <v>3974</v>
      </c>
      <c r="K10487" s="2" t="s">
        <v>13906</v>
      </c>
      <c r="L10487" s="2">
        <f t="shared" si="163"/>
        <v>49</v>
      </c>
    </row>
    <row r="10488" spans="1:12" ht="25" customHeight="1">
      <c r="A10488" s="2" t="s">
        <v>12</v>
      </c>
      <c r="B10488" s="2" t="str">
        <f>HYPERLINK("http://bbs.12365auto.com/postcontent.aspx?tId=193537","主驾驶座椅皮革破裂露白可以更换吗？")</f>
        <v>主驾驶座椅皮革破裂露白可以更换吗？</v>
      </c>
      <c r="C10488" s="2" t="s">
        <v>13</v>
      </c>
      <c r="D10488" s="2" t="s">
        <v>12</v>
      </c>
      <c r="E10488" s="2" t="s">
        <v>66</v>
      </c>
      <c r="F10488" s="2" t="str">
        <f>HYPERLINK("http://bbs.12365auto.com/postcontent.aspx?tId=193537","http://bbs.12365auto.com/postcontent.aspx?tId=193537")</f>
        <v>http://bbs.12365auto.com/postcontent.aspx?tId=193537</v>
      </c>
      <c r="G10488" s="2"/>
      <c r="H10488" s="2" t="s">
        <v>13910</v>
      </c>
      <c r="I10488" s="2" t="s">
        <v>15</v>
      </c>
      <c r="J10488" s="2" t="s">
        <v>3932</v>
      </c>
      <c r="K10488" s="2" t="s">
        <v>13911</v>
      </c>
      <c r="L10488" s="2">
        <f t="shared" si="163"/>
        <v>36</v>
      </c>
    </row>
    <row r="10489" spans="1:12" ht="25" customHeight="1">
      <c r="A10489" s="2" t="s">
        <v>12</v>
      </c>
      <c r="B10489" s="2" t="str">
        <f>HYPERLINK("http://bbs.12365auto.com/postcontent.aspx?tId=193538","帝豪翼子板边缘内侧生锈严重")</f>
        <v>帝豪翼子板边缘内侧生锈严重</v>
      </c>
      <c r="C10489" s="2" t="s">
        <v>13</v>
      </c>
      <c r="D10489" s="2" t="s">
        <v>12</v>
      </c>
      <c r="E10489" s="2" t="s">
        <v>66</v>
      </c>
      <c r="F10489" s="2" t="str">
        <f>HYPERLINK("http://bbs.12365auto.com/postcontent.aspx?tId=193538","http://bbs.12365auto.com/postcontent.aspx?tId=193538")</f>
        <v>http://bbs.12365auto.com/postcontent.aspx?tId=193538</v>
      </c>
      <c r="G10489" s="2"/>
      <c r="H10489" s="2" t="s">
        <v>13912</v>
      </c>
      <c r="I10489" s="2" t="s">
        <v>15</v>
      </c>
      <c r="J10489" s="2" t="s">
        <v>3977</v>
      </c>
      <c r="K10489" s="2" t="s">
        <v>13911</v>
      </c>
      <c r="L10489" s="2">
        <f t="shared" si="163"/>
        <v>79</v>
      </c>
    </row>
    <row r="10490" spans="1:12" ht="25" customHeight="1">
      <c r="A10490" s="2" t="s">
        <v>12</v>
      </c>
      <c r="B10490" s="2" t="str">
        <f>HYPERLINK("http://bbs.12365auto.com/postcontent.aspx?tId=193536","升级时异响怎么处理？")</f>
        <v>升级时异响怎么处理？</v>
      </c>
      <c r="C10490" s="2" t="s">
        <v>13</v>
      </c>
      <c r="D10490" s="2" t="s">
        <v>12</v>
      </c>
      <c r="E10490" s="2" t="s">
        <v>66</v>
      </c>
      <c r="F10490" s="2" t="str">
        <f>HYPERLINK("http://bbs.12365auto.com/postcontent.aspx?tId=193536","http://bbs.12365auto.com/postcontent.aspx?tId=193536")</f>
        <v>http://bbs.12365auto.com/postcontent.aspx?tId=193536</v>
      </c>
      <c r="G10490" s="2"/>
      <c r="H10490" s="2" t="s">
        <v>13913</v>
      </c>
      <c r="I10490" s="2" t="s">
        <v>15</v>
      </c>
      <c r="J10490" s="2" t="s">
        <v>3929</v>
      </c>
      <c r="K10490" s="2" t="s">
        <v>13911</v>
      </c>
      <c r="L10490" s="2">
        <f t="shared" si="163"/>
        <v>150</v>
      </c>
    </row>
    <row r="10491" spans="1:12" ht="25" customHeight="1">
      <c r="A10491" s="2" t="s">
        <v>12</v>
      </c>
      <c r="B10491" s="2" t="str">
        <f>HYPERLINK("http://bbs.12365auto.com/postcontent.aspx?tID=193537","主驾驶座椅皮革破裂露白可以更换吗？")</f>
        <v>主驾驶座椅皮革破裂露白可以更换吗？</v>
      </c>
      <c r="C10491" s="2" t="s">
        <v>13</v>
      </c>
      <c r="D10491" s="2" t="s">
        <v>12</v>
      </c>
      <c r="E10491" s="2" t="s">
        <v>67</v>
      </c>
      <c r="F10491" s="2" t="str">
        <f>HYPERLINK("http://bbs.12365auto.com/postcontent.aspx?tID=193537","http://bbs.12365auto.com/postcontent.aspx?tID=193537")</f>
        <v>http://bbs.12365auto.com/postcontent.aspx?tID=193537</v>
      </c>
      <c r="G10491" s="2"/>
      <c r="H10491" s="2" t="s">
        <v>13914</v>
      </c>
      <c r="I10491" s="2" t="s">
        <v>15</v>
      </c>
      <c r="J10491" s="2" t="s">
        <v>3932</v>
      </c>
      <c r="K10491" s="2" t="s">
        <v>13911</v>
      </c>
      <c r="L10491" s="2">
        <f t="shared" si="163"/>
        <v>53</v>
      </c>
    </row>
    <row r="10492" spans="1:12" ht="25" customHeight="1">
      <c r="A10492" s="2" t="s">
        <v>12</v>
      </c>
      <c r="B10492" s="2" t="str">
        <f>HYPERLINK("http://bbs.12365auto.com/postcontent.aspx?tID=193538","帝豪翼子板边缘内侧生锈严重")</f>
        <v>帝豪翼子板边缘内侧生锈严重</v>
      </c>
      <c r="C10492" s="2" t="s">
        <v>13</v>
      </c>
      <c r="D10492" s="2" t="s">
        <v>12</v>
      </c>
      <c r="E10492" s="2" t="s">
        <v>67</v>
      </c>
      <c r="F10492" s="2" t="str">
        <f>HYPERLINK("http://bbs.12365auto.com/postcontent.aspx?tID=193538","http://bbs.12365auto.com/postcontent.aspx?tID=193538")</f>
        <v>http://bbs.12365auto.com/postcontent.aspx?tID=193538</v>
      </c>
      <c r="G10492" s="2"/>
      <c r="H10492" s="2" t="s">
        <v>13915</v>
      </c>
      <c r="I10492" s="2" t="s">
        <v>15</v>
      </c>
      <c r="J10492" s="2" t="s">
        <v>3977</v>
      </c>
      <c r="K10492" s="2" t="s">
        <v>13911</v>
      </c>
      <c r="L10492" s="2">
        <f t="shared" si="163"/>
        <v>92</v>
      </c>
    </row>
    <row r="10493" spans="1:12" ht="25" customHeight="1">
      <c r="A10493" s="2" t="s">
        <v>12</v>
      </c>
      <c r="B10493" s="2" t="str">
        <f>HYPERLINK("http://bbs.12365auto.com/postcontent.aspx?tID=193536","升级时异响怎么处理？")</f>
        <v>升级时异响怎么处理？</v>
      </c>
      <c r="C10493" s="2" t="s">
        <v>13</v>
      </c>
      <c r="D10493" s="2" t="s">
        <v>12</v>
      </c>
      <c r="E10493" s="2" t="s">
        <v>67</v>
      </c>
      <c r="F10493" s="2" t="str">
        <f>HYPERLINK("http://bbs.12365auto.com/postcontent.aspx?tID=193536","http://bbs.12365auto.com/postcontent.aspx?tID=193536")</f>
        <v>http://bbs.12365auto.com/postcontent.aspx?tID=193536</v>
      </c>
      <c r="G10493" s="2"/>
      <c r="H10493" s="2" t="s">
        <v>13916</v>
      </c>
      <c r="I10493" s="2" t="s">
        <v>15</v>
      </c>
      <c r="J10493" s="2" t="s">
        <v>3929</v>
      </c>
      <c r="K10493" s="2" t="s">
        <v>13911</v>
      </c>
      <c r="L10493" s="2">
        <f t="shared" si="163"/>
        <v>150</v>
      </c>
    </row>
    <row r="10494" spans="1:12" ht="25" customHeight="1">
      <c r="A10494" s="2" t="s">
        <v>12</v>
      </c>
      <c r="B10494" s="2" t="str">
        <f>HYPERLINK("http://bbs.12365auto.com/postcontent.aspx?tId=193535","本田飞度冷启动时发动机有异响现象")</f>
        <v>本田飞度冷启动时发动机有异响现象</v>
      </c>
      <c r="C10494" s="2" t="s">
        <v>13</v>
      </c>
      <c r="D10494" s="2" t="s">
        <v>12</v>
      </c>
      <c r="E10494" s="2" t="s">
        <v>66</v>
      </c>
      <c r="F10494" s="2" t="str">
        <f>HYPERLINK("http://bbs.12365auto.com/postcontent.aspx?tId=193535","http://bbs.12365auto.com/postcontent.aspx?tId=193535")</f>
        <v>http://bbs.12365auto.com/postcontent.aspx?tId=193535</v>
      </c>
      <c r="G10494" s="2"/>
      <c r="H10494" s="2" t="s">
        <v>13917</v>
      </c>
      <c r="I10494" s="2" t="s">
        <v>15</v>
      </c>
      <c r="J10494" s="2" t="s">
        <v>3981</v>
      </c>
      <c r="K10494" s="2" t="s">
        <v>13918</v>
      </c>
      <c r="L10494" s="2">
        <f t="shared" si="163"/>
        <v>48</v>
      </c>
    </row>
    <row r="10495" spans="1:12" ht="25" customHeight="1">
      <c r="A10495" s="2" t="s">
        <v>12</v>
      </c>
      <c r="B10495" s="2" t="str">
        <f>HYPERLINK("http://bbs.12365auto.com/postcontent.aspx?tId=193534","迈腾的异味问题太严重了")</f>
        <v>迈腾的异味问题太严重了</v>
      </c>
      <c r="C10495" s="2" t="s">
        <v>13</v>
      </c>
      <c r="D10495" s="2" t="s">
        <v>12</v>
      </c>
      <c r="E10495" s="2" t="s">
        <v>66</v>
      </c>
      <c r="F10495" s="2" t="str">
        <f>HYPERLINK("http://bbs.12365auto.com/postcontent.aspx?tId=193534","http://bbs.12365auto.com/postcontent.aspx?tId=193534")</f>
        <v>http://bbs.12365auto.com/postcontent.aspx?tId=193534</v>
      </c>
      <c r="G10495" s="2"/>
      <c r="H10495" s="2" t="s">
        <v>13919</v>
      </c>
      <c r="I10495" s="2" t="s">
        <v>15</v>
      </c>
      <c r="J10495" s="2" t="s">
        <v>3939</v>
      </c>
      <c r="K10495" s="2" t="s">
        <v>13918</v>
      </c>
      <c r="L10495" s="2">
        <f t="shared" si="163"/>
        <v>150</v>
      </c>
    </row>
    <row r="10496" spans="1:12" ht="25" customHeight="1">
      <c r="A10496" s="2" t="s">
        <v>12</v>
      </c>
      <c r="B10496" s="2" t="str">
        <f>HYPERLINK("http://bbs.12365auto.com/postcontent.aspx?tId=193533","如图所示 东风标致308后备箱积水")</f>
        <v>如图所示 东风标致308后备箱积水</v>
      </c>
      <c r="C10496" s="2" t="s">
        <v>13</v>
      </c>
      <c r="D10496" s="2" t="s">
        <v>12</v>
      </c>
      <c r="E10496" s="2" t="s">
        <v>66</v>
      </c>
      <c r="F10496" s="2" t="str">
        <f>HYPERLINK("http://bbs.12365auto.com/postcontent.aspx?tId=193533","http://bbs.12365auto.com/postcontent.aspx?tId=193533")</f>
        <v>http://bbs.12365auto.com/postcontent.aspx?tId=193533</v>
      </c>
      <c r="G10496" s="2"/>
      <c r="H10496" s="2" t="s">
        <v>13920</v>
      </c>
      <c r="I10496" s="2" t="s">
        <v>15</v>
      </c>
      <c r="J10496" s="2" t="s">
        <v>3985</v>
      </c>
      <c r="K10496" s="2" t="s">
        <v>13918</v>
      </c>
      <c r="L10496" s="2">
        <f t="shared" si="163"/>
        <v>80</v>
      </c>
    </row>
    <row r="10497" spans="1:12" ht="25" customHeight="1">
      <c r="A10497" s="2" t="s">
        <v>12</v>
      </c>
      <c r="B10497" s="2" t="str">
        <f>HYPERLINK("http://bbs.12365auto.com/postcontent.aspx?tId=193532","ESP一直亮可以解决吗？")</f>
        <v>ESP一直亮可以解决吗？</v>
      </c>
      <c r="C10497" s="2" t="s">
        <v>13</v>
      </c>
      <c r="D10497" s="2" t="s">
        <v>12</v>
      </c>
      <c r="E10497" s="2" t="s">
        <v>66</v>
      </c>
      <c r="F10497" s="2" t="str">
        <f>HYPERLINK("http://bbs.12365auto.com/postcontent.aspx?tId=193532","http://bbs.12365auto.com/postcontent.aspx?tId=193532")</f>
        <v>http://bbs.12365auto.com/postcontent.aspx?tId=193532</v>
      </c>
      <c r="G10497" s="2"/>
      <c r="H10497" s="2" t="s">
        <v>13921</v>
      </c>
      <c r="I10497" s="2" t="s">
        <v>15</v>
      </c>
      <c r="J10497" s="2" t="s">
        <v>3946</v>
      </c>
      <c r="K10497" s="2" t="s">
        <v>13918</v>
      </c>
      <c r="L10497" s="2">
        <f t="shared" si="163"/>
        <v>78</v>
      </c>
    </row>
    <row r="10498" spans="1:12" ht="25" customHeight="1">
      <c r="A10498" s="2" t="s">
        <v>12</v>
      </c>
      <c r="B10498" s="2" t="str">
        <f>HYPERLINK("http://bbs.12365auto.com/postcontent.aspx?tID=193534","迈腾的异味问题太严重了")</f>
        <v>迈腾的异味问题太严重了</v>
      </c>
      <c r="C10498" s="2" t="s">
        <v>13</v>
      </c>
      <c r="D10498" s="2" t="s">
        <v>12</v>
      </c>
      <c r="E10498" s="2" t="s">
        <v>67</v>
      </c>
      <c r="F10498" s="2" t="str">
        <f>HYPERLINK("http://bbs.12365auto.com/postcontent.aspx?tID=193534","http://bbs.12365auto.com/postcontent.aspx?tID=193534")</f>
        <v>http://bbs.12365auto.com/postcontent.aspx?tID=193534</v>
      </c>
      <c r="G10498" s="2"/>
      <c r="H10498" s="2" t="s">
        <v>13922</v>
      </c>
      <c r="I10498" s="2" t="s">
        <v>15</v>
      </c>
      <c r="J10498" s="2" t="s">
        <v>3939</v>
      </c>
      <c r="K10498" s="2" t="s">
        <v>13918</v>
      </c>
      <c r="L10498" s="2">
        <f t="shared" si="163"/>
        <v>150</v>
      </c>
    </row>
    <row r="10499" spans="1:12" ht="25" customHeight="1">
      <c r="A10499" s="2" t="s">
        <v>12</v>
      </c>
      <c r="B10499" s="2" t="str">
        <f>HYPERLINK("http://bbs.12365auto.com/postcontent.aspx?tID=193532","ESP一直亮可以解决吗？")</f>
        <v>ESP一直亮可以解决吗？</v>
      </c>
      <c r="C10499" s="2" t="s">
        <v>13</v>
      </c>
      <c r="D10499" s="2" t="s">
        <v>12</v>
      </c>
      <c r="E10499" s="2" t="s">
        <v>67</v>
      </c>
      <c r="F10499" s="2" t="str">
        <f>HYPERLINK("http://bbs.12365auto.com/postcontent.aspx?tID=193532","http://bbs.12365auto.com/postcontent.aspx?tID=193532")</f>
        <v>http://bbs.12365auto.com/postcontent.aspx?tID=193532</v>
      </c>
      <c r="G10499" s="2"/>
      <c r="H10499" s="2" t="s">
        <v>13923</v>
      </c>
      <c r="I10499" s="2" t="s">
        <v>15</v>
      </c>
      <c r="J10499" s="2" t="s">
        <v>3946</v>
      </c>
      <c r="K10499" s="2" t="s">
        <v>13918</v>
      </c>
      <c r="L10499" s="2">
        <f t="shared" ref="L10499:L10562" si="164">LEN(H10499)</f>
        <v>90</v>
      </c>
    </row>
    <row r="10500" spans="1:12" ht="25" customHeight="1">
      <c r="A10500" s="2" t="s">
        <v>12</v>
      </c>
      <c r="B10500" s="2" t="str">
        <f>HYPERLINK("http://bbs.12365auto.com/postcontent.aspx?tID=193533","如图所示 东风标致308后备箱积水")</f>
        <v>如图所示 东风标致308后备箱积水</v>
      </c>
      <c r="C10500" s="2" t="s">
        <v>13</v>
      </c>
      <c r="D10500" s="2" t="s">
        <v>12</v>
      </c>
      <c r="E10500" s="2" t="s">
        <v>67</v>
      </c>
      <c r="F10500" s="2" t="str">
        <f>HYPERLINK("http://bbs.12365auto.com/postcontent.aspx?tID=193533","http://bbs.12365auto.com/postcontent.aspx?tID=193533")</f>
        <v>http://bbs.12365auto.com/postcontent.aspx?tID=193533</v>
      </c>
      <c r="G10500" s="2"/>
      <c r="H10500" s="2" t="s">
        <v>13924</v>
      </c>
      <c r="I10500" s="2" t="s">
        <v>15</v>
      </c>
      <c r="J10500" s="2" t="s">
        <v>3985</v>
      </c>
      <c r="K10500" s="2" t="s">
        <v>13918</v>
      </c>
      <c r="L10500" s="2">
        <f t="shared" si="164"/>
        <v>97</v>
      </c>
    </row>
    <row r="10501" spans="1:12" ht="25" customHeight="1">
      <c r="A10501" s="2" t="s">
        <v>12</v>
      </c>
      <c r="B10501" s="2" t="str">
        <f>HYPERLINK("http://m.12365auto.com/xcdg/20200210/418051.shtml","外观小幅调整 新款沃尔沃V90 CC谍照曝光")</f>
        <v>外观小幅调整 新款沃尔沃V90 CC谍照曝光</v>
      </c>
      <c r="C10501" s="2" t="s">
        <v>13</v>
      </c>
      <c r="D10501" s="2" t="s">
        <v>12</v>
      </c>
      <c r="E10501" s="2"/>
      <c r="F10501" s="2" t="str">
        <f>HYPERLINK("http://m.12365auto.com/xcdg/20200210/418051.shtml","http://m.12365auto.com/xcdg/20200210/418051.shtml")</f>
        <v>http://m.12365auto.com/xcdg/20200210/418051.shtml</v>
      </c>
      <c r="G10501" s="2"/>
      <c r="H10501" s="2" t="s">
        <v>13925</v>
      </c>
      <c r="I10501" s="2" t="s">
        <v>19</v>
      </c>
      <c r="J10501" s="2" t="s">
        <v>1305</v>
      </c>
      <c r="K10501" s="2" t="s">
        <v>13918</v>
      </c>
      <c r="L10501" s="2">
        <f t="shared" si="164"/>
        <v>150</v>
      </c>
    </row>
    <row r="10502" spans="1:12" ht="25" customHeight="1">
      <c r="A10502" s="2" t="s">
        <v>12</v>
      </c>
      <c r="B10502" s="2" t="str">
        <f>HYPERLINK("http://bbs.12365auto.com/postcontent.aspx?tID=193535","本田飞度冷启动时发动机有异响现象")</f>
        <v>本田飞度冷启动时发动机有异响现象</v>
      </c>
      <c r="C10502" s="2" t="s">
        <v>13</v>
      </c>
      <c r="D10502" s="2" t="s">
        <v>12</v>
      </c>
      <c r="E10502" s="2" t="s">
        <v>67</v>
      </c>
      <c r="F10502" s="2" t="str">
        <f>HYPERLINK("http://bbs.12365auto.com/postcontent.aspx?tID=193535","http://bbs.12365auto.com/postcontent.aspx?tID=193535")</f>
        <v>http://bbs.12365auto.com/postcontent.aspx?tID=193535</v>
      </c>
      <c r="G10502" s="2"/>
      <c r="H10502" s="2" t="s">
        <v>13926</v>
      </c>
      <c r="I10502" s="2" t="s">
        <v>15</v>
      </c>
      <c r="J10502" s="2" t="s">
        <v>3981</v>
      </c>
      <c r="K10502" s="2" t="s">
        <v>13918</v>
      </c>
      <c r="L10502" s="2">
        <f t="shared" si="164"/>
        <v>64</v>
      </c>
    </row>
    <row r="10503" spans="1:12" ht="25" customHeight="1">
      <c r="A10503" s="2" t="s">
        <v>12</v>
      </c>
      <c r="B10503" s="2" t="str">
        <f>HYPERLINK("http://www.12365auto.com/xcdg/20200210/418051.shtml","外观小幅调整 新款沃尔沃V90 CC谍照曝光")</f>
        <v>外观小幅调整 新款沃尔沃V90 CC谍照曝光</v>
      </c>
      <c r="C10503" s="2" t="s">
        <v>13</v>
      </c>
      <c r="D10503" s="2" t="s">
        <v>12</v>
      </c>
      <c r="E10503" s="2" t="s">
        <v>224</v>
      </c>
      <c r="F10503" s="2" t="str">
        <f>HYPERLINK("http://www.12365auto.com/xcdg/20200210/418051.shtml","http://www.12365auto.com/xcdg/20200210/418051.shtml")</f>
        <v>http://www.12365auto.com/xcdg/20200210/418051.shtml</v>
      </c>
      <c r="G10503" s="2"/>
      <c r="H10503" s="2" t="s">
        <v>13927</v>
      </c>
      <c r="I10503" s="2" t="s">
        <v>15</v>
      </c>
      <c r="J10503" s="2" t="s">
        <v>12</v>
      </c>
      <c r="K10503" s="2" t="s">
        <v>13918</v>
      </c>
      <c r="L10503" s="2">
        <f t="shared" si="164"/>
        <v>150</v>
      </c>
    </row>
    <row r="10504" spans="1:12" ht="25" customHeight="1">
      <c r="A10504" s="2" t="s">
        <v>12</v>
      </c>
      <c r="B10504" s="2" t="str">
        <f>HYPERLINK("http://m.12365auto.com/zjdy/20200209/121129.shtml","缸内直喷汽车积碳需要定时清洗吗？")</f>
        <v>缸内直喷汽车积碳需要定时清洗吗？</v>
      </c>
      <c r="C10504" s="2" t="s">
        <v>13</v>
      </c>
      <c r="D10504" s="2" t="s">
        <v>12</v>
      </c>
      <c r="E10504" s="2"/>
      <c r="F10504" s="2" t="str">
        <f>HYPERLINK("http://m.12365auto.com/zjdy/20200209/121129.shtml","http://m.12365auto.com/zjdy/20200209/121129.shtml")</f>
        <v>http://m.12365auto.com/zjdy/20200209/121129.shtml</v>
      </c>
      <c r="G10504" s="2"/>
      <c r="H10504" s="2" t="s">
        <v>13928</v>
      </c>
      <c r="I10504" s="2" t="s">
        <v>19</v>
      </c>
      <c r="J10504" s="2" t="s">
        <v>12</v>
      </c>
      <c r="K10504" s="2" t="s">
        <v>13929</v>
      </c>
      <c r="L10504" s="2">
        <f t="shared" si="164"/>
        <v>37</v>
      </c>
    </row>
    <row r="10505" spans="1:12" ht="25" customHeight="1">
      <c r="A10505" s="2" t="s">
        <v>12</v>
      </c>
      <c r="B10505" s="2" t="str">
        <f>HYPERLINK("http://m.12365auto.com/zjdy/20200209/121130.shtml","车辆漏电120毫安属于正常的吗？")</f>
        <v>车辆漏电120毫安属于正常的吗？</v>
      </c>
      <c r="C10505" s="2" t="s">
        <v>13</v>
      </c>
      <c r="D10505" s="2" t="s">
        <v>12</v>
      </c>
      <c r="E10505" s="2"/>
      <c r="F10505" s="2" t="str">
        <f>HYPERLINK("http://m.12365auto.com/zjdy/20200209/121130.shtml","http://m.12365auto.com/zjdy/20200209/121130.shtml")</f>
        <v>http://m.12365auto.com/zjdy/20200209/121130.shtml</v>
      </c>
      <c r="G10505" s="2"/>
      <c r="H10505" s="2" t="s">
        <v>13930</v>
      </c>
      <c r="I10505" s="2" t="s">
        <v>19</v>
      </c>
      <c r="J10505" s="2" t="s">
        <v>12</v>
      </c>
      <c r="K10505" s="2" t="s">
        <v>13931</v>
      </c>
      <c r="L10505" s="2">
        <f t="shared" si="164"/>
        <v>23</v>
      </c>
    </row>
    <row r="10506" spans="1:12" ht="25" customHeight="1">
      <c r="A10506" s="2" t="s">
        <v>12</v>
      </c>
      <c r="B10506" s="2" t="str">
        <f>HYPERLINK("http://m.12365auto.com/zjdy/20200210/121131.shtml","林肯航海家尊耀版变速箱顿挫异响怎么办？")</f>
        <v>林肯航海家尊耀版变速箱顿挫异响怎么办？</v>
      </c>
      <c r="C10506" s="2" t="s">
        <v>13</v>
      </c>
      <c r="D10506" s="2" t="s">
        <v>12</v>
      </c>
      <c r="E10506" s="2"/>
      <c r="F10506" s="2" t="str">
        <f>HYPERLINK("http://m.12365auto.com/zjdy/20200210/121131.shtml","http://m.12365auto.com/zjdy/20200210/121131.shtml")</f>
        <v>http://m.12365auto.com/zjdy/20200210/121131.shtml</v>
      </c>
      <c r="G10506" s="2"/>
      <c r="H10506" s="2" t="s">
        <v>13932</v>
      </c>
      <c r="I10506" s="2" t="s">
        <v>19</v>
      </c>
      <c r="J10506" s="2" t="s">
        <v>12</v>
      </c>
      <c r="K10506" s="2" t="s">
        <v>13931</v>
      </c>
      <c r="L10506" s="2">
        <f t="shared" si="164"/>
        <v>18</v>
      </c>
    </row>
    <row r="10507" spans="1:12" ht="25" customHeight="1">
      <c r="A10507" s="2" t="s">
        <v>12</v>
      </c>
      <c r="B10507" s="2" t="str">
        <f>HYPERLINK("http://m.12365auto.com/zjdy/20200209/121128.shtml","16款英朗是否支持倒车影像和车载互联？")</f>
        <v>16款英朗是否支持倒车影像和车载互联？</v>
      </c>
      <c r="C10507" s="2" t="s">
        <v>13</v>
      </c>
      <c r="D10507" s="2" t="s">
        <v>12</v>
      </c>
      <c r="E10507" s="2"/>
      <c r="F10507" s="2" t="str">
        <f>HYPERLINK("http://m.12365auto.com/zjdy/20200209/121128.shtml","http://m.12365auto.com/zjdy/20200209/121128.shtml")</f>
        <v>http://m.12365auto.com/zjdy/20200209/121128.shtml</v>
      </c>
      <c r="G10507" s="2"/>
      <c r="H10507" s="2" t="s">
        <v>13933</v>
      </c>
      <c r="I10507" s="2" t="s">
        <v>19</v>
      </c>
      <c r="J10507" s="2" t="s">
        <v>12</v>
      </c>
      <c r="K10507" s="2" t="s">
        <v>13934</v>
      </c>
      <c r="L10507" s="2">
        <f t="shared" si="164"/>
        <v>75</v>
      </c>
    </row>
    <row r="10508" spans="1:12" ht="25" customHeight="1">
      <c r="A10508" s="2" t="s">
        <v>12</v>
      </c>
      <c r="B10508" s="2" t="str">
        <f>HYPERLINK("http://www.12365auto.com/zlts/20200210/446736.shtml","厂家一直不给发配件")</f>
        <v>厂家一直不给发配件</v>
      </c>
      <c r="C10508" s="2" t="s">
        <v>13</v>
      </c>
      <c r="D10508" s="2" t="s">
        <v>12</v>
      </c>
      <c r="E10508" s="2"/>
      <c r="F10508" s="2" t="str">
        <f>HYPERLINK("http://www.12365auto.com/zlts/20200210/446736.shtml","http://www.12365auto.com/zlts/20200210/446736.shtml")</f>
        <v>http://www.12365auto.com/zlts/20200210/446736.shtml</v>
      </c>
      <c r="G10508" s="2"/>
      <c r="H10508" s="2" t="s">
        <v>13936</v>
      </c>
      <c r="I10508" s="2" t="s">
        <v>15</v>
      </c>
      <c r="J10508" s="2" t="s">
        <v>12</v>
      </c>
      <c r="K10508" s="2" t="s">
        <v>13935</v>
      </c>
      <c r="L10508" s="2">
        <f t="shared" si="164"/>
        <v>90</v>
      </c>
    </row>
    <row r="10509" spans="1:12" ht="25" customHeight="1">
      <c r="A10509" s="2" t="s">
        <v>12</v>
      </c>
      <c r="B10509" s="2" t="str">
        <f>HYPERLINK("http://m.12365auto.com/zjdy/20200209/121127.shtml","哈弗F5电瓶频繁亏电应该如何处理？")</f>
        <v>哈弗F5电瓶频繁亏电应该如何处理？</v>
      </c>
      <c r="C10509" s="2" t="s">
        <v>13</v>
      </c>
      <c r="D10509" s="2" t="s">
        <v>12</v>
      </c>
      <c r="E10509" s="2"/>
      <c r="F10509" s="2" t="str">
        <f>HYPERLINK("http://m.12365auto.com/zjdy/20200209/121127.shtml","http://m.12365auto.com/zjdy/20200209/121127.shtml")</f>
        <v>http://m.12365auto.com/zjdy/20200209/121127.shtml</v>
      </c>
      <c r="G10509" s="2"/>
      <c r="H10509" s="2" t="s">
        <v>13937</v>
      </c>
      <c r="I10509" s="2" t="s">
        <v>19</v>
      </c>
      <c r="J10509" s="2" t="s">
        <v>12</v>
      </c>
      <c r="K10509" s="2" t="s">
        <v>13938</v>
      </c>
      <c r="L10509" s="2">
        <f t="shared" si="164"/>
        <v>150</v>
      </c>
    </row>
    <row r="10510" spans="1:12" ht="25" customHeight="1">
      <c r="A10510" s="2" t="s">
        <v>12</v>
      </c>
      <c r="B10510" s="2" t="str">
        <f>HYPERLINK("http://www.12365auto.com/xcdg/20200210/418046.shtml","推荐进取版 新款捷豹XEL购车指南")</f>
        <v>推荐进取版 新款捷豹XEL购车指南</v>
      </c>
      <c r="C10510" s="2" t="s">
        <v>13</v>
      </c>
      <c r="D10510" s="2" t="s">
        <v>12</v>
      </c>
      <c r="E10510" s="2" t="s">
        <v>216</v>
      </c>
      <c r="F10510" s="2" t="str">
        <f>HYPERLINK("http://www.12365auto.com/xcdg/20200210/418046.shtml","http://www.12365auto.com/xcdg/20200210/418046.shtml")</f>
        <v>http://www.12365auto.com/xcdg/20200210/418046.shtml</v>
      </c>
      <c r="G10510" s="2"/>
      <c r="H10510" s="2" t="s">
        <v>13939</v>
      </c>
      <c r="I10510" s="2" t="s">
        <v>15</v>
      </c>
      <c r="J10510" s="2" t="s">
        <v>12</v>
      </c>
      <c r="K10510" s="2" t="s">
        <v>13940</v>
      </c>
      <c r="L10510" s="2">
        <f t="shared" si="164"/>
        <v>150</v>
      </c>
    </row>
    <row r="10511" spans="1:12" ht="25" customHeight="1">
      <c r="A10511" s="2" t="s">
        <v>12</v>
      </c>
      <c r="B10511" s="2" t="str">
        <f>HYPERLINK("http://m.12365auto.com/xcdg/20200210/418046.shtml","推荐进取版 新款捷豹XEL购车指南")</f>
        <v>推荐进取版 新款捷豹XEL购车指南</v>
      </c>
      <c r="C10511" s="2" t="s">
        <v>13</v>
      </c>
      <c r="D10511" s="2" t="s">
        <v>12</v>
      </c>
      <c r="E10511" s="2"/>
      <c r="F10511" s="2" t="str">
        <f>HYPERLINK("http://m.12365auto.com/xcdg/20200210/418046.shtml","http://m.12365auto.com/xcdg/20200210/418046.shtml")</f>
        <v>http://m.12365auto.com/xcdg/20200210/418046.shtml</v>
      </c>
      <c r="G10511" s="2"/>
      <c r="H10511" s="2" t="s">
        <v>13941</v>
      </c>
      <c r="I10511" s="2" t="s">
        <v>19</v>
      </c>
      <c r="J10511" s="2" t="s">
        <v>1250</v>
      </c>
      <c r="K10511" s="2" t="s">
        <v>13940</v>
      </c>
      <c r="L10511" s="2">
        <f t="shared" si="164"/>
        <v>150</v>
      </c>
    </row>
    <row r="10512" spans="1:12" ht="25" customHeight="1">
      <c r="A10512" s="2" t="s">
        <v>12</v>
      </c>
      <c r="B10512" s="2" t="str">
        <f>HYPERLINK("http://m.12365auto.com/xcdg/20200210/418045.shtml","2020款华晨宝马X2日常实用性测试报告")</f>
        <v>2020款华晨宝马X2日常实用性测试报告</v>
      </c>
      <c r="C10512" s="2" t="s">
        <v>13</v>
      </c>
      <c r="D10512" s="2" t="s">
        <v>12</v>
      </c>
      <c r="E10512" s="2"/>
      <c r="F10512" s="2" t="str">
        <f>HYPERLINK("http://m.12365auto.com/xcdg/20200210/418045.shtml","http://m.12365auto.com/xcdg/20200210/418045.shtml")</f>
        <v>http://m.12365auto.com/xcdg/20200210/418045.shtml</v>
      </c>
      <c r="G10512" s="2"/>
      <c r="H10512" s="2" t="s">
        <v>13942</v>
      </c>
      <c r="I10512" s="2" t="s">
        <v>19</v>
      </c>
      <c r="J10512" s="2" t="s">
        <v>1326</v>
      </c>
      <c r="K10512" s="2" t="s">
        <v>13940</v>
      </c>
      <c r="L10512" s="2">
        <f t="shared" si="164"/>
        <v>150</v>
      </c>
    </row>
    <row r="10513" spans="1:12" ht="25" customHeight="1">
      <c r="A10513" s="2" t="s">
        <v>12</v>
      </c>
      <c r="B10513" s="2" t="str">
        <f>HYPERLINK("http://bbs.12365auto.com/postcontent.aspx?tID=193531","如何驾车才能防止底盘被刮蹭的可能？")</f>
        <v>如何驾车才能防止底盘被刮蹭的可能？</v>
      </c>
      <c r="C10513" s="2" t="s">
        <v>13</v>
      </c>
      <c r="D10513" s="2" t="s">
        <v>12</v>
      </c>
      <c r="E10513" s="2" t="s">
        <v>1393</v>
      </c>
      <c r="F10513" s="2" t="str">
        <f>HYPERLINK("http://bbs.12365auto.com/postcontent.aspx?tID=193531","http://bbs.12365auto.com/postcontent.aspx?tID=193531")</f>
        <v>http://bbs.12365auto.com/postcontent.aspx?tID=193531</v>
      </c>
      <c r="G10513" s="2"/>
      <c r="H10513" s="2" t="s">
        <v>13943</v>
      </c>
      <c r="I10513" s="2" t="s">
        <v>15</v>
      </c>
      <c r="J10513" s="2" t="s">
        <v>2201</v>
      </c>
      <c r="K10513" s="2" t="s">
        <v>13944</v>
      </c>
      <c r="L10513" s="2">
        <f t="shared" si="164"/>
        <v>150</v>
      </c>
    </row>
    <row r="10514" spans="1:12" ht="25" customHeight="1">
      <c r="A10514" s="2" t="s">
        <v>12</v>
      </c>
      <c r="B10514" s="2" t="str">
        <f>HYPERLINK("http://bbs.12365auto.com/postcontent.aspx?tId=193531","如何驾车才能防止底盘被刮蹭的可能？")</f>
        <v>如何驾车才能防止底盘被刮蹭的可能？</v>
      </c>
      <c r="C10514" s="2" t="s">
        <v>13</v>
      </c>
      <c r="D10514" s="2" t="s">
        <v>12</v>
      </c>
      <c r="E10514" s="2" t="s">
        <v>1397</v>
      </c>
      <c r="F10514" s="2" t="str">
        <f>HYPERLINK("http://bbs.12365auto.com/postcontent.aspx?tId=193531","http://bbs.12365auto.com/postcontent.aspx?tId=193531")</f>
        <v>http://bbs.12365auto.com/postcontent.aspx?tId=193531</v>
      </c>
      <c r="G10514" s="2"/>
      <c r="H10514" s="2" t="s">
        <v>13945</v>
      </c>
      <c r="I10514" s="2" t="s">
        <v>15</v>
      </c>
      <c r="J10514" s="2" t="s">
        <v>2201</v>
      </c>
      <c r="K10514" s="2" t="s">
        <v>13944</v>
      </c>
      <c r="L10514" s="2">
        <f t="shared" si="164"/>
        <v>150</v>
      </c>
    </row>
    <row r="10515" spans="1:12" ht="25" customHeight="1">
      <c r="A10515" s="2" t="s">
        <v>12</v>
      </c>
      <c r="B10515" s="2" t="str">
        <f>HYPERLINK("http://m.12365auto.com/bbs/postcontent.aspx?tID=193531","如何驾车才能防止底盘被刮蹭的可能？")</f>
        <v>如何驾车才能防止底盘被刮蹭的可能？</v>
      </c>
      <c r="C10515" s="2" t="s">
        <v>13</v>
      </c>
      <c r="D10515" s="2" t="s">
        <v>23</v>
      </c>
      <c r="E10515" s="2"/>
      <c r="F10515" s="2" t="str">
        <f>HYPERLINK("http://m.12365auto.com/bbs/postcontent.aspx?tID=193531","http://m.12365auto.com/bbs/postcontent.aspx?tID=193531")</f>
        <v>http://m.12365auto.com/bbs/postcontent.aspx?tID=193531</v>
      </c>
      <c r="G10515" s="2"/>
      <c r="H10515" s="2" t="s">
        <v>13945</v>
      </c>
      <c r="I10515" s="2" t="s">
        <v>15</v>
      </c>
      <c r="J10515" s="2" t="s">
        <v>2201</v>
      </c>
      <c r="K10515" s="2" t="s">
        <v>13944</v>
      </c>
      <c r="L10515" s="2">
        <f t="shared" si="164"/>
        <v>150</v>
      </c>
    </row>
    <row r="10516" spans="1:12" ht="25" customHeight="1">
      <c r="A10516" s="2" t="s">
        <v>12</v>
      </c>
      <c r="B10516" s="2" t="str">
        <f>HYPERLINK("http://www.12365auto.com/zlts/20200210/446734.shtml","发动机出黑烟")</f>
        <v>发动机出黑烟</v>
      </c>
      <c r="C10516" s="2" t="s">
        <v>13</v>
      </c>
      <c r="D10516" s="2" t="s">
        <v>12</v>
      </c>
      <c r="E10516" s="2"/>
      <c r="F10516" s="2" t="str">
        <f>HYPERLINK("http://www.12365auto.com/zlts/20200210/446734.shtml","http://www.12365auto.com/zlts/20200210/446734.shtml")</f>
        <v>http://www.12365auto.com/zlts/20200210/446734.shtml</v>
      </c>
      <c r="G10516" s="2"/>
      <c r="H10516" s="2" t="s">
        <v>13947</v>
      </c>
      <c r="I10516" s="2" t="s">
        <v>15</v>
      </c>
      <c r="J10516" s="2" t="s">
        <v>12</v>
      </c>
      <c r="K10516" s="2" t="s">
        <v>13946</v>
      </c>
      <c r="L10516" s="2">
        <f t="shared" si="164"/>
        <v>83</v>
      </c>
    </row>
    <row r="10517" spans="1:12" ht="25" customHeight="1">
      <c r="A10517" s="2" t="s">
        <v>12</v>
      </c>
      <c r="B10517" s="2" t="str">
        <f>HYPERLINK("http://www.12365auto.com/zlts/20200210/446733.shtml","吉利帝豪GL发动机舱内有异响 无法提速")</f>
        <v>吉利帝豪GL发动机舱内有异响 无法提速</v>
      </c>
      <c r="C10517" s="2" t="s">
        <v>13</v>
      </c>
      <c r="D10517" s="2" t="s">
        <v>12</v>
      </c>
      <c r="E10517" s="2" t="s">
        <v>17</v>
      </c>
      <c r="F10517" s="2" t="str">
        <f>HYPERLINK("http://www.12365auto.com/zlts/20200210/446733.shtml","http://www.12365auto.com/zlts/20200210/446733.shtml")</f>
        <v>http://www.12365auto.com/zlts/20200210/446733.shtml</v>
      </c>
      <c r="G10517" s="2"/>
      <c r="H10517" s="2" t="s">
        <v>13948</v>
      </c>
      <c r="I10517" s="2" t="s">
        <v>19</v>
      </c>
      <c r="J10517" s="2" t="s">
        <v>12</v>
      </c>
      <c r="K10517" s="2" t="s">
        <v>13949</v>
      </c>
      <c r="L10517" s="2">
        <f t="shared" si="164"/>
        <v>150</v>
      </c>
    </row>
    <row r="10518" spans="1:12" ht="25" customHeight="1">
      <c r="A10518" s="2" t="s">
        <v>12</v>
      </c>
      <c r="B10518" s="2" t="str">
        <f>HYPERLINK("http://www.12365auto.com/zlts/20200209/446729.shtml","巡航无法开启")</f>
        <v>巡航无法开启</v>
      </c>
      <c r="C10518" s="2" t="s">
        <v>13</v>
      </c>
      <c r="D10518" s="2" t="s">
        <v>12</v>
      </c>
      <c r="E10518" s="2"/>
      <c r="F10518" s="2" t="str">
        <f>HYPERLINK("http://www.12365auto.com/zlts/20200209/446729.shtml","http://www.12365auto.com/zlts/20200209/446729.shtml")</f>
        <v>http://www.12365auto.com/zlts/20200209/446729.shtml</v>
      </c>
      <c r="G10518" s="2"/>
      <c r="H10518" s="2" t="s">
        <v>13951</v>
      </c>
      <c r="I10518" s="2" t="s">
        <v>15</v>
      </c>
      <c r="J10518" s="2" t="s">
        <v>12</v>
      </c>
      <c r="K10518" s="2" t="s">
        <v>13950</v>
      </c>
      <c r="L10518" s="2">
        <f t="shared" si="164"/>
        <v>81</v>
      </c>
    </row>
    <row r="10519" spans="1:12" ht="25" customHeight="1">
      <c r="A10519" s="2" t="s">
        <v>12</v>
      </c>
      <c r="B10519" s="2" t="str">
        <f>HYPERLINK("http://www.12365auto.com/zlts/20200209/446728.shtml","华晨宝马3系行驶时中控台有异响 车门异响")</f>
        <v>华晨宝马3系行驶时中控台有异响 车门异响</v>
      </c>
      <c r="C10519" s="2" t="s">
        <v>13</v>
      </c>
      <c r="D10519" s="2" t="s">
        <v>12</v>
      </c>
      <c r="E10519" s="2" t="s">
        <v>17</v>
      </c>
      <c r="F10519" s="2" t="str">
        <f>HYPERLINK("http://www.12365auto.com/zlts/20200209/446728.shtml","http://www.12365auto.com/zlts/20200209/446728.shtml")</f>
        <v>http://www.12365auto.com/zlts/20200209/446728.shtml</v>
      </c>
      <c r="G10519" s="2"/>
      <c r="H10519" s="2" t="s">
        <v>13952</v>
      </c>
      <c r="I10519" s="2" t="s">
        <v>19</v>
      </c>
      <c r="J10519" s="2" t="s">
        <v>12</v>
      </c>
      <c r="K10519" s="2" t="s">
        <v>13953</v>
      </c>
      <c r="L10519" s="2">
        <f t="shared" si="164"/>
        <v>150</v>
      </c>
    </row>
    <row r="10520" spans="1:12" ht="25" customHeight="1">
      <c r="A10520" s="2" t="s">
        <v>12</v>
      </c>
      <c r="B10520" s="2" t="str">
        <f>HYPERLINK("http://www.12365auto.com/zlts/20200209/446727.shtml","江淮帅铃T8行车安全辅助系统故障灯亮")</f>
        <v>江淮帅铃T8行车安全辅助系统故障灯亮</v>
      </c>
      <c r="C10520" s="2" t="s">
        <v>13</v>
      </c>
      <c r="D10520" s="2" t="s">
        <v>12</v>
      </c>
      <c r="E10520" s="2" t="s">
        <v>17</v>
      </c>
      <c r="F10520" s="2" t="str">
        <f>HYPERLINK("http://www.12365auto.com/zlts/20200209/446727.shtml","http://www.12365auto.com/zlts/20200209/446727.shtml")</f>
        <v>http://www.12365auto.com/zlts/20200209/446727.shtml</v>
      </c>
      <c r="G10520" s="2"/>
      <c r="H10520" s="2" t="s">
        <v>13954</v>
      </c>
      <c r="I10520" s="2" t="s">
        <v>19</v>
      </c>
      <c r="J10520" s="2" t="s">
        <v>12</v>
      </c>
      <c r="K10520" s="2" t="s">
        <v>13955</v>
      </c>
      <c r="L10520" s="2">
        <f t="shared" si="164"/>
        <v>150</v>
      </c>
    </row>
    <row r="10521" spans="1:12" ht="25" customHeight="1">
      <c r="A10521" s="2" t="s">
        <v>12</v>
      </c>
      <c r="B10521" s="2" t="str">
        <f>HYPERLINK("http://www.12365auto.com/zlts/20200209/446725.shtml","升级后出现一系列问题动力弱噪音大’")</f>
        <v>升级后出现一系列问题动力弱噪音大’</v>
      </c>
      <c r="C10521" s="2" t="s">
        <v>13</v>
      </c>
      <c r="D10521" s="2" t="s">
        <v>12</v>
      </c>
      <c r="E10521" s="2"/>
      <c r="F10521" s="2" t="str">
        <f>HYPERLINK("http://www.12365auto.com/zlts/20200209/446725.shtml","http://www.12365auto.com/zlts/20200209/446725.shtml")</f>
        <v>http://www.12365auto.com/zlts/20200209/446725.shtml</v>
      </c>
      <c r="G10521" s="2"/>
      <c r="H10521" s="2" t="s">
        <v>13957</v>
      </c>
      <c r="I10521" s="2" t="s">
        <v>15</v>
      </c>
      <c r="J10521" s="2" t="s">
        <v>12</v>
      </c>
      <c r="K10521" s="2" t="s">
        <v>13956</v>
      </c>
      <c r="L10521" s="2">
        <f t="shared" si="164"/>
        <v>84</v>
      </c>
    </row>
    <row r="10522" spans="1:12" ht="25" customHeight="1">
      <c r="A10522" s="2" t="s">
        <v>12</v>
      </c>
      <c r="B10522" s="2" t="str">
        <f>HYPERLINK("http://www.12365auto.com/zlts/20200209/446724.shtml","一汽大众迈腾车内存在刺鼻的异味要求解决")</f>
        <v>一汽大众迈腾车内存在刺鼻的异味要求解决</v>
      </c>
      <c r="C10522" s="2" t="s">
        <v>13</v>
      </c>
      <c r="D10522" s="2" t="s">
        <v>12</v>
      </c>
      <c r="E10522" s="2"/>
      <c r="F10522" s="2" t="str">
        <f>HYPERLINK("http://www.12365auto.com/zlts/20200209/446724.shtml","http://www.12365auto.com/zlts/20200209/446724.shtml")</f>
        <v>http://www.12365auto.com/zlts/20200209/446724.shtml</v>
      </c>
      <c r="G10522" s="2"/>
      <c r="H10522" s="2" t="s">
        <v>13959</v>
      </c>
      <c r="I10522" s="2" t="s">
        <v>15</v>
      </c>
      <c r="J10522" s="2" t="s">
        <v>12</v>
      </c>
      <c r="K10522" s="2" t="s">
        <v>13958</v>
      </c>
      <c r="L10522" s="2">
        <f t="shared" si="164"/>
        <v>80</v>
      </c>
    </row>
    <row r="10523" spans="1:12" ht="25" customHeight="1">
      <c r="A10523" s="2" t="s">
        <v>12</v>
      </c>
      <c r="B10523" s="2" t="str">
        <f>HYPERLINK("http://www.12365auto.com/zlts/20200209/446723.shtml","噪音大，制动有抖动，过不平路面悬挂差，")</f>
        <v>噪音大，制动有抖动，过不平路面悬挂差，</v>
      </c>
      <c r="C10523" s="2" t="s">
        <v>13</v>
      </c>
      <c r="D10523" s="2" t="s">
        <v>12</v>
      </c>
      <c r="E10523" s="2"/>
      <c r="F10523" s="2" t="str">
        <f>HYPERLINK("http://www.12365auto.com/zlts/20200209/446723.shtml","http://www.12365auto.com/zlts/20200209/446723.shtml")</f>
        <v>http://www.12365auto.com/zlts/20200209/446723.shtml</v>
      </c>
      <c r="G10523" s="2"/>
      <c r="H10523" s="2" t="s">
        <v>13961</v>
      </c>
      <c r="I10523" s="2" t="s">
        <v>15</v>
      </c>
      <c r="J10523" s="2" t="s">
        <v>12</v>
      </c>
      <c r="K10523" s="2" t="s">
        <v>13960</v>
      </c>
      <c r="L10523" s="2">
        <f t="shared" si="164"/>
        <v>88</v>
      </c>
    </row>
    <row r="10524" spans="1:12" ht="25" customHeight="1">
      <c r="A10524" s="2" t="s">
        <v>12</v>
      </c>
      <c r="B10524" s="2" t="str">
        <f>HYPERLINK("http://www.12365auto.com/zlts/20200209/446722.shtml","怠速发动机抖动 变速箱顿挫 中控系统卡顿死机")</f>
        <v>怠速发动机抖动 变速箱顿挫 中控系统卡顿死机</v>
      </c>
      <c r="C10524" s="2" t="s">
        <v>13</v>
      </c>
      <c r="D10524" s="2" t="s">
        <v>12</v>
      </c>
      <c r="E10524" s="2"/>
      <c r="F10524" s="2" t="str">
        <f>HYPERLINK("http://www.12365auto.com/zlts/20200209/446722.shtml","http://www.12365auto.com/zlts/20200209/446722.shtml")</f>
        <v>http://www.12365auto.com/zlts/20200209/446722.shtml</v>
      </c>
      <c r="G10524" s="2"/>
      <c r="H10524" s="2" t="s">
        <v>13963</v>
      </c>
      <c r="I10524" s="2" t="s">
        <v>15</v>
      </c>
      <c r="J10524" s="2" t="s">
        <v>12</v>
      </c>
      <c r="K10524" s="2" t="s">
        <v>13962</v>
      </c>
      <c r="L10524" s="2">
        <f t="shared" si="164"/>
        <v>88</v>
      </c>
    </row>
    <row r="10525" spans="1:12" ht="25" customHeight="1">
      <c r="A10525" s="2" t="s">
        <v>12</v>
      </c>
      <c r="B10525" s="2" t="str">
        <f>HYPERLINK("http://www.12365auto.com/zlts/20200209/446721.shtml","刹车片消耗过大")</f>
        <v>刹车片消耗过大</v>
      </c>
      <c r="C10525" s="2" t="s">
        <v>13</v>
      </c>
      <c r="D10525" s="2" t="s">
        <v>12</v>
      </c>
      <c r="E10525" s="2"/>
      <c r="F10525" s="2" t="str">
        <f>HYPERLINK("http://www.12365auto.com/zlts/20200209/446721.shtml","http://www.12365auto.com/zlts/20200209/446721.shtml")</f>
        <v>http://www.12365auto.com/zlts/20200209/446721.shtml</v>
      </c>
      <c r="G10525" s="2"/>
      <c r="H10525" s="2" t="s">
        <v>13965</v>
      </c>
      <c r="I10525" s="2" t="s">
        <v>15</v>
      </c>
      <c r="J10525" s="2" t="s">
        <v>12</v>
      </c>
      <c r="K10525" s="2" t="s">
        <v>13964</v>
      </c>
      <c r="L10525" s="2">
        <f t="shared" si="164"/>
        <v>85</v>
      </c>
    </row>
    <row r="10526" spans="1:12" ht="25" customHeight="1">
      <c r="A10526" s="2" t="s">
        <v>12</v>
      </c>
      <c r="B10526" s="2" t="str">
        <f>HYPERLINK("http://www.12365auto.com/zlts/20200209/446720.shtml","华晨宝马3系下雨后车内后排脚垫有积水")</f>
        <v>华晨宝马3系下雨后车内后排脚垫有积水</v>
      </c>
      <c r="C10526" s="2" t="s">
        <v>13</v>
      </c>
      <c r="D10526" s="2" t="s">
        <v>12</v>
      </c>
      <c r="E10526" s="2" t="s">
        <v>17</v>
      </c>
      <c r="F10526" s="2" t="str">
        <f>HYPERLINK("http://www.12365auto.com/zlts/20200209/446720.shtml","http://www.12365auto.com/zlts/20200209/446720.shtml")</f>
        <v>http://www.12365auto.com/zlts/20200209/446720.shtml</v>
      </c>
      <c r="G10526" s="2"/>
      <c r="H10526" s="2" t="s">
        <v>13966</v>
      </c>
      <c r="I10526" s="2" t="s">
        <v>19</v>
      </c>
      <c r="J10526" s="2" t="s">
        <v>12</v>
      </c>
      <c r="K10526" s="2" t="s">
        <v>13967</v>
      </c>
      <c r="L10526" s="2">
        <f t="shared" si="164"/>
        <v>150</v>
      </c>
    </row>
    <row r="10527" spans="1:12" ht="25" customHeight="1">
      <c r="A10527" s="2" t="s">
        <v>12</v>
      </c>
      <c r="B10527" s="2" t="str">
        <f>HYPERLINK("http://www.12365auto.com/zlts/20200209/446719.shtml","奇瑞瑞虎5驾驶室内有严重的异味")</f>
        <v>奇瑞瑞虎5驾驶室内有严重的异味</v>
      </c>
      <c r="C10527" s="2" t="s">
        <v>13</v>
      </c>
      <c r="D10527" s="2" t="s">
        <v>12</v>
      </c>
      <c r="E10527" s="2" t="s">
        <v>17</v>
      </c>
      <c r="F10527" s="2" t="str">
        <f>HYPERLINK("http://www.12365auto.com/zlts/20200209/446719.shtml","http://www.12365auto.com/zlts/20200209/446719.shtml")</f>
        <v>http://www.12365auto.com/zlts/20200209/446719.shtml</v>
      </c>
      <c r="G10527" s="2"/>
      <c r="H10527" s="2" t="s">
        <v>13968</v>
      </c>
      <c r="I10527" s="2" t="s">
        <v>19</v>
      </c>
      <c r="J10527" s="2" t="s">
        <v>12</v>
      </c>
      <c r="K10527" s="2" t="s">
        <v>13969</v>
      </c>
      <c r="L10527" s="2">
        <f t="shared" si="164"/>
        <v>150</v>
      </c>
    </row>
    <row r="10528" spans="1:12" ht="25" customHeight="1">
      <c r="A10528" s="2" t="s">
        <v>12</v>
      </c>
      <c r="B10528" s="2" t="str">
        <f>HYPERLINK("http://www.12365auto.com/zlts/20200209/446718.shtml","一汽大众探岳变速箱换挡异响严重")</f>
        <v>一汽大众探岳变速箱换挡异响严重</v>
      </c>
      <c r="C10528" s="2" t="s">
        <v>13</v>
      </c>
      <c r="D10528" s="2" t="s">
        <v>12</v>
      </c>
      <c r="E10528" s="2" t="s">
        <v>17</v>
      </c>
      <c r="F10528" s="2" t="str">
        <f>HYPERLINK("http://www.12365auto.com/zlts/20200209/446718.shtml","http://www.12365auto.com/zlts/20200209/446718.shtml")</f>
        <v>http://www.12365auto.com/zlts/20200209/446718.shtml</v>
      </c>
      <c r="G10528" s="2"/>
      <c r="H10528" s="2" t="s">
        <v>13970</v>
      </c>
      <c r="I10528" s="2" t="s">
        <v>19</v>
      </c>
      <c r="J10528" s="2" t="s">
        <v>12</v>
      </c>
      <c r="K10528" s="2" t="s">
        <v>13971</v>
      </c>
      <c r="L10528" s="2">
        <f t="shared" si="164"/>
        <v>150</v>
      </c>
    </row>
    <row r="10529" spans="1:12" ht="25" customHeight="1">
      <c r="A10529" s="2" t="s">
        <v>12</v>
      </c>
      <c r="B10529" s="2" t="str">
        <f>HYPERLINK("http://www.12365auto.com/zlts/20200209/446717.shtml","一汽大众速腾韩泰轮胎出现裂纹导致爆胎")</f>
        <v>一汽大众速腾韩泰轮胎出现裂纹导致爆胎</v>
      </c>
      <c r="C10529" s="2" t="s">
        <v>13</v>
      </c>
      <c r="D10529" s="2" t="s">
        <v>12</v>
      </c>
      <c r="E10529" s="2" t="s">
        <v>17</v>
      </c>
      <c r="F10529" s="2" t="str">
        <f>HYPERLINK("http://www.12365auto.com/zlts/20200209/446717.shtml","http://www.12365auto.com/zlts/20200209/446717.shtml")</f>
        <v>http://www.12365auto.com/zlts/20200209/446717.shtml</v>
      </c>
      <c r="G10529" s="2"/>
      <c r="H10529" s="2" t="s">
        <v>13972</v>
      </c>
      <c r="I10529" s="2" t="s">
        <v>19</v>
      </c>
      <c r="J10529" s="2" t="s">
        <v>12</v>
      </c>
      <c r="K10529" s="2" t="s">
        <v>13973</v>
      </c>
      <c r="L10529" s="2">
        <f t="shared" si="164"/>
        <v>150</v>
      </c>
    </row>
    <row r="10530" spans="1:12" ht="25" customHeight="1">
      <c r="A10530" s="2" t="s">
        <v>12</v>
      </c>
      <c r="B10530" s="2" t="str">
        <f>HYPERLINK("http://bbs.12365auto.com/postcontent.aspx?tId=193530","哈弗F5新车电瓶亏电")</f>
        <v>哈弗F5新车电瓶亏电</v>
      </c>
      <c r="C10530" s="2" t="s">
        <v>13</v>
      </c>
      <c r="D10530" s="2" t="s">
        <v>12</v>
      </c>
      <c r="E10530" s="2" t="s">
        <v>66</v>
      </c>
      <c r="F10530" s="2" t="str">
        <f>HYPERLINK("http://bbs.12365auto.com/postcontent.aspx?tId=193530","http://bbs.12365auto.com/postcontent.aspx?tId=193530")</f>
        <v>http://bbs.12365auto.com/postcontent.aspx?tId=193530</v>
      </c>
      <c r="G10530" s="2"/>
      <c r="H10530" s="2" t="s">
        <v>13974</v>
      </c>
      <c r="I10530" s="2" t="s">
        <v>15</v>
      </c>
      <c r="J10530" s="2" t="s">
        <v>13975</v>
      </c>
      <c r="K10530" s="2" t="s">
        <v>13976</v>
      </c>
      <c r="L10530" s="2">
        <f t="shared" si="164"/>
        <v>32</v>
      </c>
    </row>
    <row r="10531" spans="1:12" ht="25" customHeight="1">
      <c r="A10531" s="2" t="s">
        <v>12</v>
      </c>
      <c r="B10531" s="2" t="str">
        <f>HYPERLINK("http://m.12365auto.com/bbs/postcontent.aspx?tID=193530","哈弗F5新车电瓶亏电")</f>
        <v>哈弗F5新车电瓶亏电</v>
      </c>
      <c r="C10531" s="2" t="s">
        <v>13</v>
      </c>
      <c r="D10531" s="2" t="s">
        <v>23</v>
      </c>
      <c r="E10531" s="2"/>
      <c r="F10531" s="2" t="str">
        <f>HYPERLINK("http://m.12365auto.com/bbs/postcontent.aspx?tID=193530","http://m.12365auto.com/bbs/postcontent.aspx?tID=193530")</f>
        <v>http://m.12365auto.com/bbs/postcontent.aspx?tID=193530</v>
      </c>
      <c r="G10531" s="2"/>
      <c r="H10531" s="2" t="s">
        <v>13974</v>
      </c>
      <c r="I10531" s="2" t="s">
        <v>15</v>
      </c>
      <c r="J10531" s="2" t="s">
        <v>13975</v>
      </c>
      <c r="K10531" s="2" t="s">
        <v>13976</v>
      </c>
      <c r="L10531" s="2">
        <f t="shared" si="164"/>
        <v>32</v>
      </c>
    </row>
    <row r="10532" spans="1:12" ht="25" customHeight="1">
      <c r="A10532" s="2" t="s">
        <v>12</v>
      </c>
      <c r="B10532" s="2" t="str">
        <f>HYPERLINK("http://bbs.12365auto.com/postcontent.aspx?tID=193530","哈弗F5新车电瓶亏电")</f>
        <v>哈弗F5新车电瓶亏电</v>
      </c>
      <c r="C10532" s="2" t="s">
        <v>13</v>
      </c>
      <c r="D10532" s="2" t="s">
        <v>12</v>
      </c>
      <c r="E10532" s="2" t="s">
        <v>67</v>
      </c>
      <c r="F10532" s="2" t="str">
        <f>HYPERLINK("http://bbs.12365auto.com/postcontent.aspx?tID=193530","http://bbs.12365auto.com/postcontent.aspx?tID=193530")</f>
        <v>http://bbs.12365auto.com/postcontent.aspx?tID=193530</v>
      </c>
      <c r="G10532" s="2"/>
      <c r="H10532" s="2" t="s">
        <v>13977</v>
      </c>
      <c r="I10532" s="2" t="s">
        <v>15</v>
      </c>
      <c r="J10532" s="2" t="s">
        <v>13975</v>
      </c>
      <c r="K10532" s="2" t="s">
        <v>13976</v>
      </c>
      <c r="L10532" s="2">
        <f t="shared" si="164"/>
        <v>42</v>
      </c>
    </row>
    <row r="10533" spans="1:12" ht="25" customHeight="1">
      <c r="A10533" s="2" t="s">
        <v>12</v>
      </c>
      <c r="B10533" s="2" t="str">
        <f>HYPERLINK("http://www.12365auto.com/zlts/20200209/446716.shtml","哈弗F5电瓶频繁亏电希望厂家更换电瓶")</f>
        <v>哈弗F5电瓶频繁亏电希望厂家更换电瓶</v>
      </c>
      <c r="C10533" s="2" t="s">
        <v>13</v>
      </c>
      <c r="D10533" s="2" t="s">
        <v>12</v>
      </c>
      <c r="E10533" s="2" t="s">
        <v>17</v>
      </c>
      <c r="F10533" s="2" t="str">
        <f>HYPERLINK("http://www.12365auto.com/zlts/20200209/446716.shtml","http://www.12365auto.com/zlts/20200209/446716.shtml")</f>
        <v>http://www.12365auto.com/zlts/20200209/446716.shtml</v>
      </c>
      <c r="G10533" s="2"/>
      <c r="H10533" s="2" t="s">
        <v>13978</v>
      </c>
      <c r="I10533" s="2" t="s">
        <v>19</v>
      </c>
      <c r="J10533" s="2" t="s">
        <v>12</v>
      </c>
      <c r="K10533" s="2" t="s">
        <v>13979</v>
      </c>
      <c r="L10533" s="2">
        <f t="shared" si="164"/>
        <v>150</v>
      </c>
    </row>
    <row r="10534" spans="1:12" ht="25" customHeight="1">
      <c r="A10534" s="2" t="s">
        <v>12</v>
      </c>
      <c r="B10534" s="2" t="str">
        <f>HYPERLINK("http://www.12365auto.com/zlts/20200209/446715.shtml","长安CS55高速中加速无力希望厂家处理")</f>
        <v>长安CS55高速中加速无力希望厂家处理</v>
      </c>
      <c r="C10534" s="2" t="s">
        <v>13</v>
      </c>
      <c r="D10534" s="2" t="s">
        <v>12</v>
      </c>
      <c r="E10534" s="2" t="s">
        <v>17</v>
      </c>
      <c r="F10534" s="2" t="str">
        <f>HYPERLINK("http://www.12365auto.com/zlts/20200209/446715.shtml","http://www.12365auto.com/zlts/20200209/446715.shtml")</f>
        <v>http://www.12365auto.com/zlts/20200209/446715.shtml</v>
      </c>
      <c r="G10534" s="2"/>
      <c r="H10534" s="2" t="s">
        <v>13980</v>
      </c>
      <c r="I10534" s="2" t="s">
        <v>19</v>
      </c>
      <c r="J10534" s="2" t="s">
        <v>12</v>
      </c>
      <c r="K10534" s="2" t="s">
        <v>13981</v>
      </c>
      <c r="L10534" s="2">
        <f t="shared" si="164"/>
        <v>150</v>
      </c>
    </row>
    <row r="10535" spans="1:12" ht="25" customHeight="1">
      <c r="A10535" s="2" t="s">
        <v>12</v>
      </c>
      <c r="B10535" s="2" t="str">
        <f>HYPERLINK("http://www.12365auto.com/zlts/20200209/446708.shtml","变速箱双离合1挡至2挡抖动")</f>
        <v>变速箱双离合1挡至2挡抖动</v>
      </c>
      <c r="C10535" s="2" t="s">
        <v>13</v>
      </c>
      <c r="D10535" s="2" t="s">
        <v>12</v>
      </c>
      <c r="E10535" s="2"/>
      <c r="F10535" s="2" t="str">
        <f>HYPERLINK("http://www.12365auto.com/zlts/20200209/446708.shtml","http://www.12365auto.com/zlts/20200209/446708.shtml")</f>
        <v>http://www.12365auto.com/zlts/20200209/446708.shtml</v>
      </c>
      <c r="G10535" s="2"/>
      <c r="H10535" s="2" t="s">
        <v>13983</v>
      </c>
      <c r="I10535" s="2" t="s">
        <v>15</v>
      </c>
      <c r="J10535" s="2" t="s">
        <v>12</v>
      </c>
      <c r="K10535" s="2" t="s">
        <v>13982</v>
      </c>
      <c r="L10535" s="2">
        <f t="shared" si="164"/>
        <v>92</v>
      </c>
    </row>
    <row r="10536" spans="1:12" ht="25" customHeight="1">
      <c r="A10536" s="2" t="s">
        <v>12</v>
      </c>
      <c r="B10536" s="2" t="str">
        <f>HYPERLINK("http://www.12365auto.com/zlts/20200209/446710.shtml","进口宝马X3天窗排水管漏水 4S店不予质保")</f>
        <v>进口宝马X3天窗排水管漏水 4S店不予质保</v>
      </c>
      <c r="C10536" s="2" t="s">
        <v>13</v>
      </c>
      <c r="D10536" s="2" t="s">
        <v>12</v>
      </c>
      <c r="E10536" s="2" t="s">
        <v>17</v>
      </c>
      <c r="F10536" s="2" t="str">
        <f>HYPERLINK("http://www.12365auto.com/zlts/20200209/446710.shtml","http://www.12365auto.com/zlts/20200209/446710.shtml")</f>
        <v>http://www.12365auto.com/zlts/20200209/446710.shtml</v>
      </c>
      <c r="G10536" s="2"/>
      <c r="H10536" s="2" t="s">
        <v>13984</v>
      </c>
      <c r="I10536" s="2" t="s">
        <v>19</v>
      </c>
      <c r="J10536" s="2" t="s">
        <v>12</v>
      </c>
      <c r="K10536" s="2" t="s">
        <v>13985</v>
      </c>
      <c r="L10536" s="2">
        <f t="shared" si="164"/>
        <v>150</v>
      </c>
    </row>
    <row r="10537" spans="1:12" ht="25" customHeight="1">
      <c r="A10537" s="2" t="s">
        <v>12</v>
      </c>
      <c r="B10537" s="2" t="str">
        <f>HYPERLINK("http://www.12365auto.com/zlts/20200209/446709.shtml","奇瑞艾瑞泽7e报高压故障熄火无法启动")</f>
        <v>奇瑞艾瑞泽7e报高压故障熄火无法启动</v>
      </c>
      <c r="C10537" s="2" t="s">
        <v>13</v>
      </c>
      <c r="D10537" s="2" t="s">
        <v>12</v>
      </c>
      <c r="E10537" s="2" t="s">
        <v>17</v>
      </c>
      <c r="F10537" s="2" t="str">
        <f>HYPERLINK("http://www.12365auto.com/zlts/20200209/446709.shtml","http://www.12365auto.com/zlts/20200209/446709.shtml")</f>
        <v>http://www.12365auto.com/zlts/20200209/446709.shtml</v>
      </c>
      <c r="G10537" s="2"/>
      <c r="H10537" s="2" t="s">
        <v>13986</v>
      </c>
      <c r="I10537" s="2" t="s">
        <v>19</v>
      </c>
      <c r="J10537" s="2" t="s">
        <v>12</v>
      </c>
      <c r="K10537" s="2" t="s">
        <v>13987</v>
      </c>
      <c r="L10537" s="2">
        <f t="shared" si="164"/>
        <v>150</v>
      </c>
    </row>
    <row r="10538" spans="1:12" ht="25" customHeight="1">
      <c r="A10538" s="2" t="s">
        <v>12</v>
      </c>
      <c r="B10538" s="2" t="str">
        <f>HYPERLINK("http://www.12365auto.com/zlts/20200209/446707.shtml","绅宝X55转向卡滞 沉重 发动机噪音大")</f>
        <v>绅宝X55转向卡滞 沉重 发动机噪音大</v>
      </c>
      <c r="C10538" s="2" t="s">
        <v>13</v>
      </c>
      <c r="D10538" s="2" t="s">
        <v>12</v>
      </c>
      <c r="E10538" s="2" t="s">
        <v>17</v>
      </c>
      <c r="F10538" s="2" t="str">
        <f>HYPERLINK("http://www.12365auto.com/zlts/20200209/446707.shtml","http://www.12365auto.com/zlts/20200209/446707.shtml")</f>
        <v>http://www.12365auto.com/zlts/20200209/446707.shtml</v>
      </c>
      <c r="G10538" s="2"/>
      <c r="H10538" s="2" t="s">
        <v>13988</v>
      </c>
      <c r="I10538" s="2" t="s">
        <v>19</v>
      </c>
      <c r="J10538" s="2" t="s">
        <v>12</v>
      </c>
      <c r="K10538" s="2" t="s">
        <v>13989</v>
      </c>
      <c r="L10538" s="2">
        <f t="shared" si="164"/>
        <v>150</v>
      </c>
    </row>
    <row r="10539" spans="1:12" ht="25" customHeight="1">
      <c r="A10539" s="2" t="s">
        <v>12</v>
      </c>
      <c r="B10539" s="2" t="str">
        <f>HYPERLINK("http://www.12365auto.com/zlts/20200209/446705.shtml","一汽奔腾B30方向盘卡顿 悬挂异响")</f>
        <v>一汽奔腾B30方向盘卡顿 悬挂异响</v>
      </c>
      <c r="C10539" s="2" t="s">
        <v>13</v>
      </c>
      <c r="D10539" s="2" t="s">
        <v>12</v>
      </c>
      <c r="E10539" s="2" t="s">
        <v>17</v>
      </c>
      <c r="F10539" s="2" t="str">
        <f>HYPERLINK("http://www.12365auto.com/zlts/20200209/446705.shtml","http://www.12365auto.com/zlts/20200209/446705.shtml")</f>
        <v>http://www.12365auto.com/zlts/20200209/446705.shtml</v>
      </c>
      <c r="G10539" s="2"/>
      <c r="H10539" s="2" t="s">
        <v>13990</v>
      </c>
      <c r="I10539" s="2" t="s">
        <v>19</v>
      </c>
      <c r="J10539" s="2" t="s">
        <v>12</v>
      </c>
      <c r="K10539" s="2" t="s">
        <v>13991</v>
      </c>
      <c r="L10539" s="2">
        <f t="shared" si="164"/>
        <v>150</v>
      </c>
    </row>
    <row r="10540" spans="1:12" ht="25" customHeight="1">
      <c r="A10540" s="2" t="s">
        <v>12</v>
      </c>
      <c r="B10540" s="2" t="str">
        <f>HYPERLINK("http://www.12365auto.com/zlts/20200209/446702.shtml","郑州日产途达两次亏电无法正常启动")</f>
        <v>郑州日产途达两次亏电无法正常启动</v>
      </c>
      <c r="C10540" s="2" t="s">
        <v>13</v>
      </c>
      <c r="D10540" s="2" t="s">
        <v>12</v>
      </c>
      <c r="E10540" s="2" t="s">
        <v>17</v>
      </c>
      <c r="F10540" s="2" t="str">
        <f>HYPERLINK("http://www.12365auto.com/zlts/20200209/446702.shtml","http://www.12365auto.com/zlts/20200209/446702.shtml")</f>
        <v>http://www.12365auto.com/zlts/20200209/446702.shtml</v>
      </c>
      <c r="G10540" s="2"/>
      <c r="H10540" s="2" t="s">
        <v>13992</v>
      </c>
      <c r="I10540" s="2" t="s">
        <v>19</v>
      </c>
      <c r="J10540" s="2" t="s">
        <v>12</v>
      </c>
      <c r="K10540" s="2" t="s">
        <v>13993</v>
      </c>
      <c r="L10540" s="2">
        <f t="shared" si="164"/>
        <v>150</v>
      </c>
    </row>
    <row r="10541" spans="1:12" ht="25" customHeight="1">
      <c r="A10541" s="2" t="s">
        <v>12</v>
      </c>
      <c r="B10541" s="2" t="str">
        <f>HYPERLINK("http://www.12365auto.com/zlts/20200209/446701.shtml","一汽大众速腾换挡时变速箱有异常响声")</f>
        <v>一汽大众速腾换挡时变速箱有异常响声</v>
      </c>
      <c r="C10541" s="2" t="s">
        <v>13</v>
      </c>
      <c r="D10541" s="2" t="s">
        <v>12</v>
      </c>
      <c r="E10541" s="2" t="s">
        <v>17</v>
      </c>
      <c r="F10541" s="2" t="str">
        <f>HYPERLINK("http://www.12365auto.com/zlts/20200209/446701.shtml","http://www.12365auto.com/zlts/20200209/446701.shtml")</f>
        <v>http://www.12365auto.com/zlts/20200209/446701.shtml</v>
      </c>
      <c r="G10541" s="2"/>
      <c r="H10541" s="2" t="s">
        <v>13994</v>
      </c>
      <c r="I10541" s="2" t="s">
        <v>15</v>
      </c>
      <c r="J10541" s="2" t="s">
        <v>12</v>
      </c>
      <c r="K10541" s="2" t="s">
        <v>13995</v>
      </c>
      <c r="L10541" s="2">
        <f t="shared" si="164"/>
        <v>150</v>
      </c>
    </row>
    <row r="10542" spans="1:12" ht="25" customHeight="1">
      <c r="A10542" s="2" t="s">
        <v>12</v>
      </c>
      <c r="B10542" s="2" t="str">
        <f>HYPERLINK("http://www.12365auto.com/zlts/20200209/446700.shtml","三一牌半挂牵引车内拉手有断裂的现象")</f>
        <v>三一牌半挂牵引车内拉手有断裂的现象</v>
      </c>
      <c r="C10542" s="2" t="s">
        <v>13</v>
      </c>
      <c r="D10542" s="2" t="s">
        <v>12</v>
      </c>
      <c r="E10542" s="2" t="s">
        <v>17</v>
      </c>
      <c r="F10542" s="2" t="str">
        <f>HYPERLINK("http://www.12365auto.com/zlts/20200209/446700.shtml","http://www.12365auto.com/zlts/20200209/446700.shtml")</f>
        <v>http://www.12365auto.com/zlts/20200209/446700.shtml</v>
      </c>
      <c r="G10542" s="2"/>
      <c r="H10542" s="2" t="s">
        <v>13996</v>
      </c>
      <c r="I10542" s="2" t="s">
        <v>15</v>
      </c>
      <c r="J10542" s="2" t="s">
        <v>12</v>
      </c>
      <c r="K10542" s="2" t="s">
        <v>13997</v>
      </c>
      <c r="L10542" s="2">
        <f t="shared" si="164"/>
        <v>150</v>
      </c>
    </row>
    <row r="10543" spans="1:12" ht="25" customHeight="1">
      <c r="A10543" s="2" t="s">
        <v>12</v>
      </c>
      <c r="B10543" s="2" t="str">
        <f>HYPERLINK("http://www.12365auto.com/zlts/20200209/446696.shtml","上汽名爵HS蓄电池多次亏电发动机无法启动")</f>
        <v>上汽名爵HS蓄电池多次亏电发动机无法启动</v>
      </c>
      <c r="C10543" s="2" t="s">
        <v>13</v>
      </c>
      <c r="D10543" s="2" t="s">
        <v>12</v>
      </c>
      <c r="E10543" s="2" t="s">
        <v>17</v>
      </c>
      <c r="F10543" s="2" t="str">
        <f>HYPERLINK("http://www.12365auto.com/zlts/20200209/446696.shtml","http://www.12365auto.com/zlts/20200209/446696.shtml")</f>
        <v>http://www.12365auto.com/zlts/20200209/446696.shtml</v>
      </c>
      <c r="G10543" s="2"/>
      <c r="H10543" s="2" t="s">
        <v>13998</v>
      </c>
      <c r="I10543" s="2" t="s">
        <v>19</v>
      </c>
      <c r="J10543" s="2" t="s">
        <v>12</v>
      </c>
      <c r="K10543" s="2" t="s">
        <v>13999</v>
      </c>
      <c r="L10543" s="2">
        <f t="shared" si="164"/>
        <v>150</v>
      </c>
    </row>
    <row r="10544" spans="1:12" ht="25" customHeight="1">
      <c r="A10544" s="2" t="s">
        <v>12</v>
      </c>
      <c r="B10544" s="2" t="str">
        <f>HYPERLINK("http://bbs.12365auto.com/postcontent.aspx?tID=193529","汽车内饰保养需要做好哪几方面")</f>
        <v>汽车内饰保养需要做好哪几方面</v>
      </c>
      <c r="C10544" s="2" t="s">
        <v>13</v>
      </c>
      <c r="D10544" s="2" t="s">
        <v>12</v>
      </c>
      <c r="E10544" s="2" t="s">
        <v>28</v>
      </c>
      <c r="F10544" s="2" t="str">
        <f>HYPERLINK("http://bbs.12365auto.com/postcontent.aspx?tID=193529","http://bbs.12365auto.com/postcontent.aspx?tID=193529")</f>
        <v>http://bbs.12365auto.com/postcontent.aspx?tID=193529</v>
      </c>
      <c r="G10544" s="2"/>
      <c r="H10544" s="2" t="s">
        <v>14000</v>
      </c>
      <c r="I10544" s="2" t="s">
        <v>15</v>
      </c>
      <c r="J10544" s="2" t="s">
        <v>1446</v>
      </c>
      <c r="K10544" s="2" t="s">
        <v>14001</v>
      </c>
      <c r="L10544" s="2">
        <f t="shared" si="164"/>
        <v>150</v>
      </c>
    </row>
    <row r="10545" spans="1:12" ht="25" customHeight="1">
      <c r="A10545" s="2" t="s">
        <v>12</v>
      </c>
      <c r="B10545" s="2" t="str">
        <f>HYPERLINK("http://bbs.12365auto.com/postcontent.aspx?tId=193529","汽车内饰保养需要做好哪几方面")</f>
        <v>汽车内饰保养需要做好哪几方面</v>
      </c>
      <c r="C10545" s="2" t="s">
        <v>13</v>
      </c>
      <c r="D10545" s="2" t="s">
        <v>12</v>
      </c>
      <c r="E10545" s="2" t="s">
        <v>27</v>
      </c>
      <c r="F10545" s="2" t="str">
        <f>HYPERLINK("http://bbs.12365auto.com/postcontent.aspx?tId=193529","http://bbs.12365auto.com/postcontent.aspx?tId=193529")</f>
        <v>http://bbs.12365auto.com/postcontent.aspx?tId=193529</v>
      </c>
      <c r="G10545" s="2"/>
      <c r="H10545" s="2" t="s">
        <v>14002</v>
      </c>
      <c r="I10545" s="2" t="s">
        <v>15</v>
      </c>
      <c r="J10545" s="2" t="s">
        <v>1446</v>
      </c>
      <c r="K10545" s="2" t="s">
        <v>14001</v>
      </c>
      <c r="L10545" s="2">
        <f t="shared" si="164"/>
        <v>150</v>
      </c>
    </row>
    <row r="10546" spans="1:12" ht="25" customHeight="1">
      <c r="A10546" s="2" t="s">
        <v>12</v>
      </c>
      <c r="B10546" s="2" t="str">
        <f>HYPERLINK("http://m.12365auto.com/bbs/postcontent.aspx?tID=193529","汽车内饰保养需要做好哪几方面")</f>
        <v>汽车内饰保养需要做好哪几方面</v>
      </c>
      <c r="C10546" s="2" t="s">
        <v>13</v>
      </c>
      <c r="D10546" s="2" t="s">
        <v>23</v>
      </c>
      <c r="E10546" s="2"/>
      <c r="F10546" s="2" t="str">
        <f>HYPERLINK("http://m.12365auto.com/bbs/postcontent.aspx?tID=193529","http://m.12365auto.com/bbs/postcontent.aspx?tID=193529")</f>
        <v>http://m.12365auto.com/bbs/postcontent.aspx?tID=193529</v>
      </c>
      <c r="G10546" s="2"/>
      <c r="H10546" s="2" t="s">
        <v>14002</v>
      </c>
      <c r="I10546" s="2" t="s">
        <v>15</v>
      </c>
      <c r="J10546" s="2" t="s">
        <v>1446</v>
      </c>
      <c r="K10546" s="2" t="s">
        <v>14001</v>
      </c>
      <c r="L10546" s="2">
        <f t="shared" si="164"/>
        <v>150</v>
      </c>
    </row>
    <row r="10547" spans="1:12" ht="25" customHeight="1">
      <c r="A10547" s="2" t="s">
        <v>12</v>
      </c>
      <c r="B10547" s="2" t="str">
        <f>HYPERLINK("http://www.12365auto.com/zlts/20200209/446694.shtml","一汽大众宝来天窗排水管有漏水的现象")</f>
        <v>一汽大众宝来天窗排水管有漏水的现象</v>
      </c>
      <c r="C10547" s="2" t="s">
        <v>13</v>
      </c>
      <c r="D10547" s="2" t="s">
        <v>12</v>
      </c>
      <c r="E10547" s="2" t="s">
        <v>17</v>
      </c>
      <c r="F10547" s="2" t="str">
        <f>HYPERLINK("http://www.12365auto.com/zlts/20200209/446694.shtml","http://www.12365auto.com/zlts/20200209/446694.shtml")</f>
        <v>http://www.12365auto.com/zlts/20200209/446694.shtml</v>
      </c>
      <c r="G10547" s="2"/>
      <c r="H10547" s="2" t="s">
        <v>14003</v>
      </c>
      <c r="I10547" s="2" t="s">
        <v>19</v>
      </c>
      <c r="J10547" s="2" t="s">
        <v>12</v>
      </c>
      <c r="K10547" s="2" t="s">
        <v>14004</v>
      </c>
      <c r="L10547" s="2">
        <f t="shared" si="164"/>
        <v>150</v>
      </c>
    </row>
    <row r="10548" spans="1:12" ht="25" customHeight="1">
      <c r="A10548" s="2" t="s">
        <v>12</v>
      </c>
      <c r="B10548" s="2" t="str">
        <f>HYPERLINK("http://www.12365auto.com/zlts/20200209/446693.shtml","东风本田CR-V发动机有机油乳化的现象")</f>
        <v>东风本田CR-V发动机有机油乳化的现象</v>
      </c>
      <c r="C10548" s="2" t="s">
        <v>13</v>
      </c>
      <c r="D10548" s="2" t="s">
        <v>12</v>
      </c>
      <c r="E10548" s="2" t="s">
        <v>17</v>
      </c>
      <c r="F10548" s="2" t="str">
        <f>HYPERLINK("http://www.12365auto.com/zlts/20200209/446693.shtml","http://www.12365auto.com/zlts/20200209/446693.shtml")</f>
        <v>http://www.12365auto.com/zlts/20200209/446693.shtml</v>
      </c>
      <c r="G10548" s="2"/>
      <c r="H10548" s="2" t="s">
        <v>14005</v>
      </c>
      <c r="I10548" s="2" t="s">
        <v>15</v>
      </c>
      <c r="J10548" s="2" t="s">
        <v>12</v>
      </c>
      <c r="K10548" s="2" t="s">
        <v>14006</v>
      </c>
      <c r="L10548" s="2">
        <f t="shared" si="164"/>
        <v>150</v>
      </c>
    </row>
    <row r="10549" spans="1:12" ht="25" customHeight="1">
      <c r="A10549" s="2" t="s">
        <v>12</v>
      </c>
      <c r="B10549" s="2" t="str">
        <f>HYPERLINK("http://www.12365auto.com/zlts/20200209/446691.shtml","上汽名爵HS电动后备箱经常无法打开")</f>
        <v>上汽名爵HS电动后备箱经常无法打开</v>
      </c>
      <c r="C10549" s="2" t="s">
        <v>13</v>
      </c>
      <c r="D10549" s="2" t="s">
        <v>12</v>
      </c>
      <c r="E10549" s="2" t="s">
        <v>17</v>
      </c>
      <c r="F10549" s="2" t="str">
        <f>HYPERLINK("http://www.12365auto.com/zlts/20200209/446691.shtml","http://www.12365auto.com/zlts/20200209/446691.shtml")</f>
        <v>http://www.12365auto.com/zlts/20200209/446691.shtml</v>
      </c>
      <c r="G10549" s="2"/>
      <c r="H10549" s="2" t="s">
        <v>14007</v>
      </c>
      <c r="I10549" s="2" t="s">
        <v>15</v>
      </c>
      <c r="J10549" s="2" t="s">
        <v>12</v>
      </c>
      <c r="K10549" s="2" t="s">
        <v>14008</v>
      </c>
      <c r="L10549" s="2">
        <f t="shared" si="164"/>
        <v>150</v>
      </c>
    </row>
    <row r="10550" spans="1:12" ht="25" customHeight="1">
      <c r="A10550" s="2" t="s">
        <v>12</v>
      </c>
      <c r="B10550" s="2" t="str">
        <f>HYPERLINK("http://m.12365auto.com/zjdy/20200209/121126.shtml","奔腾T77超载行驶会对车辆有什么影响？")</f>
        <v>奔腾T77超载行驶会对车辆有什么影响？</v>
      </c>
      <c r="C10550" s="2" t="s">
        <v>13</v>
      </c>
      <c r="D10550" s="2" t="s">
        <v>12</v>
      </c>
      <c r="E10550" s="2"/>
      <c r="F10550" s="2" t="str">
        <f>HYPERLINK("http://m.12365auto.com/zjdy/20200209/121126.shtml","http://m.12365auto.com/zjdy/20200209/121126.shtml")</f>
        <v>http://m.12365auto.com/zjdy/20200209/121126.shtml</v>
      </c>
      <c r="G10550" s="2"/>
      <c r="H10550" s="2" t="s">
        <v>14009</v>
      </c>
      <c r="I10550" s="2" t="s">
        <v>19</v>
      </c>
      <c r="J10550" s="2" t="s">
        <v>12</v>
      </c>
      <c r="K10550" s="2" t="s">
        <v>14010</v>
      </c>
      <c r="L10550" s="2">
        <f t="shared" si="164"/>
        <v>84</v>
      </c>
    </row>
    <row r="10551" spans="1:12" ht="25" customHeight="1">
      <c r="A10551" s="2" t="s">
        <v>12</v>
      </c>
      <c r="B10551" s="2" t="str">
        <f>HYPERLINK("http://www.12365auto.com/zlts/20200209/446688.shtml","五菱荣光V变速箱挂挡困难 车窗无法上升")</f>
        <v>五菱荣光V变速箱挂挡困难 车窗无法上升</v>
      </c>
      <c r="C10551" s="2" t="s">
        <v>13</v>
      </c>
      <c r="D10551" s="2" t="s">
        <v>12</v>
      </c>
      <c r="E10551" s="2" t="s">
        <v>17</v>
      </c>
      <c r="F10551" s="2" t="str">
        <f>HYPERLINK("http://www.12365auto.com/zlts/20200209/446688.shtml","http://www.12365auto.com/zlts/20200209/446688.shtml")</f>
        <v>http://www.12365auto.com/zlts/20200209/446688.shtml</v>
      </c>
      <c r="G10551" s="2"/>
      <c r="H10551" s="2" t="s">
        <v>14011</v>
      </c>
      <c r="I10551" s="2" t="s">
        <v>19</v>
      </c>
      <c r="J10551" s="2" t="s">
        <v>12</v>
      </c>
      <c r="K10551" s="2" t="s">
        <v>14012</v>
      </c>
      <c r="L10551" s="2">
        <f t="shared" si="164"/>
        <v>150</v>
      </c>
    </row>
    <row r="10552" spans="1:12" ht="25" customHeight="1">
      <c r="A10552" s="2" t="s">
        <v>12</v>
      </c>
      <c r="B10552" s="2" t="str">
        <f>HYPERLINK("http://www.12365auto.com/zlts/20200209/446687.shtml","斯柯达速派发动机故障灯亮 烧机油严重")</f>
        <v>斯柯达速派发动机故障灯亮 烧机油严重</v>
      </c>
      <c r="C10552" s="2" t="s">
        <v>13</v>
      </c>
      <c r="D10552" s="2" t="s">
        <v>12</v>
      </c>
      <c r="E10552" s="2" t="s">
        <v>17</v>
      </c>
      <c r="F10552" s="2" t="str">
        <f>HYPERLINK("http://www.12365auto.com/zlts/20200209/446687.shtml","http://www.12365auto.com/zlts/20200209/446687.shtml")</f>
        <v>http://www.12365auto.com/zlts/20200209/446687.shtml</v>
      </c>
      <c r="G10552" s="2"/>
      <c r="H10552" s="2" t="s">
        <v>14013</v>
      </c>
      <c r="I10552" s="2" t="s">
        <v>19</v>
      </c>
      <c r="J10552" s="2" t="s">
        <v>12</v>
      </c>
      <c r="K10552" s="2" t="s">
        <v>14014</v>
      </c>
      <c r="L10552" s="2">
        <f t="shared" si="164"/>
        <v>150</v>
      </c>
    </row>
    <row r="10553" spans="1:12" ht="25" customHeight="1">
      <c r="A10553" s="2" t="s">
        <v>12</v>
      </c>
      <c r="B10553" s="2" t="str">
        <f>HYPERLINK("http://www.12365auto.com/zlts/20200209/446685.shtml","凯翼C3变速箱执行器故障导致行驶时脱挡")</f>
        <v>凯翼C3变速箱执行器故障导致行驶时脱挡</v>
      </c>
      <c r="C10553" s="2" t="s">
        <v>13</v>
      </c>
      <c r="D10553" s="2" t="s">
        <v>12</v>
      </c>
      <c r="E10553" s="2" t="s">
        <v>17</v>
      </c>
      <c r="F10553" s="2" t="str">
        <f>HYPERLINK("http://www.12365auto.com/zlts/20200209/446685.shtml","http://www.12365auto.com/zlts/20200209/446685.shtml")</f>
        <v>http://www.12365auto.com/zlts/20200209/446685.shtml</v>
      </c>
      <c r="G10553" s="2"/>
      <c r="H10553" s="2" t="s">
        <v>14015</v>
      </c>
      <c r="I10553" s="2" t="s">
        <v>19</v>
      </c>
      <c r="J10553" s="2" t="s">
        <v>12</v>
      </c>
      <c r="K10553" s="2" t="s">
        <v>14016</v>
      </c>
      <c r="L10553" s="2">
        <f t="shared" si="164"/>
        <v>150</v>
      </c>
    </row>
    <row r="10554" spans="1:12" ht="25" customHeight="1">
      <c r="A10554" s="2" t="s">
        <v>12</v>
      </c>
      <c r="B10554" s="2" t="str">
        <f>HYPERLINK("http://www.12365auto.com/zlts/20200209/446683.shtml","一汽大众奥迪A3发动机烧机油故障灯报警")</f>
        <v>一汽大众奥迪A3发动机烧机油故障灯报警</v>
      </c>
      <c r="C10554" s="2" t="s">
        <v>13</v>
      </c>
      <c r="D10554" s="2" t="s">
        <v>12</v>
      </c>
      <c r="E10554" s="2" t="s">
        <v>17</v>
      </c>
      <c r="F10554" s="2" t="str">
        <f>HYPERLINK("http://www.12365auto.com/zlts/20200209/446683.shtml","http://www.12365auto.com/zlts/20200209/446683.shtml")</f>
        <v>http://www.12365auto.com/zlts/20200209/446683.shtml</v>
      </c>
      <c r="G10554" s="2"/>
      <c r="H10554" s="2" t="s">
        <v>14017</v>
      </c>
      <c r="I10554" s="2" t="s">
        <v>19</v>
      </c>
      <c r="J10554" s="2" t="s">
        <v>12</v>
      </c>
      <c r="K10554" s="2" t="s">
        <v>14018</v>
      </c>
      <c r="L10554" s="2">
        <f t="shared" si="164"/>
        <v>150</v>
      </c>
    </row>
    <row r="10555" spans="1:12" ht="25" customHeight="1">
      <c r="A10555" s="2" t="s">
        <v>12</v>
      </c>
      <c r="B10555" s="2" t="str">
        <f>HYPERLINK("http://www.12365auto.com/zlts/20200209/446682.shtml","一汽大众宝来经销商销售维修过的问题车")</f>
        <v>一汽大众宝来经销商销售维修过的问题车</v>
      </c>
      <c r="C10555" s="2" t="s">
        <v>13</v>
      </c>
      <c r="D10555" s="2" t="s">
        <v>12</v>
      </c>
      <c r="E10555" s="2" t="s">
        <v>17</v>
      </c>
      <c r="F10555" s="2" t="str">
        <f>HYPERLINK("http://www.12365auto.com/zlts/20200209/446682.shtml","http://www.12365auto.com/zlts/20200209/446682.shtml")</f>
        <v>http://www.12365auto.com/zlts/20200209/446682.shtml</v>
      </c>
      <c r="G10555" s="2"/>
      <c r="H10555" s="2" t="s">
        <v>14019</v>
      </c>
      <c r="I10555" s="2" t="s">
        <v>19</v>
      </c>
      <c r="J10555" s="2" t="s">
        <v>12</v>
      </c>
      <c r="K10555" s="2" t="s">
        <v>14020</v>
      </c>
      <c r="L10555" s="2">
        <f t="shared" si="164"/>
        <v>150</v>
      </c>
    </row>
    <row r="10556" spans="1:12" ht="25" customHeight="1">
      <c r="A10556" s="2" t="s">
        <v>12</v>
      </c>
      <c r="B10556" s="2" t="str">
        <f>HYPERLINK("http://www.12365auto.com/zlts/20200209/446681.shtml","广汽本田雅阁发动机在运转时噪音大")</f>
        <v>广汽本田雅阁发动机在运转时噪音大</v>
      </c>
      <c r="C10556" s="2" t="s">
        <v>13</v>
      </c>
      <c r="D10556" s="2" t="s">
        <v>12</v>
      </c>
      <c r="E10556" s="2" t="s">
        <v>17</v>
      </c>
      <c r="F10556" s="2" t="str">
        <f>HYPERLINK("http://www.12365auto.com/zlts/20200209/446681.shtml","http://www.12365auto.com/zlts/20200209/446681.shtml")</f>
        <v>http://www.12365auto.com/zlts/20200209/446681.shtml</v>
      </c>
      <c r="G10556" s="2"/>
      <c r="H10556" s="2" t="s">
        <v>14021</v>
      </c>
      <c r="I10556" s="2" t="s">
        <v>19</v>
      </c>
      <c r="J10556" s="2" t="s">
        <v>12</v>
      </c>
      <c r="K10556" s="2" t="s">
        <v>14022</v>
      </c>
      <c r="L10556" s="2">
        <f t="shared" si="164"/>
        <v>150</v>
      </c>
    </row>
    <row r="10557" spans="1:12" ht="25" customHeight="1">
      <c r="A10557" s="2" t="s">
        <v>12</v>
      </c>
      <c r="B10557" s="2" t="str">
        <f>HYPERLINK("http://www.12365auto.com/zlts/20200209/446680.shtml","江淮瑞风S3自购车起车内一直有浓重异味")</f>
        <v>江淮瑞风S3自购车起车内一直有浓重异味</v>
      </c>
      <c r="C10557" s="2" t="s">
        <v>13</v>
      </c>
      <c r="D10557" s="2" t="s">
        <v>12</v>
      </c>
      <c r="E10557" s="2" t="s">
        <v>17</v>
      </c>
      <c r="F10557" s="2" t="str">
        <f>HYPERLINK("http://www.12365auto.com/zlts/20200209/446680.shtml","http://www.12365auto.com/zlts/20200209/446680.shtml")</f>
        <v>http://www.12365auto.com/zlts/20200209/446680.shtml</v>
      </c>
      <c r="G10557" s="2"/>
      <c r="H10557" s="2" t="s">
        <v>14023</v>
      </c>
      <c r="I10557" s="2" t="s">
        <v>19</v>
      </c>
      <c r="J10557" s="2" t="s">
        <v>12</v>
      </c>
      <c r="K10557" s="2" t="s">
        <v>14024</v>
      </c>
      <c r="L10557" s="2">
        <f t="shared" si="164"/>
        <v>150</v>
      </c>
    </row>
    <row r="10558" spans="1:12" ht="25" customHeight="1">
      <c r="A10558" s="2" t="s">
        <v>12</v>
      </c>
      <c r="B10558" s="2" t="str">
        <f>HYPERLINK("http://m.12365auto.com/zjdy/20200209/121124.shtml","车辆的车身有漏电现象应该如何处理？")</f>
        <v>车辆的车身有漏电现象应该如何处理？</v>
      </c>
      <c r="C10558" s="2" t="s">
        <v>13</v>
      </c>
      <c r="D10558" s="2" t="s">
        <v>12</v>
      </c>
      <c r="E10558" s="2"/>
      <c r="F10558" s="2" t="str">
        <f>HYPERLINK("http://m.12365auto.com/zjdy/20200209/121124.shtml","http://m.12365auto.com/zjdy/20200209/121124.shtml")</f>
        <v>http://m.12365auto.com/zjdy/20200209/121124.shtml</v>
      </c>
      <c r="G10558" s="2"/>
      <c r="H10558" s="2" t="s">
        <v>14025</v>
      </c>
      <c r="I10558" s="2" t="s">
        <v>19</v>
      </c>
      <c r="J10558" s="2" t="s">
        <v>12</v>
      </c>
      <c r="K10558" s="2" t="s">
        <v>14026</v>
      </c>
      <c r="L10558" s="2">
        <f t="shared" si="164"/>
        <v>11</v>
      </c>
    </row>
    <row r="10559" spans="1:12" ht="25" customHeight="1">
      <c r="A10559" s="2" t="s">
        <v>12</v>
      </c>
      <c r="B10559" s="2" t="str">
        <f>HYPERLINK("http://m.12365auto.com/zjdy/20200209/121125.shtml","为什么每次启动车辆车载导航会重启？")</f>
        <v>为什么每次启动车辆车载导航会重启？</v>
      </c>
      <c r="C10559" s="2" t="s">
        <v>13</v>
      </c>
      <c r="D10559" s="2" t="s">
        <v>12</v>
      </c>
      <c r="E10559" s="2"/>
      <c r="F10559" s="2" t="str">
        <f>HYPERLINK("http://m.12365auto.com/zjdy/20200209/121125.shtml","http://m.12365auto.com/zjdy/20200209/121125.shtml")</f>
        <v>http://m.12365auto.com/zjdy/20200209/121125.shtml</v>
      </c>
      <c r="G10559" s="2"/>
      <c r="H10559" s="2" t="s">
        <v>14027</v>
      </c>
      <c r="I10559" s="2" t="s">
        <v>19</v>
      </c>
      <c r="J10559" s="2" t="s">
        <v>12</v>
      </c>
      <c r="K10559" s="2" t="s">
        <v>14026</v>
      </c>
      <c r="L10559" s="2">
        <f t="shared" si="164"/>
        <v>27</v>
      </c>
    </row>
    <row r="10560" spans="1:12" ht="25" customHeight="1">
      <c r="A10560" s="2" t="s">
        <v>12</v>
      </c>
      <c r="B10560" s="2" t="str">
        <f>HYPERLINK("http://m.12365auto.com/zjdy/20200209/121122.shtml","奇瑞艾瑞泽5电瓶亏电应该怎么处理？")</f>
        <v>奇瑞艾瑞泽5电瓶亏电应该怎么处理？</v>
      </c>
      <c r="C10560" s="2" t="s">
        <v>13</v>
      </c>
      <c r="D10560" s="2" t="s">
        <v>12</v>
      </c>
      <c r="E10560" s="2"/>
      <c r="F10560" s="2" t="str">
        <f>HYPERLINK("http://m.12365auto.com/zjdy/20200209/121122.shtml","http://m.12365auto.com/zjdy/20200209/121122.shtml")</f>
        <v>http://m.12365auto.com/zjdy/20200209/121122.shtml</v>
      </c>
      <c r="G10560" s="2"/>
      <c r="H10560" s="2" t="s">
        <v>14028</v>
      </c>
      <c r="I10560" s="2" t="s">
        <v>19</v>
      </c>
      <c r="J10560" s="2" t="s">
        <v>12</v>
      </c>
      <c r="K10560" s="2" t="s">
        <v>14029</v>
      </c>
      <c r="L10560" s="2">
        <f t="shared" si="164"/>
        <v>20</v>
      </c>
    </row>
    <row r="10561" spans="1:12" ht="25" customHeight="1">
      <c r="A10561" s="2" t="s">
        <v>12</v>
      </c>
      <c r="B10561" s="2" t="str">
        <f>HYPERLINK("http://www.12365auto.com/zlts/20200209/446675.shtml","上汽荣威RX5天窗异响 雨天时车身漏水")</f>
        <v>上汽荣威RX5天窗异响 雨天时车身漏水</v>
      </c>
      <c r="C10561" s="2" t="s">
        <v>13</v>
      </c>
      <c r="D10561" s="2" t="s">
        <v>12</v>
      </c>
      <c r="E10561" s="2"/>
      <c r="F10561" s="2" t="str">
        <f>HYPERLINK("http://www.12365auto.com/zlts/20200209/446675.shtml","http://www.12365auto.com/zlts/20200209/446675.shtml")</f>
        <v>http://www.12365auto.com/zlts/20200209/446675.shtml</v>
      </c>
      <c r="G10561" s="2"/>
      <c r="H10561" s="2" t="s">
        <v>14031</v>
      </c>
      <c r="I10561" s="2" t="s">
        <v>15</v>
      </c>
      <c r="J10561" s="2" t="s">
        <v>12</v>
      </c>
      <c r="K10561" s="2" t="s">
        <v>14030</v>
      </c>
      <c r="L10561" s="2">
        <f t="shared" si="164"/>
        <v>88</v>
      </c>
    </row>
    <row r="10562" spans="1:12" ht="25" customHeight="1">
      <c r="A10562" s="2" t="s">
        <v>12</v>
      </c>
      <c r="B10562" s="2" t="str">
        <f>HYPERLINK("http://www.12365auto.com/zlts/20200209/446676.shtml","比亚迪秦新能源前车轮出现吃胎现象")</f>
        <v>比亚迪秦新能源前车轮出现吃胎现象</v>
      </c>
      <c r="C10562" s="2" t="s">
        <v>13</v>
      </c>
      <c r="D10562" s="2" t="s">
        <v>12</v>
      </c>
      <c r="E10562" s="2"/>
      <c r="F10562" s="2" t="str">
        <f>HYPERLINK("http://www.12365auto.com/zlts/20200209/446676.shtml","http://www.12365auto.com/zlts/20200209/446676.shtml")</f>
        <v>http://www.12365auto.com/zlts/20200209/446676.shtml</v>
      </c>
      <c r="G10562" s="2"/>
      <c r="H10562" s="2" t="s">
        <v>14033</v>
      </c>
      <c r="I10562" s="2" t="s">
        <v>15</v>
      </c>
      <c r="J10562" s="2" t="s">
        <v>12</v>
      </c>
      <c r="K10562" s="2" t="s">
        <v>14032</v>
      </c>
      <c r="L10562" s="2">
        <f t="shared" si="164"/>
        <v>80</v>
      </c>
    </row>
    <row r="10563" spans="1:12" ht="25" customHeight="1">
      <c r="A10563" s="2" t="s">
        <v>12</v>
      </c>
      <c r="B10563" s="2" t="str">
        <f>HYPERLINK("http://m.12365auto.com/zjdy/20200209/121121.shtml","2020款日产劲客还有机油乳化现象吗？")</f>
        <v>2020款日产劲客还有机油乳化现象吗？</v>
      </c>
      <c r="C10563" s="2" t="s">
        <v>13</v>
      </c>
      <c r="D10563" s="2" t="s">
        <v>12</v>
      </c>
      <c r="E10563" s="2"/>
      <c r="F10563" s="2" t="str">
        <f>HYPERLINK("http://m.12365auto.com/zjdy/20200209/121121.shtml","http://m.12365auto.com/zjdy/20200209/121121.shtml")</f>
        <v>http://m.12365auto.com/zjdy/20200209/121121.shtml</v>
      </c>
      <c r="G10563" s="2"/>
      <c r="H10563" s="2" t="s">
        <v>14034</v>
      </c>
      <c r="I10563" s="2" t="s">
        <v>19</v>
      </c>
      <c r="J10563" s="2" t="s">
        <v>12</v>
      </c>
      <c r="K10563" s="2" t="s">
        <v>14035</v>
      </c>
      <c r="L10563" s="2">
        <f t="shared" ref="L10563:L10626" si="165">LEN(H10563)</f>
        <v>20</v>
      </c>
    </row>
    <row r="10564" spans="1:12" ht="25" customHeight="1">
      <c r="A10564" s="2" t="s">
        <v>12</v>
      </c>
      <c r="B10564" s="2" t="str">
        <f>HYPERLINK("http://www.12365auto.com/zlts/20200209/446673.shtml","广汽三菱劲炫ASX发动机加速时驾驶室异响")</f>
        <v>广汽三菱劲炫ASX发动机加速时驾驶室异响</v>
      </c>
      <c r="C10564" s="2" t="s">
        <v>13</v>
      </c>
      <c r="D10564" s="2" t="s">
        <v>12</v>
      </c>
      <c r="E10564" s="2" t="s">
        <v>17</v>
      </c>
      <c r="F10564" s="2" t="str">
        <f>HYPERLINK("http://www.12365auto.com/zlts/20200209/446673.shtml","http://www.12365auto.com/zlts/20200209/446673.shtml")</f>
        <v>http://www.12365auto.com/zlts/20200209/446673.shtml</v>
      </c>
      <c r="G10564" s="2"/>
      <c r="H10564" s="2" t="s">
        <v>14036</v>
      </c>
      <c r="I10564" s="2" t="s">
        <v>19</v>
      </c>
      <c r="J10564" s="2" t="s">
        <v>12</v>
      </c>
      <c r="K10564" s="2" t="s">
        <v>14037</v>
      </c>
      <c r="L10564" s="2">
        <f t="shared" si="165"/>
        <v>150</v>
      </c>
    </row>
    <row r="10565" spans="1:12" ht="25" customHeight="1">
      <c r="A10565" s="2" t="s">
        <v>12</v>
      </c>
      <c r="B10565" s="2" t="str">
        <f>HYPERLINK("http://m.12365auto.com/zjdy/20200209/121120.shtml","车辆轮胎鼓包怎么找哪些第三方检测机构？")</f>
        <v>车辆轮胎鼓包怎么找哪些第三方检测机构？</v>
      </c>
      <c r="C10565" s="2" t="s">
        <v>13</v>
      </c>
      <c r="D10565" s="2" t="s">
        <v>12</v>
      </c>
      <c r="E10565" s="2"/>
      <c r="F10565" s="2" t="str">
        <f>HYPERLINK("http://m.12365auto.com/zjdy/20200209/121120.shtml","http://m.12365auto.com/zjdy/20200209/121120.shtml")</f>
        <v>http://m.12365auto.com/zjdy/20200209/121120.shtml</v>
      </c>
      <c r="G10565" s="2"/>
      <c r="H10565" s="2" t="s">
        <v>14038</v>
      </c>
      <c r="I10565" s="2" t="s">
        <v>19</v>
      </c>
      <c r="J10565" s="2" t="s">
        <v>12</v>
      </c>
      <c r="K10565" s="2" t="s">
        <v>14039</v>
      </c>
      <c r="L10565" s="2">
        <f t="shared" si="165"/>
        <v>104</v>
      </c>
    </row>
    <row r="10566" spans="1:12" ht="25" customHeight="1">
      <c r="A10566" s="2" t="s">
        <v>12</v>
      </c>
      <c r="B10566" s="2" t="str">
        <f>HYPERLINK("http://www.12365auto.com/zlts/20200209/446668.shtml","东风风行T5L新车排放系统故障 GPF过载")</f>
        <v>东风风行T5L新车排放系统故障 GPF过载</v>
      </c>
      <c r="C10566" s="2" t="s">
        <v>13</v>
      </c>
      <c r="D10566" s="2" t="s">
        <v>12</v>
      </c>
      <c r="E10566" s="2" t="s">
        <v>17</v>
      </c>
      <c r="F10566" s="2" t="str">
        <f>HYPERLINK("http://www.12365auto.com/zlts/20200209/446668.shtml","http://www.12365auto.com/zlts/20200209/446668.shtml")</f>
        <v>http://www.12365auto.com/zlts/20200209/446668.shtml</v>
      </c>
      <c r="G10566" s="2"/>
      <c r="H10566" s="2" t="s">
        <v>14040</v>
      </c>
      <c r="I10566" s="2" t="s">
        <v>19</v>
      </c>
      <c r="J10566" s="2" t="s">
        <v>12</v>
      </c>
      <c r="K10566" s="2" t="s">
        <v>14041</v>
      </c>
      <c r="L10566" s="2">
        <f t="shared" si="165"/>
        <v>150</v>
      </c>
    </row>
    <row r="10567" spans="1:12" ht="25" customHeight="1">
      <c r="A10567" s="2" t="s">
        <v>12</v>
      </c>
      <c r="B10567" s="2" t="str">
        <f>HYPERLINK("http://www.12365auto.com/zlts/20200209/446667.shtml","广汽本田锋范冷车启动时启动机有异响")</f>
        <v>广汽本田锋范冷车启动时启动机有异响</v>
      </c>
      <c r="C10567" s="2" t="s">
        <v>13</v>
      </c>
      <c r="D10567" s="2" t="s">
        <v>12</v>
      </c>
      <c r="E10567" s="2" t="s">
        <v>17</v>
      </c>
      <c r="F10567" s="2" t="str">
        <f>HYPERLINK("http://www.12365auto.com/zlts/20200209/446667.shtml","http://www.12365auto.com/zlts/20200209/446667.shtml")</f>
        <v>http://www.12365auto.com/zlts/20200209/446667.shtml</v>
      </c>
      <c r="G10567" s="2"/>
      <c r="H10567" s="2" t="s">
        <v>14042</v>
      </c>
      <c r="I10567" s="2" t="s">
        <v>19</v>
      </c>
      <c r="J10567" s="2" t="s">
        <v>12</v>
      </c>
      <c r="K10567" s="2" t="s">
        <v>14043</v>
      </c>
      <c r="L10567" s="2">
        <f t="shared" si="165"/>
        <v>150</v>
      </c>
    </row>
    <row r="10568" spans="1:12" ht="25" customHeight="1">
      <c r="A10568" s="2" t="s">
        <v>12</v>
      </c>
      <c r="B10568" s="2" t="str">
        <f>HYPERLINK("http://www.12365auto.com/xcdg/20200209/418044.shtml","起亚新款Cadenza实车曝光 搭V6动力系统")</f>
        <v>起亚新款Cadenza实车曝光 搭V6动力系统</v>
      </c>
      <c r="C10568" s="2" t="s">
        <v>13</v>
      </c>
      <c r="D10568" s="2" t="s">
        <v>12</v>
      </c>
      <c r="E10568" s="2" t="s">
        <v>216</v>
      </c>
      <c r="F10568" s="2" t="str">
        <f>HYPERLINK("http://www.12365auto.com/xcdg/20200209/418044.shtml","http://www.12365auto.com/xcdg/20200209/418044.shtml")</f>
        <v>http://www.12365auto.com/xcdg/20200209/418044.shtml</v>
      </c>
      <c r="G10568" s="2"/>
      <c r="H10568" s="2" t="s">
        <v>14044</v>
      </c>
      <c r="I10568" s="2" t="s">
        <v>15</v>
      </c>
      <c r="J10568" s="2" t="s">
        <v>12</v>
      </c>
      <c r="K10568" s="2" t="s">
        <v>14045</v>
      </c>
      <c r="L10568" s="2">
        <f t="shared" si="165"/>
        <v>150</v>
      </c>
    </row>
    <row r="10569" spans="1:12" ht="25" customHeight="1">
      <c r="A10569" s="2" t="s">
        <v>12</v>
      </c>
      <c r="B10569" s="2" t="str">
        <f>HYPERLINK("http://m.12365auto.com/xcdg/20200209/418044.shtml","起亚新款Cadenza实车曝光 搭V6动力系统")</f>
        <v>起亚新款Cadenza实车曝光 搭V6动力系统</v>
      </c>
      <c r="C10569" s="2" t="s">
        <v>13</v>
      </c>
      <c r="D10569" s="2" t="s">
        <v>12</v>
      </c>
      <c r="E10569" s="2"/>
      <c r="F10569" s="2" t="str">
        <f>HYPERLINK("http://m.12365auto.com/xcdg/20200209/418044.shtml","http://m.12365auto.com/xcdg/20200209/418044.shtml")</f>
        <v>http://m.12365auto.com/xcdg/20200209/418044.shtml</v>
      </c>
      <c r="G10569" s="2"/>
      <c r="H10569" s="2" t="s">
        <v>14046</v>
      </c>
      <c r="I10569" s="2" t="s">
        <v>19</v>
      </c>
      <c r="J10569" s="2" t="s">
        <v>12</v>
      </c>
      <c r="K10569" s="2" t="s">
        <v>14045</v>
      </c>
      <c r="L10569" s="2">
        <f t="shared" si="165"/>
        <v>150</v>
      </c>
    </row>
    <row r="10570" spans="1:12" ht="25" customHeight="1">
      <c r="A10570" s="2" t="s">
        <v>12</v>
      </c>
      <c r="B10570" s="2" t="str">
        <f>HYPERLINK("http://www.12365auto.com/xcdg/20200209/418043.shtml","菲斯塔纯电动续航490km 或将于2月18日上市")</f>
        <v>菲斯塔纯电动续航490km 或将于2月18日上市</v>
      </c>
      <c r="C10570" s="2" t="s">
        <v>13</v>
      </c>
      <c r="D10570" s="2" t="s">
        <v>12</v>
      </c>
      <c r="E10570" s="2" t="s">
        <v>216</v>
      </c>
      <c r="F10570" s="2" t="str">
        <f>HYPERLINK("http://www.12365auto.com/xcdg/20200209/418043.shtml","http://www.12365auto.com/xcdg/20200209/418043.shtml")</f>
        <v>http://www.12365auto.com/xcdg/20200209/418043.shtml</v>
      </c>
      <c r="G10570" s="2"/>
      <c r="H10570" s="2" t="s">
        <v>14047</v>
      </c>
      <c r="I10570" s="2" t="s">
        <v>15</v>
      </c>
      <c r="J10570" s="2" t="s">
        <v>12</v>
      </c>
      <c r="K10570" s="2" t="s">
        <v>14048</v>
      </c>
      <c r="L10570" s="2">
        <f t="shared" si="165"/>
        <v>150</v>
      </c>
    </row>
    <row r="10571" spans="1:12" ht="25" customHeight="1">
      <c r="A10571" s="2" t="s">
        <v>12</v>
      </c>
      <c r="B10571" s="2" t="str">
        <f>HYPERLINK("http://m.12365auto.com/xcdg/20200209/418043.shtml","菲斯塔纯电动续航490km 或将于2月18日上市")</f>
        <v>菲斯塔纯电动续航490km 或将于2月18日上市</v>
      </c>
      <c r="C10571" s="2" t="s">
        <v>13</v>
      </c>
      <c r="D10571" s="2" t="s">
        <v>12</v>
      </c>
      <c r="E10571" s="2"/>
      <c r="F10571" s="2" t="str">
        <f>HYPERLINK("http://m.12365auto.com/xcdg/20200209/418043.shtml","http://m.12365auto.com/xcdg/20200209/418043.shtml")</f>
        <v>http://m.12365auto.com/xcdg/20200209/418043.shtml</v>
      </c>
      <c r="G10571" s="2"/>
      <c r="H10571" s="2" t="s">
        <v>14049</v>
      </c>
      <c r="I10571" s="2" t="s">
        <v>19</v>
      </c>
      <c r="J10571" s="2" t="s">
        <v>12</v>
      </c>
      <c r="K10571" s="2" t="s">
        <v>14048</v>
      </c>
      <c r="L10571" s="2">
        <f t="shared" si="165"/>
        <v>150</v>
      </c>
    </row>
    <row r="10572" spans="1:12" ht="25" customHeight="1">
      <c r="A10572" s="2" t="s">
        <v>12</v>
      </c>
      <c r="B10572" s="2" t="str">
        <f>HYPERLINK("http://m.12365auto.com/xcdg/20200209/418042.shtml","北京越野BJ80领衔 9款新车将上市")</f>
        <v>北京越野BJ80领衔 9款新车将上市</v>
      </c>
      <c r="C10572" s="2" t="s">
        <v>13</v>
      </c>
      <c r="D10572" s="2" t="s">
        <v>12</v>
      </c>
      <c r="E10572" s="2"/>
      <c r="F10572" s="2" t="str">
        <f>HYPERLINK("http://m.12365auto.com/xcdg/20200209/418042.shtml","http://m.12365auto.com/xcdg/20200209/418042.shtml")</f>
        <v>http://m.12365auto.com/xcdg/20200209/418042.shtml</v>
      </c>
      <c r="G10572" s="2"/>
      <c r="H10572" s="2" t="s">
        <v>14050</v>
      </c>
      <c r="I10572" s="2" t="s">
        <v>19</v>
      </c>
      <c r="J10572" s="2" t="s">
        <v>12</v>
      </c>
      <c r="K10572" s="2" t="s">
        <v>14051</v>
      </c>
      <c r="L10572" s="2">
        <f t="shared" si="165"/>
        <v>150</v>
      </c>
    </row>
    <row r="10573" spans="1:12" ht="25" customHeight="1">
      <c r="A10573" s="2" t="s">
        <v>12</v>
      </c>
      <c r="B10573" s="2" t="str">
        <f>HYPERLINK("http://www.12365auto.com/xcdg/20200209/418042.shtml","北京越野BJ80领衔 9款新车将上市")</f>
        <v>北京越野BJ80领衔 9款新车将上市</v>
      </c>
      <c r="C10573" s="2" t="s">
        <v>13</v>
      </c>
      <c r="D10573" s="2" t="s">
        <v>12</v>
      </c>
      <c r="E10573" s="2" t="s">
        <v>245</v>
      </c>
      <c r="F10573" s="2" t="str">
        <f>HYPERLINK("http://www.12365auto.com/xcdg/20200209/418042.shtml","http://www.12365auto.com/xcdg/20200209/418042.shtml")</f>
        <v>http://www.12365auto.com/xcdg/20200209/418042.shtml</v>
      </c>
      <c r="G10573" s="2"/>
      <c r="H10573" s="2" t="s">
        <v>14052</v>
      </c>
      <c r="I10573" s="2" t="s">
        <v>19</v>
      </c>
      <c r="J10573" s="2" t="s">
        <v>12</v>
      </c>
      <c r="K10573" s="2" t="s">
        <v>14051</v>
      </c>
      <c r="L10573" s="2">
        <f t="shared" si="165"/>
        <v>150</v>
      </c>
    </row>
    <row r="10574" spans="1:12" ht="25" customHeight="1">
      <c r="A10574" s="2" t="s">
        <v>12</v>
      </c>
      <c r="B10574" s="2" t="str">
        <f>HYPERLINK("http://www.12365auto.com/xcdg/20200209/418041.shtml","奇瑞2020年推5款新车 瑞虎7最快10天后上市")</f>
        <v>奇瑞2020年推5款新车 瑞虎7最快10天后上市</v>
      </c>
      <c r="C10574" s="2" t="s">
        <v>13</v>
      </c>
      <c r="D10574" s="2" t="s">
        <v>12</v>
      </c>
      <c r="E10574" s="2" t="s">
        <v>216</v>
      </c>
      <c r="F10574" s="2" t="str">
        <f>HYPERLINK("http://www.12365auto.com/xcdg/20200209/418041.shtml","http://www.12365auto.com/xcdg/20200209/418041.shtml")</f>
        <v>http://www.12365auto.com/xcdg/20200209/418041.shtml</v>
      </c>
      <c r="G10574" s="2"/>
      <c r="H10574" s="2" t="s">
        <v>14053</v>
      </c>
      <c r="I10574" s="2" t="s">
        <v>15</v>
      </c>
      <c r="J10574" s="2" t="s">
        <v>12</v>
      </c>
      <c r="K10574" s="2" t="s">
        <v>14054</v>
      </c>
      <c r="L10574" s="2">
        <f t="shared" si="165"/>
        <v>150</v>
      </c>
    </row>
    <row r="10575" spans="1:12" ht="25" customHeight="1">
      <c r="A10575" s="2" t="s">
        <v>12</v>
      </c>
      <c r="B10575" s="2" t="str">
        <f>HYPERLINK("http://m.12365auto.com/xcdg/20200209/418041.shtml","奇瑞2020年推5款新车 瑞虎7最快10天后上市")</f>
        <v>奇瑞2020年推5款新车 瑞虎7最快10天后上市</v>
      </c>
      <c r="C10575" s="2" t="s">
        <v>13</v>
      </c>
      <c r="D10575" s="2" t="s">
        <v>12</v>
      </c>
      <c r="E10575" s="2"/>
      <c r="F10575" s="2" t="str">
        <f>HYPERLINK("http://m.12365auto.com/xcdg/20200209/418041.shtml","http://m.12365auto.com/xcdg/20200209/418041.shtml")</f>
        <v>http://m.12365auto.com/xcdg/20200209/418041.shtml</v>
      </c>
      <c r="G10575" s="2"/>
      <c r="H10575" s="2" t="s">
        <v>14055</v>
      </c>
      <c r="I10575" s="2" t="s">
        <v>19</v>
      </c>
      <c r="J10575" s="2" t="s">
        <v>12</v>
      </c>
      <c r="K10575" s="2" t="s">
        <v>14054</v>
      </c>
      <c r="L10575" s="2">
        <f t="shared" si="165"/>
        <v>150</v>
      </c>
    </row>
    <row r="10576" spans="1:12" ht="25" customHeight="1">
      <c r="A10576" s="2" t="s">
        <v>12</v>
      </c>
      <c r="B10576" s="2" t="str">
        <f>HYPERLINK("http://www.12365auto.com/xcdg/20200209/418040.shtml","宝马3系不够个性？ 上点预算买辆它也确实香")</f>
        <v>宝马3系不够个性？ 上点预算买辆它也确实香</v>
      </c>
      <c r="C10576" s="2" t="s">
        <v>13</v>
      </c>
      <c r="D10576" s="2" t="s">
        <v>12</v>
      </c>
      <c r="E10576" s="2" t="s">
        <v>216</v>
      </c>
      <c r="F10576" s="2" t="str">
        <f>HYPERLINK("http://www.12365auto.com/xcdg/20200209/418040.shtml","http://www.12365auto.com/xcdg/20200209/418040.shtml")</f>
        <v>http://www.12365auto.com/xcdg/20200209/418040.shtml</v>
      </c>
      <c r="G10576" s="2"/>
      <c r="H10576" s="2" t="s">
        <v>14056</v>
      </c>
      <c r="I10576" s="2" t="s">
        <v>15</v>
      </c>
      <c r="J10576" s="2" t="s">
        <v>12</v>
      </c>
      <c r="K10576" s="2" t="s">
        <v>14057</v>
      </c>
      <c r="L10576" s="2">
        <f t="shared" si="165"/>
        <v>150</v>
      </c>
    </row>
    <row r="10577" spans="1:12" ht="25" customHeight="1">
      <c r="A10577" s="2" t="s">
        <v>12</v>
      </c>
      <c r="B10577" s="2" t="str">
        <f>HYPERLINK("http://m.12365auto.com/xcdg/20200209/418040.shtml","宝马3系不够个性？ 上点预算买辆它也确实香")</f>
        <v>宝马3系不够个性？ 上点预算买辆它也确实香</v>
      </c>
      <c r="C10577" s="2" t="s">
        <v>13</v>
      </c>
      <c r="D10577" s="2" t="s">
        <v>12</v>
      </c>
      <c r="E10577" s="2"/>
      <c r="F10577" s="2" t="str">
        <f>HYPERLINK("http://m.12365auto.com/xcdg/20200209/418040.shtml","http://m.12365auto.com/xcdg/20200209/418040.shtml")</f>
        <v>http://m.12365auto.com/xcdg/20200209/418040.shtml</v>
      </c>
      <c r="G10577" s="2"/>
      <c r="H10577" s="2" t="s">
        <v>14058</v>
      </c>
      <c r="I10577" s="2" t="s">
        <v>19</v>
      </c>
      <c r="J10577" s="2" t="s">
        <v>12</v>
      </c>
      <c r="K10577" s="2" t="s">
        <v>14057</v>
      </c>
      <c r="L10577" s="2">
        <f t="shared" si="165"/>
        <v>150</v>
      </c>
    </row>
    <row r="10578" spans="1:12" ht="25" customHeight="1">
      <c r="A10578" s="2" t="s">
        <v>12</v>
      </c>
      <c r="B10578" s="2" t="str">
        <f>HYPERLINK("http://m.12365auto.com/xcdg/20200209/418039.shtml","芝加哥车展皮卡探馆 改装及定制版成主旋律")</f>
        <v>芝加哥车展皮卡探馆 改装及定制版成主旋律</v>
      </c>
      <c r="C10578" s="2" t="s">
        <v>13</v>
      </c>
      <c r="D10578" s="2" t="s">
        <v>12</v>
      </c>
      <c r="E10578" s="2"/>
      <c r="F10578" s="2" t="str">
        <f>HYPERLINK("http://m.12365auto.com/xcdg/20200209/418039.shtml","http://m.12365auto.com/xcdg/20200209/418039.shtml")</f>
        <v>http://m.12365auto.com/xcdg/20200209/418039.shtml</v>
      </c>
      <c r="G10578" s="2"/>
      <c r="H10578" s="2" t="s">
        <v>14059</v>
      </c>
      <c r="I10578" s="2" t="s">
        <v>19</v>
      </c>
      <c r="J10578" s="2" t="s">
        <v>12</v>
      </c>
      <c r="K10578" s="2" t="s">
        <v>14060</v>
      </c>
      <c r="L10578" s="2">
        <f t="shared" si="165"/>
        <v>150</v>
      </c>
    </row>
    <row r="10579" spans="1:12" ht="25" customHeight="1">
      <c r="A10579" s="2" t="s">
        <v>12</v>
      </c>
      <c r="B10579" s="2" t="str">
        <f>HYPERLINK("http://www.12365auto.com/xcdg/20200209/418039.shtml","芝加哥车展皮卡探馆 改装及定制版成主旋律")</f>
        <v>芝加哥车展皮卡探馆 改装及定制版成主旋律</v>
      </c>
      <c r="C10579" s="2" t="s">
        <v>13</v>
      </c>
      <c r="D10579" s="2" t="s">
        <v>12</v>
      </c>
      <c r="E10579" s="2" t="s">
        <v>216</v>
      </c>
      <c r="F10579" s="2" t="str">
        <f>HYPERLINK("http://www.12365auto.com/xcdg/20200209/418039.shtml","http://www.12365auto.com/xcdg/20200209/418039.shtml")</f>
        <v>http://www.12365auto.com/xcdg/20200209/418039.shtml</v>
      </c>
      <c r="G10579" s="2"/>
      <c r="H10579" s="2" t="s">
        <v>14061</v>
      </c>
      <c r="I10579" s="2" t="s">
        <v>15</v>
      </c>
      <c r="J10579" s="2" t="s">
        <v>12</v>
      </c>
      <c r="K10579" s="2" t="s">
        <v>14060</v>
      </c>
      <c r="L10579" s="2">
        <f t="shared" si="165"/>
        <v>150</v>
      </c>
    </row>
    <row r="10580" spans="1:12" ht="25" customHeight="1">
      <c r="A10580" s="2" t="s">
        <v>12</v>
      </c>
      <c r="B10580" s="2" t="str">
        <f>HYPERLINK("http://www.12365auto.com/xcdg/20200209/418038.shtml","雪佛兰全新探界者亮相 秋季上市开售")</f>
        <v>雪佛兰全新探界者亮相 秋季上市开售</v>
      </c>
      <c r="C10580" s="2" t="s">
        <v>13</v>
      </c>
      <c r="D10580" s="2" t="s">
        <v>12</v>
      </c>
      <c r="E10580" s="2" t="s">
        <v>245</v>
      </c>
      <c r="F10580" s="2" t="str">
        <f>HYPERLINK("http://www.12365auto.com/xcdg/20200209/418038.shtml","http://www.12365auto.com/xcdg/20200209/418038.shtml")</f>
        <v>http://www.12365auto.com/xcdg/20200209/418038.shtml</v>
      </c>
      <c r="G10580" s="2"/>
      <c r="H10580" s="2" t="s">
        <v>14062</v>
      </c>
      <c r="I10580" s="2" t="s">
        <v>19</v>
      </c>
      <c r="J10580" s="2" t="s">
        <v>12</v>
      </c>
      <c r="K10580" s="2" t="s">
        <v>14063</v>
      </c>
      <c r="L10580" s="2">
        <f t="shared" si="165"/>
        <v>150</v>
      </c>
    </row>
    <row r="10581" spans="1:12" ht="25" customHeight="1">
      <c r="A10581" s="2" t="s">
        <v>12</v>
      </c>
      <c r="B10581" s="2" t="str">
        <f>HYPERLINK("http://m.12365auto.com/xcdg/20200209/418038.shtml","雪佛兰全新探界者亮相 秋季上市开售")</f>
        <v>雪佛兰全新探界者亮相 秋季上市开售</v>
      </c>
      <c r="C10581" s="2" t="s">
        <v>13</v>
      </c>
      <c r="D10581" s="2" t="s">
        <v>12</v>
      </c>
      <c r="E10581" s="2"/>
      <c r="F10581" s="2" t="str">
        <f>HYPERLINK("http://m.12365auto.com/xcdg/20200209/418038.shtml","http://m.12365auto.com/xcdg/20200209/418038.shtml")</f>
        <v>http://m.12365auto.com/xcdg/20200209/418038.shtml</v>
      </c>
      <c r="G10581" s="2"/>
      <c r="H10581" s="2" t="s">
        <v>14064</v>
      </c>
      <c r="I10581" s="2" t="s">
        <v>19</v>
      </c>
      <c r="J10581" s="2" t="s">
        <v>12</v>
      </c>
      <c r="K10581" s="2" t="s">
        <v>14063</v>
      </c>
      <c r="L10581" s="2">
        <f t="shared" si="165"/>
        <v>150</v>
      </c>
    </row>
    <row r="10582" spans="1:12" ht="25" customHeight="1">
      <c r="A10582" s="2" t="s">
        <v>12</v>
      </c>
      <c r="B10582" s="2" t="str">
        <f>HYPERLINK("http://www.12365auto.com/xcdg/20200209/418037.shtml","大众全新Atlas正式发布 外观及配置再升级")</f>
        <v>大众全新Atlas正式发布 外观及配置再升级</v>
      </c>
      <c r="C10582" s="2" t="s">
        <v>13</v>
      </c>
      <c r="D10582" s="2" t="s">
        <v>12</v>
      </c>
      <c r="E10582" s="2" t="s">
        <v>216</v>
      </c>
      <c r="F10582" s="2" t="str">
        <f>HYPERLINK("http://www.12365auto.com/xcdg/20200209/418037.shtml","http://www.12365auto.com/xcdg/20200209/418037.shtml")</f>
        <v>http://www.12365auto.com/xcdg/20200209/418037.shtml</v>
      </c>
      <c r="G10582" s="2"/>
      <c r="H10582" s="2" t="s">
        <v>14065</v>
      </c>
      <c r="I10582" s="2" t="s">
        <v>15</v>
      </c>
      <c r="J10582" s="2" t="s">
        <v>12</v>
      </c>
      <c r="K10582" s="2" t="s">
        <v>14066</v>
      </c>
      <c r="L10582" s="2">
        <f t="shared" si="165"/>
        <v>150</v>
      </c>
    </row>
    <row r="10583" spans="1:12" ht="25" customHeight="1">
      <c r="A10583" s="2" t="s">
        <v>12</v>
      </c>
      <c r="B10583" s="2" t="str">
        <f>HYPERLINK("http://m.12365auto.com/xcdg/20200209/418037.shtml","大众全新Atlas正式发布 外观及配置再升级")</f>
        <v>大众全新Atlas正式发布 外观及配置再升级</v>
      </c>
      <c r="C10583" s="2" t="s">
        <v>13</v>
      </c>
      <c r="D10583" s="2" t="s">
        <v>12</v>
      </c>
      <c r="E10583" s="2"/>
      <c r="F10583" s="2" t="str">
        <f>HYPERLINK("http://m.12365auto.com/xcdg/20200209/418037.shtml","http://m.12365auto.com/xcdg/20200209/418037.shtml")</f>
        <v>http://m.12365auto.com/xcdg/20200209/418037.shtml</v>
      </c>
      <c r="G10583" s="2"/>
      <c r="H10583" s="2" t="s">
        <v>14067</v>
      </c>
      <c r="I10583" s="2" t="s">
        <v>19</v>
      </c>
      <c r="J10583" s="2" t="s">
        <v>12</v>
      </c>
      <c r="K10583" s="2" t="s">
        <v>14066</v>
      </c>
      <c r="L10583" s="2">
        <f t="shared" si="165"/>
        <v>150</v>
      </c>
    </row>
    <row r="10584" spans="1:12" ht="25" customHeight="1">
      <c r="A10584" s="2" t="s">
        <v>12</v>
      </c>
      <c r="B10584" s="2" t="s">
        <v>14068</v>
      </c>
      <c r="C10584" s="2" t="s">
        <v>13</v>
      </c>
      <c r="D10584" s="2" t="s">
        <v>12</v>
      </c>
      <c r="E10584" s="2"/>
      <c r="F10584" s="2" t="str">
        <f>HYPERLINK("http://m.12365auto.com/xcdg/20200209/418036.shtml","http://m.12365auto.com/xcdg/20200209/418036.shtml")</f>
        <v>http://m.12365auto.com/xcdg/20200209/418036.shtml</v>
      </c>
      <c r="G10584" s="2"/>
      <c r="H10584" s="2" t="s">
        <v>14069</v>
      </c>
      <c r="I10584" s="2" t="s">
        <v>19</v>
      </c>
      <c r="J10584" s="2" t="s">
        <v>1117</v>
      </c>
      <c r="K10584" s="2" t="s">
        <v>14070</v>
      </c>
      <c r="L10584" s="2">
        <f t="shared" si="165"/>
        <v>150</v>
      </c>
    </row>
    <row r="10585" spans="1:12" ht="25" customHeight="1">
      <c r="A10585" s="2" t="s">
        <v>12</v>
      </c>
      <c r="B10585" s="2" t="str">
        <f>HYPERLINK("http://m.12365auto.com/xcdg/20200209/418035.shtml","外观时尚价格不贵 自主品牌小型SUV推荐")</f>
        <v>外观时尚价格不贵 自主品牌小型SUV推荐</v>
      </c>
      <c r="C10585" s="2" t="s">
        <v>13</v>
      </c>
      <c r="D10585" s="2" t="s">
        <v>12</v>
      </c>
      <c r="E10585" s="2"/>
      <c r="F10585" s="2" t="str">
        <f>HYPERLINK("http://m.12365auto.com/xcdg/20200209/418035.shtml","http://m.12365auto.com/xcdg/20200209/418035.shtml")</f>
        <v>http://m.12365auto.com/xcdg/20200209/418035.shtml</v>
      </c>
      <c r="G10585" s="2"/>
      <c r="H10585" s="2" t="s">
        <v>14071</v>
      </c>
      <c r="I10585" s="2" t="s">
        <v>19</v>
      </c>
      <c r="J10585" s="2" t="s">
        <v>768</v>
      </c>
      <c r="K10585" s="2" t="s">
        <v>14072</v>
      </c>
      <c r="L10585" s="2">
        <f t="shared" si="165"/>
        <v>150</v>
      </c>
    </row>
    <row r="10586" spans="1:12" ht="25" customHeight="1">
      <c r="A10586" s="2" t="s">
        <v>12</v>
      </c>
      <c r="B10586" s="2" t="str">
        <f>HYPERLINK("http://www.12365auto.com/scbg/20200209/418034.shtml","对标奥迪S3的性能 如何看待奔驰A 35 L AMG")</f>
        <v>对标奥迪S3的性能 如何看待奔驰A 35 L AMG</v>
      </c>
      <c r="C10586" s="2" t="s">
        <v>13</v>
      </c>
      <c r="D10586" s="2" t="s">
        <v>12</v>
      </c>
      <c r="E10586" s="2" t="s">
        <v>1548</v>
      </c>
      <c r="F10586" s="2" t="str">
        <f>HYPERLINK("http://www.12365auto.com/scbg/20200209/418034.shtml","http://www.12365auto.com/scbg/20200209/418034.shtml")</f>
        <v>http://www.12365auto.com/scbg/20200209/418034.shtml</v>
      </c>
      <c r="G10586" s="2"/>
      <c r="H10586" s="2" t="s">
        <v>14073</v>
      </c>
      <c r="I10586" s="2" t="s">
        <v>15</v>
      </c>
      <c r="J10586" s="2" t="s">
        <v>12</v>
      </c>
      <c r="K10586" s="2" t="s">
        <v>14074</v>
      </c>
      <c r="L10586" s="2">
        <f t="shared" si="165"/>
        <v>150</v>
      </c>
    </row>
    <row r="10587" spans="1:12" ht="25" customHeight="1">
      <c r="A10587" s="2" t="s">
        <v>12</v>
      </c>
      <c r="B10587" s="2" t="str">
        <f>HYPERLINK("http://m.12365auto.com/scbg/20200209/418034.shtml","对标奥迪S3的性能 如何看待奔驰A 35 L AMG")</f>
        <v>对标奥迪S3的性能 如何看待奔驰A 35 L AMG</v>
      </c>
      <c r="C10587" s="2" t="s">
        <v>13</v>
      </c>
      <c r="D10587" s="2" t="s">
        <v>12</v>
      </c>
      <c r="E10587" s="2"/>
      <c r="F10587" s="2" t="str">
        <f>HYPERLINK("http://m.12365auto.com/scbg/20200209/418034.shtml","http://m.12365auto.com/scbg/20200209/418034.shtml")</f>
        <v>http://m.12365auto.com/scbg/20200209/418034.shtml</v>
      </c>
      <c r="G10587" s="2"/>
      <c r="H10587" s="2" t="s">
        <v>14075</v>
      </c>
      <c r="I10587" s="2" t="s">
        <v>19</v>
      </c>
      <c r="J10587" s="2" t="s">
        <v>12</v>
      </c>
      <c r="K10587" s="2" t="s">
        <v>14074</v>
      </c>
      <c r="L10587" s="2">
        <f t="shared" si="165"/>
        <v>150</v>
      </c>
    </row>
    <row r="10588" spans="1:12" ht="25" customHeight="1">
      <c r="A10588" s="2" t="s">
        <v>12</v>
      </c>
      <c r="B10588" s="2" t="str">
        <f>HYPERLINK("http://www.12365auto.com/zlts/20200209/446666.shtml","北汽幻速H3轮毂登记证书信息和原车不一致")</f>
        <v>北汽幻速H3轮毂登记证书信息和原车不一致</v>
      </c>
      <c r="C10588" s="2" t="s">
        <v>13</v>
      </c>
      <c r="D10588" s="2" t="s">
        <v>12</v>
      </c>
      <c r="E10588" s="2" t="s">
        <v>17</v>
      </c>
      <c r="F10588" s="2" t="str">
        <f>HYPERLINK("http://www.12365auto.com/zlts/20200209/446666.shtml","http://www.12365auto.com/zlts/20200209/446666.shtml")</f>
        <v>http://www.12365auto.com/zlts/20200209/446666.shtml</v>
      </c>
      <c r="G10588" s="2"/>
      <c r="H10588" s="2" t="s">
        <v>14076</v>
      </c>
      <c r="I10588" s="2" t="s">
        <v>19</v>
      </c>
      <c r="J10588" s="2" t="s">
        <v>12</v>
      </c>
      <c r="K10588" s="2" t="s">
        <v>14077</v>
      </c>
      <c r="L10588" s="2">
        <f t="shared" si="165"/>
        <v>150</v>
      </c>
    </row>
    <row r="10589" spans="1:12" ht="25" customHeight="1">
      <c r="A10589" s="2" t="s">
        <v>12</v>
      </c>
      <c r="B10589" s="2" t="str">
        <f>HYPERLINK("http://www.12365auto.com/zlts/20200209/446665.shtml","上汽大众凌渡变速箱异响 发动机熄火 转向抖动")</f>
        <v>上汽大众凌渡变速箱异响 发动机熄火 转向抖动</v>
      </c>
      <c r="C10589" s="2" t="s">
        <v>13</v>
      </c>
      <c r="D10589" s="2" t="s">
        <v>12</v>
      </c>
      <c r="E10589" s="2" t="s">
        <v>17</v>
      </c>
      <c r="F10589" s="2" t="str">
        <f>HYPERLINK("http://www.12365auto.com/zlts/20200209/446665.shtml","http://www.12365auto.com/zlts/20200209/446665.shtml")</f>
        <v>http://www.12365auto.com/zlts/20200209/446665.shtml</v>
      </c>
      <c r="G10589" s="2"/>
      <c r="H10589" s="2" t="s">
        <v>14078</v>
      </c>
      <c r="I10589" s="2" t="s">
        <v>19</v>
      </c>
      <c r="J10589" s="2" t="s">
        <v>12</v>
      </c>
      <c r="K10589" s="2" t="s">
        <v>14079</v>
      </c>
      <c r="L10589" s="2">
        <f t="shared" si="165"/>
        <v>150</v>
      </c>
    </row>
    <row r="10590" spans="1:12" ht="25" customHeight="1">
      <c r="A10590" s="2" t="s">
        <v>12</v>
      </c>
      <c r="B10590" s="2" t="str">
        <f>HYPERLINK("http://www.12365auto.com/news/20200209/418033.shtml","上调盈利预期 丰田称暂未考虑疫情影响")</f>
        <v>上调盈利预期 丰田称暂未考虑疫情影响</v>
      </c>
      <c r="C10590" s="2" t="s">
        <v>13</v>
      </c>
      <c r="D10590" s="2" t="s">
        <v>12</v>
      </c>
      <c r="E10590" s="2" t="s">
        <v>276</v>
      </c>
      <c r="F10590" s="2" t="str">
        <f>HYPERLINK("http://www.12365auto.com/news/20200209/418033.shtml","http://www.12365auto.com/news/20200209/418033.shtml")</f>
        <v>http://www.12365auto.com/news/20200209/418033.shtml</v>
      </c>
      <c r="G10590" s="2"/>
      <c r="H10590" s="2" t="s">
        <v>14080</v>
      </c>
      <c r="I10590" s="2" t="s">
        <v>15</v>
      </c>
      <c r="J10590" s="2" t="s">
        <v>12</v>
      </c>
      <c r="K10590" s="2" t="s">
        <v>14081</v>
      </c>
      <c r="L10590" s="2">
        <f t="shared" si="165"/>
        <v>150</v>
      </c>
    </row>
    <row r="10591" spans="1:12" ht="25" customHeight="1">
      <c r="A10591" s="2" t="s">
        <v>12</v>
      </c>
      <c r="B10591" s="2" t="str">
        <f>HYPERLINK("http://m.12365auto.com/news/20200209/418033.shtml","上调盈利预期 丰田称暂未考虑疫情影响")</f>
        <v>上调盈利预期 丰田称暂未考虑疫情影响</v>
      </c>
      <c r="C10591" s="2" t="s">
        <v>13</v>
      </c>
      <c r="D10591" s="2" t="s">
        <v>12</v>
      </c>
      <c r="E10591" s="2"/>
      <c r="F10591" s="2" t="str">
        <f>HYPERLINK("http://m.12365auto.com/news/20200209/418033.shtml","http://m.12365auto.com/news/20200209/418033.shtml")</f>
        <v>http://m.12365auto.com/news/20200209/418033.shtml</v>
      </c>
      <c r="G10591" s="2"/>
      <c r="H10591" s="2" t="s">
        <v>14082</v>
      </c>
      <c r="I10591" s="2" t="s">
        <v>19</v>
      </c>
      <c r="J10591" s="2" t="s">
        <v>1543</v>
      </c>
      <c r="K10591" s="2" t="s">
        <v>14081</v>
      </c>
      <c r="L10591" s="2">
        <f t="shared" si="165"/>
        <v>150</v>
      </c>
    </row>
    <row r="10592" spans="1:12" ht="25" customHeight="1">
      <c r="A10592" s="2" t="s">
        <v>12</v>
      </c>
      <c r="B10592" s="2" t="str">
        <f>HYPERLINK("http://www.12365auto.com/xcdg/20200209/418032.shtml","2020芝加哥车展：丰田坦途Trail特别版")</f>
        <v>2020芝加哥车展：丰田坦途Trail特别版</v>
      </c>
      <c r="C10592" s="2" t="s">
        <v>13</v>
      </c>
      <c r="D10592" s="2" t="s">
        <v>12</v>
      </c>
      <c r="E10592" s="2" t="s">
        <v>216</v>
      </c>
      <c r="F10592" s="2" t="str">
        <f>HYPERLINK("http://www.12365auto.com/xcdg/20200209/418032.shtml","http://www.12365auto.com/xcdg/20200209/418032.shtml")</f>
        <v>http://www.12365auto.com/xcdg/20200209/418032.shtml</v>
      </c>
      <c r="G10592" s="2"/>
      <c r="H10592" s="2" t="s">
        <v>14083</v>
      </c>
      <c r="I10592" s="2" t="s">
        <v>15</v>
      </c>
      <c r="J10592" s="2" t="s">
        <v>12</v>
      </c>
      <c r="K10592" s="2" t="s">
        <v>14084</v>
      </c>
      <c r="L10592" s="2">
        <f t="shared" si="165"/>
        <v>150</v>
      </c>
    </row>
    <row r="10593" spans="1:12" ht="25" customHeight="1">
      <c r="A10593" s="2" t="s">
        <v>12</v>
      </c>
      <c r="B10593" s="2" t="str">
        <f>HYPERLINK("http://m.12365auto.com/xcdg/20200209/418032.shtml","2020芝加哥车展：丰田坦途Trail特别版")</f>
        <v>2020芝加哥车展：丰田坦途Trail特别版</v>
      </c>
      <c r="C10593" s="2" t="s">
        <v>13</v>
      </c>
      <c r="D10593" s="2" t="s">
        <v>12</v>
      </c>
      <c r="E10593" s="2"/>
      <c r="F10593" s="2" t="str">
        <f>HYPERLINK("http://m.12365auto.com/xcdg/20200209/418032.shtml","http://m.12365auto.com/xcdg/20200209/418032.shtml")</f>
        <v>http://m.12365auto.com/xcdg/20200209/418032.shtml</v>
      </c>
      <c r="G10593" s="2"/>
      <c r="H10593" s="2" t="s">
        <v>14085</v>
      </c>
      <c r="I10593" s="2" t="s">
        <v>19</v>
      </c>
      <c r="J10593" s="2" t="s">
        <v>836</v>
      </c>
      <c r="K10593" s="2" t="s">
        <v>14084</v>
      </c>
      <c r="L10593" s="2">
        <f t="shared" si="165"/>
        <v>150</v>
      </c>
    </row>
    <row r="10594" spans="1:12" ht="25" customHeight="1">
      <c r="A10594" s="2" t="s">
        <v>12</v>
      </c>
      <c r="B10594" s="2" t="str">
        <f>HYPERLINK("http://www.12365auto.com/xcdg/20200209/418031.shtml","2020芝加哥车展：捷尼赛思GV80亮相")</f>
        <v>2020芝加哥车展：捷尼赛思GV80亮相</v>
      </c>
      <c r="C10594" s="2" t="s">
        <v>13</v>
      </c>
      <c r="D10594" s="2" t="s">
        <v>12</v>
      </c>
      <c r="E10594" s="2" t="s">
        <v>245</v>
      </c>
      <c r="F10594" s="2" t="str">
        <f>HYPERLINK("http://www.12365auto.com/xcdg/20200209/418031.shtml","http://www.12365auto.com/xcdg/20200209/418031.shtml")</f>
        <v>http://www.12365auto.com/xcdg/20200209/418031.shtml</v>
      </c>
      <c r="G10594" s="2"/>
      <c r="H10594" s="2" t="s">
        <v>14086</v>
      </c>
      <c r="I10594" s="2" t="s">
        <v>19</v>
      </c>
      <c r="J10594" s="2" t="s">
        <v>12</v>
      </c>
      <c r="K10594" s="2" t="s">
        <v>14087</v>
      </c>
      <c r="L10594" s="2">
        <f t="shared" si="165"/>
        <v>150</v>
      </c>
    </row>
    <row r="10595" spans="1:12" ht="25" customHeight="1">
      <c r="A10595" s="2" t="s">
        <v>12</v>
      </c>
      <c r="B10595" s="2" t="str">
        <f>HYPERLINK("http://m.12365auto.com/xcdg/20200209/418031.shtml","2020芝加哥车展：捷尼赛思GV80亮相")</f>
        <v>2020芝加哥车展：捷尼赛思GV80亮相</v>
      </c>
      <c r="C10595" s="2" t="s">
        <v>13</v>
      </c>
      <c r="D10595" s="2" t="s">
        <v>12</v>
      </c>
      <c r="E10595" s="2"/>
      <c r="F10595" s="2" t="str">
        <f>HYPERLINK("http://m.12365auto.com/xcdg/20200209/418031.shtml","http://m.12365auto.com/xcdg/20200209/418031.shtml")</f>
        <v>http://m.12365auto.com/xcdg/20200209/418031.shtml</v>
      </c>
      <c r="G10595" s="2"/>
      <c r="H10595" s="2" t="s">
        <v>14088</v>
      </c>
      <c r="I10595" s="2" t="s">
        <v>19</v>
      </c>
      <c r="J10595" s="2" t="s">
        <v>303</v>
      </c>
      <c r="K10595" s="2" t="s">
        <v>14087</v>
      </c>
      <c r="L10595" s="2">
        <f t="shared" si="165"/>
        <v>150</v>
      </c>
    </row>
    <row r="10596" spans="1:12" ht="25" customHeight="1">
      <c r="A10596" s="2" t="s">
        <v>12</v>
      </c>
      <c r="B10596" s="2" t="str">
        <f>HYPERLINK("http://www.12365auto.com/parts/20200209/418030.shtml","对标宁德时代 欧洲推50亿欧元电池项目")</f>
        <v>对标宁德时代 欧洲推50亿欧元电池项目</v>
      </c>
      <c r="C10596" s="2" t="s">
        <v>13</v>
      </c>
      <c r="D10596" s="2" t="s">
        <v>12</v>
      </c>
      <c r="E10596" s="2" t="s">
        <v>240</v>
      </c>
      <c r="F10596" s="2" t="str">
        <f>HYPERLINK("http://www.12365auto.com/parts/20200209/418030.shtml","http://www.12365auto.com/parts/20200209/418030.shtml")</f>
        <v>http://www.12365auto.com/parts/20200209/418030.shtml</v>
      </c>
      <c r="G10596" s="2"/>
      <c r="H10596" s="2" t="s">
        <v>14089</v>
      </c>
      <c r="I10596" s="2" t="s">
        <v>15</v>
      </c>
      <c r="J10596" s="2" t="s">
        <v>12</v>
      </c>
      <c r="K10596" s="2" t="s">
        <v>14090</v>
      </c>
      <c r="L10596" s="2">
        <f t="shared" si="165"/>
        <v>150</v>
      </c>
    </row>
    <row r="10597" spans="1:12" ht="25" customHeight="1">
      <c r="A10597" s="2" t="s">
        <v>12</v>
      </c>
      <c r="B10597" s="2" t="str">
        <f>HYPERLINK("http://m.12365auto.com/parts/20200209/418030.shtml","对标宁德时代 欧洲推50亿欧元电池项目")</f>
        <v>对标宁德时代 欧洲推50亿欧元电池项目</v>
      </c>
      <c r="C10597" s="2" t="s">
        <v>13</v>
      </c>
      <c r="D10597" s="2" t="s">
        <v>12</v>
      </c>
      <c r="E10597" s="2"/>
      <c r="F10597" s="2" t="str">
        <f>HYPERLINK("http://m.12365auto.com/parts/20200209/418030.shtml","http://m.12365auto.com/parts/20200209/418030.shtml")</f>
        <v>http://m.12365auto.com/parts/20200209/418030.shtml</v>
      </c>
      <c r="G10597" s="2"/>
      <c r="H10597" s="2" t="s">
        <v>14091</v>
      </c>
      <c r="I10597" s="2" t="s">
        <v>19</v>
      </c>
      <c r="J10597" s="2" t="s">
        <v>1188</v>
      </c>
      <c r="K10597" s="2" t="s">
        <v>14090</v>
      </c>
      <c r="L10597" s="2">
        <f t="shared" si="165"/>
        <v>150</v>
      </c>
    </row>
    <row r="10598" spans="1:12" ht="25" customHeight="1">
      <c r="A10598" s="2" t="s">
        <v>12</v>
      </c>
      <c r="B10598" s="2" t="str">
        <f>HYPERLINK("http://www.12365auto.com/parts/20200209/418029.shtml","助力供应商复工 现代汽车提供资源支持")</f>
        <v>助力供应商复工 现代汽车提供资源支持</v>
      </c>
      <c r="C10598" s="2" t="s">
        <v>13</v>
      </c>
      <c r="D10598" s="2" t="s">
        <v>12</v>
      </c>
      <c r="E10598" s="2" t="s">
        <v>240</v>
      </c>
      <c r="F10598" s="2" t="str">
        <f>HYPERLINK("http://www.12365auto.com/parts/20200209/418029.shtml","http://www.12365auto.com/parts/20200209/418029.shtml")</f>
        <v>http://www.12365auto.com/parts/20200209/418029.shtml</v>
      </c>
      <c r="G10598" s="2"/>
      <c r="H10598" s="2" t="s">
        <v>14092</v>
      </c>
      <c r="I10598" s="2" t="s">
        <v>15</v>
      </c>
      <c r="J10598" s="2" t="s">
        <v>12</v>
      </c>
      <c r="K10598" s="2" t="s">
        <v>14093</v>
      </c>
      <c r="L10598" s="2">
        <f t="shared" si="165"/>
        <v>150</v>
      </c>
    </row>
    <row r="10599" spans="1:12" ht="25" customHeight="1">
      <c r="A10599" s="2" t="s">
        <v>12</v>
      </c>
      <c r="B10599" s="2" t="str">
        <f>HYPERLINK("http://m.12365auto.com/parts/20200209/418029.shtml","助力供应商复工 现代汽车提供资源支持")</f>
        <v>助力供应商复工 现代汽车提供资源支持</v>
      </c>
      <c r="C10599" s="2" t="s">
        <v>13</v>
      </c>
      <c r="D10599" s="2" t="s">
        <v>12</v>
      </c>
      <c r="E10599" s="2"/>
      <c r="F10599" s="2" t="str">
        <f>HYPERLINK("http://m.12365auto.com/parts/20200209/418029.shtml","http://m.12365auto.com/parts/20200209/418029.shtml")</f>
        <v>http://m.12365auto.com/parts/20200209/418029.shtml</v>
      </c>
      <c r="G10599" s="2"/>
      <c r="H10599" s="2" t="s">
        <v>14094</v>
      </c>
      <c r="I10599" s="2" t="s">
        <v>19</v>
      </c>
      <c r="J10599" s="2" t="s">
        <v>13501</v>
      </c>
      <c r="K10599" s="2" t="s">
        <v>14093</v>
      </c>
      <c r="L10599" s="2">
        <f t="shared" si="165"/>
        <v>150</v>
      </c>
    </row>
    <row r="10600" spans="1:12" ht="25" customHeight="1">
      <c r="A10600" s="2" t="s">
        <v>12</v>
      </c>
      <c r="B10600" s="2" t="str">
        <f>HYPERLINK("http://www.12365auto.com/zlts/20200209/446664.shtml","雪佛兰迈锐宝XL加速无力 冷启动熄火 油耗高")</f>
        <v>雪佛兰迈锐宝XL加速无力 冷启动熄火 油耗高</v>
      </c>
      <c r="C10600" s="2" t="s">
        <v>13</v>
      </c>
      <c r="D10600" s="2" t="s">
        <v>12</v>
      </c>
      <c r="E10600" s="2"/>
      <c r="F10600" s="2" t="str">
        <f>HYPERLINK("http://www.12365auto.com/zlts/20200209/446664.shtml","http://www.12365auto.com/zlts/20200209/446664.shtml")</f>
        <v>http://www.12365auto.com/zlts/20200209/446664.shtml</v>
      </c>
      <c r="G10600" s="2"/>
      <c r="H10600" s="2" t="s">
        <v>14096</v>
      </c>
      <c r="I10600" s="2" t="s">
        <v>15</v>
      </c>
      <c r="J10600" s="2" t="s">
        <v>12</v>
      </c>
      <c r="K10600" s="2" t="s">
        <v>14095</v>
      </c>
      <c r="L10600" s="2">
        <f t="shared" si="165"/>
        <v>86</v>
      </c>
    </row>
    <row r="10601" spans="1:12" ht="25" customHeight="1">
      <c r="A10601" s="2" t="s">
        <v>12</v>
      </c>
      <c r="B10601" s="2" t="str">
        <f>HYPERLINK("http://m.12365auto.com/xcdg/20200209/418028.shtml","小鹏汽车P7预计上市 交付时间再次曝光")</f>
        <v>小鹏汽车P7预计上市 交付时间再次曝光</v>
      </c>
      <c r="C10601" s="2" t="s">
        <v>13</v>
      </c>
      <c r="D10601" s="2" t="s">
        <v>12</v>
      </c>
      <c r="E10601" s="2"/>
      <c r="F10601" s="2" t="str">
        <f>HYPERLINK("http://m.12365auto.com/xcdg/20200209/418028.shtml","http://m.12365auto.com/xcdg/20200209/418028.shtml")</f>
        <v>http://m.12365auto.com/xcdg/20200209/418028.shtml</v>
      </c>
      <c r="G10601" s="2"/>
      <c r="H10601" s="2" t="s">
        <v>14097</v>
      </c>
      <c r="I10601" s="2" t="s">
        <v>19</v>
      </c>
      <c r="J10601" s="2" t="s">
        <v>330</v>
      </c>
      <c r="K10601" s="2" t="s">
        <v>14098</v>
      </c>
      <c r="L10601" s="2">
        <f t="shared" si="165"/>
        <v>150</v>
      </c>
    </row>
    <row r="10602" spans="1:12" ht="25" customHeight="1">
      <c r="A10602" s="2" t="s">
        <v>12</v>
      </c>
      <c r="B10602" s="2" t="str">
        <f>HYPERLINK("http://www.12365auto.com/xcdg/20200209/418028.shtml","小鹏汽车P7预计上市 交付时间再次曝光")</f>
        <v>小鹏汽车P7预计上市 交付时间再次曝光</v>
      </c>
      <c r="C10602" s="2" t="s">
        <v>13</v>
      </c>
      <c r="D10602" s="2" t="s">
        <v>12</v>
      </c>
      <c r="E10602" s="2" t="s">
        <v>216</v>
      </c>
      <c r="F10602" s="2" t="str">
        <f>HYPERLINK("http://www.12365auto.com/xcdg/20200209/418028.shtml","http://www.12365auto.com/xcdg/20200209/418028.shtml")</f>
        <v>http://www.12365auto.com/xcdg/20200209/418028.shtml</v>
      </c>
      <c r="G10602" s="2"/>
      <c r="H10602" s="2" t="s">
        <v>14099</v>
      </c>
      <c r="I10602" s="2" t="s">
        <v>15</v>
      </c>
      <c r="J10602" s="2" t="s">
        <v>12</v>
      </c>
      <c r="K10602" s="2" t="s">
        <v>14098</v>
      </c>
      <c r="L10602" s="2">
        <f t="shared" si="165"/>
        <v>150</v>
      </c>
    </row>
    <row r="10603" spans="1:12" ht="25" customHeight="1">
      <c r="A10603" s="2" t="s">
        <v>12</v>
      </c>
      <c r="B10603" s="2" t="str">
        <f>HYPERLINK("http://www.12365auto.com/xcdg/20200209/418027.shtml","续航里程超500km EPA发布Model Y新评级")</f>
        <v>续航里程超500km EPA发布Model Y新评级</v>
      </c>
      <c r="C10603" s="2" t="s">
        <v>13</v>
      </c>
      <c r="D10603" s="2" t="s">
        <v>12</v>
      </c>
      <c r="E10603" s="2" t="s">
        <v>216</v>
      </c>
      <c r="F10603" s="2" t="str">
        <f>HYPERLINK("http://www.12365auto.com/xcdg/20200209/418027.shtml","http://www.12365auto.com/xcdg/20200209/418027.shtml")</f>
        <v>http://www.12365auto.com/xcdg/20200209/418027.shtml</v>
      </c>
      <c r="G10603" s="2"/>
      <c r="H10603" s="2" t="s">
        <v>14100</v>
      </c>
      <c r="I10603" s="2" t="s">
        <v>15</v>
      </c>
      <c r="J10603" s="2" t="s">
        <v>12</v>
      </c>
      <c r="K10603" s="2" t="s">
        <v>14101</v>
      </c>
      <c r="L10603" s="2">
        <f t="shared" si="165"/>
        <v>150</v>
      </c>
    </row>
    <row r="10604" spans="1:12" ht="25" customHeight="1">
      <c r="A10604" s="2" t="s">
        <v>12</v>
      </c>
      <c r="B10604" s="2" t="str">
        <f>HYPERLINK("http://m.12365auto.com/xcdg/20200209/418027.shtml","续航里程超500km EPA发布Model Y新评级")</f>
        <v>续航里程超500km EPA发布Model Y新评级</v>
      </c>
      <c r="C10604" s="2" t="s">
        <v>13</v>
      </c>
      <c r="D10604" s="2" t="s">
        <v>12</v>
      </c>
      <c r="E10604" s="2"/>
      <c r="F10604" s="2" t="str">
        <f>HYPERLINK("http://m.12365auto.com/xcdg/20200209/418027.shtml","http://m.12365auto.com/xcdg/20200209/418027.shtml")</f>
        <v>http://m.12365auto.com/xcdg/20200209/418027.shtml</v>
      </c>
      <c r="G10604" s="2"/>
      <c r="H10604" s="2" t="s">
        <v>14102</v>
      </c>
      <c r="I10604" s="2" t="s">
        <v>19</v>
      </c>
      <c r="J10604" s="2" t="s">
        <v>1170</v>
      </c>
      <c r="K10604" s="2" t="s">
        <v>14101</v>
      </c>
      <c r="L10604" s="2">
        <f t="shared" si="165"/>
        <v>150</v>
      </c>
    </row>
    <row r="10605" spans="1:12" ht="25" customHeight="1">
      <c r="A10605" s="2" t="s">
        <v>12</v>
      </c>
      <c r="B10605" s="2" t="str">
        <f>HYPERLINK("http://m.12365auto.com/news/20200209/418026.shtml","预计2月17日出货 比亚迪产口罩和消毒液")</f>
        <v>预计2月17日出货 比亚迪产口罩和消毒液</v>
      </c>
      <c r="C10605" s="2" t="s">
        <v>13</v>
      </c>
      <c r="D10605" s="2" t="s">
        <v>12</v>
      </c>
      <c r="E10605" s="2"/>
      <c r="F10605" s="2" t="str">
        <f>HYPERLINK("http://m.12365auto.com/news/20200209/418026.shtml","http://m.12365auto.com/news/20200209/418026.shtml")</f>
        <v>http://m.12365auto.com/news/20200209/418026.shtml</v>
      </c>
      <c r="G10605" s="2"/>
      <c r="H10605" s="2" t="s">
        <v>14103</v>
      </c>
      <c r="I10605" s="2" t="s">
        <v>19</v>
      </c>
      <c r="J10605" s="2" t="s">
        <v>274</v>
      </c>
      <c r="K10605" s="2" t="s">
        <v>14104</v>
      </c>
      <c r="L10605" s="2">
        <f t="shared" si="165"/>
        <v>150</v>
      </c>
    </row>
    <row r="10606" spans="1:12" ht="25" customHeight="1">
      <c r="A10606" s="2" t="s">
        <v>12</v>
      </c>
      <c r="B10606" s="2" t="str">
        <f>HYPERLINK("http://www.12365auto.com/news/20200209/418026.shtml","预计2月17日出货 比亚迪产口罩和消毒液")</f>
        <v>预计2月17日出货 比亚迪产口罩和消毒液</v>
      </c>
      <c r="C10606" s="2" t="s">
        <v>13</v>
      </c>
      <c r="D10606" s="2" t="s">
        <v>12</v>
      </c>
      <c r="E10606" s="2" t="s">
        <v>276</v>
      </c>
      <c r="F10606" s="2" t="str">
        <f>HYPERLINK("http://www.12365auto.com/news/20200209/418026.shtml","http://www.12365auto.com/news/20200209/418026.shtml")</f>
        <v>http://www.12365auto.com/news/20200209/418026.shtml</v>
      </c>
      <c r="G10606" s="2"/>
      <c r="H10606" s="2" t="s">
        <v>14105</v>
      </c>
      <c r="I10606" s="2" t="s">
        <v>15</v>
      </c>
      <c r="J10606" s="2" t="s">
        <v>12</v>
      </c>
      <c r="K10606" s="2" t="s">
        <v>14104</v>
      </c>
      <c r="L10606" s="2">
        <f t="shared" si="165"/>
        <v>150</v>
      </c>
    </row>
    <row r="10607" spans="1:12" ht="25" customHeight="1">
      <c r="A10607" s="2" t="s">
        <v>12</v>
      </c>
      <c r="B10607" s="2" t="str">
        <f>HYPERLINK("http://www.12365auto.com/parts/20200209/418025.shtml","理想ONE将于下一次OTA推送车载微信功能")</f>
        <v>理想ONE将于下一次OTA推送车载微信功能</v>
      </c>
      <c r="C10607" s="2" t="s">
        <v>13</v>
      </c>
      <c r="D10607" s="2" t="s">
        <v>12</v>
      </c>
      <c r="E10607" s="2" t="s">
        <v>240</v>
      </c>
      <c r="F10607" s="2" t="str">
        <f>HYPERLINK("http://www.12365auto.com/parts/20200209/418025.shtml","http://www.12365auto.com/parts/20200209/418025.shtml")</f>
        <v>http://www.12365auto.com/parts/20200209/418025.shtml</v>
      </c>
      <c r="G10607" s="2"/>
      <c r="H10607" s="2" t="s">
        <v>14106</v>
      </c>
      <c r="I10607" s="2" t="s">
        <v>15</v>
      </c>
      <c r="J10607" s="2" t="s">
        <v>12</v>
      </c>
      <c r="K10607" s="2" t="s">
        <v>14107</v>
      </c>
      <c r="L10607" s="2">
        <f t="shared" si="165"/>
        <v>150</v>
      </c>
    </row>
    <row r="10608" spans="1:12" ht="25" customHeight="1">
      <c r="A10608" s="2" t="s">
        <v>12</v>
      </c>
      <c r="B10608" s="2" t="str">
        <f>HYPERLINK("http://m.12365auto.com/parts/20200209/418025.shtml","理想ONE将于下一次OTA推送车载微信功能")</f>
        <v>理想ONE将于下一次OTA推送车载微信功能</v>
      </c>
      <c r="C10608" s="2" t="s">
        <v>13</v>
      </c>
      <c r="D10608" s="2" t="s">
        <v>12</v>
      </c>
      <c r="E10608" s="2"/>
      <c r="F10608" s="2" t="str">
        <f>HYPERLINK("http://m.12365auto.com/parts/20200209/418025.shtml","http://m.12365auto.com/parts/20200209/418025.shtml")</f>
        <v>http://m.12365auto.com/parts/20200209/418025.shtml</v>
      </c>
      <c r="G10608" s="2"/>
      <c r="H10608" s="2" t="s">
        <v>14108</v>
      </c>
      <c r="I10608" s="2" t="s">
        <v>19</v>
      </c>
      <c r="J10608" s="2" t="s">
        <v>330</v>
      </c>
      <c r="K10608" s="2" t="s">
        <v>14107</v>
      </c>
      <c r="L10608" s="2">
        <f t="shared" si="165"/>
        <v>150</v>
      </c>
    </row>
    <row r="10609" spans="1:12" ht="25" customHeight="1">
      <c r="A10609" s="2" t="s">
        <v>12</v>
      </c>
      <c r="B10609" s="2" t="str">
        <f>HYPERLINK("http://www.12365auto.com/news/20200209/418024.shtml","抗击疫情 北京延迟恢复尾号限行措施")</f>
        <v>抗击疫情 北京延迟恢复尾号限行措施</v>
      </c>
      <c r="C10609" s="2" t="s">
        <v>13</v>
      </c>
      <c r="D10609" s="2" t="s">
        <v>12</v>
      </c>
      <c r="E10609" s="2" t="s">
        <v>372</v>
      </c>
      <c r="F10609" s="2" t="str">
        <f>HYPERLINK("http://www.12365auto.com/news/20200209/418024.shtml","http://www.12365auto.com/news/20200209/418024.shtml")</f>
        <v>http://www.12365auto.com/news/20200209/418024.shtml</v>
      </c>
      <c r="G10609" s="2"/>
      <c r="H10609" s="2" t="s">
        <v>14109</v>
      </c>
      <c r="I10609" s="2" t="s">
        <v>15</v>
      </c>
      <c r="J10609" s="2" t="s">
        <v>12</v>
      </c>
      <c r="K10609" s="2" t="s">
        <v>14110</v>
      </c>
      <c r="L10609" s="2">
        <f t="shared" si="165"/>
        <v>150</v>
      </c>
    </row>
    <row r="10610" spans="1:12" ht="25" customHeight="1">
      <c r="A10610" s="2" t="s">
        <v>12</v>
      </c>
      <c r="B10610" s="2" t="str">
        <f>HYPERLINK("http://m.12365auto.com/news/20200209/418024.shtml","抗击疫情 北京延迟恢复尾号限行措施")</f>
        <v>抗击疫情 北京延迟恢复尾号限行措施</v>
      </c>
      <c r="C10610" s="2" t="s">
        <v>13</v>
      </c>
      <c r="D10610" s="2" t="s">
        <v>12</v>
      </c>
      <c r="E10610" s="2"/>
      <c r="F10610" s="2" t="str">
        <f>HYPERLINK("http://m.12365auto.com/news/20200209/418024.shtml","http://m.12365auto.com/news/20200209/418024.shtml")</f>
        <v>http://m.12365auto.com/news/20200209/418024.shtml</v>
      </c>
      <c r="G10610" s="2"/>
      <c r="H10610" s="2" t="s">
        <v>14111</v>
      </c>
      <c r="I10610" s="2" t="s">
        <v>19</v>
      </c>
      <c r="J10610" s="2" t="s">
        <v>2560</v>
      </c>
      <c r="K10610" s="2" t="s">
        <v>14110</v>
      </c>
      <c r="L10610" s="2">
        <f t="shared" si="165"/>
        <v>150</v>
      </c>
    </row>
    <row r="10611" spans="1:12" ht="25" customHeight="1">
      <c r="A10611" s="2" t="s">
        <v>12</v>
      </c>
      <c r="B10611" s="2" t="str">
        <f>HYPERLINK("http://m.12365auto.com/xcdg/20200209/418023.shtml","胜负只在毫厘间 捷途X70对比风光580Pro")</f>
        <v>胜负只在毫厘间 捷途X70对比风光580Pro</v>
      </c>
      <c r="C10611" s="2" t="s">
        <v>13</v>
      </c>
      <c r="D10611" s="2" t="s">
        <v>12</v>
      </c>
      <c r="E10611" s="2"/>
      <c r="F10611" s="2" t="str">
        <f>HYPERLINK("http://m.12365auto.com/xcdg/20200209/418023.shtml","http://m.12365auto.com/xcdg/20200209/418023.shtml")</f>
        <v>http://m.12365auto.com/xcdg/20200209/418023.shtml</v>
      </c>
      <c r="G10611" s="2"/>
      <c r="H10611" s="2" t="s">
        <v>14112</v>
      </c>
      <c r="I10611" s="2" t="s">
        <v>19</v>
      </c>
      <c r="J10611" s="2" t="s">
        <v>14113</v>
      </c>
      <c r="K10611" s="2" t="s">
        <v>14114</v>
      </c>
      <c r="L10611" s="2">
        <f t="shared" si="165"/>
        <v>150</v>
      </c>
    </row>
    <row r="10612" spans="1:12" ht="25" customHeight="1">
      <c r="A10612" s="2" t="s">
        <v>12</v>
      </c>
      <c r="B10612" s="2" t="str">
        <f>HYPERLINK("http://www.12365auto.com/parts/20200209/418022.shtml","JR-改装社：全新丰田RAV4改装案例")</f>
        <v>JR-改装社：全新丰田RAV4改装案例</v>
      </c>
      <c r="C10612" s="2" t="s">
        <v>13</v>
      </c>
      <c r="D10612" s="2" t="s">
        <v>12</v>
      </c>
      <c r="E10612" s="2" t="s">
        <v>240</v>
      </c>
      <c r="F10612" s="2" t="str">
        <f>HYPERLINK("http://www.12365auto.com/parts/20200209/418022.shtml","http://www.12365auto.com/parts/20200209/418022.shtml")</f>
        <v>http://www.12365auto.com/parts/20200209/418022.shtml</v>
      </c>
      <c r="G10612" s="2"/>
      <c r="H10612" s="2" t="s">
        <v>14115</v>
      </c>
      <c r="I10612" s="2" t="s">
        <v>15</v>
      </c>
      <c r="J10612" s="2" t="s">
        <v>12</v>
      </c>
      <c r="K10612" s="2" t="s">
        <v>14116</v>
      </c>
      <c r="L10612" s="2">
        <f t="shared" si="165"/>
        <v>98</v>
      </c>
    </row>
    <row r="10613" spans="1:12" ht="25" customHeight="1">
      <c r="A10613" s="2" t="s">
        <v>12</v>
      </c>
      <c r="B10613" s="2" t="str">
        <f>HYPERLINK("http://m.12365auto.com/parts/20200209/418022.shtml","JR-改装社：全新丰田RAV4改装案例")</f>
        <v>JR-改装社：全新丰田RAV4改装案例</v>
      </c>
      <c r="C10613" s="2" t="s">
        <v>13</v>
      </c>
      <c r="D10613" s="2" t="s">
        <v>12</v>
      </c>
      <c r="E10613" s="2"/>
      <c r="F10613" s="2" t="str">
        <f>HYPERLINK("http://m.12365auto.com/parts/20200209/418022.shtml","http://m.12365auto.com/parts/20200209/418022.shtml")</f>
        <v>http://m.12365auto.com/parts/20200209/418022.shtml</v>
      </c>
      <c r="G10613" s="2"/>
      <c r="H10613" s="2" t="s">
        <v>14117</v>
      </c>
      <c r="I10613" s="2" t="s">
        <v>19</v>
      </c>
      <c r="J10613" s="2" t="s">
        <v>14118</v>
      </c>
      <c r="K10613" s="2" t="s">
        <v>14116</v>
      </c>
      <c r="L10613" s="2">
        <f t="shared" si="165"/>
        <v>150</v>
      </c>
    </row>
    <row r="10614" spans="1:12" ht="25" customHeight="1">
      <c r="A10614" s="2" t="s">
        <v>12</v>
      </c>
      <c r="B10614" s="2" t="str">
        <f>HYPERLINK("http://m.12365auto.com/xcdg/20200209/418021.shtml","指导价不到29万 实拍入门级捷豹XEL")</f>
        <v>指导价不到29万 实拍入门级捷豹XEL</v>
      </c>
      <c r="C10614" s="2" t="s">
        <v>13</v>
      </c>
      <c r="D10614" s="2" t="s">
        <v>12</v>
      </c>
      <c r="E10614" s="2"/>
      <c r="F10614" s="2" t="str">
        <f>HYPERLINK("http://m.12365auto.com/xcdg/20200209/418021.shtml","http://m.12365auto.com/xcdg/20200209/418021.shtml")</f>
        <v>http://m.12365auto.com/xcdg/20200209/418021.shtml</v>
      </c>
      <c r="G10614" s="2"/>
      <c r="H10614" s="2" t="s">
        <v>14119</v>
      </c>
      <c r="I10614" s="2" t="s">
        <v>19</v>
      </c>
      <c r="J10614" s="2" t="s">
        <v>7637</v>
      </c>
      <c r="K10614" s="2" t="s">
        <v>14120</v>
      </c>
      <c r="L10614" s="2">
        <f t="shared" si="165"/>
        <v>150</v>
      </c>
    </row>
    <row r="10615" spans="1:12" ht="25" customHeight="1">
      <c r="A10615" s="2" t="s">
        <v>12</v>
      </c>
      <c r="B10615" s="2" t="str">
        <f>HYPERLINK("http://m.12365auto.com/zjdy/20200209/121119.shtml","朗逸蔚领雷凌轩逸骐达明锐购买哪一款？")</f>
        <v>朗逸蔚领雷凌轩逸骐达明锐购买哪一款？</v>
      </c>
      <c r="C10615" s="2" t="s">
        <v>13</v>
      </c>
      <c r="D10615" s="2" t="s">
        <v>12</v>
      </c>
      <c r="E10615" s="2"/>
      <c r="F10615" s="2" t="str">
        <f>HYPERLINK("http://m.12365auto.com/zjdy/20200209/121119.shtml","http://m.12365auto.com/zjdy/20200209/121119.shtml")</f>
        <v>http://m.12365auto.com/zjdy/20200209/121119.shtml</v>
      </c>
      <c r="G10615" s="2"/>
      <c r="H10615" s="2" t="s">
        <v>14121</v>
      </c>
      <c r="I10615" s="2" t="s">
        <v>19</v>
      </c>
      <c r="J10615" s="2" t="s">
        <v>12</v>
      </c>
      <c r="K10615" s="2" t="s">
        <v>14122</v>
      </c>
      <c r="L10615" s="2">
        <f t="shared" si="165"/>
        <v>29</v>
      </c>
    </row>
    <row r="10616" spans="1:12" ht="25" customHeight="1">
      <c r="A10616" s="2" t="s">
        <v>12</v>
      </c>
      <c r="B10616" s="2" t="str">
        <f>HYPERLINK("http://m.12365auto.com/news/20200209/418020.shtml","福特人事调整 韩瑞麒退休新COO将上任")</f>
        <v>福特人事调整 韩瑞麒退休新COO将上任</v>
      </c>
      <c r="C10616" s="2" t="s">
        <v>13</v>
      </c>
      <c r="D10616" s="2" t="s">
        <v>12</v>
      </c>
      <c r="E10616" s="2"/>
      <c r="F10616" s="2" t="str">
        <f>HYPERLINK("http://m.12365auto.com/news/20200209/418020.shtml","http://m.12365auto.com/news/20200209/418020.shtml")</f>
        <v>http://m.12365auto.com/news/20200209/418020.shtml</v>
      </c>
      <c r="G10616" s="2"/>
      <c r="H10616" s="2" t="s">
        <v>14123</v>
      </c>
      <c r="I10616" s="2" t="s">
        <v>19</v>
      </c>
      <c r="J10616" s="2" t="s">
        <v>274</v>
      </c>
      <c r="K10616" s="2" t="s">
        <v>14124</v>
      </c>
      <c r="L10616" s="2">
        <f t="shared" si="165"/>
        <v>150</v>
      </c>
    </row>
    <row r="10617" spans="1:12" ht="25" customHeight="1">
      <c r="A10617" s="2" t="s">
        <v>12</v>
      </c>
      <c r="B10617" s="2" t="str">
        <f>HYPERLINK("http://www.12365auto.com/news/20200209/418020.shtml","福特人事调整 韩瑞麒退休新COO将上任")</f>
        <v>福特人事调整 韩瑞麒退休新COO将上任</v>
      </c>
      <c r="C10617" s="2" t="s">
        <v>13</v>
      </c>
      <c r="D10617" s="2" t="s">
        <v>12</v>
      </c>
      <c r="E10617" s="2" t="s">
        <v>276</v>
      </c>
      <c r="F10617" s="2" t="str">
        <f>HYPERLINK("http://www.12365auto.com/news/20200209/418020.shtml","http://www.12365auto.com/news/20200209/418020.shtml")</f>
        <v>http://www.12365auto.com/news/20200209/418020.shtml</v>
      </c>
      <c r="G10617" s="2"/>
      <c r="H10617" s="2" t="s">
        <v>14125</v>
      </c>
      <c r="I10617" s="2" t="s">
        <v>15</v>
      </c>
      <c r="J10617" s="2" t="s">
        <v>12</v>
      </c>
      <c r="K10617" s="2" t="s">
        <v>14124</v>
      </c>
      <c r="L10617" s="2">
        <f t="shared" si="165"/>
        <v>150</v>
      </c>
    </row>
    <row r="10618" spans="1:12" ht="25" customHeight="1">
      <c r="A10618" s="2" t="s">
        <v>12</v>
      </c>
      <c r="B10618" s="2" t="str">
        <f>HYPERLINK("http://www.12365auto.com/xcdg/20200209/418019.shtml","丰田或将推出全新微型纯电动代步车")</f>
        <v>丰田或将推出全新微型纯电动代步车</v>
      </c>
      <c r="C10618" s="2" t="s">
        <v>13</v>
      </c>
      <c r="D10618" s="2" t="s">
        <v>12</v>
      </c>
      <c r="E10618" s="2" t="s">
        <v>216</v>
      </c>
      <c r="F10618" s="2" t="str">
        <f>HYPERLINK("http://www.12365auto.com/xcdg/20200209/418019.shtml","http://www.12365auto.com/xcdg/20200209/418019.shtml")</f>
        <v>http://www.12365auto.com/xcdg/20200209/418019.shtml</v>
      </c>
      <c r="G10618" s="2"/>
      <c r="H10618" s="2" t="s">
        <v>14126</v>
      </c>
      <c r="I10618" s="2" t="s">
        <v>15</v>
      </c>
      <c r="J10618" s="2" t="s">
        <v>12</v>
      </c>
      <c r="K10618" s="2" t="s">
        <v>14127</v>
      </c>
      <c r="L10618" s="2">
        <f t="shared" si="165"/>
        <v>150</v>
      </c>
    </row>
    <row r="10619" spans="1:12" ht="25" customHeight="1">
      <c r="A10619" s="2" t="s">
        <v>12</v>
      </c>
      <c r="B10619" s="2" t="str">
        <f>HYPERLINK("http://m.12365auto.com/xcdg/20200209/418019.shtml","丰田或将推出全新微型纯电动代步车")</f>
        <v>丰田或将推出全新微型纯电动代步车</v>
      </c>
      <c r="C10619" s="2" t="s">
        <v>13</v>
      </c>
      <c r="D10619" s="2" t="s">
        <v>12</v>
      </c>
      <c r="E10619" s="2"/>
      <c r="F10619" s="2" t="str">
        <f>HYPERLINK("http://m.12365auto.com/xcdg/20200209/418019.shtml","http://m.12365auto.com/xcdg/20200209/418019.shtml")</f>
        <v>http://m.12365auto.com/xcdg/20200209/418019.shtml</v>
      </c>
      <c r="G10619" s="2"/>
      <c r="H10619" s="2" t="s">
        <v>14128</v>
      </c>
      <c r="I10619" s="2" t="s">
        <v>19</v>
      </c>
      <c r="J10619" s="2" t="s">
        <v>332</v>
      </c>
      <c r="K10619" s="2" t="s">
        <v>14127</v>
      </c>
      <c r="L10619" s="2">
        <f t="shared" si="165"/>
        <v>150</v>
      </c>
    </row>
    <row r="10620" spans="1:12" ht="25" customHeight="1">
      <c r="A10620" s="2" t="s">
        <v>12</v>
      </c>
      <c r="B10620" s="2" t="str">
        <f>HYPERLINK("http://m.12365auto.com/zjdy/20200209/121118.shtml","吉利远景变速箱故障4S店不保修怎么办？")</f>
        <v>吉利远景变速箱故障4S店不保修怎么办？</v>
      </c>
      <c r="C10620" s="2" t="s">
        <v>13</v>
      </c>
      <c r="D10620" s="2" t="s">
        <v>12</v>
      </c>
      <c r="E10620" s="2"/>
      <c r="F10620" s="2" t="str">
        <f>HYPERLINK("http://m.12365auto.com/zjdy/20200209/121118.shtml","http://m.12365auto.com/zjdy/20200209/121118.shtml")</f>
        <v>http://m.12365auto.com/zjdy/20200209/121118.shtml</v>
      </c>
      <c r="G10620" s="2"/>
      <c r="H10620" s="2" t="s">
        <v>14129</v>
      </c>
      <c r="I10620" s="2" t="s">
        <v>19</v>
      </c>
      <c r="J10620" s="2" t="s">
        <v>12</v>
      </c>
      <c r="K10620" s="2" t="s">
        <v>14130</v>
      </c>
      <c r="L10620" s="2">
        <f t="shared" si="165"/>
        <v>55</v>
      </c>
    </row>
    <row r="10621" spans="1:12" ht="25" customHeight="1">
      <c r="A10621" s="2" t="s">
        <v>12</v>
      </c>
      <c r="B10621" s="2" t="str">
        <f>HYPERLINK("http://www.12365auto.com/xcdg/20200209/418018.shtml","跨界SUV 丰田Tj Cruiser量产版5月发布")</f>
        <v>跨界SUV 丰田Tj Cruiser量产版5月发布</v>
      </c>
      <c r="C10621" s="2" t="s">
        <v>13</v>
      </c>
      <c r="D10621" s="2" t="s">
        <v>12</v>
      </c>
      <c r="E10621" s="2" t="s">
        <v>216</v>
      </c>
      <c r="F10621" s="2" t="str">
        <f>HYPERLINK("http://www.12365auto.com/xcdg/20200209/418018.shtml","http://www.12365auto.com/xcdg/20200209/418018.shtml")</f>
        <v>http://www.12365auto.com/xcdg/20200209/418018.shtml</v>
      </c>
      <c r="G10621" s="2"/>
      <c r="H10621" s="2" t="s">
        <v>14131</v>
      </c>
      <c r="I10621" s="2" t="s">
        <v>15</v>
      </c>
      <c r="J10621" s="2" t="s">
        <v>12</v>
      </c>
      <c r="K10621" s="2" t="s">
        <v>14132</v>
      </c>
      <c r="L10621" s="2">
        <f t="shared" si="165"/>
        <v>150</v>
      </c>
    </row>
    <row r="10622" spans="1:12" ht="25" customHeight="1">
      <c r="A10622" s="2" t="s">
        <v>12</v>
      </c>
      <c r="B10622" s="2" t="str">
        <f>HYPERLINK("http://m.12365auto.com/xcdg/20200209/418018.shtml","跨界SUV 丰田Tj Cruiser量产版5月发布")</f>
        <v>跨界SUV 丰田Tj Cruiser量产版5月发布</v>
      </c>
      <c r="C10622" s="2" t="s">
        <v>13</v>
      </c>
      <c r="D10622" s="2" t="s">
        <v>12</v>
      </c>
      <c r="E10622" s="2"/>
      <c r="F10622" s="2" t="str">
        <f>HYPERLINK("http://m.12365auto.com/xcdg/20200209/418018.shtml","http://m.12365auto.com/xcdg/20200209/418018.shtml")</f>
        <v>http://m.12365auto.com/xcdg/20200209/418018.shtml</v>
      </c>
      <c r="G10622" s="2"/>
      <c r="H10622" s="2" t="s">
        <v>14133</v>
      </c>
      <c r="I10622" s="2" t="s">
        <v>19</v>
      </c>
      <c r="J10622" s="2" t="s">
        <v>2560</v>
      </c>
      <c r="K10622" s="2" t="s">
        <v>14132</v>
      </c>
      <c r="L10622" s="2">
        <f t="shared" si="165"/>
        <v>150</v>
      </c>
    </row>
    <row r="10623" spans="1:12" ht="25" customHeight="1">
      <c r="A10623" s="2" t="s">
        <v>12</v>
      </c>
      <c r="B10623" s="2" t="str">
        <f>HYPERLINK("http://m.12365auto.com/zjdy/20200209/121117.shtml","路虎发现4后视镜无法下翻应该怎么处理？")</f>
        <v>路虎发现4后视镜无法下翻应该怎么处理？</v>
      </c>
      <c r="C10623" s="2" t="s">
        <v>13</v>
      </c>
      <c r="D10623" s="2" t="s">
        <v>12</v>
      </c>
      <c r="E10623" s="2"/>
      <c r="F10623" s="2" t="str">
        <f>HYPERLINK("http://m.12365auto.com/zjdy/20200209/121117.shtml","http://m.12365auto.com/zjdy/20200209/121117.shtml")</f>
        <v>http://m.12365auto.com/zjdy/20200209/121117.shtml</v>
      </c>
      <c r="G10623" s="2"/>
      <c r="H10623" s="2" t="s">
        <v>14134</v>
      </c>
      <c r="I10623" s="2" t="s">
        <v>19</v>
      </c>
      <c r="J10623" s="2" t="s">
        <v>12</v>
      </c>
      <c r="K10623" s="2" t="s">
        <v>14135</v>
      </c>
      <c r="L10623" s="2">
        <f t="shared" si="165"/>
        <v>36</v>
      </c>
    </row>
    <row r="10624" spans="1:12" ht="25" customHeight="1">
      <c r="A10624" s="2" t="s">
        <v>12</v>
      </c>
      <c r="B10624" s="2" t="str">
        <f>HYPERLINK("http://m.12365auto.com/parts/20200209/418017.shtml","不易发现的科技!聊领克01背后的ESP变革")</f>
        <v>不易发现的科技!聊领克01背后的ESP变革</v>
      </c>
      <c r="C10624" s="2" t="s">
        <v>13</v>
      </c>
      <c r="D10624" s="2" t="s">
        <v>12</v>
      </c>
      <c r="E10624" s="2"/>
      <c r="F10624" s="2" t="str">
        <f>HYPERLINK("http://m.12365auto.com/parts/20200209/418017.shtml","http://m.12365auto.com/parts/20200209/418017.shtml")</f>
        <v>http://m.12365auto.com/parts/20200209/418017.shtml</v>
      </c>
      <c r="G10624" s="2"/>
      <c r="H10624" s="2" t="s">
        <v>14136</v>
      </c>
      <c r="I10624" s="2" t="s">
        <v>19</v>
      </c>
      <c r="J10624" s="2" t="s">
        <v>1746</v>
      </c>
      <c r="K10624" s="2" t="s">
        <v>14137</v>
      </c>
      <c r="L10624" s="2">
        <f t="shared" si="165"/>
        <v>150</v>
      </c>
    </row>
    <row r="10625" spans="1:12" ht="25" customHeight="1">
      <c r="A10625" s="2" t="s">
        <v>12</v>
      </c>
      <c r="B10625" s="2" t="str">
        <f>HYPERLINK("http://www.12365auto.com/parts/20200209/418017.shtml","不易发现的科技!聊领克01背后的ESP变革")</f>
        <v>不易发现的科技!聊领克01背后的ESP变革</v>
      </c>
      <c r="C10625" s="2" t="s">
        <v>13</v>
      </c>
      <c r="D10625" s="2" t="s">
        <v>12</v>
      </c>
      <c r="E10625" s="2" t="s">
        <v>240</v>
      </c>
      <c r="F10625" s="2" t="str">
        <f>HYPERLINK("http://www.12365auto.com/parts/20200209/418017.shtml","http://www.12365auto.com/parts/20200209/418017.shtml")</f>
        <v>http://www.12365auto.com/parts/20200209/418017.shtml</v>
      </c>
      <c r="G10625" s="2"/>
      <c r="H10625" s="2" t="s">
        <v>14138</v>
      </c>
      <c r="I10625" s="2" t="s">
        <v>15</v>
      </c>
      <c r="J10625" s="2" t="s">
        <v>12</v>
      </c>
      <c r="K10625" s="2" t="s">
        <v>14137</v>
      </c>
      <c r="L10625" s="2">
        <f t="shared" si="165"/>
        <v>150</v>
      </c>
    </row>
    <row r="10626" spans="1:12" ht="25" customHeight="1">
      <c r="A10626" s="2" t="s">
        <v>12</v>
      </c>
      <c r="B10626" s="2" t="str">
        <f>HYPERLINK("http://m.12365auto.com/zjdy/20200208/121115.shtml","途胜发动机怠速运转时抖动是什么原因？")</f>
        <v>途胜发动机怠速运转时抖动是什么原因？</v>
      </c>
      <c r="C10626" s="2" t="s">
        <v>13</v>
      </c>
      <c r="D10626" s="2" t="s">
        <v>12</v>
      </c>
      <c r="E10626" s="2"/>
      <c r="F10626" s="2" t="str">
        <f>HYPERLINK("http://m.12365auto.com/zjdy/20200208/121115.shtml","http://m.12365auto.com/zjdy/20200208/121115.shtml")</f>
        <v>http://m.12365auto.com/zjdy/20200208/121115.shtml</v>
      </c>
      <c r="G10626" s="2"/>
      <c r="H10626" s="2" t="s">
        <v>14139</v>
      </c>
      <c r="I10626" s="2" t="s">
        <v>19</v>
      </c>
      <c r="J10626" s="2" t="s">
        <v>12</v>
      </c>
      <c r="K10626" s="2" t="s">
        <v>14140</v>
      </c>
      <c r="L10626" s="2">
        <f t="shared" si="165"/>
        <v>63</v>
      </c>
    </row>
    <row r="10627" spans="1:12" ht="25" customHeight="1">
      <c r="A10627" s="2" t="s">
        <v>12</v>
      </c>
      <c r="B10627" s="2" t="str">
        <f>HYPERLINK("http://m.12365auto.com/zjdy/20200208/121114.shtml","丰田致炫与奔腾T33这两款车选择哪一款？")</f>
        <v>丰田致炫与奔腾T33这两款车选择哪一款？</v>
      </c>
      <c r="C10627" s="2" t="s">
        <v>13</v>
      </c>
      <c r="D10627" s="2" t="s">
        <v>12</v>
      </c>
      <c r="E10627" s="2"/>
      <c r="F10627" s="2" t="str">
        <f>HYPERLINK("http://m.12365auto.com/zjdy/20200208/121114.shtml","http://m.12365auto.com/zjdy/20200208/121114.shtml")</f>
        <v>http://m.12365auto.com/zjdy/20200208/121114.shtml</v>
      </c>
      <c r="G10627" s="2"/>
      <c r="H10627" s="2" t="s">
        <v>14141</v>
      </c>
      <c r="I10627" s="2" t="s">
        <v>19</v>
      </c>
      <c r="J10627" s="2" t="s">
        <v>12</v>
      </c>
      <c r="K10627" s="2" t="s">
        <v>14140</v>
      </c>
      <c r="L10627" s="2">
        <f t="shared" ref="L10627:L10690" si="166">LEN(H10627)</f>
        <v>32</v>
      </c>
    </row>
    <row r="10628" spans="1:12" ht="25" customHeight="1">
      <c r="A10628" s="2" t="s">
        <v>12</v>
      </c>
      <c r="B10628" s="2" t="str">
        <f>HYPERLINK("http://www.12365auto.com/news/20200209/418016.shtml","六大关卡感受变革 讴歌推Beat That手游")</f>
        <v>六大关卡感受变革 讴歌推Beat That手游</v>
      </c>
      <c r="C10628" s="2" t="s">
        <v>13</v>
      </c>
      <c r="D10628" s="2" t="s">
        <v>12</v>
      </c>
      <c r="E10628" s="2" t="s">
        <v>276</v>
      </c>
      <c r="F10628" s="2" t="str">
        <f>HYPERLINK("http://www.12365auto.com/news/20200209/418016.shtml","http://www.12365auto.com/news/20200209/418016.shtml")</f>
        <v>http://www.12365auto.com/news/20200209/418016.shtml</v>
      </c>
      <c r="G10628" s="2"/>
      <c r="H10628" s="2" t="s">
        <v>14142</v>
      </c>
      <c r="I10628" s="2" t="s">
        <v>15</v>
      </c>
      <c r="J10628" s="2" t="s">
        <v>12</v>
      </c>
      <c r="K10628" s="2" t="s">
        <v>14143</v>
      </c>
      <c r="L10628" s="2">
        <f t="shared" si="166"/>
        <v>150</v>
      </c>
    </row>
    <row r="10629" spans="1:12" ht="25" customHeight="1">
      <c r="A10629" s="2" t="s">
        <v>12</v>
      </c>
      <c r="B10629" s="2" t="str">
        <f>HYPERLINK("http://m.12365auto.com/news/20200209/418016.shtml","六大关卡感受变革 讴歌推Beat That手游")</f>
        <v>六大关卡感受变革 讴歌推Beat That手游</v>
      </c>
      <c r="C10629" s="2" t="s">
        <v>13</v>
      </c>
      <c r="D10629" s="2" t="s">
        <v>12</v>
      </c>
      <c r="E10629" s="2"/>
      <c r="F10629" s="2" t="str">
        <f>HYPERLINK("http://m.12365auto.com/news/20200209/418016.shtml","http://m.12365auto.com/news/20200209/418016.shtml")</f>
        <v>http://m.12365auto.com/news/20200209/418016.shtml</v>
      </c>
      <c r="G10629" s="2"/>
      <c r="H10629" s="2" t="s">
        <v>14144</v>
      </c>
      <c r="I10629" s="2" t="s">
        <v>19</v>
      </c>
      <c r="J10629" s="2" t="s">
        <v>14145</v>
      </c>
      <c r="K10629" s="2" t="s">
        <v>14143</v>
      </c>
      <c r="L10629" s="2">
        <f t="shared" si="166"/>
        <v>150</v>
      </c>
    </row>
    <row r="10630" spans="1:12" ht="25" customHeight="1">
      <c r="A10630" s="2" t="s">
        <v>12</v>
      </c>
      <c r="B10630" s="2" t="str">
        <f>HYPERLINK("http://m.12365auto.com/xcdg/20200209/418015.shtml","Amazing 32年前的兰博基尼MPV概念车")</f>
        <v>Amazing 32年前的兰博基尼MPV概念车</v>
      </c>
      <c r="C10630" s="2" t="s">
        <v>13</v>
      </c>
      <c r="D10630" s="2" t="s">
        <v>12</v>
      </c>
      <c r="E10630" s="2"/>
      <c r="F10630" s="2" t="str">
        <f>HYPERLINK("http://m.12365auto.com/xcdg/20200209/418015.shtml","http://m.12365auto.com/xcdg/20200209/418015.shtml")</f>
        <v>http://m.12365auto.com/xcdg/20200209/418015.shtml</v>
      </c>
      <c r="G10630" s="2"/>
      <c r="H10630" s="2" t="s">
        <v>14146</v>
      </c>
      <c r="I10630" s="2" t="s">
        <v>19</v>
      </c>
      <c r="J10630" s="2" t="s">
        <v>10018</v>
      </c>
      <c r="K10630" s="2" t="s">
        <v>14147</v>
      </c>
      <c r="L10630" s="2">
        <f t="shared" si="166"/>
        <v>150</v>
      </c>
    </row>
    <row r="10631" spans="1:12" ht="25" customHeight="1">
      <c r="A10631" s="2" t="s">
        <v>12</v>
      </c>
      <c r="B10631" s="2" t="str">
        <f>HYPERLINK("http://www.12365auto.com/xcdg/20200209/418015.shtml","Amazing 32年前的兰博基尼MPV概念车")</f>
        <v>Amazing 32年前的兰博基尼MPV概念车</v>
      </c>
      <c r="C10631" s="2" t="s">
        <v>13</v>
      </c>
      <c r="D10631" s="2" t="s">
        <v>12</v>
      </c>
      <c r="E10631" s="2" t="s">
        <v>216</v>
      </c>
      <c r="F10631" s="2" t="str">
        <f>HYPERLINK("http://www.12365auto.com/xcdg/20200209/418015.shtml","http://www.12365auto.com/xcdg/20200209/418015.shtml")</f>
        <v>http://www.12365auto.com/xcdg/20200209/418015.shtml</v>
      </c>
      <c r="G10631" s="2"/>
      <c r="H10631" s="2" t="s">
        <v>14148</v>
      </c>
      <c r="I10631" s="2" t="s">
        <v>15</v>
      </c>
      <c r="J10631" s="2" t="s">
        <v>12</v>
      </c>
      <c r="K10631" s="2" t="s">
        <v>14147</v>
      </c>
      <c r="L10631" s="2">
        <f t="shared" si="166"/>
        <v>150</v>
      </c>
    </row>
    <row r="10632" spans="1:12" ht="25" customHeight="1">
      <c r="A10632" s="2" t="s">
        <v>12</v>
      </c>
      <c r="B10632" s="2" t="str">
        <f>HYPERLINK("http://m.12365auto.com/zjdy/20200208/121113.shtml","发动机的积碳应该多长时间清理一次？")</f>
        <v>发动机的积碳应该多长时间清理一次？</v>
      </c>
      <c r="C10632" s="2" t="s">
        <v>13</v>
      </c>
      <c r="D10632" s="2" t="s">
        <v>12</v>
      </c>
      <c r="E10632" s="2"/>
      <c r="F10632" s="2" t="str">
        <f>HYPERLINK("http://m.12365auto.com/zjdy/20200208/121113.shtml","http://m.12365auto.com/zjdy/20200208/121113.shtml")</f>
        <v>http://m.12365auto.com/zjdy/20200208/121113.shtml</v>
      </c>
      <c r="G10632" s="2"/>
      <c r="H10632" s="2" t="s">
        <v>14149</v>
      </c>
      <c r="I10632" s="2" t="s">
        <v>19</v>
      </c>
      <c r="J10632" s="2" t="s">
        <v>12</v>
      </c>
      <c r="K10632" s="2" t="s">
        <v>14150</v>
      </c>
      <c r="L10632" s="2">
        <f t="shared" si="166"/>
        <v>21</v>
      </c>
    </row>
    <row r="10633" spans="1:12" ht="25" customHeight="1">
      <c r="A10633" s="2" t="s">
        <v>12</v>
      </c>
      <c r="B10633" s="2" t="str">
        <f>HYPERLINK("http://m.12365auto.com/zjdy/20200208/121112.shtml","东风风神AX4启动时有异响是哪里的问题？")</f>
        <v>东风风神AX4启动时有异响是哪里的问题？</v>
      </c>
      <c r="C10633" s="2" t="s">
        <v>13</v>
      </c>
      <c r="D10633" s="2" t="s">
        <v>12</v>
      </c>
      <c r="E10633" s="2"/>
      <c r="F10633" s="2" t="str">
        <f>HYPERLINK("http://m.12365auto.com/zjdy/20200208/121112.shtml","http://m.12365auto.com/zjdy/20200208/121112.shtml")</f>
        <v>http://m.12365auto.com/zjdy/20200208/121112.shtml</v>
      </c>
      <c r="G10633" s="2"/>
      <c r="H10633" s="2" t="s">
        <v>14151</v>
      </c>
      <c r="I10633" s="2" t="s">
        <v>19</v>
      </c>
      <c r="J10633" s="2" t="s">
        <v>12</v>
      </c>
      <c r="K10633" s="2" t="s">
        <v>14152</v>
      </c>
      <c r="L10633" s="2">
        <f t="shared" si="166"/>
        <v>30</v>
      </c>
    </row>
    <row r="10634" spans="1:12" ht="25" customHeight="1">
      <c r="A10634" s="2" t="s">
        <v>12</v>
      </c>
      <c r="B10634" s="2" t="str">
        <f>HYPERLINK("http://m.12365auto.com/zjdy/20200208/121111.shtml","东风风行景逸X6一键启动失灵是什么原因？")</f>
        <v>东风风行景逸X6一键启动失灵是什么原因？</v>
      </c>
      <c r="C10634" s="2" t="s">
        <v>13</v>
      </c>
      <c r="D10634" s="2" t="s">
        <v>12</v>
      </c>
      <c r="E10634" s="2"/>
      <c r="F10634" s="2" t="str">
        <f>HYPERLINK("http://m.12365auto.com/zjdy/20200208/121111.shtml","http://m.12365auto.com/zjdy/20200208/121111.shtml")</f>
        <v>http://m.12365auto.com/zjdy/20200208/121111.shtml</v>
      </c>
      <c r="G10634" s="2"/>
      <c r="H10634" s="2" t="s">
        <v>14153</v>
      </c>
      <c r="I10634" s="2" t="s">
        <v>19</v>
      </c>
      <c r="J10634" s="2" t="s">
        <v>12</v>
      </c>
      <c r="K10634" s="2" t="s">
        <v>14154</v>
      </c>
      <c r="L10634" s="2">
        <f t="shared" si="166"/>
        <v>92</v>
      </c>
    </row>
    <row r="10635" spans="1:12" ht="25" customHeight="1">
      <c r="A10635" s="2" t="s">
        <v>12</v>
      </c>
      <c r="B10635" s="2" t="str">
        <f>HYPERLINK("http://www.12365auto.com/zlts/20200209/446663.shtml","加速滋滋响,噪声大")</f>
        <v>加速滋滋响,噪声大</v>
      </c>
      <c r="C10635" s="2" t="s">
        <v>13</v>
      </c>
      <c r="D10635" s="2" t="s">
        <v>12</v>
      </c>
      <c r="E10635" s="2"/>
      <c r="F10635" s="2" t="str">
        <f>HYPERLINK("http://www.12365auto.com/zlts/20200209/446663.shtml","http://www.12365auto.com/zlts/20200209/446663.shtml")</f>
        <v>http://www.12365auto.com/zlts/20200209/446663.shtml</v>
      </c>
      <c r="G10635" s="2"/>
      <c r="H10635" s="2" t="s">
        <v>14156</v>
      </c>
      <c r="I10635" s="2" t="s">
        <v>15</v>
      </c>
      <c r="J10635" s="2" t="s">
        <v>12</v>
      </c>
      <c r="K10635" s="2" t="s">
        <v>14155</v>
      </c>
      <c r="L10635" s="2">
        <f t="shared" si="166"/>
        <v>82</v>
      </c>
    </row>
    <row r="10636" spans="1:12" ht="25" customHeight="1">
      <c r="A10636" s="2" t="s">
        <v>12</v>
      </c>
      <c r="B10636" s="2" t="str">
        <f>HYPERLINK("http://www.12365auto.com/zlts/20200209/446662.shtml","宝骏730质量问题")</f>
        <v>宝骏730质量问题</v>
      </c>
      <c r="C10636" s="2" t="s">
        <v>13</v>
      </c>
      <c r="D10636" s="2" t="s">
        <v>12</v>
      </c>
      <c r="E10636" s="2"/>
      <c r="F10636" s="2" t="str">
        <f>HYPERLINK("http://www.12365auto.com/zlts/20200209/446662.shtml","http://www.12365auto.com/zlts/20200209/446662.shtml")</f>
        <v>http://www.12365auto.com/zlts/20200209/446662.shtml</v>
      </c>
      <c r="G10636" s="2"/>
      <c r="H10636" s="2" t="s">
        <v>14158</v>
      </c>
      <c r="I10636" s="2" t="s">
        <v>15</v>
      </c>
      <c r="J10636" s="2" t="s">
        <v>12</v>
      </c>
      <c r="K10636" s="2" t="s">
        <v>14157</v>
      </c>
      <c r="L10636" s="2">
        <f t="shared" si="166"/>
        <v>91</v>
      </c>
    </row>
    <row r="10637" spans="1:12" ht="25" customHeight="1">
      <c r="A10637" s="2" t="s">
        <v>12</v>
      </c>
      <c r="B10637" s="2" t="str">
        <f>HYPERLINK("http://m.12365auto.com/zjdy/20200208/121110.shtml","发动机无法启动车门无法上锁怎么处理？")</f>
        <v>发动机无法启动车门无法上锁怎么处理？</v>
      </c>
      <c r="C10637" s="2" t="s">
        <v>13</v>
      </c>
      <c r="D10637" s="2" t="s">
        <v>12</v>
      </c>
      <c r="E10637" s="2"/>
      <c r="F10637" s="2" t="str">
        <f>HYPERLINK("http://m.12365auto.com/zjdy/20200208/121110.shtml","http://m.12365auto.com/zjdy/20200208/121110.shtml")</f>
        <v>http://m.12365auto.com/zjdy/20200208/121110.shtml</v>
      </c>
      <c r="G10637" s="2"/>
      <c r="H10637" s="2" t="s">
        <v>14159</v>
      </c>
      <c r="I10637" s="2" t="s">
        <v>19</v>
      </c>
      <c r="J10637" s="2" t="s">
        <v>12</v>
      </c>
      <c r="K10637" s="2" t="s">
        <v>14160</v>
      </c>
      <c r="L10637" s="2">
        <f t="shared" si="166"/>
        <v>150</v>
      </c>
    </row>
    <row r="10638" spans="1:12" ht="25" customHeight="1">
      <c r="A10638" s="2" t="s">
        <v>12</v>
      </c>
      <c r="B10638" s="2" t="str">
        <f>HYPERLINK("http://m.12365auto.com/zjdy/20200208/121109.shtml","日产奇骏变速箱阀体故障应该怎么办？")</f>
        <v>日产奇骏变速箱阀体故障应该怎么办？</v>
      </c>
      <c r="C10638" s="2" t="s">
        <v>13</v>
      </c>
      <c r="D10638" s="2" t="s">
        <v>12</v>
      </c>
      <c r="E10638" s="2"/>
      <c r="F10638" s="2" t="str">
        <f>HYPERLINK("http://m.12365auto.com/zjdy/20200208/121109.shtml","http://m.12365auto.com/zjdy/20200208/121109.shtml")</f>
        <v>http://m.12365auto.com/zjdy/20200208/121109.shtml</v>
      </c>
      <c r="G10638" s="2"/>
      <c r="H10638" s="2" t="s">
        <v>14161</v>
      </c>
      <c r="I10638" s="2" t="s">
        <v>19</v>
      </c>
      <c r="J10638" s="2" t="s">
        <v>12</v>
      </c>
      <c r="K10638" s="2" t="s">
        <v>14162</v>
      </c>
      <c r="L10638" s="2">
        <f t="shared" si="166"/>
        <v>24</v>
      </c>
    </row>
    <row r="10639" spans="1:12" ht="25" customHeight="1">
      <c r="A10639" s="2" t="s">
        <v>12</v>
      </c>
      <c r="B10639" s="2" t="str">
        <f>HYPERLINK("http://www.12365auto.com/scbg/20200209/418014.shtml","2019款保时捷Cayenne Coupe新车商品性评价")</f>
        <v>2019款保时捷Cayenne Coupe新车商品性评价</v>
      </c>
      <c r="C10639" s="2" t="s">
        <v>13</v>
      </c>
      <c r="D10639" s="2" t="s">
        <v>12</v>
      </c>
      <c r="E10639" s="2" t="s">
        <v>1548</v>
      </c>
      <c r="F10639" s="2" t="str">
        <f>HYPERLINK("http://www.12365auto.com/scbg/20200209/418014.shtml","http://www.12365auto.com/scbg/20200209/418014.shtml")</f>
        <v>http://www.12365auto.com/scbg/20200209/418014.shtml</v>
      </c>
      <c r="G10639" s="2"/>
      <c r="H10639" s="2" t="s">
        <v>8848</v>
      </c>
      <c r="I10639" s="2" t="s">
        <v>15</v>
      </c>
      <c r="J10639" s="2" t="s">
        <v>12</v>
      </c>
      <c r="K10639" s="2" t="s">
        <v>14163</v>
      </c>
      <c r="L10639" s="2">
        <f t="shared" si="166"/>
        <v>150</v>
      </c>
    </row>
    <row r="10640" spans="1:12" ht="25" customHeight="1">
      <c r="A10640" s="2" t="s">
        <v>12</v>
      </c>
      <c r="B10640" s="2" t="str">
        <f>HYPERLINK("http://m.12365auto.com/scbg/20200209/418014.shtml","2019款保时捷Cayenne Coupe新车商品性评价")</f>
        <v>2019款保时捷Cayenne Coupe新车商品性评价</v>
      </c>
      <c r="C10640" s="2" t="s">
        <v>13</v>
      </c>
      <c r="D10640" s="2" t="s">
        <v>12</v>
      </c>
      <c r="E10640" s="2"/>
      <c r="F10640" s="2" t="str">
        <f>HYPERLINK("http://m.12365auto.com/scbg/20200209/418014.shtml","http://m.12365auto.com/scbg/20200209/418014.shtml")</f>
        <v>http://m.12365auto.com/scbg/20200209/418014.shtml</v>
      </c>
      <c r="G10640" s="2"/>
      <c r="H10640" s="2" t="s">
        <v>8850</v>
      </c>
      <c r="I10640" s="2" t="s">
        <v>19</v>
      </c>
      <c r="J10640" s="2" t="s">
        <v>1305</v>
      </c>
      <c r="K10640" s="2" t="s">
        <v>14163</v>
      </c>
      <c r="L10640" s="2">
        <f t="shared" si="166"/>
        <v>150</v>
      </c>
    </row>
    <row r="10641" spans="1:12" ht="25" customHeight="1">
      <c r="A10641" s="2" t="s">
        <v>12</v>
      </c>
      <c r="B10641" s="2" t="str">
        <f>HYPERLINK("http://www.12365auto.com/zlts/20200209/446661.shtml","跑120。。转速3000多。。不换挡")</f>
        <v>跑120。。转速3000多。。不换挡</v>
      </c>
      <c r="C10641" s="2" t="s">
        <v>13</v>
      </c>
      <c r="D10641" s="2" t="s">
        <v>12</v>
      </c>
      <c r="E10641" s="2"/>
      <c r="F10641" s="2" t="str">
        <f>HYPERLINK("http://www.12365auto.com/zlts/20200209/446661.shtml","http://www.12365auto.com/zlts/20200209/446661.shtml")</f>
        <v>http://www.12365auto.com/zlts/20200209/446661.shtml</v>
      </c>
      <c r="G10641" s="2"/>
      <c r="H10641" s="2" t="s">
        <v>14165</v>
      </c>
      <c r="I10641" s="2" t="s">
        <v>15</v>
      </c>
      <c r="J10641" s="2" t="s">
        <v>12</v>
      </c>
      <c r="K10641" s="2" t="s">
        <v>14164</v>
      </c>
      <c r="L10641" s="2">
        <f t="shared" si="166"/>
        <v>93</v>
      </c>
    </row>
    <row r="10642" spans="1:12" ht="25" customHeight="1">
      <c r="A10642" s="2" t="s">
        <v>12</v>
      </c>
      <c r="B10642" s="2" t="str">
        <f>HYPERLINK("http://www.12365auto.com/zlts/20200209/446660.shtml","宝骏730车门漆面起泡开裂维修后未解决")</f>
        <v>宝骏730车门漆面起泡开裂维修后未解决</v>
      </c>
      <c r="C10642" s="2" t="s">
        <v>13</v>
      </c>
      <c r="D10642" s="2" t="s">
        <v>12</v>
      </c>
      <c r="E10642" s="2"/>
      <c r="F10642" s="2" t="str">
        <f>HYPERLINK("http://www.12365auto.com/zlts/20200209/446660.shtml","http://www.12365auto.com/zlts/20200209/446660.shtml")</f>
        <v>http://www.12365auto.com/zlts/20200209/446660.shtml</v>
      </c>
      <c r="G10642" s="2"/>
      <c r="H10642" s="2" t="s">
        <v>14167</v>
      </c>
      <c r="I10642" s="2" t="s">
        <v>15</v>
      </c>
      <c r="J10642" s="2" t="s">
        <v>12</v>
      </c>
      <c r="K10642" s="2" t="s">
        <v>14166</v>
      </c>
      <c r="L10642" s="2">
        <f t="shared" si="166"/>
        <v>88</v>
      </c>
    </row>
    <row r="10643" spans="1:12" ht="25" customHeight="1">
      <c r="A10643" s="2" t="s">
        <v>12</v>
      </c>
      <c r="B10643" s="2" t="str">
        <f>HYPERLINK("http://www.12365auto.com/zlts/20200208/446657.shtml","发动机噪音大刹车异响轮胎吃胎偏磨P档摘不动")</f>
        <v>发动机噪音大刹车异响轮胎吃胎偏磨P档摘不动</v>
      </c>
      <c r="C10643" s="2" t="s">
        <v>13</v>
      </c>
      <c r="D10643" s="2" t="s">
        <v>12</v>
      </c>
      <c r="E10643" s="2"/>
      <c r="F10643" s="2" t="str">
        <f>HYPERLINK("http://www.12365auto.com/zlts/20200208/446657.shtml","http://www.12365auto.com/zlts/20200208/446657.shtml")</f>
        <v>http://www.12365auto.com/zlts/20200208/446657.shtml</v>
      </c>
      <c r="G10643" s="2"/>
      <c r="H10643" s="2" t="s">
        <v>14169</v>
      </c>
      <c r="I10643" s="2" t="s">
        <v>15</v>
      </c>
      <c r="J10643" s="2" t="s">
        <v>12</v>
      </c>
      <c r="K10643" s="2" t="s">
        <v>14168</v>
      </c>
      <c r="L10643" s="2">
        <f t="shared" si="166"/>
        <v>84</v>
      </c>
    </row>
    <row r="10644" spans="1:12" ht="25" customHeight="1">
      <c r="A10644" s="2" t="s">
        <v>12</v>
      </c>
      <c r="B10644" s="2" t="str">
        <f>HYPERLINK("http://www.12365auto.com/zlts/20200208/446658.shtml","进口奔驰GLS辅助蓄电池屡次发生亏电")</f>
        <v>进口奔驰GLS辅助蓄电池屡次发生亏电</v>
      </c>
      <c r="C10644" s="2" t="s">
        <v>13</v>
      </c>
      <c r="D10644" s="2" t="s">
        <v>12</v>
      </c>
      <c r="E10644" s="2" t="s">
        <v>17</v>
      </c>
      <c r="F10644" s="2" t="str">
        <f>HYPERLINK("http://www.12365auto.com/zlts/20200208/446658.shtml","http://www.12365auto.com/zlts/20200208/446658.shtml")</f>
        <v>http://www.12365auto.com/zlts/20200208/446658.shtml</v>
      </c>
      <c r="G10644" s="2"/>
      <c r="H10644" s="2" t="s">
        <v>14170</v>
      </c>
      <c r="I10644" s="2" t="s">
        <v>19</v>
      </c>
      <c r="J10644" s="2" t="s">
        <v>12</v>
      </c>
      <c r="K10644" s="2" t="s">
        <v>14171</v>
      </c>
      <c r="L10644" s="2">
        <f t="shared" si="166"/>
        <v>150</v>
      </c>
    </row>
    <row r="10645" spans="1:12" ht="25" customHeight="1">
      <c r="A10645" s="2" t="s">
        <v>12</v>
      </c>
      <c r="B10645" s="2" t="str">
        <f>HYPERLINK("http://www.12365auto.com/zlts/20200208/446655.shtml","江淮同悦叶子板轮眉和底盘有生锈现象")</f>
        <v>江淮同悦叶子板轮眉和底盘有生锈现象</v>
      </c>
      <c r="C10645" s="2" t="s">
        <v>13</v>
      </c>
      <c r="D10645" s="2" t="s">
        <v>12</v>
      </c>
      <c r="E10645" s="2" t="s">
        <v>17</v>
      </c>
      <c r="F10645" s="2" t="str">
        <f>HYPERLINK("http://www.12365auto.com/zlts/20200208/446655.shtml","http://www.12365auto.com/zlts/20200208/446655.shtml")</f>
        <v>http://www.12365auto.com/zlts/20200208/446655.shtml</v>
      </c>
      <c r="G10645" s="2"/>
      <c r="H10645" s="2" t="s">
        <v>14172</v>
      </c>
      <c r="I10645" s="2" t="s">
        <v>19</v>
      </c>
      <c r="J10645" s="2" t="s">
        <v>12</v>
      </c>
      <c r="K10645" s="2" t="s">
        <v>14173</v>
      </c>
      <c r="L10645" s="2">
        <f t="shared" si="166"/>
        <v>150</v>
      </c>
    </row>
    <row r="10646" spans="1:12" ht="25" customHeight="1">
      <c r="A10646" s="2" t="s">
        <v>12</v>
      </c>
      <c r="B10646" s="2" t="str">
        <f>HYPERLINK("http://www.12365auto.com/zlts/20200208/446654.shtml","电池问题")</f>
        <v>电池问题</v>
      </c>
      <c r="C10646" s="2" t="s">
        <v>13</v>
      </c>
      <c r="D10646" s="2" t="s">
        <v>12</v>
      </c>
      <c r="E10646" s="2"/>
      <c r="F10646" s="2" t="str">
        <f>HYPERLINK("http://www.12365auto.com/zlts/20200208/446654.shtml","http://www.12365auto.com/zlts/20200208/446654.shtml")</f>
        <v>http://www.12365auto.com/zlts/20200208/446654.shtml</v>
      </c>
      <c r="G10646" s="2"/>
      <c r="H10646" s="2" t="s">
        <v>14175</v>
      </c>
      <c r="I10646" s="2" t="s">
        <v>15</v>
      </c>
      <c r="J10646" s="2" t="s">
        <v>12</v>
      </c>
      <c r="K10646" s="2" t="s">
        <v>14174</v>
      </c>
      <c r="L10646" s="2">
        <f t="shared" si="166"/>
        <v>88</v>
      </c>
    </row>
    <row r="10647" spans="1:12" ht="25" customHeight="1">
      <c r="A10647" s="2" t="s">
        <v>12</v>
      </c>
      <c r="B10647" s="2" t="str">
        <f>HYPERLINK("http://www.12365auto.com/zlts/20200208/446653.shtml","发动机漏机油，前挡风玻璃裂纹")</f>
        <v>发动机漏机油，前挡风玻璃裂纹</v>
      </c>
      <c r="C10647" s="2" t="s">
        <v>13</v>
      </c>
      <c r="D10647" s="2" t="s">
        <v>12</v>
      </c>
      <c r="E10647" s="2"/>
      <c r="F10647" s="2" t="str">
        <f>HYPERLINK("http://www.12365auto.com/zlts/20200208/446653.shtml","http://www.12365auto.com/zlts/20200208/446653.shtml")</f>
        <v>http://www.12365auto.com/zlts/20200208/446653.shtml</v>
      </c>
      <c r="G10647" s="2"/>
      <c r="H10647" s="2" t="s">
        <v>14177</v>
      </c>
      <c r="I10647" s="2" t="s">
        <v>15</v>
      </c>
      <c r="J10647" s="2" t="s">
        <v>12</v>
      </c>
      <c r="K10647" s="2" t="s">
        <v>14176</v>
      </c>
      <c r="L10647" s="2">
        <f t="shared" si="166"/>
        <v>88</v>
      </c>
    </row>
    <row r="10648" spans="1:12" ht="25" customHeight="1">
      <c r="A10648" s="2" t="s">
        <v>12</v>
      </c>
      <c r="B10648" s="2" t="str">
        <f>HYPERLINK("http://www.12365auto.com/zlts/20200208/446650.shtml","奇瑞E5车身生锈严重存在质量问题")</f>
        <v>奇瑞E5车身生锈严重存在质量问题</v>
      </c>
      <c r="C10648" s="2" t="s">
        <v>13</v>
      </c>
      <c r="D10648" s="2" t="s">
        <v>12</v>
      </c>
      <c r="E10648" s="2" t="s">
        <v>17</v>
      </c>
      <c r="F10648" s="2" t="str">
        <f>HYPERLINK("http://www.12365auto.com/zlts/20200208/446650.shtml","http://www.12365auto.com/zlts/20200208/446650.shtml")</f>
        <v>http://www.12365auto.com/zlts/20200208/446650.shtml</v>
      </c>
      <c r="G10648" s="2"/>
      <c r="H10648" s="2" t="s">
        <v>14178</v>
      </c>
      <c r="I10648" s="2" t="s">
        <v>19</v>
      </c>
      <c r="J10648" s="2" t="s">
        <v>12</v>
      </c>
      <c r="K10648" s="2" t="s">
        <v>14179</v>
      </c>
      <c r="L10648" s="2">
        <f t="shared" si="166"/>
        <v>150</v>
      </c>
    </row>
    <row r="10649" spans="1:12" ht="25" customHeight="1">
      <c r="A10649" s="2" t="s">
        <v>12</v>
      </c>
      <c r="B10649" s="2" t="str">
        <f>HYPERLINK("http://www.12365auto.com/zlts/20200208/446643.shtml","江铃域虎5车门生锈 变速箱异响 挂挡困难")</f>
        <v>江铃域虎5车门生锈 变速箱异响 挂挡困难</v>
      </c>
      <c r="C10649" s="2" t="s">
        <v>13</v>
      </c>
      <c r="D10649" s="2" t="s">
        <v>12</v>
      </c>
      <c r="E10649" s="2" t="s">
        <v>17</v>
      </c>
      <c r="F10649" s="2" t="str">
        <f>HYPERLINK("http://www.12365auto.com/zlts/20200208/446643.shtml","http://www.12365auto.com/zlts/20200208/446643.shtml")</f>
        <v>http://www.12365auto.com/zlts/20200208/446643.shtml</v>
      </c>
      <c r="G10649" s="2"/>
      <c r="H10649" s="2" t="s">
        <v>14180</v>
      </c>
      <c r="I10649" s="2" t="s">
        <v>19</v>
      </c>
      <c r="J10649" s="2" t="s">
        <v>12</v>
      </c>
      <c r="K10649" s="2" t="s">
        <v>14181</v>
      </c>
      <c r="L10649" s="2">
        <f t="shared" si="166"/>
        <v>150</v>
      </c>
    </row>
    <row r="10650" spans="1:12" ht="25" customHeight="1">
      <c r="A10650" s="2" t="s">
        <v>12</v>
      </c>
      <c r="B10650" s="2" t="str">
        <f>HYPERLINK("http://bbs.12365auto.com/postcontent.aspx?tID=193526","各位凯美瑞车主 我想问一下你们的刹车软不")</f>
        <v>各位凯美瑞车主 我想问一下你们的刹车软不</v>
      </c>
      <c r="C10650" s="2" t="s">
        <v>13</v>
      </c>
      <c r="D10650" s="2" t="s">
        <v>12</v>
      </c>
      <c r="E10650" s="2" t="s">
        <v>67</v>
      </c>
      <c r="F10650" s="2" t="str">
        <f>HYPERLINK("http://bbs.12365auto.com/postcontent.aspx?tID=193526","http://bbs.12365auto.com/postcontent.aspx?tID=193526")</f>
        <v>http://bbs.12365auto.com/postcontent.aspx?tID=193526</v>
      </c>
      <c r="G10650" s="2"/>
      <c r="H10650" s="2" t="s">
        <v>14182</v>
      </c>
      <c r="I10650" s="2" t="s">
        <v>15</v>
      </c>
      <c r="J10650" s="2" t="s">
        <v>14183</v>
      </c>
      <c r="K10650" s="2" t="s">
        <v>14184</v>
      </c>
      <c r="L10650" s="2">
        <f t="shared" si="166"/>
        <v>71</v>
      </c>
    </row>
    <row r="10651" spans="1:12" ht="25" customHeight="1">
      <c r="A10651" s="2" t="s">
        <v>12</v>
      </c>
      <c r="B10651" s="2" t="str">
        <f>HYPERLINK("http://bbs.12365auto.com/postcontent.aspx?tId=193526","各位凯美瑞车主 我想问一下你们的刹车软不")</f>
        <v>各位凯美瑞车主 我想问一下你们的刹车软不</v>
      </c>
      <c r="C10651" s="2" t="s">
        <v>13</v>
      </c>
      <c r="D10651" s="2" t="s">
        <v>12</v>
      </c>
      <c r="E10651" s="2" t="s">
        <v>66</v>
      </c>
      <c r="F10651" s="2" t="str">
        <f>HYPERLINK("http://bbs.12365auto.com/postcontent.aspx?tId=193526","http://bbs.12365auto.com/postcontent.aspx?tId=193526")</f>
        <v>http://bbs.12365auto.com/postcontent.aspx?tId=193526</v>
      </c>
      <c r="G10651" s="2"/>
      <c r="H10651" s="2" t="s">
        <v>14185</v>
      </c>
      <c r="I10651" s="2" t="s">
        <v>15</v>
      </c>
      <c r="J10651" s="2" t="s">
        <v>14183</v>
      </c>
      <c r="K10651" s="2" t="s">
        <v>14184</v>
      </c>
      <c r="L10651" s="2">
        <f t="shared" si="166"/>
        <v>51</v>
      </c>
    </row>
    <row r="10652" spans="1:12" ht="25" customHeight="1">
      <c r="A10652" s="2" t="s">
        <v>12</v>
      </c>
      <c r="B10652" s="2" t="str">
        <f>HYPERLINK("http://m.12365auto.com/bbs/postcontent.aspx?tID=193526","各位凯美瑞车主 我想问一下你们的刹车软不")</f>
        <v>各位凯美瑞车主 我想问一下你们的刹车软不</v>
      </c>
      <c r="C10652" s="2" t="s">
        <v>13</v>
      </c>
      <c r="D10652" s="2" t="s">
        <v>23</v>
      </c>
      <c r="E10652" s="2"/>
      <c r="F10652" s="2" t="str">
        <f>HYPERLINK("http://m.12365auto.com/bbs/postcontent.aspx?tID=193526","http://m.12365auto.com/bbs/postcontent.aspx?tID=193526")</f>
        <v>http://m.12365auto.com/bbs/postcontent.aspx?tID=193526</v>
      </c>
      <c r="G10652" s="2"/>
      <c r="H10652" s="2" t="s">
        <v>14185</v>
      </c>
      <c r="I10652" s="2" t="s">
        <v>15</v>
      </c>
      <c r="J10652" s="2" t="s">
        <v>14183</v>
      </c>
      <c r="K10652" s="2" t="s">
        <v>14184</v>
      </c>
      <c r="L10652" s="2">
        <f t="shared" si="166"/>
        <v>51</v>
      </c>
    </row>
    <row r="10653" spans="1:12" ht="25" customHeight="1">
      <c r="A10653" s="2" t="s">
        <v>12</v>
      </c>
      <c r="B10653" s="2" t="str">
        <f>HYPERLINK("http://www.12365auto.com/zlts/20200208/446641.shtml","东风标致308后备箱积水售后未解决问题")</f>
        <v>东风标致308后备箱积水售后未解决问题</v>
      </c>
      <c r="C10653" s="2" t="s">
        <v>13</v>
      </c>
      <c r="D10653" s="2" t="s">
        <v>12</v>
      </c>
      <c r="E10653" s="2" t="s">
        <v>17</v>
      </c>
      <c r="F10653" s="2" t="str">
        <f>HYPERLINK("http://www.12365auto.com/zlts/20200208/446641.shtml","http://www.12365auto.com/zlts/20200208/446641.shtml")</f>
        <v>http://www.12365auto.com/zlts/20200208/446641.shtml</v>
      </c>
      <c r="G10653" s="2"/>
      <c r="H10653" s="2" t="s">
        <v>14186</v>
      </c>
      <c r="I10653" s="2" t="s">
        <v>19</v>
      </c>
      <c r="J10653" s="2" t="s">
        <v>12</v>
      </c>
      <c r="K10653" s="2" t="s">
        <v>14187</v>
      </c>
      <c r="L10653" s="2">
        <f t="shared" si="166"/>
        <v>150</v>
      </c>
    </row>
    <row r="10654" spans="1:12" ht="25" customHeight="1">
      <c r="A10654" s="2" t="s">
        <v>12</v>
      </c>
      <c r="B10654" s="2" t="str">
        <f>HYPERLINK("http://m.12365auto.com/zjdy/20200208/121108.shtml","本田雅阁发动机舱有漏油现象怎么办？")</f>
        <v>本田雅阁发动机舱有漏油现象怎么办？</v>
      </c>
      <c r="C10654" s="2" t="s">
        <v>13</v>
      </c>
      <c r="D10654" s="2" t="s">
        <v>12</v>
      </c>
      <c r="E10654" s="2"/>
      <c r="F10654" s="2" t="str">
        <f>HYPERLINK("http://m.12365auto.com/zjdy/20200208/121108.shtml","http://m.12365auto.com/zjdy/20200208/121108.shtml")</f>
        <v>http://m.12365auto.com/zjdy/20200208/121108.shtml</v>
      </c>
      <c r="G10654" s="2"/>
      <c r="H10654" s="2" t="s">
        <v>14188</v>
      </c>
      <c r="I10654" s="2" t="s">
        <v>19</v>
      </c>
      <c r="J10654" s="2" t="s">
        <v>12</v>
      </c>
      <c r="K10654" s="2" t="s">
        <v>14189</v>
      </c>
      <c r="L10654" s="2">
        <f t="shared" si="166"/>
        <v>20</v>
      </c>
    </row>
    <row r="10655" spans="1:12" ht="25" customHeight="1">
      <c r="A10655" s="2" t="s">
        <v>12</v>
      </c>
      <c r="B10655" s="2" t="str">
        <f>HYPERLINK("http://www.12365auto.com/zlts/20200208/446638.shtml","奇瑞瑞虎3xe充电时漏电存在安全隐患")</f>
        <v>奇瑞瑞虎3xe充电时漏电存在安全隐患</v>
      </c>
      <c r="C10655" s="2" t="s">
        <v>13</v>
      </c>
      <c r="D10655" s="2" t="s">
        <v>12</v>
      </c>
      <c r="E10655" s="2" t="s">
        <v>17</v>
      </c>
      <c r="F10655" s="2" t="str">
        <f>HYPERLINK("http://www.12365auto.com/zlts/20200208/446638.shtml","http://www.12365auto.com/zlts/20200208/446638.shtml")</f>
        <v>http://www.12365auto.com/zlts/20200208/446638.shtml</v>
      </c>
      <c r="G10655" s="2"/>
      <c r="H10655" s="2" t="s">
        <v>14190</v>
      </c>
      <c r="I10655" s="2" t="s">
        <v>15</v>
      </c>
      <c r="J10655" s="2" t="s">
        <v>12</v>
      </c>
      <c r="K10655" s="2" t="s">
        <v>14191</v>
      </c>
      <c r="L10655" s="2">
        <f t="shared" si="166"/>
        <v>150</v>
      </c>
    </row>
    <row r="10656" spans="1:12" ht="25" customHeight="1">
      <c r="A10656" s="2" t="s">
        <v>12</v>
      </c>
      <c r="B10656" s="2" t="str">
        <f>HYPERLINK("http://www.12365auto.com/zlts/20200208/446637.shtml","吉利帝豪翼子板边缘内侧生锈希望厂家处理")</f>
        <v>吉利帝豪翼子板边缘内侧生锈希望厂家处理</v>
      </c>
      <c r="C10656" s="2" t="s">
        <v>13</v>
      </c>
      <c r="D10656" s="2" t="s">
        <v>12</v>
      </c>
      <c r="E10656" s="2" t="s">
        <v>17</v>
      </c>
      <c r="F10656" s="2" t="str">
        <f>HYPERLINK("http://www.12365auto.com/zlts/20200208/446637.shtml","http://www.12365auto.com/zlts/20200208/446637.shtml")</f>
        <v>http://www.12365auto.com/zlts/20200208/446637.shtml</v>
      </c>
      <c r="G10656" s="2"/>
      <c r="H10656" s="2" t="s">
        <v>14192</v>
      </c>
      <c r="I10656" s="2" t="s">
        <v>15</v>
      </c>
      <c r="J10656" s="2" t="s">
        <v>12</v>
      </c>
      <c r="K10656" s="2" t="s">
        <v>14191</v>
      </c>
      <c r="L10656" s="2">
        <f t="shared" si="166"/>
        <v>150</v>
      </c>
    </row>
    <row r="10657" spans="1:12" ht="25" customHeight="1">
      <c r="A10657" s="2" t="s">
        <v>12</v>
      </c>
      <c r="B10657" s="2" t="str">
        <f>HYPERLINK("http://www.12365auto.com/zlts/20200208/446636.shtml","进口奔驰B级发动机无法启动售后未解决")</f>
        <v>进口奔驰B级发动机无法启动售后未解决</v>
      </c>
      <c r="C10657" s="2" t="s">
        <v>13</v>
      </c>
      <c r="D10657" s="2" t="s">
        <v>12</v>
      </c>
      <c r="E10657" s="2" t="s">
        <v>17</v>
      </c>
      <c r="F10657" s="2" t="str">
        <f>HYPERLINK("http://www.12365auto.com/zlts/20200208/446636.shtml","http://www.12365auto.com/zlts/20200208/446636.shtml")</f>
        <v>http://www.12365auto.com/zlts/20200208/446636.shtml</v>
      </c>
      <c r="G10657" s="2"/>
      <c r="H10657" s="2" t="s">
        <v>14193</v>
      </c>
      <c r="I10657" s="2" t="s">
        <v>19</v>
      </c>
      <c r="J10657" s="2" t="s">
        <v>12</v>
      </c>
      <c r="K10657" s="2" t="s">
        <v>14194</v>
      </c>
      <c r="L10657" s="2">
        <f t="shared" si="166"/>
        <v>150</v>
      </c>
    </row>
    <row r="10658" spans="1:12" ht="25" customHeight="1">
      <c r="A10658" s="2" t="s">
        <v>12</v>
      </c>
      <c r="B10658" s="2" t="str">
        <f>HYPERLINK("http://www.12365auto.com/zlts/20200208/446633.shtml","吉利帝豪发动机冷启动异响存在质量问题")</f>
        <v>吉利帝豪发动机冷启动异响存在质量问题</v>
      </c>
      <c r="C10658" s="2" t="s">
        <v>13</v>
      </c>
      <c r="D10658" s="2" t="s">
        <v>12</v>
      </c>
      <c r="E10658" s="2"/>
      <c r="F10658" s="2" t="str">
        <f>HYPERLINK("http://www.12365auto.com/zlts/20200208/446633.shtml","http://www.12365auto.com/zlts/20200208/446633.shtml")</f>
        <v>http://www.12365auto.com/zlts/20200208/446633.shtml</v>
      </c>
      <c r="G10658" s="2"/>
      <c r="H10658" s="2" t="s">
        <v>14196</v>
      </c>
      <c r="I10658" s="2" t="s">
        <v>15</v>
      </c>
      <c r="J10658" s="2" t="s">
        <v>12</v>
      </c>
      <c r="K10658" s="2" t="s">
        <v>14195</v>
      </c>
      <c r="L10658" s="2">
        <f t="shared" si="166"/>
        <v>83</v>
      </c>
    </row>
    <row r="10659" spans="1:12" ht="25" customHeight="1">
      <c r="A10659" s="2" t="s">
        <v>12</v>
      </c>
      <c r="B10659" s="2" t="str">
        <f>HYPERLINK("http://www.12365auto.com/zlts/20200208/446634.shtml","吉利帝豪车门生锈严重存在质量问题")</f>
        <v>吉利帝豪车门生锈严重存在质量问题</v>
      </c>
      <c r="C10659" s="2" t="s">
        <v>13</v>
      </c>
      <c r="D10659" s="2" t="s">
        <v>12</v>
      </c>
      <c r="E10659" s="2" t="s">
        <v>17</v>
      </c>
      <c r="F10659" s="2" t="str">
        <f>HYPERLINK("http://www.12365auto.com/zlts/20200208/446634.shtml","http://www.12365auto.com/zlts/20200208/446634.shtml")</f>
        <v>http://www.12365auto.com/zlts/20200208/446634.shtml</v>
      </c>
      <c r="G10659" s="2"/>
      <c r="H10659" s="2" t="s">
        <v>14197</v>
      </c>
      <c r="I10659" s="2" t="s">
        <v>15</v>
      </c>
      <c r="J10659" s="2" t="s">
        <v>12</v>
      </c>
      <c r="K10659" s="2" t="s">
        <v>14198</v>
      </c>
      <c r="L10659" s="2">
        <f t="shared" si="166"/>
        <v>150</v>
      </c>
    </row>
    <row r="10660" spans="1:12" ht="25" customHeight="1">
      <c r="A10660" s="2" t="s">
        <v>12</v>
      </c>
      <c r="B10660" s="2" t="str">
        <f>HYPERLINK("http://www.12365auto.com/zlts/20200208/446627.shtml","哈弗F7挂倒挡时中控屏黑屏导航线路不准")</f>
        <v>哈弗F7挂倒挡时中控屏黑屏导航线路不准</v>
      </c>
      <c r="C10660" s="2" t="s">
        <v>13</v>
      </c>
      <c r="D10660" s="2" t="s">
        <v>12</v>
      </c>
      <c r="E10660" s="2"/>
      <c r="F10660" s="2" t="str">
        <f>HYPERLINK("http://www.12365auto.com/zlts/20200208/446627.shtml","http://www.12365auto.com/zlts/20200208/446627.shtml")</f>
        <v>http://www.12365auto.com/zlts/20200208/446627.shtml</v>
      </c>
      <c r="G10660" s="2"/>
      <c r="H10660" s="2" t="s">
        <v>14200</v>
      </c>
      <c r="I10660" s="2" t="s">
        <v>15</v>
      </c>
      <c r="J10660" s="2" t="s">
        <v>12</v>
      </c>
      <c r="K10660" s="2" t="s">
        <v>14199</v>
      </c>
      <c r="L10660" s="2">
        <f t="shared" si="166"/>
        <v>81</v>
      </c>
    </row>
    <row r="10661" spans="1:12" ht="25" customHeight="1">
      <c r="A10661" s="2" t="s">
        <v>12</v>
      </c>
      <c r="B10661" s="2" t="str">
        <f>HYPERLINK("http://www.12365auto.com/zlts/20200208/446628.shtml","江铃福特领界后座和减震器异响严重")</f>
        <v>江铃福特领界后座和减震器异响严重</v>
      </c>
      <c r="C10661" s="2" t="s">
        <v>13</v>
      </c>
      <c r="D10661" s="2" t="s">
        <v>12</v>
      </c>
      <c r="E10661" s="2"/>
      <c r="F10661" s="2" t="str">
        <f>HYPERLINK("http://www.12365auto.com/zlts/20200208/446628.shtml","http://www.12365auto.com/zlts/20200208/446628.shtml")</f>
        <v>http://www.12365auto.com/zlts/20200208/446628.shtml</v>
      </c>
      <c r="G10661" s="2"/>
      <c r="H10661" s="2" t="s">
        <v>14202</v>
      </c>
      <c r="I10661" s="2" t="s">
        <v>15</v>
      </c>
      <c r="J10661" s="2" t="s">
        <v>12</v>
      </c>
      <c r="K10661" s="2" t="s">
        <v>14201</v>
      </c>
      <c r="L10661" s="2">
        <f t="shared" si="166"/>
        <v>93</v>
      </c>
    </row>
    <row r="10662" spans="1:12" ht="25" customHeight="1">
      <c r="A10662" s="2" t="s">
        <v>12</v>
      </c>
      <c r="B10662" s="2" t="str">
        <f>HYPERLINK("http://www.12365auto.com/zlts/20200208/446632.shtml","北京BJ40发动机爆震厂家未解决问题")</f>
        <v>北京BJ40发动机爆震厂家未解决问题</v>
      </c>
      <c r="C10662" s="2" t="s">
        <v>13</v>
      </c>
      <c r="D10662" s="2" t="s">
        <v>12</v>
      </c>
      <c r="E10662" s="2" t="s">
        <v>17</v>
      </c>
      <c r="F10662" s="2" t="str">
        <f>HYPERLINK("http://www.12365auto.com/zlts/20200208/446632.shtml","http://www.12365auto.com/zlts/20200208/446632.shtml")</f>
        <v>http://www.12365auto.com/zlts/20200208/446632.shtml</v>
      </c>
      <c r="G10662" s="2"/>
      <c r="H10662" s="2" t="s">
        <v>14203</v>
      </c>
      <c r="I10662" s="2" t="s">
        <v>19</v>
      </c>
      <c r="J10662" s="2" t="s">
        <v>12</v>
      </c>
      <c r="K10662" s="2" t="s">
        <v>14204</v>
      </c>
      <c r="L10662" s="2">
        <f t="shared" si="166"/>
        <v>150</v>
      </c>
    </row>
    <row r="10663" spans="1:12" ht="25" customHeight="1">
      <c r="A10663" s="2" t="s">
        <v>12</v>
      </c>
      <c r="B10663" s="2" t="str">
        <f>HYPERLINK("http://www.12365auto.com/zlts/20200208/446631.shtml","上汽大众朗逸变速箱挡位灯闪烁失去动力")</f>
        <v>上汽大众朗逸变速箱挡位灯闪烁失去动力</v>
      </c>
      <c r="C10663" s="2" t="s">
        <v>13</v>
      </c>
      <c r="D10663" s="2" t="s">
        <v>12</v>
      </c>
      <c r="E10663" s="2" t="s">
        <v>17</v>
      </c>
      <c r="F10663" s="2" t="str">
        <f>HYPERLINK("http://www.12365auto.com/zlts/20200208/446631.shtml","http://www.12365auto.com/zlts/20200208/446631.shtml")</f>
        <v>http://www.12365auto.com/zlts/20200208/446631.shtml</v>
      </c>
      <c r="G10663" s="2"/>
      <c r="H10663" s="2" t="s">
        <v>14205</v>
      </c>
      <c r="I10663" s="2" t="s">
        <v>15</v>
      </c>
      <c r="J10663" s="2" t="s">
        <v>12</v>
      </c>
      <c r="K10663" s="2" t="s">
        <v>14206</v>
      </c>
      <c r="L10663" s="2">
        <f t="shared" si="166"/>
        <v>150</v>
      </c>
    </row>
    <row r="10664" spans="1:12" ht="25" customHeight="1">
      <c r="A10664" s="2" t="s">
        <v>12</v>
      </c>
      <c r="B10664" s="2" t="str">
        <f>HYPERLINK("http://www.12365auto.com/zlts/20200208/446630.shtml","才开两万公里露头发动机就渗油严重")</f>
        <v>才开两万公里露头发动机就渗油严重</v>
      </c>
      <c r="C10664" s="2" t="s">
        <v>13</v>
      </c>
      <c r="D10664" s="2" t="s">
        <v>12</v>
      </c>
      <c r="E10664" s="2"/>
      <c r="F10664" s="2" t="str">
        <f>HYPERLINK("http://www.12365auto.com/zlts/20200208/446630.shtml","http://www.12365auto.com/zlts/20200208/446630.shtml")</f>
        <v>http://www.12365auto.com/zlts/20200208/446630.shtml</v>
      </c>
      <c r="G10664" s="2"/>
      <c r="H10664" s="2" t="s">
        <v>14208</v>
      </c>
      <c r="I10664" s="2" t="s">
        <v>15</v>
      </c>
      <c r="J10664" s="2" t="s">
        <v>12</v>
      </c>
      <c r="K10664" s="2" t="s">
        <v>14207</v>
      </c>
      <c r="L10664" s="2">
        <f t="shared" si="166"/>
        <v>89</v>
      </c>
    </row>
    <row r="10665" spans="1:12" ht="25" customHeight="1">
      <c r="A10665" s="2" t="s">
        <v>12</v>
      </c>
      <c r="B10665" s="2" t="str">
        <f>HYPERLINK("http://www.12365auto.com/zlts/20200208/446629.shtml","领克03仪表提示ESP故障维修未解决问题")</f>
        <v>领克03仪表提示ESP故障维修未解决问题</v>
      </c>
      <c r="C10665" s="2" t="s">
        <v>13</v>
      </c>
      <c r="D10665" s="2" t="s">
        <v>12</v>
      </c>
      <c r="E10665" s="2" t="s">
        <v>17</v>
      </c>
      <c r="F10665" s="2" t="str">
        <f>HYPERLINK("http://www.12365auto.com/zlts/20200208/446629.shtml","http://www.12365auto.com/zlts/20200208/446629.shtml")</f>
        <v>http://www.12365auto.com/zlts/20200208/446629.shtml</v>
      </c>
      <c r="G10665" s="2"/>
      <c r="H10665" s="2" t="s">
        <v>14209</v>
      </c>
      <c r="I10665" s="2" t="s">
        <v>19</v>
      </c>
      <c r="J10665" s="2" t="s">
        <v>12</v>
      </c>
      <c r="K10665" s="2" t="s">
        <v>14210</v>
      </c>
      <c r="L10665" s="2">
        <f t="shared" si="166"/>
        <v>150</v>
      </c>
    </row>
    <row r="10666" spans="1:12" ht="25" customHeight="1">
      <c r="A10666" s="2" t="s">
        <v>12</v>
      </c>
      <c r="B10666" s="2" t="str">
        <f>HYPERLINK("http://www.12365auto.com/zlts/20200208/446626.shtml","一汽大众奥迪A4L防冻液渗漏希望厂家处理")</f>
        <v>一汽大众奥迪A4L防冻液渗漏希望厂家处理</v>
      </c>
      <c r="C10666" s="2" t="s">
        <v>13</v>
      </c>
      <c r="D10666" s="2" t="s">
        <v>12</v>
      </c>
      <c r="E10666" s="2" t="s">
        <v>17</v>
      </c>
      <c r="F10666" s="2" t="str">
        <f>HYPERLINK("http://www.12365auto.com/zlts/20200208/446626.shtml","http://www.12365auto.com/zlts/20200208/446626.shtml")</f>
        <v>http://www.12365auto.com/zlts/20200208/446626.shtml</v>
      </c>
      <c r="G10666" s="2"/>
      <c r="H10666" s="2" t="s">
        <v>14211</v>
      </c>
      <c r="I10666" s="2" t="s">
        <v>19</v>
      </c>
      <c r="J10666" s="2" t="s">
        <v>12</v>
      </c>
      <c r="K10666" s="2" t="s">
        <v>14212</v>
      </c>
      <c r="L10666" s="2">
        <f t="shared" si="166"/>
        <v>150</v>
      </c>
    </row>
    <row r="10667" spans="1:12" ht="25" customHeight="1">
      <c r="A10667" s="2" t="s">
        <v>12</v>
      </c>
      <c r="B10667" s="2" t="str">
        <f>HYPERLINK("http://www.12365auto.com/zlts/20200208/446625.shtml","冷启动异响")</f>
        <v>冷启动异响</v>
      </c>
      <c r="C10667" s="2" t="s">
        <v>13</v>
      </c>
      <c r="D10667" s="2" t="s">
        <v>12</v>
      </c>
      <c r="E10667" s="2"/>
      <c r="F10667" s="2" t="str">
        <f>HYPERLINK("http://www.12365auto.com/zlts/20200208/446625.shtml","http://www.12365auto.com/zlts/20200208/446625.shtml")</f>
        <v>http://www.12365auto.com/zlts/20200208/446625.shtml</v>
      </c>
      <c r="G10667" s="2"/>
      <c r="H10667" s="2" t="s">
        <v>14214</v>
      </c>
      <c r="I10667" s="2" t="s">
        <v>15</v>
      </c>
      <c r="J10667" s="2" t="s">
        <v>12</v>
      </c>
      <c r="K10667" s="2" t="s">
        <v>14213</v>
      </c>
      <c r="L10667" s="2">
        <f t="shared" si="166"/>
        <v>83</v>
      </c>
    </row>
    <row r="10668" spans="1:12" ht="25" customHeight="1">
      <c r="A10668" s="2" t="s">
        <v>12</v>
      </c>
      <c r="B10668" s="2" t="str">
        <f>HYPERLINK("http://www.12365auto.com/zlts/20200208/446624.shtml","长安马自达昂克赛拉挡把脱皮仪表盘掉漆")</f>
        <v>长安马自达昂克赛拉挡把脱皮仪表盘掉漆</v>
      </c>
      <c r="C10668" s="2" t="s">
        <v>13</v>
      </c>
      <c r="D10668" s="2" t="s">
        <v>12</v>
      </c>
      <c r="E10668" s="2" t="s">
        <v>17</v>
      </c>
      <c r="F10668" s="2" t="str">
        <f>HYPERLINK("http://www.12365auto.com/zlts/20200208/446624.shtml","http://www.12365auto.com/zlts/20200208/446624.shtml")</f>
        <v>http://www.12365auto.com/zlts/20200208/446624.shtml</v>
      </c>
      <c r="G10668" s="2"/>
      <c r="H10668" s="2" t="s">
        <v>14215</v>
      </c>
      <c r="I10668" s="2" t="s">
        <v>15</v>
      </c>
      <c r="J10668" s="2" t="s">
        <v>12</v>
      </c>
      <c r="K10668" s="2" t="s">
        <v>14216</v>
      </c>
      <c r="L10668" s="2">
        <f t="shared" si="166"/>
        <v>150</v>
      </c>
    </row>
    <row r="10669" spans="1:12" ht="25" customHeight="1">
      <c r="A10669" s="2" t="s">
        <v>12</v>
      </c>
      <c r="B10669" s="2" t="str">
        <f>HYPERLINK("http://m.12365auto.com/zjdy/20200208/121107.shtml","仪表盘指示灯位置掉漆挡把脱皮怎么办？")</f>
        <v>仪表盘指示灯位置掉漆挡把脱皮怎么办？</v>
      </c>
      <c r="C10669" s="2" t="s">
        <v>13</v>
      </c>
      <c r="D10669" s="2" t="s">
        <v>12</v>
      </c>
      <c r="E10669" s="2"/>
      <c r="F10669" s="2" t="str">
        <f>HYPERLINK("http://m.12365auto.com/zjdy/20200208/121107.shtml","http://m.12365auto.com/zjdy/20200208/121107.shtml")</f>
        <v>http://m.12365auto.com/zjdy/20200208/121107.shtml</v>
      </c>
      <c r="G10669" s="2"/>
      <c r="H10669" s="2" t="s">
        <v>14217</v>
      </c>
      <c r="I10669" s="2" t="s">
        <v>19</v>
      </c>
      <c r="J10669" s="2" t="s">
        <v>12</v>
      </c>
      <c r="K10669" s="2" t="s">
        <v>14218</v>
      </c>
      <c r="L10669" s="2">
        <f t="shared" si="166"/>
        <v>23</v>
      </c>
    </row>
    <row r="10670" spans="1:12" ht="25" customHeight="1">
      <c r="A10670" s="2" t="s">
        <v>12</v>
      </c>
      <c r="B10670" s="2" t="str">
        <f>HYPERLINK("http://m.12365auto.com/zjdy/20200208/121106.shtml","质保期内未在售后按时保养可以质保吗？")</f>
        <v>质保期内未在售后按时保养可以质保吗？</v>
      </c>
      <c r="C10670" s="2" t="s">
        <v>13</v>
      </c>
      <c r="D10670" s="2" t="s">
        <v>12</v>
      </c>
      <c r="E10670" s="2"/>
      <c r="F10670" s="2" t="str">
        <f>HYPERLINK("http://m.12365auto.com/zjdy/20200208/121106.shtml","http://m.12365auto.com/zjdy/20200208/121106.shtml")</f>
        <v>http://m.12365auto.com/zjdy/20200208/121106.shtml</v>
      </c>
      <c r="G10670" s="2"/>
      <c r="H10670" s="2" t="s">
        <v>14219</v>
      </c>
      <c r="I10670" s="2" t="s">
        <v>19</v>
      </c>
      <c r="J10670" s="2" t="s">
        <v>12</v>
      </c>
      <c r="K10670" s="2" t="s">
        <v>14220</v>
      </c>
      <c r="L10670" s="2">
        <f t="shared" si="166"/>
        <v>65</v>
      </c>
    </row>
    <row r="10671" spans="1:12" ht="25" customHeight="1">
      <c r="A10671" s="2" t="s">
        <v>12</v>
      </c>
      <c r="B10671" s="2" t="str">
        <f>HYPERLINK("http://m.12365auto.com/zjdy/20200208/121105.shtml","本田皓影与丰田RAV4荣放哪款车值得购买？")</f>
        <v>本田皓影与丰田RAV4荣放哪款车值得购买？</v>
      </c>
      <c r="C10671" s="2" t="s">
        <v>13</v>
      </c>
      <c r="D10671" s="2" t="s">
        <v>12</v>
      </c>
      <c r="E10671" s="2"/>
      <c r="F10671" s="2" t="str">
        <f>HYPERLINK("http://m.12365auto.com/zjdy/20200208/121105.shtml","http://m.12365auto.com/zjdy/20200208/121105.shtml")</f>
        <v>http://m.12365auto.com/zjdy/20200208/121105.shtml</v>
      </c>
      <c r="G10671" s="2"/>
      <c r="H10671" s="2" t="s">
        <v>14221</v>
      </c>
      <c r="I10671" s="2" t="s">
        <v>19</v>
      </c>
      <c r="J10671" s="2" t="s">
        <v>12</v>
      </c>
      <c r="K10671" s="2" t="s">
        <v>14222</v>
      </c>
      <c r="L10671" s="2">
        <f t="shared" si="166"/>
        <v>21</v>
      </c>
    </row>
    <row r="10672" spans="1:12" ht="25" customHeight="1">
      <c r="A10672" s="2" t="s">
        <v>12</v>
      </c>
      <c r="B10672" s="2" t="str">
        <f>HYPERLINK("http://www.12365auto.com/zlts/20200208/446621.shtml","上汽名爵6车漆脱落变速箱顿挫厂家未回复")</f>
        <v>上汽名爵6车漆脱落变速箱顿挫厂家未回复</v>
      </c>
      <c r="C10672" s="2" t="s">
        <v>13</v>
      </c>
      <c r="D10672" s="2" t="s">
        <v>12</v>
      </c>
      <c r="E10672" s="2" t="s">
        <v>17</v>
      </c>
      <c r="F10672" s="2" t="str">
        <f>HYPERLINK("http://www.12365auto.com/zlts/20200208/446621.shtml","http://www.12365auto.com/zlts/20200208/446621.shtml")</f>
        <v>http://www.12365auto.com/zlts/20200208/446621.shtml</v>
      </c>
      <c r="G10672" s="2"/>
      <c r="H10672" s="2" t="s">
        <v>14223</v>
      </c>
      <c r="I10672" s="2" t="s">
        <v>19</v>
      </c>
      <c r="J10672" s="2" t="s">
        <v>12</v>
      </c>
      <c r="K10672" s="2" t="s">
        <v>14224</v>
      </c>
      <c r="L10672" s="2">
        <f t="shared" si="166"/>
        <v>150</v>
      </c>
    </row>
    <row r="10673" spans="1:12" ht="25" customHeight="1">
      <c r="A10673" s="2" t="s">
        <v>12</v>
      </c>
      <c r="B10673" s="2" t="str">
        <f>HYPERLINK("http://www.12365auto.com/zlts/20200208/446620.shtml","吉利远景X6漆面掉漆龟裂希望厂家处理")</f>
        <v>吉利远景X6漆面掉漆龟裂希望厂家处理</v>
      </c>
      <c r="C10673" s="2" t="s">
        <v>13</v>
      </c>
      <c r="D10673" s="2" t="s">
        <v>12</v>
      </c>
      <c r="E10673" s="2" t="s">
        <v>17</v>
      </c>
      <c r="F10673" s="2" t="str">
        <f>HYPERLINK("http://www.12365auto.com/zlts/20200208/446620.shtml","http://www.12365auto.com/zlts/20200208/446620.shtml")</f>
        <v>http://www.12365auto.com/zlts/20200208/446620.shtml</v>
      </c>
      <c r="G10673" s="2"/>
      <c r="H10673" s="2" t="s">
        <v>14225</v>
      </c>
      <c r="I10673" s="2" t="s">
        <v>19</v>
      </c>
      <c r="J10673" s="2" t="s">
        <v>12</v>
      </c>
      <c r="K10673" s="2" t="s">
        <v>14226</v>
      </c>
      <c r="L10673" s="2">
        <f t="shared" si="166"/>
        <v>150</v>
      </c>
    </row>
    <row r="10674" spans="1:12" ht="25" customHeight="1">
      <c r="A10674" s="2" t="s">
        <v>12</v>
      </c>
      <c r="B10674" s="2" t="str">
        <f>HYPERLINK("http://m.12365auto.com/zjdy/20200208/121104.shtml","吉利博越变速箱挂挡不走是什么原因？")</f>
        <v>吉利博越变速箱挂挡不走是什么原因？</v>
      </c>
      <c r="C10674" s="2" t="s">
        <v>13</v>
      </c>
      <c r="D10674" s="2" t="s">
        <v>12</v>
      </c>
      <c r="E10674" s="2"/>
      <c r="F10674" s="2" t="str">
        <f>HYPERLINK("http://m.12365auto.com/zjdy/20200208/121104.shtml","http://m.12365auto.com/zjdy/20200208/121104.shtml")</f>
        <v>http://m.12365auto.com/zjdy/20200208/121104.shtml</v>
      </c>
      <c r="G10674" s="2"/>
      <c r="H10674" s="2" t="s">
        <v>14227</v>
      </c>
      <c r="I10674" s="2" t="s">
        <v>19</v>
      </c>
      <c r="J10674" s="2" t="s">
        <v>12</v>
      </c>
      <c r="K10674" s="2" t="s">
        <v>14228</v>
      </c>
      <c r="L10674" s="2">
        <f t="shared" si="166"/>
        <v>58</v>
      </c>
    </row>
    <row r="10675" spans="1:12" ht="25" customHeight="1">
      <c r="A10675" s="2" t="s">
        <v>12</v>
      </c>
      <c r="B10675" s="2" t="str">
        <f>HYPERLINK("http://www.12365auto.com/zlts/20200208/446618.shtml","方向跑偏　制动距离太长　车机死机及各种故障")</f>
        <v>方向跑偏　制动距离太长　车机死机及各种故障</v>
      </c>
      <c r="C10675" s="2" t="s">
        <v>13</v>
      </c>
      <c r="D10675" s="2" t="s">
        <v>12</v>
      </c>
      <c r="E10675" s="2"/>
      <c r="F10675" s="2" t="str">
        <f>HYPERLINK("http://www.12365auto.com/zlts/20200208/446618.shtml","http://www.12365auto.com/zlts/20200208/446618.shtml")</f>
        <v>http://www.12365auto.com/zlts/20200208/446618.shtml</v>
      </c>
      <c r="G10675" s="2"/>
      <c r="H10675" s="2" t="s">
        <v>14230</v>
      </c>
      <c r="I10675" s="2" t="s">
        <v>15</v>
      </c>
      <c r="J10675" s="2" t="s">
        <v>12</v>
      </c>
      <c r="K10675" s="2" t="s">
        <v>14229</v>
      </c>
      <c r="L10675" s="2">
        <f t="shared" si="166"/>
        <v>85</v>
      </c>
    </row>
    <row r="10676" spans="1:12" ht="25" customHeight="1">
      <c r="A10676" s="2" t="s">
        <v>12</v>
      </c>
      <c r="B10676" s="2" t="str">
        <f>HYPERLINK("http://www.12365auto.com/zlts/20200208/446616.shtml","东风日产天籁前后叶子板有色差越来越严重")</f>
        <v>东风日产天籁前后叶子板有色差越来越严重</v>
      </c>
      <c r="C10676" s="2" t="s">
        <v>13</v>
      </c>
      <c r="D10676" s="2" t="s">
        <v>12</v>
      </c>
      <c r="E10676" s="2" t="s">
        <v>17</v>
      </c>
      <c r="F10676" s="2" t="str">
        <f>HYPERLINK("http://www.12365auto.com/zlts/20200208/446616.shtml","http://www.12365auto.com/zlts/20200208/446616.shtml")</f>
        <v>http://www.12365auto.com/zlts/20200208/446616.shtml</v>
      </c>
      <c r="G10676" s="2"/>
      <c r="H10676" s="2" t="s">
        <v>14231</v>
      </c>
      <c r="I10676" s="2" t="s">
        <v>19</v>
      </c>
      <c r="J10676" s="2" t="s">
        <v>12</v>
      </c>
      <c r="K10676" s="2" t="s">
        <v>14232</v>
      </c>
      <c r="L10676" s="2">
        <f t="shared" si="166"/>
        <v>150</v>
      </c>
    </row>
    <row r="10677" spans="1:12" ht="25" customHeight="1">
      <c r="A10677" s="2" t="s">
        <v>12</v>
      </c>
      <c r="B10677" s="2" t="str">
        <f>HYPERLINK("http://www.12365auto.com/zlts/20200208/446615.shtml","车门生锈")</f>
        <v>车门生锈</v>
      </c>
      <c r="C10677" s="2" t="s">
        <v>13</v>
      </c>
      <c r="D10677" s="2" t="s">
        <v>12</v>
      </c>
      <c r="E10677" s="2"/>
      <c r="F10677" s="2" t="str">
        <f>HYPERLINK("http://www.12365auto.com/zlts/20200208/446615.shtml","http://www.12365auto.com/zlts/20200208/446615.shtml")</f>
        <v>http://www.12365auto.com/zlts/20200208/446615.shtml</v>
      </c>
      <c r="G10677" s="2"/>
      <c r="H10677" s="2" t="s">
        <v>14234</v>
      </c>
      <c r="I10677" s="2" t="s">
        <v>15</v>
      </c>
      <c r="J10677" s="2" t="s">
        <v>12</v>
      </c>
      <c r="K10677" s="2" t="s">
        <v>14233</v>
      </c>
      <c r="L10677" s="2">
        <f t="shared" si="166"/>
        <v>83</v>
      </c>
    </row>
    <row r="10678" spans="1:12" ht="25" customHeight="1">
      <c r="A10678" s="2" t="s">
        <v>12</v>
      </c>
      <c r="B10678" s="2" t="str">
        <f>HYPERLINK("http://www.12365auto.com/zlts/20200208/446614.shtml","广汽三菱劲炫ASX启动困难轮胎吃胎偏磨")</f>
        <v>广汽三菱劲炫ASX启动困难轮胎吃胎偏磨</v>
      </c>
      <c r="C10678" s="2" t="s">
        <v>13</v>
      </c>
      <c r="D10678" s="2" t="s">
        <v>12</v>
      </c>
      <c r="E10678" s="2" t="s">
        <v>17</v>
      </c>
      <c r="F10678" s="2" t="str">
        <f>HYPERLINK("http://www.12365auto.com/zlts/20200208/446614.shtml","http://www.12365auto.com/zlts/20200208/446614.shtml")</f>
        <v>http://www.12365auto.com/zlts/20200208/446614.shtml</v>
      </c>
      <c r="G10678" s="2"/>
      <c r="H10678" s="2" t="s">
        <v>14235</v>
      </c>
      <c r="I10678" s="2" t="s">
        <v>19</v>
      </c>
      <c r="J10678" s="2" t="s">
        <v>12</v>
      </c>
      <c r="K10678" s="2" t="s">
        <v>14236</v>
      </c>
      <c r="L10678" s="2">
        <f t="shared" si="166"/>
        <v>150</v>
      </c>
    </row>
    <row r="10679" spans="1:12" ht="25" customHeight="1">
      <c r="A10679" s="2" t="s">
        <v>12</v>
      </c>
      <c r="B10679" s="2" t="str">
        <f>HYPERLINK("http://www.12365auto.com/zlts/20200208/446613.shtml","广汽丰田凯美瑞后备箱液压杆异响变速箱抖动")</f>
        <v>广汽丰田凯美瑞后备箱液压杆异响变速箱抖动</v>
      </c>
      <c r="C10679" s="2" t="s">
        <v>13</v>
      </c>
      <c r="D10679" s="2" t="s">
        <v>12</v>
      </c>
      <c r="E10679" s="2" t="s">
        <v>17</v>
      </c>
      <c r="F10679" s="2" t="str">
        <f>HYPERLINK("http://www.12365auto.com/zlts/20200208/446613.shtml","http://www.12365auto.com/zlts/20200208/446613.shtml")</f>
        <v>http://www.12365auto.com/zlts/20200208/446613.shtml</v>
      </c>
      <c r="G10679" s="2"/>
      <c r="H10679" s="2" t="s">
        <v>14237</v>
      </c>
      <c r="I10679" s="2" t="s">
        <v>19</v>
      </c>
      <c r="J10679" s="2" t="s">
        <v>12</v>
      </c>
      <c r="K10679" s="2" t="s">
        <v>14238</v>
      </c>
      <c r="L10679" s="2">
        <f t="shared" si="166"/>
        <v>150</v>
      </c>
    </row>
    <row r="10680" spans="1:12" ht="25" customHeight="1">
      <c r="A10680" s="2" t="s">
        <v>12</v>
      </c>
      <c r="B10680" s="2" t="str">
        <f>HYPERLINK("http://www.12365auto.com/zlts/20200208/446612.shtml","吉利帝豪车机死机导航无法升级影响使用")</f>
        <v>吉利帝豪车机死机导航无法升级影响使用</v>
      </c>
      <c r="C10680" s="2" t="s">
        <v>13</v>
      </c>
      <c r="D10680" s="2" t="s">
        <v>12</v>
      </c>
      <c r="E10680" s="2" t="s">
        <v>17</v>
      </c>
      <c r="F10680" s="2" t="str">
        <f>HYPERLINK("http://www.12365auto.com/zlts/20200208/446612.shtml","http://www.12365auto.com/zlts/20200208/446612.shtml")</f>
        <v>http://www.12365auto.com/zlts/20200208/446612.shtml</v>
      </c>
      <c r="G10680" s="2"/>
      <c r="H10680" s="2" t="s">
        <v>14239</v>
      </c>
      <c r="I10680" s="2" t="s">
        <v>15</v>
      </c>
      <c r="J10680" s="2" t="s">
        <v>12</v>
      </c>
      <c r="K10680" s="2" t="s">
        <v>14240</v>
      </c>
      <c r="L10680" s="2">
        <f t="shared" si="166"/>
        <v>150</v>
      </c>
    </row>
    <row r="10681" spans="1:12" ht="25" customHeight="1">
      <c r="A10681" s="2" t="s">
        <v>12</v>
      </c>
      <c r="B10681" s="2" t="str">
        <f>HYPERLINK("http://m.12365auto.com/zjdy/20200208/121101.shtml","长安逸动质量如何主动刹车功能靠谱吗？")</f>
        <v>长安逸动质量如何主动刹车功能靠谱吗？</v>
      </c>
      <c r="C10681" s="2" t="s">
        <v>13</v>
      </c>
      <c r="D10681" s="2" t="s">
        <v>12</v>
      </c>
      <c r="E10681" s="2"/>
      <c r="F10681" s="2" t="str">
        <f>HYPERLINK("http://m.12365auto.com/zjdy/20200208/121101.shtml","http://m.12365auto.com/zjdy/20200208/121101.shtml")</f>
        <v>http://m.12365auto.com/zjdy/20200208/121101.shtml</v>
      </c>
      <c r="G10681" s="2"/>
      <c r="H10681" s="2" t="s">
        <v>14241</v>
      </c>
      <c r="I10681" s="2" t="s">
        <v>19</v>
      </c>
      <c r="J10681" s="2" t="s">
        <v>12</v>
      </c>
      <c r="K10681" s="2" t="s">
        <v>14242</v>
      </c>
      <c r="L10681" s="2">
        <f t="shared" si="166"/>
        <v>70</v>
      </c>
    </row>
    <row r="10682" spans="1:12" ht="25" customHeight="1">
      <c r="A10682" s="2" t="s">
        <v>12</v>
      </c>
      <c r="B10682" s="2" t="str">
        <f>HYPERLINK("http://m.12365auto.com/zjdy/20200208/121100.shtml","长安逸动1.6L是否为蓝鲸系列发动机？")</f>
        <v>长安逸动1.6L是否为蓝鲸系列发动机？</v>
      </c>
      <c r="C10682" s="2" t="s">
        <v>13</v>
      </c>
      <c r="D10682" s="2" t="s">
        <v>12</v>
      </c>
      <c r="E10682" s="2"/>
      <c r="F10682" s="2" t="str">
        <f>HYPERLINK("http://m.12365auto.com/zjdy/20200208/121100.shtml","http://m.12365auto.com/zjdy/20200208/121100.shtml")</f>
        <v>http://m.12365auto.com/zjdy/20200208/121100.shtml</v>
      </c>
      <c r="G10682" s="2"/>
      <c r="H10682" s="2" t="s">
        <v>14243</v>
      </c>
      <c r="I10682" s="2" t="s">
        <v>19</v>
      </c>
      <c r="J10682" s="2" t="s">
        <v>12</v>
      </c>
      <c r="K10682" s="2" t="s">
        <v>14244</v>
      </c>
      <c r="L10682" s="2">
        <f t="shared" si="166"/>
        <v>18</v>
      </c>
    </row>
    <row r="10683" spans="1:12" ht="25" customHeight="1">
      <c r="A10683" s="2" t="s">
        <v>12</v>
      </c>
      <c r="B10683" s="2" t="str">
        <f>HYPERLINK("http://www.12365auto.com/zlts/20200208/446611.shtml","上汽大众途观天窗卷帘脱胶和漏水希望尽快处理")</f>
        <v>上汽大众途观天窗卷帘脱胶和漏水希望尽快处理</v>
      </c>
      <c r="C10683" s="2" t="s">
        <v>13</v>
      </c>
      <c r="D10683" s="2" t="s">
        <v>12</v>
      </c>
      <c r="E10683" s="2"/>
      <c r="F10683" s="2" t="str">
        <f>HYPERLINK("http://www.12365auto.com/zlts/20200208/446611.shtml","http://www.12365auto.com/zlts/20200208/446611.shtml")</f>
        <v>http://www.12365auto.com/zlts/20200208/446611.shtml</v>
      </c>
      <c r="G10683" s="2"/>
      <c r="H10683" s="2" t="s">
        <v>14246</v>
      </c>
      <c r="I10683" s="2" t="s">
        <v>15</v>
      </c>
      <c r="J10683" s="2" t="s">
        <v>12</v>
      </c>
      <c r="K10683" s="2" t="s">
        <v>14245</v>
      </c>
      <c r="L10683" s="2">
        <f t="shared" si="166"/>
        <v>85</v>
      </c>
    </row>
    <row r="10684" spans="1:12" ht="25" customHeight="1">
      <c r="A10684" s="2" t="s">
        <v>12</v>
      </c>
      <c r="B10684" s="2" t="str">
        <f>HYPERLINK("http://www.12365auto.com/xcdg/20200208/418013.shtml","2020芝加哥车展：红杉Nightshade特别版")</f>
        <v>2020芝加哥车展：红杉Nightshade特别版</v>
      </c>
      <c r="C10684" s="2" t="s">
        <v>13</v>
      </c>
      <c r="D10684" s="2" t="s">
        <v>12</v>
      </c>
      <c r="E10684" s="2" t="s">
        <v>245</v>
      </c>
      <c r="F10684" s="2" t="str">
        <f>HYPERLINK("http://www.12365auto.com/xcdg/20200208/418013.shtml","http://www.12365auto.com/xcdg/20200208/418013.shtml")</f>
        <v>http://www.12365auto.com/xcdg/20200208/418013.shtml</v>
      </c>
      <c r="G10684" s="2"/>
      <c r="H10684" s="2" t="s">
        <v>14247</v>
      </c>
      <c r="I10684" s="2" t="s">
        <v>19</v>
      </c>
      <c r="J10684" s="2" t="s">
        <v>12</v>
      </c>
      <c r="K10684" s="2" t="s">
        <v>14248</v>
      </c>
      <c r="L10684" s="2">
        <f t="shared" si="166"/>
        <v>150</v>
      </c>
    </row>
    <row r="10685" spans="1:12" ht="25" customHeight="1">
      <c r="A10685" s="2" t="s">
        <v>12</v>
      </c>
      <c r="B10685" s="2" t="str">
        <f>HYPERLINK("http://m.12365auto.com/xcdg/20200208/418013.shtml","2020芝加哥车展：红杉Nightshade特别版")</f>
        <v>2020芝加哥车展：红杉Nightshade特别版</v>
      </c>
      <c r="C10685" s="2" t="s">
        <v>13</v>
      </c>
      <c r="D10685" s="2" t="s">
        <v>12</v>
      </c>
      <c r="E10685" s="2"/>
      <c r="F10685" s="2" t="str">
        <f>HYPERLINK("http://m.12365auto.com/xcdg/20200208/418013.shtml","http://m.12365auto.com/xcdg/20200208/418013.shtml")</f>
        <v>http://m.12365auto.com/xcdg/20200208/418013.shtml</v>
      </c>
      <c r="G10685" s="2"/>
      <c r="H10685" s="2" t="s">
        <v>14249</v>
      </c>
      <c r="I10685" s="2" t="s">
        <v>19</v>
      </c>
      <c r="J10685" s="2" t="s">
        <v>317</v>
      </c>
      <c r="K10685" s="2" t="s">
        <v>14248</v>
      </c>
      <c r="L10685" s="2">
        <f t="shared" si="166"/>
        <v>150</v>
      </c>
    </row>
    <row r="10686" spans="1:12" ht="25" customHeight="1">
      <c r="A10686" s="2" t="s">
        <v>12</v>
      </c>
      <c r="B10686" s="2" t="str">
        <f>HYPERLINK("http://m.12365auto.com/xcdg/20200208/418012.shtml","2020芝加哥车展：雪佛兰新款探界者RS")</f>
        <v>2020芝加哥车展：雪佛兰新款探界者RS</v>
      </c>
      <c r="C10686" s="2" t="s">
        <v>13</v>
      </c>
      <c r="D10686" s="2" t="s">
        <v>12</v>
      </c>
      <c r="E10686" s="2"/>
      <c r="F10686" s="2" t="str">
        <f>HYPERLINK("http://m.12365auto.com/xcdg/20200208/418012.shtml","http://m.12365auto.com/xcdg/20200208/418012.shtml")</f>
        <v>http://m.12365auto.com/xcdg/20200208/418012.shtml</v>
      </c>
      <c r="G10686" s="2"/>
      <c r="H10686" s="2" t="s">
        <v>14250</v>
      </c>
      <c r="I10686" s="2" t="s">
        <v>19</v>
      </c>
      <c r="J10686" s="2" t="s">
        <v>317</v>
      </c>
      <c r="K10686" s="2" t="s">
        <v>14251</v>
      </c>
      <c r="L10686" s="2">
        <f t="shared" si="166"/>
        <v>150</v>
      </c>
    </row>
    <row r="10687" spans="1:12" ht="25" customHeight="1">
      <c r="A10687" s="2" t="s">
        <v>12</v>
      </c>
      <c r="B10687" s="2" t="str">
        <f>HYPERLINK("http://www.12365auto.com/xcdg/20200208/418012.shtml","2020芝加哥车展：雪佛兰新款探界者RS")</f>
        <v>2020芝加哥车展：雪佛兰新款探界者RS</v>
      </c>
      <c r="C10687" s="2" t="s">
        <v>13</v>
      </c>
      <c r="D10687" s="2" t="s">
        <v>12</v>
      </c>
      <c r="E10687" s="2" t="s">
        <v>216</v>
      </c>
      <c r="F10687" s="2" t="str">
        <f>HYPERLINK("http://www.12365auto.com/xcdg/20200208/418012.shtml","http://www.12365auto.com/xcdg/20200208/418012.shtml")</f>
        <v>http://www.12365auto.com/xcdg/20200208/418012.shtml</v>
      </c>
      <c r="G10687" s="2"/>
      <c r="H10687" s="2" t="s">
        <v>14252</v>
      </c>
      <c r="I10687" s="2" t="s">
        <v>15</v>
      </c>
      <c r="J10687" s="2" t="s">
        <v>12</v>
      </c>
      <c r="K10687" s="2" t="s">
        <v>14251</v>
      </c>
      <c r="L10687" s="2">
        <f t="shared" si="166"/>
        <v>150</v>
      </c>
    </row>
    <row r="10688" spans="1:12" ht="25" customHeight="1">
      <c r="A10688" s="2" t="s">
        <v>12</v>
      </c>
      <c r="B10688" s="2" t="str">
        <f>HYPERLINK("http://m.12365auto.com/zjdy/20200208/121099.shtml","捷途X90车钥匙可以通过厂家进行升级吗？")</f>
        <v>捷途X90车钥匙可以通过厂家进行升级吗？</v>
      </c>
      <c r="C10688" s="2" t="s">
        <v>13</v>
      </c>
      <c r="D10688" s="2" t="s">
        <v>12</v>
      </c>
      <c r="E10688" s="2"/>
      <c r="F10688" s="2" t="str">
        <f>HYPERLINK("http://m.12365auto.com/zjdy/20200208/121099.shtml","http://m.12365auto.com/zjdy/20200208/121099.shtml")</f>
        <v>http://m.12365auto.com/zjdy/20200208/121099.shtml</v>
      </c>
      <c r="G10688" s="2"/>
      <c r="H10688" s="2" t="s">
        <v>14253</v>
      </c>
      <c r="I10688" s="2" t="s">
        <v>19</v>
      </c>
      <c r="J10688" s="2" t="s">
        <v>12</v>
      </c>
      <c r="K10688" s="2" t="s">
        <v>14254</v>
      </c>
      <c r="L10688" s="2">
        <f t="shared" si="166"/>
        <v>92</v>
      </c>
    </row>
    <row r="10689" spans="1:12" ht="25" customHeight="1">
      <c r="A10689" s="2" t="s">
        <v>12</v>
      </c>
      <c r="B10689" s="2" t="str">
        <f>HYPERLINK("http://www.12365auto.com/news/20200208/418011.shtml","拒绝跟风 宝马不会开发电动车专有平台")</f>
        <v>拒绝跟风 宝马不会开发电动车专有平台</v>
      </c>
      <c r="C10689" s="2" t="s">
        <v>13</v>
      </c>
      <c r="D10689" s="2" t="s">
        <v>12</v>
      </c>
      <c r="E10689" s="2" t="s">
        <v>276</v>
      </c>
      <c r="F10689" s="2" t="str">
        <f>HYPERLINK("http://www.12365auto.com/news/20200208/418011.shtml","http://www.12365auto.com/news/20200208/418011.shtml")</f>
        <v>http://www.12365auto.com/news/20200208/418011.shtml</v>
      </c>
      <c r="G10689" s="2"/>
      <c r="H10689" s="2" t="s">
        <v>14255</v>
      </c>
      <c r="I10689" s="2" t="s">
        <v>15</v>
      </c>
      <c r="J10689" s="2" t="s">
        <v>12</v>
      </c>
      <c r="K10689" s="2" t="s">
        <v>14256</v>
      </c>
      <c r="L10689" s="2">
        <f t="shared" si="166"/>
        <v>150</v>
      </c>
    </row>
    <row r="10690" spans="1:12" ht="25" customHeight="1">
      <c r="A10690" s="2" t="s">
        <v>12</v>
      </c>
      <c r="B10690" s="2" t="str">
        <f>HYPERLINK("http://m.12365auto.com/news/20200208/418011.shtml","拒绝跟风 宝马不会开发电动车专有平台")</f>
        <v>拒绝跟风 宝马不会开发电动车专有平台</v>
      </c>
      <c r="C10690" s="2" t="s">
        <v>13</v>
      </c>
      <c r="D10690" s="2" t="s">
        <v>12</v>
      </c>
      <c r="E10690" s="2"/>
      <c r="F10690" s="2" t="str">
        <f>HYPERLINK("http://m.12365auto.com/news/20200208/418011.shtml","http://m.12365auto.com/news/20200208/418011.shtml")</f>
        <v>http://m.12365auto.com/news/20200208/418011.shtml</v>
      </c>
      <c r="G10690" s="2"/>
      <c r="H10690" s="2" t="s">
        <v>14257</v>
      </c>
      <c r="I10690" s="2" t="s">
        <v>19</v>
      </c>
      <c r="J10690" s="2" t="s">
        <v>14258</v>
      </c>
      <c r="K10690" s="2" t="s">
        <v>14256</v>
      </c>
      <c r="L10690" s="2">
        <f t="shared" si="166"/>
        <v>150</v>
      </c>
    </row>
    <row r="10691" spans="1:12" ht="25" customHeight="1">
      <c r="A10691" s="2" t="s">
        <v>12</v>
      </c>
      <c r="B10691" s="2" t="str">
        <f>HYPERLINK("http://m.12365auto.com/xcdg/20200208/418010.shtml","芝加哥车展：新款福特GT液态碳纤维版")</f>
        <v>芝加哥车展：新款福特GT液态碳纤维版</v>
      </c>
      <c r="C10691" s="2" t="s">
        <v>13</v>
      </c>
      <c r="D10691" s="2" t="s">
        <v>12</v>
      </c>
      <c r="E10691" s="2"/>
      <c r="F10691" s="2" t="str">
        <f>HYPERLINK("http://m.12365auto.com/xcdg/20200208/418010.shtml","http://m.12365auto.com/xcdg/20200208/418010.shtml")</f>
        <v>http://m.12365auto.com/xcdg/20200208/418010.shtml</v>
      </c>
      <c r="G10691" s="2"/>
      <c r="H10691" s="2" t="s">
        <v>14259</v>
      </c>
      <c r="I10691" s="2" t="s">
        <v>19</v>
      </c>
      <c r="J10691" s="2" t="s">
        <v>2594</v>
      </c>
      <c r="K10691" s="2" t="s">
        <v>14260</v>
      </c>
      <c r="L10691" s="2">
        <f t="shared" ref="L10691:L10754" si="167">LEN(H10691)</f>
        <v>150</v>
      </c>
    </row>
    <row r="10692" spans="1:12" ht="25" customHeight="1">
      <c r="A10692" s="2" t="s">
        <v>12</v>
      </c>
      <c r="B10692" s="2" t="str">
        <f>HYPERLINK("http://www.12365auto.com/xcdg/20200208/418010.shtml","芝加哥车展：新款福特GT液态碳纤维版")</f>
        <v>芝加哥车展：新款福特GT液态碳纤维版</v>
      </c>
      <c r="C10692" s="2" t="s">
        <v>13</v>
      </c>
      <c r="D10692" s="2" t="s">
        <v>12</v>
      </c>
      <c r="E10692" s="2" t="s">
        <v>216</v>
      </c>
      <c r="F10692" s="2" t="str">
        <f>HYPERLINK("http://www.12365auto.com/xcdg/20200208/418010.shtml","http://www.12365auto.com/xcdg/20200208/418010.shtml")</f>
        <v>http://www.12365auto.com/xcdg/20200208/418010.shtml</v>
      </c>
      <c r="G10692" s="2"/>
      <c r="H10692" s="2" t="s">
        <v>14261</v>
      </c>
      <c r="I10692" s="2" t="s">
        <v>15</v>
      </c>
      <c r="J10692" s="2" t="s">
        <v>12</v>
      </c>
      <c r="K10692" s="2" t="s">
        <v>14260</v>
      </c>
      <c r="L10692" s="2">
        <f t="shared" si="167"/>
        <v>150</v>
      </c>
    </row>
    <row r="10693" spans="1:12" ht="25" customHeight="1">
      <c r="A10693" s="2" t="s">
        <v>12</v>
      </c>
      <c r="B10693" s="2" t="str">
        <f>HYPERLINK("http://m.12365auto.com/xcdg/20200208/418009.shtml","焕然新装 芝加哥车展图说新款起亚凯尊")</f>
        <v>焕然新装 芝加哥车展图说新款起亚凯尊</v>
      </c>
      <c r="C10693" s="2" t="s">
        <v>13</v>
      </c>
      <c r="D10693" s="2" t="s">
        <v>12</v>
      </c>
      <c r="E10693" s="2"/>
      <c r="F10693" s="2" t="str">
        <f>HYPERLINK("http://m.12365auto.com/xcdg/20200208/418009.shtml","http://m.12365auto.com/xcdg/20200208/418009.shtml")</f>
        <v>http://m.12365auto.com/xcdg/20200208/418009.shtml</v>
      </c>
      <c r="G10693" s="2"/>
      <c r="H10693" s="2" t="s">
        <v>14262</v>
      </c>
      <c r="I10693" s="2" t="s">
        <v>19</v>
      </c>
      <c r="J10693" s="2" t="s">
        <v>2830</v>
      </c>
      <c r="K10693" s="2" t="s">
        <v>14263</v>
      </c>
      <c r="L10693" s="2">
        <f t="shared" si="167"/>
        <v>150</v>
      </c>
    </row>
    <row r="10694" spans="1:12" ht="25" customHeight="1">
      <c r="A10694" s="2" t="s">
        <v>12</v>
      </c>
      <c r="B10694" s="2" t="str">
        <f>HYPERLINK("http://www.12365auto.com/xcdg/20200208/418009.shtml","焕然新装 芝加哥车展图说新款起亚凯尊")</f>
        <v>焕然新装 芝加哥车展图说新款起亚凯尊</v>
      </c>
      <c r="C10694" s="2" t="s">
        <v>13</v>
      </c>
      <c r="D10694" s="2" t="s">
        <v>12</v>
      </c>
      <c r="E10694" s="2" t="s">
        <v>245</v>
      </c>
      <c r="F10694" s="2" t="str">
        <f>HYPERLINK("http://www.12365auto.com/xcdg/20200208/418009.shtml","http://www.12365auto.com/xcdg/20200208/418009.shtml")</f>
        <v>http://www.12365auto.com/xcdg/20200208/418009.shtml</v>
      </c>
      <c r="G10694" s="2"/>
      <c r="H10694" s="2" t="s">
        <v>14264</v>
      </c>
      <c r="I10694" s="2" t="s">
        <v>19</v>
      </c>
      <c r="J10694" s="2" t="s">
        <v>12</v>
      </c>
      <c r="K10694" s="2" t="s">
        <v>14263</v>
      </c>
      <c r="L10694" s="2">
        <f t="shared" si="167"/>
        <v>150</v>
      </c>
    </row>
    <row r="10695" spans="1:12" ht="25" customHeight="1">
      <c r="A10695" s="2" t="s">
        <v>12</v>
      </c>
      <c r="B10695" s="2" t="str">
        <f>HYPERLINK("http://www.12365auto.com/news/20200208/418008.shtml","配合疫情防控 固特异暂时关闭中国工厂")</f>
        <v>配合疫情防控 固特异暂时关闭中国工厂</v>
      </c>
      <c r="C10695" s="2" t="s">
        <v>13</v>
      </c>
      <c r="D10695" s="2" t="s">
        <v>12</v>
      </c>
      <c r="E10695" s="2" t="s">
        <v>276</v>
      </c>
      <c r="F10695" s="2" t="str">
        <f>HYPERLINK("http://www.12365auto.com/news/20200208/418008.shtml","http://www.12365auto.com/news/20200208/418008.shtml")</f>
        <v>http://www.12365auto.com/news/20200208/418008.shtml</v>
      </c>
      <c r="G10695" s="2"/>
      <c r="H10695" s="2" t="s">
        <v>14265</v>
      </c>
      <c r="I10695" s="2" t="s">
        <v>15</v>
      </c>
      <c r="J10695" s="2" t="s">
        <v>12</v>
      </c>
      <c r="K10695" s="2" t="s">
        <v>14266</v>
      </c>
      <c r="L10695" s="2">
        <f t="shared" si="167"/>
        <v>150</v>
      </c>
    </row>
    <row r="10696" spans="1:12" ht="25" customHeight="1">
      <c r="A10696" s="2" t="s">
        <v>12</v>
      </c>
      <c r="B10696" s="2" t="str">
        <f>HYPERLINK("http://m.12365auto.com/news/20200208/418008.shtml","配合疫情防控 固特异暂时关闭中国工厂")</f>
        <v>配合疫情防控 固特异暂时关闭中国工厂</v>
      </c>
      <c r="C10696" s="2" t="s">
        <v>13</v>
      </c>
      <c r="D10696" s="2" t="s">
        <v>12</v>
      </c>
      <c r="E10696" s="2"/>
      <c r="F10696" s="2" t="str">
        <f>HYPERLINK("http://m.12365auto.com/news/20200208/418008.shtml","http://m.12365auto.com/news/20200208/418008.shtml")</f>
        <v>http://m.12365auto.com/news/20200208/418008.shtml</v>
      </c>
      <c r="G10696" s="2"/>
      <c r="H10696" s="2" t="s">
        <v>14267</v>
      </c>
      <c r="I10696" s="2" t="s">
        <v>19</v>
      </c>
      <c r="J10696" s="2" t="s">
        <v>1653</v>
      </c>
      <c r="K10696" s="2" t="s">
        <v>14266</v>
      </c>
      <c r="L10696" s="2">
        <f t="shared" si="167"/>
        <v>150</v>
      </c>
    </row>
    <row r="10697" spans="1:12" ht="25" customHeight="1">
      <c r="A10697" s="2" t="s">
        <v>12</v>
      </c>
      <c r="B10697" s="2" t="str">
        <f>HYPERLINK("http://www.12365auto.com/news/20200208/418007.shtml","应对疫情 宝沃推出经销商四项支持政策")</f>
        <v>应对疫情 宝沃推出经销商四项支持政策</v>
      </c>
      <c r="C10697" s="2" t="s">
        <v>13</v>
      </c>
      <c r="D10697" s="2" t="s">
        <v>12</v>
      </c>
      <c r="E10697" s="2" t="s">
        <v>276</v>
      </c>
      <c r="F10697" s="2" t="str">
        <f>HYPERLINK("http://www.12365auto.com/news/20200208/418007.shtml","http://www.12365auto.com/news/20200208/418007.shtml")</f>
        <v>http://www.12365auto.com/news/20200208/418007.shtml</v>
      </c>
      <c r="G10697" s="2"/>
      <c r="H10697" s="2" t="s">
        <v>14268</v>
      </c>
      <c r="I10697" s="2" t="s">
        <v>15</v>
      </c>
      <c r="J10697" s="2" t="s">
        <v>12</v>
      </c>
      <c r="K10697" s="2" t="s">
        <v>14269</v>
      </c>
      <c r="L10697" s="2">
        <f t="shared" si="167"/>
        <v>150</v>
      </c>
    </row>
    <row r="10698" spans="1:12" ht="25" customHeight="1">
      <c r="A10698" s="2" t="s">
        <v>12</v>
      </c>
      <c r="B10698" s="2" t="str">
        <f>HYPERLINK("http://m.12365auto.com/news/20200208/418007.shtml","应对疫情 宝沃推出经销商四项支持政策")</f>
        <v>应对疫情 宝沃推出经销商四项支持政策</v>
      </c>
      <c r="C10698" s="2" t="s">
        <v>13</v>
      </c>
      <c r="D10698" s="2" t="s">
        <v>12</v>
      </c>
      <c r="E10698" s="2"/>
      <c r="F10698" s="2" t="str">
        <f>HYPERLINK("http://m.12365auto.com/news/20200208/418007.shtml","http://m.12365auto.com/news/20200208/418007.shtml")</f>
        <v>http://m.12365auto.com/news/20200208/418007.shtml</v>
      </c>
      <c r="G10698" s="2"/>
      <c r="H10698" s="2" t="s">
        <v>14270</v>
      </c>
      <c r="I10698" s="2" t="s">
        <v>19</v>
      </c>
      <c r="J10698" s="2" t="s">
        <v>2808</v>
      </c>
      <c r="K10698" s="2" t="s">
        <v>14269</v>
      </c>
      <c r="L10698" s="2">
        <f t="shared" si="167"/>
        <v>150</v>
      </c>
    </row>
    <row r="10699" spans="1:12" ht="25" customHeight="1">
      <c r="A10699" s="2" t="s">
        <v>12</v>
      </c>
      <c r="B10699" s="2" t="str">
        <f>HYPERLINK("http://www.12365auto.com/zlts/20200208/446608.shtml","捷途X90遥控钥匙无尾门开关影响使用")</f>
        <v>捷途X90遥控钥匙无尾门开关影响使用</v>
      </c>
      <c r="C10699" s="2" t="s">
        <v>13</v>
      </c>
      <c r="D10699" s="2" t="s">
        <v>12</v>
      </c>
      <c r="E10699" s="2" t="s">
        <v>17</v>
      </c>
      <c r="F10699" s="2" t="str">
        <f>HYPERLINK("http://www.12365auto.com/zlts/20200208/446608.shtml","http://www.12365auto.com/zlts/20200208/446608.shtml")</f>
        <v>http://www.12365auto.com/zlts/20200208/446608.shtml</v>
      </c>
      <c r="G10699" s="2"/>
      <c r="H10699" s="2" t="s">
        <v>14271</v>
      </c>
      <c r="I10699" s="2" t="s">
        <v>19</v>
      </c>
      <c r="J10699" s="2" t="s">
        <v>12</v>
      </c>
      <c r="K10699" s="2" t="s">
        <v>14272</v>
      </c>
      <c r="L10699" s="2">
        <f t="shared" si="167"/>
        <v>150</v>
      </c>
    </row>
    <row r="10700" spans="1:12" ht="25" customHeight="1">
      <c r="A10700" s="2" t="s">
        <v>12</v>
      </c>
      <c r="B10700" s="2" t="str">
        <f>HYPERLINK("http://www.12365auto.com/news/20200208/418006.shtml","延长保修等 东风日产针对疫情再出新政")</f>
        <v>延长保修等 东风日产针对疫情再出新政</v>
      </c>
      <c r="C10700" s="2" t="s">
        <v>13</v>
      </c>
      <c r="D10700" s="2" t="s">
        <v>12</v>
      </c>
      <c r="E10700" s="2" t="s">
        <v>276</v>
      </c>
      <c r="F10700" s="2" t="str">
        <f>HYPERLINK("http://www.12365auto.com/news/20200208/418006.shtml","http://www.12365auto.com/news/20200208/418006.shtml")</f>
        <v>http://www.12365auto.com/news/20200208/418006.shtml</v>
      </c>
      <c r="G10700" s="2"/>
      <c r="H10700" s="2" t="s">
        <v>14273</v>
      </c>
      <c r="I10700" s="2" t="s">
        <v>15</v>
      </c>
      <c r="J10700" s="2" t="s">
        <v>12</v>
      </c>
      <c r="K10700" s="2" t="s">
        <v>14274</v>
      </c>
      <c r="L10700" s="2">
        <f t="shared" si="167"/>
        <v>150</v>
      </c>
    </row>
    <row r="10701" spans="1:12" ht="25" customHeight="1">
      <c r="A10701" s="2" t="s">
        <v>12</v>
      </c>
      <c r="B10701" s="2" t="str">
        <f>HYPERLINK("http://m.12365auto.com/news/20200208/418006.shtml","延长保修等 东风日产针对疫情再出新政")</f>
        <v>延长保修等 东风日产针对疫情再出新政</v>
      </c>
      <c r="C10701" s="2" t="s">
        <v>13</v>
      </c>
      <c r="D10701" s="2" t="s">
        <v>12</v>
      </c>
      <c r="E10701" s="2"/>
      <c r="F10701" s="2" t="str">
        <f>HYPERLINK("http://m.12365auto.com/news/20200208/418006.shtml","http://m.12365auto.com/news/20200208/418006.shtml")</f>
        <v>http://m.12365auto.com/news/20200208/418006.shtml</v>
      </c>
      <c r="G10701" s="2"/>
      <c r="H10701" s="2" t="s">
        <v>14275</v>
      </c>
      <c r="I10701" s="2" t="s">
        <v>19</v>
      </c>
      <c r="J10701" s="2" t="s">
        <v>2560</v>
      </c>
      <c r="K10701" s="2" t="s">
        <v>14274</v>
      </c>
      <c r="L10701" s="2">
        <f t="shared" si="167"/>
        <v>150</v>
      </c>
    </row>
    <row r="10702" spans="1:12" ht="25" customHeight="1">
      <c r="A10702" s="2" t="s">
        <v>12</v>
      </c>
      <c r="B10702" s="2" t="str">
        <f>HYPERLINK("http://m.12365auto.com/news/20200208/418005.shtml","加深合作 丰田对斯巴鲁出资比例增至20%")</f>
        <v>加深合作 丰田对斯巴鲁出资比例增至20%</v>
      </c>
      <c r="C10702" s="2" t="s">
        <v>13</v>
      </c>
      <c r="D10702" s="2" t="s">
        <v>12</v>
      </c>
      <c r="E10702" s="2"/>
      <c r="F10702" s="2" t="str">
        <f>HYPERLINK("http://m.12365auto.com/news/20200208/418005.shtml","http://m.12365auto.com/news/20200208/418005.shtml")</f>
        <v>http://m.12365auto.com/news/20200208/418005.shtml</v>
      </c>
      <c r="G10702" s="2"/>
      <c r="H10702" s="2" t="s">
        <v>14276</v>
      </c>
      <c r="I10702" s="2" t="s">
        <v>19</v>
      </c>
      <c r="J10702" s="2" t="s">
        <v>274</v>
      </c>
      <c r="K10702" s="2" t="s">
        <v>14277</v>
      </c>
      <c r="L10702" s="2">
        <f t="shared" si="167"/>
        <v>150</v>
      </c>
    </row>
    <row r="10703" spans="1:12" ht="25" customHeight="1">
      <c r="A10703" s="2" t="s">
        <v>12</v>
      </c>
      <c r="B10703" s="2" t="str">
        <f>HYPERLINK("http://www.12365auto.com/news/20200208/418005.shtml","加深合作 丰田对斯巴鲁出资比例增至20%")</f>
        <v>加深合作 丰田对斯巴鲁出资比例增至20%</v>
      </c>
      <c r="C10703" s="2" t="s">
        <v>13</v>
      </c>
      <c r="D10703" s="2" t="s">
        <v>12</v>
      </c>
      <c r="E10703" s="2" t="s">
        <v>282</v>
      </c>
      <c r="F10703" s="2" t="str">
        <f>HYPERLINK("http://www.12365auto.com/news/20200208/418005.shtml","http://www.12365auto.com/news/20200208/418005.shtml")</f>
        <v>http://www.12365auto.com/news/20200208/418005.shtml</v>
      </c>
      <c r="G10703" s="2"/>
      <c r="H10703" s="2" t="s">
        <v>14278</v>
      </c>
      <c r="I10703" s="2" t="s">
        <v>19</v>
      </c>
      <c r="J10703" s="2" t="s">
        <v>12</v>
      </c>
      <c r="K10703" s="2" t="s">
        <v>14277</v>
      </c>
      <c r="L10703" s="2">
        <f t="shared" si="167"/>
        <v>150</v>
      </c>
    </row>
    <row r="10704" spans="1:12" ht="25" customHeight="1">
      <c r="A10704" s="2" t="s">
        <v>12</v>
      </c>
      <c r="B10704" s="2" t="str">
        <f>HYPERLINK("http://www.12365auto.com/news/20200208/418004.shtml","延保/VR看车 东风标致启动“蓝色关爱”")</f>
        <v>延保/VR看车 东风标致启动“蓝色关爱”</v>
      </c>
      <c r="C10704" s="2" t="s">
        <v>13</v>
      </c>
      <c r="D10704" s="2" t="s">
        <v>12</v>
      </c>
      <c r="E10704" s="2" t="s">
        <v>276</v>
      </c>
      <c r="F10704" s="2" t="str">
        <f>HYPERLINK("http://www.12365auto.com/news/20200208/418004.shtml","http://www.12365auto.com/news/20200208/418004.shtml")</f>
        <v>http://www.12365auto.com/news/20200208/418004.shtml</v>
      </c>
      <c r="G10704" s="2"/>
      <c r="H10704" s="2" t="s">
        <v>14279</v>
      </c>
      <c r="I10704" s="2" t="s">
        <v>15</v>
      </c>
      <c r="J10704" s="2" t="s">
        <v>12</v>
      </c>
      <c r="K10704" s="2" t="s">
        <v>14280</v>
      </c>
      <c r="L10704" s="2">
        <f t="shared" si="167"/>
        <v>150</v>
      </c>
    </row>
    <row r="10705" spans="1:12" ht="25" customHeight="1">
      <c r="A10705" s="2" t="s">
        <v>12</v>
      </c>
      <c r="B10705" s="2" t="str">
        <f>HYPERLINK("http://m.12365auto.com/news/20200208/418004.shtml","延保/VR看车 东风标致启动“蓝色关爱”")</f>
        <v>延保/VR看车 东风标致启动“蓝色关爱”</v>
      </c>
      <c r="C10705" s="2" t="s">
        <v>13</v>
      </c>
      <c r="D10705" s="2" t="s">
        <v>12</v>
      </c>
      <c r="E10705" s="2"/>
      <c r="F10705" s="2" t="str">
        <f>HYPERLINK("http://m.12365auto.com/news/20200208/418004.shtml","http://m.12365auto.com/news/20200208/418004.shtml")</f>
        <v>http://m.12365auto.com/news/20200208/418004.shtml</v>
      </c>
      <c r="G10705" s="2"/>
      <c r="H10705" s="2" t="s">
        <v>14281</v>
      </c>
      <c r="I10705" s="2" t="s">
        <v>19</v>
      </c>
      <c r="J10705" s="2" t="s">
        <v>1170</v>
      </c>
      <c r="K10705" s="2" t="s">
        <v>14280</v>
      </c>
      <c r="L10705" s="2">
        <f t="shared" si="167"/>
        <v>150</v>
      </c>
    </row>
    <row r="10706" spans="1:12" ht="25" customHeight="1">
      <c r="A10706" s="2" t="s">
        <v>12</v>
      </c>
      <c r="B10706" s="2" t="str">
        <f>HYPERLINK("http://www.12365auto.com/news/20200208/418003.shtml","支持疫情防控 斯巴鲁向湖北省捐100万元")</f>
        <v>支持疫情防控 斯巴鲁向湖北省捐100万元</v>
      </c>
      <c r="C10706" s="2" t="s">
        <v>13</v>
      </c>
      <c r="D10706" s="2" t="s">
        <v>12</v>
      </c>
      <c r="E10706" s="2" t="s">
        <v>276</v>
      </c>
      <c r="F10706" s="2" t="str">
        <f>HYPERLINK("http://www.12365auto.com/news/20200208/418003.shtml","http://www.12365auto.com/news/20200208/418003.shtml")</f>
        <v>http://www.12365auto.com/news/20200208/418003.shtml</v>
      </c>
      <c r="G10706" s="2"/>
      <c r="H10706" s="2" t="s">
        <v>14282</v>
      </c>
      <c r="I10706" s="2" t="s">
        <v>15</v>
      </c>
      <c r="J10706" s="2" t="s">
        <v>12</v>
      </c>
      <c r="K10706" s="2" t="s">
        <v>14283</v>
      </c>
      <c r="L10706" s="2">
        <f t="shared" si="167"/>
        <v>150</v>
      </c>
    </row>
    <row r="10707" spans="1:12" ht="25" customHeight="1">
      <c r="A10707" s="2" t="s">
        <v>12</v>
      </c>
      <c r="B10707" s="2" t="str">
        <f>HYPERLINK("http://m.12365auto.com/news/20200208/418003.shtml","支持疫情防控 斯巴鲁向湖北省捐100万元")</f>
        <v>支持疫情防控 斯巴鲁向湖北省捐100万元</v>
      </c>
      <c r="C10707" s="2" t="s">
        <v>13</v>
      </c>
      <c r="D10707" s="2" t="s">
        <v>12</v>
      </c>
      <c r="E10707" s="2"/>
      <c r="F10707" s="2" t="str">
        <f>HYPERLINK("http://m.12365auto.com/news/20200208/418003.shtml","http://m.12365auto.com/news/20200208/418003.shtml")</f>
        <v>http://m.12365auto.com/news/20200208/418003.shtml</v>
      </c>
      <c r="G10707" s="2"/>
      <c r="H10707" s="2" t="s">
        <v>14284</v>
      </c>
      <c r="I10707" s="2" t="s">
        <v>19</v>
      </c>
      <c r="J10707" s="2" t="s">
        <v>274</v>
      </c>
      <c r="K10707" s="2" t="s">
        <v>14283</v>
      </c>
      <c r="L10707" s="2">
        <f t="shared" si="167"/>
        <v>150</v>
      </c>
    </row>
    <row r="10708" spans="1:12" ht="25" customHeight="1">
      <c r="A10708" s="2" t="s">
        <v>12</v>
      </c>
      <c r="B10708" s="2" t="str">
        <f>HYPERLINK("http://m.12365auto.com/news/20200208/418002.shtml","减负经销商 东风雪铁龙多措并举抗疫情")</f>
        <v>减负经销商 东风雪铁龙多措并举抗疫情</v>
      </c>
      <c r="C10708" s="2" t="s">
        <v>13</v>
      </c>
      <c r="D10708" s="2" t="s">
        <v>12</v>
      </c>
      <c r="E10708" s="2"/>
      <c r="F10708" s="2" t="str">
        <f>HYPERLINK("http://m.12365auto.com/news/20200208/418002.shtml","http://m.12365auto.com/news/20200208/418002.shtml")</f>
        <v>http://m.12365auto.com/news/20200208/418002.shtml</v>
      </c>
      <c r="G10708" s="2"/>
      <c r="H10708" s="2" t="s">
        <v>14285</v>
      </c>
      <c r="I10708" s="2" t="s">
        <v>19</v>
      </c>
      <c r="J10708" s="2" t="s">
        <v>2808</v>
      </c>
      <c r="K10708" s="2" t="s">
        <v>14286</v>
      </c>
      <c r="L10708" s="2">
        <f t="shared" si="167"/>
        <v>150</v>
      </c>
    </row>
    <row r="10709" spans="1:12" ht="25" customHeight="1">
      <c r="A10709" s="2" t="s">
        <v>12</v>
      </c>
      <c r="B10709" s="2" t="str">
        <f>HYPERLINK("http://www.12365auto.com/news/20200208/418002.shtml","减负经销商 东风雪铁龙多措并举抗疫情")</f>
        <v>减负经销商 东风雪铁龙多措并举抗疫情</v>
      </c>
      <c r="C10709" s="2" t="s">
        <v>13</v>
      </c>
      <c r="D10709" s="2" t="s">
        <v>12</v>
      </c>
      <c r="E10709" s="2" t="s">
        <v>276</v>
      </c>
      <c r="F10709" s="2" t="str">
        <f>HYPERLINK("http://www.12365auto.com/news/20200208/418002.shtml","http://www.12365auto.com/news/20200208/418002.shtml")</f>
        <v>http://www.12365auto.com/news/20200208/418002.shtml</v>
      </c>
      <c r="G10709" s="2"/>
      <c r="H10709" s="2" t="s">
        <v>14287</v>
      </c>
      <c r="I10709" s="2" t="s">
        <v>15</v>
      </c>
      <c r="J10709" s="2" t="s">
        <v>12</v>
      </c>
      <c r="K10709" s="2" t="s">
        <v>14286</v>
      </c>
      <c r="L10709" s="2">
        <f t="shared" si="167"/>
        <v>150</v>
      </c>
    </row>
    <row r="10710" spans="1:12" ht="25" customHeight="1">
      <c r="A10710" s="2" t="s">
        <v>12</v>
      </c>
      <c r="B10710" s="2" t="str">
        <f>HYPERLINK("http://www.12365auto.com/news/20200208/418001.shtml","车主专属 小鹏汽车推复工免费加电权益")</f>
        <v>车主专属 小鹏汽车推复工免费加电权益</v>
      </c>
      <c r="C10710" s="2" t="s">
        <v>13</v>
      </c>
      <c r="D10710" s="2" t="s">
        <v>12</v>
      </c>
      <c r="E10710" s="2" t="s">
        <v>276</v>
      </c>
      <c r="F10710" s="2" t="str">
        <f>HYPERLINK("http://www.12365auto.com/news/20200208/418001.shtml","http://www.12365auto.com/news/20200208/418001.shtml")</f>
        <v>http://www.12365auto.com/news/20200208/418001.shtml</v>
      </c>
      <c r="G10710" s="2"/>
      <c r="H10710" s="2" t="s">
        <v>14288</v>
      </c>
      <c r="I10710" s="2" t="s">
        <v>15</v>
      </c>
      <c r="J10710" s="2" t="s">
        <v>12</v>
      </c>
      <c r="K10710" s="2" t="s">
        <v>14289</v>
      </c>
      <c r="L10710" s="2">
        <f t="shared" si="167"/>
        <v>150</v>
      </c>
    </row>
    <row r="10711" spans="1:12" ht="25" customHeight="1">
      <c r="A10711" s="2" t="s">
        <v>12</v>
      </c>
      <c r="B10711" s="2" t="str">
        <f>HYPERLINK("http://m.12365auto.com/news/20200208/418001.shtml","车主专属 小鹏汽车推复工免费加电权益")</f>
        <v>车主专属 小鹏汽车推复工免费加电权益</v>
      </c>
      <c r="C10711" s="2" t="s">
        <v>13</v>
      </c>
      <c r="D10711" s="2" t="s">
        <v>12</v>
      </c>
      <c r="E10711" s="2"/>
      <c r="F10711" s="2" t="str">
        <f>HYPERLINK("http://m.12365auto.com/news/20200208/418001.shtml","http://m.12365auto.com/news/20200208/418001.shtml")</f>
        <v>http://m.12365auto.com/news/20200208/418001.shtml</v>
      </c>
      <c r="G10711" s="2"/>
      <c r="H10711" s="2" t="s">
        <v>14290</v>
      </c>
      <c r="I10711" s="2" t="s">
        <v>19</v>
      </c>
      <c r="J10711" s="2" t="s">
        <v>330</v>
      </c>
      <c r="K10711" s="2" t="s">
        <v>14289</v>
      </c>
      <c r="L10711" s="2">
        <f t="shared" si="167"/>
        <v>150</v>
      </c>
    </row>
    <row r="10712" spans="1:12" ht="25" customHeight="1">
      <c r="A10712" s="2" t="s">
        <v>12</v>
      </c>
      <c r="B10712" s="2" t="str">
        <f>HYPERLINK("http://www.12365auto.com/zlts/20200208/446607.shtml","东风日产奇骏转向轴及金属件生锈严重")</f>
        <v>东风日产奇骏转向轴及金属件生锈严重</v>
      </c>
      <c r="C10712" s="2" t="s">
        <v>13</v>
      </c>
      <c r="D10712" s="2" t="s">
        <v>12</v>
      </c>
      <c r="E10712" s="2" t="s">
        <v>17</v>
      </c>
      <c r="F10712" s="2" t="str">
        <f>HYPERLINK("http://www.12365auto.com/zlts/20200208/446607.shtml","http://www.12365auto.com/zlts/20200208/446607.shtml")</f>
        <v>http://www.12365auto.com/zlts/20200208/446607.shtml</v>
      </c>
      <c r="G10712" s="2"/>
      <c r="H10712" s="2" t="s">
        <v>14291</v>
      </c>
      <c r="I10712" s="2" t="s">
        <v>19</v>
      </c>
      <c r="J10712" s="2" t="s">
        <v>12</v>
      </c>
      <c r="K10712" s="2" t="s">
        <v>14292</v>
      </c>
      <c r="L10712" s="2">
        <f t="shared" si="167"/>
        <v>150</v>
      </c>
    </row>
    <row r="10713" spans="1:12" ht="25" customHeight="1">
      <c r="A10713" s="2" t="s">
        <v>12</v>
      </c>
      <c r="B10713" s="2" t="str">
        <f>HYPERLINK("http://m.12365auto.com/xcdg/20200208/418000.shtml","解读低配车 拍宝马X5 2020款xDrive30i")</f>
        <v>解读低配车 拍宝马X5 2020款xDrive30i</v>
      </c>
      <c r="C10713" s="2" t="s">
        <v>13</v>
      </c>
      <c r="D10713" s="2" t="s">
        <v>12</v>
      </c>
      <c r="E10713" s="2"/>
      <c r="F10713" s="2" t="str">
        <f>HYPERLINK("http://m.12365auto.com/xcdg/20200208/418000.shtml","http://m.12365auto.com/xcdg/20200208/418000.shtml")</f>
        <v>http://m.12365auto.com/xcdg/20200208/418000.shtml</v>
      </c>
      <c r="G10713" s="2"/>
      <c r="H10713" s="2" t="s">
        <v>14293</v>
      </c>
      <c r="I10713" s="2" t="s">
        <v>19</v>
      </c>
      <c r="J10713" s="2" t="s">
        <v>4729</v>
      </c>
      <c r="K10713" s="2" t="s">
        <v>14294</v>
      </c>
      <c r="L10713" s="2">
        <f t="shared" si="167"/>
        <v>150</v>
      </c>
    </row>
    <row r="10714" spans="1:12" ht="25" customHeight="1">
      <c r="A10714" s="2" t="s">
        <v>12</v>
      </c>
      <c r="B10714" s="2" t="str">
        <f>HYPERLINK("http://www.12365auto.com/news/20200208/417999.shtml","抗击疫情 星途汽车推7项措施减负经销商")</f>
        <v>抗击疫情 星途汽车推7项措施减负经销商</v>
      </c>
      <c r="C10714" s="2" t="s">
        <v>13</v>
      </c>
      <c r="D10714" s="2" t="s">
        <v>12</v>
      </c>
      <c r="E10714" s="2" t="s">
        <v>276</v>
      </c>
      <c r="F10714" s="2" t="str">
        <f>HYPERLINK("http://www.12365auto.com/news/20200208/417999.shtml","http://www.12365auto.com/news/20200208/417999.shtml")</f>
        <v>http://www.12365auto.com/news/20200208/417999.shtml</v>
      </c>
      <c r="G10714" s="2"/>
      <c r="H10714" s="2" t="s">
        <v>14295</v>
      </c>
      <c r="I10714" s="2" t="s">
        <v>15</v>
      </c>
      <c r="J10714" s="2" t="s">
        <v>12</v>
      </c>
      <c r="K10714" s="2" t="s">
        <v>14296</v>
      </c>
      <c r="L10714" s="2">
        <f t="shared" si="167"/>
        <v>150</v>
      </c>
    </row>
    <row r="10715" spans="1:12" ht="25" customHeight="1">
      <c r="A10715" s="2" t="s">
        <v>12</v>
      </c>
      <c r="B10715" s="2" t="str">
        <f>HYPERLINK("http://m.12365auto.com/news/20200208/417999.shtml","抗击疫情 星途汽车推7项措施减负经销商")</f>
        <v>抗击疫情 星途汽车推7项措施减负经销商</v>
      </c>
      <c r="C10715" s="2" t="s">
        <v>13</v>
      </c>
      <c r="D10715" s="2" t="s">
        <v>12</v>
      </c>
      <c r="E10715" s="2"/>
      <c r="F10715" s="2" t="str">
        <f>HYPERLINK("http://m.12365auto.com/news/20200208/417999.shtml","http://m.12365auto.com/news/20200208/417999.shtml")</f>
        <v>http://m.12365auto.com/news/20200208/417999.shtml</v>
      </c>
      <c r="G10715" s="2"/>
      <c r="H10715" s="2" t="s">
        <v>14297</v>
      </c>
      <c r="I10715" s="2" t="s">
        <v>19</v>
      </c>
      <c r="J10715" s="2" t="s">
        <v>2808</v>
      </c>
      <c r="K10715" s="2" t="s">
        <v>14296</v>
      </c>
      <c r="L10715" s="2">
        <f t="shared" si="167"/>
        <v>150</v>
      </c>
    </row>
    <row r="10716" spans="1:12" ht="25" customHeight="1">
      <c r="A10716" s="2" t="s">
        <v>12</v>
      </c>
      <c r="B10716" s="2" t="str">
        <f>HYPERLINK("http://www.12365auto.com/news/20200208/417998.shtml","保障经销商健康运营 名爵推出6项举措")</f>
        <v>保障经销商健康运营 名爵推出6项举措</v>
      </c>
      <c r="C10716" s="2" t="s">
        <v>13</v>
      </c>
      <c r="D10716" s="2" t="s">
        <v>12</v>
      </c>
      <c r="E10716" s="2" t="s">
        <v>276</v>
      </c>
      <c r="F10716" s="2" t="str">
        <f>HYPERLINK("http://www.12365auto.com/news/20200208/417998.shtml","http://www.12365auto.com/news/20200208/417998.shtml")</f>
        <v>http://www.12365auto.com/news/20200208/417998.shtml</v>
      </c>
      <c r="G10716" s="2"/>
      <c r="H10716" s="2" t="s">
        <v>14298</v>
      </c>
      <c r="I10716" s="2" t="s">
        <v>15</v>
      </c>
      <c r="J10716" s="2" t="s">
        <v>12</v>
      </c>
      <c r="K10716" s="2" t="s">
        <v>14299</v>
      </c>
      <c r="L10716" s="2">
        <f t="shared" si="167"/>
        <v>150</v>
      </c>
    </row>
    <row r="10717" spans="1:12" ht="25" customHeight="1">
      <c r="A10717" s="2" t="s">
        <v>12</v>
      </c>
      <c r="B10717" s="2" t="str">
        <f>HYPERLINK("http://m.12365auto.com/news/20200208/417998.shtml","保障经销商健康运营 名爵推出6项举措")</f>
        <v>保障经销商健康运营 名爵推出6项举措</v>
      </c>
      <c r="C10717" s="2" t="s">
        <v>13</v>
      </c>
      <c r="D10717" s="2" t="s">
        <v>12</v>
      </c>
      <c r="E10717" s="2"/>
      <c r="F10717" s="2" t="str">
        <f>HYPERLINK("http://m.12365auto.com/news/20200208/417998.shtml","http://m.12365auto.com/news/20200208/417998.shtml")</f>
        <v>http://m.12365auto.com/news/20200208/417998.shtml</v>
      </c>
      <c r="G10717" s="2"/>
      <c r="H10717" s="2" t="s">
        <v>14300</v>
      </c>
      <c r="I10717" s="2" t="s">
        <v>19</v>
      </c>
      <c r="J10717" s="2" t="s">
        <v>286</v>
      </c>
      <c r="K10717" s="2" t="s">
        <v>14299</v>
      </c>
      <c r="L10717" s="2">
        <f t="shared" si="167"/>
        <v>150</v>
      </c>
    </row>
    <row r="10718" spans="1:12" ht="25" customHeight="1">
      <c r="A10718" s="2" t="s">
        <v>12</v>
      </c>
      <c r="B10718" s="2" t="str">
        <f>HYPERLINK("http://www.12365auto.com/xcdg/20200208/417997.shtml","JR-改装社：铃木官方改装版全新吉姆尼")</f>
        <v>JR-改装社：铃木官方改装版全新吉姆尼</v>
      </c>
      <c r="C10718" s="2" t="s">
        <v>13</v>
      </c>
      <c r="D10718" s="2" t="s">
        <v>12</v>
      </c>
      <c r="E10718" s="2" t="s">
        <v>216</v>
      </c>
      <c r="F10718" s="2" t="str">
        <f>HYPERLINK("http://www.12365auto.com/xcdg/20200208/417997.shtml","http://www.12365auto.com/xcdg/20200208/417997.shtml")</f>
        <v>http://www.12365auto.com/xcdg/20200208/417997.shtml</v>
      </c>
      <c r="G10718" s="2"/>
      <c r="H10718" s="2" t="s">
        <v>14301</v>
      </c>
      <c r="I10718" s="2" t="s">
        <v>15</v>
      </c>
      <c r="J10718" s="2" t="s">
        <v>12</v>
      </c>
      <c r="K10718" s="2" t="s">
        <v>14302</v>
      </c>
      <c r="L10718" s="2">
        <f t="shared" si="167"/>
        <v>150</v>
      </c>
    </row>
    <row r="10719" spans="1:12" ht="25" customHeight="1">
      <c r="A10719" s="2" t="s">
        <v>12</v>
      </c>
      <c r="B10719" s="2" t="str">
        <f>HYPERLINK("http://m.12365auto.com/xcdg/20200208/417997.shtml","JR-改装社：铃木官方改装版全新吉姆尼")</f>
        <v>JR-改装社：铃木官方改装版全新吉姆尼</v>
      </c>
      <c r="C10719" s="2" t="s">
        <v>13</v>
      </c>
      <c r="D10719" s="2" t="s">
        <v>12</v>
      </c>
      <c r="E10719" s="2"/>
      <c r="F10719" s="2" t="str">
        <f>HYPERLINK("http://m.12365auto.com/xcdg/20200208/417997.shtml","http://m.12365auto.com/xcdg/20200208/417997.shtml")</f>
        <v>http://m.12365auto.com/xcdg/20200208/417997.shtml</v>
      </c>
      <c r="G10719" s="2"/>
      <c r="H10719" s="2" t="s">
        <v>14303</v>
      </c>
      <c r="I10719" s="2" t="s">
        <v>19</v>
      </c>
      <c r="J10719" s="2" t="s">
        <v>14118</v>
      </c>
      <c r="K10719" s="2" t="s">
        <v>14302</v>
      </c>
      <c r="L10719" s="2">
        <f t="shared" si="167"/>
        <v>150</v>
      </c>
    </row>
    <row r="10720" spans="1:12" ht="25" customHeight="1">
      <c r="A10720" s="2" t="s">
        <v>12</v>
      </c>
      <c r="B10720" s="2" t="str">
        <f>HYPERLINK("http://www.12365auto.com/news/20200208/417996.shtml","2019年亏85亿美元 Uber预计2020年盈利")</f>
        <v>2019年亏85亿美元 Uber预计2020年盈利</v>
      </c>
      <c r="C10720" s="2" t="s">
        <v>13</v>
      </c>
      <c r="D10720" s="2" t="s">
        <v>12</v>
      </c>
      <c r="E10720" s="2" t="s">
        <v>276</v>
      </c>
      <c r="F10720" s="2" t="str">
        <f>HYPERLINK("http://www.12365auto.com/news/20200208/417996.shtml","http://www.12365auto.com/news/20200208/417996.shtml")</f>
        <v>http://www.12365auto.com/news/20200208/417996.shtml</v>
      </c>
      <c r="G10720" s="2"/>
      <c r="H10720" s="2" t="s">
        <v>14304</v>
      </c>
      <c r="I10720" s="2" t="s">
        <v>15</v>
      </c>
      <c r="J10720" s="2" t="s">
        <v>12</v>
      </c>
      <c r="K10720" s="2" t="s">
        <v>14305</v>
      </c>
      <c r="L10720" s="2">
        <f t="shared" si="167"/>
        <v>150</v>
      </c>
    </row>
    <row r="10721" spans="1:12" ht="25" customHeight="1">
      <c r="A10721" s="2" t="s">
        <v>12</v>
      </c>
      <c r="B10721" s="2" t="str">
        <f>HYPERLINK("http://m.12365auto.com/news/20200208/417996.shtml","2019年亏85亿美元 Uber预计2020年盈利")</f>
        <v>2019年亏85亿美元 Uber预计2020年盈利</v>
      </c>
      <c r="C10721" s="2" t="s">
        <v>13</v>
      </c>
      <c r="D10721" s="2" t="s">
        <v>12</v>
      </c>
      <c r="E10721" s="2"/>
      <c r="F10721" s="2" t="str">
        <f>HYPERLINK("http://m.12365auto.com/news/20200208/417996.shtml","http://m.12365auto.com/news/20200208/417996.shtml")</f>
        <v>http://m.12365auto.com/news/20200208/417996.shtml</v>
      </c>
      <c r="G10721" s="2"/>
      <c r="H10721" s="2" t="s">
        <v>14306</v>
      </c>
      <c r="I10721" s="2" t="s">
        <v>19</v>
      </c>
      <c r="J10721" s="2" t="s">
        <v>2808</v>
      </c>
      <c r="K10721" s="2" t="s">
        <v>14305</v>
      </c>
      <c r="L10721" s="2">
        <f t="shared" si="167"/>
        <v>150</v>
      </c>
    </row>
    <row r="10722" spans="1:12" ht="25" customHeight="1">
      <c r="A10722" s="2" t="s">
        <v>12</v>
      </c>
      <c r="B10722" s="2" t="str">
        <f>HYPERLINK("http://www.12365auto.com/news/20200208/417995.shtml","六大抗疫行动 长安汽车推疫情关怀政策")</f>
        <v>六大抗疫行动 长安汽车推疫情关怀政策</v>
      </c>
      <c r="C10722" s="2" t="s">
        <v>13</v>
      </c>
      <c r="D10722" s="2" t="s">
        <v>12</v>
      </c>
      <c r="E10722" s="2" t="s">
        <v>276</v>
      </c>
      <c r="F10722" s="2" t="str">
        <f>HYPERLINK("http://www.12365auto.com/news/20200208/417995.shtml","http://www.12365auto.com/news/20200208/417995.shtml")</f>
        <v>http://www.12365auto.com/news/20200208/417995.shtml</v>
      </c>
      <c r="G10722" s="2"/>
      <c r="H10722" s="2" t="s">
        <v>14307</v>
      </c>
      <c r="I10722" s="2" t="s">
        <v>15</v>
      </c>
      <c r="J10722" s="2" t="s">
        <v>12</v>
      </c>
      <c r="K10722" s="2" t="s">
        <v>14308</v>
      </c>
      <c r="L10722" s="2">
        <f t="shared" si="167"/>
        <v>150</v>
      </c>
    </row>
    <row r="10723" spans="1:12" ht="25" customHeight="1">
      <c r="A10723" s="2" t="s">
        <v>12</v>
      </c>
      <c r="B10723" s="2" t="str">
        <f>HYPERLINK("http://m.12365auto.com/news/20200208/417995.shtml","六大抗疫行动 长安汽车推疫情关怀政策")</f>
        <v>六大抗疫行动 长安汽车推疫情关怀政策</v>
      </c>
      <c r="C10723" s="2" t="s">
        <v>13</v>
      </c>
      <c r="D10723" s="2" t="s">
        <v>12</v>
      </c>
      <c r="E10723" s="2"/>
      <c r="F10723" s="2" t="str">
        <f>HYPERLINK("http://m.12365auto.com/news/20200208/417995.shtml","http://m.12365auto.com/news/20200208/417995.shtml")</f>
        <v>http://m.12365auto.com/news/20200208/417995.shtml</v>
      </c>
      <c r="G10723" s="2"/>
      <c r="H10723" s="2" t="s">
        <v>14309</v>
      </c>
      <c r="I10723" s="2" t="s">
        <v>19</v>
      </c>
      <c r="J10723" s="2" t="s">
        <v>317</v>
      </c>
      <c r="K10723" s="2" t="s">
        <v>14308</v>
      </c>
      <c r="L10723" s="2">
        <f t="shared" si="167"/>
        <v>150</v>
      </c>
    </row>
    <row r="10724" spans="1:12" ht="25" customHeight="1">
      <c r="A10724" s="2" t="s">
        <v>12</v>
      </c>
      <c r="B10724" s="2" t="str">
        <f>HYPERLINK("http://m.12365auto.com/news/20200208/417994.shtml","下滑19% FCA集团2019年净利润30亿美元")</f>
        <v>下滑19% FCA集团2019年净利润30亿美元</v>
      </c>
      <c r="C10724" s="2" t="s">
        <v>13</v>
      </c>
      <c r="D10724" s="2" t="s">
        <v>12</v>
      </c>
      <c r="E10724" s="2"/>
      <c r="F10724" s="2" t="str">
        <f>HYPERLINK("http://m.12365auto.com/news/20200208/417994.shtml","http://m.12365auto.com/news/20200208/417994.shtml")</f>
        <v>http://m.12365auto.com/news/20200208/417994.shtml</v>
      </c>
      <c r="G10724" s="2"/>
      <c r="H10724" s="2" t="s">
        <v>14310</v>
      </c>
      <c r="I10724" s="2" t="s">
        <v>19</v>
      </c>
      <c r="J10724" s="2" t="s">
        <v>274</v>
      </c>
      <c r="K10724" s="2" t="s">
        <v>14311</v>
      </c>
      <c r="L10724" s="2">
        <f t="shared" si="167"/>
        <v>150</v>
      </c>
    </row>
    <row r="10725" spans="1:12" ht="25" customHeight="1">
      <c r="A10725" s="2" t="s">
        <v>12</v>
      </c>
      <c r="B10725" s="2" t="str">
        <f>HYPERLINK("http://www.12365auto.com/news/20200208/417994.shtml","下滑19% FCA集团2019年净利润30亿美元")</f>
        <v>下滑19% FCA集团2019年净利润30亿美元</v>
      </c>
      <c r="C10725" s="2" t="s">
        <v>13</v>
      </c>
      <c r="D10725" s="2" t="s">
        <v>12</v>
      </c>
      <c r="E10725" s="2" t="s">
        <v>276</v>
      </c>
      <c r="F10725" s="2" t="str">
        <f>HYPERLINK("http://www.12365auto.com/news/20200208/417994.shtml","http://www.12365auto.com/news/20200208/417994.shtml")</f>
        <v>http://www.12365auto.com/news/20200208/417994.shtml</v>
      </c>
      <c r="G10725" s="2"/>
      <c r="H10725" s="2" t="s">
        <v>14312</v>
      </c>
      <c r="I10725" s="2" t="s">
        <v>15</v>
      </c>
      <c r="J10725" s="2" t="s">
        <v>12</v>
      </c>
      <c r="K10725" s="2" t="s">
        <v>14311</v>
      </c>
      <c r="L10725" s="2">
        <f t="shared" si="167"/>
        <v>150</v>
      </c>
    </row>
    <row r="10726" spans="1:12" ht="25" customHeight="1">
      <c r="A10726" s="2" t="s">
        <v>12</v>
      </c>
      <c r="B10726" s="2" t="str">
        <f>HYPERLINK("http://www.12365auto.com/news/20200208/417993.shtml","同比下降11.8% 日产发布1月份在华销量")</f>
        <v>同比下降11.8% 日产发布1月份在华销量</v>
      </c>
      <c r="C10726" s="2" t="s">
        <v>13</v>
      </c>
      <c r="D10726" s="2" t="s">
        <v>12</v>
      </c>
      <c r="E10726" s="2" t="s">
        <v>276</v>
      </c>
      <c r="F10726" s="2" t="str">
        <f>HYPERLINK("http://www.12365auto.com/news/20200208/417993.shtml","http://www.12365auto.com/news/20200208/417993.shtml")</f>
        <v>http://www.12365auto.com/news/20200208/417993.shtml</v>
      </c>
      <c r="G10726" s="2"/>
      <c r="H10726" s="2" t="s">
        <v>14313</v>
      </c>
      <c r="I10726" s="2" t="s">
        <v>15</v>
      </c>
      <c r="J10726" s="2" t="s">
        <v>12</v>
      </c>
      <c r="K10726" s="2" t="s">
        <v>14314</v>
      </c>
      <c r="L10726" s="2">
        <f t="shared" si="167"/>
        <v>150</v>
      </c>
    </row>
    <row r="10727" spans="1:12" ht="25" customHeight="1">
      <c r="A10727" s="2" t="s">
        <v>12</v>
      </c>
      <c r="B10727" s="2" t="str">
        <f>HYPERLINK("http://m.12365auto.com/news/20200208/417993.shtml","同比下降11.8% 日产发布1月份在华销量")</f>
        <v>同比下降11.8% 日产发布1月份在华销量</v>
      </c>
      <c r="C10727" s="2" t="s">
        <v>13</v>
      </c>
      <c r="D10727" s="2" t="s">
        <v>12</v>
      </c>
      <c r="E10727" s="2"/>
      <c r="F10727" s="2" t="str">
        <f>HYPERLINK("http://m.12365auto.com/news/20200208/417993.shtml","http://m.12365auto.com/news/20200208/417993.shtml")</f>
        <v>http://m.12365auto.com/news/20200208/417993.shtml</v>
      </c>
      <c r="G10727" s="2"/>
      <c r="H10727" s="2" t="s">
        <v>14315</v>
      </c>
      <c r="I10727" s="2" t="s">
        <v>19</v>
      </c>
      <c r="J10727" s="2" t="s">
        <v>14258</v>
      </c>
      <c r="K10727" s="2" t="s">
        <v>14314</v>
      </c>
      <c r="L10727" s="2">
        <f t="shared" si="167"/>
        <v>150</v>
      </c>
    </row>
    <row r="10728" spans="1:12" ht="25" customHeight="1">
      <c r="A10728" s="2" t="s">
        <v>12</v>
      </c>
      <c r="B10728" s="2" t="str">
        <f>HYPERLINK("http://www.12365auto.com/xcdg/20200208/417992.shtml","预售11.18万起 捷达VS7将于2月26日上市")</f>
        <v>预售11.18万起 捷达VS7将于2月26日上市</v>
      </c>
      <c r="C10728" s="2" t="s">
        <v>13</v>
      </c>
      <c r="D10728" s="2" t="s">
        <v>12</v>
      </c>
      <c r="E10728" s="2" t="s">
        <v>216</v>
      </c>
      <c r="F10728" s="2" t="str">
        <f>HYPERLINK("http://www.12365auto.com/xcdg/20200208/417992.shtml","http://www.12365auto.com/xcdg/20200208/417992.shtml")</f>
        <v>http://www.12365auto.com/xcdg/20200208/417992.shtml</v>
      </c>
      <c r="G10728" s="2"/>
      <c r="H10728" s="2" t="s">
        <v>14316</v>
      </c>
      <c r="I10728" s="2" t="s">
        <v>15</v>
      </c>
      <c r="J10728" s="2" t="s">
        <v>12</v>
      </c>
      <c r="K10728" s="2" t="s">
        <v>14317</v>
      </c>
      <c r="L10728" s="2">
        <f t="shared" si="167"/>
        <v>150</v>
      </c>
    </row>
    <row r="10729" spans="1:12" ht="25" customHeight="1">
      <c r="A10729" s="2" t="s">
        <v>12</v>
      </c>
      <c r="B10729" s="2" t="str">
        <f>HYPERLINK("http://m.12365auto.com/xcdg/20200208/417992.shtml","预售11.18万起 捷达VS7将于2月26日上市")</f>
        <v>预售11.18万起 捷达VS7将于2月26日上市</v>
      </c>
      <c r="C10729" s="2" t="s">
        <v>13</v>
      </c>
      <c r="D10729" s="2" t="s">
        <v>12</v>
      </c>
      <c r="E10729" s="2"/>
      <c r="F10729" s="2" t="str">
        <f>HYPERLINK("http://m.12365auto.com/xcdg/20200208/417992.shtml","http://m.12365auto.com/xcdg/20200208/417992.shtml")</f>
        <v>http://m.12365auto.com/xcdg/20200208/417992.shtml</v>
      </c>
      <c r="G10729" s="2"/>
      <c r="H10729" s="2" t="s">
        <v>14318</v>
      </c>
      <c r="I10729" s="2" t="s">
        <v>19</v>
      </c>
      <c r="J10729" s="2" t="s">
        <v>295</v>
      </c>
      <c r="K10729" s="2" t="s">
        <v>14317</v>
      </c>
      <c r="L10729" s="2">
        <f t="shared" si="167"/>
        <v>150</v>
      </c>
    </row>
    <row r="10730" spans="1:12" ht="25" customHeight="1">
      <c r="A10730" s="2" t="s">
        <v>12</v>
      </c>
      <c r="B10730" s="2" t="str">
        <f>HYPERLINK("http://m.12365auto.com/news/20200208/417991.shtml","56万亿元 通用预测自动驾驶市场广阔")</f>
        <v>56万亿元 通用预测自动驾驶市场广阔</v>
      </c>
      <c r="C10730" s="2" t="s">
        <v>13</v>
      </c>
      <c r="D10730" s="2" t="s">
        <v>12</v>
      </c>
      <c r="E10730" s="2"/>
      <c r="F10730" s="2" t="str">
        <f>HYPERLINK("http://m.12365auto.com/news/20200208/417991.shtml","http://m.12365auto.com/news/20200208/417991.shtml")</f>
        <v>http://m.12365auto.com/news/20200208/417991.shtml</v>
      </c>
      <c r="G10730" s="2"/>
      <c r="H10730" s="2" t="s">
        <v>14319</v>
      </c>
      <c r="I10730" s="2" t="s">
        <v>19</v>
      </c>
      <c r="J10730" s="2" t="s">
        <v>1543</v>
      </c>
      <c r="K10730" s="2" t="s">
        <v>14320</v>
      </c>
      <c r="L10730" s="2">
        <f t="shared" si="167"/>
        <v>150</v>
      </c>
    </row>
    <row r="10731" spans="1:12" ht="25" customHeight="1">
      <c r="A10731" s="2" t="s">
        <v>12</v>
      </c>
      <c r="B10731" s="2" t="str">
        <f>HYPERLINK("http://www.12365auto.com/news/20200208/417991.shtml","56万亿元 通用预测自动驾驶市场广阔")</f>
        <v>56万亿元 通用预测自动驾驶市场广阔</v>
      </c>
      <c r="C10731" s="2" t="s">
        <v>13</v>
      </c>
      <c r="D10731" s="2" t="s">
        <v>12</v>
      </c>
      <c r="E10731" s="2" t="s">
        <v>276</v>
      </c>
      <c r="F10731" s="2" t="str">
        <f>HYPERLINK("http://www.12365auto.com/news/20200208/417991.shtml","http://www.12365auto.com/news/20200208/417991.shtml")</f>
        <v>http://www.12365auto.com/news/20200208/417991.shtml</v>
      </c>
      <c r="G10731" s="2"/>
      <c r="H10731" s="2" t="s">
        <v>14321</v>
      </c>
      <c r="I10731" s="2" t="s">
        <v>15</v>
      </c>
      <c r="J10731" s="2" t="s">
        <v>12</v>
      </c>
      <c r="K10731" s="2" t="s">
        <v>14320</v>
      </c>
      <c r="L10731" s="2">
        <f t="shared" si="167"/>
        <v>150</v>
      </c>
    </row>
    <row r="10732" spans="1:12" ht="25" customHeight="1">
      <c r="A10732" s="2" t="s">
        <v>12</v>
      </c>
      <c r="B10732" s="2" t="str">
        <f>HYPERLINK("http://www.12365auto.com/xcdg/20200208/417990.shtml","新款现代瑞纳正式上市 售4.99-7.39万")</f>
        <v>新款现代瑞纳正式上市 售4.99-7.39万</v>
      </c>
      <c r="C10732" s="2" t="s">
        <v>13</v>
      </c>
      <c r="D10732" s="2" t="s">
        <v>12</v>
      </c>
      <c r="E10732" s="2" t="s">
        <v>245</v>
      </c>
      <c r="F10732" s="2" t="str">
        <f>HYPERLINK("http://www.12365auto.com/xcdg/20200208/417990.shtml","http://www.12365auto.com/xcdg/20200208/417990.shtml")</f>
        <v>http://www.12365auto.com/xcdg/20200208/417990.shtml</v>
      </c>
      <c r="G10732" s="2"/>
      <c r="H10732" s="2" t="s">
        <v>14322</v>
      </c>
      <c r="I10732" s="2" t="s">
        <v>19</v>
      </c>
      <c r="J10732" s="2" t="s">
        <v>12</v>
      </c>
      <c r="K10732" s="2" t="s">
        <v>14323</v>
      </c>
      <c r="L10732" s="2">
        <f t="shared" si="167"/>
        <v>150</v>
      </c>
    </row>
    <row r="10733" spans="1:12" ht="25" customHeight="1">
      <c r="A10733" s="2" t="s">
        <v>12</v>
      </c>
      <c r="B10733" s="2" t="str">
        <f>HYPERLINK("http://m.12365auto.com/xcdg/20200208/417990.shtml","新款现代瑞纳正式上市 售4.99-7.39万")</f>
        <v>新款现代瑞纳正式上市 售4.99-7.39万</v>
      </c>
      <c r="C10733" s="2" t="s">
        <v>13</v>
      </c>
      <c r="D10733" s="2" t="s">
        <v>12</v>
      </c>
      <c r="E10733" s="2"/>
      <c r="F10733" s="2" t="str">
        <f>HYPERLINK("http://m.12365auto.com/xcdg/20200208/417990.shtml","http://m.12365auto.com/xcdg/20200208/417990.shtml")</f>
        <v>http://m.12365auto.com/xcdg/20200208/417990.shtml</v>
      </c>
      <c r="G10733" s="2"/>
      <c r="H10733" s="2" t="s">
        <v>14324</v>
      </c>
      <c r="I10733" s="2" t="s">
        <v>19</v>
      </c>
      <c r="J10733" s="2" t="s">
        <v>836</v>
      </c>
      <c r="K10733" s="2" t="s">
        <v>14323</v>
      </c>
      <c r="L10733" s="2">
        <f t="shared" si="167"/>
        <v>150</v>
      </c>
    </row>
    <row r="10734" spans="1:12" ht="25" customHeight="1">
      <c r="A10734" s="2" t="s">
        <v>12</v>
      </c>
      <c r="B10734" s="2" t="str">
        <f>HYPERLINK("http://m.12365auto.com/news/20200208/417989.shtml","送车到家 长安欧尚疫情下推便利服务")</f>
        <v>送车到家 长安欧尚疫情下推便利服务</v>
      </c>
      <c r="C10734" s="2" t="s">
        <v>13</v>
      </c>
      <c r="D10734" s="2" t="s">
        <v>12</v>
      </c>
      <c r="E10734" s="2"/>
      <c r="F10734" s="2" t="str">
        <f>HYPERLINK("http://m.12365auto.com/news/20200208/417989.shtml","http://m.12365auto.com/news/20200208/417989.shtml")</f>
        <v>http://m.12365auto.com/news/20200208/417989.shtml</v>
      </c>
      <c r="G10734" s="2"/>
      <c r="H10734" s="2" t="s">
        <v>14325</v>
      </c>
      <c r="I10734" s="2" t="s">
        <v>19</v>
      </c>
      <c r="J10734" s="2" t="s">
        <v>290</v>
      </c>
      <c r="K10734" s="2" t="s">
        <v>14326</v>
      </c>
      <c r="L10734" s="2">
        <f t="shared" si="167"/>
        <v>150</v>
      </c>
    </row>
    <row r="10735" spans="1:12" ht="25" customHeight="1">
      <c r="A10735" s="2" t="s">
        <v>12</v>
      </c>
      <c r="B10735" s="2" t="str">
        <f>HYPERLINK("http://www.12365auto.com/news/20200208/417989.shtml","送车到家 长安欧尚疫情下推便利服务")</f>
        <v>送车到家 长安欧尚疫情下推便利服务</v>
      </c>
      <c r="C10735" s="2" t="s">
        <v>13</v>
      </c>
      <c r="D10735" s="2" t="s">
        <v>12</v>
      </c>
      <c r="E10735" s="2" t="s">
        <v>276</v>
      </c>
      <c r="F10735" s="2" t="str">
        <f>HYPERLINK("http://www.12365auto.com/news/20200208/417989.shtml","http://www.12365auto.com/news/20200208/417989.shtml")</f>
        <v>http://www.12365auto.com/news/20200208/417989.shtml</v>
      </c>
      <c r="G10735" s="2"/>
      <c r="H10735" s="2" t="s">
        <v>14327</v>
      </c>
      <c r="I10735" s="2" t="s">
        <v>15</v>
      </c>
      <c r="J10735" s="2" t="s">
        <v>12</v>
      </c>
      <c r="K10735" s="2" t="s">
        <v>14326</v>
      </c>
      <c r="L10735" s="2">
        <f t="shared" si="167"/>
        <v>150</v>
      </c>
    </row>
    <row r="10736" spans="1:12" ht="25" customHeight="1">
      <c r="A10736" s="2" t="s">
        <v>12</v>
      </c>
      <c r="B10736" s="2" t="str">
        <f>HYPERLINK("http://www.12365auto.com/xcdg/20200208/417988.shtml","搭900V电驱动系统 量产Lucid Air预告图")</f>
        <v>搭900V电驱动系统 量产Lucid Air预告图</v>
      </c>
      <c r="C10736" s="2" t="s">
        <v>13</v>
      </c>
      <c r="D10736" s="2" t="s">
        <v>12</v>
      </c>
      <c r="E10736" s="2" t="s">
        <v>216</v>
      </c>
      <c r="F10736" s="2" t="str">
        <f>HYPERLINK("http://www.12365auto.com/xcdg/20200208/417988.shtml","http://www.12365auto.com/xcdg/20200208/417988.shtml")</f>
        <v>http://www.12365auto.com/xcdg/20200208/417988.shtml</v>
      </c>
      <c r="G10736" s="2"/>
      <c r="H10736" s="2" t="s">
        <v>14328</v>
      </c>
      <c r="I10736" s="2" t="s">
        <v>15</v>
      </c>
      <c r="J10736" s="2" t="s">
        <v>12</v>
      </c>
      <c r="K10736" s="2" t="s">
        <v>14329</v>
      </c>
      <c r="L10736" s="2">
        <f t="shared" si="167"/>
        <v>150</v>
      </c>
    </row>
    <row r="10737" spans="1:12" ht="25" customHeight="1">
      <c r="A10737" s="2" t="s">
        <v>12</v>
      </c>
      <c r="B10737" s="2" t="str">
        <f>HYPERLINK("http://m.12365auto.com/xcdg/20200208/417988.shtml","搭900V电驱动系统 量产Lucid Air预告图")</f>
        <v>搭900V电驱动系统 量产Lucid Air预告图</v>
      </c>
      <c r="C10737" s="2" t="s">
        <v>13</v>
      </c>
      <c r="D10737" s="2" t="s">
        <v>12</v>
      </c>
      <c r="E10737" s="2"/>
      <c r="F10737" s="2" t="str">
        <f>HYPERLINK("http://m.12365auto.com/xcdg/20200208/417988.shtml","http://m.12365auto.com/xcdg/20200208/417988.shtml")</f>
        <v>http://m.12365auto.com/xcdg/20200208/417988.shtml</v>
      </c>
      <c r="G10737" s="2"/>
      <c r="H10737" s="2" t="s">
        <v>14330</v>
      </c>
      <c r="I10737" s="2" t="s">
        <v>19</v>
      </c>
      <c r="J10737" s="2" t="s">
        <v>297</v>
      </c>
      <c r="K10737" s="2" t="s">
        <v>14329</v>
      </c>
      <c r="L10737" s="2">
        <f t="shared" si="167"/>
        <v>150</v>
      </c>
    </row>
    <row r="10738" spans="1:12" ht="25" customHeight="1">
      <c r="A10738" s="2" t="s">
        <v>12</v>
      </c>
      <c r="B10738" s="2" t="str">
        <f>HYPERLINK("http://m.12365auto.com/news/20200208/417987.shtml","营收1.45万亿元 丰田发布最新财季报告")</f>
        <v>营收1.45万亿元 丰田发布最新财季报告</v>
      </c>
      <c r="C10738" s="2" t="s">
        <v>13</v>
      </c>
      <c r="D10738" s="2" t="s">
        <v>12</v>
      </c>
      <c r="E10738" s="2"/>
      <c r="F10738" s="2" t="str">
        <f>HYPERLINK("http://m.12365auto.com/news/20200208/417987.shtml","http://m.12365auto.com/news/20200208/417987.shtml")</f>
        <v>http://m.12365auto.com/news/20200208/417987.shtml</v>
      </c>
      <c r="G10738" s="2"/>
      <c r="H10738" s="2" t="s">
        <v>14331</v>
      </c>
      <c r="I10738" s="2" t="s">
        <v>19</v>
      </c>
      <c r="J10738" s="2" t="s">
        <v>14258</v>
      </c>
      <c r="K10738" s="2" t="s">
        <v>14332</v>
      </c>
      <c r="L10738" s="2">
        <f t="shared" si="167"/>
        <v>150</v>
      </c>
    </row>
    <row r="10739" spans="1:12" ht="25" customHeight="1">
      <c r="A10739" s="2" t="s">
        <v>12</v>
      </c>
      <c r="B10739" s="2" t="str">
        <f>HYPERLINK("http://www.12365auto.com/news/20200208/417987.shtml","营收1.45万亿元 丰田发布最新财季报告")</f>
        <v>营收1.45万亿元 丰田发布最新财季报告</v>
      </c>
      <c r="C10739" s="2" t="s">
        <v>13</v>
      </c>
      <c r="D10739" s="2" t="s">
        <v>12</v>
      </c>
      <c r="E10739" s="2" t="s">
        <v>276</v>
      </c>
      <c r="F10739" s="2" t="str">
        <f>HYPERLINK("http://www.12365auto.com/news/20200208/417987.shtml","http://www.12365auto.com/news/20200208/417987.shtml")</f>
        <v>http://www.12365auto.com/news/20200208/417987.shtml</v>
      </c>
      <c r="G10739" s="2"/>
      <c r="H10739" s="2" t="s">
        <v>14333</v>
      </c>
      <c r="I10739" s="2" t="s">
        <v>15</v>
      </c>
      <c r="J10739" s="2" t="s">
        <v>12</v>
      </c>
      <c r="K10739" s="2" t="s">
        <v>14332</v>
      </c>
      <c r="L10739" s="2">
        <f t="shared" si="167"/>
        <v>150</v>
      </c>
    </row>
    <row r="10740" spans="1:12" ht="25" customHeight="1">
      <c r="A10740" s="2" t="s">
        <v>12</v>
      </c>
      <c r="B10740" s="2" t="str">
        <f>HYPERLINK("http://www.12365auto.com/zlts/20200208/446605.shtml","东风日产轩逸方向盘和油门踏板有震动")</f>
        <v>东风日产轩逸方向盘和油门踏板有震动</v>
      </c>
      <c r="C10740" s="2" t="s">
        <v>13</v>
      </c>
      <c r="D10740" s="2" t="s">
        <v>12</v>
      </c>
      <c r="E10740" s="2" t="s">
        <v>17</v>
      </c>
      <c r="F10740" s="2" t="str">
        <f>HYPERLINK("http://www.12365auto.com/zlts/20200208/446605.shtml","http://www.12365auto.com/zlts/20200208/446605.shtml")</f>
        <v>http://www.12365auto.com/zlts/20200208/446605.shtml</v>
      </c>
      <c r="G10740" s="2"/>
      <c r="H10740" s="2" t="s">
        <v>14334</v>
      </c>
      <c r="I10740" s="2" t="s">
        <v>19</v>
      </c>
      <c r="J10740" s="2" t="s">
        <v>12</v>
      </c>
      <c r="K10740" s="2" t="s">
        <v>14335</v>
      </c>
      <c r="L10740" s="2">
        <f t="shared" si="167"/>
        <v>150</v>
      </c>
    </row>
    <row r="10741" spans="1:12" ht="25" customHeight="1">
      <c r="A10741" s="2" t="s">
        <v>12</v>
      </c>
      <c r="B10741" s="2" t="str">
        <f>HYPERLINK("http://m.12365auto.com/xcdg/20200208/417986.shtml","2020芝加哥车展：奔驰Metris weekender")</f>
        <v>2020芝加哥车展：奔驰Metris weekender</v>
      </c>
      <c r="C10741" s="2" t="s">
        <v>13</v>
      </c>
      <c r="D10741" s="2" t="s">
        <v>12</v>
      </c>
      <c r="E10741" s="2"/>
      <c r="F10741" s="2" t="str">
        <f>HYPERLINK("http://m.12365auto.com/xcdg/20200208/417986.shtml","http://m.12365auto.com/xcdg/20200208/417986.shtml")</f>
        <v>http://m.12365auto.com/xcdg/20200208/417986.shtml</v>
      </c>
      <c r="G10741" s="2"/>
      <c r="H10741" s="2" t="s">
        <v>14336</v>
      </c>
      <c r="I10741" s="2" t="s">
        <v>19</v>
      </c>
      <c r="J10741" s="2" t="s">
        <v>317</v>
      </c>
      <c r="K10741" s="2" t="s">
        <v>14337</v>
      </c>
      <c r="L10741" s="2">
        <f t="shared" si="167"/>
        <v>150</v>
      </c>
    </row>
    <row r="10742" spans="1:12" ht="25" customHeight="1">
      <c r="A10742" s="2" t="s">
        <v>12</v>
      </c>
      <c r="B10742" s="2" t="str">
        <f>HYPERLINK("http://www.12365auto.com/xcdg/20200208/417986.shtml","2020芝加哥车展：奔驰Metris weekender")</f>
        <v>2020芝加哥车展：奔驰Metris weekender</v>
      </c>
      <c r="C10742" s="2" t="s">
        <v>13</v>
      </c>
      <c r="D10742" s="2" t="s">
        <v>12</v>
      </c>
      <c r="E10742" s="2" t="s">
        <v>216</v>
      </c>
      <c r="F10742" s="2" t="str">
        <f>HYPERLINK("http://www.12365auto.com/xcdg/20200208/417986.shtml","http://www.12365auto.com/xcdg/20200208/417986.shtml")</f>
        <v>http://www.12365auto.com/xcdg/20200208/417986.shtml</v>
      </c>
      <c r="G10742" s="2"/>
      <c r="H10742" s="2" t="s">
        <v>14338</v>
      </c>
      <c r="I10742" s="2" t="s">
        <v>15</v>
      </c>
      <c r="J10742" s="2" t="s">
        <v>12</v>
      </c>
      <c r="K10742" s="2" t="s">
        <v>14337</v>
      </c>
      <c r="L10742" s="2">
        <f t="shared" si="167"/>
        <v>150</v>
      </c>
    </row>
    <row r="10743" spans="1:12" ht="25" customHeight="1">
      <c r="A10743" s="2" t="s">
        <v>12</v>
      </c>
      <c r="B10743" s="2" t="str">
        <f>HYPERLINK("http://m.12365auto.com/news/20200208/417985.shtml","与经销商携手 一汽奔腾推六项支持政策")</f>
        <v>与经销商携手 一汽奔腾推六项支持政策</v>
      </c>
      <c r="C10743" s="2" t="s">
        <v>13</v>
      </c>
      <c r="D10743" s="2" t="s">
        <v>12</v>
      </c>
      <c r="E10743" s="2"/>
      <c r="F10743" s="2" t="str">
        <f>HYPERLINK("http://m.12365auto.com/news/20200208/417985.shtml","http://m.12365auto.com/news/20200208/417985.shtml")</f>
        <v>http://m.12365auto.com/news/20200208/417985.shtml</v>
      </c>
      <c r="G10743" s="2"/>
      <c r="H10743" s="2" t="s">
        <v>14339</v>
      </c>
      <c r="I10743" s="2" t="s">
        <v>19</v>
      </c>
      <c r="J10743" s="2" t="s">
        <v>307</v>
      </c>
      <c r="K10743" s="2" t="s">
        <v>14337</v>
      </c>
      <c r="L10743" s="2">
        <f t="shared" si="167"/>
        <v>150</v>
      </c>
    </row>
    <row r="10744" spans="1:12" ht="25" customHeight="1">
      <c r="A10744" s="2" t="s">
        <v>12</v>
      </c>
      <c r="B10744" s="2" t="str">
        <f>HYPERLINK("http://www.12365auto.com/news/20200208/417985.shtml","与经销商携手 一汽奔腾推六项支持政策")</f>
        <v>与经销商携手 一汽奔腾推六项支持政策</v>
      </c>
      <c r="C10744" s="2" t="s">
        <v>13</v>
      </c>
      <c r="D10744" s="2" t="s">
        <v>12</v>
      </c>
      <c r="E10744" s="2" t="s">
        <v>282</v>
      </c>
      <c r="F10744" s="2" t="str">
        <f>HYPERLINK("http://www.12365auto.com/news/20200208/417985.shtml","http://www.12365auto.com/news/20200208/417985.shtml")</f>
        <v>http://www.12365auto.com/news/20200208/417985.shtml</v>
      </c>
      <c r="G10744" s="2"/>
      <c r="H10744" s="2" t="s">
        <v>14340</v>
      </c>
      <c r="I10744" s="2" t="s">
        <v>19</v>
      </c>
      <c r="J10744" s="2" t="s">
        <v>12</v>
      </c>
      <c r="K10744" s="2" t="s">
        <v>14337</v>
      </c>
      <c r="L10744" s="2">
        <f t="shared" si="167"/>
        <v>150</v>
      </c>
    </row>
    <row r="10745" spans="1:12" ht="25" customHeight="1">
      <c r="A10745" s="2" t="s">
        <v>12</v>
      </c>
      <c r="B10745" s="2" t="str">
        <f>HYPERLINK("http://www.12365auto.com/xcdg/20200208/417984.shtml","方向盘增加触控屏 特斯拉内饰专利曝光")</f>
        <v>方向盘增加触控屏 特斯拉内饰专利曝光</v>
      </c>
      <c r="C10745" s="2" t="s">
        <v>13</v>
      </c>
      <c r="D10745" s="2" t="s">
        <v>12</v>
      </c>
      <c r="E10745" s="2" t="s">
        <v>216</v>
      </c>
      <c r="F10745" s="2" t="str">
        <f>HYPERLINK("http://www.12365auto.com/xcdg/20200208/417984.shtml","http://www.12365auto.com/xcdg/20200208/417984.shtml")</f>
        <v>http://www.12365auto.com/xcdg/20200208/417984.shtml</v>
      </c>
      <c r="G10745" s="2"/>
      <c r="H10745" s="2" t="s">
        <v>14341</v>
      </c>
      <c r="I10745" s="2" t="s">
        <v>15</v>
      </c>
      <c r="J10745" s="2" t="s">
        <v>12</v>
      </c>
      <c r="K10745" s="2" t="s">
        <v>14342</v>
      </c>
      <c r="L10745" s="2">
        <f t="shared" si="167"/>
        <v>150</v>
      </c>
    </row>
    <row r="10746" spans="1:12" ht="25" customHeight="1">
      <c r="A10746" s="2" t="s">
        <v>12</v>
      </c>
      <c r="B10746" s="2" t="str">
        <f>HYPERLINK("http://m.12365auto.com/xcdg/20200208/417984.shtml","方向盘增加触控屏 特斯拉内饰专利曝光")</f>
        <v>方向盘增加触控屏 特斯拉内饰专利曝光</v>
      </c>
      <c r="C10746" s="2" t="s">
        <v>13</v>
      </c>
      <c r="D10746" s="2" t="s">
        <v>12</v>
      </c>
      <c r="E10746" s="2"/>
      <c r="F10746" s="2" t="str">
        <f>HYPERLINK("http://m.12365auto.com/xcdg/20200208/417984.shtml","http://m.12365auto.com/xcdg/20200208/417984.shtml")</f>
        <v>http://m.12365auto.com/xcdg/20200208/417984.shtml</v>
      </c>
      <c r="G10746" s="2"/>
      <c r="H10746" s="2" t="s">
        <v>14343</v>
      </c>
      <c r="I10746" s="2" t="s">
        <v>19</v>
      </c>
      <c r="J10746" s="2" t="s">
        <v>781</v>
      </c>
      <c r="K10746" s="2" t="s">
        <v>14342</v>
      </c>
      <c r="L10746" s="2">
        <f t="shared" si="167"/>
        <v>150</v>
      </c>
    </row>
    <row r="10747" spans="1:12" ht="25" customHeight="1">
      <c r="A10747" s="2" t="s">
        <v>12</v>
      </c>
      <c r="B10747" s="2" t="str">
        <f>HYPERLINK("http://www.12365auto.com/zlts/20200208/446601.shtml","上汽大众帕萨特怠速时抖动存在质量问题")</f>
        <v>上汽大众帕萨特怠速时抖动存在质量问题</v>
      </c>
      <c r="C10747" s="2" t="s">
        <v>13</v>
      </c>
      <c r="D10747" s="2" t="s">
        <v>12</v>
      </c>
      <c r="E10747" s="2" t="s">
        <v>17</v>
      </c>
      <c r="F10747" s="2" t="str">
        <f>HYPERLINK("http://www.12365auto.com/zlts/20200208/446601.shtml","http://www.12365auto.com/zlts/20200208/446601.shtml")</f>
        <v>http://www.12365auto.com/zlts/20200208/446601.shtml</v>
      </c>
      <c r="G10747" s="2"/>
      <c r="H10747" s="2" t="s">
        <v>14344</v>
      </c>
      <c r="I10747" s="2" t="s">
        <v>15</v>
      </c>
      <c r="J10747" s="2" t="s">
        <v>12</v>
      </c>
      <c r="K10747" s="2" t="s">
        <v>14345</v>
      </c>
      <c r="L10747" s="2">
        <f t="shared" si="167"/>
        <v>150</v>
      </c>
    </row>
    <row r="10748" spans="1:12" ht="25" customHeight="1">
      <c r="A10748" s="2" t="s">
        <v>12</v>
      </c>
      <c r="B10748" s="2" t="str">
        <f>HYPERLINK("http://m.12365auto.com/zjdy/20200207/121098.shtml","19款轩逸油门踏板高频震动是什么原因？")</f>
        <v>19款轩逸油门踏板高频震动是什么原因？</v>
      </c>
      <c r="C10748" s="2" t="s">
        <v>13</v>
      </c>
      <c r="D10748" s="2" t="s">
        <v>12</v>
      </c>
      <c r="E10748" s="2"/>
      <c r="F10748" s="2" t="str">
        <f>HYPERLINK("http://m.12365auto.com/zjdy/20200207/121098.shtml","http://m.12365auto.com/zjdy/20200207/121098.shtml")</f>
        <v>http://m.12365auto.com/zjdy/20200207/121098.shtml</v>
      </c>
      <c r="G10748" s="2"/>
      <c r="H10748" s="2" t="s">
        <v>14346</v>
      </c>
      <c r="I10748" s="2" t="s">
        <v>19</v>
      </c>
      <c r="J10748" s="2" t="s">
        <v>12</v>
      </c>
      <c r="K10748" s="2" t="s">
        <v>14347</v>
      </c>
      <c r="L10748" s="2">
        <f t="shared" si="167"/>
        <v>36</v>
      </c>
    </row>
    <row r="10749" spans="1:12" ht="25" customHeight="1">
      <c r="A10749" s="2" t="s">
        <v>12</v>
      </c>
      <c r="B10749" s="2" t="str">
        <f>HYPERLINK("http://m.12365auto.com/zjdy/20200207/121097.shtml","Jeep大指挥官质量如何是否可以考虑购买？")</f>
        <v>Jeep大指挥官质量如何是否可以考虑购买？</v>
      </c>
      <c r="C10749" s="2" t="s">
        <v>13</v>
      </c>
      <c r="D10749" s="2" t="s">
        <v>12</v>
      </c>
      <c r="E10749" s="2"/>
      <c r="F10749" s="2" t="str">
        <f>HYPERLINK("http://m.12365auto.com/zjdy/20200207/121097.shtml","http://m.12365auto.com/zjdy/20200207/121097.shtml")</f>
        <v>http://m.12365auto.com/zjdy/20200207/121097.shtml</v>
      </c>
      <c r="G10749" s="2"/>
      <c r="H10749" s="2" t="s">
        <v>14348</v>
      </c>
      <c r="I10749" s="2" t="s">
        <v>19</v>
      </c>
      <c r="J10749" s="2" t="s">
        <v>12</v>
      </c>
      <c r="K10749" s="2" t="s">
        <v>14349</v>
      </c>
      <c r="L10749" s="2">
        <f t="shared" si="167"/>
        <v>150</v>
      </c>
    </row>
    <row r="10750" spans="1:12" ht="25" customHeight="1">
      <c r="A10750" s="2" t="s">
        <v>12</v>
      </c>
      <c r="B10750" s="2" t="str">
        <f>HYPERLINK("http://m.12365auto.com/zjdy/20200207/121096.shtml","中华V6发动机渗油开空调有异味如何处理？")</f>
        <v>中华V6发动机渗油开空调有异味如何处理？</v>
      </c>
      <c r="C10750" s="2" t="s">
        <v>13</v>
      </c>
      <c r="D10750" s="2" t="s">
        <v>12</v>
      </c>
      <c r="E10750" s="2"/>
      <c r="F10750" s="2" t="str">
        <f>HYPERLINK("http://m.12365auto.com/zjdy/20200207/121096.shtml","http://m.12365auto.com/zjdy/20200207/121096.shtml")</f>
        <v>http://m.12365auto.com/zjdy/20200207/121096.shtml</v>
      </c>
      <c r="G10750" s="2"/>
      <c r="H10750" s="2" t="s">
        <v>14350</v>
      </c>
      <c r="I10750" s="2" t="s">
        <v>19</v>
      </c>
      <c r="J10750" s="2" t="s">
        <v>12</v>
      </c>
      <c r="K10750" s="2" t="s">
        <v>14351</v>
      </c>
      <c r="L10750" s="2">
        <f t="shared" si="167"/>
        <v>83</v>
      </c>
    </row>
    <row r="10751" spans="1:12" ht="25" customHeight="1">
      <c r="A10751" s="2" t="s">
        <v>12</v>
      </c>
      <c r="B10751" s="2" t="str">
        <f>HYPERLINK("http://m.12365auto.com/zjdy/20200207/121095.shtml","高速行驶中车身右侧外有吹哨声怎么办？")</f>
        <v>高速行驶中车身右侧外有吹哨声怎么办？</v>
      </c>
      <c r="C10751" s="2" t="s">
        <v>13</v>
      </c>
      <c r="D10751" s="2" t="s">
        <v>12</v>
      </c>
      <c r="E10751" s="2"/>
      <c r="F10751" s="2" t="str">
        <f>HYPERLINK("http://m.12365auto.com/zjdy/20200207/121095.shtml","http://m.12365auto.com/zjdy/20200207/121095.shtml")</f>
        <v>http://m.12365auto.com/zjdy/20200207/121095.shtml</v>
      </c>
      <c r="G10751" s="2"/>
      <c r="H10751" s="2" t="s">
        <v>14352</v>
      </c>
      <c r="I10751" s="2" t="s">
        <v>19</v>
      </c>
      <c r="J10751" s="2" t="s">
        <v>12</v>
      </c>
      <c r="K10751" s="2" t="s">
        <v>14353</v>
      </c>
      <c r="L10751" s="2">
        <f t="shared" si="167"/>
        <v>16</v>
      </c>
    </row>
    <row r="10752" spans="1:12" ht="25" customHeight="1">
      <c r="A10752" s="2" t="s">
        <v>12</v>
      </c>
      <c r="B10752" s="2" t="str">
        <f>HYPERLINK("http://www.12365auto.com/zlts/20200208/446600.shtml","挂不了挡。跳故障码40")</f>
        <v>挂不了挡。跳故障码40</v>
      </c>
      <c r="C10752" s="2" t="s">
        <v>13</v>
      </c>
      <c r="D10752" s="2" t="s">
        <v>12</v>
      </c>
      <c r="E10752" s="2"/>
      <c r="F10752" s="2" t="str">
        <f>HYPERLINK("http://www.12365auto.com/zlts/20200208/446600.shtml","http://www.12365auto.com/zlts/20200208/446600.shtml")</f>
        <v>http://www.12365auto.com/zlts/20200208/446600.shtml</v>
      </c>
      <c r="G10752" s="2"/>
      <c r="H10752" s="2" t="s">
        <v>14355</v>
      </c>
      <c r="I10752" s="2" t="s">
        <v>15</v>
      </c>
      <c r="J10752" s="2" t="s">
        <v>12</v>
      </c>
      <c r="K10752" s="2" t="s">
        <v>14354</v>
      </c>
      <c r="L10752" s="2">
        <f t="shared" si="167"/>
        <v>83</v>
      </c>
    </row>
    <row r="10753" spans="1:12" ht="25" customHeight="1">
      <c r="A10753" s="2" t="s">
        <v>12</v>
      </c>
      <c r="B10753" s="2" t="str">
        <f>HYPERLINK("http://www.12365auto.com/dcbg/20200208/417983.shtml","新车产品力指数：上汽通用雪佛兰开拓者")</f>
        <v>新车产品力指数：上汽通用雪佛兰开拓者</v>
      </c>
      <c r="C10753" s="2" t="s">
        <v>13</v>
      </c>
      <c r="D10753" s="2" t="s">
        <v>12</v>
      </c>
      <c r="E10753" s="2" t="s">
        <v>1319</v>
      </c>
      <c r="F10753" s="2" t="str">
        <f>HYPERLINK("http://www.12365auto.com/dcbg/20200208/417983.shtml","http://www.12365auto.com/dcbg/20200208/417983.shtml")</f>
        <v>http://www.12365auto.com/dcbg/20200208/417983.shtml</v>
      </c>
      <c r="G10753" s="2"/>
      <c r="H10753" s="2" t="s">
        <v>14356</v>
      </c>
      <c r="I10753" s="2" t="s">
        <v>15</v>
      </c>
      <c r="J10753" s="2" t="s">
        <v>12</v>
      </c>
      <c r="K10753" s="2" t="s">
        <v>14357</v>
      </c>
      <c r="L10753" s="2">
        <f t="shared" si="167"/>
        <v>150</v>
      </c>
    </row>
    <row r="10754" spans="1:12" ht="25" customHeight="1">
      <c r="A10754" s="2" t="s">
        <v>12</v>
      </c>
      <c r="B10754" s="2" t="str">
        <f>HYPERLINK("http://m.12365auto.com/dcbg/20200208/417983.shtml","新车产品力指数：上汽通用雪佛兰开拓者")</f>
        <v>新车产品力指数：上汽通用雪佛兰开拓者</v>
      </c>
      <c r="C10754" s="2" t="s">
        <v>13</v>
      </c>
      <c r="D10754" s="2" t="s">
        <v>12</v>
      </c>
      <c r="E10754" s="2"/>
      <c r="F10754" s="2" t="str">
        <f>HYPERLINK("http://m.12365auto.com/dcbg/20200208/417983.shtml","http://m.12365auto.com/dcbg/20200208/417983.shtml")</f>
        <v>http://m.12365auto.com/dcbg/20200208/417983.shtml</v>
      </c>
      <c r="G10754" s="2"/>
      <c r="H10754" s="2" t="s">
        <v>14358</v>
      </c>
      <c r="I10754" s="2" t="s">
        <v>19</v>
      </c>
      <c r="J10754" s="2" t="s">
        <v>1326</v>
      </c>
      <c r="K10754" s="2" t="s">
        <v>14357</v>
      </c>
      <c r="L10754" s="2">
        <f t="shared" si="167"/>
        <v>150</v>
      </c>
    </row>
    <row r="10755" spans="1:12" ht="25" customHeight="1">
      <c r="A10755" s="2" t="s">
        <v>12</v>
      </c>
      <c r="B10755" s="2" t="str">
        <f>HYPERLINK("http://m.12365auto.com/zjdy/20200207/121094.shtml","瑞风S3高速时中控台异响应该怎么办？")</f>
        <v>瑞风S3高速时中控台异响应该怎么办？</v>
      </c>
      <c r="C10755" s="2" t="s">
        <v>13</v>
      </c>
      <c r="D10755" s="2" t="s">
        <v>12</v>
      </c>
      <c r="E10755" s="2"/>
      <c r="F10755" s="2" t="str">
        <f>HYPERLINK("http://m.12365auto.com/zjdy/20200207/121094.shtml","http://m.12365auto.com/zjdy/20200207/121094.shtml")</f>
        <v>http://m.12365auto.com/zjdy/20200207/121094.shtml</v>
      </c>
      <c r="G10755" s="2"/>
      <c r="H10755" s="2" t="s">
        <v>14359</v>
      </c>
      <c r="I10755" s="2" t="s">
        <v>19</v>
      </c>
      <c r="J10755" s="2" t="s">
        <v>12</v>
      </c>
      <c r="K10755" s="2" t="s">
        <v>14360</v>
      </c>
      <c r="L10755" s="2">
        <f t="shared" ref="L10755:L10818" si="168">LEN(H10755)</f>
        <v>17</v>
      </c>
    </row>
    <row r="10756" spans="1:12" ht="25" customHeight="1">
      <c r="A10756" s="2" t="s">
        <v>12</v>
      </c>
      <c r="B10756" s="2" t="str">
        <f>HYPERLINK("http://m.12365auto.com/zjdy/20200207/121093.shtml","奇瑞5x质量表现如何是否值得购买？")</f>
        <v>奇瑞5x质量表现如何是否值得购买？</v>
      </c>
      <c r="C10756" s="2" t="s">
        <v>13</v>
      </c>
      <c r="D10756" s="2" t="s">
        <v>12</v>
      </c>
      <c r="E10756" s="2"/>
      <c r="F10756" s="2" t="str">
        <f>HYPERLINK("http://m.12365auto.com/zjdy/20200207/121093.shtml","http://m.12365auto.com/zjdy/20200207/121093.shtml")</f>
        <v>http://m.12365auto.com/zjdy/20200207/121093.shtml</v>
      </c>
      <c r="G10756" s="2"/>
      <c r="H10756" s="2" t="s">
        <v>14361</v>
      </c>
      <c r="I10756" s="2" t="s">
        <v>19</v>
      </c>
      <c r="J10756" s="2" t="s">
        <v>12</v>
      </c>
      <c r="K10756" s="2" t="s">
        <v>14360</v>
      </c>
      <c r="L10756" s="2">
        <f t="shared" si="168"/>
        <v>24</v>
      </c>
    </row>
    <row r="10757" spans="1:12" ht="25" customHeight="1">
      <c r="A10757" s="2" t="s">
        <v>12</v>
      </c>
      <c r="B10757" s="2" t="str">
        <f>HYPERLINK("http://www.12365auto.com/zlts/20200207/446594.shtml","奇瑞艾瑞泽5变速箱打齿方向盘抖动")</f>
        <v>奇瑞艾瑞泽5变速箱打齿方向盘抖动</v>
      </c>
      <c r="C10757" s="2" t="s">
        <v>13</v>
      </c>
      <c r="D10757" s="2" t="s">
        <v>12</v>
      </c>
      <c r="E10757" s="2" t="s">
        <v>17</v>
      </c>
      <c r="F10757" s="2" t="str">
        <f>HYPERLINK("http://www.12365auto.com/zlts/20200207/446594.shtml","http://www.12365auto.com/zlts/20200207/446594.shtml")</f>
        <v>http://www.12365auto.com/zlts/20200207/446594.shtml</v>
      </c>
      <c r="G10757" s="2"/>
      <c r="H10757" s="2" t="s">
        <v>14362</v>
      </c>
      <c r="I10757" s="2" t="s">
        <v>19</v>
      </c>
      <c r="J10757" s="2" t="s">
        <v>12</v>
      </c>
      <c r="K10757" s="2" t="s">
        <v>14363</v>
      </c>
      <c r="L10757" s="2">
        <f t="shared" si="168"/>
        <v>150</v>
      </c>
    </row>
    <row r="10758" spans="1:12" ht="25" customHeight="1">
      <c r="A10758" s="2" t="s">
        <v>12</v>
      </c>
      <c r="B10758" s="2" t="str">
        <f>HYPERLINK("http://bbs.12365auto.com/postcontent.aspx?tId=193525","大迈X7变速箱故障 偶尔滑档")</f>
        <v>大迈X7变速箱故障 偶尔滑档</v>
      </c>
      <c r="C10758" s="2" t="s">
        <v>13</v>
      </c>
      <c r="D10758" s="2" t="s">
        <v>12</v>
      </c>
      <c r="E10758" s="2" t="s">
        <v>66</v>
      </c>
      <c r="F10758" s="2" t="str">
        <f>HYPERLINK("http://bbs.12365auto.com/postcontent.aspx?tId=193525","http://bbs.12365auto.com/postcontent.aspx?tId=193525")</f>
        <v>http://bbs.12365auto.com/postcontent.aspx?tId=193525</v>
      </c>
      <c r="G10758" s="2"/>
      <c r="H10758" s="2" t="s">
        <v>14364</v>
      </c>
      <c r="I10758" s="2" t="s">
        <v>15</v>
      </c>
      <c r="J10758" s="2" t="s">
        <v>14365</v>
      </c>
      <c r="K10758" s="2" t="s">
        <v>14366</v>
      </c>
      <c r="L10758" s="2">
        <f t="shared" si="168"/>
        <v>142</v>
      </c>
    </row>
    <row r="10759" spans="1:12" ht="25" customHeight="1">
      <c r="A10759" s="2" t="s">
        <v>12</v>
      </c>
      <c r="B10759" s="2" t="str">
        <f>HYPERLINK("http://m.12365auto.com/bbs/postcontent.aspx?tID=193525","大迈X7变速箱故障 偶尔滑档")</f>
        <v>大迈X7变速箱故障 偶尔滑档</v>
      </c>
      <c r="C10759" s="2" t="s">
        <v>13</v>
      </c>
      <c r="D10759" s="2" t="s">
        <v>23</v>
      </c>
      <c r="E10759" s="2"/>
      <c r="F10759" s="2" t="str">
        <f>HYPERLINK("http://m.12365auto.com/bbs/postcontent.aspx?tID=193525","http://m.12365auto.com/bbs/postcontent.aspx?tID=193525")</f>
        <v>http://m.12365auto.com/bbs/postcontent.aspx?tID=193525</v>
      </c>
      <c r="G10759" s="2"/>
      <c r="H10759" s="2" t="s">
        <v>14364</v>
      </c>
      <c r="I10759" s="2" t="s">
        <v>15</v>
      </c>
      <c r="J10759" s="2" t="s">
        <v>14365</v>
      </c>
      <c r="K10759" s="2" t="s">
        <v>14366</v>
      </c>
      <c r="L10759" s="2">
        <f t="shared" si="168"/>
        <v>142</v>
      </c>
    </row>
    <row r="10760" spans="1:12" ht="25" customHeight="1">
      <c r="A10760" s="2" t="s">
        <v>12</v>
      </c>
      <c r="B10760" s="2" t="str">
        <f>HYPERLINK("http://bbs.12365auto.com/postcontent.aspx?tID=193525","大迈X7变速箱故障 偶尔滑档")</f>
        <v>大迈X7变速箱故障 偶尔滑档</v>
      </c>
      <c r="C10760" s="2" t="s">
        <v>13</v>
      </c>
      <c r="D10760" s="2" t="s">
        <v>12</v>
      </c>
      <c r="E10760" s="2" t="s">
        <v>67</v>
      </c>
      <c r="F10760" s="2" t="str">
        <f>HYPERLINK("http://bbs.12365auto.com/postcontent.aspx?tID=193525","http://bbs.12365auto.com/postcontent.aspx?tID=193525")</f>
        <v>http://bbs.12365auto.com/postcontent.aspx?tID=193525</v>
      </c>
      <c r="G10760" s="2"/>
      <c r="H10760" s="2" t="s">
        <v>14367</v>
      </c>
      <c r="I10760" s="2" t="s">
        <v>15</v>
      </c>
      <c r="J10760" s="2" t="s">
        <v>14365</v>
      </c>
      <c r="K10760" s="2" t="s">
        <v>14366</v>
      </c>
      <c r="L10760" s="2">
        <f t="shared" si="168"/>
        <v>150</v>
      </c>
    </row>
    <row r="10761" spans="1:12" ht="25" customHeight="1">
      <c r="A10761" s="2" t="s">
        <v>12</v>
      </c>
      <c r="B10761" s="2" t="str">
        <f>HYPERLINK("http://www.12365auto.com/zlts/20200207/446592.shtml","严重异响")</f>
        <v>严重异响</v>
      </c>
      <c r="C10761" s="2" t="s">
        <v>13</v>
      </c>
      <c r="D10761" s="2" t="s">
        <v>12</v>
      </c>
      <c r="E10761" s="2"/>
      <c r="F10761" s="2" t="str">
        <f>HYPERLINK("http://www.12365auto.com/zlts/20200207/446592.shtml","http://www.12365auto.com/zlts/20200207/446592.shtml")</f>
        <v>http://www.12365auto.com/zlts/20200207/446592.shtml</v>
      </c>
      <c r="G10761" s="2"/>
      <c r="H10761" s="2" t="s">
        <v>14369</v>
      </c>
      <c r="I10761" s="2" t="s">
        <v>15</v>
      </c>
      <c r="J10761" s="2" t="s">
        <v>12</v>
      </c>
      <c r="K10761" s="2" t="s">
        <v>14368</v>
      </c>
      <c r="L10761" s="2">
        <f t="shared" si="168"/>
        <v>82</v>
      </c>
    </row>
    <row r="10762" spans="1:12" ht="25" customHeight="1">
      <c r="A10762" s="2" t="s">
        <v>12</v>
      </c>
      <c r="B10762" s="2" t="str">
        <f>HYPERLINK("http://www.12365auto.com/zlts/20200207/446593.shtml","上汽名爵6变速箱顿挫异响换挡异常")</f>
        <v>上汽名爵6变速箱顿挫异响换挡异常</v>
      </c>
      <c r="C10762" s="2" t="s">
        <v>13</v>
      </c>
      <c r="D10762" s="2" t="s">
        <v>12</v>
      </c>
      <c r="E10762" s="2" t="s">
        <v>17</v>
      </c>
      <c r="F10762" s="2" t="str">
        <f>HYPERLINK("http://www.12365auto.com/zlts/20200207/446593.shtml","http://www.12365auto.com/zlts/20200207/446593.shtml")</f>
        <v>http://www.12365auto.com/zlts/20200207/446593.shtml</v>
      </c>
      <c r="G10762" s="2"/>
      <c r="H10762" s="2" t="s">
        <v>14370</v>
      </c>
      <c r="I10762" s="2" t="s">
        <v>19</v>
      </c>
      <c r="J10762" s="2" t="s">
        <v>12</v>
      </c>
      <c r="K10762" s="2" t="s">
        <v>14371</v>
      </c>
      <c r="L10762" s="2">
        <f t="shared" si="168"/>
        <v>150</v>
      </c>
    </row>
    <row r="10763" spans="1:12" ht="25" customHeight="1">
      <c r="A10763" s="2" t="s">
        <v>12</v>
      </c>
      <c r="B10763" s="2" t="str">
        <f>HYPERLINK("http://www.12365auto.com/zlts/20200207/446590.shtml","一汽大众速腾皮质座椅未剐蹭出现掉皮现象")</f>
        <v>一汽大众速腾皮质座椅未剐蹭出现掉皮现象</v>
      </c>
      <c r="C10763" s="2" t="s">
        <v>13</v>
      </c>
      <c r="D10763" s="2" t="s">
        <v>12</v>
      </c>
      <c r="E10763" s="2" t="s">
        <v>17</v>
      </c>
      <c r="F10763" s="2" t="str">
        <f>HYPERLINK("http://www.12365auto.com/zlts/20200207/446590.shtml","http://www.12365auto.com/zlts/20200207/446590.shtml")</f>
        <v>http://www.12365auto.com/zlts/20200207/446590.shtml</v>
      </c>
      <c r="G10763" s="2"/>
      <c r="H10763" s="2" t="s">
        <v>14372</v>
      </c>
      <c r="I10763" s="2" t="s">
        <v>19</v>
      </c>
      <c r="J10763" s="2" t="s">
        <v>12</v>
      </c>
      <c r="K10763" s="2" t="s">
        <v>14373</v>
      </c>
      <c r="L10763" s="2">
        <f t="shared" si="168"/>
        <v>150</v>
      </c>
    </row>
    <row r="10764" spans="1:12" ht="25" customHeight="1">
      <c r="A10764" s="2" t="s">
        <v>12</v>
      </c>
      <c r="B10764" s="2" t="str">
        <f>HYPERLINK("http://www.12365auto.com/zlts/20200207/446586.shtml","上汽大众桑塔纳怠速时抖动厂家未解决问题")</f>
        <v>上汽大众桑塔纳怠速时抖动厂家未解决问题</v>
      </c>
      <c r="C10764" s="2" t="s">
        <v>13</v>
      </c>
      <c r="D10764" s="2" t="s">
        <v>12</v>
      </c>
      <c r="E10764" s="2"/>
      <c r="F10764" s="2" t="str">
        <f>HYPERLINK("http://www.12365auto.com/zlts/20200207/446586.shtml","http://www.12365auto.com/zlts/20200207/446586.shtml")</f>
        <v>http://www.12365auto.com/zlts/20200207/446586.shtml</v>
      </c>
      <c r="G10764" s="2"/>
      <c r="H10764" s="2" t="s">
        <v>14375</v>
      </c>
      <c r="I10764" s="2" t="s">
        <v>15</v>
      </c>
      <c r="J10764" s="2" t="s">
        <v>12</v>
      </c>
      <c r="K10764" s="2" t="s">
        <v>14374</v>
      </c>
      <c r="L10764" s="2">
        <f t="shared" si="168"/>
        <v>84</v>
      </c>
    </row>
    <row r="10765" spans="1:12" ht="25" customHeight="1">
      <c r="A10765" s="2" t="s">
        <v>12</v>
      </c>
      <c r="B10765" s="2" t="str">
        <f>HYPERLINK("http://www.12365auto.com/zlts/20200207/446589.shtml","众泰T600启动后右转向灯自动闪烁喇叭不响")</f>
        <v>众泰T600启动后右转向灯自动闪烁喇叭不响</v>
      </c>
      <c r="C10765" s="2" t="s">
        <v>13</v>
      </c>
      <c r="D10765" s="2" t="s">
        <v>12</v>
      </c>
      <c r="E10765" s="2"/>
      <c r="F10765" s="2" t="str">
        <f>HYPERLINK("http://www.12365auto.com/zlts/20200207/446589.shtml","http://www.12365auto.com/zlts/20200207/446589.shtml")</f>
        <v>http://www.12365auto.com/zlts/20200207/446589.shtml</v>
      </c>
      <c r="G10765" s="2"/>
      <c r="H10765" s="2" t="s">
        <v>14377</v>
      </c>
      <c r="I10765" s="2" t="s">
        <v>15</v>
      </c>
      <c r="J10765" s="2" t="s">
        <v>12</v>
      </c>
      <c r="K10765" s="2" t="s">
        <v>14376</v>
      </c>
      <c r="L10765" s="2">
        <f t="shared" si="168"/>
        <v>88</v>
      </c>
    </row>
    <row r="10766" spans="1:12" ht="25" customHeight="1">
      <c r="A10766" s="2" t="s">
        <v>12</v>
      </c>
      <c r="B10766" s="2" t="str">
        <f>HYPERLINK("http://www.12365auto.com/zlts/20200207/446588.shtml","哈弗H9发动机漏机油维修未解决问题")</f>
        <v>哈弗H9发动机漏机油维修未解决问题</v>
      </c>
      <c r="C10766" s="2" t="s">
        <v>13</v>
      </c>
      <c r="D10766" s="2" t="s">
        <v>12</v>
      </c>
      <c r="E10766" s="2" t="s">
        <v>17</v>
      </c>
      <c r="F10766" s="2" t="str">
        <f>HYPERLINK("http://www.12365auto.com/zlts/20200207/446588.shtml","http://www.12365auto.com/zlts/20200207/446588.shtml")</f>
        <v>http://www.12365auto.com/zlts/20200207/446588.shtml</v>
      </c>
      <c r="G10766" s="2"/>
      <c r="H10766" s="2" t="s">
        <v>14378</v>
      </c>
      <c r="I10766" s="2" t="s">
        <v>19</v>
      </c>
      <c r="J10766" s="2" t="s">
        <v>12</v>
      </c>
      <c r="K10766" s="2" t="s">
        <v>14379</v>
      </c>
      <c r="L10766" s="2">
        <f t="shared" si="168"/>
        <v>150</v>
      </c>
    </row>
    <row r="10767" spans="1:12" ht="25" customHeight="1">
      <c r="A10767" s="2" t="s">
        <v>12</v>
      </c>
      <c r="B10767" s="2" t="str">
        <f>HYPERLINK("http://www.12365auto.com/zlts/20200207/446583.shtml","汽车存在异味，无法消除。")</f>
        <v>汽车存在异味，无法消除。</v>
      </c>
      <c r="C10767" s="2" t="s">
        <v>13</v>
      </c>
      <c r="D10767" s="2" t="s">
        <v>12</v>
      </c>
      <c r="E10767" s="2"/>
      <c r="F10767" s="2" t="str">
        <f>HYPERLINK("http://www.12365auto.com/zlts/20200207/446583.shtml","http://www.12365auto.com/zlts/20200207/446583.shtml")</f>
        <v>http://www.12365auto.com/zlts/20200207/446583.shtml</v>
      </c>
      <c r="G10767" s="2"/>
      <c r="H10767" s="2" t="s">
        <v>14381</v>
      </c>
      <c r="I10767" s="2" t="s">
        <v>15</v>
      </c>
      <c r="J10767" s="2" t="s">
        <v>12</v>
      </c>
      <c r="K10767" s="2" t="s">
        <v>14380</v>
      </c>
      <c r="L10767" s="2">
        <f t="shared" si="168"/>
        <v>80</v>
      </c>
    </row>
    <row r="10768" spans="1:12" ht="25" customHeight="1">
      <c r="A10768" s="2" t="s">
        <v>12</v>
      </c>
      <c r="B10768" s="2" t="str">
        <f>HYPERLINK("http://www.12365auto.com/zlts/20200207/446581.shtml","一汽大众探歌韩泰轮胎出现鼓包有裂缝")</f>
        <v>一汽大众探歌韩泰轮胎出现鼓包有裂缝</v>
      </c>
      <c r="C10768" s="2" t="s">
        <v>13</v>
      </c>
      <c r="D10768" s="2" t="s">
        <v>12</v>
      </c>
      <c r="E10768" s="2" t="s">
        <v>17</v>
      </c>
      <c r="F10768" s="2" t="str">
        <f>HYPERLINK("http://www.12365auto.com/zlts/20200207/446581.shtml","http://www.12365auto.com/zlts/20200207/446581.shtml")</f>
        <v>http://www.12365auto.com/zlts/20200207/446581.shtml</v>
      </c>
      <c r="G10768" s="2"/>
      <c r="H10768" s="2" t="s">
        <v>14382</v>
      </c>
      <c r="I10768" s="2" t="s">
        <v>19</v>
      </c>
      <c r="J10768" s="2" t="s">
        <v>12</v>
      </c>
      <c r="K10768" s="2" t="s">
        <v>14383</v>
      </c>
      <c r="L10768" s="2">
        <f t="shared" si="168"/>
        <v>150</v>
      </c>
    </row>
    <row r="10769" spans="1:12" ht="25" customHeight="1">
      <c r="A10769" s="2" t="s">
        <v>12</v>
      </c>
      <c r="B10769" s="2" t="str">
        <f>HYPERLINK("http://www.12365auto.com/zlts/20200207/446578.shtml","变速箱机电单元故障，发动机失速空转乱跳档")</f>
        <v>变速箱机电单元故障，发动机失速空转乱跳档</v>
      </c>
      <c r="C10769" s="2" t="s">
        <v>13</v>
      </c>
      <c r="D10769" s="2" t="s">
        <v>12</v>
      </c>
      <c r="E10769" s="2"/>
      <c r="F10769" s="2" t="str">
        <f>HYPERLINK("http://www.12365auto.com/zlts/20200207/446578.shtml","http://www.12365auto.com/zlts/20200207/446578.shtml")</f>
        <v>http://www.12365auto.com/zlts/20200207/446578.shtml</v>
      </c>
      <c r="G10769" s="2"/>
      <c r="H10769" s="2" t="s">
        <v>14385</v>
      </c>
      <c r="I10769" s="2" t="s">
        <v>15</v>
      </c>
      <c r="J10769" s="2" t="s">
        <v>12</v>
      </c>
      <c r="K10769" s="2" t="s">
        <v>14384</v>
      </c>
      <c r="L10769" s="2">
        <f t="shared" si="168"/>
        <v>84</v>
      </c>
    </row>
    <row r="10770" spans="1:12" ht="25" customHeight="1">
      <c r="A10770" s="2" t="s">
        <v>12</v>
      </c>
      <c r="B10770" s="2" t="str">
        <f>HYPERLINK("http://www.12365auto.com/zlts/20200207/446577.shtml","广汽本田缤智发动机机油增多且有汽油味")</f>
        <v>广汽本田缤智发动机机油增多且有汽油味</v>
      </c>
      <c r="C10770" s="2" t="s">
        <v>13</v>
      </c>
      <c r="D10770" s="2" t="s">
        <v>12</v>
      </c>
      <c r="E10770" s="2" t="s">
        <v>17</v>
      </c>
      <c r="F10770" s="2" t="str">
        <f>HYPERLINK("http://www.12365auto.com/zlts/20200207/446577.shtml","http://www.12365auto.com/zlts/20200207/446577.shtml")</f>
        <v>http://www.12365auto.com/zlts/20200207/446577.shtml</v>
      </c>
      <c r="G10770" s="2"/>
      <c r="H10770" s="2" t="s">
        <v>14386</v>
      </c>
      <c r="I10770" s="2" t="s">
        <v>19</v>
      </c>
      <c r="J10770" s="2" t="s">
        <v>12</v>
      </c>
      <c r="K10770" s="2" t="s">
        <v>14387</v>
      </c>
      <c r="L10770" s="2">
        <f t="shared" si="168"/>
        <v>150</v>
      </c>
    </row>
    <row r="10771" spans="1:12" ht="25" customHeight="1">
      <c r="A10771" s="2" t="s">
        <v>12</v>
      </c>
      <c r="B10771" s="2" t="str">
        <f>HYPERLINK("http://www.12365auto.com/zlts/20200207/446575.shtml","北汽新能源EX动力电池故障 车辆无法启动")</f>
        <v>北汽新能源EX动力电池故障 车辆无法启动</v>
      </c>
      <c r="C10771" s="2" t="s">
        <v>13</v>
      </c>
      <c r="D10771" s="2" t="s">
        <v>12</v>
      </c>
      <c r="E10771" s="2"/>
      <c r="F10771" s="2" t="str">
        <f>HYPERLINK("http://www.12365auto.com/zlts/20200207/446575.shtml","http://www.12365auto.com/zlts/20200207/446575.shtml")</f>
        <v>http://www.12365auto.com/zlts/20200207/446575.shtml</v>
      </c>
      <c r="G10771" s="2"/>
      <c r="H10771" s="2" t="s">
        <v>14389</v>
      </c>
      <c r="I10771" s="2" t="s">
        <v>15</v>
      </c>
      <c r="J10771" s="2" t="s">
        <v>12</v>
      </c>
      <c r="K10771" s="2" t="s">
        <v>14388</v>
      </c>
      <c r="L10771" s="2">
        <f t="shared" si="168"/>
        <v>84</v>
      </c>
    </row>
    <row r="10772" spans="1:12" ht="25" customHeight="1">
      <c r="A10772" s="2" t="s">
        <v>12</v>
      </c>
      <c r="B10772" s="2" t="str">
        <f>HYPERLINK("http://m.12365auto.com/zjdy/20200207/121092.shtml","行驶过程中发动机熄火是什么原因导致的？")</f>
        <v>行驶过程中发动机熄火是什么原因导致的？</v>
      </c>
      <c r="C10772" s="2" t="s">
        <v>13</v>
      </c>
      <c r="D10772" s="2" t="s">
        <v>12</v>
      </c>
      <c r="E10772" s="2"/>
      <c r="F10772" s="2" t="str">
        <f>HYPERLINK("http://m.12365auto.com/zjdy/20200207/121092.shtml","http://m.12365auto.com/zjdy/20200207/121092.shtml")</f>
        <v>http://m.12365auto.com/zjdy/20200207/121092.shtml</v>
      </c>
      <c r="G10772" s="2"/>
      <c r="H10772" s="2" t="s">
        <v>14390</v>
      </c>
      <c r="I10772" s="2" t="s">
        <v>19</v>
      </c>
      <c r="J10772" s="2" t="s">
        <v>12</v>
      </c>
      <c r="K10772" s="2" t="s">
        <v>14391</v>
      </c>
      <c r="L10772" s="2">
        <f t="shared" si="168"/>
        <v>46</v>
      </c>
    </row>
    <row r="10773" spans="1:12" ht="25" customHeight="1">
      <c r="A10773" s="2" t="s">
        <v>12</v>
      </c>
      <c r="B10773" s="2" t="str">
        <f>HYPERLINK("http://www.12365auto.com/zlts/20200207/446574.shtml","广汽本田雅阁高速行驶时转向系统卡顿")</f>
        <v>广汽本田雅阁高速行驶时转向系统卡顿</v>
      </c>
      <c r="C10773" s="2" t="s">
        <v>13</v>
      </c>
      <c r="D10773" s="2" t="s">
        <v>12</v>
      </c>
      <c r="E10773" s="2" t="s">
        <v>17</v>
      </c>
      <c r="F10773" s="2" t="str">
        <f>HYPERLINK("http://www.12365auto.com/zlts/20200207/446574.shtml","http://www.12365auto.com/zlts/20200207/446574.shtml")</f>
        <v>http://www.12365auto.com/zlts/20200207/446574.shtml</v>
      </c>
      <c r="G10773" s="2"/>
      <c r="H10773" s="2" t="s">
        <v>14392</v>
      </c>
      <c r="I10773" s="2" t="s">
        <v>19</v>
      </c>
      <c r="J10773" s="2" t="s">
        <v>12</v>
      </c>
      <c r="K10773" s="2" t="s">
        <v>14393</v>
      </c>
      <c r="L10773" s="2">
        <f t="shared" si="168"/>
        <v>150</v>
      </c>
    </row>
    <row r="10774" spans="1:12" ht="25" customHeight="1">
      <c r="A10774" s="2" t="s">
        <v>12</v>
      </c>
      <c r="B10774" s="2" t="str">
        <f>HYPERLINK("http://www.12365auto.com/zlts/20200207/446573.shtml","吉利经典帝豪车身爆漆 中控台异响 行驶跑偏")</f>
        <v>吉利经典帝豪车身爆漆 中控台异响 行驶跑偏</v>
      </c>
      <c r="C10774" s="2" t="s">
        <v>13</v>
      </c>
      <c r="D10774" s="2" t="s">
        <v>12</v>
      </c>
      <c r="E10774" s="2" t="s">
        <v>17</v>
      </c>
      <c r="F10774" s="2" t="str">
        <f>HYPERLINK("http://www.12365auto.com/zlts/20200207/446573.shtml","http://www.12365auto.com/zlts/20200207/446573.shtml")</f>
        <v>http://www.12365auto.com/zlts/20200207/446573.shtml</v>
      </c>
      <c r="G10774" s="2"/>
      <c r="H10774" s="2" t="s">
        <v>14394</v>
      </c>
      <c r="I10774" s="2" t="s">
        <v>19</v>
      </c>
      <c r="J10774" s="2" t="s">
        <v>12</v>
      </c>
      <c r="K10774" s="2" t="s">
        <v>14395</v>
      </c>
      <c r="L10774" s="2">
        <f t="shared" si="168"/>
        <v>150</v>
      </c>
    </row>
    <row r="10775" spans="1:12" ht="25" customHeight="1">
      <c r="A10775" s="2" t="s">
        <v>12</v>
      </c>
      <c r="B10775" s="2" t="str">
        <f>HYPERLINK("http://m.12365auto.com/zjdy/20200207/121091.shtml","新车天窗玻璃自然开裂应该如何处理？")</f>
        <v>新车天窗玻璃自然开裂应该如何处理？</v>
      </c>
      <c r="C10775" s="2" t="s">
        <v>13</v>
      </c>
      <c r="D10775" s="2" t="s">
        <v>12</v>
      </c>
      <c r="E10775" s="2"/>
      <c r="F10775" s="2" t="str">
        <f>HYPERLINK("http://m.12365auto.com/zjdy/20200207/121091.shtml","http://m.12365auto.com/zjdy/20200207/121091.shtml")</f>
        <v>http://m.12365auto.com/zjdy/20200207/121091.shtml</v>
      </c>
      <c r="G10775" s="2"/>
      <c r="H10775" s="2" t="s">
        <v>14396</v>
      </c>
      <c r="I10775" s="2" t="s">
        <v>19</v>
      </c>
      <c r="J10775" s="2" t="s">
        <v>12</v>
      </c>
      <c r="K10775" s="2" t="s">
        <v>14397</v>
      </c>
      <c r="L10775" s="2">
        <f t="shared" si="168"/>
        <v>68</v>
      </c>
    </row>
    <row r="10776" spans="1:12" ht="25" customHeight="1">
      <c r="A10776" s="2" t="s">
        <v>12</v>
      </c>
      <c r="B10776" s="2" t="str">
        <f>HYPERLINK("http://www.12365auto.com/zlts/20200207/446572.shtml","一汽大众奥迪Q3方向盘异响门窗漏水")</f>
        <v>一汽大众奥迪Q3方向盘异响门窗漏水</v>
      </c>
      <c r="C10776" s="2" t="s">
        <v>13</v>
      </c>
      <c r="D10776" s="2" t="s">
        <v>12</v>
      </c>
      <c r="E10776" s="2" t="s">
        <v>17</v>
      </c>
      <c r="F10776" s="2" t="str">
        <f>HYPERLINK("http://www.12365auto.com/zlts/20200207/446572.shtml","http://www.12365auto.com/zlts/20200207/446572.shtml")</f>
        <v>http://www.12365auto.com/zlts/20200207/446572.shtml</v>
      </c>
      <c r="G10776" s="2"/>
      <c r="H10776" s="2" t="s">
        <v>14398</v>
      </c>
      <c r="I10776" s="2" t="s">
        <v>15</v>
      </c>
      <c r="J10776" s="2" t="s">
        <v>12</v>
      </c>
      <c r="K10776" s="2" t="s">
        <v>14399</v>
      </c>
      <c r="L10776" s="2">
        <f t="shared" si="168"/>
        <v>150</v>
      </c>
    </row>
    <row r="10777" spans="1:12" ht="25" customHeight="1">
      <c r="A10777" s="2" t="s">
        <v>12</v>
      </c>
      <c r="B10777" s="2" t="str">
        <f>HYPERLINK("http://www.12365auto.com/zlts/20200207/446565.shtml","华晨宝马X1转向系统故障灯亮打方向沉重")</f>
        <v>华晨宝马X1转向系统故障灯亮打方向沉重</v>
      </c>
      <c r="C10777" s="2" t="s">
        <v>13</v>
      </c>
      <c r="D10777" s="2" t="s">
        <v>12</v>
      </c>
      <c r="E10777" s="2" t="s">
        <v>17</v>
      </c>
      <c r="F10777" s="2" t="str">
        <f>HYPERLINK("http://www.12365auto.com/zlts/20200207/446565.shtml","http://www.12365auto.com/zlts/20200207/446565.shtml")</f>
        <v>http://www.12365auto.com/zlts/20200207/446565.shtml</v>
      </c>
      <c r="G10777" s="2"/>
      <c r="H10777" s="2" t="s">
        <v>14400</v>
      </c>
      <c r="I10777" s="2" t="s">
        <v>15</v>
      </c>
      <c r="J10777" s="2" t="s">
        <v>12</v>
      </c>
      <c r="K10777" s="2" t="s">
        <v>14401</v>
      </c>
      <c r="L10777" s="2">
        <f t="shared" si="168"/>
        <v>150</v>
      </c>
    </row>
    <row r="10778" spans="1:12" ht="25" customHeight="1">
      <c r="A10778" s="2" t="s">
        <v>12</v>
      </c>
      <c r="B10778" s="2" t="str">
        <f>HYPERLINK("http://m.12365auto.com/zjdy/20200207/121090.shtml","哈弗F7车载互联系统故障应该怎么处理？")</f>
        <v>哈弗F7车载互联系统故障应该怎么处理？</v>
      </c>
      <c r="C10778" s="2" t="s">
        <v>13</v>
      </c>
      <c r="D10778" s="2" t="s">
        <v>12</v>
      </c>
      <c r="E10778" s="2"/>
      <c r="F10778" s="2" t="str">
        <f>HYPERLINK("http://m.12365auto.com/zjdy/20200207/121090.shtml","http://m.12365auto.com/zjdy/20200207/121090.shtml")</f>
        <v>http://m.12365auto.com/zjdy/20200207/121090.shtml</v>
      </c>
      <c r="G10778" s="2"/>
      <c r="H10778" s="2" t="s">
        <v>14402</v>
      </c>
      <c r="I10778" s="2" t="s">
        <v>19</v>
      </c>
      <c r="J10778" s="2" t="s">
        <v>12</v>
      </c>
      <c r="K10778" s="2" t="s">
        <v>14403</v>
      </c>
      <c r="L10778" s="2">
        <f t="shared" si="168"/>
        <v>19</v>
      </c>
    </row>
    <row r="10779" spans="1:12" ht="25" customHeight="1">
      <c r="A10779" s="2" t="s">
        <v>12</v>
      </c>
      <c r="B10779" s="2" t="str">
        <f>HYPERLINK("http://m.12365auto.com/zjdy/20200207/121089.shtml","2020款阿特兹还存在转向机的问题吗？")</f>
        <v>2020款阿特兹还存在转向机的问题吗？</v>
      </c>
      <c r="C10779" s="2" t="s">
        <v>13</v>
      </c>
      <c r="D10779" s="2" t="s">
        <v>12</v>
      </c>
      <c r="E10779" s="2"/>
      <c r="F10779" s="2" t="str">
        <f>HYPERLINK("http://m.12365auto.com/zjdy/20200207/121089.shtml","http://m.12365auto.com/zjdy/20200207/121089.shtml")</f>
        <v>http://m.12365auto.com/zjdy/20200207/121089.shtml</v>
      </c>
      <c r="G10779" s="2"/>
      <c r="H10779" s="2" t="s">
        <v>14404</v>
      </c>
      <c r="I10779" s="2" t="s">
        <v>19</v>
      </c>
      <c r="J10779" s="2" t="s">
        <v>12</v>
      </c>
      <c r="K10779" s="2" t="s">
        <v>14405</v>
      </c>
      <c r="L10779" s="2">
        <f t="shared" si="168"/>
        <v>53</v>
      </c>
    </row>
    <row r="10780" spans="1:12" ht="25" customHeight="1">
      <c r="A10780" s="2" t="s">
        <v>12</v>
      </c>
      <c r="B10780" s="2" t="str">
        <f>HYPERLINK("http://m.12365auto.com/zjdy/20200207/121088.shtml","车辆变速箱的M挡是不是手动模式？")</f>
        <v>车辆变速箱的M挡是不是手动模式？</v>
      </c>
      <c r="C10780" s="2" t="s">
        <v>13</v>
      </c>
      <c r="D10780" s="2" t="s">
        <v>12</v>
      </c>
      <c r="E10780" s="2"/>
      <c r="F10780" s="2" t="str">
        <f>HYPERLINK("http://m.12365auto.com/zjdy/20200207/121088.shtml","http://m.12365auto.com/zjdy/20200207/121088.shtml")</f>
        <v>http://m.12365auto.com/zjdy/20200207/121088.shtml</v>
      </c>
      <c r="G10780" s="2"/>
      <c r="H10780" s="2" t="s">
        <v>14406</v>
      </c>
      <c r="I10780" s="2" t="s">
        <v>19</v>
      </c>
      <c r="J10780" s="2" t="s">
        <v>12</v>
      </c>
      <c r="K10780" s="2" t="s">
        <v>14407</v>
      </c>
      <c r="L10780" s="2">
        <f t="shared" si="168"/>
        <v>10</v>
      </c>
    </row>
    <row r="10781" spans="1:12" ht="25" customHeight="1">
      <c r="A10781" s="2" t="s">
        <v>12</v>
      </c>
      <c r="B10781" s="2" t="str">
        <f>HYPERLINK("http://bbs.12365auto.com/postcontent.aspx?tID=193521","一汽大众速腾暖风不热")</f>
        <v>一汽大众速腾暖风不热</v>
      </c>
      <c r="C10781" s="2" t="s">
        <v>13</v>
      </c>
      <c r="D10781" s="2" t="s">
        <v>12</v>
      </c>
      <c r="E10781" s="2" t="s">
        <v>67</v>
      </c>
      <c r="F10781" s="2" t="str">
        <f>HYPERLINK("http://bbs.12365auto.com/postcontent.aspx?tID=193521","http://bbs.12365auto.com/postcontent.aspx?tID=193521")</f>
        <v>http://bbs.12365auto.com/postcontent.aspx?tID=193521</v>
      </c>
      <c r="G10781" s="2"/>
      <c r="H10781" s="2" t="s">
        <v>14408</v>
      </c>
      <c r="I10781" s="2" t="s">
        <v>15</v>
      </c>
      <c r="J10781" s="2" t="s">
        <v>14409</v>
      </c>
      <c r="K10781" s="2" t="s">
        <v>14410</v>
      </c>
      <c r="L10781" s="2">
        <f t="shared" si="168"/>
        <v>150</v>
      </c>
    </row>
    <row r="10782" spans="1:12" ht="25" customHeight="1">
      <c r="A10782" s="2" t="s">
        <v>12</v>
      </c>
      <c r="B10782" s="2" t="str">
        <f>HYPERLINK("http://m.12365auto.com/bbs/postcontent.aspx?tID=193521","一汽大众速腾暖风不热")</f>
        <v>一汽大众速腾暖风不热</v>
      </c>
      <c r="C10782" s="2" t="s">
        <v>13</v>
      </c>
      <c r="D10782" s="2" t="s">
        <v>23</v>
      </c>
      <c r="E10782" s="2"/>
      <c r="F10782" s="2" t="str">
        <f>HYPERLINK("http://m.12365auto.com/bbs/postcontent.aspx?tID=193521","http://m.12365auto.com/bbs/postcontent.aspx?tID=193521")</f>
        <v>http://m.12365auto.com/bbs/postcontent.aspx?tID=193521</v>
      </c>
      <c r="G10782" s="2"/>
      <c r="H10782" s="2" t="s">
        <v>14411</v>
      </c>
      <c r="I10782" s="2" t="s">
        <v>15</v>
      </c>
      <c r="J10782" s="2" t="s">
        <v>14409</v>
      </c>
      <c r="K10782" s="2" t="s">
        <v>14410</v>
      </c>
      <c r="L10782" s="2">
        <f t="shared" si="168"/>
        <v>150</v>
      </c>
    </row>
    <row r="10783" spans="1:12" ht="25" customHeight="1">
      <c r="A10783" s="2" t="s">
        <v>12</v>
      </c>
      <c r="B10783" s="2" t="str">
        <f>HYPERLINK("http://bbs.12365auto.com/postcontent.aspx?tId=193521","一汽大众速腾暖风不热")</f>
        <v>一汽大众速腾暖风不热</v>
      </c>
      <c r="C10783" s="2" t="s">
        <v>13</v>
      </c>
      <c r="D10783" s="2" t="s">
        <v>12</v>
      </c>
      <c r="E10783" s="2" t="s">
        <v>66</v>
      </c>
      <c r="F10783" s="2" t="str">
        <f>HYPERLINK("http://bbs.12365auto.com/postcontent.aspx?tId=193521","http://bbs.12365auto.com/postcontent.aspx?tId=193521")</f>
        <v>http://bbs.12365auto.com/postcontent.aspx?tId=193521</v>
      </c>
      <c r="G10783" s="2"/>
      <c r="H10783" s="2" t="s">
        <v>14411</v>
      </c>
      <c r="I10783" s="2" t="s">
        <v>15</v>
      </c>
      <c r="J10783" s="2" t="s">
        <v>14409</v>
      </c>
      <c r="K10783" s="2" t="s">
        <v>14410</v>
      </c>
      <c r="L10783" s="2">
        <f t="shared" si="168"/>
        <v>150</v>
      </c>
    </row>
    <row r="10784" spans="1:12" ht="25" customHeight="1">
      <c r="A10784" s="2" t="s">
        <v>12</v>
      </c>
      <c r="B10784" s="2" t="str">
        <f>HYPERLINK("http://bbs.12365auto.com/postcontent.aspx?tID=193520","北京奔驰GLC刹车异响特别影响使用")</f>
        <v>北京奔驰GLC刹车异响特别影响使用</v>
      </c>
      <c r="C10784" s="2" t="s">
        <v>13</v>
      </c>
      <c r="D10784" s="2" t="s">
        <v>12</v>
      </c>
      <c r="E10784" s="2" t="s">
        <v>67</v>
      </c>
      <c r="F10784" s="2" t="str">
        <f>HYPERLINK("http://bbs.12365auto.com/postcontent.aspx?tID=193520","http://bbs.12365auto.com/postcontent.aspx?tID=193520")</f>
        <v>http://bbs.12365auto.com/postcontent.aspx?tID=193520</v>
      </c>
      <c r="G10784" s="2"/>
      <c r="H10784" s="2" t="s">
        <v>14412</v>
      </c>
      <c r="I10784" s="2" t="s">
        <v>15</v>
      </c>
      <c r="J10784" s="2" t="s">
        <v>14413</v>
      </c>
      <c r="K10784" s="2" t="s">
        <v>14414</v>
      </c>
      <c r="L10784" s="2">
        <f t="shared" si="168"/>
        <v>80</v>
      </c>
    </row>
    <row r="10785" spans="1:12" ht="25" customHeight="1">
      <c r="A10785" s="2" t="s">
        <v>12</v>
      </c>
      <c r="B10785" s="2" t="str">
        <f>HYPERLINK("http://bbs.12365auto.com/postcontent.aspx?tId=193520","北京奔驰GLC刹车异响特别影响使用")</f>
        <v>北京奔驰GLC刹车异响特别影响使用</v>
      </c>
      <c r="C10785" s="2" t="s">
        <v>13</v>
      </c>
      <c r="D10785" s="2" t="s">
        <v>12</v>
      </c>
      <c r="E10785" s="2" t="s">
        <v>66</v>
      </c>
      <c r="F10785" s="2" t="str">
        <f>HYPERLINK("http://bbs.12365auto.com/postcontent.aspx?tId=193520","http://bbs.12365auto.com/postcontent.aspx?tId=193520")</f>
        <v>http://bbs.12365auto.com/postcontent.aspx?tId=193520</v>
      </c>
      <c r="G10785" s="2"/>
      <c r="H10785" s="2" t="s">
        <v>14415</v>
      </c>
      <c r="I10785" s="2" t="s">
        <v>15</v>
      </c>
      <c r="J10785" s="2" t="s">
        <v>14413</v>
      </c>
      <c r="K10785" s="2" t="s">
        <v>14414</v>
      </c>
      <c r="L10785" s="2">
        <f t="shared" si="168"/>
        <v>63</v>
      </c>
    </row>
    <row r="10786" spans="1:12" ht="25" customHeight="1">
      <c r="A10786" s="2" t="s">
        <v>12</v>
      </c>
      <c r="B10786" s="2" t="str">
        <f>HYPERLINK("http://m.12365auto.com/bbs/postcontent.aspx?tID=193520","北京奔驰GLC刹车异响特别影响使用")</f>
        <v>北京奔驰GLC刹车异响特别影响使用</v>
      </c>
      <c r="C10786" s="2" t="s">
        <v>13</v>
      </c>
      <c r="D10786" s="2" t="s">
        <v>23</v>
      </c>
      <c r="E10786" s="2"/>
      <c r="F10786" s="2" t="str">
        <f>HYPERLINK("http://m.12365auto.com/bbs/postcontent.aspx?tID=193520","http://m.12365auto.com/bbs/postcontent.aspx?tID=193520")</f>
        <v>http://m.12365auto.com/bbs/postcontent.aspx?tID=193520</v>
      </c>
      <c r="G10786" s="2"/>
      <c r="H10786" s="2" t="s">
        <v>14415</v>
      </c>
      <c r="I10786" s="2" t="s">
        <v>15</v>
      </c>
      <c r="J10786" s="2" t="s">
        <v>14413</v>
      </c>
      <c r="K10786" s="2" t="s">
        <v>14414</v>
      </c>
      <c r="L10786" s="2">
        <f t="shared" si="168"/>
        <v>63</v>
      </c>
    </row>
    <row r="10787" spans="1:12" ht="25" customHeight="1">
      <c r="A10787" s="2" t="s">
        <v>12</v>
      </c>
      <c r="B10787" s="2" t="str">
        <f>HYPERLINK("http://bbs.12365auto.com/postcontent.aspx?tID=193519","一汽奔腾T77发动机抖动引起车身共振")</f>
        <v>一汽奔腾T77发动机抖动引起车身共振</v>
      </c>
      <c r="C10787" s="2" t="s">
        <v>13</v>
      </c>
      <c r="D10787" s="2" t="s">
        <v>12</v>
      </c>
      <c r="E10787" s="2" t="s">
        <v>67</v>
      </c>
      <c r="F10787" s="2" t="str">
        <f>HYPERLINK("http://bbs.12365auto.com/postcontent.aspx?tID=193519","http://bbs.12365auto.com/postcontent.aspx?tID=193519")</f>
        <v>http://bbs.12365auto.com/postcontent.aspx?tID=193519</v>
      </c>
      <c r="G10787" s="2"/>
      <c r="H10787" s="2" t="s">
        <v>14416</v>
      </c>
      <c r="I10787" s="2" t="s">
        <v>15</v>
      </c>
      <c r="J10787" s="2" t="s">
        <v>14417</v>
      </c>
      <c r="K10787" s="2" t="s">
        <v>14418</v>
      </c>
      <c r="L10787" s="2">
        <f t="shared" si="168"/>
        <v>109</v>
      </c>
    </row>
    <row r="10788" spans="1:12" ht="25" customHeight="1">
      <c r="A10788" s="2" t="s">
        <v>12</v>
      </c>
      <c r="B10788" s="2" t="str">
        <f>HYPERLINK("http://bbs.12365auto.com/postcontent.aspx?tId=193519","一汽奔腾T77发动机抖动引起车身共振")</f>
        <v>一汽奔腾T77发动机抖动引起车身共振</v>
      </c>
      <c r="C10788" s="2" t="s">
        <v>13</v>
      </c>
      <c r="D10788" s="2" t="s">
        <v>12</v>
      </c>
      <c r="E10788" s="2" t="s">
        <v>66</v>
      </c>
      <c r="F10788" s="2" t="str">
        <f>HYPERLINK("http://bbs.12365auto.com/postcontent.aspx?tId=193519","http://bbs.12365auto.com/postcontent.aspx?tId=193519")</f>
        <v>http://bbs.12365auto.com/postcontent.aspx?tId=193519</v>
      </c>
      <c r="G10788" s="2"/>
      <c r="H10788" s="2" t="s">
        <v>14419</v>
      </c>
      <c r="I10788" s="2" t="s">
        <v>15</v>
      </c>
      <c r="J10788" s="2" t="s">
        <v>14417</v>
      </c>
      <c r="K10788" s="2" t="s">
        <v>14418</v>
      </c>
      <c r="L10788" s="2">
        <f t="shared" si="168"/>
        <v>91</v>
      </c>
    </row>
    <row r="10789" spans="1:12" ht="25" customHeight="1">
      <c r="A10789" s="2" t="s">
        <v>12</v>
      </c>
      <c r="B10789" s="2" t="str">
        <f>HYPERLINK("http://m.12365auto.com/bbs/postcontent.aspx?tID=193519","一汽奔腾T77发动机抖动引起车身共振")</f>
        <v>一汽奔腾T77发动机抖动引起车身共振</v>
      </c>
      <c r="C10789" s="2" t="s">
        <v>13</v>
      </c>
      <c r="D10789" s="2" t="s">
        <v>23</v>
      </c>
      <c r="E10789" s="2"/>
      <c r="F10789" s="2" t="str">
        <f>HYPERLINK("http://m.12365auto.com/bbs/postcontent.aspx?tID=193519","http://m.12365auto.com/bbs/postcontent.aspx?tID=193519")</f>
        <v>http://m.12365auto.com/bbs/postcontent.aspx?tID=193519</v>
      </c>
      <c r="G10789" s="2"/>
      <c r="H10789" s="2" t="s">
        <v>14419</v>
      </c>
      <c r="I10789" s="2" t="s">
        <v>15</v>
      </c>
      <c r="J10789" s="2" t="s">
        <v>14417</v>
      </c>
      <c r="K10789" s="2" t="s">
        <v>14418</v>
      </c>
      <c r="L10789" s="2">
        <f t="shared" si="168"/>
        <v>91</v>
      </c>
    </row>
    <row r="10790" spans="1:12" ht="25" customHeight="1">
      <c r="A10790" s="2" t="s">
        <v>12</v>
      </c>
      <c r="B10790" s="2" t="str">
        <f>HYPERLINK("http://bbs.12365auto.com/postcontent.aspx?tID=193518","上汽大众途观变速箱漏油")</f>
        <v>上汽大众途观变速箱漏油</v>
      </c>
      <c r="C10790" s="2" t="s">
        <v>13</v>
      </c>
      <c r="D10790" s="2" t="s">
        <v>12</v>
      </c>
      <c r="E10790" s="2" t="s">
        <v>67</v>
      </c>
      <c r="F10790" s="2" t="str">
        <f>HYPERLINK("http://bbs.12365auto.com/postcontent.aspx?tID=193518","http://bbs.12365auto.com/postcontent.aspx?tID=193518")</f>
        <v>http://bbs.12365auto.com/postcontent.aspx?tID=193518</v>
      </c>
      <c r="G10790" s="2"/>
      <c r="H10790" s="2" t="s">
        <v>14420</v>
      </c>
      <c r="I10790" s="2" t="s">
        <v>15</v>
      </c>
      <c r="J10790" s="2" t="s">
        <v>14421</v>
      </c>
      <c r="K10790" s="2" t="s">
        <v>14422</v>
      </c>
      <c r="L10790" s="2">
        <f t="shared" si="168"/>
        <v>150</v>
      </c>
    </row>
    <row r="10791" spans="1:12" ht="25" customHeight="1">
      <c r="A10791" s="2" t="s">
        <v>12</v>
      </c>
      <c r="B10791" s="2" t="str">
        <f>HYPERLINK("http://bbs.12365auto.com/postcontent.aspx?tId=193518","上汽大众途观变速箱漏油")</f>
        <v>上汽大众途观变速箱漏油</v>
      </c>
      <c r="C10791" s="2" t="s">
        <v>13</v>
      </c>
      <c r="D10791" s="2" t="s">
        <v>12</v>
      </c>
      <c r="E10791" s="2" t="s">
        <v>66</v>
      </c>
      <c r="F10791" s="2" t="str">
        <f>HYPERLINK("http://bbs.12365auto.com/postcontent.aspx?tId=193518","http://bbs.12365auto.com/postcontent.aspx?tId=193518")</f>
        <v>http://bbs.12365auto.com/postcontent.aspx?tId=193518</v>
      </c>
      <c r="G10791" s="2"/>
      <c r="H10791" s="2" t="s">
        <v>14423</v>
      </c>
      <c r="I10791" s="2" t="s">
        <v>15</v>
      </c>
      <c r="J10791" s="2" t="s">
        <v>14421</v>
      </c>
      <c r="K10791" s="2" t="s">
        <v>14422</v>
      </c>
      <c r="L10791" s="2">
        <f t="shared" si="168"/>
        <v>150</v>
      </c>
    </row>
    <row r="10792" spans="1:12" ht="25" customHeight="1">
      <c r="A10792" s="2" t="s">
        <v>12</v>
      </c>
      <c r="B10792" s="2" t="str">
        <f>HYPERLINK("http://m.12365auto.com/bbs/postcontent.aspx?tID=193518","上汽大众途观变速箱漏油")</f>
        <v>上汽大众途观变速箱漏油</v>
      </c>
      <c r="C10792" s="2" t="s">
        <v>13</v>
      </c>
      <c r="D10792" s="2" t="s">
        <v>23</v>
      </c>
      <c r="E10792" s="2"/>
      <c r="F10792" s="2" t="str">
        <f>HYPERLINK("http://m.12365auto.com/bbs/postcontent.aspx?tID=193518","http://m.12365auto.com/bbs/postcontent.aspx?tID=193518")</f>
        <v>http://m.12365auto.com/bbs/postcontent.aspx?tID=193518</v>
      </c>
      <c r="G10792" s="2"/>
      <c r="H10792" s="2" t="s">
        <v>14423</v>
      </c>
      <c r="I10792" s="2" t="s">
        <v>15</v>
      </c>
      <c r="J10792" s="2" t="s">
        <v>14421</v>
      </c>
      <c r="K10792" s="2" t="s">
        <v>14422</v>
      </c>
      <c r="L10792" s="2">
        <f t="shared" si="168"/>
        <v>150</v>
      </c>
    </row>
    <row r="10793" spans="1:12" ht="25" customHeight="1">
      <c r="A10793" s="2" t="s">
        <v>12</v>
      </c>
      <c r="B10793" s="2" t="str">
        <f>HYPERLINK("http://bbs.12365auto.com/postcontent.aspx?tID=193517","广汽本田凌派四个车门不同程度生锈")</f>
        <v>广汽本田凌派四个车门不同程度生锈</v>
      </c>
      <c r="C10793" s="2" t="s">
        <v>13</v>
      </c>
      <c r="D10793" s="2" t="s">
        <v>12</v>
      </c>
      <c r="E10793" s="2" t="s">
        <v>67</v>
      </c>
      <c r="F10793" s="2" t="str">
        <f>HYPERLINK("http://bbs.12365auto.com/postcontent.aspx?tID=193517","http://bbs.12365auto.com/postcontent.aspx?tID=193517")</f>
        <v>http://bbs.12365auto.com/postcontent.aspx?tID=193517</v>
      </c>
      <c r="G10793" s="2"/>
      <c r="H10793" s="2" t="s">
        <v>14424</v>
      </c>
      <c r="I10793" s="2" t="s">
        <v>15</v>
      </c>
      <c r="J10793" s="2" t="s">
        <v>14425</v>
      </c>
      <c r="K10793" s="2" t="s">
        <v>14426</v>
      </c>
      <c r="L10793" s="2">
        <f t="shared" si="168"/>
        <v>67</v>
      </c>
    </row>
    <row r="10794" spans="1:12" ht="25" customHeight="1">
      <c r="A10794" s="2" t="s">
        <v>12</v>
      </c>
      <c r="B10794" s="2" t="str">
        <f>HYPERLINK("http://bbs.12365auto.com/postcontent.aspx?tId=193517","广汽本田凌派四个车门不同程度生锈")</f>
        <v>广汽本田凌派四个车门不同程度生锈</v>
      </c>
      <c r="C10794" s="2" t="s">
        <v>13</v>
      </c>
      <c r="D10794" s="2" t="s">
        <v>12</v>
      </c>
      <c r="E10794" s="2" t="s">
        <v>66</v>
      </c>
      <c r="F10794" s="2" t="str">
        <f>HYPERLINK("http://bbs.12365auto.com/postcontent.aspx?tId=193517","http://bbs.12365auto.com/postcontent.aspx?tId=193517")</f>
        <v>http://bbs.12365auto.com/postcontent.aspx?tId=193517</v>
      </c>
      <c r="G10794" s="2"/>
      <c r="H10794" s="2" t="s">
        <v>14427</v>
      </c>
      <c r="I10794" s="2" t="s">
        <v>15</v>
      </c>
      <c r="J10794" s="2" t="s">
        <v>14425</v>
      </c>
      <c r="K10794" s="2" t="s">
        <v>14426</v>
      </c>
      <c r="L10794" s="2">
        <f t="shared" si="168"/>
        <v>51</v>
      </c>
    </row>
    <row r="10795" spans="1:12" ht="25" customHeight="1">
      <c r="A10795" s="2" t="s">
        <v>12</v>
      </c>
      <c r="B10795" s="2" t="str">
        <f>HYPERLINK("http://m.12365auto.com/bbs/postcontent.aspx?tID=193517","广汽本田凌派四个车门不同程度生锈")</f>
        <v>广汽本田凌派四个车门不同程度生锈</v>
      </c>
      <c r="C10795" s="2" t="s">
        <v>13</v>
      </c>
      <c r="D10795" s="2" t="s">
        <v>23</v>
      </c>
      <c r="E10795" s="2"/>
      <c r="F10795" s="2" t="str">
        <f>HYPERLINK("http://m.12365auto.com/bbs/postcontent.aspx?tID=193517","http://m.12365auto.com/bbs/postcontent.aspx?tID=193517")</f>
        <v>http://m.12365auto.com/bbs/postcontent.aspx?tID=193517</v>
      </c>
      <c r="G10795" s="2"/>
      <c r="H10795" s="2" t="s">
        <v>14427</v>
      </c>
      <c r="I10795" s="2" t="s">
        <v>15</v>
      </c>
      <c r="J10795" s="2" t="s">
        <v>14425</v>
      </c>
      <c r="K10795" s="2" t="s">
        <v>14426</v>
      </c>
      <c r="L10795" s="2">
        <f t="shared" si="168"/>
        <v>51</v>
      </c>
    </row>
    <row r="10796" spans="1:12" ht="25" customHeight="1">
      <c r="A10796" s="2" t="s">
        <v>12</v>
      </c>
      <c r="B10796" s="2" t="str">
        <f>HYPERLINK("http://bbs.12365auto.com/postcontent.aspx?tID=193516","东风风光580仪表故障灯亮")</f>
        <v>东风风光580仪表故障灯亮</v>
      </c>
      <c r="C10796" s="2" t="s">
        <v>13</v>
      </c>
      <c r="D10796" s="2" t="s">
        <v>12</v>
      </c>
      <c r="E10796" s="2" t="s">
        <v>67</v>
      </c>
      <c r="F10796" s="2" t="str">
        <f>HYPERLINK("http://bbs.12365auto.com/postcontent.aspx?tID=193516","http://bbs.12365auto.com/postcontent.aspx?tID=193516")</f>
        <v>http://bbs.12365auto.com/postcontent.aspx?tID=193516</v>
      </c>
      <c r="G10796" s="2"/>
      <c r="H10796" s="2" t="s">
        <v>14428</v>
      </c>
      <c r="I10796" s="2" t="s">
        <v>15</v>
      </c>
      <c r="J10796" s="2" t="s">
        <v>14429</v>
      </c>
      <c r="K10796" s="2" t="s">
        <v>14430</v>
      </c>
      <c r="L10796" s="2">
        <f t="shared" si="168"/>
        <v>100</v>
      </c>
    </row>
    <row r="10797" spans="1:12" ht="25" customHeight="1">
      <c r="A10797" s="2" t="s">
        <v>12</v>
      </c>
      <c r="B10797" s="2" t="str">
        <f>HYPERLINK("http://bbs.12365auto.com/postcontent.aspx?tId=193516","东风风光580仪表故障灯亮")</f>
        <v>东风风光580仪表故障灯亮</v>
      </c>
      <c r="C10797" s="2" t="s">
        <v>13</v>
      </c>
      <c r="D10797" s="2" t="s">
        <v>12</v>
      </c>
      <c r="E10797" s="2" t="s">
        <v>66</v>
      </c>
      <c r="F10797" s="2" t="str">
        <f>HYPERLINK("http://bbs.12365auto.com/postcontent.aspx?tId=193516","http://bbs.12365auto.com/postcontent.aspx?tId=193516")</f>
        <v>http://bbs.12365auto.com/postcontent.aspx?tId=193516</v>
      </c>
      <c r="G10797" s="2"/>
      <c r="H10797" s="2" t="s">
        <v>14431</v>
      </c>
      <c r="I10797" s="2" t="s">
        <v>15</v>
      </c>
      <c r="J10797" s="2" t="s">
        <v>14429</v>
      </c>
      <c r="K10797" s="2" t="s">
        <v>14430</v>
      </c>
      <c r="L10797" s="2">
        <f t="shared" si="168"/>
        <v>87</v>
      </c>
    </row>
    <row r="10798" spans="1:12" ht="25" customHeight="1">
      <c r="A10798" s="2" t="s">
        <v>12</v>
      </c>
      <c r="B10798" s="2" t="str">
        <f>HYPERLINK("http://m.12365auto.com/bbs/postcontent.aspx?tID=193516","东风风光580仪表故障灯亮")</f>
        <v>东风风光580仪表故障灯亮</v>
      </c>
      <c r="C10798" s="2" t="s">
        <v>13</v>
      </c>
      <c r="D10798" s="2" t="s">
        <v>23</v>
      </c>
      <c r="E10798" s="2"/>
      <c r="F10798" s="2" t="str">
        <f>HYPERLINK("http://m.12365auto.com/bbs/postcontent.aspx?tID=193516","http://m.12365auto.com/bbs/postcontent.aspx?tID=193516")</f>
        <v>http://m.12365auto.com/bbs/postcontent.aspx?tID=193516</v>
      </c>
      <c r="G10798" s="2"/>
      <c r="H10798" s="2" t="s">
        <v>14431</v>
      </c>
      <c r="I10798" s="2" t="s">
        <v>15</v>
      </c>
      <c r="J10798" s="2" t="s">
        <v>14429</v>
      </c>
      <c r="K10798" s="2" t="s">
        <v>14430</v>
      </c>
      <c r="L10798" s="2">
        <f t="shared" si="168"/>
        <v>87</v>
      </c>
    </row>
    <row r="10799" spans="1:12" ht="25" customHeight="1">
      <c r="A10799" s="2" t="s">
        <v>12</v>
      </c>
      <c r="B10799" s="2" t="str">
        <f>HYPERLINK("http://bbs.12365auto.com/postcontent.aspx?tID=193515","长安福特福睿斯左后门铰链处门板生锈")</f>
        <v>长安福特福睿斯左后门铰链处门板生锈</v>
      </c>
      <c r="C10799" s="2" t="s">
        <v>13</v>
      </c>
      <c r="D10799" s="2" t="s">
        <v>12</v>
      </c>
      <c r="E10799" s="2" t="s">
        <v>67</v>
      </c>
      <c r="F10799" s="2" t="str">
        <f>HYPERLINK("http://bbs.12365auto.com/postcontent.aspx?tID=193515","http://bbs.12365auto.com/postcontent.aspx?tID=193515")</f>
        <v>http://bbs.12365auto.com/postcontent.aspx?tID=193515</v>
      </c>
      <c r="G10799" s="2"/>
      <c r="H10799" s="2" t="s">
        <v>14432</v>
      </c>
      <c r="I10799" s="2" t="s">
        <v>15</v>
      </c>
      <c r="J10799" s="2" t="s">
        <v>14433</v>
      </c>
      <c r="K10799" s="2" t="s">
        <v>14434</v>
      </c>
      <c r="L10799" s="2">
        <f t="shared" si="168"/>
        <v>62</v>
      </c>
    </row>
    <row r="10800" spans="1:12" ht="25" customHeight="1">
      <c r="A10800" s="2" t="s">
        <v>12</v>
      </c>
      <c r="B10800" s="2" t="str">
        <f>HYPERLINK("http://bbs.12365auto.com/postcontent.aspx?tId=193515","长安福特福睿斯左后门铰链处门板生锈")</f>
        <v>长安福特福睿斯左后门铰链处门板生锈</v>
      </c>
      <c r="C10800" s="2" t="s">
        <v>13</v>
      </c>
      <c r="D10800" s="2" t="s">
        <v>12</v>
      </c>
      <c r="E10800" s="2" t="s">
        <v>66</v>
      </c>
      <c r="F10800" s="2" t="str">
        <f>HYPERLINK("http://bbs.12365auto.com/postcontent.aspx?tId=193515","http://bbs.12365auto.com/postcontent.aspx?tId=193515")</f>
        <v>http://bbs.12365auto.com/postcontent.aspx?tId=193515</v>
      </c>
      <c r="G10800" s="2"/>
      <c r="H10800" s="2" t="s">
        <v>14435</v>
      </c>
      <c r="I10800" s="2" t="s">
        <v>15</v>
      </c>
      <c r="J10800" s="2" t="s">
        <v>14433</v>
      </c>
      <c r="K10800" s="2" t="s">
        <v>14434</v>
      </c>
      <c r="L10800" s="2">
        <f t="shared" si="168"/>
        <v>45</v>
      </c>
    </row>
    <row r="10801" spans="1:12" ht="25" customHeight="1">
      <c r="A10801" s="2" t="s">
        <v>12</v>
      </c>
      <c r="B10801" s="2" t="str">
        <f>HYPERLINK("http://m.12365auto.com/bbs/postcontent.aspx?tID=193515","长安福特福睿斯左后门铰链处门板生锈")</f>
        <v>长安福特福睿斯左后门铰链处门板生锈</v>
      </c>
      <c r="C10801" s="2" t="s">
        <v>13</v>
      </c>
      <c r="D10801" s="2" t="s">
        <v>23</v>
      </c>
      <c r="E10801" s="2"/>
      <c r="F10801" s="2" t="str">
        <f>HYPERLINK("http://m.12365auto.com/bbs/postcontent.aspx?tID=193515","http://m.12365auto.com/bbs/postcontent.aspx?tID=193515")</f>
        <v>http://m.12365auto.com/bbs/postcontent.aspx?tID=193515</v>
      </c>
      <c r="G10801" s="2"/>
      <c r="H10801" s="2" t="s">
        <v>14435</v>
      </c>
      <c r="I10801" s="2" t="s">
        <v>15</v>
      </c>
      <c r="J10801" s="2" t="s">
        <v>14433</v>
      </c>
      <c r="K10801" s="2" t="s">
        <v>14434</v>
      </c>
      <c r="L10801" s="2">
        <f t="shared" si="168"/>
        <v>45</v>
      </c>
    </row>
    <row r="10802" spans="1:12" ht="25" customHeight="1">
      <c r="A10802" s="2" t="s">
        <v>12</v>
      </c>
      <c r="B10802" s="2" t="str">
        <f>HYPERLINK("http://bbs.12365auto.com/postcontent.aspx?tID=193514","奇瑞瑞虎5x发动机故障灯亮")</f>
        <v>奇瑞瑞虎5x发动机故障灯亮</v>
      </c>
      <c r="C10802" s="2" t="s">
        <v>13</v>
      </c>
      <c r="D10802" s="2" t="s">
        <v>12</v>
      </c>
      <c r="E10802" s="2" t="s">
        <v>67</v>
      </c>
      <c r="F10802" s="2" t="str">
        <f>HYPERLINK("http://bbs.12365auto.com/postcontent.aspx?tID=193514","http://bbs.12365auto.com/postcontent.aspx?tID=193514")</f>
        <v>http://bbs.12365auto.com/postcontent.aspx?tID=193514</v>
      </c>
      <c r="G10802" s="2"/>
      <c r="H10802" s="2" t="s">
        <v>14436</v>
      </c>
      <c r="I10802" s="2" t="s">
        <v>15</v>
      </c>
      <c r="J10802" s="2" t="s">
        <v>14437</v>
      </c>
      <c r="K10802" s="2" t="s">
        <v>14438</v>
      </c>
      <c r="L10802" s="2">
        <f t="shared" si="168"/>
        <v>150</v>
      </c>
    </row>
    <row r="10803" spans="1:12" ht="25" customHeight="1">
      <c r="A10803" s="2" t="s">
        <v>12</v>
      </c>
      <c r="B10803" s="2" t="str">
        <f>HYPERLINK("http://bbs.12365auto.com/postcontent.aspx?tId=193514","奇瑞瑞虎5x发动机故障灯亮")</f>
        <v>奇瑞瑞虎5x发动机故障灯亮</v>
      </c>
      <c r="C10803" s="2" t="s">
        <v>13</v>
      </c>
      <c r="D10803" s="2" t="s">
        <v>12</v>
      </c>
      <c r="E10803" s="2" t="s">
        <v>66</v>
      </c>
      <c r="F10803" s="2" t="str">
        <f>HYPERLINK("http://bbs.12365auto.com/postcontent.aspx?tId=193514","http://bbs.12365auto.com/postcontent.aspx?tId=193514")</f>
        <v>http://bbs.12365auto.com/postcontent.aspx?tId=193514</v>
      </c>
      <c r="G10803" s="2"/>
      <c r="H10803" s="2" t="s">
        <v>14439</v>
      </c>
      <c r="I10803" s="2" t="s">
        <v>15</v>
      </c>
      <c r="J10803" s="2" t="s">
        <v>14437</v>
      </c>
      <c r="K10803" s="2" t="s">
        <v>14438</v>
      </c>
      <c r="L10803" s="2">
        <f t="shared" si="168"/>
        <v>150</v>
      </c>
    </row>
    <row r="10804" spans="1:12" ht="25" customHeight="1">
      <c r="A10804" s="2" t="s">
        <v>12</v>
      </c>
      <c r="B10804" s="2" t="str">
        <f>HYPERLINK("http://m.12365auto.com/bbs/postcontent.aspx?tID=193514","奇瑞瑞虎5x发动机故障灯亮")</f>
        <v>奇瑞瑞虎5x发动机故障灯亮</v>
      </c>
      <c r="C10804" s="2" t="s">
        <v>13</v>
      </c>
      <c r="D10804" s="2" t="s">
        <v>23</v>
      </c>
      <c r="E10804" s="2"/>
      <c r="F10804" s="2" t="str">
        <f>HYPERLINK("http://m.12365auto.com/bbs/postcontent.aspx?tID=193514","http://m.12365auto.com/bbs/postcontent.aspx?tID=193514")</f>
        <v>http://m.12365auto.com/bbs/postcontent.aspx?tID=193514</v>
      </c>
      <c r="G10804" s="2"/>
      <c r="H10804" s="2" t="s">
        <v>14439</v>
      </c>
      <c r="I10804" s="2" t="s">
        <v>15</v>
      </c>
      <c r="J10804" s="2" t="s">
        <v>14437</v>
      </c>
      <c r="K10804" s="2" t="s">
        <v>14438</v>
      </c>
      <c r="L10804" s="2">
        <f t="shared" si="168"/>
        <v>150</v>
      </c>
    </row>
    <row r="10805" spans="1:12" ht="25" customHeight="1">
      <c r="A10805" s="2" t="s">
        <v>12</v>
      </c>
      <c r="B10805" s="2" t="str">
        <f>HYPERLINK("http://m.12365auto.com/bbs/postcontent.aspx?tID=193513","广汽丰田汉兰达邓禄普前轮轮胎起皮")</f>
        <v>广汽丰田汉兰达邓禄普前轮轮胎起皮</v>
      </c>
      <c r="C10805" s="2" t="s">
        <v>13</v>
      </c>
      <c r="D10805" s="2" t="s">
        <v>23</v>
      </c>
      <c r="E10805" s="2"/>
      <c r="F10805" s="2" t="str">
        <f>HYPERLINK("http://m.12365auto.com/bbs/postcontent.aspx?tID=193513","http://m.12365auto.com/bbs/postcontent.aspx?tID=193513")</f>
        <v>http://m.12365auto.com/bbs/postcontent.aspx?tID=193513</v>
      </c>
      <c r="G10805" s="2"/>
      <c r="H10805" s="2" t="s">
        <v>14440</v>
      </c>
      <c r="I10805" s="2" t="s">
        <v>15</v>
      </c>
      <c r="J10805" s="2" t="s">
        <v>14441</v>
      </c>
      <c r="K10805" s="2" t="s">
        <v>14442</v>
      </c>
      <c r="L10805" s="2">
        <f t="shared" si="168"/>
        <v>52</v>
      </c>
    </row>
    <row r="10806" spans="1:12" ht="25" customHeight="1">
      <c r="A10806" s="2" t="s">
        <v>12</v>
      </c>
      <c r="B10806" s="2" t="str">
        <f>HYPERLINK("http://bbs.12365auto.com/postcontent.aspx?tId=193513","广汽丰田汉兰达邓禄普前轮轮胎起皮")</f>
        <v>广汽丰田汉兰达邓禄普前轮轮胎起皮</v>
      </c>
      <c r="C10806" s="2" t="s">
        <v>13</v>
      </c>
      <c r="D10806" s="2" t="s">
        <v>12</v>
      </c>
      <c r="E10806" s="2" t="s">
        <v>66</v>
      </c>
      <c r="F10806" s="2" t="str">
        <f>HYPERLINK("http://bbs.12365auto.com/postcontent.aspx?tId=193513","http://bbs.12365auto.com/postcontent.aspx?tId=193513")</f>
        <v>http://bbs.12365auto.com/postcontent.aspx?tId=193513</v>
      </c>
      <c r="G10806" s="2"/>
      <c r="H10806" s="2" t="s">
        <v>14440</v>
      </c>
      <c r="I10806" s="2" t="s">
        <v>15</v>
      </c>
      <c r="J10806" s="2" t="s">
        <v>14441</v>
      </c>
      <c r="K10806" s="2" t="s">
        <v>14442</v>
      </c>
      <c r="L10806" s="2">
        <f t="shared" si="168"/>
        <v>52</v>
      </c>
    </row>
    <row r="10807" spans="1:12" ht="25" customHeight="1">
      <c r="A10807" s="2" t="s">
        <v>12</v>
      </c>
      <c r="B10807" s="2" t="str">
        <f>HYPERLINK("http://bbs.12365auto.com/postcontent.aspx?tID=193513","广汽丰田汉兰达邓禄普前轮轮胎起皮")</f>
        <v>广汽丰田汉兰达邓禄普前轮轮胎起皮</v>
      </c>
      <c r="C10807" s="2" t="s">
        <v>13</v>
      </c>
      <c r="D10807" s="2" t="s">
        <v>12</v>
      </c>
      <c r="E10807" s="2" t="s">
        <v>67</v>
      </c>
      <c r="F10807" s="2" t="str">
        <f>HYPERLINK("http://bbs.12365auto.com/postcontent.aspx?tID=193513","http://bbs.12365auto.com/postcontent.aspx?tID=193513")</f>
        <v>http://bbs.12365auto.com/postcontent.aspx?tID=193513</v>
      </c>
      <c r="G10807" s="2"/>
      <c r="H10807" s="2" t="s">
        <v>14443</v>
      </c>
      <c r="I10807" s="2" t="s">
        <v>15</v>
      </c>
      <c r="J10807" s="2" t="s">
        <v>14441</v>
      </c>
      <c r="K10807" s="2" t="s">
        <v>14442</v>
      </c>
      <c r="L10807" s="2">
        <f t="shared" si="168"/>
        <v>68</v>
      </c>
    </row>
    <row r="10808" spans="1:12" ht="25" customHeight="1">
      <c r="A10808" s="2" t="s">
        <v>12</v>
      </c>
      <c r="B10808" s="2" t="str">
        <f>HYPERLINK("http://bbs.12365auto.com/postcontent.aspx?tId=193512","广汽传祺GS8天窗不能遥控关闭变速箱顿挫")</f>
        <v>广汽传祺GS8天窗不能遥控关闭变速箱顿挫</v>
      </c>
      <c r="C10808" s="2" t="s">
        <v>13</v>
      </c>
      <c r="D10808" s="2" t="s">
        <v>12</v>
      </c>
      <c r="E10808" s="2" t="s">
        <v>66</v>
      </c>
      <c r="F10808" s="2" t="str">
        <f>HYPERLINK("http://bbs.12365auto.com/postcontent.aspx?tId=193512","http://bbs.12365auto.com/postcontent.aspx?tId=193512")</f>
        <v>http://bbs.12365auto.com/postcontent.aspx?tId=193512</v>
      </c>
      <c r="G10808" s="2"/>
      <c r="H10808" s="2" t="s">
        <v>14444</v>
      </c>
      <c r="I10808" s="2" t="s">
        <v>15</v>
      </c>
      <c r="J10808" s="2" t="s">
        <v>14445</v>
      </c>
      <c r="K10808" s="2" t="s">
        <v>14446</v>
      </c>
      <c r="L10808" s="2">
        <f t="shared" si="168"/>
        <v>150</v>
      </c>
    </row>
    <row r="10809" spans="1:12" ht="25" customHeight="1">
      <c r="A10809" s="2" t="s">
        <v>12</v>
      </c>
      <c r="B10809" s="2" t="str">
        <f>HYPERLINK("http://m.12365auto.com/bbs/postcontent.aspx?tID=193512","广汽传祺GS8天窗不能遥控关闭变速箱顿挫")</f>
        <v>广汽传祺GS8天窗不能遥控关闭变速箱顿挫</v>
      </c>
      <c r="C10809" s="2" t="s">
        <v>13</v>
      </c>
      <c r="D10809" s="2" t="s">
        <v>23</v>
      </c>
      <c r="E10809" s="2"/>
      <c r="F10809" s="2" t="str">
        <f>HYPERLINK("http://m.12365auto.com/bbs/postcontent.aspx?tID=193512","http://m.12365auto.com/bbs/postcontent.aspx?tID=193512")</f>
        <v>http://m.12365auto.com/bbs/postcontent.aspx?tID=193512</v>
      </c>
      <c r="G10809" s="2"/>
      <c r="H10809" s="2" t="s">
        <v>14444</v>
      </c>
      <c r="I10809" s="2" t="s">
        <v>15</v>
      </c>
      <c r="J10809" s="2" t="s">
        <v>14445</v>
      </c>
      <c r="K10809" s="2" t="s">
        <v>14446</v>
      </c>
      <c r="L10809" s="2">
        <f t="shared" si="168"/>
        <v>150</v>
      </c>
    </row>
    <row r="10810" spans="1:12" ht="25" customHeight="1">
      <c r="A10810" s="2" t="s">
        <v>12</v>
      </c>
      <c r="B10810" s="2" t="str">
        <f>HYPERLINK("http://bbs.12365auto.com/postcontent.aspx?tID=193512","广汽传祺GS8天窗不能遥控关闭变速箱顿挫")</f>
        <v>广汽传祺GS8天窗不能遥控关闭变速箱顿挫</v>
      </c>
      <c r="C10810" s="2" t="s">
        <v>13</v>
      </c>
      <c r="D10810" s="2" t="s">
        <v>12</v>
      </c>
      <c r="E10810" s="2" t="s">
        <v>67</v>
      </c>
      <c r="F10810" s="2" t="str">
        <f>HYPERLINK("http://bbs.12365auto.com/postcontent.aspx?tID=193512","http://bbs.12365auto.com/postcontent.aspx?tID=193512")</f>
        <v>http://bbs.12365auto.com/postcontent.aspx?tID=193512</v>
      </c>
      <c r="G10810" s="2"/>
      <c r="H10810" s="2" t="s">
        <v>14447</v>
      </c>
      <c r="I10810" s="2" t="s">
        <v>15</v>
      </c>
      <c r="J10810" s="2" t="s">
        <v>14445</v>
      </c>
      <c r="K10810" s="2" t="s">
        <v>14446</v>
      </c>
      <c r="L10810" s="2">
        <f t="shared" si="168"/>
        <v>150</v>
      </c>
    </row>
    <row r="10811" spans="1:12" ht="25" customHeight="1">
      <c r="A10811" s="2" t="s">
        <v>12</v>
      </c>
      <c r="B10811" s="2" t="str">
        <f>HYPERLINK("http://www.12365auto.com/zlts/20200207/446561.shtml","北汽绅宝D50气囊故障灯亮存在质量问题")</f>
        <v>北汽绅宝D50气囊故障灯亮存在质量问题</v>
      </c>
      <c r="C10811" s="2" t="s">
        <v>13</v>
      </c>
      <c r="D10811" s="2" t="s">
        <v>12</v>
      </c>
      <c r="E10811" s="2" t="s">
        <v>17</v>
      </c>
      <c r="F10811" s="2" t="str">
        <f>HYPERLINK("http://www.12365auto.com/zlts/20200207/446561.shtml","http://www.12365auto.com/zlts/20200207/446561.shtml")</f>
        <v>http://www.12365auto.com/zlts/20200207/446561.shtml</v>
      </c>
      <c r="G10811" s="2"/>
      <c r="H10811" s="2" t="s">
        <v>14448</v>
      </c>
      <c r="I10811" s="2" t="s">
        <v>15</v>
      </c>
      <c r="J10811" s="2" t="s">
        <v>12</v>
      </c>
      <c r="K10811" s="2" t="s">
        <v>14449</v>
      </c>
      <c r="L10811" s="2">
        <f t="shared" si="168"/>
        <v>150</v>
      </c>
    </row>
    <row r="10812" spans="1:12" ht="25" customHeight="1">
      <c r="A10812" s="2" t="s">
        <v>12</v>
      </c>
      <c r="B10812" s="2" t="str">
        <f>HYPERLINK("http://www.12365auto.com/zlts/20200207/446560.shtml","广汽丰田凯美瑞仪表盘上发动机故障灯亮")</f>
        <v>广汽丰田凯美瑞仪表盘上发动机故障灯亮</v>
      </c>
      <c r="C10812" s="2" t="s">
        <v>13</v>
      </c>
      <c r="D10812" s="2" t="s">
        <v>12</v>
      </c>
      <c r="E10812" s="2" t="s">
        <v>17</v>
      </c>
      <c r="F10812" s="2" t="str">
        <f>HYPERLINK("http://www.12365auto.com/zlts/20200207/446560.shtml","http://www.12365auto.com/zlts/20200207/446560.shtml")</f>
        <v>http://www.12365auto.com/zlts/20200207/446560.shtml</v>
      </c>
      <c r="G10812" s="2"/>
      <c r="H10812" s="2" t="s">
        <v>14450</v>
      </c>
      <c r="I10812" s="2" t="s">
        <v>15</v>
      </c>
      <c r="J10812" s="2" t="s">
        <v>12</v>
      </c>
      <c r="K10812" s="2" t="s">
        <v>14451</v>
      </c>
      <c r="L10812" s="2">
        <f t="shared" si="168"/>
        <v>150</v>
      </c>
    </row>
    <row r="10813" spans="1:12" ht="25" customHeight="1">
      <c r="A10813" s="2" t="s">
        <v>12</v>
      </c>
      <c r="B10813" s="2" t="str">
        <f>HYPERLINK("http://www.12365auto.com/zlts/20200207/446559.shtml","东风风神AX7天窗滑道断裂 仪表盘常亮")</f>
        <v>东风风神AX7天窗滑道断裂 仪表盘常亮</v>
      </c>
      <c r="C10813" s="2" t="s">
        <v>13</v>
      </c>
      <c r="D10813" s="2" t="s">
        <v>12</v>
      </c>
      <c r="E10813" s="2" t="s">
        <v>17</v>
      </c>
      <c r="F10813" s="2" t="str">
        <f>HYPERLINK("http://www.12365auto.com/zlts/20200207/446559.shtml","http://www.12365auto.com/zlts/20200207/446559.shtml")</f>
        <v>http://www.12365auto.com/zlts/20200207/446559.shtml</v>
      </c>
      <c r="G10813" s="2"/>
      <c r="H10813" s="2" t="s">
        <v>14452</v>
      </c>
      <c r="I10813" s="2" t="s">
        <v>15</v>
      </c>
      <c r="J10813" s="2" t="s">
        <v>12</v>
      </c>
      <c r="K10813" s="2" t="s">
        <v>14453</v>
      </c>
      <c r="L10813" s="2">
        <f t="shared" si="168"/>
        <v>150</v>
      </c>
    </row>
    <row r="10814" spans="1:12" ht="25" customHeight="1">
      <c r="A10814" s="2" t="s">
        <v>12</v>
      </c>
      <c r="B10814" s="2" t="str">
        <f>HYPERLINK("http://www.12365auto.com/zlts/20200207/446558.shtml","北京现代领动发动机抖动 变速箱顿挫")</f>
        <v>北京现代领动发动机抖动 变速箱顿挫</v>
      </c>
      <c r="C10814" s="2" t="s">
        <v>13</v>
      </c>
      <c r="D10814" s="2" t="s">
        <v>12</v>
      </c>
      <c r="E10814" s="2" t="s">
        <v>17</v>
      </c>
      <c r="F10814" s="2" t="str">
        <f>HYPERLINK("http://www.12365auto.com/zlts/20200207/446558.shtml","http://www.12365auto.com/zlts/20200207/446558.shtml")</f>
        <v>http://www.12365auto.com/zlts/20200207/446558.shtml</v>
      </c>
      <c r="G10814" s="2"/>
      <c r="H10814" s="2" t="s">
        <v>14454</v>
      </c>
      <c r="I10814" s="2" t="s">
        <v>15</v>
      </c>
      <c r="J10814" s="2" t="s">
        <v>12</v>
      </c>
      <c r="K10814" s="2" t="s">
        <v>14455</v>
      </c>
      <c r="L10814" s="2">
        <f t="shared" si="168"/>
        <v>150</v>
      </c>
    </row>
    <row r="10815" spans="1:12" ht="25" customHeight="1">
      <c r="A10815" s="2" t="s">
        <v>12</v>
      </c>
      <c r="B10815" s="2" t="str">
        <f>HYPERLINK("http://www.12365auto.com/zlts/20200207/446557.shtml","吉利帝豪GL发动机盖生锈 车机音量过大")</f>
        <v>吉利帝豪GL发动机盖生锈 车机音量过大</v>
      </c>
      <c r="C10815" s="2" t="s">
        <v>13</v>
      </c>
      <c r="D10815" s="2" t="s">
        <v>12</v>
      </c>
      <c r="E10815" s="2" t="s">
        <v>17</v>
      </c>
      <c r="F10815" s="2" t="str">
        <f>HYPERLINK("http://www.12365auto.com/zlts/20200207/446557.shtml","http://www.12365auto.com/zlts/20200207/446557.shtml")</f>
        <v>http://www.12365auto.com/zlts/20200207/446557.shtml</v>
      </c>
      <c r="G10815" s="2"/>
      <c r="H10815" s="2" t="s">
        <v>14456</v>
      </c>
      <c r="I10815" s="2" t="s">
        <v>19</v>
      </c>
      <c r="J10815" s="2" t="s">
        <v>12</v>
      </c>
      <c r="K10815" s="2" t="s">
        <v>14457</v>
      </c>
      <c r="L10815" s="2">
        <f t="shared" si="168"/>
        <v>150</v>
      </c>
    </row>
    <row r="10816" spans="1:12" ht="25" customHeight="1">
      <c r="A10816" s="2" t="s">
        <v>12</v>
      </c>
      <c r="B10816" s="2" t="str">
        <f>HYPERLINK("http://www.12365auto.com/zlts/20200207/446554.shtml","广汽丰田凯美瑞发动机烧机油存在质量问题")</f>
        <v>广汽丰田凯美瑞发动机烧机油存在质量问题</v>
      </c>
      <c r="C10816" s="2" t="s">
        <v>13</v>
      </c>
      <c r="D10816" s="2" t="s">
        <v>12</v>
      </c>
      <c r="E10816" s="2"/>
      <c r="F10816" s="2" t="str">
        <f>HYPERLINK("http://www.12365auto.com/zlts/20200207/446554.shtml","http://www.12365auto.com/zlts/20200207/446554.shtml")</f>
        <v>http://www.12365auto.com/zlts/20200207/446554.shtml</v>
      </c>
      <c r="G10816" s="2"/>
      <c r="H10816" s="2" t="s">
        <v>14459</v>
      </c>
      <c r="I10816" s="2" t="s">
        <v>15</v>
      </c>
      <c r="J10816" s="2" t="s">
        <v>12</v>
      </c>
      <c r="K10816" s="2" t="s">
        <v>14458</v>
      </c>
      <c r="L10816" s="2">
        <f t="shared" si="168"/>
        <v>85</v>
      </c>
    </row>
    <row r="10817" spans="1:12" ht="25" customHeight="1">
      <c r="A10817" s="2" t="s">
        <v>12</v>
      </c>
      <c r="B10817" s="2" t="str">
        <f>HYPERLINK("http://m.12365auto.com/zjdy/20200207/121087.shtml","别克英朗控制臂衬套召回未通知怎么办？")</f>
        <v>别克英朗控制臂衬套召回未通知怎么办？</v>
      </c>
      <c r="C10817" s="2" t="s">
        <v>13</v>
      </c>
      <c r="D10817" s="2" t="s">
        <v>12</v>
      </c>
      <c r="E10817" s="2"/>
      <c r="F10817" s="2" t="str">
        <f>HYPERLINK("http://m.12365auto.com/zjdy/20200207/121087.shtml","http://m.12365auto.com/zjdy/20200207/121087.shtml")</f>
        <v>http://m.12365auto.com/zjdy/20200207/121087.shtml</v>
      </c>
      <c r="G10817" s="2"/>
      <c r="H10817" s="2" t="s">
        <v>14460</v>
      </c>
      <c r="I10817" s="2" t="s">
        <v>19</v>
      </c>
      <c r="J10817" s="2" t="s">
        <v>12</v>
      </c>
      <c r="K10817" s="2" t="s">
        <v>14461</v>
      </c>
      <c r="L10817" s="2">
        <f t="shared" si="168"/>
        <v>43</v>
      </c>
    </row>
    <row r="10818" spans="1:12" ht="25" customHeight="1">
      <c r="A10818" s="2" t="s">
        <v>12</v>
      </c>
      <c r="B10818" s="2" t="str">
        <f>HYPERLINK("http://m.12365auto.com/zjdy/20200207/121086.shtml","行驶时由N挡挂入D挡对车辆有损害吗？")</f>
        <v>行驶时由N挡挂入D挡对车辆有损害吗？</v>
      </c>
      <c r="C10818" s="2" t="s">
        <v>13</v>
      </c>
      <c r="D10818" s="2" t="s">
        <v>12</v>
      </c>
      <c r="E10818" s="2"/>
      <c r="F10818" s="2" t="str">
        <f>HYPERLINK("http://m.12365auto.com/zjdy/20200207/121086.shtml","http://m.12365auto.com/zjdy/20200207/121086.shtml")</f>
        <v>http://m.12365auto.com/zjdy/20200207/121086.shtml</v>
      </c>
      <c r="G10818" s="2"/>
      <c r="H10818" s="2" t="s">
        <v>14462</v>
      </c>
      <c r="I10818" s="2" t="s">
        <v>19</v>
      </c>
      <c r="J10818" s="2" t="s">
        <v>12</v>
      </c>
      <c r="K10818" s="2" t="s">
        <v>14463</v>
      </c>
      <c r="L10818" s="2">
        <f t="shared" si="168"/>
        <v>89</v>
      </c>
    </row>
    <row r="10819" spans="1:12" ht="25" customHeight="1">
      <c r="A10819" s="2" t="s">
        <v>12</v>
      </c>
      <c r="B10819" s="2" t="str">
        <f>HYPERLINK("http://www.12365auto.com/zlts/20200207/446556.shtml","上汽通用五菱宏光S3高速行驶变速箱脱挡")</f>
        <v>上汽通用五菱宏光S3高速行驶变速箱脱挡</v>
      </c>
      <c r="C10819" s="2" t="s">
        <v>13</v>
      </c>
      <c r="D10819" s="2" t="s">
        <v>12</v>
      </c>
      <c r="E10819" s="2" t="s">
        <v>17</v>
      </c>
      <c r="F10819" s="2" t="str">
        <f>HYPERLINK("http://www.12365auto.com/zlts/20200207/446556.shtml","http://www.12365auto.com/zlts/20200207/446556.shtml")</f>
        <v>http://www.12365auto.com/zlts/20200207/446556.shtml</v>
      </c>
      <c r="G10819" s="2"/>
      <c r="H10819" s="2" t="s">
        <v>14464</v>
      </c>
      <c r="I10819" s="2" t="s">
        <v>15</v>
      </c>
      <c r="J10819" s="2" t="s">
        <v>12</v>
      </c>
      <c r="K10819" s="2" t="s">
        <v>14465</v>
      </c>
      <c r="L10819" s="2">
        <f t="shared" ref="L10819:L10882" si="169">LEN(H10819)</f>
        <v>150</v>
      </c>
    </row>
    <row r="10820" spans="1:12" ht="25" customHeight="1">
      <c r="A10820" s="2" t="s">
        <v>12</v>
      </c>
      <c r="B10820" s="2" t="str">
        <f>HYPERLINK("http://m.12365auto.com/zjdy/20200207/121085.shtml","奔驰C级发动机有异响应该如何处理？")</f>
        <v>奔驰C级发动机有异响应该如何处理？</v>
      </c>
      <c r="C10820" s="2" t="s">
        <v>13</v>
      </c>
      <c r="D10820" s="2" t="s">
        <v>12</v>
      </c>
      <c r="E10820" s="2"/>
      <c r="F10820" s="2" t="str">
        <f>HYPERLINK("http://m.12365auto.com/zjdy/20200207/121085.shtml","http://m.12365auto.com/zjdy/20200207/121085.shtml")</f>
        <v>http://m.12365auto.com/zjdy/20200207/121085.shtml</v>
      </c>
      <c r="G10820" s="2"/>
      <c r="H10820" s="2" t="s">
        <v>14466</v>
      </c>
      <c r="I10820" s="2" t="s">
        <v>19</v>
      </c>
      <c r="J10820" s="2" t="s">
        <v>12</v>
      </c>
      <c r="K10820" s="2" t="s">
        <v>14467</v>
      </c>
      <c r="L10820" s="2">
        <f t="shared" si="169"/>
        <v>150</v>
      </c>
    </row>
    <row r="10821" spans="1:12" ht="25" customHeight="1">
      <c r="A10821" s="2" t="s">
        <v>12</v>
      </c>
      <c r="B10821" s="2" t="str">
        <f>HYPERLINK("http://www.12365auto.com/zlts/20200207/446555.shtml","吉利星越排气管设计缺陷 行驶时甩进泥沙")</f>
        <v>吉利星越排气管设计缺陷 行驶时甩进泥沙</v>
      </c>
      <c r="C10821" s="2" t="s">
        <v>13</v>
      </c>
      <c r="D10821" s="2" t="s">
        <v>12</v>
      </c>
      <c r="E10821" s="2" t="s">
        <v>17</v>
      </c>
      <c r="F10821" s="2" t="str">
        <f>HYPERLINK("http://www.12365auto.com/zlts/20200207/446555.shtml","http://www.12365auto.com/zlts/20200207/446555.shtml")</f>
        <v>http://www.12365auto.com/zlts/20200207/446555.shtml</v>
      </c>
      <c r="G10821" s="2"/>
      <c r="H10821" s="2" t="s">
        <v>14468</v>
      </c>
      <c r="I10821" s="2" t="s">
        <v>19</v>
      </c>
      <c r="J10821" s="2" t="s">
        <v>12</v>
      </c>
      <c r="K10821" s="2" t="s">
        <v>14469</v>
      </c>
      <c r="L10821" s="2">
        <f t="shared" si="169"/>
        <v>150</v>
      </c>
    </row>
    <row r="10822" spans="1:12" ht="25" customHeight="1">
      <c r="A10822" s="2" t="s">
        <v>12</v>
      </c>
      <c r="B10822" s="2" t="str">
        <f>HYPERLINK("http://www.12365auto.com/zlts/20200207/446551.shtml","吉利帝豪同款车型车机品牌和功能不相同")</f>
        <v>吉利帝豪同款车型车机品牌和功能不相同</v>
      </c>
      <c r="C10822" s="2" t="s">
        <v>13</v>
      </c>
      <c r="D10822" s="2" t="s">
        <v>12</v>
      </c>
      <c r="E10822" s="2" t="s">
        <v>17</v>
      </c>
      <c r="F10822" s="2" t="str">
        <f>HYPERLINK("http://www.12365auto.com/zlts/20200207/446551.shtml","http://www.12365auto.com/zlts/20200207/446551.shtml")</f>
        <v>http://www.12365auto.com/zlts/20200207/446551.shtml</v>
      </c>
      <c r="G10822" s="2"/>
      <c r="H10822" s="2" t="s">
        <v>14470</v>
      </c>
      <c r="I10822" s="2" t="s">
        <v>15</v>
      </c>
      <c r="J10822" s="2" t="s">
        <v>12</v>
      </c>
      <c r="K10822" s="2" t="s">
        <v>14471</v>
      </c>
      <c r="L10822" s="2">
        <f t="shared" si="169"/>
        <v>150</v>
      </c>
    </row>
    <row r="10823" spans="1:12" ht="25" customHeight="1">
      <c r="A10823" s="2" t="s">
        <v>12</v>
      </c>
      <c r="B10823" s="2" t="str">
        <f>HYPERLINK("http://www.12365auto.com/zlts/20200207/446550.shtml","东风本田CR-V发动机机油增多 机油乳化")</f>
        <v>东风本田CR-V发动机机油增多 机油乳化</v>
      </c>
      <c r="C10823" s="2" t="s">
        <v>13</v>
      </c>
      <c r="D10823" s="2" t="s">
        <v>12</v>
      </c>
      <c r="E10823" s="2"/>
      <c r="F10823" s="2" t="str">
        <f>HYPERLINK("http://www.12365auto.com/zlts/20200207/446550.shtml","http://www.12365auto.com/zlts/20200207/446550.shtml")</f>
        <v>http://www.12365auto.com/zlts/20200207/446550.shtml</v>
      </c>
      <c r="G10823" s="2"/>
      <c r="H10823" s="2" t="s">
        <v>14473</v>
      </c>
      <c r="I10823" s="2" t="s">
        <v>15</v>
      </c>
      <c r="J10823" s="2" t="s">
        <v>12</v>
      </c>
      <c r="K10823" s="2" t="s">
        <v>14472</v>
      </c>
      <c r="L10823" s="2">
        <f t="shared" si="169"/>
        <v>100</v>
      </c>
    </row>
    <row r="10824" spans="1:12" ht="25" customHeight="1">
      <c r="A10824" s="2" t="s">
        <v>12</v>
      </c>
      <c r="B10824" s="2" t="str">
        <f>HYPERLINK("http://bbs.12365auto.com/postcontent.aspx?tId=193510","30万元预算买什么车？这五款车型很有性价比")</f>
        <v>30万元预算买什么车？这五款车型很有性价比</v>
      </c>
      <c r="C10824" s="2" t="s">
        <v>13</v>
      </c>
      <c r="D10824" s="2" t="s">
        <v>12</v>
      </c>
      <c r="E10824" s="2" t="s">
        <v>27</v>
      </c>
      <c r="F10824" s="2" t="str">
        <f>HYPERLINK("http://bbs.12365auto.com/postcontent.aspx?tId=193510","http://bbs.12365auto.com/postcontent.aspx?tId=193510")</f>
        <v>http://bbs.12365auto.com/postcontent.aspx?tId=193510</v>
      </c>
      <c r="G10824" s="2"/>
      <c r="H10824" s="2" t="s">
        <v>2924</v>
      </c>
      <c r="I10824" s="2" t="s">
        <v>15</v>
      </c>
      <c r="J10824" s="2" t="s">
        <v>683</v>
      </c>
      <c r="K10824" s="2" t="s">
        <v>14474</v>
      </c>
      <c r="L10824" s="2">
        <f t="shared" si="169"/>
        <v>150</v>
      </c>
    </row>
    <row r="10825" spans="1:12" ht="25" customHeight="1">
      <c r="A10825" s="2" t="s">
        <v>12</v>
      </c>
      <c r="B10825" s="2" t="str">
        <f>HYPERLINK("http://m.12365auto.com/bbs/postcontent.aspx?tID=193511","盘点2019年5款热门轿车 有你喜欢的吗")</f>
        <v>盘点2019年5款热门轿车 有你喜欢的吗</v>
      </c>
      <c r="C10825" s="2" t="s">
        <v>13</v>
      </c>
      <c r="D10825" s="2" t="s">
        <v>23</v>
      </c>
      <c r="E10825" s="2"/>
      <c r="F10825" s="2" t="str">
        <f>HYPERLINK("http://m.12365auto.com/bbs/postcontent.aspx?tID=193511","http://m.12365auto.com/bbs/postcontent.aspx?tID=193511")</f>
        <v>http://m.12365auto.com/bbs/postcontent.aspx?tID=193511</v>
      </c>
      <c r="G10825" s="2"/>
      <c r="H10825" s="2" t="s">
        <v>10566</v>
      </c>
      <c r="I10825" s="2" t="s">
        <v>15</v>
      </c>
      <c r="J10825" s="2" t="s">
        <v>683</v>
      </c>
      <c r="K10825" s="2" t="s">
        <v>14474</v>
      </c>
      <c r="L10825" s="2">
        <f t="shared" si="169"/>
        <v>150</v>
      </c>
    </row>
    <row r="10826" spans="1:12" ht="25" customHeight="1">
      <c r="A10826" s="2" t="s">
        <v>12</v>
      </c>
      <c r="B10826" s="2" t="str">
        <f>HYPERLINK("http://m.12365auto.com/bbs/postcontent.aspx?tID=193510","30万元预算买什么车？这五款车型很有性价比")</f>
        <v>30万元预算买什么车？这五款车型很有性价比</v>
      </c>
      <c r="C10826" s="2" t="s">
        <v>13</v>
      </c>
      <c r="D10826" s="2" t="s">
        <v>23</v>
      </c>
      <c r="E10826" s="2"/>
      <c r="F10826" s="2" t="str">
        <f>HYPERLINK("http://m.12365auto.com/bbs/postcontent.aspx?tID=193510","http://m.12365auto.com/bbs/postcontent.aspx?tID=193510")</f>
        <v>http://m.12365auto.com/bbs/postcontent.aspx?tID=193510</v>
      </c>
      <c r="G10826" s="2"/>
      <c r="H10826" s="2" t="s">
        <v>2924</v>
      </c>
      <c r="I10826" s="2" t="s">
        <v>15</v>
      </c>
      <c r="J10826" s="2" t="s">
        <v>683</v>
      </c>
      <c r="K10826" s="2" t="s">
        <v>14474</v>
      </c>
      <c r="L10826" s="2">
        <f t="shared" si="169"/>
        <v>150</v>
      </c>
    </row>
    <row r="10827" spans="1:12" ht="25" customHeight="1">
      <c r="A10827" s="2" t="s">
        <v>12</v>
      </c>
      <c r="B10827" s="2" t="str">
        <f>HYPERLINK("http://bbs.12365auto.com/postcontent.aspx?tId=193511","盘点2019年5款热门轿车 有你喜欢的吗")</f>
        <v>盘点2019年5款热门轿车 有你喜欢的吗</v>
      </c>
      <c r="C10827" s="2" t="s">
        <v>13</v>
      </c>
      <c r="D10827" s="2" t="s">
        <v>12</v>
      </c>
      <c r="E10827" s="2" t="s">
        <v>27</v>
      </c>
      <c r="F10827" s="2" t="str">
        <f>HYPERLINK("http://bbs.12365auto.com/postcontent.aspx?tId=193511","http://bbs.12365auto.com/postcontent.aspx?tId=193511")</f>
        <v>http://bbs.12365auto.com/postcontent.aspx?tId=193511</v>
      </c>
      <c r="G10827" s="2"/>
      <c r="H10827" s="2" t="s">
        <v>10566</v>
      </c>
      <c r="I10827" s="2" t="s">
        <v>15</v>
      </c>
      <c r="J10827" s="2" t="s">
        <v>683</v>
      </c>
      <c r="K10827" s="2" t="s">
        <v>14474</v>
      </c>
      <c r="L10827" s="2">
        <f t="shared" si="169"/>
        <v>150</v>
      </c>
    </row>
    <row r="10828" spans="1:12" ht="25" customHeight="1">
      <c r="A10828" s="2" t="s">
        <v>12</v>
      </c>
      <c r="B10828" s="2" t="str">
        <f>HYPERLINK("http://bbs.12365auto.com/postcontent.aspx?tID=193511","盘点2019年5款热门轿车 有你喜欢的吗")</f>
        <v>盘点2019年5款热门轿车 有你喜欢的吗</v>
      </c>
      <c r="C10828" s="2" t="s">
        <v>13</v>
      </c>
      <c r="D10828" s="2" t="s">
        <v>12</v>
      </c>
      <c r="E10828" s="2" t="s">
        <v>28</v>
      </c>
      <c r="F10828" s="2" t="str">
        <f>HYPERLINK("http://bbs.12365auto.com/postcontent.aspx?tID=193511","http://bbs.12365auto.com/postcontent.aspx?tID=193511")</f>
        <v>http://bbs.12365auto.com/postcontent.aspx?tID=193511</v>
      </c>
      <c r="G10828" s="2"/>
      <c r="H10828" s="2" t="s">
        <v>14475</v>
      </c>
      <c r="I10828" s="2" t="s">
        <v>15</v>
      </c>
      <c r="J10828" s="2" t="s">
        <v>683</v>
      </c>
      <c r="K10828" s="2" t="s">
        <v>14474</v>
      </c>
      <c r="L10828" s="2">
        <f t="shared" si="169"/>
        <v>150</v>
      </c>
    </row>
    <row r="10829" spans="1:12" ht="25" customHeight="1">
      <c r="A10829" s="2" t="s">
        <v>12</v>
      </c>
      <c r="B10829" s="2" t="str">
        <f>HYPERLINK("http://bbs.12365auto.com/postcontent.aspx?tID=193510","30万元预算买什么车？这五款车型很有性价比")</f>
        <v>30万元预算买什么车？这五款车型很有性价比</v>
      </c>
      <c r="C10829" s="2" t="s">
        <v>13</v>
      </c>
      <c r="D10829" s="2" t="s">
        <v>12</v>
      </c>
      <c r="E10829" s="2" t="s">
        <v>28</v>
      </c>
      <c r="F10829" s="2" t="str">
        <f>HYPERLINK("http://bbs.12365auto.com/postcontent.aspx?tID=193510","http://bbs.12365auto.com/postcontent.aspx?tID=193510")</f>
        <v>http://bbs.12365auto.com/postcontent.aspx?tID=193510</v>
      </c>
      <c r="G10829" s="2"/>
      <c r="H10829" s="2" t="s">
        <v>2922</v>
      </c>
      <c r="I10829" s="2" t="s">
        <v>15</v>
      </c>
      <c r="J10829" s="2" t="s">
        <v>683</v>
      </c>
      <c r="K10829" s="2" t="s">
        <v>14474</v>
      </c>
      <c r="L10829" s="2">
        <f t="shared" si="169"/>
        <v>150</v>
      </c>
    </row>
    <row r="10830" spans="1:12" ht="25" customHeight="1">
      <c r="A10830" s="2" t="s">
        <v>12</v>
      </c>
      <c r="B10830" s="2" t="str">
        <f>HYPERLINK("http://bbs.12365auto.com/postcontent.aspx?tId=193508","10万买空间实用配置高 这3款不输同级合资车")</f>
        <v>10万买空间实用配置高 这3款不输同级合资车</v>
      </c>
      <c r="C10830" s="2" t="s">
        <v>13</v>
      </c>
      <c r="D10830" s="2" t="s">
        <v>12</v>
      </c>
      <c r="E10830" s="2" t="s">
        <v>27</v>
      </c>
      <c r="F10830" s="2" t="str">
        <f>HYPERLINK("http://bbs.12365auto.com/postcontent.aspx?tId=193508","http://bbs.12365auto.com/postcontent.aspx?tId=193508")</f>
        <v>http://bbs.12365auto.com/postcontent.aspx?tId=193508</v>
      </c>
      <c r="G10830" s="2"/>
      <c r="H10830" s="2" t="s">
        <v>14476</v>
      </c>
      <c r="I10830" s="2" t="s">
        <v>15</v>
      </c>
      <c r="J10830" s="2" t="s">
        <v>683</v>
      </c>
      <c r="K10830" s="2" t="s">
        <v>14477</v>
      </c>
      <c r="L10830" s="2">
        <f t="shared" si="169"/>
        <v>150</v>
      </c>
    </row>
    <row r="10831" spans="1:12" ht="25" customHeight="1">
      <c r="A10831" s="2" t="s">
        <v>12</v>
      </c>
      <c r="B10831" s="2" t="str">
        <f>HYPERLINK("http://bbs.12365auto.com/postcontent.aspx?tId=193509","改装件比车贵 玩飞度GK5的土豪真不少")</f>
        <v>改装件比车贵 玩飞度GK5的土豪真不少</v>
      </c>
      <c r="C10831" s="2" t="s">
        <v>13</v>
      </c>
      <c r="D10831" s="2" t="s">
        <v>12</v>
      </c>
      <c r="E10831" s="2" t="s">
        <v>27</v>
      </c>
      <c r="F10831" s="2" t="str">
        <f>HYPERLINK("http://bbs.12365auto.com/postcontent.aspx?tId=193509","http://bbs.12365auto.com/postcontent.aspx?tId=193509")</f>
        <v>http://bbs.12365auto.com/postcontent.aspx?tId=193509</v>
      </c>
      <c r="G10831" s="2"/>
      <c r="H10831" s="2" t="s">
        <v>14478</v>
      </c>
      <c r="I10831" s="2" t="s">
        <v>15</v>
      </c>
      <c r="J10831" s="2" t="s">
        <v>683</v>
      </c>
      <c r="K10831" s="2" t="s">
        <v>14477</v>
      </c>
      <c r="L10831" s="2">
        <f t="shared" si="169"/>
        <v>150</v>
      </c>
    </row>
    <row r="10832" spans="1:12" ht="25" customHeight="1">
      <c r="A10832" s="2" t="s">
        <v>12</v>
      </c>
      <c r="B10832" s="2" t="str">
        <f>HYPERLINK("http://m.12365auto.com/bbs/postcontent.aspx?tID=193509","改装件比车贵 玩飞度GK5的土豪真不少")</f>
        <v>改装件比车贵 玩飞度GK5的土豪真不少</v>
      </c>
      <c r="C10832" s="2" t="s">
        <v>13</v>
      </c>
      <c r="D10832" s="2" t="s">
        <v>23</v>
      </c>
      <c r="E10832" s="2"/>
      <c r="F10832" s="2" t="str">
        <f>HYPERLINK("http://m.12365auto.com/bbs/postcontent.aspx?tID=193509","http://m.12365auto.com/bbs/postcontent.aspx?tID=193509")</f>
        <v>http://m.12365auto.com/bbs/postcontent.aspx?tID=193509</v>
      </c>
      <c r="G10832" s="2"/>
      <c r="H10832" s="2" t="s">
        <v>14478</v>
      </c>
      <c r="I10832" s="2" t="s">
        <v>15</v>
      </c>
      <c r="J10832" s="2" t="s">
        <v>683</v>
      </c>
      <c r="K10832" s="2" t="s">
        <v>14477</v>
      </c>
      <c r="L10832" s="2">
        <f t="shared" si="169"/>
        <v>150</v>
      </c>
    </row>
    <row r="10833" spans="1:12" ht="25" customHeight="1">
      <c r="A10833" s="2" t="s">
        <v>12</v>
      </c>
      <c r="B10833" s="2" t="str">
        <f>HYPERLINK("http://m.12365auto.com/bbs/postcontent.aspx?tID=193508","10万买空间实用配置高 这3款不输同级合资车")</f>
        <v>10万买空间实用配置高 这3款不输同级合资车</v>
      </c>
      <c r="C10833" s="2" t="s">
        <v>13</v>
      </c>
      <c r="D10833" s="2" t="s">
        <v>23</v>
      </c>
      <c r="E10833" s="2"/>
      <c r="F10833" s="2" t="str">
        <f>HYPERLINK("http://m.12365auto.com/bbs/postcontent.aspx?tID=193508","http://m.12365auto.com/bbs/postcontent.aspx?tID=193508")</f>
        <v>http://m.12365auto.com/bbs/postcontent.aspx?tID=193508</v>
      </c>
      <c r="G10833" s="2"/>
      <c r="H10833" s="2" t="s">
        <v>14476</v>
      </c>
      <c r="I10833" s="2" t="s">
        <v>15</v>
      </c>
      <c r="J10833" s="2" t="s">
        <v>683</v>
      </c>
      <c r="K10833" s="2" t="s">
        <v>14477</v>
      </c>
      <c r="L10833" s="2">
        <f t="shared" si="169"/>
        <v>150</v>
      </c>
    </row>
    <row r="10834" spans="1:12" ht="25" customHeight="1">
      <c r="A10834" s="2" t="s">
        <v>12</v>
      </c>
      <c r="B10834" s="2" t="str">
        <f>HYPERLINK("http://bbs.12365auto.com/postcontent.aspx?tID=193509","改装件比车贵 玩飞度GK5的土豪真不少")</f>
        <v>改装件比车贵 玩飞度GK5的土豪真不少</v>
      </c>
      <c r="C10834" s="2" t="s">
        <v>13</v>
      </c>
      <c r="D10834" s="2" t="s">
        <v>12</v>
      </c>
      <c r="E10834" s="2" t="s">
        <v>28</v>
      </c>
      <c r="F10834" s="2" t="str">
        <f>HYPERLINK("http://bbs.12365auto.com/postcontent.aspx?tID=193509","http://bbs.12365auto.com/postcontent.aspx?tID=193509")</f>
        <v>http://bbs.12365auto.com/postcontent.aspx?tID=193509</v>
      </c>
      <c r="G10834" s="2"/>
      <c r="H10834" s="2" t="s">
        <v>14479</v>
      </c>
      <c r="I10834" s="2" t="s">
        <v>15</v>
      </c>
      <c r="J10834" s="2" t="s">
        <v>683</v>
      </c>
      <c r="K10834" s="2" t="s">
        <v>14477</v>
      </c>
      <c r="L10834" s="2">
        <f t="shared" si="169"/>
        <v>150</v>
      </c>
    </row>
    <row r="10835" spans="1:12" ht="25" customHeight="1">
      <c r="A10835" s="2" t="s">
        <v>12</v>
      </c>
      <c r="B10835" s="2" t="str">
        <f>HYPERLINK("http://bbs.12365auto.com/postcontent.aspx?tID=193508","10万买空间实用配置高 这3款不输同级合资车")</f>
        <v>10万买空间实用配置高 这3款不输同级合资车</v>
      </c>
      <c r="C10835" s="2" t="s">
        <v>13</v>
      </c>
      <c r="D10835" s="2" t="s">
        <v>12</v>
      </c>
      <c r="E10835" s="2" t="s">
        <v>28</v>
      </c>
      <c r="F10835" s="2" t="str">
        <f>HYPERLINK("http://bbs.12365auto.com/postcontent.aspx?tID=193508","http://bbs.12365auto.com/postcontent.aspx?tID=193508")</f>
        <v>http://bbs.12365auto.com/postcontent.aspx?tID=193508</v>
      </c>
      <c r="G10835" s="2"/>
      <c r="H10835" s="2" t="s">
        <v>14480</v>
      </c>
      <c r="I10835" s="2" t="s">
        <v>15</v>
      </c>
      <c r="J10835" s="2" t="s">
        <v>683</v>
      </c>
      <c r="K10835" s="2" t="s">
        <v>14477</v>
      </c>
      <c r="L10835" s="2">
        <f t="shared" si="169"/>
        <v>150</v>
      </c>
    </row>
    <row r="10836" spans="1:12" ht="25" customHeight="1">
      <c r="A10836" s="2" t="s">
        <v>12</v>
      </c>
      <c r="B10836" s="2" t="str">
        <f>HYPERLINK("http://bbs.12365auto.com/postcontent.aspx?tId=193507","现代与古典完美结合：光冈Matsuoka Himiko")</f>
        <v>现代与古典完美结合：光冈Matsuoka Himiko</v>
      </c>
      <c r="C10836" s="2" t="s">
        <v>13</v>
      </c>
      <c r="D10836" s="2" t="s">
        <v>12</v>
      </c>
      <c r="E10836" s="2" t="s">
        <v>27</v>
      </c>
      <c r="F10836" s="2" t="str">
        <f>HYPERLINK("http://bbs.12365auto.com/postcontent.aspx?tId=193507","http://bbs.12365auto.com/postcontent.aspx?tId=193507")</f>
        <v>http://bbs.12365auto.com/postcontent.aspx?tId=193507</v>
      </c>
      <c r="G10836" s="2"/>
      <c r="H10836" s="2" t="s">
        <v>14481</v>
      </c>
      <c r="I10836" s="2" t="s">
        <v>15</v>
      </c>
      <c r="J10836" s="2" t="s">
        <v>683</v>
      </c>
      <c r="K10836" s="2" t="s">
        <v>14482</v>
      </c>
      <c r="L10836" s="2">
        <f t="shared" si="169"/>
        <v>150</v>
      </c>
    </row>
    <row r="10837" spans="1:12" ht="25" customHeight="1">
      <c r="A10837" s="2" t="s">
        <v>12</v>
      </c>
      <c r="B10837" s="2" t="str">
        <f>HYPERLINK("http://m.12365auto.com/bbs/postcontent.aspx?tID=193507","现代与古典完美结合：光冈Matsuoka Himiko")</f>
        <v>现代与古典完美结合：光冈Matsuoka Himiko</v>
      </c>
      <c r="C10837" s="2" t="s">
        <v>13</v>
      </c>
      <c r="D10837" s="2" t="s">
        <v>23</v>
      </c>
      <c r="E10837" s="2"/>
      <c r="F10837" s="2" t="str">
        <f>HYPERLINK("http://m.12365auto.com/bbs/postcontent.aspx?tID=193507","http://m.12365auto.com/bbs/postcontent.aspx?tID=193507")</f>
        <v>http://m.12365auto.com/bbs/postcontent.aspx?tID=193507</v>
      </c>
      <c r="G10837" s="2"/>
      <c r="H10837" s="2" t="s">
        <v>14481</v>
      </c>
      <c r="I10837" s="2" t="s">
        <v>15</v>
      </c>
      <c r="J10837" s="2" t="s">
        <v>683</v>
      </c>
      <c r="K10837" s="2" t="s">
        <v>14482</v>
      </c>
      <c r="L10837" s="2">
        <f t="shared" si="169"/>
        <v>150</v>
      </c>
    </row>
    <row r="10838" spans="1:12" ht="25" customHeight="1">
      <c r="A10838" s="2" t="s">
        <v>12</v>
      </c>
      <c r="B10838" s="2" t="str">
        <f>HYPERLINK("http://bbs.12365auto.com/postcontent.aspx?tID=193507","现代与古典完美结合：光冈Matsuoka Himiko")</f>
        <v>现代与古典完美结合：光冈Matsuoka Himiko</v>
      </c>
      <c r="C10838" s="2" t="s">
        <v>13</v>
      </c>
      <c r="D10838" s="2" t="s">
        <v>12</v>
      </c>
      <c r="E10838" s="2" t="s">
        <v>28</v>
      </c>
      <c r="F10838" s="2" t="str">
        <f>HYPERLINK("http://bbs.12365auto.com/postcontent.aspx?tID=193507","http://bbs.12365auto.com/postcontent.aspx?tID=193507")</f>
        <v>http://bbs.12365auto.com/postcontent.aspx?tID=193507</v>
      </c>
      <c r="G10838" s="2"/>
      <c r="H10838" s="2" t="s">
        <v>14483</v>
      </c>
      <c r="I10838" s="2" t="s">
        <v>15</v>
      </c>
      <c r="J10838" s="2" t="s">
        <v>683</v>
      </c>
      <c r="K10838" s="2" t="s">
        <v>14482</v>
      </c>
      <c r="L10838" s="2">
        <f t="shared" si="169"/>
        <v>150</v>
      </c>
    </row>
    <row r="10839" spans="1:12" ht="25" customHeight="1">
      <c r="A10839" s="2" t="s">
        <v>12</v>
      </c>
      <c r="B10839" s="2" t="str">
        <f>HYPERLINK("http://bbs.12365auto.com/postcontent.aspx?tId=193506","思域的进化史 积累起来的人气与信仰")</f>
        <v>思域的进化史 积累起来的人气与信仰</v>
      </c>
      <c r="C10839" s="2" t="s">
        <v>13</v>
      </c>
      <c r="D10839" s="2" t="s">
        <v>12</v>
      </c>
      <c r="E10839" s="2" t="s">
        <v>4212</v>
      </c>
      <c r="F10839" s="2" t="str">
        <f>HYPERLINK("http://bbs.12365auto.com/postcontent.aspx?tId=193506","http://bbs.12365auto.com/postcontent.aspx?tId=193506")</f>
        <v>http://bbs.12365auto.com/postcontent.aspx?tId=193506</v>
      </c>
      <c r="G10839" s="2"/>
      <c r="H10839" s="2" t="s">
        <v>14484</v>
      </c>
      <c r="I10839" s="2" t="s">
        <v>15</v>
      </c>
      <c r="J10839" s="2" t="s">
        <v>683</v>
      </c>
      <c r="K10839" s="2" t="s">
        <v>14485</v>
      </c>
      <c r="L10839" s="2">
        <f t="shared" si="169"/>
        <v>150</v>
      </c>
    </row>
    <row r="10840" spans="1:12" ht="25" customHeight="1">
      <c r="A10840" s="2" t="s">
        <v>12</v>
      </c>
      <c r="B10840" s="2" t="str">
        <f>HYPERLINK("http://m.12365auto.com/bbs/postcontent.aspx?tID=193506","思域的进化史 积累起来的人气与信仰")</f>
        <v>思域的进化史 积累起来的人气与信仰</v>
      </c>
      <c r="C10840" s="2" t="s">
        <v>13</v>
      </c>
      <c r="D10840" s="2" t="s">
        <v>23</v>
      </c>
      <c r="E10840" s="2"/>
      <c r="F10840" s="2" t="str">
        <f>HYPERLINK("http://m.12365auto.com/bbs/postcontent.aspx?tID=193506","http://m.12365auto.com/bbs/postcontent.aspx?tID=193506")</f>
        <v>http://m.12365auto.com/bbs/postcontent.aspx?tID=193506</v>
      </c>
      <c r="G10840" s="2"/>
      <c r="H10840" s="2" t="s">
        <v>14484</v>
      </c>
      <c r="I10840" s="2" t="s">
        <v>15</v>
      </c>
      <c r="J10840" s="2" t="s">
        <v>683</v>
      </c>
      <c r="K10840" s="2" t="s">
        <v>14485</v>
      </c>
      <c r="L10840" s="2">
        <f t="shared" si="169"/>
        <v>150</v>
      </c>
    </row>
    <row r="10841" spans="1:12" ht="25" customHeight="1">
      <c r="A10841" s="2" t="s">
        <v>12</v>
      </c>
      <c r="B10841" s="2" t="str">
        <f>HYPERLINK("http://bbs.12365auto.com/postcontent.aspx?tID=193506","思域的进化史 积累起来的人气与信仰")</f>
        <v>思域的进化史 积累起来的人气与信仰</v>
      </c>
      <c r="C10841" s="2" t="s">
        <v>13</v>
      </c>
      <c r="D10841" s="2" t="s">
        <v>12</v>
      </c>
      <c r="E10841" s="2" t="s">
        <v>4209</v>
      </c>
      <c r="F10841" s="2" t="str">
        <f>HYPERLINK("http://bbs.12365auto.com/postcontent.aspx?tID=193506","http://bbs.12365auto.com/postcontent.aspx?tID=193506")</f>
        <v>http://bbs.12365auto.com/postcontent.aspx?tID=193506</v>
      </c>
      <c r="G10841" s="2"/>
      <c r="H10841" s="2" t="s">
        <v>14486</v>
      </c>
      <c r="I10841" s="2" t="s">
        <v>15</v>
      </c>
      <c r="J10841" s="2" t="s">
        <v>683</v>
      </c>
      <c r="K10841" s="2" t="s">
        <v>14485</v>
      </c>
      <c r="L10841" s="2">
        <f t="shared" si="169"/>
        <v>150</v>
      </c>
    </row>
    <row r="10842" spans="1:12" ht="25" customHeight="1">
      <c r="A10842" s="2" t="s">
        <v>12</v>
      </c>
      <c r="B10842" s="2" t="str">
        <f>HYPERLINK("http://bbs.12365auto.com/postcontent.aspx?tId=193505","顶级汽车音响你有吗？装的时候小心音响雷区")</f>
        <v>顶级汽车音响你有吗？装的时候小心音响雷区</v>
      </c>
      <c r="C10842" s="2" t="s">
        <v>13</v>
      </c>
      <c r="D10842" s="2" t="s">
        <v>12</v>
      </c>
      <c r="E10842" s="2" t="s">
        <v>27</v>
      </c>
      <c r="F10842" s="2" t="str">
        <f>HYPERLINK("http://bbs.12365auto.com/postcontent.aspx?tId=193505","http://bbs.12365auto.com/postcontent.aspx?tId=193505")</f>
        <v>http://bbs.12365auto.com/postcontent.aspx?tId=193505</v>
      </c>
      <c r="G10842" s="2"/>
      <c r="H10842" s="2" t="s">
        <v>14487</v>
      </c>
      <c r="I10842" s="2" t="s">
        <v>15</v>
      </c>
      <c r="J10842" s="2" t="s">
        <v>683</v>
      </c>
      <c r="K10842" s="2" t="s">
        <v>14488</v>
      </c>
      <c r="L10842" s="2">
        <f t="shared" si="169"/>
        <v>150</v>
      </c>
    </row>
    <row r="10843" spans="1:12" ht="25" customHeight="1">
      <c r="A10843" s="2" t="s">
        <v>12</v>
      </c>
      <c r="B10843" s="2" t="str">
        <f>HYPERLINK("http://bbs.12365auto.com/postcontent.aspx?tId=193504","改装爱好者的曙光来了 这些政策你到看了吗")</f>
        <v>改装爱好者的曙光来了 这些政策你到看了吗</v>
      </c>
      <c r="C10843" s="2" t="s">
        <v>13</v>
      </c>
      <c r="D10843" s="2" t="s">
        <v>12</v>
      </c>
      <c r="E10843" s="2" t="s">
        <v>27</v>
      </c>
      <c r="F10843" s="2" t="str">
        <f>HYPERLINK("http://bbs.12365auto.com/postcontent.aspx?tId=193504","http://bbs.12365auto.com/postcontent.aspx?tId=193504")</f>
        <v>http://bbs.12365auto.com/postcontent.aspx?tId=193504</v>
      </c>
      <c r="G10843" s="2"/>
      <c r="H10843" s="2" t="s">
        <v>14489</v>
      </c>
      <c r="I10843" s="2" t="s">
        <v>15</v>
      </c>
      <c r="J10843" s="2" t="s">
        <v>683</v>
      </c>
      <c r="K10843" s="2" t="s">
        <v>14488</v>
      </c>
      <c r="L10843" s="2">
        <f t="shared" si="169"/>
        <v>150</v>
      </c>
    </row>
    <row r="10844" spans="1:12" ht="25" customHeight="1">
      <c r="A10844" s="2" t="s">
        <v>12</v>
      </c>
      <c r="B10844" s="2" t="str">
        <f>HYPERLINK("http://bbs.12365auto.com/postcontent.aspx?tId=193503","喜欢开四驱车？ 盘点一下知名的几个系统")</f>
        <v>喜欢开四驱车？ 盘点一下知名的几个系统</v>
      </c>
      <c r="C10844" s="2" t="s">
        <v>13</v>
      </c>
      <c r="D10844" s="2" t="s">
        <v>12</v>
      </c>
      <c r="E10844" s="2" t="s">
        <v>210</v>
      </c>
      <c r="F10844" s="2" t="str">
        <f>HYPERLINK("http://bbs.12365auto.com/postcontent.aspx?tId=193503","http://bbs.12365auto.com/postcontent.aspx?tId=193503")</f>
        <v>http://bbs.12365auto.com/postcontent.aspx?tId=193503</v>
      </c>
      <c r="G10844" s="2"/>
      <c r="H10844" s="2" t="s">
        <v>13652</v>
      </c>
      <c r="I10844" s="2" t="s">
        <v>15</v>
      </c>
      <c r="J10844" s="2" t="s">
        <v>683</v>
      </c>
      <c r="K10844" s="2" t="s">
        <v>14488</v>
      </c>
      <c r="L10844" s="2">
        <f t="shared" si="169"/>
        <v>150</v>
      </c>
    </row>
    <row r="10845" spans="1:12" ht="25" customHeight="1">
      <c r="A10845" s="2" t="s">
        <v>12</v>
      </c>
      <c r="B10845" s="2" t="str">
        <f>HYPERLINK("http://m.12365auto.com/bbs/postcontent.aspx?tID=193505","顶级汽车音响你有吗？装的时候小心音响雷区")</f>
        <v>顶级汽车音响你有吗？装的时候小心音响雷区</v>
      </c>
      <c r="C10845" s="2" t="s">
        <v>13</v>
      </c>
      <c r="D10845" s="2" t="s">
        <v>23</v>
      </c>
      <c r="E10845" s="2"/>
      <c r="F10845" s="2" t="str">
        <f>HYPERLINK("http://m.12365auto.com/bbs/postcontent.aspx?tID=193505","http://m.12365auto.com/bbs/postcontent.aspx?tID=193505")</f>
        <v>http://m.12365auto.com/bbs/postcontent.aspx?tID=193505</v>
      </c>
      <c r="G10845" s="2"/>
      <c r="H10845" s="2" t="s">
        <v>14487</v>
      </c>
      <c r="I10845" s="2" t="s">
        <v>15</v>
      </c>
      <c r="J10845" s="2" t="s">
        <v>683</v>
      </c>
      <c r="K10845" s="2" t="s">
        <v>14488</v>
      </c>
      <c r="L10845" s="2">
        <f t="shared" si="169"/>
        <v>150</v>
      </c>
    </row>
    <row r="10846" spans="1:12" ht="25" customHeight="1">
      <c r="A10846" s="2" t="s">
        <v>12</v>
      </c>
      <c r="B10846" s="2" t="str">
        <f>HYPERLINK("http://m.12365auto.com/bbs/postcontent.aspx?tID=193504","改装爱好者的曙光来了 这些政策你到看了吗")</f>
        <v>改装爱好者的曙光来了 这些政策你到看了吗</v>
      </c>
      <c r="C10846" s="2" t="s">
        <v>13</v>
      </c>
      <c r="D10846" s="2" t="s">
        <v>23</v>
      </c>
      <c r="E10846" s="2"/>
      <c r="F10846" s="2" t="str">
        <f>HYPERLINK("http://m.12365auto.com/bbs/postcontent.aspx?tID=193504","http://m.12365auto.com/bbs/postcontent.aspx?tID=193504")</f>
        <v>http://m.12365auto.com/bbs/postcontent.aspx?tID=193504</v>
      </c>
      <c r="G10846" s="2"/>
      <c r="H10846" s="2" t="s">
        <v>14489</v>
      </c>
      <c r="I10846" s="2" t="s">
        <v>15</v>
      </c>
      <c r="J10846" s="2" t="s">
        <v>683</v>
      </c>
      <c r="K10846" s="2" t="s">
        <v>14488</v>
      </c>
      <c r="L10846" s="2">
        <f t="shared" si="169"/>
        <v>150</v>
      </c>
    </row>
    <row r="10847" spans="1:12" ht="25" customHeight="1">
      <c r="A10847" s="2" t="s">
        <v>12</v>
      </c>
      <c r="B10847" s="2" t="str">
        <f>HYPERLINK("http://m.12365auto.com/bbs/postcontent.aspx?tID=193503","喜欢开四驱车？ 盘点一下知名的几个系统")</f>
        <v>喜欢开四驱车？ 盘点一下知名的几个系统</v>
      </c>
      <c r="C10847" s="2" t="s">
        <v>13</v>
      </c>
      <c r="D10847" s="2" t="s">
        <v>23</v>
      </c>
      <c r="E10847" s="2"/>
      <c r="F10847" s="2" t="str">
        <f>HYPERLINK("http://m.12365auto.com/bbs/postcontent.aspx?tID=193503","http://m.12365auto.com/bbs/postcontent.aspx?tID=193503")</f>
        <v>http://m.12365auto.com/bbs/postcontent.aspx?tID=193503</v>
      </c>
      <c r="G10847" s="2"/>
      <c r="H10847" s="2" t="s">
        <v>13652</v>
      </c>
      <c r="I10847" s="2" t="s">
        <v>15</v>
      </c>
      <c r="J10847" s="2" t="s">
        <v>683</v>
      </c>
      <c r="K10847" s="2" t="s">
        <v>14488</v>
      </c>
      <c r="L10847" s="2">
        <f t="shared" si="169"/>
        <v>150</v>
      </c>
    </row>
    <row r="10848" spans="1:12" ht="25" customHeight="1">
      <c r="A10848" s="2" t="s">
        <v>12</v>
      </c>
      <c r="B10848" s="2" t="str">
        <f>HYPERLINK("http://bbs.12365auto.com/postcontent.aspx?tID=193505","顶级汽车音响你有吗？装的时候小心音响雷区")</f>
        <v>顶级汽车音响你有吗？装的时候小心音响雷区</v>
      </c>
      <c r="C10848" s="2" t="s">
        <v>13</v>
      </c>
      <c r="D10848" s="2" t="s">
        <v>12</v>
      </c>
      <c r="E10848" s="2" t="s">
        <v>28</v>
      </c>
      <c r="F10848" s="2" t="str">
        <f>HYPERLINK("http://bbs.12365auto.com/postcontent.aspx?tID=193505","http://bbs.12365auto.com/postcontent.aspx?tID=193505")</f>
        <v>http://bbs.12365auto.com/postcontent.aspx?tID=193505</v>
      </c>
      <c r="G10848" s="2"/>
      <c r="H10848" s="2" t="s">
        <v>14490</v>
      </c>
      <c r="I10848" s="2" t="s">
        <v>15</v>
      </c>
      <c r="J10848" s="2" t="s">
        <v>683</v>
      </c>
      <c r="K10848" s="2" t="s">
        <v>14488</v>
      </c>
      <c r="L10848" s="2">
        <f t="shared" si="169"/>
        <v>150</v>
      </c>
    </row>
    <row r="10849" spans="1:12" ht="25" customHeight="1">
      <c r="A10849" s="2" t="s">
        <v>12</v>
      </c>
      <c r="B10849" s="2" t="str">
        <f>HYPERLINK("http://bbs.12365auto.com/postcontent.aspx?tID=193503","喜欢开四驱车？ 盘点一下知名的几个系统")</f>
        <v>喜欢开四驱车？ 盘点一下知名的几个系统</v>
      </c>
      <c r="C10849" s="2" t="s">
        <v>13</v>
      </c>
      <c r="D10849" s="2" t="s">
        <v>12</v>
      </c>
      <c r="E10849" s="2" t="s">
        <v>214</v>
      </c>
      <c r="F10849" s="2" t="str">
        <f>HYPERLINK("http://bbs.12365auto.com/postcontent.aspx?tID=193503","http://bbs.12365auto.com/postcontent.aspx?tID=193503")</f>
        <v>http://bbs.12365auto.com/postcontent.aspx?tID=193503</v>
      </c>
      <c r="G10849" s="2"/>
      <c r="H10849" s="2" t="s">
        <v>14491</v>
      </c>
      <c r="I10849" s="2" t="s">
        <v>15</v>
      </c>
      <c r="J10849" s="2" t="s">
        <v>683</v>
      </c>
      <c r="K10849" s="2" t="s">
        <v>14488</v>
      </c>
      <c r="L10849" s="2">
        <f t="shared" si="169"/>
        <v>150</v>
      </c>
    </row>
    <row r="10850" spans="1:12" ht="25" customHeight="1">
      <c r="A10850" s="2" t="s">
        <v>12</v>
      </c>
      <c r="B10850" s="2" t="str">
        <f>HYPERLINK("http://bbs.12365auto.com/postcontent.aspx?tID=193504","改装爱好者的曙光来了 这些政策你到看了吗")</f>
        <v>改装爱好者的曙光来了 这些政策你到看了吗</v>
      </c>
      <c r="C10850" s="2" t="s">
        <v>13</v>
      </c>
      <c r="D10850" s="2" t="s">
        <v>12</v>
      </c>
      <c r="E10850" s="2" t="s">
        <v>28</v>
      </c>
      <c r="F10850" s="2" t="str">
        <f>HYPERLINK("http://bbs.12365auto.com/postcontent.aspx?tID=193504","http://bbs.12365auto.com/postcontent.aspx?tID=193504")</f>
        <v>http://bbs.12365auto.com/postcontent.aspx?tID=193504</v>
      </c>
      <c r="G10850" s="2"/>
      <c r="H10850" s="2" t="s">
        <v>14492</v>
      </c>
      <c r="I10850" s="2" t="s">
        <v>15</v>
      </c>
      <c r="J10850" s="2" t="s">
        <v>683</v>
      </c>
      <c r="K10850" s="2" t="s">
        <v>14488</v>
      </c>
      <c r="L10850" s="2">
        <f t="shared" si="169"/>
        <v>150</v>
      </c>
    </row>
    <row r="10851" spans="1:12" ht="25" customHeight="1">
      <c r="A10851" s="2" t="s">
        <v>12</v>
      </c>
      <c r="B10851" s="2" t="str">
        <f>HYPERLINK("http://www.12365auto.com/xcdg/20200207/417981.shtml","性能全面强化 思域Type R芝加哥车展亮相")</f>
        <v>性能全面强化 思域Type R芝加哥车展亮相</v>
      </c>
      <c r="C10851" s="2" t="s">
        <v>13</v>
      </c>
      <c r="D10851" s="2" t="s">
        <v>12</v>
      </c>
      <c r="E10851" s="2" t="s">
        <v>216</v>
      </c>
      <c r="F10851" s="2" t="str">
        <f>HYPERLINK("http://www.12365auto.com/xcdg/20200207/417981.shtml","http://www.12365auto.com/xcdg/20200207/417981.shtml")</f>
        <v>http://www.12365auto.com/xcdg/20200207/417981.shtml</v>
      </c>
      <c r="G10851" s="2"/>
      <c r="H10851" s="2" t="s">
        <v>14493</v>
      </c>
      <c r="I10851" s="2" t="s">
        <v>15</v>
      </c>
      <c r="J10851" s="2" t="s">
        <v>12</v>
      </c>
      <c r="K10851" s="2" t="s">
        <v>14494</v>
      </c>
      <c r="L10851" s="2">
        <f t="shared" si="169"/>
        <v>150</v>
      </c>
    </row>
    <row r="10852" spans="1:12" ht="25" customHeight="1">
      <c r="A10852" s="2" t="s">
        <v>12</v>
      </c>
      <c r="B10852" s="2" t="str">
        <f>HYPERLINK("http://m.12365auto.com/xcdg/20200207/417981.shtml","性能全面强化 思域Type R芝加哥车展亮相")</f>
        <v>性能全面强化 思域Type R芝加哥车展亮相</v>
      </c>
      <c r="C10852" s="2" t="s">
        <v>13</v>
      </c>
      <c r="D10852" s="2" t="s">
        <v>12</v>
      </c>
      <c r="E10852" s="2"/>
      <c r="F10852" s="2" t="str">
        <f>HYPERLINK("http://m.12365auto.com/xcdg/20200207/417981.shtml","http://m.12365auto.com/xcdg/20200207/417981.shtml")</f>
        <v>http://m.12365auto.com/xcdg/20200207/417981.shtml</v>
      </c>
      <c r="G10852" s="2"/>
      <c r="H10852" s="2" t="s">
        <v>14495</v>
      </c>
      <c r="I10852" s="2" t="s">
        <v>19</v>
      </c>
      <c r="J10852" s="2" t="s">
        <v>2589</v>
      </c>
      <c r="K10852" s="2" t="s">
        <v>14494</v>
      </c>
      <c r="L10852" s="2">
        <f t="shared" si="169"/>
        <v>150</v>
      </c>
    </row>
    <row r="10853" spans="1:12" ht="25" customHeight="1">
      <c r="A10853" s="2" t="s">
        <v>12</v>
      </c>
      <c r="B10853" s="2" t="str">
        <f>HYPERLINK("http://m.12365auto.com/xcdg/20200207/417980.shtml","应对严苛排放标准 维特拉Brezza推出汽油版")</f>
        <v>应对严苛排放标准 维特拉Brezza推出汽油版</v>
      </c>
      <c r="C10853" s="2" t="s">
        <v>13</v>
      </c>
      <c r="D10853" s="2" t="s">
        <v>12</v>
      </c>
      <c r="E10853" s="2"/>
      <c r="F10853" s="2" t="str">
        <f>HYPERLINK("http://m.12365auto.com/xcdg/20200207/417980.shtml","http://m.12365auto.com/xcdg/20200207/417980.shtml")</f>
        <v>http://m.12365auto.com/xcdg/20200207/417980.shtml</v>
      </c>
      <c r="G10853" s="2"/>
      <c r="H10853" s="2" t="s">
        <v>14496</v>
      </c>
      <c r="I10853" s="2" t="s">
        <v>19</v>
      </c>
      <c r="J10853" s="2" t="s">
        <v>1623</v>
      </c>
      <c r="K10853" s="2" t="s">
        <v>14497</v>
      </c>
      <c r="L10853" s="2">
        <f t="shared" si="169"/>
        <v>150</v>
      </c>
    </row>
    <row r="10854" spans="1:12" ht="25" customHeight="1">
      <c r="A10854" s="2" t="s">
        <v>12</v>
      </c>
      <c r="B10854" s="2" t="str">
        <f>HYPERLINK("http://www.12365auto.com/xcdg/20200207/417980.shtml","应对严苛排放标准 维特拉Brezza推出汽油版")</f>
        <v>应对严苛排放标准 维特拉Brezza推出汽油版</v>
      </c>
      <c r="C10854" s="2" t="s">
        <v>13</v>
      </c>
      <c r="D10854" s="2" t="s">
        <v>12</v>
      </c>
      <c r="E10854" s="2" t="s">
        <v>216</v>
      </c>
      <c r="F10854" s="2" t="str">
        <f>HYPERLINK("http://www.12365auto.com/xcdg/20200207/417980.shtml","http://www.12365auto.com/xcdg/20200207/417980.shtml")</f>
        <v>http://www.12365auto.com/xcdg/20200207/417980.shtml</v>
      </c>
      <c r="G10854" s="2"/>
      <c r="H10854" s="2" t="s">
        <v>14498</v>
      </c>
      <c r="I10854" s="2" t="s">
        <v>15</v>
      </c>
      <c r="J10854" s="2" t="s">
        <v>12</v>
      </c>
      <c r="K10854" s="2" t="s">
        <v>14497</v>
      </c>
      <c r="L10854" s="2">
        <f t="shared" si="169"/>
        <v>150</v>
      </c>
    </row>
    <row r="10855" spans="1:12" ht="25" customHeight="1">
      <c r="A10855" s="2" t="s">
        <v>12</v>
      </c>
      <c r="B10855" s="2" t="str">
        <f>HYPERLINK("http://m.12365auto.com/xcdg/20200207/417979.shtml","芝加哥车展：牧马人High Altitude版")</f>
        <v>芝加哥车展：牧马人High Altitude版</v>
      </c>
      <c r="C10855" s="2" t="s">
        <v>13</v>
      </c>
      <c r="D10855" s="2" t="s">
        <v>12</v>
      </c>
      <c r="E10855" s="2"/>
      <c r="F10855" s="2" t="str">
        <f>HYPERLINK("http://m.12365auto.com/xcdg/20200207/417979.shtml","http://m.12365auto.com/xcdg/20200207/417979.shtml")</f>
        <v>http://m.12365auto.com/xcdg/20200207/417979.shtml</v>
      </c>
      <c r="G10855" s="2"/>
      <c r="H10855" s="2" t="s">
        <v>14499</v>
      </c>
      <c r="I10855" s="2" t="s">
        <v>19</v>
      </c>
      <c r="J10855" s="2" t="s">
        <v>295</v>
      </c>
      <c r="K10855" s="2" t="s">
        <v>14500</v>
      </c>
      <c r="L10855" s="2">
        <f t="shared" si="169"/>
        <v>150</v>
      </c>
    </row>
    <row r="10856" spans="1:12" ht="25" customHeight="1">
      <c r="A10856" s="2" t="s">
        <v>12</v>
      </c>
      <c r="B10856" s="2" t="str">
        <f>HYPERLINK("http://www.12365auto.com/xcdg/20200207/417979.shtml","芝加哥车展：牧马人High Altitude版")</f>
        <v>芝加哥车展：牧马人High Altitude版</v>
      </c>
      <c r="C10856" s="2" t="s">
        <v>13</v>
      </c>
      <c r="D10856" s="2" t="s">
        <v>12</v>
      </c>
      <c r="E10856" s="2" t="s">
        <v>245</v>
      </c>
      <c r="F10856" s="2" t="str">
        <f>HYPERLINK("http://www.12365auto.com/xcdg/20200207/417979.shtml","http://www.12365auto.com/xcdg/20200207/417979.shtml")</f>
        <v>http://www.12365auto.com/xcdg/20200207/417979.shtml</v>
      </c>
      <c r="G10856" s="2"/>
      <c r="H10856" s="2" t="s">
        <v>14501</v>
      </c>
      <c r="I10856" s="2" t="s">
        <v>19</v>
      </c>
      <c r="J10856" s="2" t="s">
        <v>12</v>
      </c>
      <c r="K10856" s="2" t="s">
        <v>14500</v>
      </c>
      <c r="L10856" s="2">
        <f t="shared" si="169"/>
        <v>150</v>
      </c>
    </row>
    <row r="10857" spans="1:12" ht="25" customHeight="1">
      <c r="A10857" s="2" t="s">
        <v>12</v>
      </c>
      <c r="B10857" s="2" t="str">
        <f>HYPERLINK("http://m.12365auto.com/zjdy/20200207/121083.shtml","长安CS35 PLUS荣威RX3名爵ZS怎么选择？")</f>
        <v>长安CS35 PLUS荣威RX3名爵ZS怎么选择？</v>
      </c>
      <c r="C10857" s="2" t="s">
        <v>13</v>
      </c>
      <c r="D10857" s="2" t="s">
        <v>12</v>
      </c>
      <c r="E10857" s="2"/>
      <c r="F10857" s="2" t="str">
        <f>HYPERLINK("http://m.12365auto.com/zjdy/20200207/121083.shtml","http://m.12365auto.com/zjdy/20200207/121083.shtml")</f>
        <v>http://m.12365auto.com/zjdy/20200207/121083.shtml</v>
      </c>
      <c r="G10857" s="2"/>
      <c r="H10857" s="2" t="s">
        <v>14502</v>
      </c>
      <c r="I10857" s="2" t="s">
        <v>19</v>
      </c>
      <c r="J10857" s="2" t="s">
        <v>12</v>
      </c>
      <c r="K10857" s="2" t="s">
        <v>14503</v>
      </c>
      <c r="L10857" s="2">
        <f t="shared" si="169"/>
        <v>49</v>
      </c>
    </row>
    <row r="10858" spans="1:12" ht="25" customHeight="1">
      <c r="A10858" s="2" t="s">
        <v>12</v>
      </c>
      <c r="B10858" s="2" t="str">
        <f>HYPERLINK("http://m.12365auto.com/zjdy/20200207/121084.shtml","丰田卡罗拉双擎质量好不好值得购买吗？")</f>
        <v>丰田卡罗拉双擎质量好不好值得购买吗？</v>
      </c>
      <c r="C10858" s="2" t="s">
        <v>13</v>
      </c>
      <c r="D10858" s="2" t="s">
        <v>12</v>
      </c>
      <c r="E10858" s="2"/>
      <c r="F10858" s="2" t="str">
        <f>HYPERLINK("http://m.12365auto.com/zjdy/20200207/121084.shtml","http://m.12365auto.com/zjdy/20200207/121084.shtml")</f>
        <v>http://m.12365auto.com/zjdy/20200207/121084.shtml</v>
      </c>
      <c r="G10858" s="2"/>
      <c r="H10858" s="2" t="s">
        <v>14504</v>
      </c>
      <c r="I10858" s="2" t="s">
        <v>19</v>
      </c>
      <c r="J10858" s="2" t="s">
        <v>12</v>
      </c>
      <c r="K10858" s="2" t="s">
        <v>14503</v>
      </c>
      <c r="L10858" s="2">
        <f t="shared" si="169"/>
        <v>28</v>
      </c>
    </row>
    <row r="10859" spans="1:12" ht="25" customHeight="1">
      <c r="A10859" s="2" t="s">
        <v>12</v>
      </c>
      <c r="B10859" s="2" t="str">
        <f>HYPERLINK("http://m.12365auto.com/xcdg/20200207/417978.shtml","2020芝加哥车展：新款大众Atlas发布")</f>
        <v>2020芝加哥车展：新款大众Atlas发布</v>
      </c>
      <c r="C10859" s="2" t="s">
        <v>13</v>
      </c>
      <c r="D10859" s="2" t="s">
        <v>12</v>
      </c>
      <c r="E10859" s="2"/>
      <c r="F10859" s="2" t="str">
        <f>HYPERLINK("http://m.12365auto.com/xcdg/20200207/417978.shtml","http://m.12365auto.com/xcdg/20200207/417978.shtml")</f>
        <v>http://m.12365auto.com/xcdg/20200207/417978.shtml</v>
      </c>
      <c r="G10859" s="2"/>
      <c r="H10859" s="2" t="s">
        <v>14505</v>
      </c>
      <c r="I10859" s="2" t="s">
        <v>19</v>
      </c>
      <c r="J10859" s="2" t="s">
        <v>2560</v>
      </c>
      <c r="K10859" s="2" t="s">
        <v>14506</v>
      </c>
      <c r="L10859" s="2">
        <f t="shared" si="169"/>
        <v>150</v>
      </c>
    </row>
    <row r="10860" spans="1:12" ht="25" customHeight="1">
      <c r="A10860" s="2" t="s">
        <v>12</v>
      </c>
      <c r="B10860" s="2" t="str">
        <f>HYPERLINK("http://www.12365auto.com/xcdg/20200207/417978.shtml","2020芝加哥车展：新款大众Atlas发布")</f>
        <v>2020芝加哥车展：新款大众Atlas发布</v>
      </c>
      <c r="C10860" s="2" t="s">
        <v>13</v>
      </c>
      <c r="D10860" s="2" t="s">
        <v>12</v>
      </c>
      <c r="E10860" s="2" t="s">
        <v>216</v>
      </c>
      <c r="F10860" s="2" t="str">
        <f>HYPERLINK("http://www.12365auto.com/xcdg/20200207/417978.shtml","http://www.12365auto.com/xcdg/20200207/417978.shtml")</f>
        <v>http://www.12365auto.com/xcdg/20200207/417978.shtml</v>
      </c>
      <c r="G10860" s="2"/>
      <c r="H10860" s="2" t="s">
        <v>14507</v>
      </c>
      <c r="I10860" s="2" t="s">
        <v>15</v>
      </c>
      <c r="J10860" s="2" t="s">
        <v>12</v>
      </c>
      <c r="K10860" s="2" t="s">
        <v>14506</v>
      </c>
      <c r="L10860" s="2">
        <f t="shared" si="169"/>
        <v>150</v>
      </c>
    </row>
    <row r="10861" spans="1:12" ht="25" customHeight="1">
      <c r="A10861" s="2" t="s">
        <v>12</v>
      </c>
      <c r="B10861" s="2" t="str">
        <f>HYPERLINK("http://www.12365auto.com/xcdg/20200207/417977.shtml","2020芝加哥车展：中期改款大捷龙亮相")</f>
        <v>2020芝加哥车展：中期改款大捷龙亮相</v>
      </c>
      <c r="C10861" s="2" t="s">
        <v>13</v>
      </c>
      <c r="D10861" s="2" t="s">
        <v>12</v>
      </c>
      <c r="E10861" s="2" t="s">
        <v>216</v>
      </c>
      <c r="F10861" s="2" t="str">
        <f>HYPERLINK("http://www.12365auto.com/xcdg/20200207/417977.shtml","http://www.12365auto.com/xcdg/20200207/417977.shtml")</f>
        <v>http://www.12365auto.com/xcdg/20200207/417977.shtml</v>
      </c>
      <c r="G10861" s="2"/>
      <c r="H10861" s="2" t="s">
        <v>14508</v>
      </c>
      <c r="I10861" s="2" t="s">
        <v>15</v>
      </c>
      <c r="J10861" s="2" t="s">
        <v>12</v>
      </c>
      <c r="K10861" s="2" t="s">
        <v>14509</v>
      </c>
      <c r="L10861" s="2">
        <f t="shared" si="169"/>
        <v>150</v>
      </c>
    </row>
    <row r="10862" spans="1:12" ht="25" customHeight="1">
      <c r="A10862" s="2" t="s">
        <v>12</v>
      </c>
      <c r="B10862" s="2" t="str">
        <f>HYPERLINK("http://m.12365auto.com/xcdg/20200207/417977.shtml","2020芝加哥车展：中期改款大捷龙亮相")</f>
        <v>2020芝加哥车展：中期改款大捷龙亮相</v>
      </c>
      <c r="C10862" s="2" t="s">
        <v>13</v>
      </c>
      <c r="D10862" s="2" t="s">
        <v>12</v>
      </c>
      <c r="E10862" s="2"/>
      <c r="F10862" s="2" t="str">
        <f>HYPERLINK("http://m.12365auto.com/xcdg/20200207/417977.shtml","http://m.12365auto.com/xcdg/20200207/417977.shtml")</f>
        <v>http://m.12365auto.com/xcdg/20200207/417977.shtml</v>
      </c>
      <c r="G10862" s="2"/>
      <c r="H10862" s="2" t="s">
        <v>14510</v>
      </c>
      <c r="I10862" s="2" t="s">
        <v>19</v>
      </c>
      <c r="J10862" s="2" t="s">
        <v>1197</v>
      </c>
      <c r="K10862" s="2" t="s">
        <v>14509</v>
      </c>
      <c r="L10862" s="2">
        <f t="shared" si="169"/>
        <v>150</v>
      </c>
    </row>
    <row r="10863" spans="1:12" ht="25" customHeight="1">
      <c r="A10863" s="2" t="s">
        <v>12</v>
      </c>
      <c r="B10863" s="2" t="str">
        <f>HYPERLINK("http://www.12365auto.com/xcdg/20200207/417976.shtml","雪铁龙C5 AIRCROSS插混版布鲁塞尔亮相")</f>
        <v>雪铁龙C5 AIRCROSS插混版布鲁塞尔亮相</v>
      </c>
      <c r="C10863" s="2" t="s">
        <v>13</v>
      </c>
      <c r="D10863" s="2" t="s">
        <v>12</v>
      </c>
      <c r="E10863" s="2" t="s">
        <v>216</v>
      </c>
      <c r="F10863" s="2" t="str">
        <f>HYPERLINK("http://www.12365auto.com/xcdg/20200207/417976.shtml","http://www.12365auto.com/xcdg/20200207/417976.shtml")</f>
        <v>http://www.12365auto.com/xcdg/20200207/417976.shtml</v>
      </c>
      <c r="G10863" s="2"/>
      <c r="H10863" s="2" t="s">
        <v>14511</v>
      </c>
      <c r="I10863" s="2" t="s">
        <v>15</v>
      </c>
      <c r="J10863" s="2" t="s">
        <v>12</v>
      </c>
      <c r="K10863" s="2" t="s">
        <v>14512</v>
      </c>
      <c r="L10863" s="2">
        <f t="shared" si="169"/>
        <v>150</v>
      </c>
    </row>
    <row r="10864" spans="1:12" ht="25" customHeight="1">
      <c r="A10864" s="2" t="s">
        <v>12</v>
      </c>
      <c r="B10864" s="2" t="str">
        <f>HYPERLINK("http://m.12365auto.com/xcdg/20200207/417976.shtml","雪铁龙C5 AIRCROSS插混版布鲁塞尔亮相")</f>
        <v>雪铁龙C5 AIRCROSS插混版布鲁塞尔亮相</v>
      </c>
      <c r="C10864" s="2" t="s">
        <v>13</v>
      </c>
      <c r="D10864" s="2" t="s">
        <v>12</v>
      </c>
      <c r="E10864" s="2"/>
      <c r="F10864" s="2" t="str">
        <f>HYPERLINK("http://m.12365auto.com/xcdg/20200207/417976.shtml","http://m.12365auto.com/xcdg/20200207/417976.shtml")</f>
        <v>http://m.12365auto.com/xcdg/20200207/417976.shtml</v>
      </c>
      <c r="G10864" s="2"/>
      <c r="H10864" s="2" t="s">
        <v>14513</v>
      </c>
      <c r="I10864" s="2" t="s">
        <v>19</v>
      </c>
      <c r="J10864" s="2" t="s">
        <v>338</v>
      </c>
      <c r="K10864" s="2" t="s">
        <v>14512</v>
      </c>
      <c r="L10864" s="2">
        <f t="shared" si="169"/>
        <v>150</v>
      </c>
    </row>
    <row r="10865" spans="1:12" ht="25" customHeight="1">
      <c r="A10865" s="2" t="s">
        <v>12</v>
      </c>
      <c r="B10865" s="2" t="str">
        <f>HYPERLINK("http://www.12365auto.com/xcdg/20200207/417975.shtml","芝加哥车展：丰田4Runner特别版发布")</f>
        <v>芝加哥车展：丰田4Runner特别版发布</v>
      </c>
      <c r="C10865" s="2" t="s">
        <v>13</v>
      </c>
      <c r="D10865" s="2" t="s">
        <v>12</v>
      </c>
      <c r="E10865" s="2" t="s">
        <v>245</v>
      </c>
      <c r="F10865" s="2" t="str">
        <f>HYPERLINK("http://www.12365auto.com/xcdg/20200207/417975.shtml","http://www.12365auto.com/xcdg/20200207/417975.shtml")</f>
        <v>http://www.12365auto.com/xcdg/20200207/417975.shtml</v>
      </c>
      <c r="G10865" s="2"/>
      <c r="H10865" s="2" t="s">
        <v>14514</v>
      </c>
      <c r="I10865" s="2" t="s">
        <v>19</v>
      </c>
      <c r="J10865" s="2" t="s">
        <v>12</v>
      </c>
      <c r="K10865" s="2" t="s">
        <v>14515</v>
      </c>
      <c r="L10865" s="2">
        <f t="shared" si="169"/>
        <v>150</v>
      </c>
    </row>
    <row r="10866" spans="1:12" ht="25" customHeight="1">
      <c r="A10866" s="2" t="s">
        <v>12</v>
      </c>
      <c r="B10866" s="2" t="str">
        <f>HYPERLINK("http://m.12365auto.com/xcdg/20200207/417975.shtml","芝加哥车展：丰田4Runner特别版发布")</f>
        <v>芝加哥车展：丰田4Runner特别版发布</v>
      </c>
      <c r="C10866" s="2" t="s">
        <v>13</v>
      </c>
      <c r="D10866" s="2" t="s">
        <v>12</v>
      </c>
      <c r="E10866" s="2"/>
      <c r="F10866" s="2" t="str">
        <f>HYPERLINK("http://m.12365auto.com/xcdg/20200207/417975.shtml","http://m.12365auto.com/xcdg/20200207/417975.shtml")</f>
        <v>http://m.12365auto.com/xcdg/20200207/417975.shtml</v>
      </c>
      <c r="G10866" s="2"/>
      <c r="H10866" s="2" t="s">
        <v>14516</v>
      </c>
      <c r="I10866" s="2" t="s">
        <v>19</v>
      </c>
      <c r="J10866" s="2" t="s">
        <v>1637</v>
      </c>
      <c r="K10866" s="2" t="s">
        <v>14515</v>
      </c>
      <c r="L10866" s="2">
        <f t="shared" si="169"/>
        <v>150</v>
      </c>
    </row>
    <row r="10867" spans="1:12" ht="25" customHeight="1">
      <c r="A10867" s="2" t="s">
        <v>12</v>
      </c>
      <c r="B10867" s="2" t="str">
        <f>HYPERLINK("http://m.12365auto.com/xcdg/20200207/417974.shtml","2020芝加哥车展：Gladiator高海拔版")</f>
        <v>2020芝加哥车展：Gladiator高海拔版</v>
      </c>
      <c r="C10867" s="2" t="s">
        <v>13</v>
      </c>
      <c r="D10867" s="2" t="s">
        <v>12</v>
      </c>
      <c r="E10867" s="2"/>
      <c r="F10867" s="2" t="str">
        <f>HYPERLINK("http://m.12365auto.com/xcdg/20200207/417974.shtml","http://m.12365auto.com/xcdg/20200207/417974.shtml")</f>
        <v>http://m.12365auto.com/xcdg/20200207/417974.shtml</v>
      </c>
      <c r="G10867" s="2"/>
      <c r="H10867" s="2" t="s">
        <v>14517</v>
      </c>
      <c r="I10867" s="2" t="s">
        <v>19</v>
      </c>
      <c r="J10867" s="2" t="s">
        <v>338</v>
      </c>
      <c r="K10867" s="2" t="s">
        <v>14518</v>
      </c>
      <c r="L10867" s="2">
        <f t="shared" si="169"/>
        <v>150</v>
      </c>
    </row>
    <row r="10868" spans="1:12" ht="25" customHeight="1">
      <c r="A10868" s="2" t="s">
        <v>12</v>
      </c>
      <c r="B10868" s="2" t="str">
        <f>HYPERLINK("http://www.12365auto.com/xcdg/20200207/417974.shtml","2020芝加哥车展：Gladiator高海拔版")</f>
        <v>2020芝加哥车展：Gladiator高海拔版</v>
      </c>
      <c r="C10868" s="2" t="s">
        <v>13</v>
      </c>
      <c r="D10868" s="2" t="s">
        <v>12</v>
      </c>
      <c r="E10868" s="2" t="s">
        <v>216</v>
      </c>
      <c r="F10868" s="2" t="str">
        <f>HYPERLINK("http://www.12365auto.com/xcdg/20200207/417974.shtml","http://www.12365auto.com/xcdg/20200207/417974.shtml")</f>
        <v>http://www.12365auto.com/xcdg/20200207/417974.shtml</v>
      </c>
      <c r="G10868" s="2"/>
      <c r="H10868" s="2" t="s">
        <v>14519</v>
      </c>
      <c r="I10868" s="2" t="s">
        <v>15</v>
      </c>
      <c r="J10868" s="2" t="s">
        <v>12</v>
      </c>
      <c r="K10868" s="2" t="s">
        <v>14518</v>
      </c>
      <c r="L10868" s="2">
        <f t="shared" si="169"/>
        <v>150</v>
      </c>
    </row>
    <row r="10869" spans="1:12" ht="25" customHeight="1">
      <c r="A10869" s="2" t="s">
        <v>12</v>
      </c>
      <c r="B10869" s="2" t="str">
        <f>HYPERLINK("http://m.12365auto.com/xcdg/20200207/417973.shtml","解析奔驰GLB先行特别版 到底特别在哪？")</f>
        <v>解析奔驰GLB先行特别版 到底特别在哪？</v>
      </c>
      <c r="C10869" s="2" t="s">
        <v>13</v>
      </c>
      <c r="D10869" s="2" t="s">
        <v>12</v>
      </c>
      <c r="E10869" s="2"/>
      <c r="F10869" s="2" t="str">
        <f>HYPERLINK("http://m.12365auto.com/xcdg/20200207/417973.shtml","http://m.12365auto.com/xcdg/20200207/417973.shtml")</f>
        <v>http://m.12365auto.com/xcdg/20200207/417973.shtml</v>
      </c>
      <c r="G10869" s="2"/>
      <c r="H10869" s="2" t="s">
        <v>14520</v>
      </c>
      <c r="I10869" s="2" t="s">
        <v>19</v>
      </c>
      <c r="J10869" s="2" t="s">
        <v>2486</v>
      </c>
      <c r="K10869" s="2" t="s">
        <v>14521</v>
      </c>
      <c r="L10869" s="2">
        <f t="shared" si="169"/>
        <v>150</v>
      </c>
    </row>
    <row r="10870" spans="1:12" ht="25" customHeight="1">
      <c r="A10870" s="2" t="s">
        <v>12</v>
      </c>
      <c r="B10870" s="2" t="str">
        <f>HYPERLINK("http://www.12365auto.com/zlts/20200207/446545.shtml","东南DX3高速时发动机噪音大希望厂家处理")</f>
        <v>东南DX3高速时发动机噪音大希望厂家处理</v>
      </c>
      <c r="C10870" s="2" t="s">
        <v>13</v>
      </c>
      <c r="D10870" s="2" t="s">
        <v>12</v>
      </c>
      <c r="E10870" s="2"/>
      <c r="F10870" s="2" t="str">
        <f>HYPERLINK("http://www.12365auto.com/zlts/20200207/446545.shtml","http://www.12365auto.com/zlts/20200207/446545.shtml")</f>
        <v>http://www.12365auto.com/zlts/20200207/446545.shtml</v>
      </c>
      <c r="G10870" s="2"/>
      <c r="H10870" s="2" t="s">
        <v>14523</v>
      </c>
      <c r="I10870" s="2" t="s">
        <v>15</v>
      </c>
      <c r="J10870" s="2" t="s">
        <v>12</v>
      </c>
      <c r="K10870" s="2" t="s">
        <v>14522</v>
      </c>
      <c r="L10870" s="2">
        <f t="shared" si="169"/>
        <v>83</v>
      </c>
    </row>
    <row r="10871" spans="1:12" ht="25" customHeight="1">
      <c r="A10871" s="2" t="s">
        <v>12</v>
      </c>
      <c r="B10871" s="2" t="str">
        <f>HYPERLINK("http://www.12365auto.com/zlts/20200207/446547.shtml","广汽本田雅阁行驶中动力消失存在安全隐患")</f>
        <v>广汽本田雅阁行驶中动力消失存在安全隐患</v>
      </c>
      <c r="C10871" s="2" t="s">
        <v>13</v>
      </c>
      <c r="D10871" s="2" t="s">
        <v>12</v>
      </c>
      <c r="E10871" s="2" t="s">
        <v>17</v>
      </c>
      <c r="F10871" s="2" t="str">
        <f>HYPERLINK("http://www.12365auto.com/zlts/20200207/446547.shtml","http://www.12365auto.com/zlts/20200207/446547.shtml")</f>
        <v>http://www.12365auto.com/zlts/20200207/446547.shtml</v>
      </c>
      <c r="G10871" s="2"/>
      <c r="H10871" s="2" t="s">
        <v>14524</v>
      </c>
      <c r="I10871" s="2" t="s">
        <v>15</v>
      </c>
      <c r="J10871" s="2" t="s">
        <v>12</v>
      </c>
      <c r="K10871" s="2" t="s">
        <v>14525</v>
      </c>
      <c r="L10871" s="2">
        <f t="shared" si="169"/>
        <v>150</v>
      </c>
    </row>
    <row r="10872" spans="1:12" ht="25" customHeight="1">
      <c r="A10872" s="2" t="s">
        <v>12</v>
      </c>
      <c r="B10872" s="2" t="str">
        <f>HYPERLINK("http://m.12365auto.com/xcdg/20200207/417972.shtml","销量逆势增长22.4% 看柯珞克有哪些硬实力")</f>
        <v>销量逆势增长22.4% 看柯珞克有哪些硬实力</v>
      </c>
      <c r="C10872" s="2" t="s">
        <v>13</v>
      </c>
      <c r="D10872" s="2" t="s">
        <v>12</v>
      </c>
      <c r="E10872" s="2"/>
      <c r="F10872" s="2" t="str">
        <f>HYPERLINK("http://m.12365auto.com/xcdg/20200207/417972.shtml","http://m.12365auto.com/xcdg/20200207/417972.shtml")</f>
        <v>http://m.12365auto.com/xcdg/20200207/417972.shtml</v>
      </c>
      <c r="G10872" s="2"/>
      <c r="H10872" s="2" t="s">
        <v>14526</v>
      </c>
      <c r="I10872" s="2" t="s">
        <v>19</v>
      </c>
      <c r="J10872" s="2" t="s">
        <v>11087</v>
      </c>
      <c r="K10872" s="2" t="s">
        <v>14527</v>
      </c>
      <c r="L10872" s="2">
        <f t="shared" si="169"/>
        <v>150</v>
      </c>
    </row>
    <row r="10873" spans="1:12" ht="25" customHeight="1">
      <c r="A10873" s="2" t="s">
        <v>12</v>
      </c>
      <c r="B10873" s="2" t="str">
        <f>HYPERLINK("http://m.12365auto.com/dcbg/20200207/417971.shtml","安全第一位 哈弗F5中保研碰撞测试成绩解读")</f>
        <v>安全第一位 哈弗F5中保研碰撞测试成绩解读</v>
      </c>
      <c r="C10873" s="2" t="s">
        <v>13</v>
      </c>
      <c r="D10873" s="2" t="s">
        <v>12</v>
      </c>
      <c r="E10873" s="2"/>
      <c r="F10873" s="2" t="str">
        <f>HYPERLINK("http://m.12365auto.com/dcbg/20200207/417971.shtml","http://m.12365auto.com/dcbg/20200207/417971.shtml")</f>
        <v>http://m.12365auto.com/dcbg/20200207/417971.shtml</v>
      </c>
      <c r="G10873" s="2"/>
      <c r="H10873" s="2" t="s">
        <v>14528</v>
      </c>
      <c r="I10873" s="2" t="s">
        <v>19</v>
      </c>
      <c r="J10873" s="2" t="s">
        <v>9165</v>
      </c>
      <c r="K10873" s="2" t="s">
        <v>14529</v>
      </c>
      <c r="L10873" s="2">
        <f t="shared" si="169"/>
        <v>150</v>
      </c>
    </row>
    <row r="10874" spans="1:12" ht="25" customHeight="1">
      <c r="A10874" s="2" t="s">
        <v>12</v>
      </c>
      <c r="B10874" s="2" t="str">
        <f>HYPERLINK("http://www.12365auto.com/zlts/20200207/446546.shtml","吉利帝豪车机后台关闭 无法更新天气和新闻")</f>
        <v>吉利帝豪车机后台关闭 无法更新天气和新闻</v>
      </c>
      <c r="C10874" s="2" t="s">
        <v>13</v>
      </c>
      <c r="D10874" s="2" t="s">
        <v>12</v>
      </c>
      <c r="E10874" s="2" t="s">
        <v>17</v>
      </c>
      <c r="F10874" s="2" t="str">
        <f>HYPERLINK("http://www.12365auto.com/zlts/20200207/446546.shtml","http://www.12365auto.com/zlts/20200207/446546.shtml")</f>
        <v>http://www.12365auto.com/zlts/20200207/446546.shtml</v>
      </c>
      <c r="G10874" s="2"/>
      <c r="H10874" s="2" t="s">
        <v>14530</v>
      </c>
      <c r="I10874" s="2" t="s">
        <v>19</v>
      </c>
      <c r="J10874" s="2" t="s">
        <v>12</v>
      </c>
      <c r="K10874" s="2" t="s">
        <v>14531</v>
      </c>
      <c r="L10874" s="2">
        <f t="shared" si="169"/>
        <v>150</v>
      </c>
    </row>
    <row r="10875" spans="1:12" ht="25" customHeight="1">
      <c r="A10875" s="2" t="s">
        <v>12</v>
      </c>
      <c r="B10875" s="2" t="str">
        <f>HYPERLINK("http://bbs.12365auto.com/postcontent.aspx?tID=193500","纯电动汽车到底蕴含了多大的降本空间")</f>
        <v>纯电动汽车到底蕴含了多大的降本空间</v>
      </c>
      <c r="C10875" s="2" t="s">
        <v>13</v>
      </c>
      <c r="D10875" s="2" t="s">
        <v>12</v>
      </c>
      <c r="E10875" s="2" t="s">
        <v>28</v>
      </c>
      <c r="F10875" s="2" t="str">
        <f>HYPERLINK("http://bbs.12365auto.com/postcontent.aspx?tID=193500","http://bbs.12365auto.com/postcontent.aspx?tID=193500")</f>
        <v>http://bbs.12365auto.com/postcontent.aspx?tID=193500</v>
      </c>
      <c r="G10875" s="2"/>
      <c r="H10875" s="2" t="s">
        <v>14532</v>
      </c>
      <c r="I10875" s="2" t="s">
        <v>15</v>
      </c>
      <c r="J10875" s="2" t="s">
        <v>8508</v>
      </c>
      <c r="K10875" s="2" t="s">
        <v>14533</v>
      </c>
      <c r="L10875" s="2">
        <f t="shared" si="169"/>
        <v>150</v>
      </c>
    </row>
    <row r="10876" spans="1:12" ht="25" customHeight="1">
      <c r="A10876" s="2" t="s">
        <v>12</v>
      </c>
      <c r="B10876" s="2" t="str">
        <f>HYPERLINK("http://bbs.12365auto.com/postcontent.aspx?tID=193501","特殊期间自驾返程注意事项")</f>
        <v>特殊期间自驾返程注意事项</v>
      </c>
      <c r="C10876" s="2" t="s">
        <v>13</v>
      </c>
      <c r="D10876" s="2" t="s">
        <v>12</v>
      </c>
      <c r="E10876" s="2" t="s">
        <v>28</v>
      </c>
      <c r="F10876" s="2" t="str">
        <f>HYPERLINK("http://bbs.12365auto.com/postcontent.aspx?tID=193501","http://bbs.12365auto.com/postcontent.aspx?tID=193501")</f>
        <v>http://bbs.12365auto.com/postcontent.aspx?tID=193501</v>
      </c>
      <c r="G10876" s="2"/>
      <c r="H10876" s="2" t="s">
        <v>14534</v>
      </c>
      <c r="I10876" s="2" t="s">
        <v>15</v>
      </c>
      <c r="J10876" s="2" t="s">
        <v>8508</v>
      </c>
      <c r="K10876" s="2" t="s">
        <v>14533</v>
      </c>
      <c r="L10876" s="2">
        <f t="shared" si="169"/>
        <v>150</v>
      </c>
    </row>
    <row r="10877" spans="1:12" ht="25" customHeight="1">
      <c r="A10877" s="2" t="s">
        <v>12</v>
      </c>
      <c r="B10877" s="2" t="str">
        <f>HYPERLINK("http://bbs.12365auto.com/postcontent.aspx?tId=193501","特殊期间自驾返程注意事项")</f>
        <v>特殊期间自驾返程注意事项</v>
      </c>
      <c r="C10877" s="2" t="s">
        <v>13</v>
      </c>
      <c r="D10877" s="2" t="s">
        <v>12</v>
      </c>
      <c r="E10877" s="2" t="s">
        <v>27</v>
      </c>
      <c r="F10877" s="2" t="str">
        <f>HYPERLINK("http://bbs.12365auto.com/postcontent.aspx?tId=193501","http://bbs.12365auto.com/postcontent.aspx?tId=193501")</f>
        <v>http://bbs.12365auto.com/postcontent.aspx?tId=193501</v>
      </c>
      <c r="G10877" s="2"/>
      <c r="H10877" s="2" t="s">
        <v>14535</v>
      </c>
      <c r="I10877" s="2" t="s">
        <v>15</v>
      </c>
      <c r="J10877" s="2" t="s">
        <v>8508</v>
      </c>
      <c r="K10877" s="2" t="s">
        <v>14533</v>
      </c>
      <c r="L10877" s="2">
        <f t="shared" si="169"/>
        <v>150</v>
      </c>
    </row>
    <row r="10878" spans="1:12" ht="25" customHeight="1">
      <c r="A10878" s="2" t="s">
        <v>12</v>
      </c>
      <c r="B10878" s="2" t="str">
        <f>HYPERLINK("http://bbs.12365auto.com/postcontent.aspx?tId=193500","纯电动汽车到底蕴含了多大的降本空间")</f>
        <v>纯电动汽车到底蕴含了多大的降本空间</v>
      </c>
      <c r="C10878" s="2" t="s">
        <v>13</v>
      </c>
      <c r="D10878" s="2" t="s">
        <v>12</v>
      </c>
      <c r="E10878" s="2" t="s">
        <v>27</v>
      </c>
      <c r="F10878" s="2" t="str">
        <f>HYPERLINK("http://bbs.12365auto.com/postcontent.aspx?tId=193500","http://bbs.12365auto.com/postcontent.aspx?tId=193500")</f>
        <v>http://bbs.12365auto.com/postcontent.aspx?tId=193500</v>
      </c>
      <c r="G10878" s="2"/>
      <c r="H10878" s="2" t="s">
        <v>14536</v>
      </c>
      <c r="I10878" s="2" t="s">
        <v>15</v>
      </c>
      <c r="J10878" s="2" t="s">
        <v>8508</v>
      </c>
      <c r="K10878" s="2" t="s">
        <v>14533</v>
      </c>
      <c r="L10878" s="2">
        <f t="shared" si="169"/>
        <v>150</v>
      </c>
    </row>
    <row r="10879" spans="1:12" ht="25" customHeight="1">
      <c r="A10879" s="2" t="s">
        <v>12</v>
      </c>
      <c r="B10879" s="2" t="str">
        <f>HYPERLINK("http://m.12365auto.com/bbs/postcontent.aspx?tID=193500","纯电动汽车到底蕴含了多大的降本空间")</f>
        <v>纯电动汽车到底蕴含了多大的降本空间</v>
      </c>
      <c r="C10879" s="2" t="s">
        <v>13</v>
      </c>
      <c r="D10879" s="2" t="s">
        <v>23</v>
      </c>
      <c r="E10879" s="2"/>
      <c r="F10879" s="2" t="str">
        <f>HYPERLINK("http://m.12365auto.com/bbs/postcontent.aspx?tID=193500","http://m.12365auto.com/bbs/postcontent.aspx?tID=193500")</f>
        <v>http://m.12365auto.com/bbs/postcontent.aspx?tID=193500</v>
      </c>
      <c r="G10879" s="2"/>
      <c r="H10879" s="2" t="s">
        <v>14536</v>
      </c>
      <c r="I10879" s="2" t="s">
        <v>15</v>
      </c>
      <c r="J10879" s="2" t="s">
        <v>8508</v>
      </c>
      <c r="K10879" s="2" t="s">
        <v>14533</v>
      </c>
      <c r="L10879" s="2">
        <f t="shared" si="169"/>
        <v>150</v>
      </c>
    </row>
    <row r="10880" spans="1:12" ht="25" customHeight="1">
      <c r="A10880" s="2" t="s">
        <v>12</v>
      </c>
      <c r="B10880" s="2" t="str">
        <f>HYPERLINK("http://m.12365auto.com/bbs/postcontent.aspx?tID=193501","特殊期间自驾返程注意事项")</f>
        <v>特殊期间自驾返程注意事项</v>
      </c>
      <c r="C10880" s="2" t="s">
        <v>13</v>
      </c>
      <c r="D10880" s="2" t="s">
        <v>23</v>
      </c>
      <c r="E10880" s="2"/>
      <c r="F10880" s="2" t="str">
        <f>HYPERLINK("http://m.12365auto.com/bbs/postcontent.aspx?tID=193501","http://m.12365auto.com/bbs/postcontent.aspx?tID=193501")</f>
        <v>http://m.12365auto.com/bbs/postcontent.aspx?tID=193501</v>
      </c>
      <c r="G10880" s="2"/>
      <c r="H10880" s="2" t="s">
        <v>14535</v>
      </c>
      <c r="I10880" s="2" t="s">
        <v>15</v>
      </c>
      <c r="J10880" s="2" t="s">
        <v>8508</v>
      </c>
      <c r="K10880" s="2" t="s">
        <v>14533</v>
      </c>
      <c r="L10880" s="2">
        <f t="shared" si="169"/>
        <v>150</v>
      </c>
    </row>
    <row r="10881" spans="1:12" ht="25" customHeight="1">
      <c r="A10881" s="2" t="s">
        <v>12</v>
      </c>
      <c r="B10881" s="2" t="str">
        <f>HYPERLINK("http://bbs.12365auto.com/postcontent.aspx?tID=193499","高速上电动车趴窝了怎么办")</f>
        <v>高速上电动车趴窝了怎么办</v>
      </c>
      <c r="C10881" s="2" t="s">
        <v>13</v>
      </c>
      <c r="D10881" s="2" t="s">
        <v>12</v>
      </c>
      <c r="E10881" s="2" t="s">
        <v>28</v>
      </c>
      <c r="F10881" s="2" t="str">
        <f>HYPERLINK("http://bbs.12365auto.com/postcontent.aspx?tID=193499","http://bbs.12365auto.com/postcontent.aspx?tID=193499")</f>
        <v>http://bbs.12365auto.com/postcontent.aspx?tID=193499</v>
      </c>
      <c r="G10881" s="2"/>
      <c r="H10881" s="2" t="s">
        <v>14537</v>
      </c>
      <c r="I10881" s="2" t="s">
        <v>15</v>
      </c>
      <c r="J10881" s="2" t="s">
        <v>8508</v>
      </c>
      <c r="K10881" s="2" t="s">
        <v>14538</v>
      </c>
      <c r="L10881" s="2">
        <f t="shared" si="169"/>
        <v>150</v>
      </c>
    </row>
    <row r="10882" spans="1:12" ht="25" customHeight="1">
      <c r="A10882" s="2" t="s">
        <v>12</v>
      </c>
      <c r="B10882" s="2" t="str">
        <f>HYPERLINK("http://bbs.12365auto.com/postcontent.aspx?tID=193498","直流充电桩和交流充电桩的区别是什么")</f>
        <v>直流充电桩和交流充电桩的区别是什么</v>
      </c>
      <c r="C10882" s="2" t="s">
        <v>13</v>
      </c>
      <c r="D10882" s="2" t="s">
        <v>12</v>
      </c>
      <c r="E10882" s="2" t="s">
        <v>28</v>
      </c>
      <c r="F10882" s="2" t="str">
        <f>HYPERLINK("http://bbs.12365auto.com/postcontent.aspx?tID=193498","http://bbs.12365auto.com/postcontent.aspx?tID=193498")</f>
        <v>http://bbs.12365auto.com/postcontent.aspx?tID=193498</v>
      </c>
      <c r="G10882" s="2"/>
      <c r="H10882" s="2" t="s">
        <v>14539</v>
      </c>
      <c r="I10882" s="2" t="s">
        <v>15</v>
      </c>
      <c r="J10882" s="2" t="s">
        <v>8508</v>
      </c>
      <c r="K10882" s="2" t="s">
        <v>14538</v>
      </c>
      <c r="L10882" s="2">
        <f t="shared" si="169"/>
        <v>150</v>
      </c>
    </row>
    <row r="10883" spans="1:12" ht="25" customHeight="1">
      <c r="A10883" s="2" t="s">
        <v>12</v>
      </c>
      <c r="B10883" s="2" t="str">
        <f>HYPERLINK("http://bbs.12365auto.com/postcontent.aspx?tId=193499","高速上电动车趴窝了怎么办")</f>
        <v>高速上电动车趴窝了怎么办</v>
      </c>
      <c r="C10883" s="2" t="s">
        <v>13</v>
      </c>
      <c r="D10883" s="2" t="s">
        <v>12</v>
      </c>
      <c r="E10883" s="2" t="s">
        <v>27</v>
      </c>
      <c r="F10883" s="2" t="str">
        <f>HYPERLINK("http://bbs.12365auto.com/postcontent.aspx?tId=193499","http://bbs.12365auto.com/postcontent.aspx?tId=193499")</f>
        <v>http://bbs.12365auto.com/postcontent.aspx?tId=193499</v>
      </c>
      <c r="G10883" s="2"/>
      <c r="H10883" s="2" t="s">
        <v>14540</v>
      </c>
      <c r="I10883" s="2" t="s">
        <v>15</v>
      </c>
      <c r="J10883" s="2" t="s">
        <v>8508</v>
      </c>
      <c r="K10883" s="2" t="s">
        <v>14538</v>
      </c>
      <c r="L10883" s="2">
        <f t="shared" ref="L10883:L10946" si="170">LEN(H10883)</f>
        <v>150</v>
      </c>
    </row>
    <row r="10884" spans="1:12" ht="25" customHeight="1">
      <c r="A10884" s="2" t="s">
        <v>12</v>
      </c>
      <c r="B10884" s="2" t="str">
        <f>HYPERLINK("http://bbs.12365auto.com/postcontent.aspx?tId=193498","直流充电桩和交流充电桩的区别是什么")</f>
        <v>直流充电桩和交流充电桩的区别是什么</v>
      </c>
      <c r="C10884" s="2" t="s">
        <v>13</v>
      </c>
      <c r="D10884" s="2" t="s">
        <v>12</v>
      </c>
      <c r="E10884" s="2" t="s">
        <v>27</v>
      </c>
      <c r="F10884" s="2" t="str">
        <f>HYPERLINK("http://bbs.12365auto.com/postcontent.aspx?tId=193498","http://bbs.12365auto.com/postcontent.aspx?tId=193498")</f>
        <v>http://bbs.12365auto.com/postcontent.aspx?tId=193498</v>
      </c>
      <c r="G10884" s="2"/>
      <c r="H10884" s="2" t="s">
        <v>14541</v>
      </c>
      <c r="I10884" s="2" t="s">
        <v>15</v>
      </c>
      <c r="J10884" s="2" t="s">
        <v>8508</v>
      </c>
      <c r="K10884" s="2" t="s">
        <v>14538</v>
      </c>
      <c r="L10884" s="2">
        <f t="shared" si="170"/>
        <v>150</v>
      </c>
    </row>
    <row r="10885" spans="1:12" ht="25" customHeight="1">
      <c r="A10885" s="2" t="s">
        <v>12</v>
      </c>
      <c r="B10885" s="2" t="str">
        <f>HYPERLINK("http://m.12365auto.com/bbs/postcontent.aspx?tID=193498","直流充电桩和交流充电桩的区别是什么")</f>
        <v>直流充电桩和交流充电桩的区别是什么</v>
      </c>
      <c r="C10885" s="2" t="s">
        <v>13</v>
      </c>
      <c r="D10885" s="2" t="s">
        <v>23</v>
      </c>
      <c r="E10885" s="2"/>
      <c r="F10885" s="2" t="str">
        <f>HYPERLINK("http://m.12365auto.com/bbs/postcontent.aspx?tID=193498","http://m.12365auto.com/bbs/postcontent.aspx?tID=193498")</f>
        <v>http://m.12365auto.com/bbs/postcontent.aspx?tID=193498</v>
      </c>
      <c r="G10885" s="2"/>
      <c r="H10885" s="2" t="s">
        <v>14541</v>
      </c>
      <c r="I10885" s="2" t="s">
        <v>15</v>
      </c>
      <c r="J10885" s="2" t="s">
        <v>8508</v>
      </c>
      <c r="K10885" s="2" t="s">
        <v>14538</v>
      </c>
      <c r="L10885" s="2">
        <f t="shared" si="170"/>
        <v>150</v>
      </c>
    </row>
    <row r="10886" spans="1:12" ht="25" customHeight="1">
      <c r="A10886" s="2" t="s">
        <v>12</v>
      </c>
      <c r="B10886" s="2" t="str">
        <f>HYPERLINK("http://m.12365auto.com/bbs/postcontent.aspx?tID=193499","高速上电动车趴窝了怎么办")</f>
        <v>高速上电动车趴窝了怎么办</v>
      </c>
      <c r="C10886" s="2" t="s">
        <v>13</v>
      </c>
      <c r="D10886" s="2" t="s">
        <v>23</v>
      </c>
      <c r="E10886" s="2"/>
      <c r="F10886" s="2" t="str">
        <f>HYPERLINK("http://m.12365auto.com/bbs/postcontent.aspx?tID=193499","http://m.12365auto.com/bbs/postcontent.aspx?tID=193499")</f>
        <v>http://m.12365auto.com/bbs/postcontent.aspx?tID=193499</v>
      </c>
      <c r="G10886" s="2"/>
      <c r="H10886" s="2" t="s">
        <v>14540</v>
      </c>
      <c r="I10886" s="2" t="s">
        <v>15</v>
      </c>
      <c r="J10886" s="2" t="s">
        <v>8508</v>
      </c>
      <c r="K10886" s="2" t="s">
        <v>14538</v>
      </c>
      <c r="L10886" s="2">
        <f t="shared" si="170"/>
        <v>150</v>
      </c>
    </row>
    <row r="10887" spans="1:12" ht="25" customHeight="1">
      <c r="A10887" s="2" t="s">
        <v>12</v>
      </c>
      <c r="B10887" s="2" t="str">
        <f>HYPERLINK("http://bbs.12365auto.com/postcontent.aspx?tId=193497","汽车高科技VS传统后视镜 后视镜真要消失了吗")</f>
        <v>汽车高科技VS传统后视镜 后视镜真要消失了吗</v>
      </c>
      <c r="C10887" s="2" t="s">
        <v>13</v>
      </c>
      <c r="D10887" s="2" t="s">
        <v>12</v>
      </c>
      <c r="E10887" s="2" t="s">
        <v>27</v>
      </c>
      <c r="F10887" s="2" t="str">
        <f>HYPERLINK("http://bbs.12365auto.com/postcontent.aspx?tId=193497","http://bbs.12365auto.com/postcontent.aspx?tId=193497")</f>
        <v>http://bbs.12365auto.com/postcontent.aspx?tId=193497</v>
      </c>
      <c r="G10887" s="2"/>
      <c r="H10887" s="2" t="s">
        <v>14542</v>
      </c>
      <c r="I10887" s="2" t="s">
        <v>15</v>
      </c>
      <c r="J10887" s="2" t="s">
        <v>8508</v>
      </c>
      <c r="K10887" s="2" t="s">
        <v>14543</v>
      </c>
      <c r="L10887" s="2">
        <f t="shared" si="170"/>
        <v>150</v>
      </c>
    </row>
    <row r="10888" spans="1:12" ht="25" customHeight="1">
      <c r="A10888" s="2" t="s">
        <v>12</v>
      </c>
      <c r="B10888" s="2" t="str">
        <f>HYPERLINK("http://m.12365auto.com/bbs/postcontent.aspx?tID=193497","汽车高科技VS传统后视镜 后视镜真要消失了吗")</f>
        <v>汽车高科技VS传统后视镜 后视镜真要消失了吗</v>
      </c>
      <c r="C10888" s="2" t="s">
        <v>13</v>
      </c>
      <c r="D10888" s="2" t="s">
        <v>23</v>
      </c>
      <c r="E10888" s="2"/>
      <c r="F10888" s="2" t="str">
        <f>HYPERLINK("http://m.12365auto.com/bbs/postcontent.aspx?tID=193497","http://m.12365auto.com/bbs/postcontent.aspx?tID=193497")</f>
        <v>http://m.12365auto.com/bbs/postcontent.aspx?tID=193497</v>
      </c>
      <c r="G10888" s="2"/>
      <c r="H10888" s="2" t="s">
        <v>14542</v>
      </c>
      <c r="I10888" s="2" t="s">
        <v>15</v>
      </c>
      <c r="J10888" s="2" t="s">
        <v>8508</v>
      </c>
      <c r="K10888" s="2" t="s">
        <v>14543</v>
      </c>
      <c r="L10888" s="2">
        <f t="shared" si="170"/>
        <v>150</v>
      </c>
    </row>
    <row r="10889" spans="1:12" ht="25" customHeight="1">
      <c r="A10889" s="2" t="s">
        <v>12</v>
      </c>
      <c r="B10889" s="2" t="str">
        <f>HYPERLINK("http://bbs.12365auto.com/postcontent.aspx?tID=193497","汽车高科技VS传统后视镜 后视镜真要消失了吗")</f>
        <v>汽车高科技VS传统后视镜 后视镜真要消失了吗</v>
      </c>
      <c r="C10889" s="2" t="s">
        <v>13</v>
      </c>
      <c r="D10889" s="2" t="s">
        <v>12</v>
      </c>
      <c r="E10889" s="2" t="s">
        <v>28</v>
      </c>
      <c r="F10889" s="2" t="str">
        <f>HYPERLINK("http://bbs.12365auto.com/postcontent.aspx?tID=193497","http://bbs.12365auto.com/postcontent.aspx?tID=193497")</f>
        <v>http://bbs.12365auto.com/postcontent.aspx?tID=193497</v>
      </c>
      <c r="G10889" s="2"/>
      <c r="H10889" s="2" t="s">
        <v>14544</v>
      </c>
      <c r="I10889" s="2" t="s">
        <v>15</v>
      </c>
      <c r="J10889" s="2" t="s">
        <v>8508</v>
      </c>
      <c r="K10889" s="2" t="s">
        <v>14543</v>
      </c>
      <c r="L10889" s="2">
        <f t="shared" si="170"/>
        <v>150</v>
      </c>
    </row>
    <row r="10890" spans="1:12" ht="25" customHeight="1">
      <c r="A10890" s="2" t="s">
        <v>12</v>
      </c>
      <c r="B10890" s="2" t="str">
        <f>HYPERLINK("http://bbs.12365auto.com/postcontent.aspx?tID=193496","卤素灯被称为“蜡烛灯” 为啥不换成氙气或LED大灯")</f>
        <v>卤素灯被称为“蜡烛灯” 为啥不换成氙气或LED大灯</v>
      </c>
      <c r="C10890" s="2" t="s">
        <v>13</v>
      </c>
      <c r="D10890" s="2" t="s">
        <v>12</v>
      </c>
      <c r="E10890" s="2" t="s">
        <v>28</v>
      </c>
      <c r="F10890" s="2" t="str">
        <f>HYPERLINK("http://bbs.12365auto.com/postcontent.aspx?tID=193496","http://bbs.12365auto.com/postcontent.aspx?tID=193496")</f>
        <v>http://bbs.12365auto.com/postcontent.aspx?tID=193496</v>
      </c>
      <c r="G10890" s="2"/>
      <c r="H10890" s="2" t="s">
        <v>14545</v>
      </c>
      <c r="I10890" s="2" t="s">
        <v>15</v>
      </c>
      <c r="J10890" s="2" t="s">
        <v>8508</v>
      </c>
      <c r="K10890" s="2" t="s">
        <v>14546</v>
      </c>
      <c r="L10890" s="2">
        <f t="shared" si="170"/>
        <v>150</v>
      </c>
    </row>
    <row r="10891" spans="1:12" ht="25" customHeight="1">
      <c r="A10891" s="2" t="s">
        <v>12</v>
      </c>
      <c r="B10891" s="2" t="str">
        <f>HYPERLINK("http://bbs.12365auto.com/postcontent.aspx?tId=193496","卤素灯被称为“蜡烛灯” 为啥不换成氙气或LED大灯")</f>
        <v>卤素灯被称为“蜡烛灯” 为啥不换成氙气或LED大灯</v>
      </c>
      <c r="C10891" s="2" t="s">
        <v>13</v>
      </c>
      <c r="D10891" s="2" t="s">
        <v>12</v>
      </c>
      <c r="E10891" s="2" t="s">
        <v>27</v>
      </c>
      <c r="F10891" s="2" t="str">
        <f>HYPERLINK("http://bbs.12365auto.com/postcontent.aspx?tId=193496","http://bbs.12365auto.com/postcontent.aspx?tId=193496")</f>
        <v>http://bbs.12365auto.com/postcontent.aspx?tId=193496</v>
      </c>
      <c r="G10891" s="2"/>
      <c r="H10891" s="2" t="s">
        <v>14547</v>
      </c>
      <c r="I10891" s="2" t="s">
        <v>15</v>
      </c>
      <c r="J10891" s="2" t="s">
        <v>8508</v>
      </c>
      <c r="K10891" s="2" t="s">
        <v>14546</v>
      </c>
      <c r="L10891" s="2">
        <f t="shared" si="170"/>
        <v>150</v>
      </c>
    </row>
    <row r="10892" spans="1:12" ht="25" customHeight="1">
      <c r="A10892" s="2" t="s">
        <v>12</v>
      </c>
      <c r="B10892" s="2" t="str">
        <f>HYPERLINK("http://m.12365auto.com/bbs/postcontent.aspx?tID=193496","卤素灯被称为“蜡烛灯” 为啥不换成氙气或LED大灯")</f>
        <v>卤素灯被称为“蜡烛灯” 为啥不换成氙气或LED大灯</v>
      </c>
      <c r="C10892" s="2" t="s">
        <v>13</v>
      </c>
      <c r="D10892" s="2" t="s">
        <v>23</v>
      </c>
      <c r="E10892" s="2"/>
      <c r="F10892" s="2" t="str">
        <f>HYPERLINK("http://m.12365auto.com/bbs/postcontent.aspx?tID=193496","http://m.12365auto.com/bbs/postcontent.aspx?tID=193496")</f>
        <v>http://m.12365auto.com/bbs/postcontent.aspx?tID=193496</v>
      </c>
      <c r="G10892" s="2"/>
      <c r="H10892" s="2" t="s">
        <v>14547</v>
      </c>
      <c r="I10892" s="2" t="s">
        <v>15</v>
      </c>
      <c r="J10892" s="2" t="s">
        <v>8508</v>
      </c>
      <c r="K10892" s="2" t="s">
        <v>14546</v>
      </c>
      <c r="L10892" s="2">
        <f t="shared" si="170"/>
        <v>150</v>
      </c>
    </row>
    <row r="10893" spans="1:12" ht="25" customHeight="1">
      <c r="A10893" s="2" t="s">
        <v>12</v>
      </c>
      <c r="B10893" s="2" t="str">
        <f>HYPERLINK("http://bbs.12365auto.com/postcontent.aspx?tID=193495","汽车刹车异响什么原因 该如何处理")</f>
        <v>汽车刹车异响什么原因 该如何处理</v>
      </c>
      <c r="C10893" s="2" t="s">
        <v>13</v>
      </c>
      <c r="D10893" s="2" t="s">
        <v>12</v>
      </c>
      <c r="E10893" s="2" t="s">
        <v>28</v>
      </c>
      <c r="F10893" s="2" t="str">
        <f>HYPERLINK("http://bbs.12365auto.com/postcontent.aspx?tID=193495","http://bbs.12365auto.com/postcontent.aspx?tID=193495")</f>
        <v>http://bbs.12365auto.com/postcontent.aspx?tID=193495</v>
      </c>
      <c r="G10893" s="2"/>
      <c r="H10893" s="2" t="s">
        <v>14548</v>
      </c>
      <c r="I10893" s="2" t="s">
        <v>15</v>
      </c>
      <c r="J10893" s="2" t="s">
        <v>8508</v>
      </c>
      <c r="K10893" s="2" t="s">
        <v>14549</v>
      </c>
      <c r="L10893" s="2">
        <f t="shared" si="170"/>
        <v>150</v>
      </c>
    </row>
    <row r="10894" spans="1:12" ht="25" customHeight="1">
      <c r="A10894" s="2" t="s">
        <v>12</v>
      </c>
      <c r="B10894" s="2" t="str">
        <f>HYPERLINK("http://bbs.12365auto.com/postcontent.aspx?tId=193495","汽车刹车异响什么原因 该如何处理")</f>
        <v>汽车刹车异响什么原因 该如何处理</v>
      </c>
      <c r="C10894" s="2" t="s">
        <v>13</v>
      </c>
      <c r="D10894" s="2" t="s">
        <v>12</v>
      </c>
      <c r="E10894" s="2" t="s">
        <v>27</v>
      </c>
      <c r="F10894" s="2" t="str">
        <f>HYPERLINK("http://bbs.12365auto.com/postcontent.aspx?tId=193495","http://bbs.12365auto.com/postcontent.aspx?tId=193495")</f>
        <v>http://bbs.12365auto.com/postcontent.aspx?tId=193495</v>
      </c>
      <c r="G10894" s="2"/>
      <c r="H10894" s="2" t="s">
        <v>14550</v>
      </c>
      <c r="I10894" s="2" t="s">
        <v>15</v>
      </c>
      <c r="J10894" s="2" t="s">
        <v>8508</v>
      </c>
      <c r="K10894" s="2" t="s">
        <v>14549</v>
      </c>
      <c r="L10894" s="2">
        <f t="shared" si="170"/>
        <v>150</v>
      </c>
    </row>
    <row r="10895" spans="1:12" ht="25" customHeight="1">
      <c r="A10895" s="2" t="s">
        <v>12</v>
      </c>
      <c r="B10895" s="2" t="str">
        <f>HYPERLINK("http://bbs.12365auto.com/postcontent.aspx?tId=193493","纯电动车的发动机舱能用水洗吗")</f>
        <v>纯电动车的发动机舱能用水洗吗</v>
      </c>
      <c r="C10895" s="2" t="s">
        <v>13</v>
      </c>
      <c r="D10895" s="2" t="s">
        <v>12</v>
      </c>
      <c r="E10895" s="2" t="s">
        <v>27</v>
      </c>
      <c r="F10895" s="2" t="str">
        <f>HYPERLINK("http://bbs.12365auto.com/postcontent.aspx?tId=193493","http://bbs.12365auto.com/postcontent.aspx?tId=193493")</f>
        <v>http://bbs.12365auto.com/postcontent.aspx?tId=193493</v>
      </c>
      <c r="G10895" s="2"/>
      <c r="H10895" s="2" t="s">
        <v>14551</v>
      </c>
      <c r="I10895" s="2" t="s">
        <v>15</v>
      </c>
      <c r="J10895" s="2" t="s">
        <v>8508</v>
      </c>
      <c r="K10895" s="2" t="s">
        <v>14549</v>
      </c>
      <c r="L10895" s="2">
        <f t="shared" si="170"/>
        <v>150</v>
      </c>
    </row>
    <row r="10896" spans="1:12" ht="25" customHeight="1">
      <c r="A10896" s="2" t="s">
        <v>12</v>
      </c>
      <c r="B10896" s="2" t="str">
        <f>HYPERLINK("http://bbs.12365auto.com/postcontent.aspx?tId=193494","2020年我国新能源汽车还会有哪些政策")</f>
        <v>2020年我国新能源汽车还会有哪些政策</v>
      </c>
      <c r="C10896" s="2" t="s">
        <v>13</v>
      </c>
      <c r="D10896" s="2" t="s">
        <v>12</v>
      </c>
      <c r="E10896" s="2" t="s">
        <v>27</v>
      </c>
      <c r="F10896" s="2" t="str">
        <f>HYPERLINK("http://bbs.12365auto.com/postcontent.aspx?tId=193494","http://bbs.12365auto.com/postcontent.aspx?tId=193494")</f>
        <v>http://bbs.12365auto.com/postcontent.aspx?tId=193494</v>
      </c>
      <c r="G10896" s="2"/>
      <c r="H10896" s="2" t="s">
        <v>14552</v>
      </c>
      <c r="I10896" s="2" t="s">
        <v>15</v>
      </c>
      <c r="J10896" s="2" t="s">
        <v>8508</v>
      </c>
      <c r="K10896" s="2" t="s">
        <v>14549</v>
      </c>
      <c r="L10896" s="2">
        <f t="shared" si="170"/>
        <v>150</v>
      </c>
    </row>
    <row r="10897" spans="1:12" ht="25" customHeight="1">
      <c r="A10897" s="2" t="s">
        <v>12</v>
      </c>
      <c r="B10897" s="2" t="str">
        <f>HYPERLINK("http://bbs.12365auto.com/postcontent.aspx?tID=193493","纯电动车的发动机舱能用水洗吗")</f>
        <v>纯电动车的发动机舱能用水洗吗</v>
      </c>
      <c r="C10897" s="2" t="s">
        <v>13</v>
      </c>
      <c r="D10897" s="2" t="s">
        <v>12</v>
      </c>
      <c r="E10897" s="2" t="s">
        <v>28</v>
      </c>
      <c r="F10897" s="2" t="str">
        <f>HYPERLINK("http://bbs.12365auto.com/postcontent.aspx?tID=193493","http://bbs.12365auto.com/postcontent.aspx?tID=193493")</f>
        <v>http://bbs.12365auto.com/postcontent.aspx?tID=193493</v>
      </c>
      <c r="G10897" s="2"/>
      <c r="H10897" s="2" t="s">
        <v>14553</v>
      </c>
      <c r="I10897" s="2" t="s">
        <v>15</v>
      </c>
      <c r="J10897" s="2" t="s">
        <v>8508</v>
      </c>
      <c r="K10897" s="2" t="s">
        <v>14549</v>
      </c>
      <c r="L10897" s="2">
        <f t="shared" si="170"/>
        <v>150</v>
      </c>
    </row>
    <row r="10898" spans="1:12" ht="25" customHeight="1">
      <c r="A10898" s="2" t="s">
        <v>12</v>
      </c>
      <c r="B10898" s="2" t="str">
        <f>HYPERLINK("http://bbs.12365auto.com/postcontent.aspx?tID=193494","2020年我国新能源汽车还会有哪些政策")</f>
        <v>2020年我国新能源汽车还会有哪些政策</v>
      </c>
      <c r="C10898" s="2" t="s">
        <v>13</v>
      </c>
      <c r="D10898" s="2" t="s">
        <v>12</v>
      </c>
      <c r="E10898" s="2" t="s">
        <v>28</v>
      </c>
      <c r="F10898" s="2" t="str">
        <f>HYPERLINK("http://bbs.12365auto.com/postcontent.aspx?tID=193494","http://bbs.12365auto.com/postcontent.aspx?tID=193494")</f>
        <v>http://bbs.12365auto.com/postcontent.aspx?tID=193494</v>
      </c>
      <c r="G10898" s="2"/>
      <c r="H10898" s="2" t="s">
        <v>14554</v>
      </c>
      <c r="I10898" s="2" t="s">
        <v>15</v>
      </c>
      <c r="J10898" s="2" t="s">
        <v>8508</v>
      </c>
      <c r="K10898" s="2" t="s">
        <v>14549</v>
      </c>
      <c r="L10898" s="2">
        <f t="shared" si="170"/>
        <v>150</v>
      </c>
    </row>
    <row r="10899" spans="1:12" ht="25" customHeight="1">
      <c r="A10899" s="2" t="s">
        <v>12</v>
      </c>
      <c r="B10899" s="2" t="str">
        <f>HYPERLINK("http://m.12365auto.com/bbs/postcontent.aspx?tID=193495","汽车刹车异响什么原因 该如何处理")</f>
        <v>汽车刹车异响什么原因 该如何处理</v>
      </c>
      <c r="C10899" s="2" t="s">
        <v>13</v>
      </c>
      <c r="D10899" s="2" t="s">
        <v>23</v>
      </c>
      <c r="E10899" s="2"/>
      <c r="F10899" s="2" t="str">
        <f>HYPERLINK("http://m.12365auto.com/bbs/postcontent.aspx?tID=193495","http://m.12365auto.com/bbs/postcontent.aspx?tID=193495")</f>
        <v>http://m.12365auto.com/bbs/postcontent.aspx?tID=193495</v>
      </c>
      <c r="G10899" s="2"/>
      <c r="H10899" s="2" t="s">
        <v>14550</v>
      </c>
      <c r="I10899" s="2" t="s">
        <v>15</v>
      </c>
      <c r="J10899" s="2" t="s">
        <v>8508</v>
      </c>
      <c r="K10899" s="2" t="s">
        <v>14549</v>
      </c>
      <c r="L10899" s="2">
        <f t="shared" si="170"/>
        <v>150</v>
      </c>
    </row>
    <row r="10900" spans="1:12" ht="25" customHeight="1">
      <c r="A10900" s="2" t="s">
        <v>12</v>
      </c>
      <c r="B10900" s="2" t="str">
        <f>HYPERLINK("http://m.12365auto.com/bbs/postcontent.aspx?tID=193494","2020年我国新能源汽车还会有哪些政策")</f>
        <v>2020年我国新能源汽车还会有哪些政策</v>
      </c>
      <c r="C10900" s="2" t="s">
        <v>13</v>
      </c>
      <c r="D10900" s="2" t="s">
        <v>23</v>
      </c>
      <c r="E10900" s="2"/>
      <c r="F10900" s="2" t="str">
        <f>HYPERLINK("http://m.12365auto.com/bbs/postcontent.aspx?tID=193494","http://m.12365auto.com/bbs/postcontent.aspx?tID=193494")</f>
        <v>http://m.12365auto.com/bbs/postcontent.aspx?tID=193494</v>
      </c>
      <c r="G10900" s="2"/>
      <c r="H10900" s="2" t="s">
        <v>14552</v>
      </c>
      <c r="I10900" s="2" t="s">
        <v>15</v>
      </c>
      <c r="J10900" s="2" t="s">
        <v>8508</v>
      </c>
      <c r="K10900" s="2" t="s">
        <v>14549</v>
      </c>
      <c r="L10900" s="2">
        <f t="shared" si="170"/>
        <v>150</v>
      </c>
    </row>
    <row r="10901" spans="1:12" ht="25" customHeight="1">
      <c r="A10901" s="2" t="s">
        <v>12</v>
      </c>
      <c r="B10901" s="2" t="str">
        <f>HYPERLINK("http://m.12365auto.com/bbs/postcontent.aspx?tID=193493","纯电动车的发动机舱能用水洗吗")</f>
        <v>纯电动车的发动机舱能用水洗吗</v>
      </c>
      <c r="C10901" s="2" t="s">
        <v>13</v>
      </c>
      <c r="D10901" s="2" t="s">
        <v>23</v>
      </c>
      <c r="E10901" s="2"/>
      <c r="F10901" s="2" t="str">
        <f>HYPERLINK("http://m.12365auto.com/bbs/postcontent.aspx?tID=193493","http://m.12365auto.com/bbs/postcontent.aspx?tID=193493")</f>
        <v>http://m.12365auto.com/bbs/postcontent.aspx?tID=193493</v>
      </c>
      <c r="G10901" s="2"/>
      <c r="H10901" s="2" t="s">
        <v>14551</v>
      </c>
      <c r="I10901" s="2" t="s">
        <v>15</v>
      </c>
      <c r="J10901" s="2" t="s">
        <v>8508</v>
      </c>
      <c r="K10901" s="2" t="s">
        <v>14549</v>
      </c>
      <c r="L10901" s="2">
        <f t="shared" si="170"/>
        <v>150</v>
      </c>
    </row>
    <row r="10902" spans="1:12" ht="25" customHeight="1">
      <c r="A10902" s="2" t="s">
        <v>12</v>
      </c>
      <c r="B10902" s="2" t="str">
        <f>HYPERLINK("http://bbs.12365auto.com/postcontent.aspx?tId=193492","新冠状性肺炎疫情期间 开私家车注意事项")</f>
        <v>新冠状性肺炎疫情期间 开私家车注意事项</v>
      </c>
      <c r="C10902" s="2" t="s">
        <v>13</v>
      </c>
      <c r="D10902" s="2" t="s">
        <v>12</v>
      </c>
      <c r="E10902" s="2" t="s">
        <v>27</v>
      </c>
      <c r="F10902" s="2" t="str">
        <f>HYPERLINK("http://bbs.12365auto.com/postcontent.aspx?tId=193492","http://bbs.12365auto.com/postcontent.aspx?tId=193492")</f>
        <v>http://bbs.12365auto.com/postcontent.aspx?tId=193492</v>
      </c>
      <c r="G10902" s="2"/>
      <c r="H10902" s="2" t="s">
        <v>14555</v>
      </c>
      <c r="I10902" s="2" t="s">
        <v>15</v>
      </c>
      <c r="J10902" s="2" t="s">
        <v>8508</v>
      </c>
      <c r="K10902" s="2" t="s">
        <v>14556</v>
      </c>
      <c r="L10902" s="2">
        <f t="shared" si="170"/>
        <v>150</v>
      </c>
    </row>
    <row r="10903" spans="1:12" ht="25" customHeight="1">
      <c r="A10903" s="2" t="s">
        <v>12</v>
      </c>
      <c r="B10903" s="2" t="str">
        <f>HYPERLINK("http://bbs.12365auto.com/postcontent.aspx?tID=193492","新冠状性肺炎疫情期间 开私家车注意事项")</f>
        <v>新冠状性肺炎疫情期间 开私家车注意事项</v>
      </c>
      <c r="C10903" s="2" t="s">
        <v>13</v>
      </c>
      <c r="D10903" s="2" t="s">
        <v>12</v>
      </c>
      <c r="E10903" s="2" t="s">
        <v>28</v>
      </c>
      <c r="F10903" s="2" t="str">
        <f>HYPERLINK("http://bbs.12365auto.com/postcontent.aspx?tID=193492","http://bbs.12365auto.com/postcontent.aspx?tID=193492")</f>
        <v>http://bbs.12365auto.com/postcontent.aspx?tID=193492</v>
      </c>
      <c r="G10903" s="2"/>
      <c r="H10903" s="2" t="s">
        <v>14557</v>
      </c>
      <c r="I10903" s="2" t="s">
        <v>15</v>
      </c>
      <c r="J10903" s="2" t="s">
        <v>8508</v>
      </c>
      <c r="K10903" s="2" t="s">
        <v>14556</v>
      </c>
      <c r="L10903" s="2">
        <f t="shared" si="170"/>
        <v>150</v>
      </c>
    </row>
    <row r="10904" spans="1:12" ht="25" customHeight="1">
      <c r="A10904" s="2" t="s">
        <v>12</v>
      </c>
      <c r="B10904" s="2" t="str">
        <f>HYPERLINK("http://m.12365auto.com/bbs/postcontent.aspx?tID=193492","新冠状性肺炎疫情期间 开私家车注意事项")</f>
        <v>新冠状性肺炎疫情期间 开私家车注意事项</v>
      </c>
      <c r="C10904" s="2" t="s">
        <v>13</v>
      </c>
      <c r="D10904" s="2" t="s">
        <v>23</v>
      </c>
      <c r="E10904" s="2"/>
      <c r="F10904" s="2" t="str">
        <f>HYPERLINK("http://m.12365auto.com/bbs/postcontent.aspx?tID=193492","http://m.12365auto.com/bbs/postcontent.aspx?tID=193492")</f>
        <v>http://m.12365auto.com/bbs/postcontent.aspx?tID=193492</v>
      </c>
      <c r="G10904" s="2"/>
      <c r="H10904" s="2" t="s">
        <v>14555</v>
      </c>
      <c r="I10904" s="2" t="s">
        <v>15</v>
      </c>
      <c r="J10904" s="2" t="s">
        <v>8508</v>
      </c>
      <c r="K10904" s="2" t="s">
        <v>14556</v>
      </c>
      <c r="L10904" s="2">
        <f t="shared" si="170"/>
        <v>150</v>
      </c>
    </row>
    <row r="10905" spans="1:12" ht="25" customHeight="1">
      <c r="A10905" s="2" t="s">
        <v>12</v>
      </c>
      <c r="B10905" s="2" t="str">
        <f>HYPERLINK("http://www.12365auto.com/zlts/20200207/446544.shtml","广汽丰田凯美瑞右前半轴漏油希望厂家处理")</f>
        <v>广汽丰田凯美瑞右前半轴漏油希望厂家处理</v>
      </c>
      <c r="C10905" s="2" t="s">
        <v>13</v>
      </c>
      <c r="D10905" s="2" t="s">
        <v>12</v>
      </c>
      <c r="E10905" s="2" t="s">
        <v>17</v>
      </c>
      <c r="F10905" s="2" t="str">
        <f>HYPERLINK("http://www.12365auto.com/zlts/20200207/446544.shtml","http://www.12365auto.com/zlts/20200207/446544.shtml")</f>
        <v>http://www.12365auto.com/zlts/20200207/446544.shtml</v>
      </c>
      <c r="G10905" s="2"/>
      <c r="H10905" s="2" t="s">
        <v>14558</v>
      </c>
      <c r="I10905" s="2" t="s">
        <v>15</v>
      </c>
      <c r="J10905" s="2" t="s">
        <v>12</v>
      </c>
      <c r="K10905" s="2" t="s">
        <v>14559</v>
      </c>
      <c r="L10905" s="2">
        <f t="shared" si="170"/>
        <v>150</v>
      </c>
    </row>
    <row r="10906" spans="1:12" ht="25" customHeight="1">
      <c r="A10906" s="2" t="s">
        <v>12</v>
      </c>
      <c r="B10906" s="2" t="str">
        <f>HYPERLINK("http://m.12365auto.com/xcdg/20200207/417970.shtml","宾利全新飞驰开始交付 海外售16.83万英镑起")</f>
        <v>宾利全新飞驰开始交付 海外售16.83万英镑起</v>
      </c>
      <c r="C10906" s="2" t="s">
        <v>13</v>
      </c>
      <c r="D10906" s="2" t="s">
        <v>12</v>
      </c>
      <c r="E10906" s="2"/>
      <c r="F10906" s="2" t="str">
        <f>HYPERLINK("http://m.12365auto.com/xcdg/20200207/417970.shtml","http://m.12365auto.com/xcdg/20200207/417970.shtml")</f>
        <v>http://m.12365auto.com/xcdg/20200207/417970.shtml</v>
      </c>
      <c r="G10906" s="2"/>
      <c r="H10906" s="2" t="s">
        <v>14560</v>
      </c>
      <c r="I10906" s="2" t="s">
        <v>19</v>
      </c>
      <c r="J10906" s="2" t="s">
        <v>2660</v>
      </c>
      <c r="K10906" s="2" t="s">
        <v>14561</v>
      </c>
      <c r="L10906" s="2">
        <f t="shared" si="170"/>
        <v>150</v>
      </c>
    </row>
    <row r="10907" spans="1:12" ht="25" customHeight="1">
      <c r="A10907" s="2" t="s">
        <v>12</v>
      </c>
      <c r="B10907" s="2" t="str">
        <f>HYPERLINK("http://www.12365auto.com/xcdg/20200207/417970.shtml","宾利全新飞驰开始交付 海外售16.83万英镑起")</f>
        <v>宾利全新飞驰开始交付 海外售16.83万英镑起</v>
      </c>
      <c r="C10907" s="2" t="s">
        <v>13</v>
      </c>
      <c r="D10907" s="2" t="s">
        <v>12</v>
      </c>
      <c r="E10907" s="2" t="s">
        <v>245</v>
      </c>
      <c r="F10907" s="2" t="str">
        <f>HYPERLINK("http://www.12365auto.com/xcdg/20200207/417970.shtml","http://www.12365auto.com/xcdg/20200207/417970.shtml")</f>
        <v>http://www.12365auto.com/xcdg/20200207/417970.shtml</v>
      </c>
      <c r="G10907" s="2"/>
      <c r="H10907" s="2" t="s">
        <v>14562</v>
      </c>
      <c r="I10907" s="2" t="s">
        <v>19</v>
      </c>
      <c r="J10907" s="2" t="s">
        <v>12</v>
      </c>
      <c r="K10907" s="2" t="s">
        <v>14561</v>
      </c>
      <c r="L10907" s="2">
        <f t="shared" si="170"/>
        <v>150</v>
      </c>
    </row>
    <row r="10908" spans="1:12" ht="25" customHeight="1">
      <c r="A10908" s="2" t="s">
        <v>12</v>
      </c>
      <c r="B10908" s="2" t="str">
        <f>HYPERLINK("http://www.12365auto.com/xcdg/20200207/417969.shtml","向勒芒冠军车型致敬 2020款福特GT车型亮相")</f>
        <v>向勒芒冠军车型致敬 2020款福特GT车型亮相</v>
      </c>
      <c r="C10908" s="2" t="s">
        <v>13</v>
      </c>
      <c r="D10908" s="2" t="s">
        <v>12</v>
      </c>
      <c r="E10908" s="2" t="s">
        <v>245</v>
      </c>
      <c r="F10908" s="2" t="str">
        <f>HYPERLINK("http://www.12365auto.com/xcdg/20200207/417969.shtml","http://www.12365auto.com/xcdg/20200207/417969.shtml")</f>
        <v>http://www.12365auto.com/xcdg/20200207/417969.shtml</v>
      </c>
      <c r="G10908" s="2"/>
      <c r="H10908" s="2" t="s">
        <v>14563</v>
      </c>
      <c r="I10908" s="2" t="s">
        <v>19</v>
      </c>
      <c r="J10908" s="2" t="s">
        <v>12</v>
      </c>
      <c r="K10908" s="2" t="s">
        <v>14564</v>
      </c>
      <c r="L10908" s="2">
        <f t="shared" si="170"/>
        <v>150</v>
      </c>
    </row>
    <row r="10909" spans="1:12" ht="25" customHeight="1">
      <c r="A10909" s="2" t="s">
        <v>12</v>
      </c>
      <c r="B10909" s="2" t="str">
        <f>HYPERLINK("http://m.12365auto.com/xcdg/20200207/417969.shtml","向勒芒冠军车型致敬 2020款福特GT车型亮相")</f>
        <v>向勒芒冠军车型致敬 2020款福特GT车型亮相</v>
      </c>
      <c r="C10909" s="2" t="s">
        <v>13</v>
      </c>
      <c r="D10909" s="2" t="s">
        <v>12</v>
      </c>
      <c r="E10909" s="2"/>
      <c r="F10909" s="2" t="str">
        <f>HYPERLINK("http://m.12365auto.com/xcdg/20200207/417969.shtml","http://m.12365auto.com/xcdg/20200207/417969.shtml")</f>
        <v>http://m.12365auto.com/xcdg/20200207/417969.shtml</v>
      </c>
      <c r="G10909" s="2"/>
      <c r="H10909" s="2" t="s">
        <v>14565</v>
      </c>
      <c r="I10909" s="2" t="s">
        <v>19</v>
      </c>
      <c r="J10909" s="2" t="s">
        <v>9165</v>
      </c>
      <c r="K10909" s="2" t="s">
        <v>14564</v>
      </c>
      <c r="L10909" s="2">
        <f t="shared" si="170"/>
        <v>150</v>
      </c>
    </row>
    <row r="10910" spans="1:12" ht="25" customHeight="1">
      <c r="A10910" s="2" t="s">
        <v>12</v>
      </c>
      <c r="B10910" s="2" t="str">
        <f>HYPERLINK("http://bbs.12365auto.com/postcontent.aspx?tID=193491","“地板式”油门和“悬挂式”油门有什么区别")</f>
        <v>“地板式”油门和“悬挂式”油门有什么区别</v>
      </c>
      <c r="C10910" s="2" t="s">
        <v>13</v>
      </c>
      <c r="D10910" s="2" t="s">
        <v>12</v>
      </c>
      <c r="E10910" s="2" t="s">
        <v>28</v>
      </c>
      <c r="F10910" s="2" t="str">
        <f>HYPERLINK("http://bbs.12365auto.com/postcontent.aspx?tID=193491","http://bbs.12365auto.com/postcontent.aspx?tID=193491")</f>
        <v>http://bbs.12365auto.com/postcontent.aspx?tID=193491</v>
      </c>
      <c r="G10910" s="2"/>
      <c r="H10910" s="2" t="s">
        <v>14566</v>
      </c>
      <c r="I10910" s="2" t="s">
        <v>15</v>
      </c>
      <c r="J10910" s="2" t="s">
        <v>2966</v>
      </c>
      <c r="K10910" s="2" t="s">
        <v>14567</v>
      </c>
      <c r="L10910" s="2">
        <f t="shared" si="170"/>
        <v>150</v>
      </c>
    </row>
    <row r="10911" spans="1:12" ht="25" customHeight="1">
      <c r="A10911" s="2" t="s">
        <v>12</v>
      </c>
      <c r="B10911" s="2" t="str">
        <f>HYPERLINK("http://bbs.12365auto.com/postcontent.aspx?tId=193491","“地板式”油门和“悬挂式”油门有什么区别")</f>
        <v>“地板式”油门和“悬挂式”油门有什么区别</v>
      </c>
      <c r="C10911" s="2" t="s">
        <v>13</v>
      </c>
      <c r="D10911" s="2" t="s">
        <v>12</v>
      </c>
      <c r="E10911" s="2" t="s">
        <v>27</v>
      </c>
      <c r="F10911" s="2" t="str">
        <f>HYPERLINK("http://bbs.12365auto.com/postcontent.aspx?tId=193491","http://bbs.12365auto.com/postcontent.aspx?tId=193491")</f>
        <v>http://bbs.12365auto.com/postcontent.aspx?tId=193491</v>
      </c>
      <c r="G10911" s="2"/>
      <c r="H10911" s="2" t="s">
        <v>14568</v>
      </c>
      <c r="I10911" s="2" t="s">
        <v>15</v>
      </c>
      <c r="J10911" s="2" t="s">
        <v>2966</v>
      </c>
      <c r="K10911" s="2" t="s">
        <v>14567</v>
      </c>
      <c r="L10911" s="2">
        <f t="shared" si="170"/>
        <v>150</v>
      </c>
    </row>
    <row r="10912" spans="1:12" ht="25" customHeight="1">
      <c r="A10912" s="2" t="s">
        <v>12</v>
      </c>
      <c r="B10912" s="2" t="str">
        <f>HYPERLINK("http://m.12365auto.com/bbs/postcontent.aspx?tID=193491","“地板式”油门和“悬挂式”油门有什么区别")</f>
        <v>“地板式”油门和“悬挂式”油门有什么区别</v>
      </c>
      <c r="C10912" s="2" t="s">
        <v>13</v>
      </c>
      <c r="D10912" s="2" t="s">
        <v>23</v>
      </c>
      <c r="E10912" s="2"/>
      <c r="F10912" s="2" t="str">
        <f>HYPERLINK("http://m.12365auto.com/bbs/postcontent.aspx?tID=193491","http://m.12365auto.com/bbs/postcontent.aspx?tID=193491")</f>
        <v>http://m.12365auto.com/bbs/postcontent.aspx?tID=193491</v>
      </c>
      <c r="G10912" s="2"/>
      <c r="H10912" s="2" t="s">
        <v>14568</v>
      </c>
      <c r="I10912" s="2" t="s">
        <v>15</v>
      </c>
      <c r="J10912" s="2" t="s">
        <v>2966</v>
      </c>
      <c r="K10912" s="2" t="s">
        <v>14567</v>
      </c>
      <c r="L10912" s="2">
        <f t="shared" si="170"/>
        <v>150</v>
      </c>
    </row>
    <row r="10913" spans="1:12" ht="25" customHeight="1">
      <c r="A10913" s="2" t="s">
        <v>12</v>
      </c>
      <c r="B10913" s="2" t="str">
        <f>HYPERLINK("http://www.12365auto.com/zlts/20200207/446542.shtml","一汽马自达睿翼仪表台开裂存在质量问题")</f>
        <v>一汽马自达睿翼仪表台开裂存在质量问题</v>
      </c>
      <c r="C10913" s="2" t="s">
        <v>13</v>
      </c>
      <c r="D10913" s="2" t="s">
        <v>12</v>
      </c>
      <c r="E10913" s="2" t="s">
        <v>17</v>
      </c>
      <c r="F10913" s="2" t="str">
        <f>HYPERLINK("http://www.12365auto.com/zlts/20200207/446542.shtml","http://www.12365auto.com/zlts/20200207/446542.shtml")</f>
        <v>http://www.12365auto.com/zlts/20200207/446542.shtml</v>
      </c>
      <c r="G10913" s="2"/>
      <c r="H10913" s="2" t="s">
        <v>14569</v>
      </c>
      <c r="I10913" s="2" t="s">
        <v>19</v>
      </c>
      <c r="J10913" s="2" t="s">
        <v>12</v>
      </c>
      <c r="K10913" s="2" t="s">
        <v>14570</v>
      </c>
      <c r="L10913" s="2">
        <f t="shared" si="170"/>
        <v>150</v>
      </c>
    </row>
    <row r="10914" spans="1:12" ht="25" customHeight="1">
      <c r="A10914" s="2" t="s">
        <v>12</v>
      </c>
      <c r="B10914" s="2" t="str">
        <f>HYPERLINK("http://m.12365auto.com/xcdg/20200207/417968.shtml","宝马旗舰SUV推出2020款车型 增加两款车型")</f>
        <v>宝马旗舰SUV推出2020款车型 增加两款车型</v>
      </c>
      <c r="C10914" s="2" t="s">
        <v>13</v>
      </c>
      <c r="D10914" s="2" t="s">
        <v>12</v>
      </c>
      <c r="E10914" s="2"/>
      <c r="F10914" s="2" t="str">
        <f>HYPERLINK("http://m.12365auto.com/xcdg/20200207/417968.shtml","http://m.12365auto.com/xcdg/20200207/417968.shtml")</f>
        <v>http://m.12365auto.com/xcdg/20200207/417968.shtml</v>
      </c>
      <c r="G10914" s="2"/>
      <c r="H10914" s="2" t="s">
        <v>14571</v>
      </c>
      <c r="I10914" s="2" t="s">
        <v>19</v>
      </c>
      <c r="J10914" s="2" t="s">
        <v>1105</v>
      </c>
      <c r="K10914" s="2" t="s">
        <v>14570</v>
      </c>
      <c r="L10914" s="2">
        <f t="shared" si="170"/>
        <v>150</v>
      </c>
    </row>
    <row r="10915" spans="1:12" ht="25" customHeight="1">
      <c r="A10915" s="2" t="s">
        <v>12</v>
      </c>
      <c r="B10915" s="2" t="str">
        <f>HYPERLINK("http://www.12365auto.com/xcdg/20200207/417968.shtml","宝马旗舰SUV推出2020款车型 增加两款车型")</f>
        <v>宝马旗舰SUV推出2020款车型 增加两款车型</v>
      </c>
      <c r="C10915" s="2" t="s">
        <v>13</v>
      </c>
      <c r="D10915" s="2" t="s">
        <v>12</v>
      </c>
      <c r="E10915" s="2" t="s">
        <v>216</v>
      </c>
      <c r="F10915" s="2" t="str">
        <f>HYPERLINK("http://www.12365auto.com/xcdg/20200207/417968.shtml","http://www.12365auto.com/xcdg/20200207/417968.shtml")</f>
        <v>http://www.12365auto.com/xcdg/20200207/417968.shtml</v>
      </c>
      <c r="G10915" s="2"/>
      <c r="H10915" s="2" t="s">
        <v>14572</v>
      </c>
      <c r="I10915" s="2" t="s">
        <v>15</v>
      </c>
      <c r="J10915" s="2" t="s">
        <v>12</v>
      </c>
      <c r="K10915" s="2" t="s">
        <v>14570</v>
      </c>
      <c r="L10915" s="2">
        <f t="shared" si="170"/>
        <v>150</v>
      </c>
    </row>
    <row r="10916" spans="1:12" ht="25" customHeight="1">
      <c r="A10916" s="2" t="s">
        <v>12</v>
      </c>
      <c r="B10916" s="2" t="str">
        <f>HYPERLINK("http://bbs.12365auto.com/postcontent.aspx?tID=193490","后视镜和倒车影像 倒车时到底看哪个")</f>
        <v>后视镜和倒车影像 倒车时到底看哪个</v>
      </c>
      <c r="C10916" s="2" t="s">
        <v>13</v>
      </c>
      <c r="D10916" s="2" t="s">
        <v>12</v>
      </c>
      <c r="E10916" s="2" t="s">
        <v>28</v>
      </c>
      <c r="F10916" s="2" t="str">
        <f>HYPERLINK("http://bbs.12365auto.com/postcontent.aspx?tID=193490","http://bbs.12365auto.com/postcontent.aspx?tID=193490")</f>
        <v>http://bbs.12365auto.com/postcontent.aspx?tID=193490</v>
      </c>
      <c r="G10916" s="2"/>
      <c r="H10916" s="2" t="s">
        <v>14573</v>
      </c>
      <c r="I10916" s="2" t="s">
        <v>15</v>
      </c>
      <c r="J10916" s="2" t="s">
        <v>2966</v>
      </c>
      <c r="K10916" s="2" t="s">
        <v>14574</v>
      </c>
      <c r="L10916" s="2">
        <f t="shared" si="170"/>
        <v>150</v>
      </c>
    </row>
    <row r="10917" spans="1:12" ht="25" customHeight="1">
      <c r="A10917" s="2" t="s">
        <v>12</v>
      </c>
      <c r="B10917" s="2" t="str">
        <f>HYPERLINK("http://bbs.12365auto.com/postcontent.aspx?tID=193489","不要把驾驶证和行驶证放在车上")</f>
        <v>不要把驾驶证和行驶证放在车上</v>
      </c>
      <c r="C10917" s="2" t="s">
        <v>13</v>
      </c>
      <c r="D10917" s="2" t="s">
        <v>12</v>
      </c>
      <c r="E10917" s="2" t="s">
        <v>28</v>
      </c>
      <c r="F10917" s="2" t="str">
        <f>HYPERLINK("http://bbs.12365auto.com/postcontent.aspx?tID=193489","http://bbs.12365auto.com/postcontent.aspx?tID=193489")</f>
        <v>http://bbs.12365auto.com/postcontent.aspx?tID=193489</v>
      </c>
      <c r="G10917" s="2"/>
      <c r="H10917" s="2" t="s">
        <v>14575</v>
      </c>
      <c r="I10917" s="2" t="s">
        <v>15</v>
      </c>
      <c r="J10917" s="2" t="s">
        <v>2966</v>
      </c>
      <c r="K10917" s="2" t="s">
        <v>14574</v>
      </c>
      <c r="L10917" s="2">
        <f t="shared" si="170"/>
        <v>150</v>
      </c>
    </row>
    <row r="10918" spans="1:12" ht="25" customHeight="1">
      <c r="A10918" s="2" t="s">
        <v>12</v>
      </c>
      <c r="B10918" s="2" t="str">
        <f>HYPERLINK("http://bbs.12365auto.com/postcontent.aspx?tId=193489","不要把驾驶证和行驶证放在车上")</f>
        <v>不要把驾驶证和行驶证放在车上</v>
      </c>
      <c r="C10918" s="2" t="s">
        <v>13</v>
      </c>
      <c r="D10918" s="2" t="s">
        <v>12</v>
      </c>
      <c r="E10918" s="2" t="s">
        <v>27</v>
      </c>
      <c r="F10918" s="2" t="str">
        <f>HYPERLINK("http://bbs.12365auto.com/postcontent.aspx?tId=193489","http://bbs.12365auto.com/postcontent.aspx?tId=193489")</f>
        <v>http://bbs.12365auto.com/postcontent.aspx?tId=193489</v>
      </c>
      <c r="G10918" s="2"/>
      <c r="H10918" s="2" t="s">
        <v>14576</v>
      </c>
      <c r="I10918" s="2" t="s">
        <v>15</v>
      </c>
      <c r="J10918" s="2" t="s">
        <v>2966</v>
      </c>
      <c r="K10918" s="2" t="s">
        <v>14574</v>
      </c>
      <c r="L10918" s="2">
        <f t="shared" si="170"/>
        <v>150</v>
      </c>
    </row>
    <row r="10919" spans="1:12" ht="25" customHeight="1">
      <c r="A10919" s="2" t="s">
        <v>12</v>
      </c>
      <c r="B10919" s="2" t="str">
        <f>HYPERLINK("http://bbs.12365auto.com/postcontent.aspx?tId=193490","后视镜和倒车影像 倒车时到底看哪个")</f>
        <v>后视镜和倒车影像 倒车时到底看哪个</v>
      </c>
      <c r="C10919" s="2" t="s">
        <v>13</v>
      </c>
      <c r="D10919" s="2" t="s">
        <v>12</v>
      </c>
      <c r="E10919" s="2" t="s">
        <v>27</v>
      </c>
      <c r="F10919" s="2" t="str">
        <f>HYPERLINK("http://bbs.12365auto.com/postcontent.aspx?tId=193490","http://bbs.12365auto.com/postcontent.aspx?tId=193490")</f>
        <v>http://bbs.12365auto.com/postcontent.aspx?tId=193490</v>
      </c>
      <c r="G10919" s="2"/>
      <c r="H10919" s="2" t="s">
        <v>14577</v>
      </c>
      <c r="I10919" s="2" t="s">
        <v>15</v>
      </c>
      <c r="J10919" s="2" t="s">
        <v>2966</v>
      </c>
      <c r="K10919" s="2" t="s">
        <v>14574</v>
      </c>
      <c r="L10919" s="2">
        <f t="shared" si="170"/>
        <v>150</v>
      </c>
    </row>
    <row r="10920" spans="1:12" ht="25" customHeight="1">
      <c r="A10920" s="2" t="s">
        <v>12</v>
      </c>
      <c r="B10920" s="2" t="str">
        <f>HYPERLINK("http://m.12365auto.com/bbs/postcontent.aspx?tID=193489","不要把驾驶证和行驶证放在车上")</f>
        <v>不要把驾驶证和行驶证放在车上</v>
      </c>
      <c r="C10920" s="2" t="s">
        <v>13</v>
      </c>
      <c r="D10920" s="2" t="s">
        <v>23</v>
      </c>
      <c r="E10920" s="2"/>
      <c r="F10920" s="2" t="str">
        <f>HYPERLINK("http://m.12365auto.com/bbs/postcontent.aspx?tID=193489","http://m.12365auto.com/bbs/postcontent.aspx?tID=193489")</f>
        <v>http://m.12365auto.com/bbs/postcontent.aspx?tID=193489</v>
      </c>
      <c r="G10920" s="2"/>
      <c r="H10920" s="2" t="s">
        <v>14576</v>
      </c>
      <c r="I10920" s="2" t="s">
        <v>15</v>
      </c>
      <c r="J10920" s="2" t="s">
        <v>2966</v>
      </c>
      <c r="K10920" s="2" t="s">
        <v>14574</v>
      </c>
      <c r="L10920" s="2">
        <f t="shared" si="170"/>
        <v>150</v>
      </c>
    </row>
    <row r="10921" spans="1:12" ht="25" customHeight="1">
      <c r="A10921" s="2" t="s">
        <v>12</v>
      </c>
      <c r="B10921" s="2" t="str">
        <f>HYPERLINK("http://m.12365auto.com/bbs/postcontent.aspx?tID=193490","后视镜和倒车影像 倒车时到底看哪个")</f>
        <v>后视镜和倒车影像 倒车时到底看哪个</v>
      </c>
      <c r="C10921" s="2" t="s">
        <v>13</v>
      </c>
      <c r="D10921" s="2" t="s">
        <v>23</v>
      </c>
      <c r="E10921" s="2"/>
      <c r="F10921" s="2" t="str">
        <f>HYPERLINK("http://m.12365auto.com/bbs/postcontent.aspx?tID=193490","http://m.12365auto.com/bbs/postcontent.aspx?tID=193490")</f>
        <v>http://m.12365auto.com/bbs/postcontent.aspx?tID=193490</v>
      </c>
      <c r="G10921" s="2"/>
      <c r="H10921" s="2" t="s">
        <v>14577</v>
      </c>
      <c r="I10921" s="2" t="s">
        <v>15</v>
      </c>
      <c r="J10921" s="2" t="s">
        <v>2966</v>
      </c>
      <c r="K10921" s="2" t="s">
        <v>14574</v>
      </c>
      <c r="L10921" s="2">
        <f t="shared" si="170"/>
        <v>150</v>
      </c>
    </row>
    <row r="10922" spans="1:12" ht="25" customHeight="1">
      <c r="A10922" s="2" t="s">
        <v>12</v>
      </c>
      <c r="B10922" s="2" t="str">
        <f>HYPERLINK("http://bbs.12365auto.com/postcontent.aspx?tID=193488","高速公路上为什么连个路灯都没有")</f>
        <v>高速公路上为什么连个路灯都没有</v>
      </c>
      <c r="C10922" s="2" t="s">
        <v>13</v>
      </c>
      <c r="D10922" s="2" t="s">
        <v>12</v>
      </c>
      <c r="E10922" s="2" t="s">
        <v>28</v>
      </c>
      <c r="F10922" s="2" t="str">
        <f>HYPERLINK("http://bbs.12365auto.com/postcontent.aspx?tID=193488","http://bbs.12365auto.com/postcontent.aspx?tID=193488")</f>
        <v>http://bbs.12365auto.com/postcontent.aspx?tID=193488</v>
      </c>
      <c r="G10922" s="2"/>
      <c r="H10922" s="2" t="s">
        <v>14578</v>
      </c>
      <c r="I10922" s="2" t="s">
        <v>15</v>
      </c>
      <c r="J10922" s="2" t="s">
        <v>2966</v>
      </c>
      <c r="K10922" s="2" t="s">
        <v>14579</v>
      </c>
      <c r="L10922" s="2">
        <f t="shared" si="170"/>
        <v>150</v>
      </c>
    </row>
    <row r="10923" spans="1:12" ht="25" customHeight="1">
      <c r="A10923" s="2" t="s">
        <v>12</v>
      </c>
      <c r="B10923" s="2" t="str">
        <f>HYPERLINK("http://bbs.12365auto.com/postcontent.aspx?tID=193487","小心被这种道路线坑了")</f>
        <v>小心被这种道路线坑了</v>
      </c>
      <c r="C10923" s="2" t="s">
        <v>13</v>
      </c>
      <c r="D10923" s="2" t="s">
        <v>12</v>
      </c>
      <c r="E10923" s="2" t="s">
        <v>28</v>
      </c>
      <c r="F10923" s="2" t="str">
        <f>HYPERLINK("http://bbs.12365auto.com/postcontent.aspx?tID=193487","http://bbs.12365auto.com/postcontent.aspx?tID=193487")</f>
        <v>http://bbs.12365auto.com/postcontent.aspx?tID=193487</v>
      </c>
      <c r="G10923" s="2"/>
      <c r="H10923" s="2" t="s">
        <v>14580</v>
      </c>
      <c r="I10923" s="2" t="s">
        <v>15</v>
      </c>
      <c r="J10923" s="2" t="s">
        <v>2966</v>
      </c>
      <c r="K10923" s="2" t="s">
        <v>14579</v>
      </c>
      <c r="L10923" s="2">
        <f t="shared" si="170"/>
        <v>150</v>
      </c>
    </row>
    <row r="10924" spans="1:12" ht="25" customHeight="1">
      <c r="A10924" s="2" t="s">
        <v>12</v>
      </c>
      <c r="B10924" s="2" t="str">
        <f>HYPERLINK("http://www.12365auto.com/xcdg/20200207/417967.shtml","奥迪推纯电动轿跑SUV 有望10月在华上市")</f>
        <v>奥迪推纯电动轿跑SUV 有望10月在华上市</v>
      </c>
      <c r="C10924" s="2" t="s">
        <v>13</v>
      </c>
      <c r="D10924" s="2" t="s">
        <v>12</v>
      </c>
      <c r="E10924" s="2" t="s">
        <v>216</v>
      </c>
      <c r="F10924" s="2" t="str">
        <f>HYPERLINK("http://www.12365auto.com/xcdg/20200207/417967.shtml","http://www.12365auto.com/xcdg/20200207/417967.shtml")</f>
        <v>http://www.12365auto.com/xcdg/20200207/417967.shtml</v>
      </c>
      <c r="G10924" s="2"/>
      <c r="H10924" s="2" t="s">
        <v>14581</v>
      </c>
      <c r="I10924" s="2" t="s">
        <v>15</v>
      </c>
      <c r="J10924" s="2" t="s">
        <v>12</v>
      </c>
      <c r="K10924" s="2" t="s">
        <v>14579</v>
      </c>
      <c r="L10924" s="2">
        <f t="shared" si="170"/>
        <v>150</v>
      </c>
    </row>
    <row r="10925" spans="1:12" ht="25" customHeight="1">
      <c r="A10925" s="2" t="s">
        <v>12</v>
      </c>
      <c r="B10925" s="2" t="str">
        <f>HYPERLINK("http://bbs.12365auto.com/postcontent.aspx?tId=193488","高速公路上为什么连个路灯都没有")</f>
        <v>高速公路上为什么连个路灯都没有</v>
      </c>
      <c r="C10925" s="2" t="s">
        <v>13</v>
      </c>
      <c r="D10925" s="2" t="s">
        <v>12</v>
      </c>
      <c r="E10925" s="2" t="s">
        <v>27</v>
      </c>
      <c r="F10925" s="2" t="str">
        <f>HYPERLINK("http://bbs.12365auto.com/postcontent.aspx?tId=193488","http://bbs.12365auto.com/postcontent.aspx?tId=193488")</f>
        <v>http://bbs.12365auto.com/postcontent.aspx?tId=193488</v>
      </c>
      <c r="G10925" s="2"/>
      <c r="H10925" s="2" t="s">
        <v>14582</v>
      </c>
      <c r="I10925" s="2" t="s">
        <v>15</v>
      </c>
      <c r="J10925" s="2" t="s">
        <v>2966</v>
      </c>
      <c r="K10925" s="2" t="s">
        <v>14579</v>
      </c>
      <c r="L10925" s="2">
        <f t="shared" si="170"/>
        <v>150</v>
      </c>
    </row>
    <row r="10926" spans="1:12" ht="25" customHeight="1">
      <c r="A10926" s="2" t="s">
        <v>12</v>
      </c>
      <c r="B10926" s="2" t="str">
        <f>HYPERLINK("http://bbs.12365auto.com/postcontent.aspx?tId=193487","小心被这种道路线坑了")</f>
        <v>小心被这种道路线坑了</v>
      </c>
      <c r="C10926" s="2" t="s">
        <v>13</v>
      </c>
      <c r="D10926" s="2" t="s">
        <v>12</v>
      </c>
      <c r="E10926" s="2" t="s">
        <v>27</v>
      </c>
      <c r="F10926" s="2" t="str">
        <f>HYPERLINK("http://bbs.12365auto.com/postcontent.aspx?tId=193487","http://bbs.12365auto.com/postcontent.aspx?tId=193487")</f>
        <v>http://bbs.12365auto.com/postcontent.aspx?tId=193487</v>
      </c>
      <c r="G10926" s="2"/>
      <c r="H10926" s="2" t="s">
        <v>14583</v>
      </c>
      <c r="I10926" s="2" t="s">
        <v>15</v>
      </c>
      <c r="J10926" s="2" t="s">
        <v>2966</v>
      </c>
      <c r="K10926" s="2" t="s">
        <v>14579</v>
      </c>
      <c r="L10926" s="2">
        <f t="shared" si="170"/>
        <v>150</v>
      </c>
    </row>
    <row r="10927" spans="1:12" ht="25" customHeight="1">
      <c r="A10927" s="2" t="s">
        <v>12</v>
      </c>
      <c r="B10927" s="2" t="str">
        <f>HYPERLINK("http://m.12365auto.com/xcdg/20200207/417967.shtml","奥迪推纯电动轿跑SUV 有望10月在华上市")</f>
        <v>奥迪推纯电动轿跑SUV 有望10月在华上市</v>
      </c>
      <c r="C10927" s="2" t="s">
        <v>13</v>
      </c>
      <c r="D10927" s="2" t="s">
        <v>12</v>
      </c>
      <c r="E10927" s="2"/>
      <c r="F10927" s="2" t="str">
        <f>HYPERLINK("http://m.12365auto.com/xcdg/20200207/417967.shtml","http://m.12365auto.com/xcdg/20200207/417967.shtml")</f>
        <v>http://m.12365auto.com/xcdg/20200207/417967.shtml</v>
      </c>
      <c r="G10927" s="2"/>
      <c r="H10927" s="2" t="s">
        <v>14584</v>
      </c>
      <c r="I10927" s="2" t="s">
        <v>19</v>
      </c>
      <c r="J10927" s="2" t="s">
        <v>1076</v>
      </c>
      <c r="K10927" s="2" t="s">
        <v>14579</v>
      </c>
      <c r="L10927" s="2">
        <f t="shared" si="170"/>
        <v>150</v>
      </c>
    </row>
    <row r="10928" spans="1:12" ht="25" customHeight="1">
      <c r="A10928" s="2" t="s">
        <v>12</v>
      </c>
      <c r="B10928" s="2" t="str">
        <f>HYPERLINK("http://m.12365auto.com/bbs/postcontent.aspx?tID=193487","小心被这种道路线坑了")</f>
        <v>小心被这种道路线坑了</v>
      </c>
      <c r="C10928" s="2" t="s">
        <v>13</v>
      </c>
      <c r="D10928" s="2" t="s">
        <v>23</v>
      </c>
      <c r="E10928" s="2"/>
      <c r="F10928" s="2" t="str">
        <f>HYPERLINK("http://m.12365auto.com/bbs/postcontent.aspx?tID=193487","http://m.12365auto.com/bbs/postcontent.aspx?tID=193487")</f>
        <v>http://m.12365auto.com/bbs/postcontent.aspx?tID=193487</v>
      </c>
      <c r="G10928" s="2"/>
      <c r="H10928" s="2" t="s">
        <v>14583</v>
      </c>
      <c r="I10928" s="2" t="s">
        <v>15</v>
      </c>
      <c r="J10928" s="2" t="s">
        <v>2966</v>
      </c>
      <c r="K10928" s="2" t="s">
        <v>14579</v>
      </c>
      <c r="L10928" s="2">
        <f t="shared" si="170"/>
        <v>150</v>
      </c>
    </row>
    <row r="10929" spans="1:12" ht="25" customHeight="1">
      <c r="A10929" s="2" t="s">
        <v>12</v>
      </c>
      <c r="B10929" s="2" t="str">
        <f>HYPERLINK("http://m.12365auto.com/bbs/postcontent.aspx?tID=193488","高速公路上为什么连个路灯都没有")</f>
        <v>高速公路上为什么连个路灯都没有</v>
      </c>
      <c r="C10929" s="2" t="s">
        <v>13</v>
      </c>
      <c r="D10929" s="2" t="s">
        <v>23</v>
      </c>
      <c r="E10929" s="2"/>
      <c r="F10929" s="2" t="str">
        <f>HYPERLINK("http://m.12365auto.com/bbs/postcontent.aspx?tID=193488","http://m.12365auto.com/bbs/postcontent.aspx?tID=193488")</f>
        <v>http://m.12365auto.com/bbs/postcontent.aspx?tID=193488</v>
      </c>
      <c r="G10929" s="2"/>
      <c r="H10929" s="2" t="s">
        <v>14582</v>
      </c>
      <c r="I10929" s="2" t="s">
        <v>15</v>
      </c>
      <c r="J10929" s="2" t="s">
        <v>2966</v>
      </c>
      <c r="K10929" s="2" t="s">
        <v>14579</v>
      </c>
      <c r="L10929" s="2">
        <f t="shared" si="170"/>
        <v>150</v>
      </c>
    </row>
    <row r="10930" spans="1:12" ht="25" customHeight="1">
      <c r="A10930" s="2" t="s">
        <v>12</v>
      </c>
      <c r="B10930" s="2" t="str">
        <f>HYPERLINK("http://bbs.12365auto.com/postcontent.aspx?tID=193486","轮胎缝里的小石子 到底能不能抠")</f>
        <v>轮胎缝里的小石子 到底能不能抠</v>
      </c>
      <c r="C10930" s="2" t="s">
        <v>13</v>
      </c>
      <c r="D10930" s="2" t="s">
        <v>12</v>
      </c>
      <c r="E10930" s="2" t="s">
        <v>28</v>
      </c>
      <c r="F10930" s="2" t="str">
        <f>HYPERLINK("http://bbs.12365auto.com/postcontent.aspx?tID=193486","http://bbs.12365auto.com/postcontent.aspx?tID=193486")</f>
        <v>http://bbs.12365auto.com/postcontent.aspx?tID=193486</v>
      </c>
      <c r="G10930" s="2"/>
      <c r="H10930" s="2" t="s">
        <v>14585</v>
      </c>
      <c r="I10930" s="2" t="s">
        <v>15</v>
      </c>
      <c r="J10930" s="2" t="s">
        <v>2966</v>
      </c>
      <c r="K10930" s="2" t="s">
        <v>14586</v>
      </c>
      <c r="L10930" s="2">
        <f t="shared" si="170"/>
        <v>150</v>
      </c>
    </row>
    <row r="10931" spans="1:12" ht="25" customHeight="1">
      <c r="A10931" s="2" t="s">
        <v>12</v>
      </c>
      <c r="B10931" s="2" t="str">
        <f>HYPERLINK("http://bbs.12365auto.com/postcontent.aspx?tId=193486","轮胎缝里的小石子 到底能不能抠")</f>
        <v>轮胎缝里的小石子 到底能不能抠</v>
      </c>
      <c r="C10931" s="2" t="s">
        <v>13</v>
      </c>
      <c r="D10931" s="2" t="s">
        <v>12</v>
      </c>
      <c r="E10931" s="2" t="s">
        <v>27</v>
      </c>
      <c r="F10931" s="2" t="str">
        <f>HYPERLINK("http://bbs.12365auto.com/postcontent.aspx?tId=193486","http://bbs.12365auto.com/postcontent.aspx?tId=193486")</f>
        <v>http://bbs.12365auto.com/postcontent.aspx?tId=193486</v>
      </c>
      <c r="G10931" s="2"/>
      <c r="H10931" s="2" t="s">
        <v>14587</v>
      </c>
      <c r="I10931" s="2" t="s">
        <v>15</v>
      </c>
      <c r="J10931" s="2" t="s">
        <v>2966</v>
      </c>
      <c r="K10931" s="2" t="s">
        <v>14586</v>
      </c>
      <c r="L10931" s="2">
        <f t="shared" si="170"/>
        <v>150</v>
      </c>
    </row>
    <row r="10932" spans="1:12" ht="25" customHeight="1">
      <c r="A10932" s="2" t="s">
        <v>12</v>
      </c>
      <c r="B10932" s="2" t="str">
        <f>HYPERLINK("http://m.12365auto.com/bbs/postcontent.aspx?tID=193486","轮胎缝里的小石子 到底能不能抠")</f>
        <v>轮胎缝里的小石子 到底能不能抠</v>
      </c>
      <c r="C10932" s="2" t="s">
        <v>13</v>
      </c>
      <c r="D10932" s="2" t="s">
        <v>23</v>
      </c>
      <c r="E10932" s="2"/>
      <c r="F10932" s="2" t="str">
        <f>HYPERLINK("http://m.12365auto.com/bbs/postcontent.aspx?tID=193486","http://m.12365auto.com/bbs/postcontent.aspx?tID=193486")</f>
        <v>http://m.12365auto.com/bbs/postcontent.aspx?tID=193486</v>
      </c>
      <c r="G10932" s="2"/>
      <c r="H10932" s="2" t="s">
        <v>14587</v>
      </c>
      <c r="I10932" s="2" t="s">
        <v>15</v>
      </c>
      <c r="J10932" s="2" t="s">
        <v>2966</v>
      </c>
      <c r="K10932" s="2" t="s">
        <v>14586</v>
      </c>
      <c r="L10932" s="2">
        <f t="shared" si="170"/>
        <v>150</v>
      </c>
    </row>
    <row r="10933" spans="1:12" ht="25" customHeight="1">
      <c r="A10933" s="2" t="s">
        <v>12</v>
      </c>
      <c r="B10933" s="2" t="str">
        <f>HYPERLINK("http://bbs.12365auto.com/postcontent.aspx?tID=193485","动图警示|应急车道不是要命车道")</f>
        <v>动图警示|应急车道不是要命车道</v>
      </c>
      <c r="C10933" s="2" t="s">
        <v>13</v>
      </c>
      <c r="D10933" s="2" t="s">
        <v>12</v>
      </c>
      <c r="E10933" s="2" t="s">
        <v>28</v>
      </c>
      <c r="F10933" s="2" t="str">
        <f>HYPERLINK("http://bbs.12365auto.com/postcontent.aspx?tID=193485","http://bbs.12365auto.com/postcontent.aspx?tID=193485")</f>
        <v>http://bbs.12365auto.com/postcontent.aspx?tID=193485</v>
      </c>
      <c r="G10933" s="2"/>
      <c r="H10933" s="2" t="s">
        <v>12202</v>
      </c>
      <c r="I10933" s="2" t="s">
        <v>15</v>
      </c>
      <c r="J10933" s="2" t="s">
        <v>2966</v>
      </c>
      <c r="K10933" s="2" t="s">
        <v>14588</v>
      </c>
      <c r="L10933" s="2">
        <f t="shared" si="170"/>
        <v>98</v>
      </c>
    </row>
    <row r="10934" spans="1:12" ht="25" customHeight="1">
      <c r="A10934" s="2" t="s">
        <v>12</v>
      </c>
      <c r="B10934" s="2" t="str">
        <f>HYPERLINK("http://bbs.12365auto.com/postcontent.aspx?tID=193484","中国式养车“3大怪象”")</f>
        <v>中国式养车“3大怪象”</v>
      </c>
      <c r="C10934" s="2" t="s">
        <v>13</v>
      </c>
      <c r="D10934" s="2" t="s">
        <v>12</v>
      </c>
      <c r="E10934" s="2" t="s">
        <v>28</v>
      </c>
      <c r="F10934" s="2" t="str">
        <f>HYPERLINK("http://bbs.12365auto.com/postcontent.aspx?tID=193484","http://bbs.12365auto.com/postcontent.aspx?tID=193484")</f>
        <v>http://bbs.12365auto.com/postcontent.aspx?tID=193484</v>
      </c>
      <c r="G10934" s="2"/>
      <c r="H10934" s="2" t="s">
        <v>14589</v>
      </c>
      <c r="I10934" s="2" t="s">
        <v>15</v>
      </c>
      <c r="J10934" s="2" t="s">
        <v>2966</v>
      </c>
      <c r="K10934" s="2" t="s">
        <v>14588</v>
      </c>
      <c r="L10934" s="2">
        <f t="shared" si="170"/>
        <v>150</v>
      </c>
    </row>
    <row r="10935" spans="1:12" ht="25" customHeight="1">
      <c r="A10935" s="2" t="s">
        <v>12</v>
      </c>
      <c r="B10935" s="2" t="str">
        <f>HYPERLINK("http://m.12365auto.com/parts/20200207/417966.shtml","凯迪拉克增强版超级巡航 添加自动变道功能")</f>
        <v>凯迪拉克增强版超级巡航 添加自动变道功能</v>
      </c>
      <c r="C10935" s="2" t="s">
        <v>13</v>
      </c>
      <c r="D10935" s="2" t="s">
        <v>12</v>
      </c>
      <c r="E10935" s="2"/>
      <c r="F10935" s="2" t="str">
        <f>HYPERLINK("http://m.12365auto.com/parts/20200207/417966.shtml","http://m.12365auto.com/parts/20200207/417966.shtml")</f>
        <v>http://m.12365auto.com/parts/20200207/417966.shtml</v>
      </c>
      <c r="G10935" s="2"/>
      <c r="H10935" s="2" t="s">
        <v>14590</v>
      </c>
      <c r="I10935" s="2" t="s">
        <v>19</v>
      </c>
      <c r="J10935" s="2" t="s">
        <v>1029</v>
      </c>
      <c r="K10935" s="2" t="s">
        <v>14588</v>
      </c>
      <c r="L10935" s="2">
        <f t="shared" si="170"/>
        <v>150</v>
      </c>
    </row>
    <row r="10936" spans="1:12" ht="25" customHeight="1">
      <c r="A10936" s="2" t="s">
        <v>12</v>
      </c>
      <c r="B10936" s="2" t="str">
        <f>HYPERLINK("http://www.12365auto.com/parts/20200207/417966.shtml","凯迪拉克增强版超级巡航 添加自动变道功能")</f>
        <v>凯迪拉克增强版超级巡航 添加自动变道功能</v>
      </c>
      <c r="C10936" s="2" t="s">
        <v>13</v>
      </c>
      <c r="D10936" s="2" t="s">
        <v>12</v>
      </c>
      <c r="E10936" s="2" t="s">
        <v>240</v>
      </c>
      <c r="F10936" s="2" t="str">
        <f>HYPERLINK("http://www.12365auto.com/parts/20200207/417966.shtml","http://www.12365auto.com/parts/20200207/417966.shtml")</f>
        <v>http://www.12365auto.com/parts/20200207/417966.shtml</v>
      </c>
      <c r="G10936" s="2"/>
      <c r="H10936" s="2" t="s">
        <v>14591</v>
      </c>
      <c r="I10936" s="2" t="s">
        <v>15</v>
      </c>
      <c r="J10936" s="2" t="s">
        <v>12</v>
      </c>
      <c r="K10936" s="2" t="s">
        <v>14588</v>
      </c>
      <c r="L10936" s="2">
        <f t="shared" si="170"/>
        <v>150</v>
      </c>
    </row>
    <row r="10937" spans="1:12" ht="25" customHeight="1">
      <c r="A10937" s="2" t="s">
        <v>12</v>
      </c>
      <c r="B10937" s="2" t="str">
        <f>HYPERLINK("http://bbs.12365auto.com/postcontent.aspx?tId=193485","动图警示|应急车道不是要命车道")</f>
        <v>动图警示|应急车道不是要命车道</v>
      </c>
      <c r="C10937" s="2" t="s">
        <v>13</v>
      </c>
      <c r="D10937" s="2" t="s">
        <v>12</v>
      </c>
      <c r="E10937" s="2" t="s">
        <v>27</v>
      </c>
      <c r="F10937" s="2" t="str">
        <f>HYPERLINK("http://bbs.12365auto.com/postcontent.aspx?tId=193485","http://bbs.12365auto.com/postcontent.aspx?tId=193485")</f>
        <v>http://bbs.12365auto.com/postcontent.aspx?tId=193485</v>
      </c>
      <c r="G10937" s="2"/>
      <c r="H10937" s="2" t="s">
        <v>12207</v>
      </c>
      <c r="I10937" s="2" t="s">
        <v>15</v>
      </c>
      <c r="J10937" s="2" t="s">
        <v>2966</v>
      </c>
      <c r="K10937" s="2" t="s">
        <v>14588</v>
      </c>
      <c r="L10937" s="2">
        <f t="shared" si="170"/>
        <v>83</v>
      </c>
    </row>
    <row r="10938" spans="1:12" ht="25" customHeight="1">
      <c r="A10938" s="2" t="s">
        <v>12</v>
      </c>
      <c r="B10938" s="2" t="str">
        <f>HYPERLINK("http://bbs.12365auto.com/postcontent.aspx?tId=193484","中国式养车“3大怪象”")</f>
        <v>中国式养车“3大怪象”</v>
      </c>
      <c r="C10938" s="2" t="s">
        <v>13</v>
      </c>
      <c r="D10938" s="2" t="s">
        <v>12</v>
      </c>
      <c r="E10938" s="2" t="s">
        <v>27</v>
      </c>
      <c r="F10938" s="2" t="str">
        <f>HYPERLINK("http://bbs.12365auto.com/postcontent.aspx?tId=193484","http://bbs.12365auto.com/postcontent.aspx?tId=193484")</f>
        <v>http://bbs.12365auto.com/postcontent.aspx?tId=193484</v>
      </c>
      <c r="G10938" s="2"/>
      <c r="H10938" s="2" t="s">
        <v>12199</v>
      </c>
      <c r="I10938" s="2" t="s">
        <v>15</v>
      </c>
      <c r="J10938" s="2" t="s">
        <v>2966</v>
      </c>
      <c r="K10938" s="2" t="s">
        <v>14588</v>
      </c>
      <c r="L10938" s="2">
        <f t="shared" si="170"/>
        <v>150</v>
      </c>
    </row>
    <row r="10939" spans="1:12" ht="25" customHeight="1">
      <c r="A10939" s="2" t="s">
        <v>12</v>
      </c>
      <c r="B10939" s="2" t="str">
        <f>HYPERLINK("http://m.12365auto.com/bbs/postcontent.aspx?tID=193485","动图警示|应急车道不是要命车道")</f>
        <v>动图警示|应急车道不是要命车道</v>
      </c>
      <c r="C10939" s="2" t="s">
        <v>13</v>
      </c>
      <c r="D10939" s="2" t="s">
        <v>23</v>
      </c>
      <c r="E10939" s="2"/>
      <c r="F10939" s="2" t="str">
        <f>HYPERLINK("http://m.12365auto.com/bbs/postcontent.aspx?tID=193485","http://m.12365auto.com/bbs/postcontent.aspx?tID=193485")</f>
        <v>http://m.12365auto.com/bbs/postcontent.aspx?tID=193485</v>
      </c>
      <c r="G10939" s="2"/>
      <c r="H10939" s="2" t="s">
        <v>12207</v>
      </c>
      <c r="I10939" s="2" t="s">
        <v>15</v>
      </c>
      <c r="J10939" s="2" t="s">
        <v>2966</v>
      </c>
      <c r="K10939" s="2" t="s">
        <v>14588</v>
      </c>
      <c r="L10939" s="2">
        <f t="shared" si="170"/>
        <v>83</v>
      </c>
    </row>
    <row r="10940" spans="1:12" ht="25" customHeight="1">
      <c r="A10940" s="2" t="s">
        <v>12</v>
      </c>
      <c r="B10940" s="2" t="str">
        <f>HYPERLINK("http://m.12365auto.com/bbs/postcontent.aspx?tID=193484","中国式养车“3大怪象”")</f>
        <v>中国式养车“3大怪象”</v>
      </c>
      <c r="C10940" s="2" t="s">
        <v>13</v>
      </c>
      <c r="D10940" s="2" t="s">
        <v>23</v>
      </c>
      <c r="E10940" s="2"/>
      <c r="F10940" s="2" t="str">
        <f>HYPERLINK("http://m.12365auto.com/bbs/postcontent.aspx?tID=193484","http://m.12365auto.com/bbs/postcontent.aspx?tID=193484")</f>
        <v>http://m.12365auto.com/bbs/postcontent.aspx?tID=193484</v>
      </c>
      <c r="G10940" s="2"/>
      <c r="H10940" s="2" t="s">
        <v>12199</v>
      </c>
      <c r="I10940" s="2" t="s">
        <v>15</v>
      </c>
      <c r="J10940" s="2" t="s">
        <v>2966</v>
      </c>
      <c r="K10940" s="2" t="s">
        <v>14588</v>
      </c>
      <c r="L10940" s="2">
        <f t="shared" si="170"/>
        <v>150</v>
      </c>
    </row>
    <row r="10941" spans="1:12" ht="25" customHeight="1">
      <c r="A10941" s="2" t="s">
        <v>12</v>
      </c>
      <c r="B10941" s="2" t="str">
        <f>HYPERLINK("http://bbs.12365auto.com/postcontent.aspx?tID=193483","以下3个摄像头你能认全吗")</f>
        <v>以下3个摄像头你能认全吗</v>
      </c>
      <c r="C10941" s="2" t="s">
        <v>13</v>
      </c>
      <c r="D10941" s="2" t="s">
        <v>12</v>
      </c>
      <c r="E10941" s="2" t="s">
        <v>28</v>
      </c>
      <c r="F10941" s="2" t="str">
        <f>HYPERLINK("http://bbs.12365auto.com/postcontent.aspx?tID=193483","http://bbs.12365auto.com/postcontent.aspx?tID=193483")</f>
        <v>http://bbs.12365auto.com/postcontent.aspx?tID=193483</v>
      </c>
      <c r="G10941" s="2"/>
      <c r="H10941" s="2" t="s">
        <v>14592</v>
      </c>
      <c r="I10941" s="2" t="s">
        <v>15</v>
      </c>
      <c r="J10941" s="2" t="s">
        <v>2966</v>
      </c>
      <c r="K10941" s="2" t="s">
        <v>14593</v>
      </c>
      <c r="L10941" s="2">
        <f t="shared" si="170"/>
        <v>150</v>
      </c>
    </row>
    <row r="10942" spans="1:12" ht="25" customHeight="1">
      <c r="A10942" s="2" t="s">
        <v>12</v>
      </c>
      <c r="B10942" s="2" t="str">
        <f>HYPERLINK("http://bbs.12365auto.com/postcontent.aspx?tId=193483","以下3个摄像头你能认全吗")</f>
        <v>以下3个摄像头你能认全吗</v>
      </c>
      <c r="C10942" s="2" t="s">
        <v>13</v>
      </c>
      <c r="D10942" s="2" t="s">
        <v>12</v>
      </c>
      <c r="E10942" s="2" t="s">
        <v>27</v>
      </c>
      <c r="F10942" s="2" t="str">
        <f>HYPERLINK("http://bbs.12365auto.com/postcontent.aspx?tId=193483","http://bbs.12365auto.com/postcontent.aspx?tId=193483")</f>
        <v>http://bbs.12365auto.com/postcontent.aspx?tId=193483</v>
      </c>
      <c r="G10942" s="2"/>
      <c r="H10942" s="2" t="s">
        <v>14594</v>
      </c>
      <c r="I10942" s="2" t="s">
        <v>15</v>
      </c>
      <c r="J10942" s="2" t="s">
        <v>2966</v>
      </c>
      <c r="K10942" s="2" t="s">
        <v>14593</v>
      </c>
      <c r="L10942" s="2">
        <f t="shared" si="170"/>
        <v>150</v>
      </c>
    </row>
    <row r="10943" spans="1:12" ht="25" customHeight="1">
      <c r="A10943" s="2" t="s">
        <v>12</v>
      </c>
      <c r="B10943" s="2" t="str">
        <f>HYPERLINK("http://m.12365auto.com/bbs/postcontent.aspx?tID=193483","以下3个摄像头你能认全吗")</f>
        <v>以下3个摄像头你能认全吗</v>
      </c>
      <c r="C10943" s="2" t="s">
        <v>13</v>
      </c>
      <c r="D10943" s="2" t="s">
        <v>23</v>
      </c>
      <c r="E10943" s="2"/>
      <c r="F10943" s="2" t="str">
        <f>HYPERLINK("http://m.12365auto.com/bbs/postcontent.aspx?tID=193483","http://m.12365auto.com/bbs/postcontent.aspx?tID=193483")</f>
        <v>http://m.12365auto.com/bbs/postcontent.aspx?tID=193483</v>
      </c>
      <c r="G10943" s="2"/>
      <c r="H10943" s="2" t="s">
        <v>14594</v>
      </c>
      <c r="I10943" s="2" t="s">
        <v>15</v>
      </c>
      <c r="J10943" s="2" t="s">
        <v>2966</v>
      </c>
      <c r="K10943" s="2" t="s">
        <v>14593</v>
      </c>
      <c r="L10943" s="2">
        <f t="shared" si="170"/>
        <v>150</v>
      </c>
    </row>
    <row r="10944" spans="1:12" ht="25" customHeight="1">
      <c r="A10944" s="2" t="s">
        <v>12</v>
      </c>
      <c r="B10944" s="2" t="str">
        <f>HYPERLINK("http://bbs.12365auto.com/postcontent.aspx?tID=193482","交通动图：这真是，撞了就跑")</f>
        <v>交通动图：这真是，撞了就跑</v>
      </c>
      <c r="C10944" s="2" t="s">
        <v>13</v>
      </c>
      <c r="D10944" s="2" t="s">
        <v>12</v>
      </c>
      <c r="E10944" s="2" t="s">
        <v>28</v>
      </c>
      <c r="F10944" s="2" t="str">
        <f>HYPERLINK("http://bbs.12365auto.com/postcontent.aspx?tID=193482","http://bbs.12365auto.com/postcontent.aspx?tID=193482")</f>
        <v>http://bbs.12365auto.com/postcontent.aspx?tID=193482</v>
      </c>
      <c r="G10944" s="2"/>
      <c r="H10944" s="2" t="s">
        <v>14595</v>
      </c>
      <c r="I10944" s="2" t="s">
        <v>15</v>
      </c>
      <c r="J10944" s="2" t="s">
        <v>2966</v>
      </c>
      <c r="K10944" s="2" t="s">
        <v>14596</v>
      </c>
      <c r="L10944" s="2">
        <f t="shared" si="170"/>
        <v>104</v>
      </c>
    </row>
    <row r="10945" spans="1:12" ht="25" customHeight="1">
      <c r="A10945" s="2" t="s">
        <v>12</v>
      </c>
      <c r="B10945" s="2" t="str">
        <f>HYPERLINK("http://www.12365auto.com/xcdg/20200207/417965.shtml","就是要玩跨界和科幻 长安UNI-T设计图曝光")</f>
        <v>就是要玩跨界和科幻 长安UNI-T设计图曝光</v>
      </c>
      <c r="C10945" s="2" t="s">
        <v>13</v>
      </c>
      <c r="D10945" s="2" t="s">
        <v>12</v>
      </c>
      <c r="E10945" s="2" t="s">
        <v>216</v>
      </c>
      <c r="F10945" s="2" t="str">
        <f>HYPERLINK("http://www.12365auto.com/xcdg/20200207/417965.shtml","http://www.12365auto.com/xcdg/20200207/417965.shtml")</f>
        <v>http://www.12365auto.com/xcdg/20200207/417965.shtml</v>
      </c>
      <c r="G10945" s="2"/>
      <c r="H10945" s="2" t="s">
        <v>14597</v>
      </c>
      <c r="I10945" s="2" t="s">
        <v>15</v>
      </c>
      <c r="J10945" s="2" t="s">
        <v>12</v>
      </c>
      <c r="K10945" s="2" t="s">
        <v>14596</v>
      </c>
      <c r="L10945" s="2">
        <f t="shared" si="170"/>
        <v>150</v>
      </c>
    </row>
    <row r="10946" spans="1:12" ht="25" customHeight="1">
      <c r="A10946" s="2" t="s">
        <v>12</v>
      </c>
      <c r="B10946" s="2" t="str">
        <f>HYPERLINK("http://m.12365auto.com/xcdg/20200207/417965.shtml","就是要玩跨界和科幻 长安UNI-T设计图曝光")</f>
        <v>就是要玩跨界和科幻 长安UNI-T设计图曝光</v>
      </c>
      <c r="C10946" s="2" t="s">
        <v>13</v>
      </c>
      <c r="D10946" s="2" t="s">
        <v>12</v>
      </c>
      <c r="E10946" s="2"/>
      <c r="F10946" s="2" t="str">
        <f>HYPERLINK("http://m.12365auto.com/xcdg/20200207/417965.shtml","http://m.12365auto.com/xcdg/20200207/417965.shtml")</f>
        <v>http://m.12365auto.com/xcdg/20200207/417965.shtml</v>
      </c>
      <c r="G10946" s="2"/>
      <c r="H10946" s="2" t="s">
        <v>14598</v>
      </c>
      <c r="I10946" s="2" t="s">
        <v>19</v>
      </c>
      <c r="J10946" s="2" t="s">
        <v>6805</v>
      </c>
      <c r="K10946" s="2" t="s">
        <v>14596</v>
      </c>
      <c r="L10946" s="2">
        <f t="shared" si="170"/>
        <v>150</v>
      </c>
    </row>
    <row r="10947" spans="1:12" ht="25" customHeight="1">
      <c r="A10947" s="2" t="s">
        <v>12</v>
      </c>
      <c r="B10947" s="2" t="str">
        <f>HYPERLINK("http://bbs.12365auto.com/postcontent.aspx?tId=193482","交通动图：这真是，撞了就跑")</f>
        <v>交通动图：这真是，撞了就跑</v>
      </c>
      <c r="C10947" s="2" t="s">
        <v>13</v>
      </c>
      <c r="D10947" s="2" t="s">
        <v>12</v>
      </c>
      <c r="E10947" s="2" t="s">
        <v>27</v>
      </c>
      <c r="F10947" s="2" t="str">
        <f>HYPERLINK("http://bbs.12365auto.com/postcontent.aspx?tId=193482","http://bbs.12365auto.com/postcontent.aspx?tId=193482")</f>
        <v>http://bbs.12365auto.com/postcontent.aspx?tId=193482</v>
      </c>
      <c r="G10947" s="2"/>
      <c r="H10947" s="2" t="s">
        <v>14599</v>
      </c>
      <c r="I10947" s="2" t="s">
        <v>15</v>
      </c>
      <c r="J10947" s="2" t="s">
        <v>2966</v>
      </c>
      <c r="K10947" s="2" t="s">
        <v>14596</v>
      </c>
      <c r="L10947" s="2">
        <f t="shared" ref="L10947:L11010" si="171">LEN(H10947)</f>
        <v>91</v>
      </c>
    </row>
    <row r="10948" spans="1:12" ht="25" customHeight="1">
      <c r="A10948" s="2" t="s">
        <v>12</v>
      </c>
      <c r="B10948" s="2" t="str">
        <f>HYPERLINK("http://m.12365auto.com/bbs/postcontent.aspx?tID=193482","交通动图：这真是，撞了就跑")</f>
        <v>交通动图：这真是，撞了就跑</v>
      </c>
      <c r="C10948" s="2" t="s">
        <v>13</v>
      </c>
      <c r="D10948" s="2" t="s">
        <v>23</v>
      </c>
      <c r="E10948" s="2"/>
      <c r="F10948" s="2" t="str">
        <f>HYPERLINK("http://m.12365auto.com/bbs/postcontent.aspx?tID=193482","http://m.12365auto.com/bbs/postcontent.aspx?tID=193482")</f>
        <v>http://m.12365auto.com/bbs/postcontent.aspx?tID=193482</v>
      </c>
      <c r="G10948" s="2"/>
      <c r="H10948" s="2" t="s">
        <v>14599</v>
      </c>
      <c r="I10948" s="2" t="s">
        <v>15</v>
      </c>
      <c r="J10948" s="2" t="s">
        <v>2966</v>
      </c>
      <c r="K10948" s="2" t="s">
        <v>14596</v>
      </c>
      <c r="L10948" s="2">
        <f t="shared" si="171"/>
        <v>91</v>
      </c>
    </row>
    <row r="10949" spans="1:12" ht="25" customHeight="1">
      <c r="A10949" s="2" t="s">
        <v>12</v>
      </c>
      <c r="B10949" s="2" t="str">
        <f>HYPERLINK("http://www.12365auto.com/zlts/20200207/446540.shtml","为什么新凯越后门没有音响？为什么买的时候没人跟我")</f>
        <v>为什么新凯越后门没有音响？为什么买的时候没人跟我</v>
      </c>
      <c r="C10949" s="2" t="s">
        <v>13</v>
      </c>
      <c r="D10949" s="2" t="s">
        <v>12</v>
      </c>
      <c r="E10949" s="2"/>
      <c r="F10949" s="2" t="str">
        <f>HYPERLINK("http://www.12365auto.com/zlts/20200207/446540.shtml","http://www.12365auto.com/zlts/20200207/446540.shtml")</f>
        <v>http://www.12365auto.com/zlts/20200207/446540.shtml</v>
      </c>
      <c r="G10949" s="2"/>
      <c r="H10949" s="2" t="s">
        <v>14601</v>
      </c>
      <c r="I10949" s="2" t="s">
        <v>15</v>
      </c>
      <c r="J10949" s="2" t="s">
        <v>12</v>
      </c>
      <c r="K10949" s="2" t="s">
        <v>14600</v>
      </c>
      <c r="L10949" s="2">
        <f t="shared" si="171"/>
        <v>81</v>
      </c>
    </row>
    <row r="10950" spans="1:12" ht="25" customHeight="1">
      <c r="A10950" s="2" t="s">
        <v>12</v>
      </c>
      <c r="B10950" s="2" t="str">
        <f>HYPERLINK("http://m.12365auto.com/xcdg/20200207/417964.shtml","15万元还能选它 四款你错过的好车推荐")</f>
        <v>15万元还能选它 四款你错过的好车推荐</v>
      </c>
      <c r="C10950" s="2" t="s">
        <v>13</v>
      </c>
      <c r="D10950" s="2" t="s">
        <v>12</v>
      </c>
      <c r="E10950" s="2"/>
      <c r="F10950" s="2" t="str">
        <f>HYPERLINK("http://m.12365auto.com/xcdg/20200207/417964.shtml","http://m.12365auto.com/xcdg/20200207/417964.shtml")</f>
        <v>http://m.12365auto.com/xcdg/20200207/417964.shtml</v>
      </c>
      <c r="G10950" s="2"/>
      <c r="H10950" s="2" t="s">
        <v>14602</v>
      </c>
      <c r="I10950" s="2" t="s">
        <v>19</v>
      </c>
      <c r="J10950" s="2" t="s">
        <v>14603</v>
      </c>
      <c r="K10950" s="2" t="s">
        <v>14604</v>
      </c>
      <c r="L10950" s="2">
        <f t="shared" si="171"/>
        <v>150</v>
      </c>
    </row>
    <row r="10951" spans="1:12" ht="25" customHeight="1">
      <c r="A10951" s="2" t="s">
        <v>12</v>
      </c>
      <c r="B10951" s="2" t="str">
        <f>HYPERLINK("http://m.12365auto.com/xcdg/20200207/417963.shtml","超低功2.0T车型能买么？解读A4L低配车")</f>
        <v>超低功2.0T车型能买么？解读A4L低配车</v>
      </c>
      <c r="C10951" s="2" t="s">
        <v>13</v>
      </c>
      <c r="D10951" s="2" t="s">
        <v>12</v>
      </c>
      <c r="E10951" s="2"/>
      <c r="F10951" s="2" t="str">
        <f>HYPERLINK("http://m.12365auto.com/xcdg/20200207/417963.shtml","http://m.12365auto.com/xcdg/20200207/417963.shtml")</f>
        <v>http://m.12365auto.com/xcdg/20200207/417963.shtml</v>
      </c>
      <c r="G10951" s="2"/>
      <c r="H10951" s="2" t="s">
        <v>14605</v>
      </c>
      <c r="I10951" s="2" t="s">
        <v>19</v>
      </c>
      <c r="J10951" s="2" t="s">
        <v>14606</v>
      </c>
      <c r="K10951" s="2" t="s">
        <v>14607</v>
      </c>
      <c r="L10951" s="2">
        <f t="shared" si="171"/>
        <v>150</v>
      </c>
    </row>
    <row r="10952" spans="1:12" ht="25" customHeight="1">
      <c r="A10952" s="2" t="s">
        <v>12</v>
      </c>
      <c r="B10952" s="2" t="str">
        <f>HYPERLINK("http://m.12365auto.com/xcdg/20200207/417962.shtml","抢先看 2020年最值得期待的纯电动车型")</f>
        <v>抢先看 2020年最值得期待的纯电动车型</v>
      </c>
      <c r="C10952" s="2" t="s">
        <v>13</v>
      </c>
      <c r="D10952" s="2" t="s">
        <v>12</v>
      </c>
      <c r="E10952" s="2"/>
      <c r="F10952" s="2" t="str">
        <f>HYPERLINK("http://m.12365auto.com/xcdg/20200207/417962.shtml","http://m.12365auto.com/xcdg/20200207/417962.shtml")</f>
        <v>http://m.12365auto.com/xcdg/20200207/417962.shtml</v>
      </c>
      <c r="G10952" s="2"/>
      <c r="H10952" s="2" t="s">
        <v>14608</v>
      </c>
      <c r="I10952" s="2" t="s">
        <v>19</v>
      </c>
      <c r="J10952" s="2" t="s">
        <v>5102</v>
      </c>
      <c r="K10952" s="2" t="s">
        <v>14609</v>
      </c>
      <c r="L10952" s="2">
        <f t="shared" si="171"/>
        <v>150</v>
      </c>
    </row>
    <row r="10953" spans="1:12" ht="25" customHeight="1">
      <c r="A10953" s="2" t="s">
        <v>12</v>
      </c>
      <c r="B10953" s="2" t="str">
        <f>HYPERLINK("http://www.12365auto.com/xcdg/20200207/417962.shtml","抢先看 2020年最值得期待的纯电动车型")</f>
        <v>抢先看 2020年最值得期待的纯电动车型</v>
      </c>
      <c r="C10953" s="2" t="s">
        <v>13</v>
      </c>
      <c r="D10953" s="2" t="s">
        <v>12</v>
      </c>
      <c r="E10953" s="2" t="s">
        <v>216</v>
      </c>
      <c r="F10953" s="2" t="str">
        <f>HYPERLINK("http://www.12365auto.com/xcdg/20200207/417962.shtml","http://www.12365auto.com/xcdg/20200207/417962.shtml")</f>
        <v>http://www.12365auto.com/xcdg/20200207/417962.shtml</v>
      </c>
      <c r="G10953" s="2"/>
      <c r="H10953" s="2" t="s">
        <v>14610</v>
      </c>
      <c r="I10953" s="2" t="s">
        <v>15</v>
      </c>
      <c r="J10953" s="2" t="s">
        <v>12</v>
      </c>
      <c r="K10953" s="2" t="s">
        <v>14609</v>
      </c>
      <c r="L10953" s="2">
        <f t="shared" si="171"/>
        <v>150</v>
      </c>
    </row>
    <row r="10954" spans="1:12" ht="25" customHeight="1">
      <c r="A10954" s="2" t="s">
        <v>12</v>
      </c>
      <c r="B10954" s="2" t="str">
        <f>HYPERLINK("http://www.12365auto.com/zlts/20200207/446541.shtml","奇瑞艾瑞泽5整车故障多故障一直未解决")</f>
        <v>奇瑞艾瑞泽5整车故障多故障一直未解决</v>
      </c>
      <c r="C10954" s="2" t="s">
        <v>13</v>
      </c>
      <c r="D10954" s="2" t="s">
        <v>12</v>
      </c>
      <c r="E10954" s="2" t="s">
        <v>17</v>
      </c>
      <c r="F10954" s="2" t="str">
        <f>HYPERLINK("http://www.12365auto.com/zlts/20200207/446541.shtml","http://www.12365auto.com/zlts/20200207/446541.shtml")</f>
        <v>http://www.12365auto.com/zlts/20200207/446541.shtml</v>
      </c>
      <c r="G10954" s="2"/>
      <c r="H10954" s="2" t="s">
        <v>14611</v>
      </c>
      <c r="I10954" s="2" t="s">
        <v>19</v>
      </c>
      <c r="J10954" s="2" t="s">
        <v>12</v>
      </c>
      <c r="K10954" s="2" t="s">
        <v>14612</v>
      </c>
      <c r="L10954" s="2">
        <f t="shared" si="171"/>
        <v>150</v>
      </c>
    </row>
    <row r="10955" spans="1:12" ht="25" customHeight="1">
      <c r="A10955" s="2" t="s">
        <v>12</v>
      </c>
      <c r="B10955" s="2" t="str">
        <f>HYPERLINK("http://m.12365auto.com/xcdg/20200207/417961.shtml","狭路相逢 特斯拉Model Y对比蔚来EC6")</f>
        <v>狭路相逢 特斯拉Model Y对比蔚来EC6</v>
      </c>
      <c r="C10955" s="2" t="s">
        <v>13</v>
      </c>
      <c r="D10955" s="2" t="s">
        <v>12</v>
      </c>
      <c r="E10955" s="2"/>
      <c r="F10955" s="2" t="str">
        <f>HYPERLINK("http://m.12365auto.com/xcdg/20200207/417961.shtml","http://m.12365auto.com/xcdg/20200207/417961.shtml")</f>
        <v>http://m.12365auto.com/xcdg/20200207/417961.shtml</v>
      </c>
      <c r="G10955" s="2"/>
      <c r="H10955" s="2" t="s">
        <v>14613</v>
      </c>
      <c r="I10955" s="2" t="s">
        <v>19</v>
      </c>
      <c r="J10955" s="2" t="s">
        <v>14614</v>
      </c>
      <c r="K10955" s="2" t="s">
        <v>14615</v>
      </c>
      <c r="L10955" s="2">
        <f t="shared" si="171"/>
        <v>150</v>
      </c>
    </row>
    <row r="10956" spans="1:12" ht="25" customHeight="1">
      <c r="A10956" s="2" t="s">
        <v>12</v>
      </c>
      <c r="B10956" s="2" t="str">
        <f>HYPERLINK("http://m.12365auto.com/scbg/20200207/417960.shtml","做个操控高玩 试驾体验BMW X2 xDrive")</f>
        <v>做个操控高玩 试驾体验BMW X2 xDrive</v>
      </c>
      <c r="C10956" s="2" t="s">
        <v>13</v>
      </c>
      <c r="D10956" s="2" t="s">
        <v>12</v>
      </c>
      <c r="E10956" s="2"/>
      <c r="F10956" s="2" t="str">
        <f>HYPERLINK("http://m.12365auto.com/scbg/20200207/417960.shtml","http://m.12365auto.com/scbg/20200207/417960.shtml")</f>
        <v>http://m.12365auto.com/scbg/20200207/417960.shtml</v>
      </c>
      <c r="G10956" s="2"/>
      <c r="H10956" s="2" t="s">
        <v>14616</v>
      </c>
      <c r="I10956" s="2" t="s">
        <v>19</v>
      </c>
      <c r="J10956" s="2" t="s">
        <v>14617</v>
      </c>
      <c r="K10956" s="2" t="s">
        <v>14618</v>
      </c>
      <c r="L10956" s="2">
        <f t="shared" si="171"/>
        <v>150</v>
      </c>
    </row>
    <row r="10957" spans="1:12" ht="25" customHeight="1">
      <c r="A10957" s="2" t="s">
        <v>12</v>
      </c>
      <c r="B10957" s="2" t="str">
        <f>HYPERLINK("http://www.12365auto.com/scbg/20200207/417960.shtml","做个操控高玩 试驾体验BMW X2 xDrive")</f>
        <v>做个操控高玩 试驾体验BMW X2 xDrive</v>
      </c>
      <c r="C10957" s="2" t="s">
        <v>13</v>
      </c>
      <c r="D10957" s="2" t="s">
        <v>12</v>
      </c>
      <c r="E10957" s="2" t="s">
        <v>1548</v>
      </c>
      <c r="F10957" s="2" t="str">
        <f>HYPERLINK("http://www.12365auto.com/scbg/20200207/417960.shtml","http://www.12365auto.com/scbg/20200207/417960.shtml")</f>
        <v>http://www.12365auto.com/scbg/20200207/417960.shtml</v>
      </c>
      <c r="G10957" s="2"/>
      <c r="H10957" s="2" t="s">
        <v>14619</v>
      </c>
      <c r="I10957" s="2" t="s">
        <v>15</v>
      </c>
      <c r="J10957" s="2" t="s">
        <v>12</v>
      </c>
      <c r="K10957" s="2" t="s">
        <v>14618</v>
      </c>
      <c r="L10957" s="2">
        <f t="shared" si="171"/>
        <v>150</v>
      </c>
    </row>
    <row r="10958" spans="1:12" ht="25" customHeight="1">
      <c r="A10958" s="2" t="s">
        <v>12</v>
      </c>
      <c r="B10958" s="2" t="str">
        <f>HYPERLINK("http://www.12365auto.com/xcdg/20200207/417959.shtml","2020芝加哥车展：现代捷尼赛思GV80发布")</f>
        <v>2020芝加哥车展：现代捷尼赛思GV80发布</v>
      </c>
      <c r="C10958" s="2" t="s">
        <v>13</v>
      </c>
      <c r="D10958" s="2" t="s">
        <v>12</v>
      </c>
      <c r="E10958" s="2" t="s">
        <v>216</v>
      </c>
      <c r="F10958" s="2" t="str">
        <f>HYPERLINK("http://www.12365auto.com/xcdg/20200207/417959.shtml","http://www.12365auto.com/xcdg/20200207/417959.shtml")</f>
        <v>http://www.12365auto.com/xcdg/20200207/417959.shtml</v>
      </c>
      <c r="G10958" s="2"/>
      <c r="H10958" s="2" t="s">
        <v>14620</v>
      </c>
      <c r="I10958" s="2" t="s">
        <v>15</v>
      </c>
      <c r="J10958" s="2" t="s">
        <v>12</v>
      </c>
      <c r="K10958" s="2" t="s">
        <v>14621</v>
      </c>
      <c r="L10958" s="2">
        <f t="shared" si="171"/>
        <v>150</v>
      </c>
    </row>
    <row r="10959" spans="1:12" ht="25" customHeight="1">
      <c r="A10959" s="2" t="s">
        <v>12</v>
      </c>
      <c r="B10959" s="2" t="str">
        <f>HYPERLINK("http://m.12365auto.com/xcdg/20200207/417959.shtml","2020芝加哥车展：现代捷尼赛思GV80发布")</f>
        <v>2020芝加哥车展：现代捷尼赛思GV80发布</v>
      </c>
      <c r="C10959" s="2" t="s">
        <v>13</v>
      </c>
      <c r="D10959" s="2" t="s">
        <v>12</v>
      </c>
      <c r="E10959" s="2"/>
      <c r="F10959" s="2" t="str">
        <f>HYPERLINK("http://m.12365auto.com/xcdg/20200207/417959.shtml","http://m.12365auto.com/xcdg/20200207/417959.shtml")</f>
        <v>http://m.12365auto.com/xcdg/20200207/417959.shtml</v>
      </c>
      <c r="G10959" s="2"/>
      <c r="H10959" s="2" t="s">
        <v>14622</v>
      </c>
      <c r="I10959" s="2" t="s">
        <v>19</v>
      </c>
      <c r="J10959" s="2" t="s">
        <v>12</v>
      </c>
      <c r="K10959" s="2" t="s">
        <v>14621</v>
      </c>
      <c r="L10959" s="2">
        <f t="shared" si="171"/>
        <v>150</v>
      </c>
    </row>
    <row r="10960" spans="1:12" ht="25" customHeight="1">
      <c r="A10960" s="2" t="s">
        <v>12</v>
      </c>
      <c r="B10960" s="2" t="str">
        <f>HYPERLINK("http://m.12365auto.com/xcdg/20200207/417958.shtml","芝加哥车展：捷豹新款F-TYPE公布北美售价")</f>
        <v>芝加哥车展：捷豹新款F-TYPE公布北美售价</v>
      </c>
      <c r="C10960" s="2" t="s">
        <v>13</v>
      </c>
      <c r="D10960" s="2" t="s">
        <v>12</v>
      </c>
      <c r="E10960" s="2"/>
      <c r="F10960" s="2" t="str">
        <f>HYPERLINK("http://m.12365auto.com/xcdg/20200207/417958.shtml","http://m.12365auto.com/xcdg/20200207/417958.shtml")</f>
        <v>http://m.12365auto.com/xcdg/20200207/417958.shtml</v>
      </c>
      <c r="G10960" s="2"/>
      <c r="H10960" s="2" t="s">
        <v>14623</v>
      </c>
      <c r="I10960" s="2" t="s">
        <v>19</v>
      </c>
      <c r="J10960" s="2" t="s">
        <v>12</v>
      </c>
      <c r="K10960" s="2" t="s">
        <v>14624</v>
      </c>
      <c r="L10960" s="2">
        <f t="shared" si="171"/>
        <v>150</v>
      </c>
    </row>
    <row r="10961" spans="1:12" ht="25" customHeight="1">
      <c r="A10961" s="2" t="s">
        <v>12</v>
      </c>
      <c r="B10961" s="2" t="str">
        <f>HYPERLINK("http://www.12365auto.com/xcdg/20200207/417958.shtml","芝加哥车展：捷豹新款F-TYPE公布北美售价")</f>
        <v>芝加哥车展：捷豹新款F-TYPE公布北美售价</v>
      </c>
      <c r="C10961" s="2" t="s">
        <v>13</v>
      </c>
      <c r="D10961" s="2" t="s">
        <v>12</v>
      </c>
      <c r="E10961" s="2" t="s">
        <v>216</v>
      </c>
      <c r="F10961" s="2" t="str">
        <f>HYPERLINK("http://www.12365auto.com/xcdg/20200207/417958.shtml","http://www.12365auto.com/xcdg/20200207/417958.shtml")</f>
        <v>http://www.12365auto.com/xcdg/20200207/417958.shtml</v>
      </c>
      <c r="G10961" s="2"/>
      <c r="H10961" s="2" t="s">
        <v>14625</v>
      </c>
      <c r="I10961" s="2" t="s">
        <v>15</v>
      </c>
      <c r="J10961" s="2" t="s">
        <v>12</v>
      </c>
      <c r="K10961" s="2" t="s">
        <v>14624</v>
      </c>
      <c r="L10961" s="2">
        <f t="shared" si="171"/>
        <v>150</v>
      </c>
    </row>
    <row r="10962" spans="1:12" ht="25" customHeight="1">
      <c r="A10962" s="2" t="s">
        <v>12</v>
      </c>
      <c r="B10962" s="2" t="str">
        <f>HYPERLINK("http://www.12365auto.com/news/20200207/417957.shtml","电装季度营收下滑 下调财年营业利润预期")</f>
        <v>电装季度营收下滑 下调财年营业利润预期</v>
      </c>
      <c r="C10962" s="2" t="s">
        <v>13</v>
      </c>
      <c r="D10962" s="2" t="s">
        <v>12</v>
      </c>
      <c r="E10962" s="2" t="s">
        <v>276</v>
      </c>
      <c r="F10962" s="2" t="str">
        <f>HYPERLINK("http://www.12365auto.com/news/20200207/417957.shtml","http://www.12365auto.com/news/20200207/417957.shtml")</f>
        <v>http://www.12365auto.com/news/20200207/417957.shtml</v>
      </c>
      <c r="G10962" s="2"/>
      <c r="H10962" s="2" t="s">
        <v>14626</v>
      </c>
      <c r="I10962" s="2" t="s">
        <v>15</v>
      </c>
      <c r="J10962" s="2" t="s">
        <v>12</v>
      </c>
      <c r="K10962" s="2" t="s">
        <v>14627</v>
      </c>
      <c r="L10962" s="2">
        <f t="shared" si="171"/>
        <v>150</v>
      </c>
    </row>
    <row r="10963" spans="1:12" ht="25" customHeight="1">
      <c r="A10963" s="2" t="s">
        <v>12</v>
      </c>
      <c r="B10963" s="2" t="str">
        <f>HYPERLINK("http://m.12365auto.com/news/20200207/417957.shtml","电装季度营收下滑 下调财年营业利润预期")</f>
        <v>电装季度营收下滑 下调财年营业利润预期</v>
      </c>
      <c r="C10963" s="2" t="s">
        <v>13</v>
      </c>
      <c r="D10963" s="2" t="s">
        <v>12</v>
      </c>
      <c r="E10963" s="2"/>
      <c r="F10963" s="2" t="str">
        <f>HYPERLINK("http://m.12365auto.com/news/20200207/417957.shtml","http://m.12365auto.com/news/20200207/417957.shtml")</f>
        <v>http://m.12365auto.com/news/20200207/417957.shtml</v>
      </c>
      <c r="G10963" s="2"/>
      <c r="H10963" s="2" t="s">
        <v>14628</v>
      </c>
      <c r="I10963" s="2" t="s">
        <v>19</v>
      </c>
      <c r="J10963" s="2" t="s">
        <v>10605</v>
      </c>
      <c r="K10963" s="2" t="s">
        <v>14627</v>
      </c>
      <c r="L10963" s="2">
        <f t="shared" si="171"/>
        <v>150</v>
      </c>
    </row>
    <row r="10964" spans="1:12" ht="25" customHeight="1">
      <c r="A10964" s="2" t="s">
        <v>12</v>
      </c>
      <c r="B10964" s="2" t="str">
        <f>HYPERLINK("http://www.12365auto.com/news/20200207/417956.shtml","福特研发3D打印锁紧螺母 可防范车轮被盗")</f>
        <v>福特研发3D打印锁紧螺母 可防范车轮被盗</v>
      </c>
      <c r="C10964" s="2" t="s">
        <v>13</v>
      </c>
      <c r="D10964" s="2" t="s">
        <v>12</v>
      </c>
      <c r="E10964" s="2" t="s">
        <v>276</v>
      </c>
      <c r="F10964" s="2" t="str">
        <f>HYPERLINK("http://www.12365auto.com/news/20200207/417956.shtml","http://www.12365auto.com/news/20200207/417956.shtml")</f>
        <v>http://www.12365auto.com/news/20200207/417956.shtml</v>
      </c>
      <c r="G10964" s="2"/>
      <c r="H10964" s="2" t="s">
        <v>14629</v>
      </c>
      <c r="I10964" s="2" t="s">
        <v>15</v>
      </c>
      <c r="J10964" s="2" t="s">
        <v>12</v>
      </c>
      <c r="K10964" s="2" t="s">
        <v>14630</v>
      </c>
      <c r="L10964" s="2">
        <f t="shared" si="171"/>
        <v>150</v>
      </c>
    </row>
    <row r="10965" spans="1:12" ht="25" customHeight="1">
      <c r="A10965" s="2" t="s">
        <v>12</v>
      </c>
      <c r="B10965" s="2" t="str">
        <f>HYPERLINK("http://m.12365auto.com/news/20200207/417956.shtml","福特研发3D打印锁紧螺母 可防范车轮被盗")</f>
        <v>福特研发3D打印锁紧螺母 可防范车轮被盗</v>
      </c>
      <c r="C10965" s="2" t="s">
        <v>13</v>
      </c>
      <c r="D10965" s="2" t="s">
        <v>12</v>
      </c>
      <c r="E10965" s="2"/>
      <c r="F10965" s="2" t="str">
        <f>HYPERLINK("http://m.12365auto.com/news/20200207/417956.shtml","http://m.12365auto.com/news/20200207/417956.shtml")</f>
        <v>http://m.12365auto.com/news/20200207/417956.shtml</v>
      </c>
      <c r="G10965" s="2"/>
      <c r="H10965" s="2" t="s">
        <v>14631</v>
      </c>
      <c r="I10965" s="2" t="s">
        <v>19</v>
      </c>
      <c r="J10965" s="2" t="s">
        <v>1029</v>
      </c>
      <c r="K10965" s="2" t="s">
        <v>14630</v>
      </c>
      <c r="L10965" s="2">
        <f t="shared" si="171"/>
        <v>150</v>
      </c>
    </row>
    <row r="10966" spans="1:12" ht="25" customHeight="1">
      <c r="A10966" s="2" t="s">
        <v>12</v>
      </c>
      <c r="B10966" s="2" t="str">
        <f>HYPERLINK("http://www.12365auto.com/news/20200207/417955.shtml","新型车内空气再循环模式提高车内空气质量")</f>
        <v>新型车内空气再循环模式提高车内空气质量</v>
      </c>
      <c r="C10966" s="2" t="s">
        <v>13</v>
      </c>
      <c r="D10966" s="2" t="s">
        <v>12</v>
      </c>
      <c r="E10966" s="2" t="s">
        <v>282</v>
      </c>
      <c r="F10966" s="2" t="str">
        <f>HYPERLINK("http://www.12365auto.com/news/20200207/417955.shtml","http://www.12365auto.com/news/20200207/417955.shtml")</f>
        <v>http://www.12365auto.com/news/20200207/417955.shtml</v>
      </c>
      <c r="G10966" s="2"/>
      <c r="H10966" s="2" t="s">
        <v>14632</v>
      </c>
      <c r="I10966" s="2" t="s">
        <v>19</v>
      </c>
      <c r="J10966" s="2" t="s">
        <v>12</v>
      </c>
      <c r="K10966" s="2" t="s">
        <v>14633</v>
      </c>
      <c r="L10966" s="2">
        <f t="shared" si="171"/>
        <v>150</v>
      </c>
    </row>
    <row r="10967" spans="1:12" ht="25" customHeight="1">
      <c r="A10967" s="2" t="s">
        <v>12</v>
      </c>
      <c r="B10967" s="2" t="str">
        <f>HYPERLINK("http://m.12365auto.com/news/20200207/417955.shtml","新型车内空气再循环模式提高车内空气质量")</f>
        <v>新型车内空气再循环模式提高车内空气质量</v>
      </c>
      <c r="C10967" s="2" t="s">
        <v>13</v>
      </c>
      <c r="D10967" s="2" t="s">
        <v>12</v>
      </c>
      <c r="E10967" s="2"/>
      <c r="F10967" s="2" t="str">
        <f>HYPERLINK("http://m.12365auto.com/news/20200207/417955.shtml","http://m.12365auto.com/news/20200207/417955.shtml")</f>
        <v>http://m.12365auto.com/news/20200207/417955.shtml</v>
      </c>
      <c r="G10967" s="2"/>
      <c r="H10967" s="2" t="s">
        <v>14634</v>
      </c>
      <c r="I10967" s="2" t="s">
        <v>19</v>
      </c>
      <c r="J10967" s="2" t="s">
        <v>1029</v>
      </c>
      <c r="K10967" s="2" t="s">
        <v>14633</v>
      </c>
      <c r="L10967" s="2">
        <f t="shared" si="171"/>
        <v>150</v>
      </c>
    </row>
    <row r="10968" spans="1:12" ht="25" customHeight="1">
      <c r="A10968" s="2" t="s">
        <v>12</v>
      </c>
      <c r="B10968" s="2" t="str">
        <f>HYPERLINK("http://www.12365auto.com/zlts/20200207/446538.shtml","东南DX3行驶过程中底盘有异常响声")</f>
        <v>东南DX3行驶过程中底盘有异常响声</v>
      </c>
      <c r="C10968" s="2" t="s">
        <v>13</v>
      </c>
      <c r="D10968" s="2" t="s">
        <v>12</v>
      </c>
      <c r="E10968" s="2" t="s">
        <v>17</v>
      </c>
      <c r="F10968" s="2" t="str">
        <f>HYPERLINK("http://www.12365auto.com/zlts/20200207/446538.shtml","http://www.12365auto.com/zlts/20200207/446538.shtml")</f>
        <v>http://www.12365auto.com/zlts/20200207/446538.shtml</v>
      </c>
      <c r="G10968" s="2"/>
      <c r="H10968" s="2" t="s">
        <v>14635</v>
      </c>
      <c r="I10968" s="2" t="s">
        <v>19</v>
      </c>
      <c r="J10968" s="2" t="s">
        <v>12</v>
      </c>
      <c r="K10968" s="2" t="s">
        <v>14633</v>
      </c>
      <c r="L10968" s="2">
        <f t="shared" si="171"/>
        <v>150</v>
      </c>
    </row>
    <row r="10969" spans="1:12" ht="25" customHeight="1">
      <c r="A10969" s="2" t="s">
        <v>12</v>
      </c>
      <c r="B10969" s="2" t="str">
        <f>HYPERLINK("http://m.12365auto.com/news/20200207/417954.shtml","2019全球电动车销量再破200万 特斯拉夺冠")</f>
        <v>2019全球电动车销量再破200万 特斯拉夺冠</v>
      </c>
      <c r="C10969" s="2" t="s">
        <v>13</v>
      </c>
      <c r="D10969" s="2" t="s">
        <v>12</v>
      </c>
      <c r="E10969" s="2"/>
      <c r="F10969" s="2" t="str">
        <f>HYPERLINK("http://m.12365auto.com/news/20200207/417954.shtml","http://m.12365auto.com/news/20200207/417954.shtml")</f>
        <v>http://m.12365auto.com/news/20200207/417954.shtml</v>
      </c>
      <c r="G10969" s="2"/>
      <c r="H10969" s="2" t="s">
        <v>14636</v>
      </c>
      <c r="I10969" s="2" t="s">
        <v>19</v>
      </c>
      <c r="J10969" s="2" t="s">
        <v>10605</v>
      </c>
      <c r="K10969" s="2" t="s">
        <v>14637</v>
      </c>
      <c r="L10969" s="2">
        <f t="shared" si="171"/>
        <v>150</v>
      </c>
    </row>
    <row r="10970" spans="1:12" ht="25" customHeight="1">
      <c r="A10970" s="2" t="s">
        <v>12</v>
      </c>
      <c r="B10970" s="2" t="str">
        <f>HYPERLINK("http://www.12365auto.com/news/20200207/417954.shtml","2019全球电动车销量再破200万 特斯拉夺冠")</f>
        <v>2019全球电动车销量再破200万 特斯拉夺冠</v>
      </c>
      <c r="C10970" s="2" t="s">
        <v>13</v>
      </c>
      <c r="D10970" s="2" t="s">
        <v>12</v>
      </c>
      <c r="E10970" s="2" t="s">
        <v>282</v>
      </c>
      <c r="F10970" s="2" t="str">
        <f>HYPERLINK("http://www.12365auto.com/news/20200207/417954.shtml","http://www.12365auto.com/news/20200207/417954.shtml")</f>
        <v>http://www.12365auto.com/news/20200207/417954.shtml</v>
      </c>
      <c r="G10970" s="2"/>
      <c r="H10970" s="2" t="s">
        <v>14638</v>
      </c>
      <c r="I10970" s="2" t="s">
        <v>19</v>
      </c>
      <c r="J10970" s="2" t="s">
        <v>12</v>
      </c>
      <c r="K10970" s="2" t="s">
        <v>14637</v>
      </c>
      <c r="L10970" s="2">
        <f t="shared" si="171"/>
        <v>150</v>
      </c>
    </row>
    <row r="10971" spans="1:12" ht="25" customHeight="1">
      <c r="A10971" s="2" t="s">
        <v>12</v>
      </c>
      <c r="B10971" s="2" t="str">
        <f>HYPERLINK("http://www.12365auto.com/news/20200207/417953.shtml","年度销量超丰田汽车 大众集团2019年再折桂")</f>
        <v>年度销量超丰田汽车 大众集团2019年再折桂</v>
      </c>
      <c r="C10971" s="2" t="s">
        <v>13</v>
      </c>
      <c r="D10971" s="2" t="s">
        <v>12</v>
      </c>
      <c r="E10971" s="2" t="s">
        <v>276</v>
      </c>
      <c r="F10971" s="2" t="str">
        <f>HYPERLINK("http://www.12365auto.com/news/20200207/417953.shtml","http://www.12365auto.com/news/20200207/417953.shtml")</f>
        <v>http://www.12365auto.com/news/20200207/417953.shtml</v>
      </c>
      <c r="G10971" s="2"/>
      <c r="H10971" s="2" t="s">
        <v>14639</v>
      </c>
      <c r="I10971" s="2" t="s">
        <v>15</v>
      </c>
      <c r="J10971" s="2" t="s">
        <v>12</v>
      </c>
      <c r="K10971" s="2" t="s">
        <v>14640</v>
      </c>
      <c r="L10971" s="2">
        <f t="shared" si="171"/>
        <v>150</v>
      </c>
    </row>
    <row r="10972" spans="1:12" ht="25" customHeight="1">
      <c r="A10972" s="2" t="s">
        <v>12</v>
      </c>
      <c r="B10972" s="2" t="str">
        <f>HYPERLINK("http://m.12365auto.com/news/20200207/417953.shtml","年度销量超丰田汽车 大众集团2019年再折桂")</f>
        <v>年度销量超丰田汽车 大众集团2019年再折桂</v>
      </c>
      <c r="C10972" s="2" t="s">
        <v>13</v>
      </c>
      <c r="D10972" s="2" t="s">
        <v>12</v>
      </c>
      <c r="E10972" s="2"/>
      <c r="F10972" s="2" t="str">
        <f>HYPERLINK("http://m.12365auto.com/news/20200207/417953.shtml","http://m.12365auto.com/news/20200207/417953.shtml")</f>
        <v>http://m.12365auto.com/news/20200207/417953.shtml</v>
      </c>
      <c r="G10972" s="2"/>
      <c r="H10972" s="2" t="s">
        <v>14641</v>
      </c>
      <c r="I10972" s="2" t="s">
        <v>19</v>
      </c>
      <c r="J10972" s="2" t="s">
        <v>10605</v>
      </c>
      <c r="K10972" s="2" t="s">
        <v>14640</v>
      </c>
      <c r="L10972" s="2">
        <f t="shared" si="171"/>
        <v>150</v>
      </c>
    </row>
    <row r="10973" spans="1:12" ht="25" customHeight="1">
      <c r="A10973" s="2" t="s">
        <v>12</v>
      </c>
      <c r="B10973" s="2" t="str">
        <f>HYPERLINK("http://www.12365auto.com/news/20200207/417952.shtml","英国能源机构发布计划 实现千万电动车销量")</f>
        <v>英国能源机构发布计划 实现千万电动车销量</v>
      </c>
      <c r="C10973" s="2" t="s">
        <v>13</v>
      </c>
      <c r="D10973" s="2" t="s">
        <v>12</v>
      </c>
      <c r="E10973" s="2" t="s">
        <v>276</v>
      </c>
      <c r="F10973" s="2" t="str">
        <f>HYPERLINK("http://www.12365auto.com/news/20200207/417952.shtml","http://www.12365auto.com/news/20200207/417952.shtml")</f>
        <v>http://www.12365auto.com/news/20200207/417952.shtml</v>
      </c>
      <c r="G10973" s="2"/>
      <c r="H10973" s="2" t="s">
        <v>14642</v>
      </c>
      <c r="I10973" s="2" t="s">
        <v>15</v>
      </c>
      <c r="J10973" s="2" t="s">
        <v>12</v>
      </c>
      <c r="K10973" s="2" t="s">
        <v>14643</v>
      </c>
      <c r="L10973" s="2">
        <f t="shared" si="171"/>
        <v>150</v>
      </c>
    </row>
    <row r="10974" spans="1:12" ht="25" customHeight="1">
      <c r="A10974" s="2" t="s">
        <v>12</v>
      </c>
      <c r="B10974" s="2" t="str">
        <f>HYPERLINK("http://m.12365auto.com/news/20200207/417952.shtml","英国能源机构发布计划 实现千万电动车销量")</f>
        <v>英国能源机构发布计划 实现千万电动车销量</v>
      </c>
      <c r="C10974" s="2" t="s">
        <v>13</v>
      </c>
      <c r="D10974" s="2" t="s">
        <v>12</v>
      </c>
      <c r="E10974" s="2"/>
      <c r="F10974" s="2" t="str">
        <f>HYPERLINK("http://m.12365auto.com/news/20200207/417952.shtml","http://m.12365auto.com/news/20200207/417952.shtml")</f>
        <v>http://m.12365auto.com/news/20200207/417952.shtml</v>
      </c>
      <c r="G10974" s="2"/>
      <c r="H10974" s="2" t="s">
        <v>14644</v>
      </c>
      <c r="I10974" s="2" t="s">
        <v>19</v>
      </c>
      <c r="J10974" s="2" t="s">
        <v>1041</v>
      </c>
      <c r="K10974" s="2" t="s">
        <v>14643</v>
      </c>
      <c r="L10974" s="2">
        <f t="shared" si="171"/>
        <v>150</v>
      </c>
    </row>
    <row r="10975" spans="1:12" ht="25" customHeight="1">
      <c r="A10975" s="2" t="s">
        <v>12</v>
      </c>
      <c r="B10975" s="2" t="str">
        <f>HYPERLINK("http://m.12365auto.com/news/20200207/417951.shtml","再上涨 挪威电动汽车1月市场份额达44%")</f>
        <v>再上涨 挪威电动汽车1月市场份额达44%</v>
      </c>
      <c r="C10975" s="2" t="s">
        <v>13</v>
      </c>
      <c r="D10975" s="2" t="s">
        <v>12</v>
      </c>
      <c r="E10975" s="2"/>
      <c r="F10975" s="2" t="str">
        <f>HYPERLINK("http://m.12365auto.com/news/20200207/417951.shtml","http://m.12365auto.com/news/20200207/417951.shtml")</f>
        <v>http://m.12365auto.com/news/20200207/417951.shtml</v>
      </c>
      <c r="G10975" s="2"/>
      <c r="H10975" s="2" t="s">
        <v>14645</v>
      </c>
      <c r="I10975" s="2" t="s">
        <v>19</v>
      </c>
      <c r="J10975" s="2" t="s">
        <v>1041</v>
      </c>
      <c r="K10975" s="2" t="s">
        <v>14646</v>
      </c>
      <c r="L10975" s="2">
        <f t="shared" si="171"/>
        <v>150</v>
      </c>
    </row>
    <row r="10976" spans="1:12" ht="25" customHeight="1">
      <c r="A10976" s="2" t="s">
        <v>12</v>
      </c>
      <c r="B10976" s="2" t="str">
        <f>HYPERLINK("http://www.12365auto.com/news/20200207/417951.shtml","再上涨 挪威电动汽车1月市场份额达44%")</f>
        <v>再上涨 挪威电动汽车1月市场份额达44%</v>
      </c>
      <c r="C10976" s="2" t="s">
        <v>13</v>
      </c>
      <c r="D10976" s="2" t="s">
        <v>12</v>
      </c>
      <c r="E10976" s="2" t="s">
        <v>276</v>
      </c>
      <c r="F10976" s="2" t="str">
        <f>HYPERLINK("http://www.12365auto.com/news/20200207/417951.shtml","http://www.12365auto.com/news/20200207/417951.shtml")</f>
        <v>http://www.12365auto.com/news/20200207/417951.shtml</v>
      </c>
      <c r="G10976" s="2"/>
      <c r="H10976" s="2" t="s">
        <v>14647</v>
      </c>
      <c r="I10976" s="2" t="s">
        <v>15</v>
      </c>
      <c r="J10976" s="2" t="s">
        <v>12</v>
      </c>
      <c r="K10976" s="2" t="s">
        <v>14646</v>
      </c>
      <c r="L10976" s="2">
        <f t="shared" si="171"/>
        <v>150</v>
      </c>
    </row>
    <row r="10977" spans="1:12" ht="25" customHeight="1">
      <c r="A10977" s="2" t="s">
        <v>12</v>
      </c>
      <c r="B10977" s="2" t="str">
        <f>HYPERLINK("http://m.12365auto.com/news/20200207/417950.shtml","松下特斯拉合资电池业务首次赢利 股价上涨")</f>
        <v>松下特斯拉合资电池业务首次赢利 股价上涨</v>
      </c>
      <c r="C10977" s="2" t="s">
        <v>13</v>
      </c>
      <c r="D10977" s="2" t="s">
        <v>12</v>
      </c>
      <c r="E10977" s="2"/>
      <c r="F10977" s="2" t="str">
        <f>HYPERLINK("http://m.12365auto.com/news/20200207/417950.shtml","http://m.12365auto.com/news/20200207/417950.shtml")</f>
        <v>http://m.12365auto.com/news/20200207/417950.shtml</v>
      </c>
      <c r="G10977" s="2"/>
      <c r="H10977" s="2" t="s">
        <v>14648</v>
      </c>
      <c r="I10977" s="2" t="s">
        <v>19</v>
      </c>
      <c r="J10977" s="2" t="s">
        <v>1041</v>
      </c>
      <c r="K10977" s="2" t="s">
        <v>14649</v>
      </c>
      <c r="L10977" s="2">
        <f t="shared" si="171"/>
        <v>150</v>
      </c>
    </row>
    <row r="10978" spans="1:12" ht="25" customHeight="1">
      <c r="A10978" s="2" t="s">
        <v>12</v>
      </c>
      <c r="B10978" s="2" t="str">
        <f>HYPERLINK("http://www.12365auto.com/news/20200207/417950.shtml","松下特斯拉合资电池业务首次赢利 股价上涨")</f>
        <v>松下特斯拉合资电池业务首次赢利 股价上涨</v>
      </c>
      <c r="C10978" s="2" t="s">
        <v>13</v>
      </c>
      <c r="D10978" s="2" t="s">
        <v>12</v>
      </c>
      <c r="E10978" s="2" t="s">
        <v>276</v>
      </c>
      <c r="F10978" s="2" t="str">
        <f>HYPERLINK("http://www.12365auto.com/news/20200207/417950.shtml","http://www.12365auto.com/news/20200207/417950.shtml")</f>
        <v>http://www.12365auto.com/news/20200207/417950.shtml</v>
      </c>
      <c r="G10978" s="2"/>
      <c r="H10978" s="2" t="s">
        <v>14650</v>
      </c>
      <c r="I10978" s="2" t="s">
        <v>15</v>
      </c>
      <c r="J10978" s="2" t="s">
        <v>12</v>
      </c>
      <c r="K10978" s="2" t="s">
        <v>14649</v>
      </c>
      <c r="L10978" s="2">
        <f t="shared" si="171"/>
        <v>150</v>
      </c>
    </row>
    <row r="10979" spans="1:12" ht="25" customHeight="1">
      <c r="A10979" s="2" t="s">
        <v>12</v>
      </c>
      <c r="B10979" s="2" t="str">
        <f>HYPERLINK("http://www.12365auto.com/xcdg/20200207/417949.shtml","雷诺新款梅甘娜官图发布 增加混动版本")</f>
        <v>雷诺新款梅甘娜官图发布 增加混动版本</v>
      </c>
      <c r="C10979" s="2" t="s">
        <v>13</v>
      </c>
      <c r="D10979" s="2" t="s">
        <v>12</v>
      </c>
      <c r="E10979" s="2" t="s">
        <v>245</v>
      </c>
      <c r="F10979" s="2" t="str">
        <f>HYPERLINK("http://www.12365auto.com/xcdg/20200207/417949.shtml","http://www.12365auto.com/xcdg/20200207/417949.shtml")</f>
        <v>http://www.12365auto.com/xcdg/20200207/417949.shtml</v>
      </c>
      <c r="G10979" s="2"/>
      <c r="H10979" s="2" t="s">
        <v>14651</v>
      </c>
      <c r="I10979" s="2" t="s">
        <v>19</v>
      </c>
      <c r="J10979" s="2" t="s">
        <v>12</v>
      </c>
      <c r="K10979" s="2" t="s">
        <v>14652</v>
      </c>
      <c r="L10979" s="2">
        <f t="shared" si="171"/>
        <v>150</v>
      </c>
    </row>
    <row r="10980" spans="1:12" ht="25" customHeight="1">
      <c r="A10980" s="2" t="s">
        <v>12</v>
      </c>
      <c r="B10980" s="2" t="str">
        <f>HYPERLINK("http://m.12365auto.com/xcdg/20200207/417949.shtml","雷诺新款梅甘娜官图发布 增加混动版本")</f>
        <v>雷诺新款梅甘娜官图发布 增加混动版本</v>
      </c>
      <c r="C10980" s="2" t="s">
        <v>13</v>
      </c>
      <c r="D10980" s="2" t="s">
        <v>12</v>
      </c>
      <c r="E10980" s="2"/>
      <c r="F10980" s="2" t="str">
        <f>HYPERLINK("http://m.12365auto.com/xcdg/20200207/417949.shtml","http://m.12365auto.com/xcdg/20200207/417949.shtml")</f>
        <v>http://m.12365auto.com/xcdg/20200207/417949.shtml</v>
      </c>
      <c r="G10980" s="2"/>
      <c r="H10980" s="2" t="s">
        <v>14653</v>
      </c>
      <c r="I10980" s="2" t="s">
        <v>19</v>
      </c>
      <c r="J10980" s="2" t="s">
        <v>14654</v>
      </c>
      <c r="K10980" s="2" t="s">
        <v>14652</v>
      </c>
      <c r="L10980" s="2">
        <f t="shared" si="171"/>
        <v>150</v>
      </c>
    </row>
    <row r="10981" spans="1:12" ht="25" customHeight="1">
      <c r="A10981" s="2" t="s">
        <v>12</v>
      </c>
      <c r="B10981" s="2" t="str">
        <f>HYPERLINK("http://m.12365auto.com/xcdg/20200207/417948.shtml","2021款奔驰C级路试谍照 或于11月亮相洛杉矶")</f>
        <v>2021款奔驰C级路试谍照 或于11月亮相洛杉矶</v>
      </c>
      <c r="C10981" s="2" t="s">
        <v>13</v>
      </c>
      <c r="D10981" s="2" t="s">
        <v>12</v>
      </c>
      <c r="E10981" s="2"/>
      <c r="F10981" s="2" t="str">
        <f>HYPERLINK("http://m.12365auto.com/xcdg/20200207/417948.shtml","http://m.12365auto.com/xcdg/20200207/417948.shtml")</f>
        <v>http://m.12365auto.com/xcdg/20200207/417948.shtml</v>
      </c>
      <c r="G10981" s="2"/>
      <c r="H10981" s="2" t="s">
        <v>14655</v>
      </c>
      <c r="I10981" s="2" t="s">
        <v>19</v>
      </c>
      <c r="J10981" s="2" t="s">
        <v>12</v>
      </c>
      <c r="K10981" s="2" t="s">
        <v>14656</v>
      </c>
      <c r="L10981" s="2">
        <f t="shared" si="171"/>
        <v>150</v>
      </c>
    </row>
    <row r="10982" spans="1:12" ht="25" customHeight="1">
      <c r="A10982" s="2" t="s">
        <v>12</v>
      </c>
      <c r="B10982" s="2" t="str">
        <f>HYPERLINK("http://www.12365auto.com/xcdg/20200207/417948.shtml","2021款奔驰C级路试谍照 或于11月亮相洛杉矶")</f>
        <v>2021款奔驰C级路试谍照 或于11月亮相洛杉矶</v>
      </c>
      <c r="C10982" s="2" t="s">
        <v>13</v>
      </c>
      <c r="D10982" s="2" t="s">
        <v>12</v>
      </c>
      <c r="E10982" s="2" t="s">
        <v>224</v>
      </c>
      <c r="F10982" s="2" t="str">
        <f>HYPERLINK("http://www.12365auto.com/xcdg/20200207/417948.shtml","http://www.12365auto.com/xcdg/20200207/417948.shtml")</f>
        <v>http://www.12365auto.com/xcdg/20200207/417948.shtml</v>
      </c>
      <c r="G10982" s="2"/>
      <c r="H10982" s="2" t="s">
        <v>14657</v>
      </c>
      <c r="I10982" s="2" t="s">
        <v>15</v>
      </c>
      <c r="J10982" s="2" t="s">
        <v>12</v>
      </c>
      <c r="K10982" s="2" t="s">
        <v>14656</v>
      </c>
      <c r="L10982" s="2">
        <f t="shared" si="171"/>
        <v>150</v>
      </c>
    </row>
    <row r="10983" spans="1:12" ht="25" customHeight="1">
      <c r="A10983" s="2" t="s">
        <v>12</v>
      </c>
      <c r="B10983" s="2" t="str">
        <f>HYPERLINK("http://www.12365auto.com/xcdg/20200207/417947.shtml","新现代Santa Cruz谍照曝光 或于年底前发布")</f>
        <v>新现代Santa Cruz谍照曝光 或于年底前发布</v>
      </c>
      <c r="C10983" s="2" t="s">
        <v>13</v>
      </c>
      <c r="D10983" s="2" t="s">
        <v>12</v>
      </c>
      <c r="E10983" s="2" t="s">
        <v>224</v>
      </c>
      <c r="F10983" s="2" t="str">
        <f>HYPERLINK("http://www.12365auto.com/xcdg/20200207/417947.shtml","http://www.12365auto.com/xcdg/20200207/417947.shtml")</f>
        <v>http://www.12365auto.com/xcdg/20200207/417947.shtml</v>
      </c>
      <c r="G10983" s="2"/>
      <c r="H10983" s="2" t="s">
        <v>14658</v>
      </c>
      <c r="I10983" s="2" t="s">
        <v>15</v>
      </c>
      <c r="J10983" s="2" t="s">
        <v>12</v>
      </c>
      <c r="K10983" s="2" t="s">
        <v>14659</v>
      </c>
      <c r="L10983" s="2">
        <f t="shared" si="171"/>
        <v>150</v>
      </c>
    </row>
    <row r="10984" spans="1:12" ht="25" customHeight="1">
      <c r="A10984" s="2" t="s">
        <v>12</v>
      </c>
      <c r="B10984" s="2" t="str">
        <f>HYPERLINK("http://m.12365auto.com/xcdg/20200207/417947.shtml","新现代Santa Cruz谍照曝光 或于年底前发布")</f>
        <v>新现代Santa Cruz谍照曝光 或于年底前发布</v>
      </c>
      <c r="C10984" s="2" t="s">
        <v>13</v>
      </c>
      <c r="D10984" s="2" t="s">
        <v>12</v>
      </c>
      <c r="E10984" s="2"/>
      <c r="F10984" s="2" t="str">
        <f>HYPERLINK("http://m.12365auto.com/xcdg/20200207/417947.shtml","http://m.12365auto.com/xcdg/20200207/417947.shtml")</f>
        <v>http://m.12365auto.com/xcdg/20200207/417947.shtml</v>
      </c>
      <c r="G10984" s="2"/>
      <c r="H10984" s="2" t="s">
        <v>14660</v>
      </c>
      <c r="I10984" s="2" t="s">
        <v>19</v>
      </c>
      <c r="J10984" s="2" t="s">
        <v>12</v>
      </c>
      <c r="K10984" s="2" t="s">
        <v>14659</v>
      </c>
      <c r="L10984" s="2">
        <f t="shared" si="171"/>
        <v>150</v>
      </c>
    </row>
    <row r="10985" spans="1:12" ht="25" customHeight="1">
      <c r="A10985" s="2" t="s">
        <v>12</v>
      </c>
      <c r="B10985" s="2" t="str">
        <f>HYPERLINK("http://m.12365auto.com/xcdg/20200207/417946.shtml","新款劳斯莱斯古斯特谍照曝光 或于年底发布")</f>
        <v>新款劳斯莱斯古斯特谍照曝光 或于年底发布</v>
      </c>
      <c r="C10985" s="2" t="s">
        <v>13</v>
      </c>
      <c r="D10985" s="2" t="s">
        <v>12</v>
      </c>
      <c r="E10985" s="2"/>
      <c r="F10985" s="2" t="str">
        <f>HYPERLINK("http://m.12365auto.com/xcdg/20200207/417946.shtml","http://m.12365auto.com/xcdg/20200207/417946.shtml")</f>
        <v>http://m.12365auto.com/xcdg/20200207/417946.shtml</v>
      </c>
      <c r="G10985" s="2"/>
      <c r="H10985" s="2" t="s">
        <v>14661</v>
      </c>
      <c r="I10985" s="2" t="s">
        <v>19</v>
      </c>
      <c r="J10985" s="2" t="s">
        <v>12</v>
      </c>
      <c r="K10985" s="2" t="s">
        <v>14662</v>
      </c>
      <c r="L10985" s="2">
        <f t="shared" si="171"/>
        <v>150</v>
      </c>
    </row>
    <row r="10986" spans="1:12" ht="25" customHeight="1">
      <c r="A10986" s="2" t="s">
        <v>12</v>
      </c>
      <c r="B10986" s="2" t="str">
        <f>HYPERLINK("http://www.12365auto.com/xcdg/20200207/417946.shtml","新款劳斯莱斯古斯特谍照曝光 或于年底发布")</f>
        <v>新款劳斯莱斯古斯特谍照曝光 或于年底发布</v>
      </c>
      <c r="C10986" s="2" t="s">
        <v>13</v>
      </c>
      <c r="D10986" s="2" t="s">
        <v>12</v>
      </c>
      <c r="E10986" s="2" t="s">
        <v>224</v>
      </c>
      <c r="F10986" s="2" t="str">
        <f>HYPERLINK("http://www.12365auto.com/xcdg/20200207/417946.shtml","http://www.12365auto.com/xcdg/20200207/417946.shtml")</f>
        <v>http://www.12365auto.com/xcdg/20200207/417946.shtml</v>
      </c>
      <c r="G10986" s="2"/>
      <c r="H10986" s="2" t="s">
        <v>14663</v>
      </c>
      <c r="I10986" s="2" t="s">
        <v>15</v>
      </c>
      <c r="J10986" s="2" t="s">
        <v>12</v>
      </c>
      <c r="K10986" s="2" t="s">
        <v>14662</v>
      </c>
      <c r="L10986" s="2">
        <f t="shared" si="171"/>
        <v>150</v>
      </c>
    </row>
    <row r="10987" spans="1:12" ht="25" customHeight="1">
      <c r="A10987" s="2" t="s">
        <v>12</v>
      </c>
      <c r="B10987" s="2" t="str">
        <f>HYPERLINK("http://m.12365auto.com/xcdg/20200207/417945.shtml","零跑T03将上市 配L2级驾辅续航400公里")</f>
        <v>零跑T03将上市 配L2级驾辅续航400公里</v>
      </c>
      <c r="C10987" s="2" t="s">
        <v>13</v>
      </c>
      <c r="D10987" s="2" t="s">
        <v>12</v>
      </c>
      <c r="E10987" s="2"/>
      <c r="F10987" s="2" t="str">
        <f>HYPERLINK("http://m.12365auto.com/xcdg/20200207/417945.shtml","http://m.12365auto.com/xcdg/20200207/417945.shtml")</f>
        <v>http://m.12365auto.com/xcdg/20200207/417945.shtml</v>
      </c>
      <c r="G10987" s="2"/>
      <c r="H10987" s="2" t="s">
        <v>14664</v>
      </c>
      <c r="I10987" s="2" t="s">
        <v>19</v>
      </c>
      <c r="J10987" s="2" t="s">
        <v>12</v>
      </c>
      <c r="K10987" s="2" t="s">
        <v>14665</v>
      </c>
      <c r="L10987" s="2">
        <f t="shared" si="171"/>
        <v>150</v>
      </c>
    </row>
    <row r="10988" spans="1:12" ht="25" customHeight="1">
      <c r="A10988" s="2" t="s">
        <v>12</v>
      </c>
      <c r="B10988" s="2" t="str">
        <f>HYPERLINK("http://www.12365auto.com/xcdg/20200207/417945.shtml","零跑T03将上市 配L2级驾辅续航400公里")</f>
        <v>零跑T03将上市 配L2级驾辅续航400公里</v>
      </c>
      <c r="C10988" s="2" t="s">
        <v>13</v>
      </c>
      <c r="D10988" s="2" t="s">
        <v>12</v>
      </c>
      <c r="E10988" s="2" t="s">
        <v>216</v>
      </c>
      <c r="F10988" s="2" t="str">
        <f>HYPERLINK("http://www.12365auto.com/xcdg/20200207/417945.shtml","http://www.12365auto.com/xcdg/20200207/417945.shtml")</f>
        <v>http://www.12365auto.com/xcdg/20200207/417945.shtml</v>
      </c>
      <c r="G10988" s="2"/>
      <c r="H10988" s="2" t="s">
        <v>14666</v>
      </c>
      <c r="I10988" s="2" t="s">
        <v>15</v>
      </c>
      <c r="J10988" s="2" t="s">
        <v>12</v>
      </c>
      <c r="K10988" s="2" t="s">
        <v>14665</v>
      </c>
      <c r="L10988" s="2">
        <f t="shared" si="171"/>
        <v>150</v>
      </c>
    </row>
    <row r="10989" spans="1:12" ht="25" customHeight="1">
      <c r="A10989" s="2" t="s">
        <v>12</v>
      </c>
      <c r="B10989" s="2" t="str">
        <f>HYPERLINK("http://m.12365auto.com/xcdg/20200207/417944.shtml","全新起亚索兰托无伪谍照 日内瓦车展首发")</f>
        <v>全新起亚索兰托无伪谍照 日内瓦车展首发</v>
      </c>
      <c r="C10989" s="2" t="s">
        <v>13</v>
      </c>
      <c r="D10989" s="2" t="s">
        <v>12</v>
      </c>
      <c r="E10989" s="2"/>
      <c r="F10989" s="2" t="str">
        <f>HYPERLINK("http://m.12365auto.com/xcdg/20200207/417944.shtml","http://m.12365auto.com/xcdg/20200207/417944.shtml")</f>
        <v>http://m.12365auto.com/xcdg/20200207/417944.shtml</v>
      </c>
      <c r="G10989" s="2"/>
      <c r="H10989" s="2" t="s">
        <v>14667</v>
      </c>
      <c r="I10989" s="2" t="s">
        <v>19</v>
      </c>
      <c r="J10989" s="2" t="s">
        <v>12</v>
      </c>
      <c r="K10989" s="2" t="s">
        <v>14668</v>
      </c>
      <c r="L10989" s="2">
        <f t="shared" si="171"/>
        <v>150</v>
      </c>
    </row>
    <row r="10990" spans="1:12" ht="25" customHeight="1">
      <c r="A10990" s="2" t="s">
        <v>12</v>
      </c>
      <c r="B10990" s="2" t="str">
        <f>HYPERLINK("http://www.12365auto.com/xcdg/20200207/417944.shtml","全新起亚索兰托无伪谍照 日内瓦车展首发")</f>
        <v>全新起亚索兰托无伪谍照 日内瓦车展首发</v>
      </c>
      <c r="C10990" s="2" t="s">
        <v>13</v>
      </c>
      <c r="D10990" s="2" t="s">
        <v>12</v>
      </c>
      <c r="E10990" s="2" t="s">
        <v>224</v>
      </c>
      <c r="F10990" s="2" t="str">
        <f>HYPERLINK("http://www.12365auto.com/xcdg/20200207/417944.shtml","http://www.12365auto.com/xcdg/20200207/417944.shtml")</f>
        <v>http://www.12365auto.com/xcdg/20200207/417944.shtml</v>
      </c>
      <c r="G10990" s="2"/>
      <c r="H10990" s="2" t="s">
        <v>14669</v>
      </c>
      <c r="I10990" s="2" t="s">
        <v>15</v>
      </c>
      <c r="J10990" s="2" t="s">
        <v>12</v>
      </c>
      <c r="K10990" s="2" t="s">
        <v>14668</v>
      </c>
      <c r="L10990" s="2">
        <f t="shared" si="171"/>
        <v>150</v>
      </c>
    </row>
    <row r="10991" spans="1:12" ht="25" customHeight="1">
      <c r="A10991" s="2" t="s">
        <v>12</v>
      </c>
      <c r="B10991" s="2" t="str">
        <f>HYPERLINK("http://www.12365auto.com/xcdg/20200207/417943.shtml","路虎纯电动轿车假想图曝光 续航将达到482km")</f>
        <v>路虎纯电动轿车假想图曝光 续航将达到482km</v>
      </c>
      <c r="C10991" s="2" t="s">
        <v>13</v>
      </c>
      <c r="D10991" s="2" t="s">
        <v>12</v>
      </c>
      <c r="E10991" s="2" t="s">
        <v>216</v>
      </c>
      <c r="F10991" s="2" t="str">
        <f>HYPERLINK("http://www.12365auto.com/xcdg/20200207/417943.shtml","http://www.12365auto.com/xcdg/20200207/417943.shtml")</f>
        <v>http://www.12365auto.com/xcdg/20200207/417943.shtml</v>
      </c>
      <c r="G10991" s="2"/>
      <c r="H10991" s="2" t="s">
        <v>14670</v>
      </c>
      <c r="I10991" s="2" t="s">
        <v>15</v>
      </c>
      <c r="J10991" s="2" t="s">
        <v>12</v>
      </c>
      <c r="K10991" s="2" t="s">
        <v>14671</v>
      </c>
      <c r="L10991" s="2">
        <f t="shared" si="171"/>
        <v>150</v>
      </c>
    </row>
    <row r="10992" spans="1:12" ht="25" customHeight="1">
      <c r="A10992" s="2" t="s">
        <v>12</v>
      </c>
      <c r="B10992" s="2" t="str">
        <f>HYPERLINK("http://m.12365auto.com/xcdg/20200207/417943.shtml","路虎纯电动轿车假想图曝光 续航将达到482km")</f>
        <v>路虎纯电动轿车假想图曝光 续航将达到482km</v>
      </c>
      <c r="C10992" s="2" t="s">
        <v>13</v>
      </c>
      <c r="D10992" s="2" t="s">
        <v>12</v>
      </c>
      <c r="E10992" s="2"/>
      <c r="F10992" s="2" t="str">
        <f>HYPERLINK("http://m.12365auto.com/xcdg/20200207/417943.shtml","http://m.12365auto.com/xcdg/20200207/417943.shtml")</f>
        <v>http://m.12365auto.com/xcdg/20200207/417943.shtml</v>
      </c>
      <c r="G10992" s="2"/>
      <c r="H10992" s="2" t="s">
        <v>14672</v>
      </c>
      <c r="I10992" s="2" t="s">
        <v>19</v>
      </c>
      <c r="J10992" s="2" t="s">
        <v>12</v>
      </c>
      <c r="K10992" s="2" t="s">
        <v>14671</v>
      </c>
      <c r="L10992" s="2">
        <f t="shared" si="171"/>
        <v>150</v>
      </c>
    </row>
    <row r="10993" spans="1:12" ht="25" customHeight="1">
      <c r="A10993" s="2" t="s">
        <v>12</v>
      </c>
      <c r="B10993" s="2" t="str">
        <f>HYPERLINK("http://www.12365auto.com/xcdg/20200207/417942.shtml","起亚将推全新小型SUV 年内亮相/年底开售")</f>
        <v>起亚将推全新小型SUV 年内亮相/年底开售</v>
      </c>
      <c r="C10993" s="2" t="s">
        <v>13</v>
      </c>
      <c r="D10993" s="2" t="s">
        <v>12</v>
      </c>
      <c r="E10993" s="2" t="s">
        <v>216</v>
      </c>
      <c r="F10993" s="2" t="str">
        <f>HYPERLINK("http://www.12365auto.com/xcdg/20200207/417942.shtml","http://www.12365auto.com/xcdg/20200207/417942.shtml")</f>
        <v>http://www.12365auto.com/xcdg/20200207/417942.shtml</v>
      </c>
      <c r="G10993" s="2"/>
      <c r="H10993" s="2" t="s">
        <v>14673</v>
      </c>
      <c r="I10993" s="2" t="s">
        <v>15</v>
      </c>
      <c r="J10993" s="2" t="s">
        <v>12</v>
      </c>
      <c r="K10993" s="2" t="s">
        <v>14674</v>
      </c>
      <c r="L10993" s="2">
        <f t="shared" si="171"/>
        <v>150</v>
      </c>
    </row>
    <row r="10994" spans="1:12" ht="25" customHeight="1">
      <c r="A10994" s="2" t="s">
        <v>12</v>
      </c>
      <c r="B10994" s="2" t="str">
        <f>HYPERLINK("http://m.12365auto.com/xcdg/20200207/417942.shtml","起亚将推全新小型SUV 年内亮相/年底开售")</f>
        <v>起亚将推全新小型SUV 年内亮相/年底开售</v>
      </c>
      <c r="C10994" s="2" t="s">
        <v>13</v>
      </c>
      <c r="D10994" s="2" t="s">
        <v>12</v>
      </c>
      <c r="E10994" s="2"/>
      <c r="F10994" s="2" t="str">
        <f>HYPERLINK("http://m.12365auto.com/xcdg/20200207/417942.shtml","http://m.12365auto.com/xcdg/20200207/417942.shtml")</f>
        <v>http://m.12365auto.com/xcdg/20200207/417942.shtml</v>
      </c>
      <c r="G10994" s="2"/>
      <c r="H10994" s="2" t="s">
        <v>14675</v>
      </c>
      <c r="I10994" s="2" t="s">
        <v>19</v>
      </c>
      <c r="J10994" s="2" t="s">
        <v>220</v>
      </c>
      <c r="K10994" s="2" t="s">
        <v>14674</v>
      </c>
      <c r="L10994" s="2">
        <f t="shared" si="171"/>
        <v>150</v>
      </c>
    </row>
    <row r="10995" spans="1:12" ht="25" customHeight="1">
      <c r="A10995" s="2" t="s">
        <v>12</v>
      </c>
      <c r="B10995" s="2" t="str">
        <f>HYPERLINK("http://www.12365auto.com/xcdg/20200207/417941.shtml","现代全新i20渲染图曝光 将亮相/搭1.0T引擎")</f>
        <v>现代全新i20渲染图曝光 将亮相/搭1.0T引擎</v>
      </c>
      <c r="C10995" s="2" t="s">
        <v>13</v>
      </c>
      <c r="D10995" s="2" t="s">
        <v>12</v>
      </c>
      <c r="E10995" s="2" t="s">
        <v>216</v>
      </c>
      <c r="F10995" s="2" t="str">
        <f>HYPERLINK("http://www.12365auto.com/xcdg/20200207/417941.shtml","http://www.12365auto.com/xcdg/20200207/417941.shtml")</f>
        <v>http://www.12365auto.com/xcdg/20200207/417941.shtml</v>
      </c>
      <c r="G10995" s="2"/>
      <c r="H10995" s="2" t="s">
        <v>14676</v>
      </c>
      <c r="I10995" s="2" t="s">
        <v>15</v>
      </c>
      <c r="J10995" s="2" t="s">
        <v>12</v>
      </c>
      <c r="K10995" s="2" t="s">
        <v>14677</v>
      </c>
      <c r="L10995" s="2">
        <f t="shared" si="171"/>
        <v>150</v>
      </c>
    </row>
    <row r="10996" spans="1:12" ht="25" customHeight="1">
      <c r="A10996" s="2" t="s">
        <v>12</v>
      </c>
      <c r="B10996" s="2" t="str">
        <f>HYPERLINK("http://m.12365auto.com/xcdg/20200207/417941.shtml","现代全新i20渲染图曝光 将亮相/搭1.0T引擎")</f>
        <v>现代全新i20渲染图曝光 将亮相/搭1.0T引擎</v>
      </c>
      <c r="C10996" s="2" t="s">
        <v>13</v>
      </c>
      <c r="D10996" s="2" t="s">
        <v>12</v>
      </c>
      <c r="E10996" s="2"/>
      <c r="F10996" s="2" t="str">
        <f>HYPERLINK("http://m.12365auto.com/xcdg/20200207/417941.shtml","http://m.12365auto.com/xcdg/20200207/417941.shtml")</f>
        <v>http://m.12365auto.com/xcdg/20200207/417941.shtml</v>
      </c>
      <c r="G10996" s="2"/>
      <c r="H10996" s="2" t="s">
        <v>14678</v>
      </c>
      <c r="I10996" s="2" t="s">
        <v>19</v>
      </c>
      <c r="J10996" s="2" t="s">
        <v>13601</v>
      </c>
      <c r="K10996" s="2" t="s">
        <v>14677</v>
      </c>
      <c r="L10996" s="2">
        <f t="shared" si="171"/>
        <v>150</v>
      </c>
    </row>
    <row r="10997" spans="1:12" ht="25" customHeight="1">
      <c r="A10997" s="2" t="s">
        <v>12</v>
      </c>
      <c r="B10997" s="2" t="str">
        <f>HYPERLINK("http://www.12365auto.com/news/20200207/417940.shtml","曼彻斯特大学研发新型阴极 让电池蓄电量提升")</f>
        <v>曼彻斯特大学研发新型阴极 让电池蓄电量提升</v>
      </c>
      <c r="C10997" s="2" t="s">
        <v>13</v>
      </c>
      <c r="D10997" s="2" t="s">
        <v>12</v>
      </c>
      <c r="E10997" s="2" t="s">
        <v>276</v>
      </c>
      <c r="F10997" s="2" t="str">
        <f>HYPERLINK("http://www.12365auto.com/news/20200207/417940.shtml","http://www.12365auto.com/news/20200207/417940.shtml")</f>
        <v>http://www.12365auto.com/news/20200207/417940.shtml</v>
      </c>
      <c r="G10997" s="2"/>
      <c r="H10997" s="2" t="s">
        <v>14679</v>
      </c>
      <c r="I10997" s="2" t="s">
        <v>15</v>
      </c>
      <c r="J10997" s="2" t="s">
        <v>12</v>
      </c>
      <c r="K10997" s="2" t="s">
        <v>14680</v>
      </c>
      <c r="L10997" s="2">
        <f t="shared" si="171"/>
        <v>150</v>
      </c>
    </row>
    <row r="10998" spans="1:12" ht="25" customHeight="1">
      <c r="A10998" s="2" t="s">
        <v>12</v>
      </c>
      <c r="B10998" s="2" t="str">
        <f>HYPERLINK("http://m.12365auto.com/news/20200207/417940.shtml","曼彻斯特大学研发新型阴极 让电池蓄电量提升")</f>
        <v>曼彻斯特大学研发新型阴极 让电池蓄电量提升</v>
      </c>
      <c r="C10998" s="2" t="s">
        <v>13</v>
      </c>
      <c r="D10998" s="2" t="s">
        <v>12</v>
      </c>
      <c r="E10998" s="2"/>
      <c r="F10998" s="2" t="str">
        <f>HYPERLINK("http://m.12365auto.com/news/20200207/417940.shtml","http://m.12365auto.com/news/20200207/417940.shtml")</f>
        <v>http://m.12365auto.com/news/20200207/417940.shtml</v>
      </c>
      <c r="G10998" s="2"/>
      <c r="H10998" s="2" t="s">
        <v>14681</v>
      </c>
      <c r="I10998" s="2" t="s">
        <v>19</v>
      </c>
      <c r="J10998" s="2" t="s">
        <v>1029</v>
      </c>
      <c r="K10998" s="2" t="s">
        <v>14680</v>
      </c>
      <c r="L10998" s="2">
        <f t="shared" si="171"/>
        <v>150</v>
      </c>
    </row>
    <row r="10999" spans="1:12" ht="25" customHeight="1">
      <c r="A10999" s="2" t="s">
        <v>12</v>
      </c>
      <c r="B10999" s="2" t="str">
        <f>HYPERLINK("http://www.12365auto.com/news/20200207/417939.shtml","大陆智能十字路口技术 可探测走错道的驾驶员")</f>
        <v>大陆智能十字路口技术 可探测走错道的驾驶员</v>
      </c>
      <c r="C10999" s="2" t="s">
        <v>13</v>
      </c>
      <c r="D10999" s="2" t="s">
        <v>12</v>
      </c>
      <c r="E10999" s="2" t="s">
        <v>276</v>
      </c>
      <c r="F10999" s="2" t="str">
        <f>HYPERLINK("http://www.12365auto.com/news/20200207/417939.shtml","http://www.12365auto.com/news/20200207/417939.shtml")</f>
        <v>http://www.12365auto.com/news/20200207/417939.shtml</v>
      </c>
      <c r="G10999" s="2"/>
      <c r="H10999" s="2" t="s">
        <v>14682</v>
      </c>
      <c r="I10999" s="2" t="s">
        <v>15</v>
      </c>
      <c r="J10999" s="2" t="s">
        <v>12</v>
      </c>
      <c r="K10999" s="2" t="s">
        <v>14683</v>
      </c>
      <c r="L10999" s="2">
        <f t="shared" si="171"/>
        <v>150</v>
      </c>
    </row>
    <row r="11000" spans="1:12" ht="25" customHeight="1">
      <c r="A11000" s="2" t="s">
        <v>12</v>
      </c>
      <c r="B11000" s="2" t="str">
        <f>HYPERLINK("http://m.12365auto.com/news/20200207/417939.shtml","大陆智能十字路口技术 可探测走错道的驾驶员")</f>
        <v>大陆智能十字路口技术 可探测走错道的驾驶员</v>
      </c>
      <c r="C11000" s="2" t="s">
        <v>13</v>
      </c>
      <c r="D11000" s="2" t="s">
        <v>12</v>
      </c>
      <c r="E11000" s="2"/>
      <c r="F11000" s="2" t="str">
        <f>HYPERLINK("http://m.12365auto.com/news/20200207/417939.shtml","http://m.12365auto.com/news/20200207/417939.shtml")</f>
        <v>http://m.12365auto.com/news/20200207/417939.shtml</v>
      </c>
      <c r="G11000" s="2"/>
      <c r="H11000" s="2" t="s">
        <v>14684</v>
      </c>
      <c r="I11000" s="2" t="s">
        <v>19</v>
      </c>
      <c r="J11000" s="2" t="s">
        <v>1029</v>
      </c>
      <c r="K11000" s="2" t="s">
        <v>14683</v>
      </c>
      <c r="L11000" s="2">
        <f t="shared" si="171"/>
        <v>150</v>
      </c>
    </row>
    <row r="11001" spans="1:12" ht="25" customHeight="1">
      <c r="A11001" s="2" t="s">
        <v>12</v>
      </c>
      <c r="B11001" s="2" t="str">
        <f>HYPERLINK("http://www.12365auto.com/news/20200207/417938.shtml","稳字当头 国内各大车企2020年销量目标一览")</f>
        <v>稳字当头 国内各大车企2020年销量目标一览</v>
      </c>
      <c r="C11001" s="2" t="s">
        <v>13</v>
      </c>
      <c r="D11001" s="2" t="s">
        <v>12</v>
      </c>
      <c r="E11001" s="2" t="s">
        <v>276</v>
      </c>
      <c r="F11001" s="2" t="str">
        <f>HYPERLINK("http://www.12365auto.com/news/20200207/417938.shtml","http://www.12365auto.com/news/20200207/417938.shtml")</f>
        <v>http://www.12365auto.com/news/20200207/417938.shtml</v>
      </c>
      <c r="G11001" s="2"/>
      <c r="H11001" s="2" t="s">
        <v>14685</v>
      </c>
      <c r="I11001" s="2" t="s">
        <v>15</v>
      </c>
      <c r="J11001" s="2" t="s">
        <v>12</v>
      </c>
      <c r="K11001" s="2" t="s">
        <v>14686</v>
      </c>
      <c r="L11001" s="2">
        <f t="shared" si="171"/>
        <v>150</v>
      </c>
    </row>
    <row r="11002" spans="1:12" ht="25" customHeight="1">
      <c r="A11002" s="2" t="s">
        <v>12</v>
      </c>
      <c r="B11002" s="2" t="str">
        <f>HYPERLINK("http://m.12365auto.com/news/20200207/417938.shtml","稳字当头 国内各大车企2020年销量目标一览")</f>
        <v>稳字当头 国内各大车企2020年销量目标一览</v>
      </c>
      <c r="C11002" s="2" t="s">
        <v>13</v>
      </c>
      <c r="D11002" s="2" t="s">
        <v>12</v>
      </c>
      <c r="E11002" s="2"/>
      <c r="F11002" s="2" t="str">
        <f>HYPERLINK("http://m.12365auto.com/news/20200207/417938.shtml","http://m.12365auto.com/news/20200207/417938.shtml")</f>
        <v>http://m.12365auto.com/news/20200207/417938.shtml</v>
      </c>
      <c r="G11002" s="2"/>
      <c r="H11002" s="2" t="s">
        <v>14687</v>
      </c>
      <c r="I11002" s="2" t="s">
        <v>19</v>
      </c>
      <c r="J11002" s="2" t="s">
        <v>3647</v>
      </c>
      <c r="K11002" s="2" t="s">
        <v>14686</v>
      </c>
      <c r="L11002" s="2">
        <f t="shared" si="171"/>
        <v>150</v>
      </c>
    </row>
    <row r="11003" spans="1:12" ht="25" customHeight="1">
      <c r="A11003" s="2" t="s">
        <v>12</v>
      </c>
      <c r="B11003" s="2" t="str">
        <f>HYPERLINK("http://www.12365auto.com/news/20200207/417937.shtml","沃尔沃汽车公布1月全球销量 预计2020将增长")</f>
        <v>沃尔沃汽车公布1月全球销量 预计2020将增长</v>
      </c>
      <c r="C11003" s="2" t="s">
        <v>13</v>
      </c>
      <c r="D11003" s="2" t="s">
        <v>12</v>
      </c>
      <c r="E11003" s="2" t="s">
        <v>276</v>
      </c>
      <c r="F11003" s="2" t="str">
        <f>HYPERLINK("http://www.12365auto.com/news/20200207/417937.shtml","http://www.12365auto.com/news/20200207/417937.shtml")</f>
        <v>http://www.12365auto.com/news/20200207/417937.shtml</v>
      </c>
      <c r="G11003" s="2"/>
      <c r="H11003" s="2" t="s">
        <v>14688</v>
      </c>
      <c r="I11003" s="2" t="s">
        <v>15</v>
      </c>
      <c r="J11003" s="2" t="s">
        <v>12</v>
      </c>
      <c r="K11003" s="2" t="s">
        <v>14689</v>
      </c>
      <c r="L11003" s="2">
        <f t="shared" si="171"/>
        <v>150</v>
      </c>
    </row>
    <row r="11004" spans="1:12" ht="25" customHeight="1">
      <c r="A11004" s="2" t="s">
        <v>12</v>
      </c>
      <c r="B11004" s="2" t="str">
        <f>HYPERLINK("http://m.12365auto.com/news/20200207/417937.shtml","沃尔沃汽车公布1月全球销量 预计2020将增长")</f>
        <v>沃尔沃汽车公布1月全球销量 预计2020将增长</v>
      </c>
      <c r="C11004" s="2" t="s">
        <v>13</v>
      </c>
      <c r="D11004" s="2" t="s">
        <v>12</v>
      </c>
      <c r="E11004" s="2"/>
      <c r="F11004" s="2" t="str">
        <f>HYPERLINK("http://m.12365auto.com/news/20200207/417937.shtml","http://m.12365auto.com/news/20200207/417937.shtml")</f>
        <v>http://m.12365auto.com/news/20200207/417937.shtml</v>
      </c>
      <c r="G11004" s="2"/>
      <c r="H11004" s="2" t="s">
        <v>14690</v>
      </c>
      <c r="I11004" s="2" t="s">
        <v>19</v>
      </c>
      <c r="J11004" s="2" t="s">
        <v>10605</v>
      </c>
      <c r="K11004" s="2" t="s">
        <v>14689</v>
      </c>
      <c r="L11004" s="2">
        <f t="shared" si="171"/>
        <v>150</v>
      </c>
    </row>
    <row r="11005" spans="1:12" ht="25" customHeight="1">
      <c r="A11005" s="2" t="s">
        <v>12</v>
      </c>
      <c r="B11005" s="2" t="str">
        <f>HYPERLINK("http://www.12365auto.com/news/20200207/417936.shtml","英国2035年起禁止销售汽油与混合动力新车")</f>
        <v>英国2035年起禁止销售汽油与混合动力新车</v>
      </c>
      <c r="C11005" s="2" t="s">
        <v>13</v>
      </c>
      <c r="D11005" s="2" t="s">
        <v>12</v>
      </c>
      <c r="E11005" s="2" t="s">
        <v>276</v>
      </c>
      <c r="F11005" s="2" t="str">
        <f>HYPERLINK("http://www.12365auto.com/news/20200207/417936.shtml","http://www.12365auto.com/news/20200207/417936.shtml")</f>
        <v>http://www.12365auto.com/news/20200207/417936.shtml</v>
      </c>
      <c r="G11005" s="2"/>
      <c r="H11005" s="2" t="s">
        <v>14691</v>
      </c>
      <c r="I11005" s="2" t="s">
        <v>15</v>
      </c>
      <c r="J11005" s="2" t="s">
        <v>12</v>
      </c>
      <c r="K11005" s="2" t="s">
        <v>14692</v>
      </c>
      <c r="L11005" s="2">
        <f t="shared" si="171"/>
        <v>150</v>
      </c>
    </row>
    <row r="11006" spans="1:12" ht="25" customHeight="1">
      <c r="A11006" s="2" t="s">
        <v>12</v>
      </c>
      <c r="B11006" s="2" t="str">
        <f>HYPERLINK("http://m.12365auto.com/news/20200207/417936.shtml","英国2035年起禁止销售汽油与混合动力新车")</f>
        <v>英国2035年起禁止销售汽油与混合动力新车</v>
      </c>
      <c r="C11006" s="2" t="s">
        <v>13</v>
      </c>
      <c r="D11006" s="2" t="s">
        <v>12</v>
      </c>
      <c r="E11006" s="2"/>
      <c r="F11006" s="2" t="str">
        <f>HYPERLINK("http://m.12365auto.com/news/20200207/417936.shtml","http://m.12365auto.com/news/20200207/417936.shtml")</f>
        <v>http://m.12365auto.com/news/20200207/417936.shtml</v>
      </c>
      <c r="G11006" s="2"/>
      <c r="H11006" s="2" t="s">
        <v>14693</v>
      </c>
      <c r="I11006" s="2" t="s">
        <v>19</v>
      </c>
      <c r="J11006" s="2" t="s">
        <v>1041</v>
      </c>
      <c r="K11006" s="2" t="s">
        <v>14692</v>
      </c>
      <c r="L11006" s="2">
        <f t="shared" si="171"/>
        <v>150</v>
      </c>
    </row>
    <row r="11007" spans="1:12" ht="25" customHeight="1">
      <c r="A11007" s="2" t="s">
        <v>12</v>
      </c>
      <c r="B11007" s="2" t="str">
        <f>HYPERLINK("http://m.12365auto.com/news/20200207/417935.shtml","消息人士：通用中国部分车型将迎四缸发动机")</f>
        <v>消息人士：通用中国部分车型将迎四缸发动机</v>
      </c>
      <c r="C11007" s="2" t="s">
        <v>13</v>
      </c>
      <c r="D11007" s="2" t="s">
        <v>12</v>
      </c>
      <c r="E11007" s="2"/>
      <c r="F11007" s="2" t="str">
        <f>HYPERLINK("http://m.12365auto.com/news/20200207/417935.shtml","http://m.12365auto.com/news/20200207/417935.shtml")</f>
        <v>http://m.12365auto.com/news/20200207/417935.shtml</v>
      </c>
      <c r="G11007" s="2"/>
      <c r="H11007" s="2" t="s">
        <v>14694</v>
      </c>
      <c r="I11007" s="2" t="s">
        <v>19</v>
      </c>
      <c r="J11007" s="2" t="s">
        <v>1041</v>
      </c>
      <c r="K11007" s="2" t="s">
        <v>14695</v>
      </c>
      <c r="L11007" s="2">
        <f t="shared" si="171"/>
        <v>150</v>
      </c>
    </row>
    <row r="11008" spans="1:12" ht="25" customHeight="1">
      <c r="A11008" s="2" t="s">
        <v>12</v>
      </c>
      <c r="B11008" s="2" t="str">
        <f>HYPERLINK("http://www.12365auto.com/news/20200207/417935.shtml","消息人士：通用中国部分车型将迎四缸发动机")</f>
        <v>消息人士：通用中国部分车型将迎四缸发动机</v>
      </c>
      <c r="C11008" s="2" t="s">
        <v>13</v>
      </c>
      <c r="D11008" s="2" t="s">
        <v>12</v>
      </c>
      <c r="E11008" s="2" t="s">
        <v>276</v>
      </c>
      <c r="F11008" s="2" t="str">
        <f>HYPERLINK("http://www.12365auto.com/news/20200207/417935.shtml","http://www.12365auto.com/news/20200207/417935.shtml")</f>
        <v>http://www.12365auto.com/news/20200207/417935.shtml</v>
      </c>
      <c r="G11008" s="2"/>
      <c r="H11008" s="2" t="s">
        <v>14696</v>
      </c>
      <c r="I11008" s="2" t="s">
        <v>15</v>
      </c>
      <c r="J11008" s="2" t="s">
        <v>12</v>
      </c>
      <c r="K11008" s="2" t="s">
        <v>14695</v>
      </c>
      <c r="L11008" s="2">
        <f t="shared" si="171"/>
        <v>150</v>
      </c>
    </row>
    <row r="11009" spans="1:12" ht="25" customHeight="1">
      <c r="A11009" s="2" t="s">
        <v>12</v>
      </c>
      <c r="B11009" s="2" t="str">
        <f>HYPERLINK("http://m.12365auto.com/news/20200207/417934.shtml","意大利创企将普通汽车变成网联汽车的技术")</f>
        <v>意大利创企将普通汽车变成网联汽车的技术</v>
      </c>
      <c r="C11009" s="2" t="s">
        <v>13</v>
      </c>
      <c r="D11009" s="2" t="s">
        <v>12</v>
      </c>
      <c r="E11009" s="2"/>
      <c r="F11009" s="2" t="str">
        <f>HYPERLINK("http://m.12365auto.com/news/20200207/417934.shtml","http://m.12365auto.com/news/20200207/417934.shtml")</f>
        <v>http://m.12365auto.com/news/20200207/417934.shtml</v>
      </c>
      <c r="G11009" s="2"/>
      <c r="H11009" s="2" t="s">
        <v>14697</v>
      </c>
      <c r="I11009" s="2" t="s">
        <v>19</v>
      </c>
      <c r="J11009" s="2" t="s">
        <v>1029</v>
      </c>
      <c r="K11009" s="2" t="s">
        <v>14698</v>
      </c>
      <c r="L11009" s="2">
        <f t="shared" si="171"/>
        <v>150</v>
      </c>
    </row>
    <row r="11010" spans="1:12" ht="25" customHeight="1">
      <c r="A11010" s="2" t="s">
        <v>12</v>
      </c>
      <c r="B11010" s="2" t="str">
        <f>HYPERLINK("http://www.12365auto.com/news/20200207/417934.shtml","意大利创企将普通汽车变成网联汽车的技术")</f>
        <v>意大利创企将普通汽车变成网联汽车的技术</v>
      </c>
      <c r="C11010" s="2" t="s">
        <v>13</v>
      </c>
      <c r="D11010" s="2" t="s">
        <v>12</v>
      </c>
      <c r="E11010" s="2" t="s">
        <v>276</v>
      </c>
      <c r="F11010" s="2" t="str">
        <f>HYPERLINK("http://www.12365auto.com/news/20200207/417934.shtml","http://www.12365auto.com/news/20200207/417934.shtml")</f>
        <v>http://www.12365auto.com/news/20200207/417934.shtml</v>
      </c>
      <c r="G11010" s="2"/>
      <c r="H11010" s="2" t="s">
        <v>14699</v>
      </c>
      <c r="I11010" s="2" t="s">
        <v>15</v>
      </c>
      <c r="J11010" s="2" t="s">
        <v>12</v>
      </c>
      <c r="K11010" s="2" t="s">
        <v>14698</v>
      </c>
      <c r="L11010" s="2">
        <f t="shared" si="171"/>
        <v>150</v>
      </c>
    </row>
    <row r="11011" spans="1:12" ht="25" customHeight="1">
      <c r="A11011" s="2" t="s">
        <v>12</v>
      </c>
      <c r="B11011" s="2" t="str">
        <f>HYPERLINK("http://m.12365auto.com/news/20200207/417933.shtml","福特发布2019年财报 在华连续四季度改善")</f>
        <v>福特发布2019年财报 在华连续四季度改善</v>
      </c>
      <c r="C11011" s="2" t="s">
        <v>13</v>
      </c>
      <c r="D11011" s="2" t="s">
        <v>12</v>
      </c>
      <c r="E11011" s="2"/>
      <c r="F11011" s="2" t="str">
        <f>HYPERLINK("http://m.12365auto.com/news/20200207/417933.shtml","http://m.12365auto.com/news/20200207/417933.shtml")</f>
        <v>http://m.12365auto.com/news/20200207/417933.shtml</v>
      </c>
      <c r="G11011" s="2"/>
      <c r="H11011" s="2" t="s">
        <v>14700</v>
      </c>
      <c r="I11011" s="2" t="s">
        <v>19</v>
      </c>
      <c r="J11011" s="2" t="s">
        <v>10605</v>
      </c>
      <c r="K11011" s="2" t="s">
        <v>14701</v>
      </c>
      <c r="L11011" s="2">
        <f t="shared" ref="L11011:L11074" si="172">LEN(H11011)</f>
        <v>150</v>
      </c>
    </row>
    <row r="11012" spans="1:12" ht="25" customHeight="1">
      <c r="A11012" s="2" t="s">
        <v>12</v>
      </c>
      <c r="B11012" s="2" t="str">
        <f>HYPERLINK("http://www.12365auto.com/news/20200207/417933.shtml","福特发布2019年财报 在华连续四季度改善")</f>
        <v>福特发布2019年财报 在华连续四季度改善</v>
      </c>
      <c r="C11012" s="2" t="s">
        <v>13</v>
      </c>
      <c r="D11012" s="2" t="s">
        <v>12</v>
      </c>
      <c r="E11012" s="2" t="s">
        <v>276</v>
      </c>
      <c r="F11012" s="2" t="str">
        <f>HYPERLINK("http://www.12365auto.com/news/20200207/417933.shtml","http://www.12365auto.com/news/20200207/417933.shtml")</f>
        <v>http://www.12365auto.com/news/20200207/417933.shtml</v>
      </c>
      <c r="G11012" s="2"/>
      <c r="H11012" s="2" t="s">
        <v>14702</v>
      </c>
      <c r="I11012" s="2" t="s">
        <v>15</v>
      </c>
      <c r="J11012" s="2" t="s">
        <v>12</v>
      </c>
      <c r="K11012" s="2" t="s">
        <v>14701</v>
      </c>
      <c r="L11012" s="2">
        <f t="shared" si="172"/>
        <v>150</v>
      </c>
    </row>
    <row r="11013" spans="1:12" ht="25" customHeight="1">
      <c r="A11013" s="2" t="s">
        <v>12</v>
      </c>
      <c r="B11013" s="2" t="str">
        <f>HYPERLINK("http://m.12365auto.com/news/20200207/417932.shtml","苹果新专利：可指导自动驾驶汽车前往目的地")</f>
        <v>苹果新专利：可指导自动驾驶汽车前往目的地</v>
      </c>
      <c r="C11013" s="2" t="s">
        <v>13</v>
      </c>
      <c r="D11013" s="2" t="s">
        <v>12</v>
      </c>
      <c r="E11013" s="2"/>
      <c r="F11013" s="2" t="str">
        <f>HYPERLINK("http://m.12365auto.com/news/20200207/417932.shtml","http://m.12365auto.com/news/20200207/417932.shtml")</f>
        <v>http://m.12365auto.com/news/20200207/417932.shtml</v>
      </c>
      <c r="G11013" s="2"/>
      <c r="H11013" s="2" t="s">
        <v>14703</v>
      </c>
      <c r="I11013" s="2" t="s">
        <v>19</v>
      </c>
      <c r="J11013" s="2" t="s">
        <v>1029</v>
      </c>
      <c r="K11013" s="2" t="s">
        <v>14704</v>
      </c>
      <c r="L11013" s="2">
        <f t="shared" si="172"/>
        <v>150</v>
      </c>
    </row>
    <row r="11014" spans="1:12" ht="25" customHeight="1">
      <c r="A11014" s="2" t="s">
        <v>12</v>
      </c>
      <c r="B11014" s="2" t="str">
        <f>HYPERLINK("http://www.12365auto.com/news/20200207/417932.shtml","苹果新专利：可指导自动驾驶汽车前往目的地")</f>
        <v>苹果新专利：可指导自动驾驶汽车前往目的地</v>
      </c>
      <c r="C11014" s="2" t="s">
        <v>13</v>
      </c>
      <c r="D11014" s="2" t="s">
        <v>12</v>
      </c>
      <c r="E11014" s="2" t="s">
        <v>276</v>
      </c>
      <c r="F11014" s="2" t="str">
        <f>HYPERLINK("http://www.12365auto.com/news/20200207/417932.shtml","http://www.12365auto.com/news/20200207/417932.shtml")</f>
        <v>http://www.12365auto.com/news/20200207/417932.shtml</v>
      </c>
      <c r="G11014" s="2"/>
      <c r="H11014" s="2" t="s">
        <v>14705</v>
      </c>
      <c r="I11014" s="2" t="s">
        <v>15</v>
      </c>
      <c r="J11014" s="2" t="s">
        <v>12</v>
      </c>
      <c r="K11014" s="2" t="s">
        <v>14704</v>
      </c>
      <c r="L11014" s="2">
        <f t="shared" si="172"/>
        <v>150</v>
      </c>
    </row>
    <row r="11015" spans="1:12" ht="25" customHeight="1">
      <c r="A11015" s="2" t="s">
        <v>12</v>
      </c>
      <c r="B11015" s="2" t="str">
        <f>HYPERLINK("http://www.12365auto.com/news/20200207/417931.shtml","日产完成英国最长/最复杂自动驾驶测试")</f>
        <v>日产完成英国最长/最复杂自动驾驶测试</v>
      </c>
      <c r="C11015" s="2" t="s">
        <v>13</v>
      </c>
      <c r="D11015" s="2" t="s">
        <v>12</v>
      </c>
      <c r="E11015" s="2" t="s">
        <v>276</v>
      </c>
      <c r="F11015" s="2" t="str">
        <f>HYPERLINK("http://www.12365auto.com/news/20200207/417931.shtml","http://www.12365auto.com/news/20200207/417931.shtml")</f>
        <v>http://www.12365auto.com/news/20200207/417931.shtml</v>
      </c>
      <c r="G11015" s="2"/>
      <c r="H11015" s="2" t="s">
        <v>14706</v>
      </c>
      <c r="I11015" s="2" t="s">
        <v>15</v>
      </c>
      <c r="J11015" s="2" t="s">
        <v>12</v>
      </c>
      <c r="K11015" s="2" t="s">
        <v>14707</v>
      </c>
      <c r="L11015" s="2">
        <f t="shared" si="172"/>
        <v>150</v>
      </c>
    </row>
    <row r="11016" spans="1:12" ht="25" customHeight="1">
      <c r="A11016" s="2" t="s">
        <v>12</v>
      </c>
      <c r="B11016" s="2" t="str">
        <f>HYPERLINK("http://m.12365auto.com/news/20200207/417931.shtml","日产完成英国最长/最复杂自动驾驶测试")</f>
        <v>日产完成英国最长/最复杂自动驾驶测试</v>
      </c>
      <c r="C11016" s="2" t="s">
        <v>13</v>
      </c>
      <c r="D11016" s="2" t="s">
        <v>12</v>
      </c>
      <c r="E11016" s="2"/>
      <c r="F11016" s="2" t="str">
        <f>HYPERLINK("http://m.12365auto.com/news/20200207/417931.shtml","http://m.12365auto.com/news/20200207/417931.shtml")</f>
        <v>http://m.12365auto.com/news/20200207/417931.shtml</v>
      </c>
      <c r="G11016" s="2"/>
      <c r="H11016" s="2" t="s">
        <v>14708</v>
      </c>
      <c r="I11016" s="2" t="s">
        <v>19</v>
      </c>
      <c r="J11016" s="2" t="s">
        <v>1041</v>
      </c>
      <c r="K11016" s="2" t="s">
        <v>14707</v>
      </c>
      <c r="L11016" s="2">
        <f t="shared" si="172"/>
        <v>150</v>
      </c>
    </row>
    <row r="11017" spans="1:12" ht="25" customHeight="1">
      <c r="A11017" s="2" t="s">
        <v>12</v>
      </c>
      <c r="B11017" s="2" t="str">
        <f>HYPERLINK("http://www.12365auto.com/news/20200207/417930.shtml","通用2023年前将有22款车型搭载Super Cruise")</f>
        <v>通用2023年前将有22款车型搭载Super Cruise</v>
      </c>
      <c r="C11017" s="2" t="s">
        <v>13</v>
      </c>
      <c r="D11017" s="2" t="s">
        <v>12</v>
      </c>
      <c r="E11017" s="2" t="s">
        <v>282</v>
      </c>
      <c r="F11017" s="2" t="str">
        <f>HYPERLINK("http://www.12365auto.com/news/20200207/417930.shtml","http://www.12365auto.com/news/20200207/417930.shtml")</f>
        <v>http://www.12365auto.com/news/20200207/417930.shtml</v>
      </c>
      <c r="G11017" s="2"/>
      <c r="H11017" s="2" t="s">
        <v>14709</v>
      </c>
      <c r="I11017" s="2" t="s">
        <v>19</v>
      </c>
      <c r="J11017" s="2" t="s">
        <v>12</v>
      </c>
      <c r="K11017" s="2" t="s">
        <v>14710</v>
      </c>
      <c r="L11017" s="2">
        <f t="shared" si="172"/>
        <v>150</v>
      </c>
    </row>
    <row r="11018" spans="1:12" ht="25" customHeight="1">
      <c r="A11018" s="2" t="s">
        <v>12</v>
      </c>
      <c r="B11018" s="2" t="str">
        <f>HYPERLINK("http://m.12365auto.com/news/20200207/417930.shtml","通用2023年前将有22款车型搭载Super Cruise")</f>
        <v>通用2023年前将有22款车型搭载Super Cruise</v>
      </c>
      <c r="C11018" s="2" t="s">
        <v>13</v>
      </c>
      <c r="D11018" s="2" t="s">
        <v>12</v>
      </c>
      <c r="E11018" s="2"/>
      <c r="F11018" s="2" t="str">
        <f>HYPERLINK("http://m.12365auto.com/news/20200207/417930.shtml","http://m.12365auto.com/news/20200207/417930.shtml")</f>
        <v>http://m.12365auto.com/news/20200207/417930.shtml</v>
      </c>
      <c r="G11018" s="2"/>
      <c r="H11018" s="2" t="s">
        <v>14711</v>
      </c>
      <c r="I11018" s="2" t="s">
        <v>19</v>
      </c>
      <c r="J11018" s="2" t="s">
        <v>1041</v>
      </c>
      <c r="K11018" s="2" t="s">
        <v>14710</v>
      </c>
      <c r="L11018" s="2">
        <f t="shared" si="172"/>
        <v>150</v>
      </c>
    </row>
    <row r="11019" spans="1:12" ht="25" customHeight="1">
      <c r="A11019" s="2" t="s">
        <v>12</v>
      </c>
      <c r="B11019" s="2" t="str">
        <f>HYPERLINK("http://www.12365auto.com/news/20200207/417929.shtml","德国汽车1月销量下跌7% 特斯拉销量翻倍")</f>
        <v>德国汽车1月销量下跌7% 特斯拉销量翻倍</v>
      </c>
      <c r="C11019" s="2" t="s">
        <v>13</v>
      </c>
      <c r="D11019" s="2" t="s">
        <v>12</v>
      </c>
      <c r="E11019" s="2" t="s">
        <v>282</v>
      </c>
      <c r="F11019" s="2" t="str">
        <f>HYPERLINK("http://www.12365auto.com/news/20200207/417929.shtml","http://www.12365auto.com/news/20200207/417929.shtml")</f>
        <v>http://www.12365auto.com/news/20200207/417929.shtml</v>
      </c>
      <c r="G11019" s="2"/>
      <c r="H11019" s="2" t="s">
        <v>14712</v>
      </c>
      <c r="I11019" s="2" t="s">
        <v>19</v>
      </c>
      <c r="J11019" s="2" t="s">
        <v>12</v>
      </c>
      <c r="K11019" s="2" t="s">
        <v>14713</v>
      </c>
      <c r="L11019" s="2">
        <f t="shared" si="172"/>
        <v>150</v>
      </c>
    </row>
    <row r="11020" spans="1:12" ht="25" customHeight="1">
      <c r="A11020" s="2" t="s">
        <v>12</v>
      </c>
      <c r="B11020" s="2" t="str">
        <f>HYPERLINK("http://m.12365auto.com/news/20200207/417929.shtml","德国汽车1月销量下跌7% 特斯拉销量翻倍")</f>
        <v>德国汽车1月销量下跌7% 特斯拉销量翻倍</v>
      </c>
      <c r="C11020" s="2" t="s">
        <v>13</v>
      </c>
      <c r="D11020" s="2" t="s">
        <v>12</v>
      </c>
      <c r="E11020" s="2"/>
      <c r="F11020" s="2" t="str">
        <f>HYPERLINK("http://m.12365auto.com/news/20200207/417929.shtml","http://m.12365auto.com/news/20200207/417929.shtml")</f>
        <v>http://m.12365auto.com/news/20200207/417929.shtml</v>
      </c>
      <c r="G11020" s="2"/>
      <c r="H11020" s="2" t="s">
        <v>14714</v>
      </c>
      <c r="I11020" s="2" t="s">
        <v>19</v>
      </c>
      <c r="J11020" s="2" t="s">
        <v>1041</v>
      </c>
      <c r="K11020" s="2" t="s">
        <v>14713</v>
      </c>
      <c r="L11020" s="2">
        <f t="shared" si="172"/>
        <v>150</v>
      </c>
    </row>
    <row r="11021" spans="1:12" ht="25" customHeight="1">
      <c r="A11021" s="2" t="s">
        <v>12</v>
      </c>
      <c r="B11021" s="2" t="str">
        <f>HYPERLINK("http://www.12365auto.com/news/20200207/417928.shtml","优步获批重返加州测试自动驾驶汽车")</f>
        <v>优步获批重返加州测试自动驾驶汽车</v>
      </c>
      <c r="C11021" s="2" t="s">
        <v>13</v>
      </c>
      <c r="D11021" s="2" t="s">
        <v>12</v>
      </c>
      <c r="E11021" s="2" t="s">
        <v>276</v>
      </c>
      <c r="F11021" s="2" t="str">
        <f>HYPERLINK("http://www.12365auto.com/news/20200207/417928.shtml","http://www.12365auto.com/news/20200207/417928.shtml")</f>
        <v>http://www.12365auto.com/news/20200207/417928.shtml</v>
      </c>
      <c r="G11021" s="2"/>
      <c r="H11021" s="2" t="s">
        <v>14715</v>
      </c>
      <c r="I11021" s="2" t="s">
        <v>15</v>
      </c>
      <c r="J11021" s="2" t="s">
        <v>12</v>
      </c>
      <c r="K11021" s="2" t="s">
        <v>14716</v>
      </c>
      <c r="L11021" s="2">
        <f t="shared" si="172"/>
        <v>150</v>
      </c>
    </row>
    <row r="11022" spans="1:12" ht="25" customHeight="1">
      <c r="A11022" s="2" t="s">
        <v>12</v>
      </c>
      <c r="B11022" s="2" t="str">
        <f>HYPERLINK("http://m.12365auto.com/news/20200207/417928.shtml","优步获批重返加州测试自动驾驶汽车")</f>
        <v>优步获批重返加州测试自动驾驶汽车</v>
      </c>
      <c r="C11022" s="2" t="s">
        <v>13</v>
      </c>
      <c r="D11022" s="2" t="s">
        <v>12</v>
      </c>
      <c r="E11022" s="2"/>
      <c r="F11022" s="2" t="str">
        <f>HYPERLINK("http://m.12365auto.com/news/20200207/417928.shtml","http://m.12365auto.com/news/20200207/417928.shtml")</f>
        <v>http://m.12365auto.com/news/20200207/417928.shtml</v>
      </c>
      <c r="G11022" s="2"/>
      <c r="H11022" s="2" t="s">
        <v>14717</v>
      </c>
      <c r="I11022" s="2" t="s">
        <v>19</v>
      </c>
      <c r="J11022" s="2" t="s">
        <v>1029</v>
      </c>
      <c r="K11022" s="2" t="s">
        <v>14716</v>
      </c>
      <c r="L11022" s="2">
        <f t="shared" si="172"/>
        <v>150</v>
      </c>
    </row>
    <row r="11023" spans="1:12" ht="25" customHeight="1">
      <c r="A11023" s="2" t="s">
        <v>12</v>
      </c>
      <c r="B11023" s="2" t="str">
        <f>HYPERLINK("http://www.12365auto.com/news/20200207/417927.shtml","通用2019净利润为67亿美元 值得更高的市值")</f>
        <v>通用2019净利润为67亿美元 值得更高的市值</v>
      </c>
      <c r="C11023" s="2" t="s">
        <v>13</v>
      </c>
      <c r="D11023" s="2" t="s">
        <v>12</v>
      </c>
      <c r="E11023" s="2" t="s">
        <v>276</v>
      </c>
      <c r="F11023" s="2" t="str">
        <f>HYPERLINK("http://www.12365auto.com/news/20200207/417927.shtml","http://www.12365auto.com/news/20200207/417927.shtml")</f>
        <v>http://www.12365auto.com/news/20200207/417927.shtml</v>
      </c>
      <c r="G11023" s="2"/>
      <c r="H11023" s="2" t="s">
        <v>14718</v>
      </c>
      <c r="I11023" s="2" t="s">
        <v>15</v>
      </c>
      <c r="J11023" s="2" t="s">
        <v>12</v>
      </c>
      <c r="K11023" s="2" t="s">
        <v>14719</v>
      </c>
      <c r="L11023" s="2">
        <f t="shared" si="172"/>
        <v>150</v>
      </c>
    </row>
    <row r="11024" spans="1:12" ht="25" customHeight="1">
      <c r="A11024" s="2" t="s">
        <v>12</v>
      </c>
      <c r="B11024" s="2" t="str">
        <f>HYPERLINK("http://m.12365auto.com/news/20200207/417927.shtml","通用2019净利润为67亿美元 值得更高的市值")</f>
        <v>通用2019净利润为67亿美元 值得更高的市值</v>
      </c>
      <c r="C11024" s="2" t="s">
        <v>13</v>
      </c>
      <c r="D11024" s="2" t="s">
        <v>12</v>
      </c>
      <c r="E11024" s="2"/>
      <c r="F11024" s="2" t="str">
        <f>HYPERLINK("http://m.12365auto.com/news/20200207/417927.shtml","http://m.12365auto.com/news/20200207/417927.shtml")</f>
        <v>http://m.12365auto.com/news/20200207/417927.shtml</v>
      </c>
      <c r="G11024" s="2"/>
      <c r="H11024" s="2" t="s">
        <v>14720</v>
      </c>
      <c r="I11024" s="2" t="s">
        <v>19</v>
      </c>
      <c r="J11024" s="2" t="s">
        <v>10605</v>
      </c>
      <c r="K11024" s="2" t="s">
        <v>14719</v>
      </c>
      <c r="L11024" s="2">
        <f t="shared" si="172"/>
        <v>150</v>
      </c>
    </row>
    <row r="11025" spans="1:12" ht="25" customHeight="1">
      <c r="A11025" s="2" t="s">
        <v>12</v>
      </c>
      <c r="B11025" s="2" t="str">
        <f>HYPERLINK("http://www.12365auto.com/news/20200207/417926.shtml","研究人员发现主动热探测可实现超分辨率成像")</f>
        <v>研究人员发现主动热探测可实现超分辨率成像</v>
      </c>
      <c r="C11025" s="2" t="s">
        <v>13</v>
      </c>
      <c r="D11025" s="2" t="s">
        <v>12</v>
      </c>
      <c r="E11025" s="2" t="s">
        <v>276</v>
      </c>
      <c r="F11025" s="2" t="str">
        <f>HYPERLINK("http://www.12365auto.com/news/20200207/417926.shtml","http://www.12365auto.com/news/20200207/417926.shtml")</f>
        <v>http://www.12365auto.com/news/20200207/417926.shtml</v>
      </c>
      <c r="G11025" s="2"/>
      <c r="H11025" s="2" t="s">
        <v>14721</v>
      </c>
      <c r="I11025" s="2" t="s">
        <v>15</v>
      </c>
      <c r="J11025" s="2" t="s">
        <v>12</v>
      </c>
      <c r="K11025" s="2" t="s">
        <v>14722</v>
      </c>
      <c r="L11025" s="2">
        <f t="shared" si="172"/>
        <v>150</v>
      </c>
    </row>
    <row r="11026" spans="1:12" ht="25" customHeight="1">
      <c r="A11026" s="2" t="s">
        <v>12</v>
      </c>
      <c r="B11026" s="2" t="str">
        <f>HYPERLINK("http://m.12365auto.com/news/20200207/417926.shtml","研究人员发现主动热探测可实现超分辨率成像")</f>
        <v>研究人员发现主动热探测可实现超分辨率成像</v>
      </c>
      <c r="C11026" s="2" t="s">
        <v>13</v>
      </c>
      <c r="D11026" s="2" t="s">
        <v>12</v>
      </c>
      <c r="E11026" s="2"/>
      <c r="F11026" s="2" t="str">
        <f>HYPERLINK("http://m.12365auto.com/news/20200207/417926.shtml","http://m.12365auto.com/news/20200207/417926.shtml")</f>
        <v>http://m.12365auto.com/news/20200207/417926.shtml</v>
      </c>
      <c r="G11026" s="2"/>
      <c r="H11026" s="2" t="s">
        <v>14723</v>
      </c>
      <c r="I11026" s="2" t="s">
        <v>19</v>
      </c>
      <c r="J11026" s="2" t="s">
        <v>1029</v>
      </c>
      <c r="K11026" s="2" t="s">
        <v>14722</v>
      </c>
      <c r="L11026" s="2">
        <f t="shared" si="172"/>
        <v>150</v>
      </c>
    </row>
    <row r="11027" spans="1:12" ht="25" customHeight="1">
      <c r="A11027" s="2" t="s">
        <v>12</v>
      </c>
      <c r="B11027" s="2" t="str">
        <f>HYPERLINK("http://www.12365auto.com/news/20200207/417925.shtml","大陆将投资得州建设新厂 生产ADAS产品")</f>
        <v>大陆将投资得州建设新厂 生产ADAS产品</v>
      </c>
      <c r="C11027" s="2" t="s">
        <v>13</v>
      </c>
      <c r="D11027" s="2" t="s">
        <v>12</v>
      </c>
      <c r="E11027" s="2" t="s">
        <v>276</v>
      </c>
      <c r="F11027" s="2" t="str">
        <f>HYPERLINK("http://www.12365auto.com/news/20200207/417925.shtml","http://www.12365auto.com/news/20200207/417925.shtml")</f>
        <v>http://www.12365auto.com/news/20200207/417925.shtml</v>
      </c>
      <c r="G11027" s="2"/>
      <c r="H11027" s="2" t="s">
        <v>14724</v>
      </c>
      <c r="I11027" s="2" t="s">
        <v>15</v>
      </c>
      <c r="J11027" s="2" t="s">
        <v>12</v>
      </c>
      <c r="K11027" s="2" t="s">
        <v>14725</v>
      </c>
      <c r="L11027" s="2">
        <f t="shared" si="172"/>
        <v>150</v>
      </c>
    </row>
    <row r="11028" spans="1:12" ht="25" customHeight="1">
      <c r="A11028" s="2" t="s">
        <v>12</v>
      </c>
      <c r="B11028" s="2" t="str">
        <f>HYPERLINK("http://m.12365auto.com/news/20200207/417925.shtml","大陆将投资得州建设新厂 生产ADAS产品")</f>
        <v>大陆将投资得州建设新厂 生产ADAS产品</v>
      </c>
      <c r="C11028" s="2" t="s">
        <v>13</v>
      </c>
      <c r="D11028" s="2" t="s">
        <v>12</v>
      </c>
      <c r="E11028" s="2"/>
      <c r="F11028" s="2" t="str">
        <f>HYPERLINK("http://m.12365auto.com/news/20200207/417925.shtml","http://m.12365auto.com/news/20200207/417925.shtml")</f>
        <v>http://m.12365auto.com/news/20200207/417925.shtml</v>
      </c>
      <c r="G11028" s="2"/>
      <c r="H11028" s="2" t="s">
        <v>14726</v>
      </c>
      <c r="I11028" s="2" t="s">
        <v>19</v>
      </c>
      <c r="J11028" s="2" t="s">
        <v>1041</v>
      </c>
      <c r="K11028" s="2" t="s">
        <v>14725</v>
      </c>
      <c r="L11028" s="2">
        <f t="shared" si="172"/>
        <v>150</v>
      </c>
    </row>
    <row r="11029" spans="1:12" ht="25" customHeight="1">
      <c r="A11029" s="2" t="s">
        <v>12</v>
      </c>
      <c r="B11029" s="2" t="str">
        <f>HYPERLINK("http://www.12365auto.com/news/20200207/417924.shtml","丰田汽车发布季度财报 上调2020财年销量")</f>
        <v>丰田汽车发布季度财报 上调2020财年销量</v>
      </c>
      <c r="C11029" s="2" t="s">
        <v>13</v>
      </c>
      <c r="D11029" s="2" t="s">
        <v>12</v>
      </c>
      <c r="E11029" s="2" t="s">
        <v>276</v>
      </c>
      <c r="F11029" s="2" t="str">
        <f>HYPERLINK("http://www.12365auto.com/news/20200207/417924.shtml","http://www.12365auto.com/news/20200207/417924.shtml")</f>
        <v>http://www.12365auto.com/news/20200207/417924.shtml</v>
      </c>
      <c r="G11029" s="2"/>
      <c r="H11029" s="2" t="s">
        <v>14727</v>
      </c>
      <c r="I11029" s="2" t="s">
        <v>15</v>
      </c>
      <c r="J11029" s="2" t="s">
        <v>12</v>
      </c>
      <c r="K11029" s="2" t="s">
        <v>14728</v>
      </c>
      <c r="L11029" s="2">
        <f t="shared" si="172"/>
        <v>150</v>
      </c>
    </row>
    <row r="11030" spans="1:12" ht="25" customHeight="1">
      <c r="A11030" s="2" t="s">
        <v>12</v>
      </c>
      <c r="B11030" s="2" t="str">
        <f>HYPERLINK("http://m.12365auto.com/news/20200207/417924.shtml","丰田汽车发布季度财报 上调2020财年销量")</f>
        <v>丰田汽车发布季度财报 上调2020财年销量</v>
      </c>
      <c r="C11030" s="2" t="s">
        <v>13</v>
      </c>
      <c r="D11030" s="2" t="s">
        <v>12</v>
      </c>
      <c r="E11030" s="2"/>
      <c r="F11030" s="2" t="str">
        <f>HYPERLINK("http://m.12365auto.com/news/20200207/417924.shtml","http://m.12365auto.com/news/20200207/417924.shtml")</f>
        <v>http://m.12365auto.com/news/20200207/417924.shtml</v>
      </c>
      <c r="G11030" s="2"/>
      <c r="H11030" s="2" t="s">
        <v>14729</v>
      </c>
      <c r="I11030" s="2" t="s">
        <v>19</v>
      </c>
      <c r="J11030" s="2" t="s">
        <v>10605</v>
      </c>
      <c r="K11030" s="2" t="s">
        <v>14728</v>
      </c>
      <c r="L11030" s="2">
        <f t="shared" si="172"/>
        <v>150</v>
      </c>
    </row>
    <row r="11031" spans="1:12" ht="25" customHeight="1">
      <c r="A11031" s="2" t="s">
        <v>12</v>
      </c>
      <c r="B11031" s="2" t="str">
        <f>HYPERLINK("http://www.12365auto.com/xcdg/20200207/417923.shtml","新款帕杰罗·劲畅有望年内入华 外观更硬朗")</f>
        <v>新款帕杰罗·劲畅有望年内入华 外观更硬朗</v>
      </c>
      <c r="C11031" s="2" t="s">
        <v>13</v>
      </c>
      <c r="D11031" s="2" t="s">
        <v>12</v>
      </c>
      <c r="E11031" s="2" t="s">
        <v>245</v>
      </c>
      <c r="F11031" s="2" t="str">
        <f>HYPERLINK("http://www.12365auto.com/xcdg/20200207/417923.shtml","http://www.12365auto.com/xcdg/20200207/417923.shtml")</f>
        <v>http://www.12365auto.com/xcdg/20200207/417923.shtml</v>
      </c>
      <c r="G11031" s="2"/>
      <c r="H11031" s="2" t="s">
        <v>14730</v>
      </c>
      <c r="I11031" s="2" t="s">
        <v>19</v>
      </c>
      <c r="J11031" s="2" t="s">
        <v>12</v>
      </c>
      <c r="K11031" s="2" t="s">
        <v>14731</v>
      </c>
      <c r="L11031" s="2">
        <f t="shared" si="172"/>
        <v>150</v>
      </c>
    </row>
    <row r="11032" spans="1:12" ht="25" customHeight="1">
      <c r="A11032" s="2" t="s">
        <v>12</v>
      </c>
      <c r="B11032" s="2" t="str">
        <f>HYPERLINK("http://m.12365auto.com/xcdg/20200207/417923.shtml","新款帕杰罗·劲畅有望年内入华 外观更硬朗")</f>
        <v>新款帕杰罗·劲畅有望年内入华 外观更硬朗</v>
      </c>
      <c r="C11032" s="2" t="s">
        <v>13</v>
      </c>
      <c r="D11032" s="2" t="s">
        <v>12</v>
      </c>
      <c r="E11032" s="2"/>
      <c r="F11032" s="2" t="str">
        <f>HYPERLINK("http://m.12365auto.com/xcdg/20200207/417923.shtml","http://m.12365auto.com/xcdg/20200207/417923.shtml")</f>
        <v>http://m.12365auto.com/xcdg/20200207/417923.shtml</v>
      </c>
      <c r="G11032" s="2"/>
      <c r="H11032" s="2" t="s">
        <v>14732</v>
      </c>
      <c r="I11032" s="2" t="s">
        <v>19</v>
      </c>
      <c r="J11032" s="2" t="s">
        <v>4514</v>
      </c>
      <c r="K11032" s="2" t="s">
        <v>14731</v>
      </c>
      <c r="L11032" s="2">
        <f t="shared" si="172"/>
        <v>150</v>
      </c>
    </row>
    <row r="11033" spans="1:12" ht="25" customHeight="1">
      <c r="A11033" s="2" t="s">
        <v>12</v>
      </c>
      <c r="B11033" s="2" t="str">
        <f>HYPERLINK("http://www.12365auto.com/xcdg/20200207/417922.shtml","奥迪RS Q3 Sportback上市 售84.5万港币起")</f>
        <v>奥迪RS Q3 Sportback上市 售84.5万港币起</v>
      </c>
      <c r="C11033" s="2" t="s">
        <v>13</v>
      </c>
      <c r="D11033" s="2" t="s">
        <v>12</v>
      </c>
      <c r="E11033" s="2" t="s">
        <v>245</v>
      </c>
      <c r="F11033" s="2" t="str">
        <f>HYPERLINK("http://www.12365auto.com/xcdg/20200207/417922.shtml","http://www.12365auto.com/xcdg/20200207/417922.shtml")</f>
        <v>http://www.12365auto.com/xcdg/20200207/417922.shtml</v>
      </c>
      <c r="G11033" s="2"/>
      <c r="H11033" s="2" t="s">
        <v>14733</v>
      </c>
      <c r="I11033" s="2" t="s">
        <v>19</v>
      </c>
      <c r="J11033" s="2" t="s">
        <v>12</v>
      </c>
      <c r="K11033" s="2" t="s">
        <v>14734</v>
      </c>
      <c r="L11033" s="2">
        <f t="shared" si="172"/>
        <v>150</v>
      </c>
    </row>
    <row r="11034" spans="1:12" ht="25" customHeight="1">
      <c r="A11034" s="2" t="s">
        <v>12</v>
      </c>
      <c r="B11034" s="2" t="str">
        <f>HYPERLINK("http://m.12365auto.com/xcdg/20200207/417922.shtml","奥迪RS Q3 Sportback上市 售84.5万港币起")</f>
        <v>奥迪RS Q3 Sportback上市 售84.5万港币起</v>
      </c>
      <c r="C11034" s="2" t="s">
        <v>13</v>
      </c>
      <c r="D11034" s="2" t="s">
        <v>12</v>
      </c>
      <c r="E11034" s="2"/>
      <c r="F11034" s="2" t="str">
        <f>HYPERLINK("http://m.12365auto.com/xcdg/20200207/417922.shtml","http://m.12365auto.com/xcdg/20200207/417922.shtml")</f>
        <v>http://m.12365auto.com/xcdg/20200207/417922.shtml</v>
      </c>
      <c r="G11034" s="2"/>
      <c r="H11034" s="2" t="s">
        <v>14735</v>
      </c>
      <c r="I11034" s="2" t="s">
        <v>19</v>
      </c>
      <c r="J11034" s="2" t="s">
        <v>4514</v>
      </c>
      <c r="K11034" s="2" t="s">
        <v>14734</v>
      </c>
      <c r="L11034" s="2">
        <f t="shared" si="172"/>
        <v>150</v>
      </c>
    </row>
    <row r="11035" spans="1:12" ht="25" customHeight="1">
      <c r="A11035" s="2" t="s">
        <v>12</v>
      </c>
      <c r="B11035" s="2" t="str">
        <f>HYPERLINK("http://www.12365auto.com/xcdg/20200207/417921.shtml","科尔维特C8 Stingray纽北圈速7分29.9秒")</f>
        <v>科尔维特C8 Stingray纽北圈速7分29.9秒</v>
      </c>
      <c r="C11035" s="2" t="s">
        <v>13</v>
      </c>
      <c r="D11035" s="2" t="s">
        <v>12</v>
      </c>
      <c r="E11035" s="2" t="s">
        <v>245</v>
      </c>
      <c r="F11035" s="2" t="str">
        <f>HYPERLINK("http://www.12365auto.com/xcdg/20200207/417921.shtml","http://www.12365auto.com/xcdg/20200207/417921.shtml")</f>
        <v>http://www.12365auto.com/xcdg/20200207/417921.shtml</v>
      </c>
      <c r="G11035" s="2"/>
      <c r="H11035" s="2" t="s">
        <v>14736</v>
      </c>
      <c r="I11035" s="2" t="s">
        <v>19</v>
      </c>
      <c r="J11035" s="2" t="s">
        <v>12</v>
      </c>
      <c r="K11035" s="2" t="s">
        <v>14737</v>
      </c>
      <c r="L11035" s="2">
        <f t="shared" si="172"/>
        <v>150</v>
      </c>
    </row>
    <row r="11036" spans="1:12" ht="25" customHeight="1">
      <c r="A11036" s="2" t="s">
        <v>12</v>
      </c>
      <c r="B11036" s="2" t="str">
        <f>HYPERLINK("http://m.12365auto.com/xcdg/20200207/417921.shtml","科尔维特C8 Stingray纽北圈速7分29.9秒")</f>
        <v>科尔维特C8 Stingray纽北圈速7分29.9秒</v>
      </c>
      <c r="C11036" s="2" t="s">
        <v>13</v>
      </c>
      <c r="D11036" s="2" t="s">
        <v>12</v>
      </c>
      <c r="E11036" s="2"/>
      <c r="F11036" s="2" t="str">
        <f>HYPERLINK("http://m.12365auto.com/xcdg/20200207/417921.shtml","http://m.12365auto.com/xcdg/20200207/417921.shtml")</f>
        <v>http://m.12365auto.com/xcdg/20200207/417921.shtml</v>
      </c>
      <c r="G11036" s="2"/>
      <c r="H11036" s="2" t="s">
        <v>14738</v>
      </c>
      <c r="I11036" s="2" t="s">
        <v>19</v>
      </c>
      <c r="J11036" s="2" t="s">
        <v>14739</v>
      </c>
      <c r="K11036" s="2" t="s">
        <v>14737</v>
      </c>
      <c r="L11036" s="2">
        <f t="shared" si="172"/>
        <v>150</v>
      </c>
    </row>
    <row r="11037" spans="1:12" ht="25" customHeight="1">
      <c r="A11037" s="2" t="s">
        <v>12</v>
      </c>
      <c r="B11037" s="2" t="str">
        <f>HYPERLINK("http://www.12365auto.com/parts/20200207/417920.shtml","宝马推全新空气动力轮圈 iX3使用/支持定制")</f>
        <v>宝马推全新空气动力轮圈 iX3使用/支持定制</v>
      </c>
      <c r="C11037" s="2" t="s">
        <v>13</v>
      </c>
      <c r="D11037" s="2" t="s">
        <v>12</v>
      </c>
      <c r="E11037" s="2" t="s">
        <v>240</v>
      </c>
      <c r="F11037" s="2" t="str">
        <f>HYPERLINK("http://www.12365auto.com/parts/20200207/417920.shtml","http://www.12365auto.com/parts/20200207/417920.shtml")</f>
        <v>http://www.12365auto.com/parts/20200207/417920.shtml</v>
      </c>
      <c r="G11037" s="2"/>
      <c r="H11037" s="2" t="s">
        <v>14740</v>
      </c>
      <c r="I11037" s="2" t="s">
        <v>15</v>
      </c>
      <c r="J11037" s="2" t="s">
        <v>12</v>
      </c>
      <c r="K11037" s="2" t="s">
        <v>14741</v>
      </c>
      <c r="L11037" s="2">
        <f t="shared" si="172"/>
        <v>150</v>
      </c>
    </row>
    <row r="11038" spans="1:12" ht="25" customHeight="1">
      <c r="A11038" s="2" t="s">
        <v>12</v>
      </c>
      <c r="B11038" s="2" t="str">
        <f>HYPERLINK("http://m.12365auto.com/parts/20200207/417920.shtml","宝马推全新空气动力轮圈 iX3使用/支持定制")</f>
        <v>宝马推全新空气动力轮圈 iX3使用/支持定制</v>
      </c>
      <c r="C11038" s="2" t="s">
        <v>13</v>
      </c>
      <c r="D11038" s="2" t="s">
        <v>12</v>
      </c>
      <c r="E11038" s="2"/>
      <c r="F11038" s="2" t="str">
        <f>HYPERLINK("http://m.12365auto.com/parts/20200207/417920.shtml","http://m.12365auto.com/parts/20200207/417920.shtml")</f>
        <v>http://m.12365auto.com/parts/20200207/417920.shtml</v>
      </c>
      <c r="G11038" s="2"/>
      <c r="H11038" s="2" t="s">
        <v>14742</v>
      </c>
      <c r="I11038" s="2" t="s">
        <v>19</v>
      </c>
      <c r="J11038" s="2" t="s">
        <v>999</v>
      </c>
      <c r="K11038" s="2" t="s">
        <v>14741</v>
      </c>
      <c r="L11038" s="2">
        <f t="shared" si="172"/>
        <v>150</v>
      </c>
    </row>
    <row r="11039" spans="1:12" ht="25" customHeight="1">
      <c r="A11039" s="2" t="s">
        <v>12</v>
      </c>
      <c r="B11039" s="2" t="str">
        <f>HYPERLINK("http://www.12365auto.com/xcdg/20200207/417919.shtml","海马汽车首秀印度车展 携7X/E1电动车等亮相")</f>
        <v>海马汽车首秀印度车展 携7X/E1电动车等亮相</v>
      </c>
      <c r="C11039" s="2" t="s">
        <v>13</v>
      </c>
      <c r="D11039" s="2" t="s">
        <v>12</v>
      </c>
      <c r="E11039" s="2" t="s">
        <v>245</v>
      </c>
      <c r="F11039" s="2" t="str">
        <f>HYPERLINK("http://www.12365auto.com/xcdg/20200207/417919.shtml","http://www.12365auto.com/xcdg/20200207/417919.shtml")</f>
        <v>http://www.12365auto.com/xcdg/20200207/417919.shtml</v>
      </c>
      <c r="G11039" s="2"/>
      <c r="H11039" s="2" t="s">
        <v>14743</v>
      </c>
      <c r="I11039" s="2" t="s">
        <v>19</v>
      </c>
      <c r="J11039" s="2" t="s">
        <v>12</v>
      </c>
      <c r="K11039" s="2" t="s">
        <v>14744</v>
      </c>
      <c r="L11039" s="2">
        <f t="shared" si="172"/>
        <v>150</v>
      </c>
    </row>
    <row r="11040" spans="1:12" ht="25" customHeight="1">
      <c r="A11040" s="2" t="s">
        <v>12</v>
      </c>
      <c r="B11040" s="2" t="str">
        <f>HYPERLINK("http://m.12365auto.com/xcdg/20200207/417919.shtml","海马汽车首秀印度车展 携7X/E1电动车等亮相")</f>
        <v>海马汽车首秀印度车展 携7X/E1电动车等亮相</v>
      </c>
      <c r="C11040" s="2" t="s">
        <v>13</v>
      </c>
      <c r="D11040" s="2" t="s">
        <v>12</v>
      </c>
      <c r="E11040" s="2"/>
      <c r="F11040" s="2" t="str">
        <f>HYPERLINK("http://m.12365auto.com/xcdg/20200207/417919.shtml","http://m.12365auto.com/xcdg/20200207/417919.shtml")</f>
        <v>http://m.12365auto.com/xcdg/20200207/417919.shtml</v>
      </c>
      <c r="G11040" s="2"/>
      <c r="H11040" s="2" t="s">
        <v>14745</v>
      </c>
      <c r="I11040" s="2" t="s">
        <v>19</v>
      </c>
      <c r="J11040" s="2" t="s">
        <v>1827</v>
      </c>
      <c r="K11040" s="2" t="s">
        <v>14744</v>
      </c>
      <c r="L11040" s="2">
        <f t="shared" si="172"/>
        <v>150</v>
      </c>
    </row>
    <row r="11041" spans="1:12" ht="25" customHeight="1">
      <c r="A11041" s="2" t="s">
        <v>12</v>
      </c>
      <c r="B11041" s="2" t="str">
        <f>HYPERLINK("http://www.12365auto.com/xcdg/20200207/417918.shtml","全新汉兰达XSE官图发布 极具运动气质")</f>
        <v>全新汉兰达XSE官图发布 极具运动气质</v>
      </c>
      <c r="C11041" s="2" t="s">
        <v>13</v>
      </c>
      <c r="D11041" s="2" t="s">
        <v>12</v>
      </c>
      <c r="E11041" s="2" t="s">
        <v>245</v>
      </c>
      <c r="F11041" s="2" t="str">
        <f>HYPERLINK("http://www.12365auto.com/xcdg/20200207/417918.shtml","http://www.12365auto.com/xcdg/20200207/417918.shtml")</f>
        <v>http://www.12365auto.com/xcdg/20200207/417918.shtml</v>
      </c>
      <c r="G11041" s="2"/>
      <c r="H11041" s="2" t="s">
        <v>14746</v>
      </c>
      <c r="I11041" s="2" t="s">
        <v>19</v>
      </c>
      <c r="J11041" s="2" t="s">
        <v>12</v>
      </c>
      <c r="K11041" s="2" t="s">
        <v>14747</v>
      </c>
      <c r="L11041" s="2">
        <f t="shared" si="172"/>
        <v>150</v>
      </c>
    </row>
    <row r="11042" spans="1:12" ht="25" customHeight="1">
      <c r="A11042" s="2" t="s">
        <v>12</v>
      </c>
      <c r="B11042" s="2" t="str">
        <f>HYPERLINK("http://m.12365auto.com/xcdg/20200207/417918.shtml","全新汉兰达XSE官图发布 极具运动气质")</f>
        <v>全新汉兰达XSE官图发布 极具运动气质</v>
      </c>
      <c r="C11042" s="2" t="s">
        <v>13</v>
      </c>
      <c r="D11042" s="2" t="s">
        <v>12</v>
      </c>
      <c r="E11042" s="2"/>
      <c r="F11042" s="2" t="str">
        <f>HYPERLINK("http://m.12365auto.com/xcdg/20200207/417918.shtml","http://m.12365auto.com/xcdg/20200207/417918.shtml")</f>
        <v>http://m.12365auto.com/xcdg/20200207/417918.shtml</v>
      </c>
      <c r="G11042" s="2"/>
      <c r="H11042" s="2" t="s">
        <v>14748</v>
      </c>
      <c r="I11042" s="2" t="s">
        <v>19</v>
      </c>
      <c r="J11042" s="2" t="s">
        <v>999</v>
      </c>
      <c r="K11042" s="2" t="s">
        <v>14747</v>
      </c>
      <c r="L11042" s="2">
        <f t="shared" si="172"/>
        <v>150</v>
      </c>
    </row>
    <row r="11043" spans="1:12" ht="25" customHeight="1">
      <c r="A11043" s="2" t="s">
        <v>12</v>
      </c>
      <c r="B11043" s="2" t="str">
        <f>HYPERLINK("http://m.12365auto.com/bbs/postcontent.aspx?tID=193481","丰田凯美瑞雨刮器故障大家遇到过吗？")</f>
        <v>丰田凯美瑞雨刮器故障大家遇到过吗？</v>
      </c>
      <c r="C11043" s="2" t="s">
        <v>13</v>
      </c>
      <c r="D11043" s="2" t="s">
        <v>23</v>
      </c>
      <c r="E11043" s="2"/>
      <c r="F11043" s="2" t="str">
        <f>HYPERLINK("http://m.12365auto.com/bbs/postcontent.aspx?tID=193481","http://m.12365auto.com/bbs/postcontent.aspx?tID=193481")</f>
        <v>http://m.12365auto.com/bbs/postcontent.aspx?tID=193481</v>
      </c>
      <c r="G11043" s="2"/>
      <c r="H11043" s="2" t="s">
        <v>14749</v>
      </c>
      <c r="I11043" s="2" t="s">
        <v>15</v>
      </c>
      <c r="J11043" s="2" t="s">
        <v>14750</v>
      </c>
      <c r="K11043" s="2" t="s">
        <v>14751</v>
      </c>
      <c r="L11043" s="2">
        <f t="shared" si="172"/>
        <v>141</v>
      </c>
    </row>
    <row r="11044" spans="1:12" ht="25" customHeight="1">
      <c r="A11044" s="2" t="s">
        <v>12</v>
      </c>
      <c r="B11044" s="2" t="str">
        <f>HYPERLINK("http://bbs.12365auto.com/postcontent.aspx?tId=193481","丰田凯美瑞雨刮器故障大家遇到过吗？")</f>
        <v>丰田凯美瑞雨刮器故障大家遇到过吗？</v>
      </c>
      <c r="C11044" s="2" t="s">
        <v>13</v>
      </c>
      <c r="D11044" s="2" t="s">
        <v>12</v>
      </c>
      <c r="E11044" s="2" t="s">
        <v>66</v>
      </c>
      <c r="F11044" s="2" t="str">
        <f>HYPERLINK("http://bbs.12365auto.com/postcontent.aspx?tId=193481","http://bbs.12365auto.com/postcontent.aspx?tId=193481")</f>
        <v>http://bbs.12365auto.com/postcontent.aspx?tId=193481</v>
      </c>
      <c r="G11044" s="2"/>
      <c r="H11044" s="2" t="s">
        <v>14749</v>
      </c>
      <c r="I11044" s="2" t="s">
        <v>15</v>
      </c>
      <c r="J11044" s="2" t="s">
        <v>14750</v>
      </c>
      <c r="K11044" s="2" t="s">
        <v>14751</v>
      </c>
      <c r="L11044" s="2">
        <f t="shared" si="172"/>
        <v>141</v>
      </c>
    </row>
    <row r="11045" spans="1:12" ht="25" customHeight="1">
      <c r="A11045" s="2" t="s">
        <v>12</v>
      </c>
      <c r="B11045" s="2" t="str">
        <f>HYPERLINK("http://bbs.12365auto.com/postcontent.aspx?tID=193481","丰田凯美瑞雨刮器故障大家遇到过吗？")</f>
        <v>丰田凯美瑞雨刮器故障大家遇到过吗？</v>
      </c>
      <c r="C11045" s="2" t="s">
        <v>13</v>
      </c>
      <c r="D11045" s="2" t="s">
        <v>12</v>
      </c>
      <c r="E11045" s="2" t="s">
        <v>67</v>
      </c>
      <c r="F11045" s="2" t="str">
        <f>HYPERLINK("http://bbs.12365auto.com/postcontent.aspx?tID=193481","http://bbs.12365auto.com/postcontent.aspx?tID=193481")</f>
        <v>http://bbs.12365auto.com/postcontent.aspx?tID=193481</v>
      </c>
      <c r="G11045" s="2"/>
      <c r="H11045" s="2" t="s">
        <v>14752</v>
      </c>
      <c r="I11045" s="2" t="s">
        <v>15</v>
      </c>
      <c r="J11045" s="2" t="s">
        <v>14750</v>
      </c>
      <c r="K11045" s="2" t="s">
        <v>14751</v>
      </c>
      <c r="L11045" s="2">
        <f t="shared" si="172"/>
        <v>150</v>
      </c>
    </row>
    <row r="11046" spans="1:12" ht="25" customHeight="1">
      <c r="A11046" s="2" t="s">
        <v>12</v>
      </c>
      <c r="B11046" s="2" t="str">
        <f>HYPERLINK("http://www.12365auto.com/zlts/20200207/446536.shtml","上汽大众Polo电瓶亏电售后未解决问题")</f>
        <v>上汽大众Polo电瓶亏电售后未解决问题</v>
      </c>
      <c r="C11046" s="2" t="s">
        <v>13</v>
      </c>
      <c r="D11046" s="2" t="s">
        <v>12</v>
      </c>
      <c r="E11046" s="2" t="s">
        <v>17</v>
      </c>
      <c r="F11046" s="2" t="str">
        <f>HYPERLINK("http://www.12365auto.com/zlts/20200207/446536.shtml","http://www.12365auto.com/zlts/20200207/446536.shtml")</f>
        <v>http://www.12365auto.com/zlts/20200207/446536.shtml</v>
      </c>
      <c r="G11046" s="2"/>
      <c r="H11046" s="2" t="s">
        <v>14753</v>
      </c>
      <c r="I11046" s="2" t="s">
        <v>19</v>
      </c>
      <c r="J11046" s="2" t="s">
        <v>12</v>
      </c>
      <c r="K11046" s="2" t="s">
        <v>14754</v>
      </c>
      <c r="L11046" s="2">
        <f t="shared" si="172"/>
        <v>150</v>
      </c>
    </row>
    <row r="11047" spans="1:12" ht="25" customHeight="1">
      <c r="A11047" s="2" t="s">
        <v>12</v>
      </c>
      <c r="B11047" s="2" t="str">
        <f>HYPERLINK("http://m.12365auto.com/bbs/postcontent.aspx?tID=193480","标致4008车机为什么不能升级啊!")</f>
        <v>标致4008车机为什么不能升级啊!</v>
      </c>
      <c r="C11047" s="2" t="s">
        <v>13</v>
      </c>
      <c r="D11047" s="2" t="s">
        <v>23</v>
      </c>
      <c r="E11047" s="2"/>
      <c r="F11047" s="2" t="str">
        <f>HYPERLINK("http://m.12365auto.com/bbs/postcontent.aspx?tID=193480","http://m.12365auto.com/bbs/postcontent.aspx?tID=193480")</f>
        <v>http://m.12365auto.com/bbs/postcontent.aspx?tID=193480</v>
      </c>
      <c r="G11047" s="2"/>
      <c r="H11047" s="2" t="s">
        <v>14755</v>
      </c>
      <c r="I11047" s="2" t="s">
        <v>15</v>
      </c>
      <c r="J11047" s="2" t="s">
        <v>2150</v>
      </c>
      <c r="K11047" s="2" t="s">
        <v>14754</v>
      </c>
      <c r="L11047" s="2">
        <f t="shared" si="172"/>
        <v>150</v>
      </c>
    </row>
    <row r="11048" spans="1:12" ht="25" customHeight="1">
      <c r="A11048" s="2" t="s">
        <v>12</v>
      </c>
      <c r="B11048" s="2" t="str">
        <f>HYPERLINK("http://bbs.12365auto.com/postcontent.aspx?tId=193480","标致4008车机为什么不能升级啊!")</f>
        <v>标致4008车机为什么不能升级啊!</v>
      </c>
      <c r="C11048" s="2" t="s">
        <v>13</v>
      </c>
      <c r="D11048" s="2" t="s">
        <v>12</v>
      </c>
      <c r="E11048" s="2" t="s">
        <v>66</v>
      </c>
      <c r="F11048" s="2" t="str">
        <f>HYPERLINK("http://bbs.12365auto.com/postcontent.aspx?tId=193480","http://bbs.12365auto.com/postcontent.aspx?tId=193480")</f>
        <v>http://bbs.12365auto.com/postcontent.aspx?tId=193480</v>
      </c>
      <c r="G11048" s="2"/>
      <c r="H11048" s="2" t="s">
        <v>14755</v>
      </c>
      <c r="I11048" s="2" t="s">
        <v>15</v>
      </c>
      <c r="J11048" s="2" t="s">
        <v>2150</v>
      </c>
      <c r="K11048" s="2" t="s">
        <v>14754</v>
      </c>
      <c r="L11048" s="2">
        <f t="shared" si="172"/>
        <v>150</v>
      </c>
    </row>
    <row r="11049" spans="1:12" ht="25" customHeight="1">
      <c r="A11049" s="2" t="s">
        <v>12</v>
      </c>
      <c r="B11049" s="2" t="str">
        <f>HYPERLINK("http://bbs.12365auto.com/postcontent.aspx?tID=193480","标致4008车机为什么不能升级啊!")</f>
        <v>标致4008车机为什么不能升级啊!</v>
      </c>
      <c r="C11049" s="2" t="s">
        <v>13</v>
      </c>
      <c r="D11049" s="2" t="s">
        <v>12</v>
      </c>
      <c r="E11049" s="2" t="s">
        <v>67</v>
      </c>
      <c r="F11049" s="2" t="str">
        <f>HYPERLINK("http://bbs.12365auto.com/postcontent.aspx?tID=193480","http://bbs.12365auto.com/postcontent.aspx?tID=193480")</f>
        <v>http://bbs.12365auto.com/postcontent.aspx?tID=193480</v>
      </c>
      <c r="G11049" s="2"/>
      <c r="H11049" s="2" t="s">
        <v>14756</v>
      </c>
      <c r="I11049" s="2" t="s">
        <v>15</v>
      </c>
      <c r="J11049" s="2" t="s">
        <v>2150</v>
      </c>
      <c r="K11049" s="2" t="s">
        <v>14754</v>
      </c>
      <c r="L11049" s="2">
        <f t="shared" si="172"/>
        <v>150</v>
      </c>
    </row>
    <row r="11050" spans="1:12" ht="25" customHeight="1">
      <c r="A11050" s="2" t="s">
        <v>12</v>
      </c>
      <c r="B11050" s="2" t="str">
        <f>HYPERLINK("http://m.12365auto.com/xcdg/20200207/417917.shtml","你的诉求 决定值与不值 聊聊全新发现运动版")</f>
        <v>你的诉求 决定值与不值 聊聊全新发现运动版</v>
      </c>
      <c r="C11050" s="2" t="s">
        <v>13</v>
      </c>
      <c r="D11050" s="2" t="s">
        <v>12</v>
      </c>
      <c r="E11050" s="2"/>
      <c r="F11050" s="2" t="str">
        <f>HYPERLINK("http://m.12365auto.com/xcdg/20200207/417917.shtml","http://m.12365auto.com/xcdg/20200207/417917.shtml")</f>
        <v>http://m.12365auto.com/xcdg/20200207/417917.shtml</v>
      </c>
      <c r="G11050" s="2"/>
      <c r="H11050" s="2" t="s">
        <v>14757</v>
      </c>
      <c r="I11050" s="2" t="s">
        <v>19</v>
      </c>
      <c r="J11050" s="2" t="s">
        <v>6828</v>
      </c>
      <c r="K11050" s="2" t="s">
        <v>14758</v>
      </c>
      <c r="L11050" s="2">
        <f t="shared" si="172"/>
        <v>150</v>
      </c>
    </row>
    <row r="11051" spans="1:12" ht="25" customHeight="1">
      <c r="A11051" s="2" t="s">
        <v>12</v>
      </c>
      <c r="B11051" s="2" t="str">
        <f>HYPERLINK("http://bbs.12365auto.com/postcontent.aspx?tId=193479","丰田雷凌低速时变速箱异响严重")</f>
        <v>丰田雷凌低速时变速箱异响严重</v>
      </c>
      <c r="C11051" s="2" t="s">
        <v>13</v>
      </c>
      <c r="D11051" s="2" t="s">
        <v>12</v>
      </c>
      <c r="E11051" s="2" t="s">
        <v>66</v>
      </c>
      <c r="F11051" s="2" t="str">
        <f>HYPERLINK("http://bbs.12365auto.com/postcontent.aspx?tId=193479","http://bbs.12365auto.com/postcontent.aspx?tId=193479")</f>
        <v>http://bbs.12365auto.com/postcontent.aspx?tId=193479</v>
      </c>
      <c r="G11051" s="2"/>
      <c r="H11051" s="2" t="s">
        <v>14759</v>
      </c>
      <c r="I11051" s="2" t="s">
        <v>15</v>
      </c>
      <c r="J11051" s="2" t="s">
        <v>2154</v>
      </c>
      <c r="K11051" s="2" t="s">
        <v>14760</v>
      </c>
      <c r="L11051" s="2">
        <f t="shared" si="172"/>
        <v>63</v>
      </c>
    </row>
    <row r="11052" spans="1:12" ht="25" customHeight="1">
      <c r="A11052" s="2" t="s">
        <v>12</v>
      </c>
      <c r="B11052" s="2" t="str">
        <f>HYPERLINK("http://m.12365auto.com/bbs/postcontent.aspx?tID=193479","丰田雷凌低速时变速箱异响严重")</f>
        <v>丰田雷凌低速时变速箱异响严重</v>
      </c>
      <c r="C11052" s="2" t="s">
        <v>13</v>
      </c>
      <c r="D11052" s="2" t="s">
        <v>23</v>
      </c>
      <c r="E11052" s="2"/>
      <c r="F11052" s="2" t="str">
        <f>HYPERLINK("http://m.12365auto.com/bbs/postcontent.aspx?tID=193479","http://m.12365auto.com/bbs/postcontent.aspx?tID=193479")</f>
        <v>http://m.12365auto.com/bbs/postcontent.aspx?tID=193479</v>
      </c>
      <c r="G11052" s="2"/>
      <c r="H11052" s="2" t="s">
        <v>14759</v>
      </c>
      <c r="I11052" s="2" t="s">
        <v>15</v>
      </c>
      <c r="J11052" s="2" t="s">
        <v>2154</v>
      </c>
      <c r="K11052" s="2" t="s">
        <v>14760</v>
      </c>
      <c r="L11052" s="2">
        <f t="shared" si="172"/>
        <v>63</v>
      </c>
    </row>
    <row r="11053" spans="1:12" ht="25" customHeight="1">
      <c r="A11053" s="2" t="s">
        <v>12</v>
      </c>
      <c r="B11053" s="2" t="str">
        <f>HYPERLINK("http://bbs.12365auto.com/postcontent.aspx?tID=193479","丰田雷凌低速时变速箱异响严重")</f>
        <v>丰田雷凌低速时变速箱异响严重</v>
      </c>
      <c r="C11053" s="2" t="s">
        <v>13</v>
      </c>
      <c r="D11053" s="2" t="s">
        <v>12</v>
      </c>
      <c r="E11053" s="2" t="s">
        <v>67</v>
      </c>
      <c r="F11053" s="2" t="str">
        <f>HYPERLINK("http://bbs.12365auto.com/postcontent.aspx?tID=193479","http://bbs.12365auto.com/postcontent.aspx?tID=193479")</f>
        <v>http://bbs.12365auto.com/postcontent.aspx?tID=193479</v>
      </c>
      <c r="G11053" s="2"/>
      <c r="H11053" s="2" t="s">
        <v>14761</v>
      </c>
      <c r="I11053" s="2" t="s">
        <v>15</v>
      </c>
      <c r="J11053" s="2" t="s">
        <v>2154</v>
      </c>
      <c r="K11053" s="2" t="s">
        <v>14760</v>
      </c>
      <c r="L11053" s="2">
        <f t="shared" si="172"/>
        <v>77</v>
      </c>
    </row>
    <row r="11054" spans="1:12" ht="25" customHeight="1">
      <c r="A11054" s="2" t="s">
        <v>12</v>
      </c>
      <c r="B11054" s="2" t="str">
        <f>HYPERLINK("http://bbs.12365auto.com/postcontent.aspx?tId=193478","雪铁龙C4世嘉行驶中减震器异响")</f>
        <v>雪铁龙C4世嘉行驶中减震器异响</v>
      </c>
      <c r="C11054" s="2" t="s">
        <v>13</v>
      </c>
      <c r="D11054" s="2" t="s">
        <v>12</v>
      </c>
      <c r="E11054" s="2" t="s">
        <v>66</v>
      </c>
      <c r="F11054" s="2" t="str">
        <f>HYPERLINK("http://bbs.12365auto.com/postcontent.aspx?tId=193478","http://bbs.12365auto.com/postcontent.aspx?tId=193478")</f>
        <v>http://bbs.12365auto.com/postcontent.aspx?tId=193478</v>
      </c>
      <c r="G11054" s="2"/>
      <c r="H11054" s="2" t="s">
        <v>14762</v>
      </c>
      <c r="I11054" s="2" t="s">
        <v>15</v>
      </c>
      <c r="J11054" s="2" t="s">
        <v>7792</v>
      </c>
      <c r="K11054" s="2" t="s">
        <v>14763</v>
      </c>
      <c r="L11054" s="2">
        <f t="shared" si="172"/>
        <v>41</v>
      </c>
    </row>
    <row r="11055" spans="1:12" ht="25" customHeight="1">
      <c r="A11055" s="2" t="s">
        <v>12</v>
      </c>
      <c r="B11055" s="2" t="str">
        <f>HYPERLINK("http://m.12365auto.com/bbs/postcontent.aspx?tID=193478","雪铁龙C4世嘉行驶中减震器异响")</f>
        <v>雪铁龙C4世嘉行驶中减震器异响</v>
      </c>
      <c r="C11055" s="2" t="s">
        <v>13</v>
      </c>
      <c r="D11055" s="2" t="s">
        <v>23</v>
      </c>
      <c r="E11055" s="2"/>
      <c r="F11055" s="2" t="str">
        <f>HYPERLINK("http://m.12365auto.com/bbs/postcontent.aspx?tID=193478","http://m.12365auto.com/bbs/postcontent.aspx?tID=193478")</f>
        <v>http://m.12365auto.com/bbs/postcontent.aspx?tID=193478</v>
      </c>
      <c r="G11055" s="2"/>
      <c r="H11055" s="2" t="s">
        <v>14762</v>
      </c>
      <c r="I11055" s="2" t="s">
        <v>15</v>
      </c>
      <c r="J11055" s="2" t="s">
        <v>7792</v>
      </c>
      <c r="K11055" s="2" t="s">
        <v>14763</v>
      </c>
      <c r="L11055" s="2">
        <f t="shared" si="172"/>
        <v>41</v>
      </c>
    </row>
    <row r="11056" spans="1:12" ht="25" customHeight="1">
      <c r="A11056" s="2" t="s">
        <v>12</v>
      </c>
      <c r="B11056" s="2" t="str">
        <f>HYPERLINK("http://bbs.12365auto.com/postcontent.aspx?tID=193478","雪铁龙C4世嘉行驶中减震器异响")</f>
        <v>雪铁龙C4世嘉行驶中减震器异响</v>
      </c>
      <c r="C11056" s="2" t="s">
        <v>13</v>
      </c>
      <c r="D11056" s="2" t="s">
        <v>12</v>
      </c>
      <c r="E11056" s="2" t="s">
        <v>67</v>
      </c>
      <c r="F11056" s="2" t="str">
        <f>HYPERLINK("http://bbs.12365auto.com/postcontent.aspx?tID=193478","http://bbs.12365auto.com/postcontent.aspx?tID=193478")</f>
        <v>http://bbs.12365auto.com/postcontent.aspx?tID=193478</v>
      </c>
      <c r="G11056" s="2"/>
      <c r="H11056" s="2" t="s">
        <v>14764</v>
      </c>
      <c r="I11056" s="2" t="s">
        <v>15</v>
      </c>
      <c r="J11056" s="2" t="s">
        <v>7792</v>
      </c>
      <c r="K11056" s="2" t="s">
        <v>14763</v>
      </c>
      <c r="L11056" s="2">
        <f t="shared" si="172"/>
        <v>56</v>
      </c>
    </row>
    <row r="11057" spans="1:12" ht="25" customHeight="1">
      <c r="A11057" s="2" t="s">
        <v>12</v>
      </c>
      <c r="B11057" s="2" t="str">
        <f>HYPERLINK("http://m.12365auto.com/xcdg/20200207/417916.shtml","广汽传祺GS4竞争力如何？产品力依然全面")</f>
        <v>广汽传祺GS4竞争力如何？产品力依然全面</v>
      </c>
      <c r="C11057" s="2" t="s">
        <v>13</v>
      </c>
      <c r="D11057" s="2" t="s">
        <v>12</v>
      </c>
      <c r="E11057" s="2"/>
      <c r="F11057" s="2" t="str">
        <f>HYPERLINK("http://m.12365auto.com/xcdg/20200207/417916.shtml","http://m.12365auto.com/xcdg/20200207/417916.shtml")</f>
        <v>http://m.12365auto.com/xcdg/20200207/417916.shtml</v>
      </c>
      <c r="G11057" s="2"/>
      <c r="H11057" s="2" t="s">
        <v>14765</v>
      </c>
      <c r="I11057" s="2" t="s">
        <v>19</v>
      </c>
      <c r="J11057" s="2" t="s">
        <v>8277</v>
      </c>
      <c r="K11057" s="2" t="s">
        <v>14763</v>
      </c>
      <c r="L11057" s="2">
        <f t="shared" si="172"/>
        <v>150</v>
      </c>
    </row>
    <row r="11058" spans="1:12" ht="25" customHeight="1">
      <c r="A11058" s="2" t="s">
        <v>12</v>
      </c>
      <c r="B11058" s="2" t="str">
        <f>HYPERLINK("http://bbs.12365auto.com/postcontent.aspx?tId=193477","奇骏车内异响 车身上各种异响")</f>
        <v>奇骏车内异响 车身上各种异响</v>
      </c>
      <c r="C11058" s="2" t="s">
        <v>13</v>
      </c>
      <c r="D11058" s="2" t="s">
        <v>12</v>
      </c>
      <c r="E11058" s="2" t="s">
        <v>66</v>
      </c>
      <c r="F11058" s="2" t="str">
        <f>HYPERLINK("http://bbs.12365auto.com/postcontent.aspx?tId=193477","http://bbs.12365auto.com/postcontent.aspx?tId=193477")</f>
        <v>http://bbs.12365auto.com/postcontent.aspx?tId=193477</v>
      </c>
      <c r="G11058" s="2"/>
      <c r="H11058" s="2" t="s">
        <v>14766</v>
      </c>
      <c r="I11058" s="2" t="s">
        <v>15</v>
      </c>
      <c r="J11058" s="2" t="s">
        <v>14767</v>
      </c>
      <c r="K11058" s="2" t="s">
        <v>14768</v>
      </c>
      <c r="L11058" s="2">
        <f t="shared" si="172"/>
        <v>150</v>
      </c>
    </row>
    <row r="11059" spans="1:12" ht="25" customHeight="1">
      <c r="A11059" s="2" t="s">
        <v>12</v>
      </c>
      <c r="B11059" s="2" t="str">
        <f>HYPERLINK("http://bbs.12365auto.com/postcontent.aspx?tId=193475","车内低频共振长时间驾驶身体不适")</f>
        <v>车内低频共振长时间驾驶身体不适</v>
      </c>
      <c r="C11059" s="2" t="s">
        <v>13</v>
      </c>
      <c r="D11059" s="2" t="s">
        <v>12</v>
      </c>
      <c r="E11059" s="2" t="s">
        <v>66</v>
      </c>
      <c r="F11059" s="2" t="str">
        <f>HYPERLINK("http://bbs.12365auto.com/postcontent.aspx?tId=193475","http://bbs.12365auto.com/postcontent.aspx?tId=193475")</f>
        <v>http://bbs.12365auto.com/postcontent.aspx?tId=193475</v>
      </c>
      <c r="G11059" s="2"/>
      <c r="H11059" s="2" t="s">
        <v>14769</v>
      </c>
      <c r="I11059" s="2" t="s">
        <v>15</v>
      </c>
      <c r="J11059" s="2" t="s">
        <v>14770</v>
      </c>
      <c r="K11059" s="2" t="s">
        <v>14768</v>
      </c>
      <c r="L11059" s="2">
        <f t="shared" si="172"/>
        <v>61</v>
      </c>
    </row>
    <row r="11060" spans="1:12" ht="25" customHeight="1">
      <c r="A11060" s="2" t="s">
        <v>12</v>
      </c>
      <c r="B11060" s="2" t="str">
        <f>HYPERLINK("http://bbs.12365auto.com/postcontent.aspx?tId=193476","福特蒙迪欧致胜变速箱功能限制 会是通病吧！")</f>
        <v>福特蒙迪欧致胜变速箱功能限制 会是通病吧！</v>
      </c>
      <c r="C11060" s="2" t="s">
        <v>13</v>
      </c>
      <c r="D11060" s="2" t="s">
        <v>12</v>
      </c>
      <c r="E11060" s="2" t="s">
        <v>66</v>
      </c>
      <c r="F11060" s="2" t="str">
        <f>HYPERLINK("http://bbs.12365auto.com/postcontent.aspx?tId=193476","http://bbs.12365auto.com/postcontent.aspx?tId=193476")</f>
        <v>http://bbs.12365auto.com/postcontent.aspx?tId=193476</v>
      </c>
      <c r="G11060" s="2"/>
      <c r="H11060" s="2" t="s">
        <v>14771</v>
      </c>
      <c r="I11060" s="2" t="s">
        <v>15</v>
      </c>
      <c r="J11060" s="2" t="s">
        <v>2158</v>
      </c>
      <c r="K11060" s="2" t="s">
        <v>14768</v>
      </c>
      <c r="L11060" s="2">
        <f t="shared" si="172"/>
        <v>117</v>
      </c>
    </row>
    <row r="11061" spans="1:12" ht="25" customHeight="1">
      <c r="A11061" s="2" t="s">
        <v>12</v>
      </c>
      <c r="B11061" s="2" t="str">
        <f>HYPERLINK("http://bbs.12365auto.com/postcontent.aspx?tID=193477","奇骏车内异响 车身上各种异响")</f>
        <v>奇骏车内异响 车身上各种异响</v>
      </c>
      <c r="C11061" s="2" t="s">
        <v>13</v>
      </c>
      <c r="D11061" s="2" t="s">
        <v>12</v>
      </c>
      <c r="E11061" s="2" t="s">
        <v>67</v>
      </c>
      <c r="F11061" s="2" t="str">
        <f>HYPERLINK("http://bbs.12365auto.com/postcontent.aspx?tID=193477","http://bbs.12365auto.com/postcontent.aspx?tID=193477")</f>
        <v>http://bbs.12365auto.com/postcontent.aspx?tID=193477</v>
      </c>
      <c r="G11061" s="2"/>
      <c r="H11061" s="2" t="s">
        <v>14772</v>
      </c>
      <c r="I11061" s="2" t="s">
        <v>15</v>
      </c>
      <c r="J11061" s="2" t="s">
        <v>14767</v>
      </c>
      <c r="K11061" s="2" t="s">
        <v>14768</v>
      </c>
      <c r="L11061" s="2">
        <f t="shared" si="172"/>
        <v>150</v>
      </c>
    </row>
    <row r="11062" spans="1:12" ht="25" customHeight="1">
      <c r="A11062" s="2" t="s">
        <v>12</v>
      </c>
      <c r="B11062" s="2" t="str">
        <f>HYPERLINK("http://m.12365auto.com/bbs/postcontent.aspx?tID=193475","车内低频共振长时间驾驶身体不适")</f>
        <v>车内低频共振长时间驾驶身体不适</v>
      </c>
      <c r="C11062" s="2" t="s">
        <v>13</v>
      </c>
      <c r="D11062" s="2" t="s">
        <v>23</v>
      </c>
      <c r="E11062" s="2"/>
      <c r="F11062" s="2" t="str">
        <f>HYPERLINK("http://m.12365auto.com/bbs/postcontent.aspx?tID=193475","http://m.12365auto.com/bbs/postcontent.aspx?tID=193475")</f>
        <v>http://m.12365auto.com/bbs/postcontent.aspx?tID=193475</v>
      </c>
      <c r="G11062" s="2"/>
      <c r="H11062" s="2" t="s">
        <v>14769</v>
      </c>
      <c r="I11062" s="2" t="s">
        <v>15</v>
      </c>
      <c r="J11062" s="2" t="s">
        <v>14770</v>
      </c>
      <c r="K11062" s="2" t="s">
        <v>14768</v>
      </c>
      <c r="L11062" s="2">
        <f t="shared" si="172"/>
        <v>61</v>
      </c>
    </row>
    <row r="11063" spans="1:12" ht="25" customHeight="1">
      <c r="A11063" s="2" t="s">
        <v>12</v>
      </c>
      <c r="B11063" s="2" t="str">
        <f>HYPERLINK("http://m.12365auto.com/bbs/postcontent.aspx?tID=193476","福特蒙迪欧致胜变速箱功能限制 会是通病吧！")</f>
        <v>福特蒙迪欧致胜变速箱功能限制 会是通病吧！</v>
      </c>
      <c r="C11063" s="2" t="s">
        <v>13</v>
      </c>
      <c r="D11063" s="2" t="s">
        <v>23</v>
      </c>
      <c r="E11063" s="2"/>
      <c r="F11063" s="2" t="str">
        <f>HYPERLINK("http://m.12365auto.com/bbs/postcontent.aspx?tID=193476","http://m.12365auto.com/bbs/postcontent.aspx?tID=193476")</f>
        <v>http://m.12365auto.com/bbs/postcontent.aspx?tID=193476</v>
      </c>
      <c r="G11063" s="2"/>
      <c r="H11063" s="2" t="s">
        <v>14771</v>
      </c>
      <c r="I11063" s="2" t="s">
        <v>15</v>
      </c>
      <c r="J11063" s="2" t="s">
        <v>2158</v>
      </c>
      <c r="K11063" s="2" t="s">
        <v>14768</v>
      </c>
      <c r="L11063" s="2">
        <f t="shared" si="172"/>
        <v>117</v>
      </c>
    </row>
    <row r="11064" spans="1:12" ht="25" customHeight="1">
      <c r="A11064" s="2" t="s">
        <v>12</v>
      </c>
      <c r="B11064" s="2" t="str">
        <f>HYPERLINK("http://m.12365auto.com/bbs/postcontent.aspx?tID=193477","奇骏车内异响 车身上各种异响")</f>
        <v>奇骏车内异响 车身上各种异响</v>
      </c>
      <c r="C11064" s="2" t="s">
        <v>13</v>
      </c>
      <c r="D11064" s="2" t="s">
        <v>23</v>
      </c>
      <c r="E11064" s="2"/>
      <c r="F11064" s="2" t="str">
        <f>HYPERLINK("http://m.12365auto.com/bbs/postcontent.aspx?tID=193477","http://m.12365auto.com/bbs/postcontent.aspx?tID=193477")</f>
        <v>http://m.12365auto.com/bbs/postcontent.aspx?tID=193477</v>
      </c>
      <c r="G11064" s="2"/>
      <c r="H11064" s="2" t="s">
        <v>14766</v>
      </c>
      <c r="I11064" s="2" t="s">
        <v>15</v>
      </c>
      <c r="J11064" s="2" t="s">
        <v>14767</v>
      </c>
      <c r="K11064" s="2" t="s">
        <v>14768</v>
      </c>
      <c r="L11064" s="2">
        <f t="shared" si="172"/>
        <v>150</v>
      </c>
    </row>
    <row r="11065" spans="1:12" ht="25" customHeight="1">
      <c r="A11065" s="2" t="s">
        <v>12</v>
      </c>
      <c r="B11065" s="2" t="str">
        <f>HYPERLINK("http://bbs.12365auto.com/postcontent.aspx?tID=193475","车内低频共振长时间驾驶身体不适")</f>
        <v>车内低频共振长时间驾驶身体不适</v>
      </c>
      <c r="C11065" s="2" t="s">
        <v>13</v>
      </c>
      <c r="D11065" s="2" t="s">
        <v>12</v>
      </c>
      <c r="E11065" s="2" t="s">
        <v>67</v>
      </c>
      <c r="F11065" s="2" t="str">
        <f>HYPERLINK("http://bbs.12365auto.com/postcontent.aspx?tID=193475","http://bbs.12365auto.com/postcontent.aspx?tID=193475")</f>
        <v>http://bbs.12365auto.com/postcontent.aspx?tID=193475</v>
      </c>
      <c r="G11065" s="2"/>
      <c r="H11065" s="2" t="s">
        <v>14773</v>
      </c>
      <c r="I11065" s="2" t="s">
        <v>15</v>
      </c>
      <c r="J11065" s="2" t="s">
        <v>14770</v>
      </c>
      <c r="K11065" s="2" t="s">
        <v>14768</v>
      </c>
      <c r="L11065" s="2">
        <f t="shared" si="172"/>
        <v>76</v>
      </c>
    </row>
    <row r="11066" spans="1:12" ht="25" customHeight="1">
      <c r="A11066" s="2" t="s">
        <v>12</v>
      </c>
      <c r="B11066" s="2" t="str">
        <f>HYPERLINK("http://bbs.12365auto.com/postcontent.aspx?tID=193476","福特蒙迪欧致胜变速箱功能限制 会是通病吧！")</f>
        <v>福特蒙迪欧致胜变速箱功能限制 会是通病吧！</v>
      </c>
      <c r="C11066" s="2" t="s">
        <v>13</v>
      </c>
      <c r="D11066" s="2" t="s">
        <v>12</v>
      </c>
      <c r="E11066" s="2" t="s">
        <v>67</v>
      </c>
      <c r="F11066" s="2" t="str">
        <f>HYPERLINK("http://bbs.12365auto.com/postcontent.aspx?tID=193476","http://bbs.12365auto.com/postcontent.aspx?tID=193476")</f>
        <v>http://bbs.12365auto.com/postcontent.aspx?tID=193476</v>
      </c>
      <c r="G11066" s="2"/>
      <c r="H11066" s="2" t="s">
        <v>14774</v>
      </c>
      <c r="I11066" s="2" t="s">
        <v>15</v>
      </c>
      <c r="J11066" s="2" t="s">
        <v>2158</v>
      </c>
      <c r="K11066" s="2" t="s">
        <v>14768</v>
      </c>
      <c r="L11066" s="2">
        <f t="shared" si="172"/>
        <v>138</v>
      </c>
    </row>
    <row r="11067" spans="1:12" ht="25" customHeight="1">
      <c r="A11067" s="2" t="s">
        <v>12</v>
      </c>
      <c r="B11067" s="2" t="str">
        <f>HYPERLINK("http://www.12365auto.com/xcdg/20200207/417915.shtml","国产版年内推出 雪佛兰新款探界者官图")</f>
        <v>国产版年内推出 雪佛兰新款探界者官图</v>
      </c>
      <c r="C11067" s="2" t="s">
        <v>13</v>
      </c>
      <c r="D11067" s="2" t="s">
        <v>12</v>
      </c>
      <c r="E11067" s="2" t="s">
        <v>216</v>
      </c>
      <c r="F11067" s="2" t="str">
        <f>HYPERLINK("http://www.12365auto.com/xcdg/20200207/417915.shtml","http://www.12365auto.com/xcdg/20200207/417915.shtml")</f>
        <v>http://www.12365auto.com/xcdg/20200207/417915.shtml</v>
      </c>
      <c r="G11067" s="2"/>
      <c r="H11067" s="2" t="s">
        <v>14775</v>
      </c>
      <c r="I11067" s="2" t="s">
        <v>15</v>
      </c>
      <c r="J11067" s="2" t="s">
        <v>12</v>
      </c>
      <c r="K11067" s="2" t="s">
        <v>14776</v>
      </c>
      <c r="L11067" s="2">
        <f t="shared" si="172"/>
        <v>150</v>
      </c>
    </row>
    <row r="11068" spans="1:12" ht="25" customHeight="1">
      <c r="A11068" s="2" t="s">
        <v>12</v>
      </c>
      <c r="B11068" s="2" t="str">
        <f>HYPERLINK("http://bbs.12365auto.com/postcontent.aspx?tId=193474","高尔夫的变速箱在行驶过程中是一顿一顿的")</f>
        <v>高尔夫的变速箱在行驶过程中是一顿一顿的</v>
      </c>
      <c r="C11068" s="2" t="s">
        <v>13</v>
      </c>
      <c r="D11068" s="2" t="s">
        <v>12</v>
      </c>
      <c r="E11068" s="2" t="s">
        <v>66</v>
      </c>
      <c r="F11068" s="2" t="str">
        <f>HYPERLINK("http://bbs.12365auto.com/postcontent.aspx?tId=193474","http://bbs.12365auto.com/postcontent.aspx?tId=193474")</f>
        <v>http://bbs.12365auto.com/postcontent.aspx?tId=193474</v>
      </c>
      <c r="G11068" s="2"/>
      <c r="H11068" s="2" t="s">
        <v>14777</v>
      </c>
      <c r="I11068" s="2" t="s">
        <v>15</v>
      </c>
      <c r="J11068" s="2" t="s">
        <v>14778</v>
      </c>
      <c r="K11068" s="2" t="s">
        <v>14776</v>
      </c>
      <c r="L11068" s="2">
        <f t="shared" si="172"/>
        <v>59</v>
      </c>
    </row>
    <row r="11069" spans="1:12" ht="25" customHeight="1">
      <c r="A11069" s="2" t="s">
        <v>12</v>
      </c>
      <c r="B11069" s="2" t="str">
        <f>HYPERLINK("http://m.12365auto.com/bbs/postcontent.aspx?tID=193474","高尔夫的变速箱在行驶过程中是一顿一顿的")</f>
        <v>高尔夫的变速箱在行驶过程中是一顿一顿的</v>
      </c>
      <c r="C11069" s="2" t="s">
        <v>13</v>
      </c>
      <c r="D11069" s="2" t="s">
        <v>23</v>
      </c>
      <c r="E11069" s="2"/>
      <c r="F11069" s="2" t="str">
        <f>HYPERLINK("http://m.12365auto.com/bbs/postcontent.aspx?tID=193474","http://m.12365auto.com/bbs/postcontent.aspx?tID=193474")</f>
        <v>http://m.12365auto.com/bbs/postcontent.aspx?tID=193474</v>
      </c>
      <c r="G11069" s="2"/>
      <c r="H11069" s="2" t="s">
        <v>14777</v>
      </c>
      <c r="I11069" s="2" t="s">
        <v>15</v>
      </c>
      <c r="J11069" s="2" t="s">
        <v>14778</v>
      </c>
      <c r="K11069" s="2" t="s">
        <v>14776</v>
      </c>
      <c r="L11069" s="2">
        <f t="shared" si="172"/>
        <v>59</v>
      </c>
    </row>
    <row r="11070" spans="1:12" ht="25" customHeight="1">
      <c r="A11070" s="2" t="s">
        <v>12</v>
      </c>
      <c r="B11070" s="2" t="str">
        <f>HYPERLINK("http://bbs.12365auto.com/postcontent.aspx?tID=193474","高尔夫的变速箱在行驶过程中是一顿一顿的")</f>
        <v>高尔夫的变速箱在行驶过程中是一顿一顿的</v>
      </c>
      <c r="C11070" s="2" t="s">
        <v>13</v>
      </c>
      <c r="D11070" s="2" t="s">
        <v>12</v>
      </c>
      <c r="E11070" s="2" t="s">
        <v>67</v>
      </c>
      <c r="F11070" s="2" t="str">
        <f>HYPERLINK("http://bbs.12365auto.com/postcontent.aspx?tID=193474","http://bbs.12365auto.com/postcontent.aspx?tID=193474")</f>
        <v>http://bbs.12365auto.com/postcontent.aspx?tID=193474</v>
      </c>
      <c r="G11070" s="2"/>
      <c r="H11070" s="2" t="s">
        <v>14779</v>
      </c>
      <c r="I11070" s="2" t="s">
        <v>15</v>
      </c>
      <c r="J11070" s="2" t="s">
        <v>14778</v>
      </c>
      <c r="K11070" s="2" t="s">
        <v>14776</v>
      </c>
      <c r="L11070" s="2">
        <f t="shared" si="172"/>
        <v>78</v>
      </c>
    </row>
    <row r="11071" spans="1:12" ht="25" customHeight="1">
      <c r="A11071" s="2" t="s">
        <v>12</v>
      </c>
      <c r="B11071" s="2" t="str">
        <f>HYPERLINK("http://m.12365auto.com/xcdg/20200207/417915.shtml","国产版年内推出 雪佛兰新款探界者官图")</f>
        <v>国产版年内推出 雪佛兰新款探界者官图</v>
      </c>
      <c r="C11071" s="2" t="s">
        <v>13</v>
      </c>
      <c r="D11071" s="2" t="s">
        <v>12</v>
      </c>
      <c r="E11071" s="2"/>
      <c r="F11071" s="2" t="str">
        <f>HYPERLINK("http://m.12365auto.com/xcdg/20200207/417915.shtml","http://m.12365auto.com/xcdg/20200207/417915.shtml")</f>
        <v>http://m.12365auto.com/xcdg/20200207/417915.shtml</v>
      </c>
      <c r="G11071" s="2"/>
      <c r="H11071" s="2" t="s">
        <v>14780</v>
      </c>
      <c r="I11071" s="2" t="s">
        <v>19</v>
      </c>
      <c r="J11071" s="2" t="s">
        <v>2560</v>
      </c>
      <c r="K11071" s="2" t="s">
        <v>14776</v>
      </c>
      <c r="L11071" s="2">
        <f t="shared" si="172"/>
        <v>150</v>
      </c>
    </row>
    <row r="11072" spans="1:12" ht="25" customHeight="1">
      <c r="A11072" s="2" t="s">
        <v>12</v>
      </c>
      <c r="B11072" s="2" t="str">
        <f>HYPERLINK("http://bbs.12365auto.com/postcontent.aspx?tId=193472","荣威i5踩离合沉重")</f>
        <v>荣威i5踩离合沉重</v>
      </c>
      <c r="C11072" s="2" t="s">
        <v>13</v>
      </c>
      <c r="D11072" s="2" t="s">
        <v>12</v>
      </c>
      <c r="E11072" s="2" t="s">
        <v>66</v>
      </c>
      <c r="F11072" s="2" t="str">
        <f>HYPERLINK("http://bbs.12365auto.com/postcontent.aspx?tId=193472","http://bbs.12365auto.com/postcontent.aspx?tId=193472")</f>
        <v>http://bbs.12365auto.com/postcontent.aspx?tId=193472</v>
      </c>
      <c r="G11072" s="2"/>
      <c r="H11072" s="2" t="s">
        <v>14781</v>
      </c>
      <c r="I11072" s="2" t="s">
        <v>15</v>
      </c>
      <c r="J11072" s="2" t="s">
        <v>2165</v>
      </c>
      <c r="K11072" s="2" t="s">
        <v>14782</v>
      </c>
      <c r="L11072" s="2">
        <f t="shared" si="172"/>
        <v>95</v>
      </c>
    </row>
    <row r="11073" spans="1:12" ht="25" customHeight="1">
      <c r="A11073" s="2" t="s">
        <v>12</v>
      </c>
      <c r="B11073" s="2" t="str">
        <f>HYPERLINK("http://bbs.12365auto.com/postcontent.aspx?tId=193473","帕萨特碰撞测试中A柱不堪一击")</f>
        <v>帕萨特碰撞测试中A柱不堪一击</v>
      </c>
      <c r="C11073" s="2" t="s">
        <v>13</v>
      </c>
      <c r="D11073" s="2" t="s">
        <v>12</v>
      </c>
      <c r="E11073" s="2" t="s">
        <v>66</v>
      </c>
      <c r="F11073" s="2" t="str">
        <f>HYPERLINK("http://bbs.12365auto.com/postcontent.aspx?tId=193473","http://bbs.12365auto.com/postcontent.aspx?tId=193473")</f>
        <v>http://bbs.12365auto.com/postcontent.aspx?tId=193473</v>
      </c>
      <c r="G11073" s="2"/>
      <c r="H11073" s="2" t="s">
        <v>14783</v>
      </c>
      <c r="I11073" s="2" t="s">
        <v>15</v>
      </c>
      <c r="J11073" s="2" t="s">
        <v>14784</v>
      </c>
      <c r="K11073" s="2" t="s">
        <v>14782</v>
      </c>
      <c r="L11073" s="2">
        <f t="shared" si="172"/>
        <v>150</v>
      </c>
    </row>
    <row r="11074" spans="1:12" ht="25" customHeight="1">
      <c r="A11074" s="2" t="s">
        <v>12</v>
      </c>
      <c r="B11074" s="2" t="str">
        <f>HYPERLINK("http://bbs.12365auto.com/postcontent.aspx?tID=193472","荣威i5踩离合沉重")</f>
        <v>荣威i5踩离合沉重</v>
      </c>
      <c r="C11074" s="2" t="s">
        <v>13</v>
      </c>
      <c r="D11074" s="2" t="s">
        <v>12</v>
      </c>
      <c r="E11074" s="2" t="s">
        <v>67</v>
      </c>
      <c r="F11074" s="2" t="str">
        <f>HYPERLINK("http://bbs.12365auto.com/postcontent.aspx?tID=193472","http://bbs.12365auto.com/postcontent.aspx?tID=193472")</f>
        <v>http://bbs.12365auto.com/postcontent.aspx?tID=193472</v>
      </c>
      <c r="G11074" s="2"/>
      <c r="H11074" s="2" t="s">
        <v>14785</v>
      </c>
      <c r="I11074" s="2" t="s">
        <v>15</v>
      </c>
      <c r="J11074" s="2" t="s">
        <v>2165</v>
      </c>
      <c r="K11074" s="2" t="s">
        <v>14782</v>
      </c>
      <c r="L11074" s="2">
        <f t="shared" si="172"/>
        <v>104</v>
      </c>
    </row>
    <row r="11075" spans="1:12" ht="25" customHeight="1">
      <c r="A11075" s="2" t="s">
        <v>12</v>
      </c>
      <c r="B11075" s="2" t="str">
        <f>HYPERLINK("http://m.12365auto.com/bbs/postcontent.aspx?tID=193472","荣威i5踩离合沉重")</f>
        <v>荣威i5踩离合沉重</v>
      </c>
      <c r="C11075" s="2" t="s">
        <v>13</v>
      </c>
      <c r="D11075" s="2" t="s">
        <v>23</v>
      </c>
      <c r="E11075" s="2"/>
      <c r="F11075" s="2" t="str">
        <f>HYPERLINK("http://m.12365auto.com/bbs/postcontent.aspx?tID=193472","http://m.12365auto.com/bbs/postcontent.aspx?tID=193472")</f>
        <v>http://m.12365auto.com/bbs/postcontent.aspx?tID=193472</v>
      </c>
      <c r="G11075" s="2"/>
      <c r="H11075" s="2" t="s">
        <v>14781</v>
      </c>
      <c r="I11075" s="2" t="s">
        <v>15</v>
      </c>
      <c r="J11075" s="2" t="s">
        <v>2165</v>
      </c>
      <c r="K11075" s="2" t="s">
        <v>14782</v>
      </c>
      <c r="L11075" s="2">
        <f t="shared" ref="L11075:L11138" si="173">LEN(H11075)</f>
        <v>95</v>
      </c>
    </row>
    <row r="11076" spans="1:12" ht="25" customHeight="1">
      <c r="A11076" s="2" t="s">
        <v>12</v>
      </c>
      <c r="B11076" s="2" t="str">
        <f>HYPERLINK("http://m.12365auto.com/bbs/postcontent.aspx?tID=193473","帕萨特碰撞测试中A柱不堪一击")</f>
        <v>帕萨特碰撞测试中A柱不堪一击</v>
      </c>
      <c r="C11076" s="2" t="s">
        <v>13</v>
      </c>
      <c r="D11076" s="2" t="s">
        <v>23</v>
      </c>
      <c r="E11076" s="2"/>
      <c r="F11076" s="2" t="str">
        <f>HYPERLINK("http://m.12365auto.com/bbs/postcontent.aspx?tID=193473","http://m.12365auto.com/bbs/postcontent.aspx?tID=193473")</f>
        <v>http://m.12365auto.com/bbs/postcontent.aspx?tID=193473</v>
      </c>
      <c r="G11076" s="2"/>
      <c r="H11076" s="2" t="s">
        <v>14783</v>
      </c>
      <c r="I11076" s="2" t="s">
        <v>15</v>
      </c>
      <c r="J11076" s="2" t="s">
        <v>14784</v>
      </c>
      <c r="K11076" s="2" t="s">
        <v>14782</v>
      </c>
      <c r="L11076" s="2">
        <f t="shared" si="173"/>
        <v>150</v>
      </c>
    </row>
    <row r="11077" spans="1:12" ht="25" customHeight="1">
      <c r="A11077" s="2" t="s">
        <v>12</v>
      </c>
      <c r="B11077" s="2" t="str">
        <f>HYPERLINK("http://bbs.12365auto.com/postcontent.aspx?tID=193473","帕萨特碰撞测试中A柱不堪一击")</f>
        <v>帕萨特碰撞测试中A柱不堪一击</v>
      </c>
      <c r="C11077" s="2" t="s">
        <v>13</v>
      </c>
      <c r="D11077" s="2" t="s">
        <v>12</v>
      </c>
      <c r="E11077" s="2" t="s">
        <v>67</v>
      </c>
      <c r="F11077" s="2" t="str">
        <f>HYPERLINK("http://bbs.12365auto.com/postcontent.aspx?tID=193473","http://bbs.12365auto.com/postcontent.aspx?tID=193473")</f>
        <v>http://bbs.12365auto.com/postcontent.aspx?tID=193473</v>
      </c>
      <c r="G11077" s="2"/>
      <c r="H11077" s="2" t="s">
        <v>14786</v>
      </c>
      <c r="I11077" s="2" t="s">
        <v>15</v>
      </c>
      <c r="J11077" s="2" t="s">
        <v>14784</v>
      </c>
      <c r="K11077" s="2" t="s">
        <v>14782</v>
      </c>
      <c r="L11077" s="2">
        <f t="shared" si="173"/>
        <v>150</v>
      </c>
    </row>
    <row r="11078" spans="1:12" ht="25" customHeight="1">
      <c r="A11078" s="2" t="s">
        <v>12</v>
      </c>
      <c r="B11078" s="2" t="str">
        <f>HYPERLINK("http://m.12365auto.com/xcdg/20200207/417914.shtml","解读低配车 实拍全新一代奔驰B 180")</f>
        <v>解读低配车 实拍全新一代奔驰B 180</v>
      </c>
      <c r="C11078" s="2" t="s">
        <v>13</v>
      </c>
      <c r="D11078" s="2" t="s">
        <v>12</v>
      </c>
      <c r="E11078" s="2"/>
      <c r="F11078" s="2" t="str">
        <f>HYPERLINK("http://m.12365auto.com/xcdg/20200207/417914.shtml","http://m.12365auto.com/xcdg/20200207/417914.shtml")</f>
        <v>http://m.12365auto.com/xcdg/20200207/417914.shtml</v>
      </c>
      <c r="G11078" s="2"/>
      <c r="H11078" s="2" t="s">
        <v>14787</v>
      </c>
      <c r="I11078" s="2" t="s">
        <v>19</v>
      </c>
      <c r="J11078" s="2" t="s">
        <v>2830</v>
      </c>
      <c r="K11078" s="2" t="s">
        <v>14782</v>
      </c>
      <c r="L11078" s="2">
        <f t="shared" si="173"/>
        <v>150</v>
      </c>
    </row>
    <row r="11079" spans="1:12" ht="25" customHeight="1">
      <c r="A11079" s="2" t="s">
        <v>12</v>
      </c>
      <c r="B11079" s="2" t="str">
        <f>HYPERLINK("http://bbs.12365auto.com/postcontent.aspx?tId=193469","更换的速锐新变速箱还是有异响")</f>
        <v>更换的速锐新变速箱还是有异响</v>
      </c>
      <c r="C11079" s="2" t="s">
        <v>13</v>
      </c>
      <c r="D11079" s="2" t="s">
        <v>12</v>
      </c>
      <c r="E11079" s="2" t="s">
        <v>66</v>
      </c>
      <c r="F11079" s="2" t="str">
        <f>HYPERLINK("http://bbs.12365auto.com/postcontent.aspx?tId=193469","http://bbs.12365auto.com/postcontent.aspx?tId=193469")</f>
        <v>http://bbs.12365auto.com/postcontent.aspx?tId=193469</v>
      </c>
      <c r="G11079" s="2"/>
      <c r="H11079" s="2" t="s">
        <v>14788</v>
      </c>
      <c r="I11079" s="2" t="s">
        <v>15</v>
      </c>
      <c r="J11079" s="2" t="s">
        <v>14789</v>
      </c>
      <c r="K11079" s="2" t="s">
        <v>14790</v>
      </c>
      <c r="L11079" s="2">
        <f t="shared" si="173"/>
        <v>150</v>
      </c>
    </row>
    <row r="11080" spans="1:12" ht="25" customHeight="1">
      <c r="A11080" s="2" t="s">
        <v>12</v>
      </c>
      <c r="B11080" s="2" t="str">
        <f>HYPERLINK("http://bbs.12365auto.com/postcontent.aspx?tId=193470","标致408发动机烧机油 质量缺陷啊！")</f>
        <v>标致408发动机烧机油 质量缺陷啊！</v>
      </c>
      <c r="C11080" s="2" t="s">
        <v>13</v>
      </c>
      <c r="D11080" s="2" t="s">
        <v>12</v>
      </c>
      <c r="E11080" s="2" t="s">
        <v>66</v>
      </c>
      <c r="F11080" s="2" t="str">
        <f>HYPERLINK("http://bbs.12365auto.com/postcontent.aspx?tId=193470","http://bbs.12365auto.com/postcontent.aspx?tId=193470")</f>
        <v>http://bbs.12365auto.com/postcontent.aspx?tId=193470</v>
      </c>
      <c r="G11080" s="2"/>
      <c r="H11080" s="2" t="s">
        <v>14791</v>
      </c>
      <c r="I11080" s="2" t="s">
        <v>15</v>
      </c>
      <c r="J11080" s="2" t="s">
        <v>2162</v>
      </c>
      <c r="K11080" s="2" t="s">
        <v>14790</v>
      </c>
      <c r="L11080" s="2">
        <f t="shared" si="173"/>
        <v>101</v>
      </c>
    </row>
    <row r="11081" spans="1:12" ht="25" customHeight="1">
      <c r="A11081" s="2" t="s">
        <v>12</v>
      </c>
      <c r="B11081" s="2" t="str">
        <f>HYPERLINK("http://bbs.12365auto.com/postcontent.aspx?tId=193471","明锐两前大灯起雾 车灯密封性真差")</f>
        <v>明锐两前大灯起雾 车灯密封性真差</v>
      </c>
      <c r="C11081" s="2" t="s">
        <v>13</v>
      </c>
      <c r="D11081" s="2" t="s">
        <v>12</v>
      </c>
      <c r="E11081" s="2" t="s">
        <v>66</v>
      </c>
      <c r="F11081" s="2" t="str">
        <f>HYPERLINK("http://bbs.12365auto.com/postcontent.aspx?tId=193471","http://bbs.12365auto.com/postcontent.aspx?tId=193471")</f>
        <v>http://bbs.12365auto.com/postcontent.aspx?tId=193471</v>
      </c>
      <c r="G11081" s="2"/>
      <c r="H11081" s="2" t="s">
        <v>14792</v>
      </c>
      <c r="I11081" s="2" t="s">
        <v>15</v>
      </c>
      <c r="J11081" s="2" t="s">
        <v>14793</v>
      </c>
      <c r="K11081" s="2" t="s">
        <v>14790</v>
      </c>
      <c r="L11081" s="2">
        <f t="shared" si="173"/>
        <v>55</v>
      </c>
    </row>
    <row r="11082" spans="1:12" ht="25" customHeight="1">
      <c r="A11082" s="2" t="s">
        <v>12</v>
      </c>
      <c r="B11082" s="2" t="str">
        <f>HYPERLINK("http://bbs.12365auto.com/postcontent.aspx?tID=193471","明锐两前大灯起雾 车灯密封性真差")</f>
        <v>明锐两前大灯起雾 车灯密封性真差</v>
      </c>
      <c r="C11082" s="2" t="s">
        <v>13</v>
      </c>
      <c r="D11082" s="2" t="s">
        <v>12</v>
      </c>
      <c r="E11082" s="2" t="s">
        <v>67</v>
      </c>
      <c r="F11082" s="2" t="str">
        <f>HYPERLINK("http://bbs.12365auto.com/postcontent.aspx?tID=193471","http://bbs.12365auto.com/postcontent.aspx?tID=193471")</f>
        <v>http://bbs.12365auto.com/postcontent.aspx?tID=193471</v>
      </c>
      <c r="G11082" s="2"/>
      <c r="H11082" s="2" t="s">
        <v>14794</v>
      </c>
      <c r="I11082" s="2" t="s">
        <v>15</v>
      </c>
      <c r="J11082" s="2" t="s">
        <v>14793</v>
      </c>
      <c r="K11082" s="2" t="s">
        <v>14790</v>
      </c>
      <c r="L11082" s="2">
        <f t="shared" si="173"/>
        <v>71</v>
      </c>
    </row>
    <row r="11083" spans="1:12" ht="25" customHeight="1">
      <c r="A11083" s="2" t="s">
        <v>12</v>
      </c>
      <c r="B11083" s="2" t="str">
        <f>HYPERLINK("http://bbs.12365auto.com/postcontent.aspx?tID=193470","标致408发动机烧机油 质量缺陷啊！")</f>
        <v>标致408发动机烧机油 质量缺陷啊！</v>
      </c>
      <c r="C11083" s="2" t="s">
        <v>13</v>
      </c>
      <c r="D11083" s="2" t="s">
        <v>12</v>
      </c>
      <c r="E11083" s="2" t="s">
        <v>67</v>
      </c>
      <c r="F11083" s="2" t="str">
        <f>HYPERLINK("http://bbs.12365auto.com/postcontent.aspx?tID=193470","http://bbs.12365auto.com/postcontent.aspx?tID=193470")</f>
        <v>http://bbs.12365auto.com/postcontent.aspx?tID=193470</v>
      </c>
      <c r="G11083" s="2"/>
      <c r="H11083" s="2" t="s">
        <v>14795</v>
      </c>
      <c r="I11083" s="2" t="s">
        <v>15</v>
      </c>
      <c r="J11083" s="2" t="s">
        <v>2162</v>
      </c>
      <c r="K11083" s="2" t="s">
        <v>14790</v>
      </c>
      <c r="L11083" s="2">
        <f t="shared" si="173"/>
        <v>119</v>
      </c>
    </row>
    <row r="11084" spans="1:12" ht="25" customHeight="1">
      <c r="A11084" s="2" t="s">
        <v>12</v>
      </c>
      <c r="B11084" s="2" t="str">
        <f>HYPERLINK("http://bbs.12365auto.com/postcontent.aspx?tID=193469","更换的速锐新变速箱还是有异响")</f>
        <v>更换的速锐新变速箱还是有异响</v>
      </c>
      <c r="C11084" s="2" t="s">
        <v>13</v>
      </c>
      <c r="D11084" s="2" t="s">
        <v>12</v>
      </c>
      <c r="E11084" s="2" t="s">
        <v>67</v>
      </c>
      <c r="F11084" s="2" t="str">
        <f>HYPERLINK("http://bbs.12365auto.com/postcontent.aspx?tID=193469","http://bbs.12365auto.com/postcontent.aspx?tID=193469")</f>
        <v>http://bbs.12365auto.com/postcontent.aspx?tID=193469</v>
      </c>
      <c r="G11084" s="2"/>
      <c r="H11084" s="2" t="s">
        <v>14796</v>
      </c>
      <c r="I11084" s="2" t="s">
        <v>15</v>
      </c>
      <c r="J11084" s="2" t="s">
        <v>14789</v>
      </c>
      <c r="K11084" s="2" t="s">
        <v>14790</v>
      </c>
      <c r="L11084" s="2">
        <f t="shared" si="173"/>
        <v>150</v>
      </c>
    </row>
    <row r="11085" spans="1:12" ht="25" customHeight="1">
      <c r="A11085" s="2" t="s">
        <v>12</v>
      </c>
      <c r="B11085" s="2" t="str">
        <f>HYPERLINK("http://www.12365auto.com/news/20200207/417913.shtml","把红绿灯搬上车 奥迪V2I技术又有新进展")</f>
        <v>把红绿灯搬上车 奥迪V2I技术又有新进展</v>
      </c>
      <c r="C11085" s="2" t="s">
        <v>13</v>
      </c>
      <c r="D11085" s="2" t="s">
        <v>12</v>
      </c>
      <c r="E11085" s="2" t="s">
        <v>276</v>
      </c>
      <c r="F11085" s="2" t="str">
        <f>HYPERLINK("http://www.12365auto.com/news/20200207/417913.shtml","http://www.12365auto.com/news/20200207/417913.shtml")</f>
        <v>http://www.12365auto.com/news/20200207/417913.shtml</v>
      </c>
      <c r="G11085" s="2"/>
      <c r="H11085" s="2" t="s">
        <v>14797</v>
      </c>
      <c r="I11085" s="2" t="s">
        <v>15</v>
      </c>
      <c r="J11085" s="2" t="s">
        <v>12</v>
      </c>
      <c r="K11085" s="2" t="s">
        <v>14798</v>
      </c>
      <c r="L11085" s="2">
        <f t="shared" si="173"/>
        <v>150</v>
      </c>
    </row>
    <row r="11086" spans="1:12" ht="25" customHeight="1">
      <c r="A11086" s="2" t="s">
        <v>12</v>
      </c>
      <c r="B11086" s="2" t="str">
        <f>HYPERLINK("http://bbs.12365auto.com/postcontent.aspx?tId=193468","看图，江淮瑞风S3排气管生锈")</f>
        <v>看图，江淮瑞风S3排气管生锈</v>
      </c>
      <c r="C11086" s="2" t="s">
        <v>13</v>
      </c>
      <c r="D11086" s="2" t="s">
        <v>12</v>
      </c>
      <c r="E11086" s="2" t="s">
        <v>66</v>
      </c>
      <c r="F11086" s="2" t="str">
        <f>HYPERLINK("http://bbs.12365auto.com/postcontent.aspx?tId=193468","http://bbs.12365auto.com/postcontent.aspx?tId=193468")</f>
        <v>http://bbs.12365auto.com/postcontent.aspx?tId=193468</v>
      </c>
      <c r="G11086" s="2"/>
      <c r="H11086" s="2" t="s">
        <v>13898</v>
      </c>
      <c r="I11086" s="2" t="s">
        <v>15</v>
      </c>
      <c r="J11086" s="2" t="s">
        <v>3959</v>
      </c>
      <c r="K11086" s="2" t="s">
        <v>14798</v>
      </c>
      <c r="L11086" s="2">
        <f t="shared" si="173"/>
        <v>150</v>
      </c>
    </row>
    <row r="11087" spans="1:12" ht="25" customHeight="1">
      <c r="A11087" s="2" t="s">
        <v>12</v>
      </c>
      <c r="B11087" s="2" t="str">
        <f>HYPERLINK("http://bbs.12365auto.com/postcontent.aspx?tId=193467","日产奇骏漆面龟裂漆面质量真不咋地呀")</f>
        <v>日产奇骏漆面龟裂漆面质量真不咋地呀</v>
      </c>
      <c r="C11087" s="2" t="s">
        <v>13</v>
      </c>
      <c r="D11087" s="2" t="s">
        <v>12</v>
      </c>
      <c r="E11087" s="2" t="s">
        <v>66</v>
      </c>
      <c r="F11087" s="2" t="str">
        <f>HYPERLINK("http://bbs.12365auto.com/postcontent.aspx?tId=193467","http://bbs.12365auto.com/postcontent.aspx?tId=193467")</f>
        <v>http://bbs.12365auto.com/postcontent.aspx?tId=193467</v>
      </c>
      <c r="G11087" s="2"/>
      <c r="H11087" s="2" t="s">
        <v>14799</v>
      </c>
      <c r="I11087" s="2" t="s">
        <v>15</v>
      </c>
      <c r="J11087" s="2" t="s">
        <v>14800</v>
      </c>
      <c r="K11087" s="2" t="s">
        <v>14798</v>
      </c>
      <c r="L11087" s="2">
        <f t="shared" si="173"/>
        <v>105</v>
      </c>
    </row>
    <row r="11088" spans="1:12" ht="25" customHeight="1">
      <c r="A11088" s="2" t="s">
        <v>12</v>
      </c>
      <c r="B11088" s="2" t="str">
        <f>HYPERLINK("http://bbs.12365auto.com/postcontent.aspx?tID=193467","日产奇骏漆面龟裂漆面质量真不咋地呀")</f>
        <v>日产奇骏漆面龟裂漆面质量真不咋地呀</v>
      </c>
      <c r="C11088" s="2" t="s">
        <v>13</v>
      </c>
      <c r="D11088" s="2" t="s">
        <v>12</v>
      </c>
      <c r="E11088" s="2" t="s">
        <v>67</v>
      </c>
      <c r="F11088" s="2" t="str">
        <f>HYPERLINK("http://bbs.12365auto.com/postcontent.aspx?tID=193467","http://bbs.12365auto.com/postcontent.aspx?tID=193467")</f>
        <v>http://bbs.12365auto.com/postcontent.aspx?tID=193467</v>
      </c>
      <c r="G11088" s="2"/>
      <c r="H11088" s="2" t="s">
        <v>14801</v>
      </c>
      <c r="I11088" s="2" t="s">
        <v>15</v>
      </c>
      <c r="J11088" s="2" t="s">
        <v>14800</v>
      </c>
      <c r="K11088" s="2" t="s">
        <v>14798</v>
      </c>
      <c r="L11088" s="2">
        <f t="shared" si="173"/>
        <v>122</v>
      </c>
    </row>
    <row r="11089" spans="1:12" ht="25" customHeight="1">
      <c r="A11089" s="2" t="s">
        <v>12</v>
      </c>
      <c r="B11089" s="2" t="str">
        <f>HYPERLINK("http://bbs.12365auto.com/postcontent.aspx?tID=193468","看图，江淮瑞风S3排气管生锈")</f>
        <v>看图，江淮瑞风S3排气管生锈</v>
      </c>
      <c r="C11089" s="2" t="s">
        <v>13</v>
      </c>
      <c r="D11089" s="2" t="s">
        <v>12</v>
      </c>
      <c r="E11089" s="2" t="s">
        <v>67</v>
      </c>
      <c r="F11089" s="2" t="str">
        <f>HYPERLINK("http://bbs.12365auto.com/postcontent.aspx?tID=193468","http://bbs.12365auto.com/postcontent.aspx?tID=193468")</f>
        <v>http://bbs.12365auto.com/postcontent.aspx?tID=193468</v>
      </c>
      <c r="G11089" s="2"/>
      <c r="H11089" s="2" t="s">
        <v>14802</v>
      </c>
      <c r="I11089" s="2" t="s">
        <v>15</v>
      </c>
      <c r="J11089" s="2" t="s">
        <v>3959</v>
      </c>
      <c r="K11089" s="2" t="s">
        <v>14798</v>
      </c>
      <c r="L11089" s="2">
        <f t="shared" si="173"/>
        <v>150</v>
      </c>
    </row>
    <row r="11090" spans="1:12" ht="25" customHeight="1">
      <c r="A11090" s="2" t="s">
        <v>12</v>
      </c>
      <c r="B11090" s="2" t="str">
        <f>HYPERLINK("http://m.12365auto.com/news/20200207/417913.shtml","把红绿灯搬上车 奥迪V2I技术又有新进展")</f>
        <v>把红绿灯搬上车 奥迪V2I技术又有新进展</v>
      </c>
      <c r="C11090" s="2" t="s">
        <v>13</v>
      </c>
      <c r="D11090" s="2" t="s">
        <v>12</v>
      </c>
      <c r="E11090" s="2"/>
      <c r="F11090" s="2" t="str">
        <f>HYPERLINK("http://m.12365auto.com/news/20200207/417913.shtml","http://m.12365auto.com/news/20200207/417913.shtml")</f>
        <v>http://m.12365auto.com/news/20200207/417913.shtml</v>
      </c>
      <c r="G11090" s="2"/>
      <c r="H11090" s="2" t="s">
        <v>14803</v>
      </c>
      <c r="I11090" s="2" t="s">
        <v>19</v>
      </c>
      <c r="J11090" s="2" t="s">
        <v>1188</v>
      </c>
      <c r="K11090" s="2" t="s">
        <v>14798</v>
      </c>
      <c r="L11090" s="2">
        <f t="shared" si="173"/>
        <v>150</v>
      </c>
    </row>
    <row r="11091" spans="1:12" ht="25" customHeight="1">
      <c r="A11091" s="2" t="s">
        <v>12</v>
      </c>
      <c r="B11091" s="2" t="str">
        <f>HYPERLINK("http://www.12365auto.com/news/20200207/417912.shtml","限时免费 奥迪e-tron车主将享电力优惠")</f>
        <v>限时免费 奥迪e-tron车主将享电力优惠</v>
      </c>
      <c r="C11091" s="2" t="s">
        <v>13</v>
      </c>
      <c r="D11091" s="2" t="s">
        <v>12</v>
      </c>
      <c r="E11091" s="2" t="s">
        <v>276</v>
      </c>
      <c r="F11091" s="2" t="str">
        <f>HYPERLINK("http://www.12365auto.com/news/20200207/417912.shtml","http://www.12365auto.com/news/20200207/417912.shtml")</f>
        <v>http://www.12365auto.com/news/20200207/417912.shtml</v>
      </c>
      <c r="G11091" s="2"/>
      <c r="H11091" s="2" t="s">
        <v>14804</v>
      </c>
      <c r="I11091" s="2" t="s">
        <v>15</v>
      </c>
      <c r="J11091" s="2" t="s">
        <v>12</v>
      </c>
      <c r="K11091" s="2" t="s">
        <v>14805</v>
      </c>
      <c r="L11091" s="2">
        <f t="shared" si="173"/>
        <v>150</v>
      </c>
    </row>
    <row r="11092" spans="1:12" ht="25" customHeight="1">
      <c r="A11092" s="2" t="s">
        <v>12</v>
      </c>
      <c r="B11092" s="2" t="str">
        <f>HYPERLINK("http://bbs.12365auto.com/postcontent.aspx?tId=193466","大众途岳车窗吱吱响")</f>
        <v>大众途岳车窗吱吱响</v>
      </c>
      <c r="C11092" s="2" t="s">
        <v>13</v>
      </c>
      <c r="D11092" s="2" t="s">
        <v>12</v>
      </c>
      <c r="E11092" s="2" t="s">
        <v>66</v>
      </c>
      <c r="F11092" s="2" t="str">
        <f>HYPERLINK("http://bbs.12365auto.com/postcontent.aspx?tId=193466","http://bbs.12365auto.com/postcontent.aspx?tId=193466")</f>
        <v>http://bbs.12365auto.com/postcontent.aspx?tId=193466</v>
      </c>
      <c r="G11092" s="2"/>
      <c r="H11092" s="2" t="s">
        <v>13913</v>
      </c>
      <c r="I11092" s="2" t="s">
        <v>15</v>
      </c>
      <c r="J11092" s="2" t="s">
        <v>3963</v>
      </c>
      <c r="K11092" s="2" t="s">
        <v>14805</v>
      </c>
      <c r="L11092" s="2">
        <f t="shared" si="173"/>
        <v>150</v>
      </c>
    </row>
    <row r="11093" spans="1:12" ht="25" customHeight="1">
      <c r="A11093" s="2" t="s">
        <v>12</v>
      </c>
      <c r="B11093" s="2" t="str">
        <f>HYPERLINK("http://bbs.12365auto.com/postcontent.aspx?tId=193465","途胜机油增多了 动力也下降了 质量差呀")</f>
        <v>途胜机油增多了 动力也下降了 质量差呀</v>
      </c>
      <c r="C11093" s="2" t="s">
        <v>13</v>
      </c>
      <c r="D11093" s="2" t="s">
        <v>12</v>
      </c>
      <c r="E11093" s="2" t="s">
        <v>66</v>
      </c>
      <c r="F11093" s="2" t="str">
        <f>HYPERLINK("http://bbs.12365auto.com/postcontent.aspx?tId=193465","http://bbs.12365auto.com/postcontent.aspx?tId=193465")</f>
        <v>http://bbs.12365auto.com/postcontent.aspx?tId=193465</v>
      </c>
      <c r="G11093" s="2"/>
      <c r="H11093" s="2" t="s">
        <v>14806</v>
      </c>
      <c r="I11093" s="2" t="s">
        <v>15</v>
      </c>
      <c r="J11093" s="2" t="s">
        <v>14807</v>
      </c>
      <c r="K11093" s="2" t="s">
        <v>14805</v>
      </c>
      <c r="L11093" s="2">
        <f t="shared" si="173"/>
        <v>41</v>
      </c>
    </row>
    <row r="11094" spans="1:12" ht="25" customHeight="1">
      <c r="A11094" s="2" t="s">
        <v>12</v>
      </c>
      <c r="B11094" s="2" t="str">
        <f>HYPERLINK("http://m.12365auto.com/bbs/postcontent.aspx?tID=193465&amp;i=1","途胜机油增多了 动力也下降了 质量差呀")</f>
        <v>途胜机油增多了 动力也下降了 质量差呀</v>
      </c>
      <c r="C11094" s="2" t="s">
        <v>13</v>
      </c>
      <c r="D11094" s="2" t="s">
        <v>23</v>
      </c>
      <c r="E11094" s="2"/>
      <c r="F11094" s="2" t="str">
        <f>HYPERLINK("http://m.12365auto.com/bbs/postcontent.aspx?tID=193465&amp;i=1","http://m.12365auto.com/bbs/postcontent.aspx?tID=193465&amp;i=1")</f>
        <v>http://m.12365auto.com/bbs/postcontent.aspx?tID=193465&amp;i=1</v>
      </c>
      <c r="G11094" s="2"/>
      <c r="H11094" s="2" t="s">
        <v>14806</v>
      </c>
      <c r="I11094" s="2" t="s">
        <v>15</v>
      </c>
      <c r="J11094" s="2" t="s">
        <v>14807</v>
      </c>
      <c r="K11094" s="2" t="s">
        <v>14805</v>
      </c>
      <c r="L11094" s="2">
        <f t="shared" si="173"/>
        <v>41</v>
      </c>
    </row>
    <row r="11095" spans="1:12" ht="25" customHeight="1">
      <c r="A11095" s="2" t="s">
        <v>12</v>
      </c>
      <c r="B11095" s="2" t="str">
        <f>HYPERLINK("http://bbs.12365auto.com/postcontent.aspx?tID=193465","途胜机油增多了 动力也下降了 质量差呀")</f>
        <v>途胜机油增多了 动力也下降了 质量差呀</v>
      </c>
      <c r="C11095" s="2" t="s">
        <v>13</v>
      </c>
      <c r="D11095" s="2" t="s">
        <v>12</v>
      </c>
      <c r="E11095" s="2" t="s">
        <v>67</v>
      </c>
      <c r="F11095" s="2" t="str">
        <f>HYPERLINK("http://bbs.12365auto.com/postcontent.aspx?tID=193465","http://bbs.12365auto.com/postcontent.aspx?tID=193465")</f>
        <v>http://bbs.12365auto.com/postcontent.aspx?tID=193465</v>
      </c>
      <c r="G11095" s="2"/>
      <c r="H11095" s="2" t="s">
        <v>14808</v>
      </c>
      <c r="I11095" s="2" t="s">
        <v>15</v>
      </c>
      <c r="J11095" s="2" t="s">
        <v>14807</v>
      </c>
      <c r="K11095" s="2" t="s">
        <v>14805</v>
      </c>
      <c r="L11095" s="2">
        <f t="shared" si="173"/>
        <v>60</v>
      </c>
    </row>
    <row r="11096" spans="1:12" ht="25" customHeight="1">
      <c r="A11096" s="2" t="s">
        <v>12</v>
      </c>
      <c r="B11096" s="2" t="str">
        <f>HYPERLINK("http://bbs.12365auto.com/postcontent.aspx?tID=193466","大众途岳车窗吱吱响")</f>
        <v>大众途岳车窗吱吱响</v>
      </c>
      <c r="C11096" s="2" t="s">
        <v>13</v>
      </c>
      <c r="D11096" s="2" t="s">
        <v>12</v>
      </c>
      <c r="E11096" s="2" t="s">
        <v>67</v>
      </c>
      <c r="F11096" s="2" t="str">
        <f>HYPERLINK("http://bbs.12365auto.com/postcontent.aspx?tID=193466","http://bbs.12365auto.com/postcontent.aspx?tID=193466")</f>
        <v>http://bbs.12365auto.com/postcontent.aspx?tID=193466</v>
      </c>
      <c r="G11096" s="2"/>
      <c r="H11096" s="2" t="s">
        <v>14809</v>
      </c>
      <c r="I11096" s="2" t="s">
        <v>15</v>
      </c>
      <c r="J11096" s="2" t="s">
        <v>3963</v>
      </c>
      <c r="K11096" s="2" t="s">
        <v>14805</v>
      </c>
      <c r="L11096" s="2">
        <f t="shared" si="173"/>
        <v>150</v>
      </c>
    </row>
    <row r="11097" spans="1:12" ht="25" customHeight="1">
      <c r="A11097" s="2" t="s">
        <v>12</v>
      </c>
      <c r="B11097" s="2" t="str">
        <f>HYPERLINK("http://m.12365auto.com/news/20200207/417912.shtml","限时免费 奥迪e-tron车主将享电力优惠")</f>
        <v>限时免费 奥迪e-tron车主将享电力优惠</v>
      </c>
      <c r="C11097" s="2" t="s">
        <v>13</v>
      </c>
      <c r="D11097" s="2" t="s">
        <v>12</v>
      </c>
      <c r="E11097" s="2"/>
      <c r="F11097" s="2" t="str">
        <f>HYPERLINK("http://m.12365auto.com/news/20200207/417912.shtml","http://m.12365auto.com/news/20200207/417912.shtml")</f>
        <v>http://m.12365auto.com/news/20200207/417912.shtml</v>
      </c>
      <c r="G11097" s="2"/>
      <c r="H11097" s="2" t="s">
        <v>14810</v>
      </c>
      <c r="I11097" s="2" t="s">
        <v>19</v>
      </c>
      <c r="J11097" s="2" t="s">
        <v>1543</v>
      </c>
      <c r="K11097" s="2" t="s">
        <v>14805</v>
      </c>
      <c r="L11097" s="2">
        <f t="shared" si="173"/>
        <v>150</v>
      </c>
    </row>
    <row r="11098" spans="1:12" ht="25" customHeight="1">
      <c r="A11098" s="2" t="s">
        <v>12</v>
      </c>
      <c r="B11098" s="2" t="str">
        <f>HYPERLINK("http://www.12365auto.com/xcdg/20200207/417911.shtml","暗黑系风格 丰田三款特别版车型官图")</f>
        <v>暗黑系风格 丰田三款特别版车型官图</v>
      </c>
      <c r="C11098" s="2" t="s">
        <v>13</v>
      </c>
      <c r="D11098" s="2" t="s">
        <v>12</v>
      </c>
      <c r="E11098" s="2" t="s">
        <v>216</v>
      </c>
      <c r="F11098" s="2" t="str">
        <f>HYPERLINK("http://www.12365auto.com/xcdg/20200207/417911.shtml","http://www.12365auto.com/xcdg/20200207/417911.shtml")</f>
        <v>http://www.12365auto.com/xcdg/20200207/417911.shtml</v>
      </c>
      <c r="G11098" s="2"/>
      <c r="H11098" s="2" t="s">
        <v>14811</v>
      </c>
      <c r="I11098" s="2" t="s">
        <v>15</v>
      </c>
      <c r="J11098" s="2" t="s">
        <v>12</v>
      </c>
      <c r="K11098" s="2" t="s">
        <v>14812</v>
      </c>
      <c r="L11098" s="2">
        <f t="shared" si="173"/>
        <v>150</v>
      </c>
    </row>
    <row r="11099" spans="1:12" ht="25" customHeight="1">
      <c r="A11099" s="2" t="s">
        <v>12</v>
      </c>
      <c r="B11099" s="2" t="str">
        <f>HYPERLINK("http://bbs.12365auto.com/postcontent.aspx?tId=193464","如图所示，起亚K3漆面起泡掉漆")</f>
        <v>如图所示，起亚K3漆面起泡掉漆</v>
      </c>
      <c r="C11099" s="2" t="s">
        <v>13</v>
      </c>
      <c r="D11099" s="2" t="s">
        <v>12</v>
      </c>
      <c r="E11099" s="2" t="s">
        <v>66</v>
      </c>
      <c r="F11099" s="2" t="str">
        <f>HYPERLINK("http://bbs.12365auto.com/postcontent.aspx?tId=193464","http://bbs.12365auto.com/postcontent.aspx?tId=193464")</f>
        <v>http://bbs.12365auto.com/postcontent.aspx?tId=193464</v>
      </c>
      <c r="G11099" s="2"/>
      <c r="H11099" s="2" t="s">
        <v>14813</v>
      </c>
      <c r="I11099" s="2" t="s">
        <v>15</v>
      </c>
      <c r="J11099" s="2" t="s">
        <v>3966</v>
      </c>
      <c r="K11099" s="2" t="s">
        <v>14812</v>
      </c>
      <c r="L11099" s="2">
        <f t="shared" si="173"/>
        <v>32</v>
      </c>
    </row>
    <row r="11100" spans="1:12" ht="25" customHeight="1">
      <c r="A11100" s="2" t="s">
        <v>12</v>
      </c>
      <c r="B11100" s="2" t="str">
        <f>HYPERLINK("http://bbs.12365auto.com/postcontent.aspx?tID=193464","如图所示，起亚K3漆面起泡掉漆")</f>
        <v>如图所示，起亚K3漆面起泡掉漆</v>
      </c>
      <c r="C11100" s="2" t="s">
        <v>13</v>
      </c>
      <c r="D11100" s="2" t="s">
        <v>12</v>
      </c>
      <c r="E11100" s="2" t="s">
        <v>67</v>
      </c>
      <c r="F11100" s="2" t="str">
        <f>HYPERLINK("http://bbs.12365auto.com/postcontent.aspx?tID=193464","http://bbs.12365auto.com/postcontent.aspx?tID=193464")</f>
        <v>http://bbs.12365auto.com/postcontent.aspx?tID=193464</v>
      </c>
      <c r="G11100" s="2"/>
      <c r="H11100" s="2" t="s">
        <v>14814</v>
      </c>
      <c r="I11100" s="2" t="s">
        <v>15</v>
      </c>
      <c r="J11100" s="2" t="s">
        <v>3966</v>
      </c>
      <c r="K11100" s="2" t="s">
        <v>14812</v>
      </c>
      <c r="L11100" s="2">
        <f t="shared" si="173"/>
        <v>47</v>
      </c>
    </row>
    <row r="11101" spans="1:12" ht="25" customHeight="1">
      <c r="A11101" s="2" t="s">
        <v>12</v>
      </c>
      <c r="B11101" s="2" t="str">
        <f>HYPERLINK("http://m.12365auto.com/xcdg/20200207/417911.shtml","暗黑系风格 丰田三款特别版车型官图")</f>
        <v>暗黑系风格 丰田三款特别版车型官图</v>
      </c>
      <c r="C11101" s="2" t="s">
        <v>13</v>
      </c>
      <c r="D11101" s="2" t="s">
        <v>12</v>
      </c>
      <c r="E11101" s="2"/>
      <c r="F11101" s="2" t="str">
        <f>HYPERLINK("http://m.12365auto.com/xcdg/20200207/417911.shtml","http://m.12365auto.com/xcdg/20200207/417911.shtml")</f>
        <v>http://m.12365auto.com/xcdg/20200207/417911.shtml</v>
      </c>
      <c r="G11101" s="2"/>
      <c r="H11101" s="2" t="s">
        <v>14815</v>
      </c>
      <c r="I11101" s="2" t="s">
        <v>19</v>
      </c>
      <c r="J11101" s="2" t="s">
        <v>836</v>
      </c>
      <c r="K11101" s="2" t="s">
        <v>14812</v>
      </c>
      <c r="L11101" s="2">
        <f t="shared" si="173"/>
        <v>150</v>
      </c>
    </row>
    <row r="11102" spans="1:12" ht="25" customHeight="1">
      <c r="A11102" s="2" t="s">
        <v>12</v>
      </c>
      <c r="B11102" s="2" t="str">
        <f>HYPERLINK("http://bbs.12365auto.com/postcontent.aspx?tId=193463","欧蓝德仪表上总是显示发动机故障灯")</f>
        <v>欧蓝德仪表上总是显示发动机故障灯</v>
      </c>
      <c r="C11102" s="2" t="s">
        <v>13</v>
      </c>
      <c r="D11102" s="2" t="s">
        <v>12</v>
      </c>
      <c r="E11102" s="2" t="s">
        <v>66</v>
      </c>
      <c r="F11102" s="2" t="str">
        <f>HYPERLINK("http://bbs.12365auto.com/postcontent.aspx?tId=193463","http://bbs.12365auto.com/postcontent.aspx?tId=193463")</f>
        <v>http://bbs.12365auto.com/postcontent.aspx?tId=193463</v>
      </c>
      <c r="G11102" s="2"/>
      <c r="H11102" s="2" t="s">
        <v>14816</v>
      </c>
      <c r="I11102" s="2" t="s">
        <v>15</v>
      </c>
      <c r="J11102" s="2" t="s">
        <v>14817</v>
      </c>
      <c r="K11102" s="2" t="s">
        <v>14818</v>
      </c>
      <c r="L11102" s="2">
        <f t="shared" si="173"/>
        <v>64</v>
      </c>
    </row>
    <row r="11103" spans="1:12" ht="25" customHeight="1">
      <c r="A11103" s="2" t="s">
        <v>12</v>
      </c>
      <c r="B11103" s="2" t="str">
        <f>HYPERLINK("http://bbs.12365auto.com/postcontent.aspx?tId=193462","众泰T600大灯不亮了厂家没有配件呀")</f>
        <v>众泰T600大灯不亮了厂家没有配件呀</v>
      </c>
      <c r="C11103" s="2" t="s">
        <v>13</v>
      </c>
      <c r="D11103" s="2" t="s">
        <v>12</v>
      </c>
      <c r="E11103" s="2" t="s">
        <v>66</v>
      </c>
      <c r="F11103" s="2" t="str">
        <f>HYPERLINK("http://bbs.12365auto.com/postcontent.aspx?tId=193462","http://bbs.12365auto.com/postcontent.aspx?tId=193462")</f>
        <v>http://bbs.12365auto.com/postcontent.aspx?tId=193462</v>
      </c>
      <c r="G11103" s="2"/>
      <c r="H11103" s="2" t="s">
        <v>14819</v>
      </c>
      <c r="I11103" s="2" t="s">
        <v>15</v>
      </c>
      <c r="J11103" s="2" t="s">
        <v>14820</v>
      </c>
      <c r="K11103" s="2" t="s">
        <v>14818</v>
      </c>
      <c r="L11103" s="2">
        <f t="shared" si="173"/>
        <v>118</v>
      </c>
    </row>
    <row r="11104" spans="1:12" ht="25" customHeight="1">
      <c r="A11104" s="2" t="s">
        <v>12</v>
      </c>
      <c r="B11104" s="2" t="str">
        <f>HYPERLINK("http://bbs.12365auto.com/postcontent.aspx?tID=193463","欧蓝德仪表上总是显示发动机故障灯")</f>
        <v>欧蓝德仪表上总是显示发动机故障灯</v>
      </c>
      <c r="C11104" s="2" t="s">
        <v>13</v>
      </c>
      <c r="D11104" s="2" t="s">
        <v>12</v>
      </c>
      <c r="E11104" s="2" t="s">
        <v>67</v>
      </c>
      <c r="F11104" s="2" t="str">
        <f>HYPERLINK("http://bbs.12365auto.com/postcontent.aspx?tID=193463","http://bbs.12365auto.com/postcontent.aspx?tID=193463")</f>
        <v>http://bbs.12365auto.com/postcontent.aspx?tID=193463</v>
      </c>
      <c r="G11104" s="2"/>
      <c r="H11104" s="2" t="s">
        <v>14821</v>
      </c>
      <c r="I11104" s="2" t="s">
        <v>15</v>
      </c>
      <c r="J11104" s="2" t="s">
        <v>14817</v>
      </c>
      <c r="K11104" s="2" t="s">
        <v>14818</v>
      </c>
      <c r="L11104" s="2">
        <f t="shared" si="173"/>
        <v>80</v>
      </c>
    </row>
    <row r="11105" spans="1:12" ht="25" customHeight="1">
      <c r="A11105" s="2" t="s">
        <v>12</v>
      </c>
      <c r="B11105" s="2" t="str">
        <f>HYPERLINK("http://bbs.12365auto.com/postcontent.aspx?tID=193462","众泰T600大灯不亮了厂家没有配件呀")</f>
        <v>众泰T600大灯不亮了厂家没有配件呀</v>
      </c>
      <c r="C11105" s="2" t="s">
        <v>13</v>
      </c>
      <c r="D11105" s="2" t="s">
        <v>12</v>
      </c>
      <c r="E11105" s="2" t="s">
        <v>67</v>
      </c>
      <c r="F11105" s="2" t="str">
        <f>HYPERLINK("http://bbs.12365auto.com/postcontent.aspx?tID=193462","http://bbs.12365auto.com/postcontent.aspx?tID=193462")</f>
        <v>http://bbs.12365auto.com/postcontent.aspx?tID=193462</v>
      </c>
      <c r="G11105" s="2"/>
      <c r="H11105" s="2" t="s">
        <v>14822</v>
      </c>
      <c r="I11105" s="2" t="s">
        <v>15</v>
      </c>
      <c r="J11105" s="2" t="s">
        <v>14820</v>
      </c>
      <c r="K11105" s="2" t="s">
        <v>14818</v>
      </c>
      <c r="L11105" s="2">
        <f t="shared" si="173"/>
        <v>136</v>
      </c>
    </row>
    <row r="11106" spans="1:12" ht="25" customHeight="1">
      <c r="A11106" s="2" t="s">
        <v>12</v>
      </c>
      <c r="B11106" s="2" t="str">
        <f>HYPERLINK("http://www.12365auto.com/news/20200207/417910.shtml","电动车为突破口 海马开启印度市场布局")</f>
        <v>电动车为突破口 海马开启印度市场布局</v>
      </c>
      <c r="C11106" s="2" t="s">
        <v>13</v>
      </c>
      <c r="D11106" s="2" t="s">
        <v>12</v>
      </c>
      <c r="E11106" s="2" t="s">
        <v>276</v>
      </c>
      <c r="F11106" s="2" t="str">
        <f>HYPERLINK("http://www.12365auto.com/news/20200207/417910.shtml","http://www.12365auto.com/news/20200207/417910.shtml")</f>
        <v>http://www.12365auto.com/news/20200207/417910.shtml</v>
      </c>
      <c r="G11106" s="2"/>
      <c r="H11106" s="2" t="s">
        <v>14823</v>
      </c>
      <c r="I11106" s="2" t="s">
        <v>15</v>
      </c>
      <c r="J11106" s="2" t="s">
        <v>12</v>
      </c>
      <c r="K11106" s="2" t="s">
        <v>14824</v>
      </c>
      <c r="L11106" s="2">
        <f t="shared" si="173"/>
        <v>150</v>
      </c>
    </row>
    <row r="11107" spans="1:12" ht="25" customHeight="1">
      <c r="A11107" s="2" t="s">
        <v>12</v>
      </c>
      <c r="B11107" s="2" t="str">
        <f>HYPERLINK("http://bbs.12365auto.com/postcontent.aspx?tId=193461","北汽幻速S3L中控显示屏白屏无显示")</f>
        <v>北汽幻速S3L中控显示屏白屏无显示</v>
      </c>
      <c r="C11107" s="2" t="s">
        <v>13</v>
      </c>
      <c r="D11107" s="2" t="s">
        <v>12</v>
      </c>
      <c r="E11107" s="2" t="s">
        <v>66</v>
      </c>
      <c r="F11107" s="2" t="str">
        <f>HYPERLINK("http://bbs.12365auto.com/postcontent.aspx?tId=193461","http://bbs.12365auto.com/postcontent.aspx?tId=193461")</f>
        <v>http://bbs.12365auto.com/postcontent.aspx?tId=193461</v>
      </c>
      <c r="G11107" s="2"/>
      <c r="H11107" s="2" t="s">
        <v>14825</v>
      </c>
      <c r="I11107" s="2" t="s">
        <v>15</v>
      </c>
      <c r="J11107" s="2" t="s">
        <v>3970</v>
      </c>
      <c r="K11107" s="2" t="s">
        <v>14824</v>
      </c>
      <c r="L11107" s="2">
        <f t="shared" si="173"/>
        <v>125</v>
      </c>
    </row>
    <row r="11108" spans="1:12" ht="25" customHeight="1">
      <c r="A11108" s="2" t="s">
        <v>12</v>
      </c>
      <c r="B11108" s="2" t="str">
        <f>HYPERLINK("http://bbs.12365auto.com/postcontent.aspx?tId=193460","帕萨特碰撞测试时A柱出现断裂 安全性何在")</f>
        <v>帕萨特碰撞测试时A柱出现断裂 安全性何在</v>
      </c>
      <c r="C11108" s="2" t="s">
        <v>13</v>
      </c>
      <c r="D11108" s="2" t="s">
        <v>12</v>
      </c>
      <c r="E11108" s="2" t="s">
        <v>66</v>
      </c>
      <c r="F11108" s="2" t="str">
        <f>HYPERLINK("http://bbs.12365auto.com/postcontent.aspx?tId=193460","http://bbs.12365auto.com/postcontent.aspx?tId=193460")</f>
        <v>http://bbs.12365auto.com/postcontent.aspx?tId=193460</v>
      </c>
      <c r="G11108" s="2"/>
      <c r="H11108" s="2" t="s">
        <v>14826</v>
      </c>
      <c r="I11108" s="2" t="s">
        <v>15</v>
      </c>
      <c r="J11108" s="2" t="s">
        <v>14827</v>
      </c>
      <c r="K11108" s="2" t="s">
        <v>14824</v>
      </c>
      <c r="L11108" s="2">
        <f t="shared" si="173"/>
        <v>52</v>
      </c>
    </row>
    <row r="11109" spans="1:12" ht="25" customHeight="1">
      <c r="A11109" s="2" t="s">
        <v>12</v>
      </c>
      <c r="B11109" s="2" t="str">
        <f>HYPERLINK("http://m.12365auto.com/news/20200207/417910.shtml","电动车为突破口 海马开启印度市场布局")</f>
        <v>电动车为突破口 海马开启印度市场布局</v>
      </c>
      <c r="C11109" s="2" t="s">
        <v>13</v>
      </c>
      <c r="D11109" s="2" t="s">
        <v>12</v>
      </c>
      <c r="E11109" s="2"/>
      <c r="F11109" s="2" t="str">
        <f>HYPERLINK("http://m.12365auto.com/news/20200207/417910.shtml","http://m.12365auto.com/news/20200207/417910.shtml")</f>
        <v>http://m.12365auto.com/news/20200207/417910.shtml</v>
      </c>
      <c r="G11109" s="2"/>
      <c r="H11109" s="2" t="s">
        <v>14828</v>
      </c>
      <c r="I11109" s="2" t="s">
        <v>19</v>
      </c>
      <c r="J11109" s="2" t="s">
        <v>2819</v>
      </c>
      <c r="K11109" s="2" t="s">
        <v>14824</v>
      </c>
      <c r="L11109" s="2">
        <f t="shared" si="173"/>
        <v>150</v>
      </c>
    </row>
    <row r="11110" spans="1:12" ht="25" customHeight="1">
      <c r="A11110" s="2" t="s">
        <v>12</v>
      </c>
      <c r="B11110" s="2" t="str">
        <f>HYPERLINK("http://bbs.12365auto.com/postcontent.aspx?tID=193461","北汽幻速S3L中控显示屏白屏无显示")</f>
        <v>北汽幻速S3L中控显示屏白屏无显示</v>
      </c>
      <c r="C11110" s="2" t="s">
        <v>13</v>
      </c>
      <c r="D11110" s="2" t="s">
        <v>12</v>
      </c>
      <c r="E11110" s="2" t="s">
        <v>67</v>
      </c>
      <c r="F11110" s="2" t="str">
        <f>HYPERLINK("http://bbs.12365auto.com/postcontent.aspx?tID=193461","http://bbs.12365auto.com/postcontent.aspx?tID=193461")</f>
        <v>http://bbs.12365auto.com/postcontent.aspx?tID=193461</v>
      </c>
      <c r="G11110" s="2"/>
      <c r="H11110" s="2" t="s">
        <v>14829</v>
      </c>
      <c r="I11110" s="2" t="s">
        <v>15</v>
      </c>
      <c r="J11110" s="2" t="s">
        <v>3970</v>
      </c>
      <c r="K11110" s="2" t="s">
        <v>14824</v>
      </c>
      <c r="L11110" s="2">
        <f t="shared" si="173"/>
        <v>142</v>
      </c>
    </row>
    <row r="11111" spans="1:12" ht="25" customHeight="1">
      <c r="A11111" s="2" t="s">
        <v>12</v>
      </c>
      <c r="B11111" s="2" t="str">
        <f>HYPERLINK("http://bbs.12365auto.com/postcontent.aspx?tID=193460","帕萨特碰撞测试时A柱出现断裂 安全性何在")</f>
        <v>帕萨特碰撞测试时A柱出现断裂 安全性何在</v>
      </c>
      <c r="C11111" s="2" t="s">
        <v>13</v>
      </c>
      <c r="D11111" s="2" t="s">
        <v>12</v>
      </c>
      <c r="E11111" s="2" t="s">
        <v>67</v>
      </c>
      <c r="F11111" s="2" t="str">
        <f>HYPERLINK("http://bbs.12365auto.com/postcontent.aspx?tID=193460","http://bbs.12365auto.com/postcontent.aspx?tID=193460")</f>
        <v>http://bbs.12365auto.com/postcontent.aspx?tID=193460</v>
      </c>
      <c r="G11111" s="2"/>
      <c r="H11111" s="2" t="s">
        <v>14830</v>
      </c>
      <c r="I11111" s="2" t="s">
        <v>15</v>
      </c>
      <c r="J11111" s="2" t="s">
        <v>14827</v>
      </c>
      <c r="K11111" s="2" t="s">
        <v>14824</v>
      </c>
      <c r="L11111" s="2">
        <f t="shared" si="173"/>
        <v>72</v>
      </c>
    </row>
    <row r="11112" spans="1:12" ht="25" customHeight="1">
      <c r="A11112" s="2" t="s">
        <v>12</v>
      </c>
      <c r="B11112" s="2" t="str">
        <f>HYPERLINK("http://bbs.12365auto.com/postcontent.aspx?tID=193459","本田飞度VTC执行器故障")</f>
        <v>本田飞度VTC执行器故障</v>
      </c>
      <c r="C11112" s="2" t="s">
        <v>13</v>
      </c>
      <c r="D11112" s="2" t="s">
        <v>12</v>
      </c>
      <c r="E11112" s="2" t="s">
        <v>67</v>
      </c>
      <c r="F11112" s="2" t="str">
        <f>HYPERLINK("http://bbs.12365auto.com/postcontent.aspx?tID=193459","http://bbs.12365auto.com/postcontent.aspx?tID=193459")</f>
        <v>http://bbs.12365auto.com/postcontent.aspx?tID=193459</v>
      </c>
      <c r="G11112" s="2"/>
      <c r="H11112" s="2" t="s">
        <v>14831</v>
      </c>
      <c r="I11112" s="2" t="s">
        <v>15</v>
      </c>
      <c r="J11112" s="2" t="s">
        <v>3974</v>
      </c>
      <c r="K11112" s="2" t="s">
        <v>14824</v>
      </c>
      <c r="L11112" s="2">
        <f t="shared" si="173"/>
        <v>85</v>
      </c>
    </row>
    <row r="11113" spans="1:12" ht="25" customHeight="1">
      <c r="A11113" s="2" t="s">
        <v>12</v>
      </c>
      <c r="B11113" s="2" t="str">
        <f>HYPERLINK("http://bbs.12365auto.com/postcontent.aspx?tID=193456","凯美瑞启动的时候发动机舱里边有异常响声")</f>
        <v>凯美瑞启动的时候发动机舱里边有异常响声</v>
      </c>
      <c r="C11113" s="2" t="s">
        <v>13</v>
      </c>
      <c r="D11113" s="2" t="s">
        <v>12</v>
      </c>
      <c r="E11113" s="2" t="s">
        <v>67</v>
      </c>
      <c r="F11113" s="2" t="str">
        <f>HYPERLINK("http://bbs.12365auto.com/postcontent.aspx?tID=193456","http://bbs.12365auto.com/postcontent.aspx?tID=193456")</f>
        <v>http://bbs.12365auto.com/postcontent.aspx?tID=193456</v>
      </c>
      <c r="G11113" s="2"/>
      <c r="H11113" s="2" t="s">
        <v>14832</v>
      </c>
      <c r="I11113" s="2" t="s">
        <v>15</v>
      </c>
      <c r="J11113" s="2" t="s">
        <v>14833</v>
      </c>
      <c r="K11113" s="2" t="s">
        <v>14834</v>
      </c>
      <c r="L11113" s="2">
        <f t="shared" si="173"/>
        <v>150</v>
      </c>
    </row>
    <row r="11114" spans="1:12" ht="25" customHeight="1">
      <c r="A11114" s="2" t="s">
        <v>12</v>
      </c>
      <c r="B11114" s="2" t="str">
        <f>HYPERLINK("http://bbs.12365auto.com/postcontent.aspx?tID=193458","名爵HS显示电瓶电压低 发动机启动不了了")</f>
        <v>名爵HS显示电瓶电压低 发动机启动不了了</v>
      </c>
      <c r="C11114" s="2" t="s">
        <v>13</v>
      </c>
      <c r="D11114" s="2" t="s">
        <v>12</v>
      </c>
      <c r="E11114" s="2" t="s">
        <v>67</v>
      </c>
      <c r="F11114" s="2" t="str">
        <f>HYPERLINK("http://bbs.12365auto.com/postcontent.aspx?tID=193458","http://bbs.12365auto.com/postcontent.aspx?tID=193458")</f>
        <v>http://bbs.12365auto.com/postcontent.aspx?tID=193458</v>
      </c>
      <c r="G11114" s="2"/>
      <c r="H11114" s="2" t="s">
        <v>14835</v>
      </c>
      <c r="I11114" s="2" t="s">
        <v>15</v>
      </c>
      <c r="J11114" s="2" t="s">
        <v>14836</v>
      </c>
      <c r="K11114" s="2" t="s">
        <v>14834</v>
      </c>
      <c r="L11114" s="2">
        <f t="shared" si="173"/>
        <v>70</v>
      </c>
    </row>
    <row r="11115" spans="1:12" ht="25" customHeight="1">
      <c r="A11115" s="2" t="s">
        <v>12</v>
      </c>
      <c r="B11115" s="2" t="str">
        <f>HYPERLINK("http://bbs.12365auto.com/postcontent.aspx?tID=193457","日产轩逸漆面生锈不是质量问题吗？")</f>
        <v>日产轩逸漆面生锈不是质量问题吗？</v>
      </c>
      <c r="C11115" s="2" t="s">
        <v>13</v>
      </c>
      <c r="D11115" s="2" t="s">
        <v>12</v>
      </c>
      <c r="E11115" s="2" t="s">
        <v>67</v>
      </c>
      <c r="F11115" s="2" t="str">
        <f>HYPERLINK("http://bbs.12365auto.com/postcontent.aspx?tID=193457","http://bbs.12365auto.com/postcontent.aspx?tID=193457")</f>
        <v>http://bbs.12365auto.com/postcontent.aspx?tID=193457</v>
      </c>
      <c r="G11115" s="2"/>
      <c r="H11115" s="2" t="s">
        <v>14837</v>
      </c>
      <c r="I11115" s="2" t="s">
        <v>15</v>
      </c>
      <c r="J11115" s="2" t="s">
        <v>3977</v>
      </c>
      <c r="K11115" s="2" t="s">
        <v>14834</v>
      </c>
      <c r="L11115" s="2">
        <f t="shared" si="173"/>
        <v>129</v>
      </c>
    </row>
    <row r="11116" spans="1:12" ht="25" customHeight="1">
      <c r="A11116" s="2" t="s">
        <v>12</v>
      </c>
      <c r="B11116" s="2" t="str">
        <f>HYPERLINK("http://bbs.12365auto.com/postcontent.aspx?tID=193455","2000转左右时奇骏引擎有异响")</f>
        <v>2000转左右时奇骏引擎有异响</v>
      </c>
      <c r="C11116" s="2" t="s">
        <v>13</v>
      </c>
      <c r="D11116" s="2" t="s">
        <v>12</v>
      </c>
      <c r="E11116" s="2" t="s">
        <v>67</v>
      </c>
      <c r="F11116" s="2" t="str">
        <f>HYPERLINK("http://bbs.12365auto.com/postcontent.aspx?tID=193455","http://bbs.12365auto.com/postcontent.aspx?tID=193455")</f>
        <v>http://bbs.12365auto.com/postcontent.aspx?tID=193455</v>
      </c>
      <c r="G11116" s="2"/>
      <c r="H11116" s="2" t="s">
        <v>14838</v>
      </c>
      <c r="I11116" s="2" t="s">
        <v>15</v>
      </c>
      <c r="J11116" s="2" t="s">
        <v>14839</v>
      </c>
      <c r="K11116" s="2" t="s">
        <v>14840</v>
      </c>
      <c r="L11116" s="2">
        <f t="shared" si="173"/>
        <v>56</v>
      </c>
    </row>
    <row r="11117" spans="1:12" ht="25" customHeight="1">
      <c r="A11117" s="2" t="s">
        <v>12</v>
      </c>
      <c r="B11117" s="2" t="str">
        <f>HYPERLINK("http://bbs.12365auto.com/postcontent.aspx?tID=193454","长安欧尚X7遥控钥匙故障会是什么问题？")</f>
        <v>长安欧尚X7遥控钥匙故障会是什么问题？</v>
      </c>
      <c r="C11117" s="2" t="s">
        <v>13</v>
      </c>
      <c r="D11117" s="2" t="s">
        <v>12</v>
      </c>
      <c r="E11117" s="2" t="s">
        <v>67</v>
      </c>
      <c r="F11117" s="2" t="str">
        <f>HYPERLINK("http://bbs.12365auto.com/postcontent.aspx?tID=193454","http://bbs.12365auto.com/postcontent.aspx?tID=193454")</f>
        <v>http://bbs.12365auto.com/postcontent.aspx?tID=193454</v>
      </c>
      <c r="G11117" s="2"/>
      <c r="H11117" s="2" t="s">
        <v>14841</v>
      </c>
      <c r="I11117" s="2" t="s">
        <v>15</v>
      </c>
      <c r="J11117" s="2" t="s">
        <v>3981</v>
      </c>
      <c r="K11117" s="2" t="s">
        <v>14840</v>
      </c>
      <c r="L11117" s="2">
        <f t="shared" si="173"/>
        <v>64</v>
      </c>
    </row>
    <row r="11118" spans="1:12" ht="25" customHeight="1">
      <c r="A11118" s="2" t="s">
        <v>12</v>
      </c>
      <c r="B11118" s="2" t="str">
        <f>HYPERLINK("http://www.12365auto.com/xcdg/20200207/417909.shtml","俄罗斯市场特供 新大众Polo三厢版草图")</f>
        <v>俄罗斯市场特供 新大众Polo三厢版草图</v>
      </c>
      <c r="C11118" s="2" t="s">
        <v>13</v>
      </c>
      <c r="D11118" s="2" t="s">
        <v>12</v>
      </c>
      <c r="E11118" s="2" t="s">
        <v>216</v>
      </c>
      <c r="F11118" s="2" t="str">
        <f>HYPERLINK("http://www.12365auto.com/xcdg/20200207/417909.shtml","http://www.12365auto.com/xcdg/20200207/417909.shtml")</f>
        <v>http://www.12365auto.com/xcdg/20200207/417909.shtml</v>
      </c>
      <c r="G11118" s="2"/>
      <c r="H11118" s="2" t="s">
        <v>14842</v>
      </c>
      <c r="I11118" s="2" t="s">
        <v>15</v>
      </c>
      <c r="J11118" s="2" t="s">
        <v>12</v>
      </c>
      <c r="K11118" s="2" t="s">
        <v>14840</v>
      </c>
      <c r="L11118" s="2">
        <f t="shared" si="173"/>
        <v>150</v>
      </c>
    </row>
    <row r="11119" spans="1:12" ht="25" customHeight="1">
      <c r="A11119" s="2" t="s">
        <v>12</v>
      </c>
      <c r="B11119" s="2" t="str">
        <f>HYPERLINK("http://m.12365auto.com/xcdg/20200207/417909.shtml","俄罗斯市场特供 新大众Polo三厢版草图")</f>
        <v>俄罗斯市场特供 新大众Polo三厢版草图</v>
      </c>
      <c r="C11119" s="2" t="s">
        <v>13</v>
      </c>
      <c r="D11119" s="2" t="s">
        <v>12</v>
      </c>
      <c r="E11119" s="2"/>
      <c r="F11119" s="2" t="str">
        <f>HYPERLINK("http://m.12365auto.com/xcdg/20200207/417909.shtml","http://m.12365auto.com/xcdg/20200207/417909.shtml")</f>
        <v>http://m.12365auto.com/xcdg/20200207/417909.shtml</v>
      </c>
      <c r="G11119" s="2"/>
      <c r="H11119" s="2" t="s">
        <v>14843</v>
      </c>
      <c r="I11119" s="2" t="s">
        <v>19</v>
      </c>
      <c r="J11119" s="2" t="s">
        <v>270</v>
      </c>
      <c r="K11119" s="2" t="s">
        <v>14840</v>
      </c>
      <c r="L11119" s="2">
        <f t="shared" si="173"/>
        <v>150</v>
      </c>
    </row>
    <row r="11120" spans="1:12" ht="25" customHeight="1">
      <c r="A11120" s="2" t="s">
        <v>12</v>
      </c>
      <c r="B11120" s="2" t="str">
        <f>HYPERLINK("http://bbs.12365auto.com/postcontent.aspx?tID=193453","行驶过程中奇骏发电机皮带轮掉落")</f>
        <v>行驶过程中奇骏发电机皮带轮掉落</v>
      </c>
      <c r="C11120" s="2" t="s">
        <v>13</v>
      </c>
      <c r="D11120" s="2" t="s">
        <v>12</v>
      </c>
      <c r="E11120" s="2" t="s">
        <v>67</v>
      </c>
      <c r="F11120" s="2" t="str">
        <f>HYPERLINK("http://bbs.12365auto.com/postcontent.aspx?tID=193453","http://bbs.12365auto.com/postcontent.aspx?tID=193453")</f>
        <v>http://bbs.12365auto.com/postcontent.aspx?tID=193453</v>
      </c>
      <c r="G11120" s="2"/>
      <c r="H11120" s="2" t="s">
        <v>14844</v>
      </c>
      <c r="I11120" s="2" t="s">
        <v>15</v>
      </c>
      <c r="J11120" s="2" t="s">
        <v>14845</v>
      </c>
      <c r="K11120" s="2" t="s">
        <v>14846</v>
      </c>
      <c r="L11120" s="2">
        <f t="shared" si="173"/>
        <v>76</v>
      </c>
    </row>
    <row r="11121" spans="1:12" ht="25" customHeight="1">
      <c r="A11121" s="2" t="s">
        <v>12</v>
      </c>
      <c r="B11121" s="2" t="str">
        <f>HYPERLINK("http://bbs.12365auto.com/postcontent.aspx?tID=193452","进口路虎发现全车断电故障灯亮")</f>
        <v>进口路虎发现全车断电故障灯亮</v>
      </c>
      <c r="C11121" s="2" t="s">
        <v>13</v>
      </c>
      <c r="D11121" s="2" t="s">
        <v>12</v>
      </c>
      <c r="E11121" s="2" t="s">
        <v>67</v>
      </c>
      <c r="F11121" s="2" t="str">
        <f>HYPERLINK("http://bbs.12365auto.com/postcontent.aspx?tID=193452","http://bbs.12365auto.com/postcontent.aspx?tID=193452")</f>
        <v>http://bbs.12365auto.com/postcontent.aspx?tID=193452</v>
      </c>
      <c r="G11121" s="2"/>
      <c r="H11121" s="2" t="s">
        <v>14847</v>
      </c>
      <c r="I11121" s="2" t="s">
        <v>15</v>
      </c>
      <c r="J11121" s="2" t="s">
        <v>3985</v>
      </c>
      <c r="K11121" s="2" t="s">
        <v>14846</v>
      </c>
      <c r="L11121" s="2">
        <f t="shared" si="173"/>
        <v>81</v>
      </c>
    </row>
    <row r="11122" spans="1:12" ht="25" customHeight="1">
      <c r="A11122" s="2" t="s">
        <v>12</v>
      </c>
      <c r="B11122" s="2" t="str">
        <f>HYPERLINK("http://m.12365auto.com/xcdg/20200207/417908.shtml","天生一对 本田皓影对比丰田RAV4荣放")</f>
        <v>天生一对 本田皓影对比丰田RAV4荣放</v>
      </c>
      <c r="C11122" s="2" t="s">
        <v>13</v>
      </c>
      <c r="D11122" s="2" t="s">
        <v>12</v>
      </c>
      <c r="E11122" s="2"/>
      <c r="F11122" s="2" t="str">
        <f>HYPERLINK("http://m.12365auto.com/xcdg/20200207/417908.shtml","http://m.12365auto.com/xcdg/20200207/417908.shtml")</f>
        <v>http://m.12365auto.com/xcdg/20200207/417908.shtml</v>
      </c>
      <c r="G11122" s="2"/>
      <c r="H11122" s="2" t="s">
        <v>14848</v>
      </c>
      <c r="I11122" s="2" t="s">
        <v>19</v>
      </c>
      <c r="J11122" s="2" t="s">
        <v>14849</v>
      </c>
      <c r="K11122" s="2" t="s">
        <v>14846</v>
      </c>
      <c r="L11122" s="2">
        <f t="shared" si="173"/>
        <v>150</v>
      </c>
    </row>
    <row r="11123" spans="1:12" ht="25" customHeight="1">
      <c r="A11123" s="2" t="s">
        <v>12</v>
      </c>
      <c r="B11123" s="2" t="str">
        <f>HYPERLINK("http://m.12365auto.com/xcdg/20200207/417907.shtml","安全不减配 实拍汉兰达2.0T 两驱精英版")</f>
        <v>安全不减配 实拍汉兰达2.0T 两驱精英版</v>
      </c>
      <c r="C11123" s="2" t="s">
        <v>13</v>
      </c>
      <c r="D11123" s="2" t="s">
        <v>12</v>
      </c>
      <c r="E11123" s="2"/>
      <c r="F11123" s="2" t="str">
        <f>HYPERLINK("http://m.12365auto.com/xcdg/20200207/417907.shtml","http://m.12365auto.com/xcdg/20200207/417907.shtml")</f>
        <v>http://m.12365auto.com/xcdg/20200207/417907.shtml</v>
      </c>
      <c r="G11123" s="2"/>
      <c r="H11123" s="2" t="s">
        <v>14850</v>
      </c>
      <c r="I11123" s="2" t="s">
        <v>19</v>
      </c>
      <c r="J11123" s="2" t="s">
        <v>7563</v>
      </c>
      <c r="K11123" s="2" t="s">
        <v>14851</v>
      </c>
      <c r="L11123" s="2">
        <f t="shared" si="173"/>
        <v>150</v>
      </c>
    </row>
    <row r="11124" spans="1:12" ht="25" customHeight="1">
      <c r="A11124" s="2" t="s">
        <v>12</v>
      </c>
      <c r="B11124" s="2" t="str">
        <f>HYPERLINK("http://m.12365auto.com/xcdg/20200207/417906.shtml","迈巴赫GLS/新款E级等 奔驰2020新车展望")</f>
        <v>迈巴赫GLS/新款E级等 奔驰2020新车展望</v>
      </c>
      <c r="C11124" s="2" t="s">
        <v>13</v>
      </c>
      <c r="D11124" s="2" t="s">
        <v>12</v>
      </c>
      <c r="E11124" s="2"/>
      <c r="F11124" s="2" t="str">
        <f>HYPERLINK("http://m.12365auto.com/xcdg/20200207/417906.shtml","http://m.12365auto.com/xcdg/20200207/417906.shtml")</f>
        <v>http://m.12365auto.com/xcdg/20200207/417906.shtml</v>
      </c>
      <c r="G11124" s="2"/>
      <c r="H11124" s="2" t="s">
        <v>14852</v>
      </c>
      <c r="I11124" s="2" t="s">
        <v>19</v>
      </c>
      <c r="J11124" s="2" t="s">
        <v>295</v>
      </c>
      <c r="K11124" s="2" t="s">
        <v>14853</v>
      </c>
      <c r="L11124" s="2">
        <f t="shared" si="173"/>
        <v>150</v>
      </c>
    </row>
    <row r="11125" spans="1:12" ht="25" customHeight="1">
      <c r="A11125" s="2" t="s">
        <v>12</v>
      </c>
      <c r="B11125" s="2" t="str">
        <f>HYPERLINK("http://www.12365auto.com/xcdg/20200207/417906.shtml","迈巴赫GLS/新款E级等 奔驰2020新车展望")</f>
        <v>迈巴赫GLS/新款E级等 奔驰2020新车展望</v>
      </c>
      <c r="C11125" s="2" t="s">
        <v>13</v>
      </c>
      <c r="D11125" s="2" t="s">
        <v>12</v>
      </c>
      <c r="E11125" s="2" t="s">
        <v>216</v>
      </c>
      <c r="F11125" s="2" t="str">
        <f>HYPERLINK("http://www.12365auto.com/xcdg/20200207/417906.shtml","http://www.12365auto.com/xcdg/20200207/417906.shtml")</f>
        <v>http://www.12365auto.com/xcdg/20200207/417906.shtml</v>
      </c>
      <c r="G11125" s="2"/>
      <c r="H11125" s="2" t="s">
        <v>14854</v>
      </c>
      <c r="I11125" s="2" t="s">
        <v>15</v>
      </c>
      <c r="J11125" s="2" t="s">
        <v>12</v>
      </c>
      <c r="K11125" s="2" t="s">
        <v>14853</v>
      </c>
      <c r="L11125" s="2">
        <f t="shared" si="173"/>
        <v>150</v>
      </c>
    </row>
    <row r="11126" spans="1:12" ht="25" customHeight="1">
      <c r="A11126" s="2" t="s">
        <v>12</v>
      </c>
      <c r="B11126" s="2" t="str">
        <f>HYPERLINK("http://bbs.12365auto.com/postcontent.aspx?tId=193451","变速箱为什么会顿挫造成顿挫的原因有哪些？")</f>
        <v>变速箱为什么会顿挫造成顿挫的原因有哪些？</v>
      </c>
      <c r="C11126" s="2" t="s">
        <v>13</v>
      </c>
      <c r="D11126" s="2" t="s">
        <v>12</v>
      </c>
      <c r="E11126" s="2" t="s">
        <v>1397</v>
      </c>
      <c r="F11126" s="2" t="str">
        <f>HYPERLINK("http://bbs.12365auto.com/postcontent.aspx?tId=193451","http://bbs.12365auto.com/postcontent.aspx?tId=193451")</f>
        <v>http://bbs.12365auto.com/postcontent.aspx?tId=193451</v>
      </c>
      <c r="G11126" s="2"/>
      <c r="H11126" s="2" t="s">
        <v>14855</v>
      </c>
      <c r="I11126" s="2" t="s">
        <v>15</v>
      </c>
      <c r="J11126" s="2" t="s">
        <v>2201</v>
      </c>
      <c r="K11126" s="2" t="s">
        <v>14856</v>
      </c>
      <c r="L11126" s="2">
        <f t="shared" si="173"/>
        <v>150</v>
      </c>
    </row>
    <row r="11127" spans="1:12" ht="25" customHeight="1">
      <c r="A11127" s="2" t="s">
        <v>12</v>
      </c>
      <c r="B11127" s="2" t="str">
        <f>HYPERLINK("http://m.12365auto.com/bbs/postcontent.aspx?tID=193451","变速箱为什么会顿挫造成顿挫的原因有哪些？")</f>
        <v>变速箱为什么会顿挫造成顿挫的原因有哪些？</v>
      </c>
      <c r="C11127" s="2" t="s">
        <v>13</v>
      </c>
      <c r="D11127" s="2" t="s">
        <v>23</v>
      </c>
      <c r="E11127" s="2"/>
      <c r="F11127" s="2" t="str">
        <f>HYPERLINK("http://m.12365auto.com/bbs/postcontent.aspx?tID=193451","http://m.12365auto.com/bbs/postcontent.aspx?tID=193451")</f>
        <v>http://m.12365auto.com/bbs/postcontent.aspx?tID=193451</v>
      </c>
      <c r="G11127" s="2"/>
      <c r="H11127" s="2" t="s">
        <v>14855</v>
      </c>
      <c r="I11127" s="2" t="s">
        <v>15</v>
      </c>
      <c r="J11127" s="2" t="s">
        <v>2201</v>
      </c>
      <c r="K11127" s="2" t="s">
        <v>14856</v>
      </c>
      <c r="L11127" s="2">
        <f t="shared" si="173"/>
        <v>150</v>
      </c>
    </row>
    <row r="11128" spans="1:12" ht="25" customHeight="1">
      <c r="A11128" s="2" t="s">
        <v>12</v>
      </c>
      <c r="B11128" s="2" t="str">
        <f>HYPERLINK("http://bbs.12365auto.com/postcontent.aspx?tID=193451","变速箱为什么会顿挫造成顿挫的原因有哪些？")</f>
        <v>变速箱为什么会顿挫造成顿挫的原因有哪些？</v>
      </c>
      <c r="C11128" s="2" t="s">
        <v>13</v>
      </c>
      <c r="D11128" s="2" t="s">
        <v>12</v>
      </c>
      <c r="E11128" s="2" t="s">
        <v>1393</v>
      </c>
      <c r="F11128" s="2" t="str">
        <f>HYPERLINK("http://bbs.12365auto.com/postcontent.aspx?tID=193451","http://bbs.12365auto.com/postcontent.aspx?tID=193451")</f>
        <v>http://bbs.12365auto.com/postcontent.aspx?tID=193451</v>
      </c>
      <c r="G11128" s="2"/>
      <c r="H11128" s="2" t="s">
        <v>14857</v>
      </c>
      <c r="I11128" s="2" t="s">
        <v>15</v>
      </c>
      <c r="J11128" s="2" t="s">
        <v>2201</v>
      </c>
      <c r="K11128" s="2" t="s">
        <v>14856</v>
      </c>
      <c r="L11128" s="2">
        <f t="shared" si="173"/>
        <v>150</v>
      </c>
    </row>
    <row r="11129" spans="1:12" ht="25" customHeight="1">
      <c r="A11129" s="2" t="s">
        <v>12</v>
      </c>
      <c r="B11129" s="2" t="str">
        <f>HYPERLINK("http://www.12365auto.com/xcdg/20200207/417905.shtml","下一代销冠雏形 哈弗Concept H设计解读")</f>
        <v>下一代销冠雏形 哈弗Concept H设计解读</v>
      </c>
      <c r="C11129" s="2" t="s">
        <v>13</v>
      </c>
      <c r="D11129" s="2" t="s">
        <v>12</v>
      </c>
      <c r="E11129" s="2" t="s">
        <v>216</v>
      </c>
      <c r="F11129" s="2" t="str">
        <f>HYPERLINK("http://www.12365auto.com/xcdg/20200207/417905.shtml","http://www.12365auto.com/xcdg/20200207/417905.shtml")</f>
        <v>http://www.12365auto.com/xcdg/20200207/417905.shtml</v>
      </c>
      <c r="G11129" s="2"/>
      <c r="H11129" s="2" t="s">
        <v>14858</v>
      </c>
      <c r="I11129" s="2" t="s">
        <v>15</v>
      </c>
      <c r="J11129" s="2" t="s">
        <v>12</v>
      </c>
      <c r="K11129" s="2" t="s">
        <v>14859</v>
      </c>
      <c r="L11129" s="2">
        <f t="shared" si="173"/>
        <v>150</v>
      </c>
    </row>
    <row r="11130" spans="1:12" ht="25" customHeight="1">
      <c r="A11130" s="2" t="s">
        <v>12</v>
      </c>
      <c r="B11130" s="2" t="str">
        <f>HYPERLINK("http://m.12365auto.com/xcdg/20200207/417905.shtml","下一代销冠雏形 哈弗Concept H设计解读")</f>
        <v>下一代销冠雏形 哈弗Concept H设计解读</v>
      </c>
      <c r="C11130" s="2" t="s">
        <v>13</v>
      </c>
      <c r="D11130" s="2" t="s">
        <v>12</v>
      </c>
      <c r="E11130" s="2"/>
      <c r="F11130" s="2" t="str">
        <f>HYPERLINK("http://m.12365auto.com/xcdg/20200207/417905.shtml","http://m.12365auto.com/xcdg/20200207/417905.shtml")</f>
        <v>http://m.12365auto.com/xcdg/20200207/417905.shtml</v>
      </c>
      <c r="G11130" s="2"/>
      <c r="H11130" s="2" t="s">
        <v>14860</v>
      </c>
      <c r="I11130" s="2" t="s">
        <v>19</v>
      </c>
      <c r="J11130" s="2" t="s">
        <v>14861</v>
      </c>
      <c r="K11130" s="2" t="s">
        <v>14859</v>
      </c>
      <c r="L11130" s="2">
        <f t="shared" si="173"/>
        <v>150</v>
      </c>
    </row>
    <row r="11131" spans="1:12" ht="25" customHeight="1">
      <c r="A11131" s="2" t="s">
        <v>12</v>
      </c>
      <c r="B11131" s="2" t="str">
        <f>HYPERLINK("http://bbs.12365auto.com/postcontent.aspx?tId=193450","别只知道SUV 真正适合家用的车其实是这几台")</f>
        <v>别只知道SUV 真正适合家用的车其实是这几台</v>
      </c>
      <c r="C11131" s="2" t="s">
        <v>13</v>
      </c>
      <c r="D11131" s="2" t="s">
        <v>12</v>
      </c>
      <c r="E11131" s="2" t="s">
        <v>27</v>
      </c>
      <c r="F11131" s="2" t="str">
        <f>HYPERLINK("http://bbs.12365auto.com/postcontent.aspx?tId=193450","http://bbs.12365auto.com/postcontent.aspx?tId=193450")</f>
        <v>http://bbs.12365auto.com/postcontent.aspx?tId=193450</v>
      </c>
      <c r="G11131" s="2"/>
      <c r="H11131" s="2" t="s">
        <v>14862</v>
      </c>
      <c r="I11131" s="2" t="s">
        <v>15</v>
      </c>
      <c r="J11131" s="2" t="s">
        <v>683</v>
      </c>
      <c r="K11131" s="2" t="s">
        <v>14863</v>
      </c>
      <c r="L11131" s="2">
        <f t="shared" si="173"/>
        <v>150</v>
      </c>
    </row>
    <row r="11132" spans="1:12" ht="25" customHeight="1">
      <c r="A11132" s="2" t="s">
        <v>12</v>
      </c>
      <c r="B11132" s="2" t="str">
        <f>HYPERLINK("http://m.12365auto.com/bbs/postcontent.aspx?tID=193450","别只知道SUV 真正适合家用的车其实是这几台")</f>
        <v>别只知道SUV 真正适合家用的车其实是这几台</v>
      </c>
      <c r="C11132" s="2" t="s">
        <v>13</v>
      </c>
      <c r="D11132" s="2" t="s">
        <v>23</v>
      </c>
      <c r="E11132" s="2"/>
      <c r="F11132" s="2" t="str">
        <f>HYPERLINK("http://m.12365auto.com/bbs/postcontent.aspx?tID=193450","http://m.12365auto.com/bbs/postcontent.aspx?tID=193450")</f>
        <v>http://m.12365auto.com/bbs/postcontent.aspx?tID=193450</v>
      </c>
      <c r="G11132" s="2"/>
      <c r="H11132" s="2" t="s">
        <v>14862</v>
      </c>
      <c r="I11132" s="2" t="s">
        <v>15</v>
      </c>
      <c r="J11132" s="2" t="s">
        <v>683</v>
      </c>
      <c r="K11132" s="2" t="s">
        <v>14863</v>
      </c>
      <c r="L11132" s="2">
        <f t="shared" si="173"/>
        <v>150</v>
      </c>
    </row>
    <row r="11133" spans="1:12" ht="25" customHeight="1">
      <c r="A11133" s="2" t="s">
        <v>12</v>
      </c>
      <c r="B11133" s="2" t="str">
        <f>HYPERLINK("http://bbs.12365auto.com/postcontent.aspx?tID=193450","别只知道SUV 真正适合家用的车其实是这几台")</f>
        <v>别只知道SUV 真正适合家用的车其实是这几台</v>
      </c>
      <c r="C11133" s="2" t="s">
        <v>13</v>
      </c>
      <c r="D11133" s="2" t="s">
        <v>12</v>
      </c>
      <c r="E11133" s="2" t="s">
        <v>28</v>
      </c>
      <c r="F11133" s="2" t="str">
        <f>HYPERLINK("http://bbs.12365auto.com/postcontent.aspx?tID=193450","http://bbs.12365auto.com/postcontent.aspx?tID=193450")</f>
        <v>http://bbs.12365auto.com/postcontent.aspx?tID=193450</v>
      </c>
      <c r="G11133" s="2"/>
      <c r="H11133" s="2" t="s">
        <v>14864</v>
      </c>
      <c r="I11133" s="2" t="s">
        <v>15</v>
      </c>
      <c r="J11133" s="2" t="s">
        <v>683</v>
      </c>
      <c r="K11133" s="2" t="s">
        <v>14863</v>
      </c>
      <c r="L11133" s="2">
        <f t="shared" si="173"/>
        <v>150</v>
      </c>
    </row>
    <row r="11134" spans="1:12" ht="25" customHeight="1">
      <c r="A11134" s="2" t="s">
        <v>12</v>
      </c>
      <c r="B11134" s="2" t="str">
        <f>HYPERLINK("http://www.12365auto.com/zlts/20200207/446534.shtml","上汽名爵ZS车内异响 离合器抖动 一直未解决")</f>
        <v>上汽名爵ZS车内异响 离合器抖动 一直未解决</v>
      </c>
      <c r="C11134" s="2" t="s">
        <v>13</v>
      </c>
      <c r="D11134" s="2" t="s">
        <v>12</v>
      </c>
      <c r="E11134" s="2" t="s">
        <v>17</v>
      </c>
      <c r="F11134" s="2" t="str">
        <f>HYPERLINK("http://www.12365auto.com/zlts/20200207/446534.shtml","http://www.12365auto.com/zlts/20200207/446534.shtml")</f>
        <v>http://www.12365auto.com/zlts/20200207/446534.shtml</v>
      </c>
      <c r="G11134" s="2"/>
      <c r="H11134" s="2" t="s">
        <v>14865</v>
      </c>
      <c r="I11134" s="2" t="s">
        <v>19</v>
      </c>
      <c r="J11134" s="2" t="s">
        <v>12</v>
      </c>
      <c r="K11134" s="2" t="s">
        <v>14863</v>
      </c>
      <c r="L11134" s="2">
        <f t="shared" si="173"/>
        <v>150</v>
      </c>
    </row>
    <row r="11135" spans="1:12" ht="25" customHeight="1">
      <c r="A11135" s="2" t="s">
        <v>12</v>
      </c>
      <c r="B11135" s="2" t="str">
        <f>HYPERLINK("http://bbs.12365auto.com/postcontent.aspx?tId=193449","10万紧凑级SUV怎么选 这三款自主车型值得看")</f>
        <v>10万紧凑级SUV怎么选 这三款自主车型值得看</v>
      </c>
      <c r="C11135" s="2" t="s">
        <v>13</v>
      </c>
      <c r="D11135" s="2" t="s">
        <v>12</v>
      </c>
      <c r="E11135" s="2" t="s">
        <v>27</v>
      </c>
      <c r="F11135" s="2" t="str">
        <f>HYPERLINK("http://bbs.12365auto.com/postcontent.aspx?tId=193449","http://bbs.12365auto.com/postcontent.aspx?tId=193449")</f>
        <v>http://bbs.12365auto.com/postcontent.aspx?tId=193449</v>
      </c>
      <c r="G11135" s="2"/>
      <c r="H11135" s="2" t="s">
        <v>14866</v>
      </c>
      <c r="I11135" s="2" t="s">
        <v>15</v>
      </c>
      <c r="J11135" s="2" t="s">
        <v>683</v>
      </c>
      <c r="K11135" s="2" t="s">
        <v>14867</v>
      </c>
      <c r="L11135" s="2">
        <f t="shared" si="173"/>
        <v>150</v>
      </c>
    </row>
    <row r="11136" spans="1:12" ht="25" customHeight="1">
      <c r="A11136" s="2" t="s">
        <v>12</v>
      </c>
      <c r="B11136" s="2" t="str">
        <f>HYPERLINK("http://m.12365auto.com/bbs/postcontent.aspx?tID=193449","10万紧凑级SUV怎么选 这三款自主车型值得看")</f>
        <v>10万紧凑级SUV怎么选 这三款自主车型值得看</v>
      </c>
      <c r="C11136" s="2" t="s">
        <v>13</v>
      </c>
      <c r="D11136" s="2" t="s">
        <v>23</v>
      </c>
      <c r="E11136" s="2"/>
      <c r="F11136" s="2" t="str">
        <f>HYPERLINK("http://m.12365auto.com/bbs/postcontent.aspx?tID=193449","http://m.12365auto.com/bbs/postcontent.aspx?tID=193449")</f>
        <v>http://m.12365auto.com/bbs/postcontent.aspx?tID=193449</v>
      </c>
      <c r="G11136" s="2"/>
      <c r="H11136" s="2" t="s">
        <v>14866</v>
      </c>
      <c r="I11136" s="2" t="s">
        <v>15</v>
      </c>
      <c r="J11136" s="2" t="s">
        <v>683</v>
      </c>
      <c r="K11136" s="2" t="s">
        <v>14867</v>
      </c>
      <c r="L11136" s="2">
        <f t="shared" si="173"/>
        <v>150</v>
      </c>
    </row>
    <row r="11137" spans="1:12" ht="25" customHeight="1">
      <c r="A11137" s="2" t="s">
        <v>12</v>
      </c>
      <c r="B11137" s="2" t="str">
        <f>HYPERLINK("http://bbs.12365auto.com/postcontent.aspx?tID=193449","10万紧凑级SUV怎么选 这三款自主车型值得看")</f>
        <v>10万紧凑级SUV怎么选 这三款自主车型值得看</v>
      </c>
      <c r="C11137" s="2" t="s">
        <v>13</v>
      </c>
      <c r="D11137" s="2" t="s">
        <v>12</v>
      </c>
      <c r="E11137" s="2" t="s">
        <v>28</v>
      </c>
      <c r="F11137" s="2" t="str">
        <f>HYPERLINK("http://bbs.12365auto.com/postcontent.aspx?tID=193449","http://bbs.12365auto.com/postcontent.aspx?tID=193449")</f>
        <v>http://bbs.12365auto.com/postcontent.aspx?tID=193449</v>
      </c>
      <c r="G11137" s="2"/>
      <c r="H11137" s="2" t="s">
        <v>14868</v>
      </c>
      <c r="I11137" s="2" t="s">
        <v>15</v>
      </c>
      <c r="J11137" s="2" t="s">
        <v>683</v>
      </c>
      <c r="K11137" s="2" t="s">
        <v>14867</v>
      </c>
      <c r="L11137" s="2">
        <f t="shared" si="173"/>
        <v>150</v>
      </c>
    </row>
    <row r="11138" spans="1:12" ht="25" customHeight="1">
      <c r="A11138" s="2" t="s">
        <v>12</v>
      </c>
      <c r="B11138" s="2" t="str">
        <f>HYPERLINK("http://bbs.12365auto.com/postcontent.aspx?tId=193448","全系2.0T+采埃孚8AT 这台车的尺寸同价位无人能比")</f>
        <v>全系2.0T+采埃孚8AT 这台车的尺寸同价位无人能比</v>
      </c>
      <c r="C11138" s="2" t="s">
        <v>13</v>
      </c>
      <c r="D11138" s="2" t="s">
        <v>12</v>
      </c>
      <c r="E11138" s="2" t="s">
        <v>27</v>
      </c>
      <c r="F11138" s="2" t="str">
        <f>HYPERLINK("http://bbs.12365auto.com/postcontent.aspx?tId=193448","http://bbs.12365auto.com/postcontent.aspx?tId=193448")</f>
        <v>http://bbs.12365auto.com/postcontent.aspx?tId=193448</v>
      </c>
      <c r="G11138" s="2"/>
      <c r="H11138" s="2" t="s">
        <v>14869</v>
      </c>
      <c r="I11138" s="2" t="s">
        <v>15</v>
      </c>
      <c r="J11138" s="2" t="s">
        <v>14870</v>
      </c>
      <c r="K11138" s="2" t="s">
        <v>14871</v>
      </c>
      <c r="L11138" s="2">
        <f t="shared" si="173"/>
        <v>150</v>
      </c>
    </row>
    <row r="11139" spans="1:12" ht="25" customHeight="1">
      <c r="A11139" s="2" t="s">
        <v>12</v>
      </c>
      <c r="B11139" s="2" t="str">
        <f>HYPERLINK("http://m.12365auto.com/bbs/postcontent.aspx?tID=193448","全系2.0T+采埃孚8AT 这台车的尺寸同价位无人能比")</f>
        <v>全系2.0T+采埃孚8AT 这台车的尺寸同价位无人能比</v>
      </c>
      <c r="C11139" s="2" t="s">
        <v>13</v>
      </c>
      <c r="D11139" s="2" t="s">
        <v>23</v>
      </c>
      <c r="E11139" s="2"/>
      <c r="F11139" s="2" t="str">
        <f>HYPERLINK("http://m.12365auto.com/bbs/postcontent.aspx?tID=193448","http://m.12365auto.com/bbs/postcontent.aspx?tID=193448")</f>
        <v>http://m.12365auto.com/bbs/postcontent.aspx?tID=193448</v>
      </c>
      <c r="G11139" s="2"/>
      <c r="H11139" s="2" t="s">
        <v>14869</v>
      </c>
      <c r="I11139" s="2" t="s">
        <v>15</v>
      </c>
      <c r="J11139" s="2" t="s">
        <v>14870</v>
      </c>
      <c r="K11139" s="2" t="s">
        <v>14871</v>
      </c>
      <c r="L11139" s="2">
        <f t="shared" ref="L11139:L11202" si="174">LEN(H11139)</f>
        <v>150</v>
      </c>
    </row>
    <row r="11140" spans="1:12" ht="25" customHeight="1">
      <c r="A11140" s="2" t="s">
        <v>12</v>
      </c>
      <c r="B11140" s="2" t="str">
        <f>HYPERLINK("http://bbs.12365auto.com/postcontent.aspx?tID=193448","全系2.0T+采埃孚8AT 这台车的尺寸同价位无人能比")</f>
        <v>全系2.0T+采埃孚8AT 这台车的尺寸同价位无人能比</v>
      </c>
      <c r="C11140" s="2" t="s">
        <v>13</v>
      </c>
      <c r="D11140" s="2" t="s">
        <v>12</v>
      </c>
      <c r="E11140" s="2" t="s">
        <v>28</v>
      </c>
      <c r="F11140" s="2" t="str">
        <f>HYPERLINK("http://bbs.12365auto.com/postcontent.aspx?tID=193448","http://bbs.12365auto.com/postcontent.aspx?tID=193448")</f>
        <v>http://bbs.12365auto.com/postcontent.aspx?tID=193448</v>
      </c>
      <c r="G11140" s="2"/>
      <c r="H11140" s="2" t="s">
        <v>14872</v>
      </c>
      <c r="I11140" s="2" t="s">
        <v>15</v>
      </c>
      <c r="J11140" s="2" t="s">
        <v>14870</v>
      </c>
      <c r="K11140" s="2" t="s">
        <v>14871</v>
      </c>
      <c r="L11140" s="2">
        <f t="shared" si="174"/>
        <v>150</v>
      </c>
    </row>
    <row r="11141" spans="1:12" ht="25" customHeight="1">
      <c r="A11141" s="2" t="s">
        <v>12</v>
      </c>
      <c r="B11141" s="2" t="str">
        <f>HYPERLINK("http://bbs.12365auto.com/postcontent.aspx?tId=193447","30万选这4款豪华SUV 别人都知道你很懂行情")</f>
        <v>30万选这4款豪华SUV 别人都知道你很懂行情</v>
      </c>
      <c r="C11141" s="2" t="s">
        <v>13</v>
      </c>
      <c r="D11141" s="2" t="s">
        <v>12</v>
      </c>
      <c r="E11141" s="2" t="s">
        <v>210</v>
      </c>
      <c r="F11141" s="2" t="str">
        <f>HYPERLINK("http://bbs.12365auto.com/postcontent.aspx?tId=193447","http://bbs.12365auto.com/postcontent.aspx?tId=193447")</f>
        <v>http://bbs.12365auto.com/postcontent.aspx?tId=193447</v>
      </c>
      <c r="G11141" s="2"/>
      <c r="H11141" s="2" t="s">
        <v>14873</v>
      </c>
      <c r="I11141" s="2" t="s">
        <v>15</v>
      </c>
      <c r="J11141" s="2" t="s">
        <v>14870</v>
      </c>
      <c r="K11141" s="2" t="s">
        <v>14874</v>
      </c>
      <c r="L11141" s="2">
        <f t="shared" si="174"/>
        <v>150</v>
      </c>
    </row>
    <row r="11142" spans="1:12" ht="25" customHeight="1">
      <c r="A11142" s="2" t="s">
        <v>12</v>
      </c>
      <c r="B11142" s="2" t="str">
        <f>HYPERLINK("http://m.12365auto.com/bbs/postcontent.aspx?tID=193447","30万选这4款豪华SUV 别人都知道你很懂行情")</f>
        <v>30万选这4款豪华SUV 别人都知道你很懂行情</v>
      </c>
      <c r="C11142" s="2" t="s">
        <v>13</v>
      </c>
      <c r="D11142" s="2" t="s">
        <v>23</v>
      </c>
      <c r="E11142" s="2"/>
      <c r="F11142" s="2" t="str">
        <f>HYPERLINK("http://m.12365auto.com/bbs/postcontent.aspx?tID=193447","http://m.12365auto.com/bbs/postcontent.aspx?tID=193447")</f>
        <v>http://m.12365auto.com/bbs/postcontent.aspx?tID=193447</v>
      </c>
      <c r="G11142" s="2"/>
      <c r="H11142" s="2" t="s">
        <v>14873</v>
      </c>
      <c r="I11142" s="2" t="s">
        <v>15</v>
      </c>
      <c r="J11142" s="2" t="s">
        <v>14870</v>
      </c>
      <c r="K11142" s="2" t="s">
        <v>14874</v>
      </c>
      <c r="L11142" s="2">
        <f t="shared" si="174"/>
        <v>150</v>
      </c>
    </row>
    <row r="11143" spans="1:12" ht="25" customHeight="1">
      <c r="A11143" s="2" t="s">
        <v>12</v>
      </c>
      <c r="B11143" s="2" t="str">
        <f>HYPERLINK("http://bbs.12365auto.com/postcontent.aspx?tID=193447","30万选这4款豪华SUV 别人都知道你很懂行情")</f>
        <v>30万选这4款豪华SUV 别人都知道你很懂行情</v>
      </c>
      <c r="C11143" s="2" t="s">
        <v>13</v>
      </c>
      <c r="D11143" s="2" t="s">
        <v>12</v>
      </c>
      <c r="E11143" s="2" t="s">
        <v>214</v>
      </c>
      <c r="F11143" s="2" t="str">
        <f>HYPERLINK("http://bbs.12365auto.com/postcontent.aspx?tID=193447","http://bbs.12365auto.com/postcontent.aspx?tID=193447")</f>
        <v>http://bbs.12365auto.com/postcontent.aspx?tID=193447</v>
      </c>
      <c r="G11143" s="2"/>
      <c r="H11143" s="2" t="s">
        <v>14875</v>
      </c>
      <c r="I11143" s="2" t="s">
        <v>15</v>
      </c>
      <c r="J11143" s="2" t="s">
        <v>14870</v>
      </c>
      <c r="K11143" s="2" t="s">
        <v>14874</v>
      </c>
      <c r="L11143" s="2">
        <f t="shared" si="174"/>
        <v>150</v>
      </c>
    </row>
    <row r="11144" spans="1:12" ht="25" customHeight="1">
      <c r="A11144" s="2" t="s">
        <v>12</v>
      </c>
      <c r="B11144" s="2" t="str">
        <f>HYPERLINK("http://m.12365auto.com/xcdg/20200207/417904.shtml","减少聚集不想老去加油站 看这三款省油神器")</f>
        <v>减少聚集不想老去加油站 看这三款省油神器</v>
      </c>
      <c r="C11144" s="2" t="s">
        <v>13</v>
      </c>
      <c r="D11144" s="2" t="s">
        <v>12</v>
      </c>
      <c r="E11144" s="2"/>
      <c r="F11144" s="2" t="str">
        <f>HYPERLINK("http://m.12365auto.com/xcdg/20200207/417904.shtml","http://m.12365auto.com/xcdg/20200207/417904.shtml")</f>
        <v>http://m.12365auto.com/xcdg/20200207/417904.shtml</v>
      </c>
      <c r="G11144" s="2"/>
      <c r="H11144" s="2" t="s">
        <v>14876</v>
      </c>
      <c r="I11144" s="2" t="s">
        <v>19</v>
      </c>
      <c r="J11144" s="2" t="s">
        <v>14877</v>
      </c>
      <c r="K11144" s="2" t="s">
        <v>14878</v>
      </c>
      <c r="L11144" s="2">
        <f t="shared" si="174"/>
        <v>150</v>
      </c>
    </row>
    <row r="11145" spans="1:12" ht="25" customHeight="1">
      <c r="A11145" s="2" t="s">
        <v>12</v>
      </c>
      <c r="B11145" s="2" t="str">
        <f>HYPERLINK("http://m.12365auto.com/xcdg/20200207/417903.shtml","NEDC续航才400km 雷克萨斯UX300e是不是坑人")</f>
        <v>NEDC续航才400km 雷克萨斯UX300e是不是坑人</v>
      </c>
      <c r="C11145" s="2" t="s">
        <v>13</v>
      </c>
      <c r="D11145" s="2" t="s">
        <v>12</v>
      </c>
      <c r="E11145" s="2"/>
      <c r="F11145" s="2" t="str">
        <f>HYPERLINK("http://m.12365auto.com/xcdg/20200207/417903.shtml","http://m.12365auto.com/xcdg/20200207/417903.shtml")</f>
        <v>http://m.12365auto.com/xcdg/20200207/417903.shtml</v>
      </c>
      <c r="G11145" s="2"/>
      <c r="H11145" s="2" t="s">
        <v>14879</v>
      </c>
      <c r="I11145" s="2" t="s">
        <v>19</v>
      </c>
      <c r="J11145" s="2" t="s">
        <v>6130</v>
      </c>
      <c r="K11145" s="2" t="s">
        <v>14880</v>
      </c>
      <c r="L11145" s="2">
        <f t="shared" si="174"/>
        <v>150</v>
      </c>
    </row>
    <row r="11146" spans="1:12" ht="25" customHeight="1">
      <c r="A11146" s="2" t="s">
        <v>12</v>
      </c>
      <c r="B11146" s="2" t="str">
        <f>HYPERLINK("http://m.12365auto.com/news/20200207/417902.shtml","服务不打烊 宝马打造便捷/安全的客户体验")</f>
        <v>服务不打烊 宝马打造便捷/安全的客户体验</v>
      </c>
      <c r="C11146" s="2" t="s">
        <v>13</v>
      </c>
      <c r="D11146" s="2" t="s">
        <v>12</v>
      </c>
      <c r="E11146" s="2"/>
      <c r="F11146" s="2" t="str">
        <f>HYPERLINK("http://m.12365auto.com/news/20200207/417902.shtml","http://m.12365auto.com/news/20200207/417902.shtml")</f>
        <v>http://m.12365auto.com/news/20200207/417902.shtml</v>
      </c>
      <c r="G11146" s="2"/>
      <c r="H11146" s="2" t="s">
        <v>14881</v>
      </c>
      <c r="I11146" s="2" t="s">
        <v>19</v>
      </c>
      <c r="J11146" s="2" t="s">
        <v>1266</v>
      </c>
      <c r="K11146" s="2" t="s">
        <v>14882</v>
      </c>
      <c r="L11146" s="2">
        <f t="shared" si="174"/>
        <v>150</v>
      </c>
    </row>
    <row r="11147" spans="1:12" ht="25" customHeight="1">
      <c r="A11147" s="2" t="s">
        <v>12</v>
      </c>
      <c r="B11147" s="2" t="str">
        <f>HYPERLINK("http://www.12365auto.com/news/20200207/417902.shtml","服务不打烊 宝马打造便捷/安全的客户体验")</f>
        <v>服务不打烊 宝马打造便捷/安全的客户体验</v>
      </c>
      <c r="C11147" s="2" t="s">
        <v>13</v>
      </c>
      <c r="D11147" s="2" t="s">
        <v>12</v>
      </c>
      <c r="E11147" s="2" t="s">
        <v>276</v>
      </c>
      <c r="F11147" s="2" t="str">
        <f>HYPERLINK("http://www.12365auto.com/news/20200207/417902.shtml","http://www.12365auto.com/news/20200207/417902.shtml")</f>
        <v>http://www.12365auto.com/news/20200207/417902.shtml</v>
      </c>
      <c r="G11147" s="2"/>
      <c r="H11147" s="2" t="s">
        <v>14883</v>
      </c>
      <c r="I11147" s="2" t="s">
        <v>15</v>
      </c>
      <c r="J11147" s="2" t="s">
        <v>12</v>
      </c>
      <c r="K11147" s="2" t="s">
        <v>14882</v>
      </c>
      <c r="L11147" s="2">
        <f t="shared" si="174"/>
        <v>150</v>
      </c>
    </row>
    <row r="11148" spans="1:12" ht="25" customHeight="1">
      <c r="A11148" s="2" t="s">
        <v>12</v>
      </c>
      <c r="B11148" s="2" t="str">
        <f>HYPERLINK("http://m.12365auto.com/xcdg/20200207/417901.shtml","一汽奔腾将推5款新车 纯电SUV将开启预售")</f>
        <v>一汽奔腾将推5款新车 纯电SUV将开启预售</v>
      </c>
      <c r="C11148" s="2" t="s">
        <v>13</v>
      </c>
      <c r="D11148" s="2" t="s">
        <v>12</v>
      </c>
      <c r="E11148" s="2"/>
      <c r="F11148" s="2" t="str">
        <f>HYPERLINK("http://m.12365auto.com/xcdg/20200207/417901.shtml","http://m.12365auto.com/xcdg/20200207/417901.shtml")</f>
        <v>http://m.12365auto.com/xcdg/20200207/417901.shtml</v>
      </c>
      <c r="G11148" s="2"/>
      <c r="H11148" s="2" t="s">
        <v>14884</v>
      </c>
      <c r="I11148" s="2" t="s">
        <v>19</v>
      </c>
      <c r="J11148" s="2" t="s">
        <v>6086</v>
      </c>
      <c r="K11148" s="2" t="s">
        <v>14885</v>
      </c>
      <c r="L11148" s="2">
        <f t="shared" si="174"/>
        <v>150</v>
      </c>
    </row>
    <row r="11149" spans="1:12" ht="25" customHeight="1">
      <c r="A11149" s="2" t="s">
        <v>12</v>
      </c>
      <c r="B11149" s="2" t="str">
        <f>HYPERLINK("http://www.12365auto.com/xcdg/20200207/417901.shtml","一汽奔腾将推5款新车 纯电SUV将开启预售")</f>
        <v>一汽奔腾将推5款新车 纯电SUV将开启预售</v>
      </c>
      <c r="C11149" s="2" t="s">
        <v>13</v>
      </c>
      <c r="D11149" s="2" t="s">
        <v>12</v>
      </c>
      <c r="E11149" s="2" t="s">
        <v>216</v>
      </c>
      <c r="F11149" s="2" t="str">
        <f>HYPERLINK("http://www.12365auto.com/xcdg/20200207/417901.shtml","http://www.12365auto.com/xcdg/20200207/417901.shtml")</f>
        <v>http://www.12365auto.com/xcdg/20200207/417901.shtml</v>
      </c>
      <c r="G11149" s="2"/>
      <c r="H11149" s="2" t="s">
        <v>14886</v>
      </c>
      <c r="I11149" s="2" t="s">
        <v>15</v>
      </c>
      <c r="J11149" s="2" t="s">
        <v>12</v>
      </c>
      <c r="K11149" s="2" t="s">
        <v>14885</v>
      </c>
      <c r="L11149" s="2">
        <f t="shared" si="174"/>
        <v>150</v>
      </c>
    </row>
    <row r="11150" spans="1:12" ht="25" customHeight="1">
      <c r="A11150" s="2" t="s">
        <v>12</v>
      </c>
      <c r="B11150" s="2" t="str">
        <f>HYPERLINK("http://m.12365auto.com/xcdg/20200207/417900.shtml","荣威将推6款新车 首款MPV就要叫板别克GL8")</f>
        <v>荣威将推6款新车 首款MPV就要叫板别克GL8</v>
      </c>
      <c r="C11150" s="2" t="s">
        <v>13</v>
      </c>
      <c r="D11150" s="2" t="s">
        <v>12</v>
      </c>
      <c r="E11150" s="2"/>
      <c r="F11150" s="2" t="str">
        <f>HYPERLINK("http://m.12365auto.com/xcdg/20200207/417900.shtml","http://m.12365auto.com/xcdg/20200207/417900.shtml")</f>
        <v>http://m.12365auto.com/xcdg/20200207/417900.shtml</v>
      </c>
      <c r="G11150" s="2"/>
      <c r="H11150" s="2" t="s">
        <v>14887</v>
      </c>
      <c r="I11150" s="2" t="s">
        <v>19</v>
      </c>
      <c r="J11150" s="2" t="s">
        <v>3053</v>
      </c>
      <c r="K11150" s="2" t="s">
        <v>14888</v>
      </c>
      <c r="L11150" s="2">
        <f t="shared" si="174"/>
        <v>150</v>
      </c>
    </row>
    <row r="11151" spans="1:12" ht="25" customHeight="1">
      <c r="A11151" s="2" t="s">
        <v>12</v>
      </c>
      <c r="B11151" s="2" t="str">
        <f>HYPERLINK("http://www.12365auto.com/xcdg/20200207/417900.shtml","荣威将推6款新车 首款MPV就要叫板别克GL8")</f>
        <v>荣威将推6款新车 首款MPV就要叫板别克GL8</v>
      </c>
      <c r="C11151" s="2" t="s">
        <v>13</v>
      </c>
      <c r="D11151" s="2" t="s">
        <v>12</v>
      </c>
      <c r="E11151" s="2" t="s">
        <v>216</v>
      </c>
      <c r="F11151" s="2" t="str">
        <f>HYPERLINK("http://www.12365auto.com/xcdg/20200207/417900.shtml","http://www.12365auto.com/xcdg/20200207/417900.shtml")</f>
        <v>http://www.12365auto.com/xcdg/20200207/417900.shtml</v>
      </c>
      <c r="G11151" s="2"/>
      <c r="H11151" s="2" t="s">
        <v>14889</v>
      </c>
      <c r="I11151" s="2" t="s">
        <v>15</v>
      </c>
      <c r="J11151" s="2" t="s">
        <v>12</v>
      </c>
      <c r="K11151" s="2" t="s">
        <v>14888</v>
      </c>
      <c r="L11151" s="2">
        <f t="shared" si="174"/>
        <v>150</v>
      </c>
    </row>
    <row r="11152" spans="1:12" ht="25" customHeight="1">
      <c r="A11152" s="2" t="s">
        <v>12</v>
      </c>
      <c r="B11152" s="2" t="str">
        <f>HYPERLINK("http://m.12365auto.com/xcdg/20200207/417899.shtml","捷达中型SUV VS7将上市 最低11.18万起售")</f>
        <v>捷达中型SUV VS7将上市 最低11.18万起售</v>
      </c>
      <c r="C11152" s="2" t="s">
        <v>13</v>
      </c>
      <c r="D11152" s="2" t="s">
        <v>12</v>
      </c>
      <c r="E11152" s="2"/>
      <c r="F11152" s="2" t="str">
        <f>HYPERLINK("http://m.12365auto.com/xcdg/20200207/417899.shtml","http://m.12365auto.com/xcdg/20200207/417899.shtml")</f>
        <v>http://m.12365auto.com/xcdg/20200207/417899.shtml</v>
      </c>
      <c r="G11152" s="2"/>
      <c r="H11152" s="2" t="s">
        <v>14890</v>
      </c>
      <c r="I11152" s="2" t="s">
        <v>19</v>
      </c>
      <c r="J11152" s="2" t="s">
        <v>1266</v>
      </c>
      <c r="K11152" s="2" t="s">
        <v>14891</v>
      </c>
      <c r="L11152" s="2">
        <f t="shared" si="174"/>
        <v>150</v>
      </c>
    </row>
    <row r="11153" spans="1:12" ht="25" customHeight="1">
      <c r="A11153" s="2" t="s">
        <v>12</v>
      </c>
      <c r="B11153" s="2" t="str">
        <f>HYPERLINK("http://www.12365auto.com/xcdg/20200207/417899.shtml","捷达中型SUV VS7将上市 最低11.18万起售")</f>
        <v>捷达中型SUV VS7将上市 最低11.18万起售</v>
      </c>
      <c r="C11153" s="2" t="s">
        <v>13</v>
      </c>
      <c r="D11153" s="2" t="s">
        <v>12</v>
      </c>
      <c r="E11153" s="2" t="s">
        <v>216</v>
      </c>
      <c r="F11153" s="2" t="str">
        <f>HYPERLINK("http://www.12365auto.com/xcdg/20200207/417899.shtml","http://www.12365auto.com/xcdg/20200207/417899.shtml")</f>
        <v>http://www.12365auto.com/xcdg/20200207/417899.shtml</v>
      </c>
      <c r="G11153" s="2"/>
      <c r="H11153" s="2" t="s">
        <v>14892</v>
      </c>
      <c r="I11153" s="2" t="s">
        <v>15</v>
      </c>
      <c r="J11153" s="2" t="s">
        <v>12</v>
      </c>
      <c r="K11153" s="2" t="s">
        <v>14891</v>
      </c>
      <c r="L11153" s="2">
        <f t="shared" si="174"/>
        <v>150</v>
      </c>
    </row>
    <row r="11154" spans="1:12" ht="25" customHeight="1">
      <c r="A11154" s="2" t="s">
        <v>12</v>
      </c>
      <c r="B11154" s="2" t="str">
        <f>HYPERLINK("http://m.12365auto.com/xcdg/20200207/417898.shtml","汉EV领衔 这10款重磅纯电动轿车年内上市")</f>
        <v>汉EV领衔 这10款重磅纯电动轿车年内上市</v>
      </c>
      <c r="C11154" s="2" t="s">
        <v>13</v>
      </c>
      <c r="D11154" s="2" t="s">
        <v>12</v>
      </c>
      <c r="E11154" s="2"/>
      <c r="F11154" s="2" t="str">
        <f>HYPERLINK("http://m.12365auto.com/xcdg/20200207/417898.shtml","http://m.12365auto.com/xcdg/20200207/417898.shtml")</f>
        <v>http://m.12365auto.com/xcdg/20200207/417898.shtml</v>
      </c>
      <c r="G11154" s="2"/>
      <c r="H11154" s="2" t="s">
        <v>14893</v>
      </c>
      <c r="I11154" s="2" t="s">
        <v>19</v>
      </c>
      <c r="J11154" s="2" t="s">
        <v>257</v>
      </c>
      <c r="K11154" s="2" t="s">
        <v>14894</v>
      </c>
      <c r="L11154" s="2">
        <f t="shared" si="174"/>
        <v>150</v>
      </c>
    </row>
    <row r="11155" spans="1:12" ht="25" customHeight="1">
      <c r="A11155" s="2" t="s">
        <v>12</v>
      </c>
      <c r="B11155" s="2" t="str">
        <f>HYPERLINK("http://www.12365auto.com/xcdg/20200207/417898.shtml","汉EV领衔 这10款重磅纯电动轿车年内上市")</f>
        <v>汉EV领衔 这10款重磅纯电动轿车年内上市</v>
      </c>
      <c r="C11155" s="2" t="s">
        <v>13</v>
      </c>
      <c r="D11155" s="2" t="s">
        <v>12</v>
      </c>
      <c r="E11155" s="2" t="s">
        <v>216</v>
      </c>
      <c r="F11155" s="2" t="str">
        <f>HYPERLINK("http://www.12365auto.com/xcdg/20200207/417898.shtml","http://www.12365auto.com/xcdg/20200207/417898.shtml")</f>
        <v>http://www.12365auto.com/xcdg/20200207/417898.shtml</v>
      </c>
      <c r="G11155" s="2"/>
      <c r="H11155" s="2" t="s">
        <v>14895</v>
      </c>
      <c r="I11155" s="2" t="s">
        <v>15</v>
      </c>
      <c r="J11155" s="2" t="s">
        <v>12</v>
      </c>
      <c r="K11155" s="2" t="s">
        <v>14894</v>
      </c>
      <c r="L11155" s="2">
        <f t="shared" si="174"/>
        <v>150</v>
      </c>
    </row>
    <row r="11156" spans="1:12" ht="25" customHeight="1">
      <c r="A11156" s="2" t="s">
        <v>12</v>
      </c>
      <c r="B11156" s="2" t="str">
        <f>HYPERLINK("http://m.12365auto.com/news/20200207/417897.shtml","东风风神1月销量增长 将于2月14日复工生产")</f>
        <v>东风风神1月销量增长 将于2月14日复工生产</v>
      </c>
      <c r="C11156" s="2" t="s">
        <v>13</v>
      </c>
      <c r="D11156" s="2" t="s">
        <v>12</v>
      </c>
      <c r="E11156" s="2"/>
      <c r="F11156" s="2" t="str">
        <f>HYPERLINK("http://m.12365auto.com/news/20200207/417897.shtml","http://m.12365auto.com/news/20200207/417897.shtml")</f>
        <v>http://m.12365auto.com/news/20200207/417897.shtml</v>
      </c>
      <c r="G11156" s="2"/>
      <c r="H11156" s="2" t="s">
        <v>14896</v>
      </c>
      <c r="I11156" s="2" t="s">
        <v>19</v>
      </c>
      <c r="J11156" s="2" t="s">
        <v>6086</v>
      </c>
      <c r="K11156" s="2" t="s">
        <v>14897</v>
      </c>
      <c r="L11156" s="2">
        <f t="shared" si="174"/>
        <v>150</v>
      </c>
    </row>
    <row r="11157" spans="1:12" ht="25" customHeight="1">
      <c r="A11157" s="2" t="s">
        <v>12</v>
      </c>
      <c r="B11157" s="2" t="str">
        <f>HYPERLINK("http://www.12365auto.com/news/20200207/417897.shtml","东风风神1月销量增长 将于2月14日复工生产")</f>
        <v>东风风神1月销量增长 将于2月14日复工生产</v>
      </c>
      <c r="C11157" s="2" t="s">
        <v>13</v>
      </c>
      <c r="D11157" s="2" t="s">
        <v>12</v>
      </c>
      <c r="E11157" s="2" t="s">
        <v>276</v>
      </c>
      <c r="F11157" s="2" t="str">
        <f>HYPERLINK("http://www.12365auto.com/news/20200207/417897.shtml","http://www.12365auto.com/news/20200207/417897.shtml")</f>
        <v>http://www.12365auto.com/news/20200207/417897.shtml</v>
      </c>
      <c r="G11157" s="2"/>
      <c r="H11157" s="2" t="s">
        <v>14898</v>
      </c>
      <c r="I11157" s="2" t="s">
        <v>15</v>
      </c>
      <c r="J11157" s="2" t="s">
        <v>12</v>
      </c>
      <c r="K11157" s="2" t="s">
        <v>14897</v>
      </c>
      <c r="L11157" s="2">
        <f t="shared" si="174"/>
        <v>150</v>
      </c>
    </row>
    <row r="11158" spans="1:12" ht="25" customHeight="1">
      <c r="A11158" s="2" t="s">
        <v>12</v>
      </c>
      <c r="B11158" s="2" t="str">
        <f>HYPERLINK("http://www.12365auto.com/zlts/20200207/446531.shtml","东风日产奇骏行驶过程中发电机皮带轮掉落")</f>
        <v>东风日产奇骏行驶过程中发电机皮带轮掉落</v>
      </c>
      <c r="C11158" s="2" t="s">
        <v>13</v>
      </c>
      <c r="D11158" s="2" t="s">
        <v>12</v>
      </c>
      <c r="E11158" s="2" t="s">
        <v>17</v>
      </c>
      <c r="F11158" s="2" t="str">
        <f>HYPERLINK("http://www.12365auto.com/zlts/20200207/446531.shtml","http://www.12365auto.com/zlts/20200207/446531.shtml")</f>
        <v>http://www.12365auto.com/zlts/20200207/446531.shtml</v>
      </c>
      <c r="G11158" s="2"/>
      <c r="H11158" s="2" t="s">
        <v>14899</v>
      </c>
      <c r="I11158" s="2" t="s">
        <v>19</v>
      </c>
      <c r="J11158" s="2" t="s">
        <v>12</v>
      </c>
      <c r="K11158" s="2" t="s">
        <v>14897</v>
      </c>
      <c r="L11158" s="2">
        <f t="shared" si="174"/>
        <v>150</v>
      </c>
    </row>
    <row r="11159" spans="1:12" ht="25" customHeight="1">
      <c r="A11159" s="2" t="s">
        <v>12</v>
      </c>
      <c r="B11159" s="2" t="str">
        <f>HYPERLINK("http://m.12365auto.com/xcdg/20200207/417896.shtml","全新SUV东风启辰星3月底上市 挑战CS75PLUS")</f>
        <v>全新SUV东风启辰星3月底上市 挑战CS75PLUS</v>
      </c>
      <c r="C11159" s="2" t="s">
        <v>13</v>
      </c>
      <c r="D11159" s="2" t="s">
        <v>12</v>
      </c>
      <c r="E11159" s="2"/>
      <c r="F11159" s="2" t="str">
        <f>HYPERLINK("http://m.12365auto.com/xcdg/20200207/417896.shtml","http://m.12365auto.com/xcdg/20200207/417896.shtml")</f>
        <v>http://m.12365auto.com/xcdg/20200207/417896.shtml</v>
      </c>
      <c r="G11159" s="2"/>
      <c r="H11159" s="2" t="s">
        <v>14900</v>
      </c>
      <c r="I11159" s="2" t="s">
        <v>19</v>
      </c>
      <c r="J11159" s="2" t="s">
        <v>265</v>
      </c>
      <c r="K11159" s="2" t="s">
        <v>14901</v>
      </c>
      <c r="L11159" s="2">
        <f t="shared" si="174"/>
        <v>150</v>
      </c>
    </row>
    <row r="11160" spans="1:12" ht="25" customHeight="1">
      <c r="A11160" s="2" t="s">
        <v>12</v>
      </c>
      <c r="B11160" s="2" t="str">
        <f>HYPERLINK("http://www.12365auto.com/xcdg/20200207/417896.shtml","全新SUV东风启辰星3月底上市 挑战CS75PLUS")</f>
        <v>全新SUV东风启辰星3月底上市 挑战CS75PLUS</v>
      </c>
      <c r="C11160" s="2" t="s">
        <v>13</v>
      </c>
      <c r="D11160" s="2" t="s">
        <v>12</v>
      </c>
      <c r="E11160" s="2" t="s">
        <v>216</v>
      </c>
      <c r="F11160" s="2" t="str">
        <f>HYPERLINK("http://www.12365auto.com/xcdg/20200207/417896.shtml","http://www.12365auto.com/xcdg/20200207/417896.shtml")</f>
        <v>http://www.12365auto.com/xcdg/20200207/417896.shtml</v>
      </c>
      <c r="G11160" s="2"/>
      <c r="H11160" s="2" t="s">
        <v>14902</v>
      </c>
      <c r="I11160" s="2" t="s">
        <v>15</v>
      </c>
      <c r="J11160" s="2" t="s">
        <v>12</v>
      </c>
      <c r="K11160" s="2" t="s">
        <v>14901</v>
      </c>
      <c r="L11160" s="2">
        <f t="shared" si="174"/>
        <v>150</v>
      </c>
    </row>
    <row r="11161" spans="1:12" ht="25" customHeight="1">
      <c r="A11161" s="2" t="s">
        <v>12</v>
      </c>
      <c r="B11161" s="2" t="str">
        <f>HYPERLINK("http://m.12365auto.com/xcdg/20200207/417895.shtml","丰田威兰达4月开售 能否挑战探岳/皓影？")</f>
        <v>丰田威兰达4月开售 能否挑战探岳/皓影？</v>
      </c>
      <c r="C11161" s="2" t="s">
        <v>13</v>
      </c>
      <c r="D11161" s="2" t="s">
        <v>12</v>
      </c>
      <c r="E11161" s="2"/>
      <c r="F11161" s="2" t="str">
        <f>HYPERLINK("http://m.12365auto.com/xcdg/20200207/417895.shtml","http://m.12365auto.com/xcdg/20200207/417895.shtml")</f>
        <v>http://m.12365auto.com/xcdg/20200207/417895.shtml</v>
      </c>
      <c r="G11161" s="2"/>
      <c r="H11161" s="2" t="s">
        <v>14903</v>
      </c>
      <c r="I11161" s="2" t="s">
        <v>19</v>
      </c>
      <c r="J11161" s="2" t="s">
        <v>265</v>
      </c>
      <c r="K11161" s="2" t="s">
        <v>14904</v>
      </c>
      <c r="L11161" s="2">
        <f t="shared" si="174"/>
        <v>150</v>
      </c>
    </row>
    <row r="11162" spans="1:12" ht="25" customHeight="1">
      <c r="A11162" s="2" t="s">
        <v>12</v>
      </c>
      <c r="B11162" s="2" t="str">
        <f>HYPERLINK("http://www.12365auto.com/xcdg/20200207/417895.shtml","丰田威兰达4月开售 能否挑战探岳/皓影？")</f>
        <v>丰田威兰达4月开售 能否挑战探岳/皓影？</v>
      </c>
      <c r="C11162" s="2" t="s">
        <v>13</v>
      </c>
      <c r="D11162" s="2" t="s">
        <v>12</v>
      </c>
      <c r="E11162" s="2" t="s">
        <v>216</v>
      </c>
      <c r="F11162" s="2" t="str">
        <f>HYPERLINK("http://www.12365auto.com/xcdg/20200207/417895.shtml","http://www.12365auto.com/xcdg/20200207/417895.shtml")</f>
        <v>http://www.12365auto.com/xcdg/20200207/417895.shtml</v>
      </c>
      <c r="G11162" s="2"/>
      <c r="H11162" s="2" t="s">
        <v>14905</v>
      </c>
      <c r="I11162" s="2" t="s">
        <v>15</v>
      </c>
      <c r="J11162" s="2" t="s">
        <v>12</v>
      </c>
      <c r="K11162" s="2" t="s">
        <v>14904</v>
      </c>
      <c r="L11162" s="2">
        <f t="shared" si="174"/>
        <v>150</v>
      </c>
    </row>
    <row r="11163" spans="1:12" ht="25" customHeight="1">
      <c r="A11163" s="2" t="s">
        <v>12</v>
      </c>
      <c r="B11163" s="2" t="str">
        <f>HYPERLINK("http://m.12365auto.com/xcdg/20200207/417894.shtml","起亚将推两款重磅新车 换代K5领衔颜值超高")</f>
        <v>起亚将推两款重磅新车 换代K5领衔颜值超高</v>
      </c>
      <c r="C11163" s="2" t="s">
        <v>13</v>
      </c>
      <c r="D11163" s="2" t="s">
        <v>12</v>
      </c>
      <c r="E11163" s="2"/>
      <c r="F11163" s="2" t="str">
        <f>HYPERLINK("http://m.12365auto.com/xcdg/20200207/417894.shtml","http://m.12365auto.com/xcdg/20200207/417894.shtml")</f>
        <v>http://m.12365auto.com/xcdg/20200207/417894.shtml</v>
      </c>
      <c r="G11163" s="2"/>
      <c r="H11163" s="2" t="s">
        <v>14906</v>
      </c>
      <c r="I11163" s="2" t="s">
        <v>19</v>
      </c>
      <c r="J11163" s="2" t="s">
        <v>739</v>
      </c>
      <c r="K11163" s="2" t="s">
        <v>14907</v>
      </c>
      <c r="L11163" s="2">
        <f t="shared" si="174"/>
        <v>150</v>
      </c>
    </row>
    <row r="11164" spans="1:12" ht="25" customHeight="1">
      <c r="A11164" s="2" t="s">
        <v>12</v>
      </c>
      <c r="B11164" s="2" t="str">
        <f>HYPERLINK("http://www.12365auto.com/xcdg/20200207/417894.shtml","起亚将推两款重磅新车 换代K5领衔颜值超高")</f>
        <v>起亚将推两款重磅新车 换代K5领衔颜值超高</v>
      </c>
      <c r="C11164" s="2" t="s">
        <v>13</v>
      </c>
      <c r="D11164" s="2" t="s">
        <v>12</v>
      </c>
      <c r="E11164" s="2" t="s">
        <v>216</v>
      </c>
      <c r="F11164" s="2" t="str">
        <f>HYPERLINK("http://www.12365auto.com/xcdg/20200207/417894.shtml","http://www.12365auto.com/xcdg/20200207/417894.shtml")</f>
        <v>http://www.12365auto.com/xcdg/20200207/417894.shtml</v>
      </c>
      <c r="G11164" s="2"/>
      <c r="H11164" s="2" t="s">
        <v>14908</v>
      </c>
      <c r="I11164" s="2" t="s">
        <v>15</v>
      </c>
      <c r="J11164" s="2" t="s">
        <v>12</v>
      </c>
      <c r="K11164" s="2" t="s">
        <v>14907</v>
      </c>
      <c r="L11164" s="2">
        <f t="shared" si="174"/>
        <v>150</v>
      </c>
    </row>
    <row r="11165" spans="1:12" ht="25" customHeight="1">
      <c r="A11165" s="2" t="s">
        <v>12</v>
      </c>
      <c r="B11165" s="2" t="str">
        <f>HYPERLINK("http://m.12365auto.com/xcdg/20200207/417893.shtml","不止卢比肯小道 莫哈维沙漠才是角斗士的家")</f>
        <v>不止卢比肯小道 莫哈维沙漠才是角斗士的家</v>
      </c>
      <c r="C11165" s="2" t="s">
        <v>13</v>
      </c>
      <c r="D11165" s="2" t="s">
        <v>12</v>
      </c>
      <c r="E11165" s="2"/>
      <c r="F11165" s="2" t="str">
        <f>HYPERLINK("http://m.12365auto.com/xcdg/20200207/417893.shtml","http://m.12365auto.com/xcdg/20200207/417893.shtml")</f>
        <v>http://m.12365auto.com/xcdg/20200207/417893.shtml</v>
      </c>
      <c r="G11165" s="2"/>
      <c r="H11165" s="2" t="s">
        <v>14909</v>
      </c>
      <c r="I11165" s="2" t="s">
        <v>19</v>
      </c>
      <c r="J11165" s="2" t="s">
        <v>9381</v>
      </c>
      <c r="K11165" s="2" t="s">
        <v>14910</v>
      </c>
      <c r="L11165" s="2">
        <f t="shared" si="174"/>
        <v>150</v>
      </c>
    </row>
    <row r="11166" spans="1:12" ht="25" customHeight="1">
      <c r="A11166" s="2" t="s">
        <v>12</v>
      </c>
      <c r="B11166" s="2" t="str">
        <f>HYPERLINK("http://www.12365auto.com/xcdg/20200207/417893.shtml","不止卢比肯小道 莫哈维沙漠才是角斗士的家")</f>
        <v>不止卢比肯小道 莫哈维沙漠才是角斗士的家</v>
      </c>
      <c r="C11166" s="2" t="s">
        <v>13</v>
      </c>
      <c r="D11166" s="2" t="s">
        <v>12</v>
      </c>
      <c r="E11166" s="2" t="s">
        <v>216</v>
      </c>
      <c r="F11166" s="2" t="str">
        <f>HYPERLINK("http://www.12365auto.com/xcdg/20200207/417893.shtml","http://www.12365auto.com/xcdg/20200207/417893.shtml")</f>
        <v>http://www.12365auto.com/xcdg/20200207/417893.shtml</v>
      </c>
      <c r="G11166" s="2"/>
      <c r="H11166" s="2" t="s">
        <v>14911</v>
      </c>
      <c r="I11166" s="2" t="s">
        <v>15</v>
      </c>
      <c r="J11166" s="2" t="s">
        <v>12</v>
      </c>
      <c r="K11166" s="2" t="s">
        <v>14910</v>
      </c>
      <c r="L11166" s="2">
        <f t="shared" si="174"/>
        <v>150</v>
      </c>
    </row>
    <row r="11167" spans="1:12" ht="25" customHeight="1">
      <c r="A11167" s="2" t="s">
        <v>12</v>
      </c>
      <c r="B11167" s="2" t="str">
        <f>HYPERLINK("http://m.12365auto.com/xcdg/20200207/417892.shtml","盘点2020年这6款新车 最具成为爆款SUV潜质")</f>
        <v>盘点2020年这6款新车 最具成为爆款SUV潜质</v>
      </c>
      <c r="C11167" s="2" t="s">
        <v>13</v>
      </c>
      <c r="D11167" s="2" t="s">
        <v>12</v>
      </c>
      <c r="E11167" s="2"/>
      <c r="F11167" s="2" t="str">
        <f>HYPERLINK("http://m.12365auto.com/xcdg/20200207/417892.shtml","http://m.12365auto.com/xcdg/20200207/417892.shtml")</f>
        <v>http://m.12365auto.com/xcdg/20200207/417892.shtml</v>
      </c>
      <c r="G11167" s="2"/>
      <c r="H11167" s="2" t="s">
        <v>14912</v>
      </c>
      <c r="I11167" s="2" t="s">
        <v>19</v>
      </c>
      <c r="J11167" s="2" t="s">
        <v>2603</v>
      </c>
      <c r="K11167" s="2" t="s">
        <v>14913</v>
      </c>
      <c r="L11167" s="2">
        <f t="shared" si="174"/>
        <v>150</v>
      </c>
    </row>
    <row r="11168" spans="1:12" ht="25" customHeight="1">
      <c r="A11168" s="2" t="s">
        <v>12</v>
      </c>
      <c r="B11168" s="2" t="str">
        <f>HYPERLINK("http://www.12365auto.com/xcdg/20200207/417892.shtml","盘点2020年这6款新车 最具成为爆款SUV潜质")</f>
        <v>盘点2020年这6款新车 最具成为爆款SUV潜质</v>
      </c>
      <c r="C11168" s="2" t="s">
        <v>13</v>
      </c>
      <c r="D11168" s="2" t="s">
        <v>12</v>
      </c>
      <c r="E11168" s="2" t="s">
        <v>216</v>
      </c>
      <c r="F11168" s="2" t="str">
        <f>HYPERLINK("http://www.12365auto.com/xcdg/20200207/417892.shtml","http://www.12365auto.com/xcdg/20200207/417892.shtml")</f>
        <v>http://www.12365auto.com/xcdg/20200207/417892.shtml</v>
      </c>
      <c r="G11168" s="2"/>
      <c r="H11168" s="2" t="s">
        <v>14914</v>
      </c>
      <c r="I11168" s="2" t="s">
        <v>15</v>
      </c>
      <c r="J11168" s="2" t="s">
        <v>12</v>
      </c>
      <c r="K11168" s="2" t="s">
        <v>14913</v>
      </c>
      <c r="L11168" s="2">
        <f t="shared" si="174"/>
        <v>150</v>
      </c>
    </row>
    <row r="11169" spans="1:12" ht="25" customHeight="1">
      <c r="A11169" s="2" t="s">
        <v>12</v>
      </c>
      <c r="B11169" s="2" t="str">
        <f>HYPERLINK("http://www.12365auto.com/xcdg/20200207/417891.shtml","大众新款高尔夫正式上市 售价公布/搭1.5T")</f>
        <v>大众新款高尔夫正式上市 售价公布/搭1.5T</v>
      </c>
      <c r="C11169" s="2" t="s">
        <v>13</v>
      </c>
      <c r="D11169" s="2" t="s">
        <v>12</v>
      </c>
      <c r="E11169" s="2" t="s">
        <v>216</v>
      </c>
      <c r="F11169" s="2" t="str">
        <f>HYPERLINK("http://www.12365auto.com/xcdg/20200207/417891.shtml","http://www.12365auto.com/xcdg/20200207/417891.shtml")</f>
        <v>http://www.12365auto.com/xcdg/20200207/417891.shtml</v>
      </c>
      <c r="G11169" s="2"/>
      <c r="H11169" s="2" t="s">
        <v>14915</v>
      </c>
      <c r="I11169" s="2" t="s">
        <v>15</v>
      </c>
      <c r="J11169" s="2" t="s">
        <v>12</v>
      </c>
      <c r="K11169" s="2" t="s">
        <v>14916</v>
      </c>
      <c r="L11169" s="2">
        <f t="shared" si="174"/>
        <v>150</v>
      </c>
    </row>
    <row r="11170" spans="1:12" ht="25" customHeight="1">
      <c r="A11170" s="2" t="s">
        <v>12</v>
      </c>
      <c r="B11170" s="2" t="str">
        <f>HYPERLINK("http://m.12365auto.com/xcdg/20200207/417891.shtml","大众新款高尔夫正式上市 售价公布/搭1.5T")</f>
        <v>大众新款高尔夫正式上市 售价公布/搭1.5T</v>
      </c>
      <c r="C11170" s="2" t="s">
        <v>13</v>
      </c>
      <c r="D11170" s="2" t="s">
        <v>12</v>
      </c>
      <c r="E11170" s="2"/>
      <c r="F11170" s="2" t="str">
        <f>HYPERLINK("http://m.12365auto.com/xcdg/20200207/417891.shtml","http://m.12365auto.com/xcdg/20200207/417891.shtml")</f>
        <v>http://m.12365auto.com/xcdg/20200207/417891.shtml</v>
      </c>
      <c r="G11170" s="2"/>
      <c r="H11170" s="2" t="s">
        <v>14917</v>
      </c>
      <c r="I11170" s="2" t="s">
        <v>19</v>
      </c>
      <c r="J11170" s="2" t="s">
        <v>13601</v>
      </c>
      <c r="K11170" s="2" t="s">
        <v>14916</v>
      </c>
      <c r="L11170" s="2">
        <f t="shared" si="174"/>
        <v>150</v>
      </c>
    </row>
    <row r="11171" spans="1:12" ht="25" customHeight="1">
      <c r="A11171" s="2" t="s">
        <v>12</v>
      </c>
      <c r="B11171" s="2" t="str">
        <f>HYPERLINK("http://www.12365auto.com/xcdg/20200207/417890.shtml","芝加哥车展 丰田特别定制版坦途 限量发售")</f>
        <v>芝加哥车展 丰田特别定制版坦途 限量发售</v>
      </c>
      <c r="C11171" s="2" t="s">
        <v>13</v>
      </c>
      <c r="D11171" s="2" t="s">
        <v>12</v>
      </c>
      <c r="E11171" s="2" t="s">
        <v>216</v>
      </c>
      <c r="F11171" s="2" t="str">
        <f>HYPERLINK("http://www.12365auto.com/xcdg/20200207/417890.shtml","http://www.12365auto.com/xcdg/20200207/417890.shtml")</f>
        <v>http://www.12365auto.com/xcdg/20200207/417890.shtml</v>
      </c>
      <c r="G11171" s="2"/>
      <c r="H11171" s="2" t="s">
        <v>14918</v>
      </c>
      <c r="I11171" s="2" t="s">
        <v>15</v>
      </c>
      <c r="J11171" s="2" t="s">
        <v>12</v>
      </c>
      <c r="K11171" s="2" t="s">
        <v>14919</v>
      </c>
      <c r="L11171" s="2">
        <f t="shared" si="174"/>
        <v>150</v>
      </c>
    </row>
    <row r="11172" spans="1:12" ht="25" customHeight="1">
      <c r="A11172" s="2" t="s">
        <v>12</v>
      </c>
      <c r="B11172" s="2" t="str">
        <f>HYPERLINK("http://m.12365auto.com/xcdg/20200207/417890.shtml","芝加哥车展 丰田特别定制版坦途 限量发售")</f>
        <v>芝加哥车展 丰田特别定制版坦途 限量发售</v>
      </c>
      <c r="C11172" s="2" t="s">
        <v>13</v>
      </c>
      <c r="D11172" s="2" t="s">
        <v>12</v>
      </c>
      <c r="E11172" s="2"/>
      <c r="F11172" s="2" t="str">
        <f>HYPERLINK("http://m.12365auto.com/xcdg/20200207/417890.shtml","http://m.12365auto.com/xcdg/20200207/417890.shtml")</f>
        <v>http://m.12365auto.com/xcdg/20200207/417890.shtml</v>
      </c>
      <c r="G11172" s="2"/>
      <c r="H11172" s="2" t="s">
        <v>14920</v>
      </c>
      <c r="I11172" s="2" t="s">
        <v>19</v>
      </c>
      <c r="J11172" s="2" t="s">
        <v>2612</v>
      </c>
      <c r="K11172" s="2" t="s">
        <v>14919</v>
      </c>
      <c r="L11172" s="2">
        <f t="shared" si="174"/>
        <v>150</v>
      </c>
    </row>
    <row r="11173" spans="1:12" ht="25" customHeight="1">
      <c r="A11173" s="2" t="s">
        <v>12</v>
      </c>
      <c r="B11173" s="2" t="str">
        <f>HYPERLINK("http://www.12365auto.com/news/20200207/417889.shtml","开车前别用雨刮器刮雪 这一点老司机都懂")</f>
        <v>开车前别用雨刮器刮雪 这一点老司机都懂</v>
      </c>
      <c r="C11173" s="2" t="s">
        <v>13</v>
      </c>
      <c r="D11173" s="2" t="s">
        <v>12</v>
      </c>
      <c r="E11173" s="2" t="s">
        <v>372</v>
      </c>
      <c r="F11173" s="2" t="str">
        <f>HYPERLINK("http://www.12365auto.com/news/20200207/417889.shtml","http://www.12365auto.com/news/20200207/417889.shtml")</f>
        <v>http://www.12365auto.com/news/20200207/417889.shtml</v>
      </c>
      <c r="G11173" s="2"/>
      <c r="H11173" s="2" t="s">
        <v>14921</v>
      </c>
      <c r="I11173" s="2" t="s">
        <v>15</v>
      </c>
      <c r="J11173" s="2" t="s">
        <v>12</v>
      </c>
      <c r="K11173" s="2" t="s">
        <v>14922</v>
      </c>
      <c r="L11173" s="2">
        <f t="shared" si="174"/>
        <v>150</v>
      </c>
    </row>
    <row r="11174" spans="1:12" ht="25" customHeight="1">
      <c r="A11174" s="2" t="s">
        <v>12</v>
      </c>
      <c r="B11174" s="2" t="str">
        <f>HYPERLINK("http://m.12365auto.com/news/20200207/417889.shtml","开车前别用雨刮器刮雪 这一点老司机都懂")</f>
        <v>开车前别用雨刮器刮雪 这一点老司机都懂</v>
      </c>
      <c r="C11174" s="2" t="s">
        <v>13</v>
      </c>
      <c r="D11174" s="2" t="s">
        <v>12</v>
      </c>
      <c r="E11174" s="2"/>
      <c r="F11174" s="2" t="str">
        <f>HYPERLINK("http://m.12365auto.com/news/20200207/417889.shtml","http://m.12365auto.com/news/20200207/417889.shtml")</f>
        <v>http://m.12365auto.com/news/20200207/417889.shtml</v>
      </c>
      <c r="G11174" s="2"/>
      <c r="H11174" s="2" t="s">
        <v>14923</v>
      </c>
      <c r="I11174" s="2" t="s">
        <v>19</v>
      </c>
      <c r="J11174" s="2" t="s">
        <v>222</v>
      </c>
      <c r="K11174" s="2" t="s">
        <v>14922</v>
      </c>
      <c r="L11174" s="2">
        <f t="shared" si="174"/>
        <v>150</v>
      </c>
    </row>
    <row r="11175" spans="1:12" ht="25" customHeight="1">
      <c r="A11175" s="2" t="s">
        <v>12</v>
      </c>
      <c r="B11175" s="2" t="str">
        <f>HYPERLINK("http://www.12365auto.com/news/20200207/417888.shtml","全国多地降雪 下雪的同时开车得注意这几点")</f>
        <v>全国多地降雪 下雪的同时开车得注意这几点</v>
      </c>
      <c r="C11175" s="2" t="s">
        <v>13</v>
      </c>
      <c r="D11175" s="2" t="s">
        <v>12</v>
      </c>
      <c r="E11175" s="2" t="s">
        <v>372</v>
      </c>
      <c r="F11175" s="2" t="str">
        <f>HYPERLINK("http://www.12365auto.com/news/20200207/417888.shtml","http://www.12365auto.com/news/20200207/417888.shtml")</f>
        <v>http://www.12365auto.com/news/20200207/417888.shtml</v>
      </c>
      <c r="G11175" s="2"/>
      <c r="H11175" s="2" t="s">
        <v>14924</v>
      </c>
      <c r="I11175" s="2" t="s">
        <v>15</v>
      </c>
      <c r="J11175" s="2" t="s">
        <v>12</v>
      </c>
      <c r="K11175" s="2" t="s">
        <v>14925</v>
      </c>
      <c r="L11175" s="2">
        <f t="shared" si="174"/>
        <v>150</v>
      </c>
    </row>
    <row r="11176" spans="1:12" ht="25" customHeight="1">
      <c r="A11176" s="2" t="s">
        <v>12</v>
      </c>
      <c r="B11176" s="2" t="str">
        <f>HYPERLINK("http://m.12365auto.com/news/20200207/417888.shtml","全国多地降雪 下雪的同时开车得注意这几点")</f>
        <v>全国多地降雪 下雪的同时开车得注意这几点</v>
      </c>
      <c r="C11176" s="2" t="s">
        <v>13</v>
      </c>
      <c r="D11176" s="2" t="s">
        <v>12</v>
      </c>
      <c r="E11176" s="2"/>
      <c r="F11176" s="2" t="str">
        <f>HYPERLINK("http://m.12365auto.com/news/20200207/417888.shtml","http://m.12365auto.com/news/20200207/417888.shtml")</f>
        <v>http://m.12365auto.com/news/20200207/417888.shtml</v>
      </c>
      <c r="G11176" s="2"/>
      <c r="H11176" s="2" t="s">
        <v>14926</v>
      </c>
      <c r="I11176" s="2" t="s">
        <v>19</v>
      </c>
      <c r="J11176" s="2" t="s">
        <v>222</v>
      </c>
      <c r="K11176" s="2" t="s">
        <v>14925</v>
      </c>
      <c r="L11176" s="2">
        <f t="shared" si="174"/>
        <v>150</v>
      </c>
    </row>
    <row r="11177" spans="1:12" ht="25" customHeight="1">
      <c r="A11177" s="2" t="s">
        <v>12</v>
      </c>
      <c r="B11177" s="2" t="str">
        <f>HYPERLINK("http://www.12365auto.com/xcdg/20200207/417887.shtml","东风风光ix7插电混动SUV曝光 百公里1.6L油")</f>
        <v>东风风光ix7插电混动SUV曝光 百公里1.6L油</v>
      </c>
      <c r="C11177" s="2" t="s">
        <v>13</v>
      </c>
      <c r="D11177" s="2" t="s">
        <v>12</v>
      </c>
      <c r="E11177" s="2" t="s">
        <v>216</v>
      </c>
      <c r="F11177" s="2" t="str">
        <f>HYPERLINK("http://www.12365auto.com/xcdg/20200207/417887.shtml","http://www.12365auto.com/xcdg/20200207/417887.shtml")</f>
        <v>http://www.12365auto.com/xcdg/20200207/417887.shtml</v>
      </c>
      <c r="G11177" s="2"/>
      <c r="H11177" s="2" t="s">
        <v>14927</v>
      </c>
      <c r="I11177" s="2" t="s">
        <v>15</v>
      </c>
      <c r="J11177" s="2" t="s">
        <v>12</v>
      </c>
      <c r="K11177" s="2" t="s">
        <v>14928</v>
      </c>
      <c r="L11177" s="2">
        <f t="shared" si="174"/>
        <v>150</v>
      </c>
    </row>
    <row r="11178" spans="1:12" ht="25" customHeight="1">
      <c r="A11178" s="2" t="s">
        <v>12</v>
      </c>
      <c r="B11178" s="2" t="str">
        <f>HYPERLINK("http://m.12365auto.com/xcdg/20200207/417887.shtml","东风风光ix7插电混动SUV曝光 百公里1.6L油")</f>
        <v>东风风光ix7插电混动SUV曝光 百公里1.6L油</v>
      </c>
      <c r="C11178" s="2" t="s">
        <v>13</v>
      </c>
      <c r="D11178" s="2" t="s">
        <v>12</v>
      </c>
      <c r="E11178" s="2"/>
      <c r="F11178" s="2" t="str">
        <f>HYPERLINK("http://m.12365auto.com/xcdg/20200207/417887.shtml","http://m.12365auto.com/xcdg/20200207/417887.shtml")</f>
        <v>http://m.12365auto.com/xcdg/20200207/417887.shtml</v>
      </c>
      <c r="G11178" s="2"/>
      <c r="H11178" s="2" t="s">
        <v>14929</v>
      </c>
      <c r="I11178" s="2" t="s">
        <v>19</v>
      </c>
      <c r="J11178" s="2" t="s">
        <v>6086</v>
      </c>
      <c r="K11178" s="2" t="s">
        <v>14928</v>
      </c>
      <c r="L11178" s="2">
        <f t="shared" si="174"/>
        <v>150</v>
      </c>
    </row>
    <row r="11179" spans="1:12" ht="25" customHeight="1">
      <c r="A11179" s="2" t="s">
        <v>12</v>
      </c>
      <c r="B11179" s="2" t="str">
        <f>HYPERLINK("http://www.12365auto.com/xcdg/20200207/417886.shtml","福特新款PUMA现已开售 搭1.0T/跨界外观设计")</f>
        <v>福特新款PUMA现已开售 搭1.0T/跨界外观设计</v>
      </c>
      <c r="C11179" s="2" t="s">
        <v>13</v>
      </c>
      <c r="D11179" s="2" t="s">
        <v>12</v>
      </c>
      <c r="E11179" s="2" t="s">
        <v>216</v>
      </c>
      <c r="F11179" s="2" t="str">
        <f>HYPERLINK("http://www.12365auto.com/xcdg/20200207/417886.shtml","http://www.12365auto.com/xcdg/20200207/417886.shtml")</f>
        <v>http://www.12365auto.com/xcdg/20200207/417886.shtml</v>
      </c>
      <c r="G11179" s="2"/>
      <c r="H11179" s="2" t="s">
        <v>14930</v>
      </c>
      <c r="I11179" s="2" t="s">
        <v>15</v>
      </c>
      <c r="J11179" s="2" t="s">
        <v>12</v>
      </c>
      <c r="K11179" s="2" t="s">
        <v>14931</v>
      </c>
      <c r="L11179" s="2">
        <f t="shared" si="174"/>
        <v>150</v>
      </c>
    </row>
    <row r="11180" spans="1:12" ht="25" customHeight="1">
      <c r="A11180" s="2" t="s">
        <v>12</v>
      </c>
      <c r="B11180" s="2" t="str">
        <f>HYPERLINK("http://m.12365auto.com/xcdg/20200207/417886.shtml","福特新款PUMA现已开售 搭1.0T/跨界外观设计")</f>
        <v>福特新款PUMA现已开售 搭1.0T/跨界外观设计</v>
      </c>
      <c r="C11180" s="2" t="s">
        <v>13</v>
      </c>
      <c r="D11180" s="2" t="s">
        <v>12</v>
      </c>
      <c r="E11180" s="2"/>
      <c r="F11180" s="2" t="str">
        <f>HYPERLINK("http://m.12365auto.com/xcdg/20200207/417886.shtml","http://m.12365auto.com/xcdg/20200207/417886.shtml")</f>
        <v>http://m.12365auto.com/xcdg/20200207/417886.shtml</v>
      </c>
      <c r="G11180" s="2"/>
      <c r="H11180" s="2" t="s">
        <v>14932</v>
      </c>
      <c r="I11180" s="2" t="s">
        <v>19</v>
      </c>
      <c r="J11180" s="2" t="s">
        <v>220</v>
      </c>
      <c r="K11180" s="2" t="s">
        <v>14931</v>
      </c>
      <c r="L11180" s="2">
        <f t="shared" si="174"/>
        <v>150</v>
      </c>
    </row>
    <row r="11181" spans="1:12" ht="25" customHeight="1">
      <c r="A11181" s="2" t="s">
        <v>12</v>
      </c>
      <c r="B11181" s="2" t="str">
        <f>HYPERLINK("http://www.12365auto.com/xcdg/20200207/417885.shtml","宝马全新4系实车已曝光 6月下线/年底开售")</f>
        <v>宝马全新4系实车已曝光 6月下线/年底开售</v>
      </c>
      <c r="C11181" s="2" t="s">
        <v>13</v>
      </c>
      <c r="D11181" s="2" t="s">
        <v>12</v>
      </c>
      <c r="E11181" s="2" t="s">
        <v>224</v>
      </c>
      <c r="F11181" s="2" t="str">
        <f>HYPERLINK("http://www.12365auto.com/xcdg/20200207/417885.shtml","http://www.12365auto.com/xcdg/20200207/417885.shtml")</f>
        <v>http://www.12365auto.com/xcdg/20200207/417885.shtml</v>
      </c>
      <c r="G11181" s="2"/>
      <c r="H11181" s="2" t="s">
        <v>14933</v>
      </c>
      <c r="I11181" s="2" t="s">
        <v>15</v>
      </c>
      <c r="J11181" s="2" t="s">
        <v>12</v>
      </c>
      <c r="K11181" s="2" t="s">
        <v>14934</v>
      </c>
      <c r="L11181" s="2">
        <f t="shared" si="174"/>
        <v>150</v>
      </c>
    </row>
    <row r="11182" spans="1:12" ht="25" customHeight="1">
      <c r="A11182" s="2" t="s">
        <v>12</v>
      </c>
      <c r="B11182" s="2" t="str">
        <f>HYPERLINK("http://m.12365auto.com/xcdg/20200207/417885.shtml","宝马全新4系实车已曝光 6月下线/年底开售")</f>
        <v>宝马全新4系实车已曝光 6月下线/年底开售</v>
      </c>
      <c r="C11182" s="2" t="s">
        <v>13</v>
      </c>
      <c r="D11182" s="2" t="s">
        <v>12</v>
      </c>
      <c r="E11182" s="2"/>
      <c r="F11182" s="2" t="str">
        <f>HYPERLINK("http://m.12365auto.com/xcdg/20200207/417885.shtml","http://m.12365auto.com/xcdg/20200207/417885.shtml")</f>
        <v>http://m.12365auto.com/xcdg/20200207/417885.shtml</v>
      </c>
      <c r="G11182" s="2"/>
      <c r="H11182" s="2" t="s">
        <v>14935</v>
      </c>
      <c r="I11182" s="2" t="s">
        <v>19</v>
      </c>
      <c r="J11182" s="2" t="s">
        <v>220</v>
      </c>
      <c r="K11182" s="2" t="s">
        <v>14934</v>
      </c>
      <c r="L11182" s="2">
        <f t="shared" si="174"/>
        <v>150</v>
      </c>
    </row>
    <row r="11183" spans="1:12" ht="25" customHeight="1">
      <c r="A11183" s="2" t="s">
        <v>12</v>
      </c>
      <c r="B11183" s="2" t="str">
        <f>HYPERLINK("http://www.12365auto.com/xcdg/20200207/417884.shtml","雷克萨斯LC 500定制版曝光 5.0L引擎/将亮相")</f>
        <v>雷克萨斯LC 500定制版曝光 5.0L引擎/将亮相</v>
      </c>
      <c r="C11183" s="2" t="s">
        <v>13</v>
      </c>
      <c r="D11183" s="2" t="s">
        <v>12</v>
      </c>
      <c r="E11183" s="2" t="s">
        <v>216</v>
      </c>
      <c r="F11183" s="2" t="str">
        <f>HYPERLINK("http://www.12365auto.com/xcdg/20200207/417884.shtml","http://www.12365auto.com/xcdg/20200207/417884.shtml")</f>
        <v>http://www.12365auto.com/xcdg/20200207/417884.shtml</v>
      </c>
      <c r="G11183" s="2"/>
      <c r="H11183" s="2" t="s">
        <v>14936</v>
      </c>
      <c r="I11183" s="2" t="s">
        <v>15</v>
      </c>
      <c r="J11183" s="2" t="s">
        <v>12</v>
      </c>
      <c r="K11183" s="2" t="s">
        <v>14937</v>
      </c>
      <c r="L11183" s="2">
        <f t="shared" si="174"/>
        <v>150</v>
      </c>
    </row>
    <row r="11184" spans="1:12" ht="25" customHeight="1">
      <c r="A11184" s="2" t="s">
        <v>12</v>
      </c>
      <c r="B11184" s="2" t="str">
        <f>HYPERLINK("http://m.12365auto.com/xcdg/20200207/417884.shtml","雷克萨斯LC 500定制版曝光 5.0L引擎/将亮相")</f>
        <v>雷克萨斯LC 500定制版曝光 5.0L引擎/将亮相</v>
      </c>
      <c r="C11184" s="2" t="s">
        <v>13</v>
      </c>
      <c r="D11184" s="2" t="s">
        <v>12</v>
      </c>
      <c r="E11184" s="2"/>
      <c r="F11184" s="2" t="str">
        <f>HYPERLINK("http://m.12365auto.com/xcdg/20200207/417884.shtml","http://m.12365auto.com/xcdg/20200207/417884.shtml")</f>
        <v>http://m.12365auto.com/xcdg/20200207/417884.shtml</v>
      </c>
      <c r="G11184" s="2"/>
      <c r="H11184" s="2" t="s">
        <v>14938</v>
      </c>
      <c r="I11184" s="2" t="s">
        <v>19</v>
      </c>
      <c r="J11184" s="2" t="s">
        <v>13601</v>
      </c>
      <c r="K11184" s="2" t="s">
        <v>14937</v>
      </c>
      <c r="L11184" s="2">
        <f t="shared" si="174"/>
        <v>150</v>
      </c>
    </row>
    <row r="11185" spans="1:12" ht="25" customHeight="1">
      <c r="A11185" s="2" t="s">
        <v>12</v>
      </c>
      <c r="B11185" s="2" t="str">
        <f>HYPERLINK("http://www.12365auto.com/xcdg/20200207/417883.shtml","保时捷新款718售价公布 搭4.0L/下月开卖")</f>
        <v>保时捷新款718售价公布 搭4.0L/下月开卖</v>
      </c>
      <c r="C11185" s="2" t="s">
        <v>13</v>
      </c>
      <c r="D11185" s="2" t="s">
        <v>12</v>
      </c>
      <c r="E11185" s="2" t="s">
        <v>216</v>
      </c>
      <c r="F11185" s="2" t="str">
        <f>HYPERLINK("http://www.12365auto.com/xcdg/20200207/417883.shtml","http://www.12365auto.com/xcdg/20200207/417883.shtml")</f>
        <v>http://www.12365auto.com/xcdg/20200207/417883.shtml</v>
      </c>
      <c r="G11185" s="2"/>
      <c r="H11185" s="2" t="s">
        <v>14939</v>
      </c>
      <c r="I11185" s="2" t="s">
        <v>15</v>
      </c>
      <c r="J11185" s="2" t="s">
        <v>12</v>
      </c>
      <c r="K11185" s="2" t="s">
        <v>14940</v>
      </c>
      <c r="L11185" s="2">
        <f t="shared" si="174"/>
        <v>150</v>
      </c>
    </row>
    <row r="11186" spans="1:12" ht="25" customHeight="1">
      <c r="A11186" s="2" t="s">
        <v>12</v>
      </c>
      <c r="B11186" s="2" t="str">
        <f>HYPERLINK("http://m.12365auto.com/xcdg/20200207/417883.shtml","保时捷新款718售价公布 搭4.0L/下月开卖")</f>
        <v>保时捷新款718售价公布 搭4.0L/下月开卖</v>
      </c>
      <c r="C11186" s="2" t="s">
        <v>13</v>
      </c>
      <c r="D11186" s="2" t="s">
        <v>12</v>
      </c>
      <c r="E11186" s="2"/>
      <c r="F11186" s="2" t="str">
        <f>HYPERLINK("http://m.12365auto.com/xcdg/20200207/417883.shtml","http://m.12365auto.com/xcdg/20200207/417883.shtml")</f>
        <v>http://m.12365auto.com/xcdg/20200207/417883.shtml</v>
      </c>
      <c r="G11186" s="2"/>
      <c r="H11186" s="2" t="s">
        <v>14941</v>
      </c>
      <c r="I11186" s="2" t="s">
        <v>19</v>
      </c>
      <c r="J11186" s="2" t="s">
        <v>13601</v>
      </c>
      <c r="K11186" s="2" t="s">
        <v>14940</v>
      </c>
      <c r="L11186" s="2">
        <f t="shared" si="174"/>
        <v>150</v>
      </c>
    </row>
    <row r="11187" spans="1:12" ht="25" customHeight="1">
      <c r="A11187" s="2" t="s">
        <v>12</v>
      </c>
      <c r="B11187" s="2" t="str">
        <f>HYPERLINK("http://www.12365auto.com/xcdg/20200207/417882.shtml","丰田皮卡推出暗夜版 狂野中带着一丝神秘")</f>
        <v>丰田皮卡推出暗夜版 狂野中带着一丝神秘</v>
      </c>
      <c r="C11187" s="2" t="s">
        <v>13</v>
      </c>
      <c r="D11187" s="2" t="s">
        <v>12</v>
      </c>
      <c r="E11187" s="2" t="s">
        <v>216</v>
      </c>
      <c r="F11187" s="2" t="str">
        <f>HYPERLINK("http://www.12365auto.com/xcdg/20200207/417882.shtml","http://www.12365auto.com/xcdg/20200207/417882.shtml")</f>
        <v>http://www.12365auto.com/xcdg/20200207/417882.shtml</v>
      </c>
      <c r="G11187" s="2"/>
      <c r="H11187" s="2" t="s">
        <v>14942</v>
      </c>
      <c r="I11187" s="2" t="s">
        <v>15</v>
      </c>
      <c r="J11187" s="2" t="s">
        <v>12</v>
      </c>
      <c r="K11187" s="2" t="s">
        <v>14943</v>
      </c>
      <c r="L11187" s="2">
        <f t="shared" si="174"/>
        <v>150</v>
      </c>
    </row>
    <row r="11188" spans="1:12" ht="25" customHeight="1">
      <c r="A11188" s="2" t="s">
        <v>12</v>
      </c>
      <c r="B11188" s="2" t="str">
        <f>HYPERLINK("http://m.12365auto.com/xcdg/20200207/417882.shtml","丰田皮卡推出暗夜版 狂野中带着一丝神秘")</f>
        <v>丰田皮卡推出暗夜版 狂野中带着一丝神秘</v>
      </c>
      <c r="C11188" s="2" t="s">
        <v>13</v>
      </c>
      <c r="D11188" s="2" t="s">
        <v>12</v>
      </c>
      <c r="E11188" s="2"/>
      <c r="F11188" s="2" t="str">
        <f>HYPERLINK("http://m.12365auto.com/xcdg/20200207/417882.shtml","http://m.12365auto.com/xcdg/20200207/417882.shtml")</f>
        <v>http://m.12365auto.com/xcdg/20200207/417882.shtml</v>
      </c>
      <c r="G11188" s="2"/>
      <c r="H11188" s="2" t="s">
        <v>14944</v>
      </c>
      <c r="I11188" s="2" t="s">
        <v>19</v>
      </c>
      <c r="J11188" s="2" t="s">
        <v>249</v>
      </c>
      <c r="K11188" s="2" t="s">
        <v>14943</v>
      </c>
      <c r="L11188" s="2">
        <f t="shared" si="174"/>
        <v>150</v>
      </c>
    </row>
    <row r="11189" spans="1:12" ht="25" customHeight="1">
      <c r="A11189" s="2" t="s">
        <v>12</v>
      </c>
      <c r="B11189" s="2" t="str">
        <f>HYPERLINK("http://www.12365auto.com/xcdg/20200207/417881.shtml","斯柯达VISION IN概念车亮相 将明年上市")</f>
        <v>斯柯达VISION IN概念车亮相 将明年上市</v>
      </c>
      <c r="C11189" s="2" t="s">
        <v>13</v>
      </c>
      <c r="D11189" s="2" t="s">
        <v>12</v>
      </c>
      <c r="E11189" s="2" t="s">
        <v>216</v>
      </c>
      <c r="F11189" s="2" t="str">
        <f>HYPERLINK("http://www.12365auto.com/xcdg/20200207/417881.shtml","http://www.12365auto.com/xcdg/20200207/417881.shtml")</f>
        <v>http://www.12365auto.com/xcdg/20200207/417881.shtml</v>
      </c>
      <c r="G11189" s="2"/>
      <c r="H11189" s="2" t="s">
        <v>14945</v>
      </c>
      <c r="I11189" s="2" t="s">
        <v>15</v>
      </c>
      <c r="J11189" s="2" t="s">
        <v>12</v>
      </c>
      <c r="K11189" s="2" t="s">
        <v>14946</v>
      </c>
      <c r="L11189" s="2">
        <f t="shared" si="174"/>
        <v>150</v>
      </c>
    </row>
    <row r="11190" spans="1:12" ht="25" customHeight="1">
      <c r="A11190" s="2" t="s">
        <v>12</v>
      </c>
      <c r="B11190" s="2" t="str">
        <f>HYPERLINK("http://m.12365auto.com/xcdg/20200207/417881.shtml","斯柯达VISION IN概念车亮相 将明年上市")</f>
        <v>斯柯达VISION IN概念车亮相 将明年上市</v>
      </c>
      <c r="C11190" s="2" t="s">
        <v>13</v>
      </c>
      <c r="D11190" s="2" t="s">
        <v>12</v>
      </c>
      <c r="E11190" s="2"/>
      <c r="F11190" s="2" t="str">
        <f>HYPERLINK("http://m.12365auto.com/xcdg/20200207/417881.shtml","http://m.12365auto.com/xcdg/20200207/417881.shtml")</f>
        <v>http://m.12365auto.com/xcdg/20200207/417881.shtml</v>
      </c>
      <c r="G11190" s="2"/>
      <c r="H11190" s="2" t="s">
        <v>14947</v>
      </c>
      <c r="I11190" s="2" t="s">
        <v>19</v>
      </c>
      <c r="J11190" s="2" t="s">
        <v>1218</v>
      </c>
      <c r="K11190" s="2" t="s">
        <v>14946</v>
      </c>
      <c r="L11190" s="2">
        <f t="shared" si="174"/>
        <v>150</v>
      </c>
    </row>
    <row r="11191" spans="1:12" ht="25" customHeight="1">
      <c r="A11191" s="2" t="s">
        <v>12</v>
      </c>
      <c r="B11191" s="2" t="str">
        <f>HYPERLINK("http://m.12365auto.com/zjdy/20200207/121082.shtml","19款长安逸动底盘是否安装有隔热瓦？")</f>
        <v>19款长安逸动底盘是否安装有隔热瓦？</v>
      </c>
      <c r="C11191" s="2" t="s">
        <v>13</v>
      </c>
      <c r="D11191" s="2" t="s">
        <v>12</v>
      </c>
      <c r="E11191" s="2"/>
      <c r="F11191" s="2" t="str">
        <f>HYPERLINK("http://m.12365auto.com/zjdy/20200207/121082.shtml","http://m.12365auto.com/zjdy/20200207/121082.shtml")</f>
        <v>http://m.12365auto.com/zjdy/20200207/121082.shtml</v>
      </c>
      <c r="G11191" s="2"/>
      <c r="H11191" s="2" t="s">
        <v>14948</v>
      </c>
      <c r="I11191" s="2" t="s">
        <v>19</v>
      </c>
      <c r="J11191" s="2" t="s">
        <v>12</v>
      </c>
      <c r="K11191" s="2" t="s">
        <v>14949</v>
      </c>
      <c r="L11191" s="2">
        <f t="shared" si="174"/>
        <v>13</v>
      </c>
    </row>
    <row r="11192" spans="1:12" ht="25" customHeight="1">
      <c r="A11192" s="2" t="s">
        <v>12</v>
      </c>
      <c r="B11192" s="2" t="str">
        <f>HYPERLINK("http://m.12365auto.com/zjdy/20200207/121081.shtml","车辆行驶时异响而且跑偏需要做动平衡吗？")</f>
        <v>车辆行驶时异响而且跑偏需要做动平衡吗？</v>
      </c>
      <c r="C11192" s="2" t="s">
        <v>13</v>
      </c>
      <c r="D11192" s="2" t="s">
        <v>12</v>
      </c>
      <c r="E11192" s="2"/>
      <c r="F11192" s="2" t="str">
        <f>HYPERLINK("http://m.12365auto.com/zjdy/20200207/121081.shtml","http://m.12365auto.com/zjdy/20200207/121081.shtml")</f>
        <v>http://m.12365auto.com/zjdy/20200207/121081.shtml</v>
      </c>
      <c r="G11192" s="2"/>
      <c r="H11192" s="2" t="s">
        <v>14950</v>
      </c>
      <c r="I11192" s="2" t="s">
        <v>19</v>
      </c>
      <c r="J11192" s="2" t="s">
        <v>12</v>
      </c>
      <c r="K11192" s="2" t="s">
        <v>14951</v>
      </c>
      <c r="L11192" s="2">
        <f t="shared" si="174"/>
        <v>136</v>
      </c>
    </row>
    <row r="11193" spans="1:12" ht="25" customHeight="1">
      <c r="A11193" s="2" t="s">
        <v>12</v>
      </c>
      <c r="B11193" s="2" t="str">
        <f>HYPERLINK("http://m.12365auto.com/zjdy/20200206/121065.shtml","12款思域怠速时发动机抖动是什么原因？")</f>
        <v>12款思域怠速时发动机抖动是什么原因？</v>
      </c>
      <c r="C11193" s="2" t="s">
        <v>13</v>
      </c>
      <c r="D11193" s="2" t="s">
        <v>12</v>
      </c>
      <c r="E11193" s="2"/>
      <c r="F11193" s="2" t="str">
        <f>HYPERLINK("http://m.12365auto.com/zjdy/20200206/121065.shtml","http://m.12365auto.com/zjdy/20200206/121065.shtml")</f>
        <v>http://m.12365auto.com/zjdy/20200206/121065.shtml</v>
      </c>
      <c r="G11193" s="2"/>
      <c r="H11193" s="2" t="s">
        <v>14952</v>
      </c>
      <c r="I11193" s="2" t="s">
        <v>19</v>
      </c>
      <c r="J11193" s="2" t="s">
        <v>12</v>
      </c>
      <c r="K11193" s="2" t="s">
        <v>14953</v>
      </c>
      <c r="L11193" s="2">
        <f t="shared" si="174"/>
        <v>73</v>
      </c>
    </row>
    <row r="11194" spans="1:12" ht="25" customHeight="1">
      <c r="A11194" s="2" t="s">
        <v>12</v>
      </c>
      <c r="B11194" s="2" t="str">
        <f>HYPERLINK("http://m.12365auto.com/zjdy/20200207/121079.shtml","起亚的售后多不多可以去现代4S店保养吗？")</f>
        <v>起亚的售后多不多可以去现代4S店保养吗？</v>
      </c>
      <c r="C11194" s="2" t="s">
        <v>13</v>
      </c>
      <c r="D11194" s="2" t="s">
        <v>12</v>
      </c>
      <c r="E11194" s="2"/>
      <c r="F11194" s="2" t="str">
        <f>HYPERLINK("http://m.12365auto.com/zjdy/20200207/121079.shtml","http://m.12365auto.com/zjdy/20200207/121079.shtml")</f>
        <v>http://m.12365auto.com/zjdy/20200207/121079.shtml</v>
      </c>
      <c r="G11194" s="2"/>
      <c r="H11194" s="2" t="s">
        <v>14954</v>
      </c>
      <c r="I11194" s="2" t="s">
        <v>19</v>
      </c>
      <c r="J11194" s="2" t="s">
        <v>12</v>
      </c>
      <c r="K11194" s="2" t="s">
        <v>14955</v>
      </c>
      <c r="L11194" s="2">
        <f t="shared" si="174"/>
        <v>20</v>
      </c>
    </row>
    <row r="11195" spans="1:12" ht="25" customHeight="1">
      <c r="A11195" s="2" t="s">
        <v>12</v>
      </c>
      <c r="B11195" s="2" t="str">
        <f>HYPERLINK("http://m.12365auto.com/zjdy/20200207/121078.shtml","车辆的车身漏电是什么原因怎么处理？")</f>
        <v>车辆的车身漏电是什么原因怎么处理？</v>
      </c>
      <c r="C11195" s="2" t="s">
        <v>13</v>
      </c>
      <c r="D11195" s="2" t="s">
        <v>12</v>
      </c>
      <c r="E11195" s="2"/>
      <c r="F11195" s="2" t="str">
        <f>HYPERLINK("http://m.12365auto.com/zjdy/20200207/121078.shtml","http://m.12365auto.com/zjdy/20200207/121078.shtml")</f>
        <v>http://m.12365auto.com/zjdy/20200207/121078.shtml</v>
      </c>
      <c r="G11195" s="2"/>
      <c r="H11195" s="2" t="s">
        <v>14956</v>
      </c>
      <c r="I11195" s="2" t="s">
        <v>19</v>
      </c>
      <c r="J11195" s="2" t="s">
        <v>12</v>
      </c>
      <c r="K11195" s="2" t="s">
        <v>14957</v>
      </c>
      <c r="L11195" s="2">
        <f t="shared" si="174"/>
        <v>145</v>
      </c>
    </row>
    <row r="11196" spans="1:12" ht="25" customHeight="1">
      <c r="A11196" s="2" t="s">
        <v>12</v>
      </c>
      <c r="B11196" s="2" t="str">
        <f>HYPERLINK("http://m.12365auto.com/zjdy/20200206/121064.shtml","标致308提示有故障码维修未解决怎么办？")</f>
        <v>标致308提示有故障码维修未解决怎么办？</v>
      </c>
      <c r="C11196" s="2" t="s">
        <v>13</v>
      </c>
      <c r="D11196" s="2" t="s">
        <v>12</v>
      </c>
      <c r="E11196" s="2"/>
      <c r="F11196" s="2" t="str">
        <f>HYPERLINK("http://m.12365auto.com/zjdy/20200206/121064.shtml","http://m.12365auto.com/zjdy/20200206/121064.shtml")</f>
        <v>http://m.12365auto.com/zjdy/20200206/121064.shtml</v>
      </c>
      <c r="G11196" s="2"/>
      <c r="H11196" s="2" t="s">
        <v>14958</v>
      </c>
      <c r="I11196" s="2" t="s">
        <v>19</v>
      </c>
      <c r="J11196" s="2" t="s">
        <v>12</v>
      </c>
      <c r="K11196" s="2" t="s">
        <v>14957</v>
      </c>
      <c r="L11196" s="2">
        <f t="shared" si="174"/>
        <v>42</v>
      </c>
    </row>
    <row r="11197" spans="1:12" ht="25" customHeight="1">
      <c r="A11197" s="2" t="s">
        <v>12</v>
      </c>
      <c r="B11197" s="2" t="str">
        <f>HYPERLINK("http://m.12365auto.com/zjdy/20200207/121076.shtml","新车漆面开裂是车辆的质量问题吗？")</f>
        <v>新车漆面开裂是车辆的质量问题吗？</v>
      </c>
      <c r="C11197" s="2" t="s">
        <v>13</v>
      </c>
      <c r="D11197" s="2" t="s">
        <v>12</v>
      </c>
      <c r="E11197" s="2"/>
      <c r="F11197" s="2" t="str">
        <f>HYPERLINK("http://m.12365auto.com/zjdy/20200207/121076.shtml","http://m.12365auto.com/zjdy/20200207/121076.shtml")</f>
        <v>http://m.12365auto.com/zjdy/20200207/121076.shtml</v>
      </c>
      <c r="G11197" s="2"/>
      <c r="H11197" s="2" t="s">
        <v>14959</v>
      </c>
      <c r="I11197" s="2" t="s">
        <v>19</v>
      </c>
      <c r="J11197" s="2" t="s">
        <v>12</v>
      </c>
      <c r="K11197" s="2" t="s">
        <v>14960</v>
      </c>
      <c r="L11197" s="2">
        <f t="shared" si="174"/>
        <v>52</v>
      </c>
    </row>
    <row r="11198" spans="1:12" ht="25" customHeight="1">
      <c r="A11198" s="2" t="s">
        <v>12</v>
      </c>
      <c r="B11198" s="2" t="str">
        <f>HYPERLINK("http://m.12365auto.com/zjdy/20200206/121074.shtml","发现新车发动机机油增多应该如何处理？")</f>
        <v>发现新车发动机机油增多应该如何处理？</v>
      </c>
      <c r="C11198" s="2" t="s">
        <v>13</v>
      </c>
      <c r="D11198" s="2" t="s">
        <v>12</v>
      </c>
      <c r="E11198" s="2"/>
      <c r="F11198" s="2" t="str">
        <f>HYPERLINK("http://m.12365auto.com/zjdy/20200206/121074.shtml","http://m.12365auto.com/zjdy/20200206/121074.shtml")</f>
        <v>http://m.12365auto.com/zjdy/20200206/121074.shtml</v>
      </c>
      <c r="G11198" s="2"/>
      <c r="H11198" s="2" t="s">
        <v>14961</v>
      </c>
      <c r="I11198" s="2" t="s">
        <v>19</v>
      </c>
      <c r="J11198" s="2" t="s">
        <v>12</v>
      </c>
      <c r="K11198" s="2" t="s">
        <v>14962</v>
      </c>
      <c r="L11198" s="2">
        <f t="shared" si="174"/>
        <v>37</v>
      </c>
    </row>
    <row r="11199" spans="1:12" ht="25" customHeight="1">
      <c r="A11199" s="2" t="s">
        <v>12</v>
      </c>
      <c r="B11199" s="2" t="str">
        <f>HYPERLINK("http://m.12365auto.com/zjdy/20200207/121077.shtml","如何避免车辆发动机出现拉缸现象？")</f>
        <v>如何避免车辆发动机出现拉缸现象？</v>
      </c>
      <c r="C11199" s="2" t="s">
        <v>13</v>
      </c>
      <c r="D11199" s="2" t="s">
        <v>12</v>
      </c>
      <c r="E11199" s="2"/>
      <c r="F11199" s="2" t="str">
        <f>HYPERLINK("http://m.12365auto.com/zjdy/20200207/121077.shtml","http://m.12365auto.com/zjdy/20200207/121077.shtml")</f>
        <v>http://m.12365auto.com/zjdy/20200207/121077.shtml</v>
      </c>
      <c r="G11199" s="2"/>
      <c r="H11199" s="2" t="s">
        <v>14963</v>
      </c>
      <c r="I11199" s="2" t="s">
        <v>19</v>
      </c>
      <c r="J11199" s="2" t="s">
        <v>12</v>
      </c>
      <c r="K11199" s="2" t="s">
        <v>14962</v>
      </c>
      <c r="L11199" s="2">
        <f t="shared" si="174"/>
        <v>13</v>
      </c>
    </row>
    <row r="11200" spans="1:12" ht="25" customHeight="1">
      <c r="A11200" s="2" t="s">
        <v>12</v>
      </c>
      <c r="B11200" s="2" t="str">
        <f>HYPERLINK("http://m.12365auto.com/zjdy/20200206/121063.shtml","智能钥匙报出电池后再安置使用有问题吗？")</f>
        <v>智能钥匙报出电池后再安置使用有问题吗？</v>
      </c>
      <c r="C11200" s="2" t="s">
        <v>13</v>
      </c>
      <c r="D11200" s="2" t="s">
        <v>12</v>
      </c>
      <c r="E11200" s="2"/>
      <c r="F11200" s="2" t="str">
        <f>HYPERLINK("http://m.12365auto.com/zjdy/20200206/121063.shtml","http://m.12365auto.com/zjdy/20200206/121063.shtml")</f>
        <v>http://m.12365auto.com/zjdy/20200206/121063.shtml</v>
      </c>
      <c r="G11200" s="2"/>
      <c r="H11200" s="2" t="s">
        <v>14964</v>
      </c>
      <c r="I11200" s="2" t="s">
        <v>19</v>
      </c>
      <c r="J11200" s="2" t="s">
        <v>12</v>
      </c>
      <c r="K11200" s="2" t="s">
        <v>14962</v>
      </c>
      <c r="L11200" s="2">
        <f t="shared" si="174"/>
        <v>29</v>
      </c>
    </row>
    <row r="11201" spans="1:12" ht="25" customHeight="1">
      <c r="A11201" s="2" t="s">
        <v>12</v>
      </c>
      <c r="B11201" s="2" t="str">
        <f>HYPERLINK("http://m.12365auto.com/zjdy/20200206/121072.shtml","2019款长安欧尚X70A这款车的质量如何？")</f>
        <v>2019款长安欧尚X70A这款车的质量如何？</v>
      </c>
      <c r="C11201" s="2" t="s">
        <v>13</v>
      </c>
      <c r="D11201" s="2" t="s">
        <v>12</v>
      </c>
      <c r="E11201" s="2"/>
      <c r="F11201" s="2" t="str">
        <f>HYPERLINK("http://m.12365auto.com/zjdy/20200206/121072.shtml","http://m.12365auto.com/zjdy/20200206/121072.shtml")</f>
        <v>http://m.12365auto.com/zjdy/20200206/121072.shtml</v>
      </c>
      <c r="G11201" s="2"/>
      <c r="H11201" s="2" t="s">
        <v>14965</v>
      </c>
      <c r="I11201" s="2" t="s">
        <v>19</v>
      </c>
      <c r="J11201" s="2" t="s">
        <v>12</v>
      </c>
      <c r="K11201" s="2" t="s">
        <v>14966</v>
      </c>
      <c r="L11201" s="2">
        <f t="shared" si="174"/>
        <v>16</v>
      </c>
    </row>
    <row r="11202" spans="1:12" ht="25" customHeight="1">
      <c r="A11202" s="2" t="s">
        <v>12</v>
      </c>
      <c r="B11202" s="2" t="str">
        <f>HYPERLINK("http://m.12365auto.com/zjdy/20200206/121070.shtml","大众探岳这款车的质量如何值得购买吗？")</f>
        <v>大众探岳这款车的质量如何值得购买吗？</v>
      </c>
      <c r="C11202" s="2" t="s">
        <v>13</v>
      </c>
      <c r="D11202" s="2" t="s">
        <v>12</v>
      </c>
      <c r="E11202" s="2"/>
      <c r="F11202" s="2" t="str">
        <f>HYPERLINK("http://m.12365auto.com/zjdy/20200206/121070.shtml","http://m.12365auto.com/zjdy/20200206/121070.shtml")</f>
        <v>http://m.12365auto.com/zjdy/20200206/121070.shtml</v>
      </c>
      <c r="G11202" s="2"/>
      <c r="H11202" s="2" t="s">
        <v>14967</v>
      </c>
      <c r="I11202" s="2" t="s">
        <v>19</v>
      </c>
      <c r="J11202" s="2" t="s">
        <v>12</v>
      </c>
      <c r="K11202" s="2" t="s">
        <v>14968</v>
      </c>
      <c r="L11202" s="2">
        <f t="shared" si="174"/>
        <v>33</v>
      </c>
    </row>
    <row r="11203" spans="1:12" ht="25" customHeight="1">
      <c r="A11203" s="2" t="s">
        <v>12</v>
      </c>
      <c r="B11203" s="2" t="str">
        <f>HYPERLINK("http://m.12365auto.com/zjdy/20200206/121062.shtml","本田飞度启动时有异响应该怎么办？")</f>
        <v>本田飞度启动时有异响应该怎么办？</v>
      </c>
      <c r="C11203" s="2" t="s">
        <v>13</v>
      </c>
      <c r="D11203" s="2" t="s">
        <v>12</v>
      </c>
      <c r="E11203" s="2"/>
      <c r="F11203" s="2" t="str">
        <f>HYPERLINK("http://m.12365auto.com/zjdy/20200206/121062.shtml","http://m.12365auto.com/zjdy/20200206/121062.shtml")</f>
        <v>http://m.12365auto.com/zjdy/20200206/121062.shtml</v>
      </c>
      <c r="G11203" s="2"/>
      <c r="H11203" s="2" t="s">
        <v>14969</v>
      </c>
      <c r="I11203" s="2" t="s">
        <v>19</v>
      </c>
      <c r="J11203" s="2" t="s">
        <v>12</v>
      </c>
      <c r="K11203" s="2" t="s">
        <v>14968</v>
      </c>
      <c r="L11203" s="2">
        <f t="shared" ref="L11203:L11266" si="175">LEN(H11203)</f>
        <v>17</v>
      </c>
    </row>
    <row r="11204" spans="1:12" ht="25" customHeight="1">
      <c r="A11204" s="2" t="s">
        <v>12</v>
      </c>
      <c r="B11204" s="2" t="str">
        <f>HYPERLINK("http://m.12365auto.com/zjdy/20200206/121061.shtml","帝豪GS质量表现如何是否值得购买？")</f>
        <v>帝豪GS质量表现如何是否值得购买？</v>
      </c>
      <c r="C11204" s="2" t="s">
        <v>13</v>
      </c>
      <c r="D11204" s="2" t="s">
        <v>12</v>
      </c>
      <c r="E11204" s="2"/>
      <c r="F11204" s="2" t="str">
        <f>HYPERLINK("http://m.12365auto.com/zjdy/20200206/121061.shtml","http://m.12365auto.com/zjdy/20200206/121061.shtml")</f>
        <v>http://m.12365auto.com/zjdy/20200206/121061.shtml</v>
      </c>
      <c r="G11204" s="2"/>
      <c r="H11204" s="2" t="s">
        <v>14970</v>
      </c>
      <c r="I11204" s="2" t="s">
        <v>19</v>
      </c>
      <c r="J11204" s="2" t="s">
        <v>12</v>
      </c>
      <c r="K11204" s="2" t="s">
        <v>14971</v>
      </c>
      <c r="L11204" s="2">
        <f t="shared" si="175"/>
        <v>21</v>
      </c>
    </row>
    <row r="11205" spans="1:12" ht="25" customHeight="1">
      <c r="A11205" s="2" t="s">
        <v>12</v>
      </c>
      <c r="B11205" s="2" t="str">
        <f>HYPERLINK("http://m.12365auto.com/zjdy/20200206/121068.shtml","车辆后端排气管处漏水是什么原因？")</f>
        <v>车辆后端排气管处漏水是什么原因？</v>
      </c>
      <c r="C11205" s="2" t="s">
        <v>13</v>
      </c>
      <c r="D11205" s="2" t="s">
        <v>12</v>
      </c>
      <c r="E11205" s="2"/>
      <c r="F11205" s="2" t="str">
        <f>HYPERLINK("http://m.12365auto.com/zjdy/20200206/121068.shtml","http://m.12365auto.com/zjdy/20200206/121068.shtml")</f>
        <v>http://m.12365auto.com/zjdy/20200206/121068.shtml</v>
      </c>
      <c r="G11205" s="2"/>
      <c r="H11205" s="2" t="s">
        <v>14972</v>
      </c>
      <c r="I11205" s="2" t="s">
        <v>19</v>
      </c>
      <c r="J11205" s="2" t="s">
        <v>12</v>
      </c>
      <c r="K11205" s="2" t="s">
        <v>14973</v>
      </c>
      <c r="L11205" s="2">
        <f t="shared" si="175"/>
        <v>22</v>
      </c>
    </row>
    <row r="11206" spans="1:12" ht="25" customHeight="1">
      <c r="A11206" s="2" t="s">
        <v>12</v>
      </c>
      <c r="B11206" s="2" t="str">
        <f>HYPERLINK("http://m.12365auto.com/zjdy/20200206/121067.shtml","捷途X90钥匙改装后不能开启后备箱怎么办？")</f>
        <v>捷途X90钥匙改装后不能开启后备箱怎么办？</v>
      </c>
      <c r="C11206" s="2" t="s">
        <v>13</v>
      </c>
      <c r="D11206" s="2" t="s">
        <v>12</v>
      </c>
      <c r="E11206" s="2"/>
      <c r="F11206" s="2" t="str">
        <f>HYPERLINK("http://m.12365auto.com/zjdy/20200206/121067.shtml","http://m.12365auto.com/zjdy/20200206/121067.shtml")</f>
        <v>http://m.12365auto.com/zjdy/20200206/121067.shtml</v>
      </c>
      <c r="G11206" s="2"/>
      <c r="H11206" s="2" t="s">
        <v>14974</v>
      </c>
      <c r="I11206" s="2" t="s">
        <v>19</v>
      </c>
      <c r="J11206" s="2" t="s">
        <v>12</v>
      </c>
      <c r="K11206" s="2" t="s">
        <v>14975</v>
      </c>
      <c r="L11206" s="2">
        <f t="shared" si="175"/>
        <v>40</v>
      </c>
    </row>
    <row r="11207" spans="1:12" ht="25" customHeight="1">
      <c r="A11207" s="2" t="s">
        <v>12</v>
      </c>
      <c r="B11207" s="2" t="str">
        <f>HYPERLINK("http://m.12365auto.com/zjdy/20200206/121059.shtml","购买的新车出现轮胎问题在哪里可以鉴定？")</f>
        <v>购买的新车出现轮胎问题在哪里可以鉴定？</v>
      </c>
      <c r="C11207" s="2" t="s">
        <v>13</v>
      </c>
      <c r="D11207" s="2" t="s">
        <v>12</v>
      </c>
      <c r="E11207" s="2"/>
      <c r="F11207" s="2" t="str">
        <f>HYPERLINK("http://m.12365auto.com/zjdy/20200206/121059.shtml","http://m.12365auto.com/zjdy/20200206/121059.shtml")</f>
        <v>http://m.12365auto.com/zjdy/20200206/121059.shtml</v>
      </c>
      <c r="G11207" s="2"/>
      <c r="H11207" s="2" t="s">
        <v>14976</v>
      </c>
      <c r="I11207" s="2" t="s">
        <v>19</v>
      </c>
      <c r="J11207" s="2" t="s">
        <v>12</v>
      </c>
      <c r="K11207" s="2" t="s">
        <v>14977</v>
      </c>
      <c r="L11207" s="2">
        <f t="shared" si="175"/>
        <v>46</v>
      </c>
    </row>
    <row r="11208" spans="1:12" ht="25" customHeight="1">
      <c r="A11208" s="2" t="s">
        <v>12</v>
      </c>
      <c r="B11208" s="2" t="str">
        <f>HYPERLINK("http://m.12365auto.com/zjdy/20200206/121058.shtml","艾瑞泽7e仪表提示电动机故障应该怎么办？")</f>
        <v>艾瑞泽7e仪表提示电动机故障应该怎么办？</v>
      </c>
      <c r="C11208" s="2" t="s">
        <v>13</v>
      </c>
      <c r="D11208" s="2" t="s">
        <v>12</v>
      </c>
      <c r="E11208" s="2"/>
      <c r="F11208" s="2" t="str">
        <f>HYPERLINK("http://m.12365auto.com/zjdy/20200206/121058.shtml","http://m.12365auto.com/zjdy/20200206/121058.shtml")</f>
        <v>http://m.12365auto.com/zjdy/20200206/121058.shtml</v>
      </c>
      <c r="G11208" s="2"/>
      <c r="H11208" s="2" t="s">
        <v>14978</v>
      </c>
      <c r="I11208" s="2" t="s">
        <v>19</v>
      </c>
      <c r="J11208" s="2" t="s">
        <v>12</v>
      </c>
      <c r="K11208" s="2" t="s">
        <v>14977</v>
      </c>
      <c r="L11208" s="2">
        <f t="shared" si="175"/>
        <v>148</v>
      </c>
    </row>
    <row r="11209" spans="1:12" ht="25" customHeight="1">
      <c r="A11209" s="2" t="s">
        <v>12</v>
      </c>
      <c r="B11209" s="2" t="str">
        <f>HYPERLINK("http://m.12365auto.com/xcdg/20200207/417880.shtml","经济适用 四款高性价比合资小型车推荐")</f>
        <v>经济适用 四款高性价比合资小型车推荐</v>
      </c>
      <c r="C11209" s="2" t="s">
        <v>13</v>
      </c>
      <c r="D11209" s="2" t="s">
        <v>12</v>
      </c>
      <c r="E11209" s="2"/>
      <c r="F11209" s="2" t="str">
        <f>HYPERLINK("http://m.12365auto.com/xcdg/20200207/417880.shtml","http://m.12365auto.com/xcdg/20200207/417880.shtml")</f>
        <v>http://m.12365auto.com/xcdg/20200207/417880.shtml</v>
      </c>
      <c r="G11209" s="2"/>
      <c r="H11209" s="2" t="s">
        <v>14979</v>
      </c>
      <c r="I11209" s="2" t="s">
        <v>19</v>
      </c>
      <c r="J11209" s="2" t="s">
        <v>1241</v>
      </c>
      <c r="K11209" s="2" t="s">
        <v>14980</v>
      </c>
      <c r="L11209" s="2">
        <f t="shared" si="175"/>
        <v>150</v>
      </c>
    </row>
    <row r="11210" spans="1:12" ht="25" customHeight="1">
      <c r="A11210" s="2" t="s">
        <v>12</v>
      </c>
      <c r="B11210" s="2" t="str">
        <f>HYPERLINK("http://www.12365auto.com/zlts/20200207/446529.shtml","发动机故障灯亮   烧机油严重 严重影响行车安全")</f>
        <v>发动机故障灯亮   烧机油严重 严重影响行车安全</v>
      </c>
      <c r="C11210" s="2" t="s">
        <v>13</v>
      </c>
      <c r="D11210" s="2" t="s">
        <v>12</v>
      </c>
      <c r="E11210" s="2"/>
      <c r="F11210" s="2" t="str">
        <f>HYPERLINK("http://www.12365auto.com/zlts/20200207/446529.shtml","http://www.12365auto.com/zlts/20200207/446529.shtml")</f>
        <v>http://www.12365auto.com/zlts/20200207/446529.shtml</v>
      </c>
      <c r="G11210" s="2"/>
      <c r="H11210" s="2" t="s">
        <v>14982</v>
      </c>
      <c r="I11210" s="2" t="s">
        <v>15</v>
      </c>
      <c r="J11210" s="2" t="s">
        <v>12</v>
      </c>
      <c r="K11210" s="2" t="s">
        <v>14981</v>
      </c>
      <c r="L11210" s="2">
        <f t="shared" si="175"/>
        <v>83</v>
      </c>
    </row>
    <row r="11211" spans="1:12" ht="25" customHeight="1">
      <c r="A11211" s="2" t="s">
        <v>12</v>
      </c>
      <c r="B11211" s="2" t="str">
        <f>HYPERLINK("http://www.12365auto.com/zlts/20200207/446528.shtml","转速2000左右，发动机异响。")</f>
        <v>转速2000左右，发动机异响。</v>
      </c>
      <c r="C11211" s="2" t="s">
        <v>13</v>
      </c>
      <c r="D11211" s="2" t="s">
        <v>12</v>
      </c>
      <c r="E11211" s="2"/>
      <c r="F11211" s="2" t="str">
        <f>HYPERLINK("http://www.12365auto.com/zlts/20200207/446528.shtml","http://www.12365auto.com/zlts/20200207/446528.shtml")</f>
        <v>http://www.12365auto.com/zlts/20200207/446528.shtml</v>
      </c>
      <c r="G11211" s="2"/>
      <c r="H11211" s="2" t="s">
        <v>14984</v>
      </c>
      <c r="I11211" s="2" t="s">
        <v>15</v>
      </c>
      <c r="J11211" s="2" t="s">
        <v>12</v>
      </c>
      <c r="K11211" s="2" t="s">
        <v>14983</v>
      </c>
      <c r="L11211" s="2">
        <f t="shared" si="175"/>
        <v>90</v>
      </c>
    </row>
    <row r="11212" spans="1:12" ht="25" customHeight="1">
      <c r="A11212" s="2" t="s">
        <v>12</v>
      </c>
      <c r="B11212" s="2" t="str">
        <f>HYPERLINK("http://www.12365auto.com/zlts/20200207/446526.shtml","3个月的发现5新车，高速上全车断电！")</f>
        <v>3个月的发现5新车，高速上全车断电！</v>
      </c>
      <c r="C11212" s="2" t="s">
        <v>13</v>
      </c>
      <c r="D11212" s="2" t="s">
        <v>12</v>
      </c>
      <c r="E11212" s="2"/>
      <c r="F11212" s="2" t="str">
        <f>HYPERLINK("http://www.12365auto.com/zlts/20200207/446526.shtml","http://www.12365auto.com/zlts/20200207/446526.shtml")</f>
        <v>http://www.12365auto.com/zlts/20200207/446526.shtml</v>
      </c>
      <c r="G11212" s="2"/>
      <c r="H11212" s="2" t="s">
        <v>14986</v>
      </c>
      <c r="I11212" s="2" t="s">
        <v>15</v>
      </c>
      <c r="J11212" s="2" t="s">
        <v>12</v>
      </c>
      <c r="K11212" s="2" t="s">
        <v>14985</v>
      </c>
      <c r="L11212" s="2">
        <f t="shared" si="175"/>
        <v>83</v>
      </c>
    </row>
    <row r="11213" spans="1:12" ht="25" customHeight="1">
      <c r="A11213" s="2" t="s">
        <v>12</v>
      </c>
      <c r="B11213" s="2" t="str">
        <f>HYPERLINK("http://www.12365auto.com/zlts/20200206/446524.shtml","质保多久")</f>
        <v>质保多久</v>
      </c>
      <c r="C11213" s="2" t="s">
        <v>13</v>
      </c>
      <c r="D11213" s="2" t="s">
        <v>12</v>
      </c>
      <c r="E11213" s="2"/>
      <c r="F11213" s="2" t="str">
        <f>HYPERLINK("http://www.12365auto.com/zlts/20200206/446524.shtml","http://www.12365auto.com/zlts/20200206/446524.shtml")</f>
        <v>http://www.12365auto.com/zlts/20200206/446524.shtml</v>
      </c>
      <c r="G11213" s="2"/>
      <c r="H11213" s="2" t="s">
        <v>14988</v>
      </c>
      <c r="I11213" s="2" t="s">
        <v>15</v>
      </c>
      <c r="J11213" s="2" t="s">
        <v>12</v>
      </c>
      <c r="K11213" s="2" t="s">
        <v>14987</v>
      </c>
      <c r="L11213" s="2">
        <f t="shared" si="175"/>
        <v>84</v>
      </c>
    </row>
    <row r="11214" spans="1:12" ht="25" customHeight="1">
      <c r="A11214" s="2" t="s">
        <v>12</v>
      </c>
      <c r="B11214" s="2" t="str">
        <f>HYPERLINK("http://www.12365auto.com/zlts/20200206/446523.shtml","长安欧尚X7遥控钥匙故障存在质量问题")</f>
        <v>长安欧尚X7遥控钥匙故障存在质量问题</v>
      </c>
      <c r="C11214" s="2" t="s">
        <v>13</v>
      </c>
      <c r="D11214" s="2" t="s">
        <v>12</v>
      </c>
      <c r="E11214" s="2" t="s">
        <v>17</v>
      </c>
      <c r="F11214" s="2" t="str">
        <f>HYPERLINK("http://www.12365auto.com/zlts/20200206/446523.shtml","http://www.12365auto.com/zlts/20200206/446523.shtml")</f>
        <v>http://www.12365auto.com/zlts/20200206/446523.shtml</v>
      </c>
      <c r="G11214" s="2"/>
      <c r="H11214" s="2" t="s">
        <v>14989</v>
      </c>
      <c r="I11214" s="2" t="s">
        <v>19</v>
      </c>
      <c r="J11214" s="2" t="s">
        <v>12</v>
      </c>
      <c r="K11214" s="2" t="s">
        <v>14990</v>
      </c>
      <c r="L11214" s="2">
        <f t="shared" si="175"/>
        <v>150</v>
      </c>
    </row>
    <row r="11215" spans="1:12" ht="25" customHeight="1">
      <c r="A11215" s="2" t="s">
        <v>12</v>
      </c>
      <c r="B11215" s="2" t="str">
        <f>HYPERLINK("http://www.12365auto.com/zlts/20200206/446521.shtml","东风日产轩逸漆面生锈希望厂家处理")</f>
        <v>东风日产轩逸漆面生锈希望厂家处理</v>
      </c>
      <c r="C11215" s="2" t="s">
        <v>13</v>
      </c>
      <c r="D11215" s="2" t="s">
        <v>12</v>
      </c>
      <c r="E11215" s="2" t="s">
        <v>17</v>
      </c>
      <c r="F11215" s="2" t="str">
        <f>HYPERLINK("http://www.12365auto.com/zlts/20200206/446521.shtml","http://www.12365auto.com/zlts/20200206/446521.shtml")</f>
        <v>http://www.12365auto.com/zlts/20200206/446521.shtml</v>
      </c>
      <c r="G11215" s="2"/>
      <c r="H11215" s="2" t="s">
        <v>14991</v>
      </c>
      <c r="I11215" s="2" t="s">
        <v>19</v>
      </c>
      <c r="J11215" s="2" t="s">
        <v>12</v>
      </c>
      <c r="K11215" s="2" t="s">
        <v>14992</v>
      </c>
      <c r="L11215" s="2">
        <f t="shared" si="175"/>
        <v>150</v>
      </c>
    </row>
    <row r="11216" spans="1:12" ht="25" customHeight="1">
      <c r="A11216" s="2" t="s">
        <v>12</v>
      </c>
      <c r="B11216" s="2" t="str">
        <f>HYPERLINK("http://www.12365auto.com/zlts/20200206/446517.shtml","无法正常启动，起动机通病！冷启动异响！")</f>
        <v>无法正常启动，起动机通病！冷启动异响！</v>
      </c>
      <c r="C11216" s="2" t="s">
        <v>13</v>
      </c>
      <c r="D11216" s="2" t="s">
        <v>12</v>
      </c>
      <c r="E11216" s="2"/>
      <c r="F11216" s="2" t="str">
        <f>HYPERLINK("http://www.12365auto.com/zlts/20200206/446517.shtml","http://www.12365auto.com/zlts/20200206/446517.shtml")</f>
        <v>http://www.12365auto.com/zlts/20200206/446517.shtml</v>
      </c>
      <c r="G11216" s="2"/>
      <c r="H11216" s="2" t="s">
        <v>14994</v>
      </c>
      <c r="I11216" s="2" t="s">
        <v>15</v>
      </c>
      <c r="J11216" s="2" t="s">
        <v>12</v>
      </c>
      <c r="K11216" s="2" t="s">
        <v>14993</v>
      </c>
      <c r="L11216" s="2">
        <f t="shared" si="175"/>
        <v>83</v>
      </c>
    </row>
    <row r="11217" spans="1:12" ht="25" customHeight="1">
      <c r="A11217" s="2" t="s">
        <v>12</v>
      </c>
      <c r="B11217" s="2" t="str">
        <f>HYPERLINK("http://www.12365auto.com/zlts/20200206/446515.shtml","早上启动 转向异响，噪音很大。")</f>
        <v>早上启动 转向异响，噪音很大。</v>
      </c>
      <c r="C11217" s="2" t="s">
        <v>13</v>
      </c>
      <c r="D11217" s="2" t="s">
        <v>12</v>
      </c>
      <c r="E11217" s="2"/>
      <c r="F11217" s="2" t="str">
        <f>HYPERLINK("http://www.12365auto.com/zlts/20200206/446515.shtml","http://www.12365auto.com/zlts/20200206/446515.shtml")</f>
        <v>http://www.12365auto.com/zlts/20200206/446515.shtml</v>
      </c>
      <c r="G11217" s="2"/>
      <c r="H11217" s="2" t="s">
        <v>14996</v>
      </c>
      <c r="I11217" s="2" t="s">
        <v>15</v>
      </c>
      <c r="J11217" s="2" t="s">
        <v>12</v>
      </c>
      <c r="K11217" s="2" t="s">
        <v>14995</v>
      </c>
      <c r="L11217" s="2">
        <f t="shared" si="175"/>
        <v>88</v>
      </c>
    </row>
    <row r="11218" spans="1:12" ht="25" customHeight="1">
      <c r="A11218" s="2" t="s">
        <v>12</v>
      </c>
      <c r="B11218" s="2" t="str">
        <f>HYPERLINK("http://www.12365auto.com/zlts/20200206/446516.shtml","中控显示屏白屏无显示")</f>
        <v>中控显示屏白屏无显示</v>
      </c>
      <c r="C11218" s="2" t="s">
        <v>13</v>
      </c>
      <c r="D11218" s="2" t="s">
        <v>12</v>
      </c>
      <c r="E11218" s="2"/>
      <c r="F11218" s="2" t="str">
        <f>HYPERLINK("http://www.12365auto.com/zlts/20200206/446516.shtml","http://www.12365auto.com/zlts/20200206/446516.shtml")</f>
        <v>http://www.12365auto.com/zlts/20200206/446516.shtml</v>
      </c>
      <c r="G11218" s="2"/>
      <c r="H11218" s="2" t="s">
        <v>14998</v>
      </c>
      <c r="I11218" s="2" t="s">
        <v>15</v>
      </c>
      <c r="J11218" s="2" t="s">
        <v>12</v>
      </c>
      <c r="K11218" s="2" t="s">
        <v>14997</v>
      </c>
      <c r="L11218" s="2">
        <f t="shared" si="175"/>
        <v>80</v>
      </c>
    </row>
    <row r="11219" spans="1:12" ht="25" customHeight="1">
      <c r="A11219" s="2" t="s">
        <v>12</v>
      </c>
      <c r="B11219" s="2" t="str">
        <f>HYPERLINK("http://www.12365auto.com/zlts/20200206/446511.shtml","八代凯美瑞自动启停变速箱打齿异响（很响）")</f>
        <v>八代凯美瑞自动启停变速箱打齿异响（很响）</v>
      </c>
      <c r="C11219" s="2" t="s">
        <v>13</v>
      </c>
      <c r="D11219" s="2" t="s">
        <v>12</v>
      </c>
      <c r="E11219" s="2"/>
      <c r="F11219" s="2" t="str">
        <f>HYPERLINK("http://www.12365auto.com/zlts/20200206/446511.shtml","http://www.12365auto.com/zlts/20200206/446511.shtml")</f>
        <v>http://www.12365auto.com/zlts/20200206/446511.shtml</v>
      </c>
      <c r="G11219" s="2"/>
      <c r="H11219" s="2" t="s">
        <v>15000</v>
      </c>
      <c r="I11219" s="2" t="s">
        <v>15</v>
      </c>
      <c r="J11219" s="2" t="s">
        <v>12</v>
      </c>
      <c r="K11219" s="2" t="s">
        <v>14999</v>
      </c>
      <c r="L11219" s="2">
        <f t="shared" si="175"/>
        <v>82</v>
      </c>
    </row>
    <row r="11220" spans="1:12" ht="25" customHeight="1">
      <c r="A11220" s="2" t="s">
        <v>12</v>
      </c>
      <c r="B11220" s="2" t="str">
        <f>HYPERLINK("http://www.12365auto.com/zlts/20200206/446518.shtml","北京现代领动变速箱加速无力故障灯亮")</f>
        <v>北京现代领动变速箱加速无力故障灯亮</v>
      </c>
      <c r="C11220" s="2" t="s">
        <v>13</v>
      </c>
      <c r="D11220" s="2" t="s">
        <v>12</v>
      </c>
      <c r="E11220" s="2" t="s">
        <v>17</v>
      </c>
      <c r="F11220" s="2" t="str">
        <f>HYPERLINK("http://www.12365auto.com/zlts/20200206/446518.shtml","http://www.12365auto.com/zlts/20200206/446518.shtml")</f>
        <v>http://www.12365auto.com/zlts/20200206/446518.shtml</v>
      </c>
      <c r="G11220" s="2"/>
      <c r="H11220" s="2" t="s">
        <v>15001</v>
      </c>
      <c r="I11220" s="2" t="s">
        <v>19</v>
      </c>
      <c r="J11220" s="2" t="s">
        <v>12</v>
      </c>
      <c r="K11220" s="2" t="s">
        <v>15002</v>
      </c>
      <c r="L11220" s="2">
        <f t="shared" si="175"/>
        <v>150</v>
      </c>
    </row>
    <row r="11221" spans="1:12" ht="25" customHeight="1">
      <c r="A11221" s="2" t="s">
        <v>12</v>
      </c>
      <c r="B11221" s="2" t="str">
        <f>HYPERLINK("http://bbs.12365auto.com/postcontent.aspx?tId=193446","车辆保养常识中怎么才能正确的保养轮胎")</f>
        <v>车辆保养常识中怎么才能正确的保养轮胎</v>
      </c>
      <c r="C11221" s="2" t="s">
        <v>13</v>
      </c>
      <c r="D11221" s="2" t="s">
        <v>12</v>
      </c>
      <c r="E11221" s="2" t="s">
        <v>27</v>
      </c>
      <c r="F11221" s="2" t="str">
        <f>HYPERLINK("http://bbs.12365auto.com/postcontent.aspx?tId=193446","http://bbs.12365auto.com/postcontent.aspx?tId=193446")</f>
        <v>http://bbs.12365auto.com/postcontent.aspx?tId=193446</v>
      </c>
      <c r="G11221" s="2"/>
      <c r="H11221" s="2" t="s">
        <v>15003</v>
      </c>
      <c r="I11221" s="2" t="s">
        <v>15</v>
      </c>
      <c r="J11221" s="2" t="s">
        <v>1446</v>
      </c>
      <c r="K11221" s="2" t="s">
        <v>15004</v>
      </c>
      <c r="L11221" s="2">
        <f t="shared" si="175"/>
        <v>150</v>
      </c>
    </row>
    <row r="11222" spans="1:12" ht="25" customHeight="1">
      <c r="A11222" s="2" t="s">
        <v>12</v>
      </c>
      <c r="B11222" s="2" t="str">
        <f>HYPERLINK("http://m.12365auto.com/bbs/postcontent.aspx?tID=193446","车辆保养常识中怎么才能正确的保养轮胎")</f>
        <v>车辆保养常识中怎么才能正确的保养轮胎</v>
      </c>
      <c r="C11222" s="2" t="s">
        <v>13</v>
      </c>
      <c r="D11222" s="2" t="s">
        <v>23</v>
      </c>
      <c r="E11222" s="2"/>
      <c r="F11222" s="2" t="str">
        <f>HYPERLINK("http://m.12365auto.com/bbs/postcontent.aspx?tID=193446","http://m.12365auto.com/bbs/postcontent.aspx?tID=193446")</f>
        <v>http://m.12365auto.com/bbs/postcontent.aspx?tID=193446</v>
      </c>
      <c r="G11222" s="2"/>
      <c r="H11222" s="2" t="s">
        <v>15003</v>
      </c>
      <c r="I11222" s="2" t="s">
        <v>15</v>
      </c>
      <c r="J11222" s="2" t="s">
        <v>1446</v>
      </c>
      <c r="K11222" s="2" t="s">
        <v>15004</v>
      </c>
      <c r="L11222" s="2">
        <f t="shared" si="175"/>
        <v>150</v>
      </c>
    </row>
    <row r="11223" spans="1:12" ht="25" customHeight="1">
      <c r="A11223" s="2" t="s">
        <v>12</v>
      </c>
      <c r="B11223" s="2" t="str">
        <f>HYPERLINK("http://bbs.12365auto.com/postcontent.aspx?tID=193446","车辆保养常识中怎么才能正确的保养轮胎")</f>
        <v>车辆保养常识中怎么才能正确的保养轮胎</v>
      </c>
      <c r="C11223" s="2" t="s">
        <v>13</v>
      </c>
      <c r="D11223" s="2" t="s">
        <v>12</v>
      </c>
      <c r="E11223" s="2" t="s">
        <v>28</v>
      </c>
      <c r="F11223" s="2" t="str">
        <f>HYPERLINK("http://bbs.12365auto.com/postcontent.aspx?tID=193446","http://bbs.12365auto.com/postcontent.aspx?tID=193446")</f>
        <v>http://bbs.12365auto.com/postcontent.aspx?tID=193446</v>
      </c>
      <c r="G11223" s="2"/>
      <c r="H11223" s="2" t="s">
        <v>15005</v>
      </c>
      <c r="I11223" s="2" t="s">
        <v>15</v>
      </c>
      <c r="J11223" s="2" t="s">
        <v>1446</v>
      </c>
      <c r="K11223" s="2" t="s">
        <v>15004</v>
      </c>
      <c r="L11223" s="2">
        <f t="shared" si="175"/>
        <v>150</v>
      </c>
    </row>
    <row r="11224" spans="1:12" ht="25" customHeight="1">
      <c r="A11224" s="2" t="s">
        <v>12</v>
      </c>
      <c r="B11224" s="2" t="str">
        <f>HYPERLINK("http://www.12365auto.com/zlts/20200206/446507.shtml","上汽名爵HS电瓶电压低 发动机无法启动")</f>
        <v>上汽名爵HS电瓶电压低 发动机无法启动</v>
      </c>
      <c r="C11224" s="2" t="s">
        <v>13</v>
      </c>
      <c r="D11224" s="2" t="s">
        <v>12</v>
      </c>
      <c r="E11224" s="2" t="s">
        <v>17</v>
      </c>
      <c r="F11224" s="2" t="str">
        <f>HYPERLINK("http://www.12365auto.com/zlts/20200206/446507.shtml","http://www.12365auto.com/zlts/20200206/446507.shtml")</f>
        <v>http://www.12365auto.com/zlts/20200206/446507.shtml</v>
      </c>
      <c r="G11224" s="2"/>
      <c r="H11224" s="2" t="s">
        <v>15006</v>
      </c>
      <c r="I11224" s="2" t="s">
        <v>19</v>
      </c>
      <c r="J11224" s="2" t="s">
        <v>12</v>
      </c>
      <c r="K11224" s="2" t="s">
        <v>15007</v>
      </c>
      <c r="L11224" s="2">
        <f t="shared" si="175"/>
        <v>150</v>
      </c>
    </row>
    <row r="11225" spans="1:12" ht="25" customHeight="1">
      <c r="A11225" s="2" t="s">
        <v>12</v>
      </c>
      <c r="B11225" s="2" t="str">
        <f>HYPERLINK("http://www.12365auto.com/zlts/20200206/446505.shtml","设计缺陷")</f>
        <v>设计缺陷</v>
      </c>
      <c r="C11225" s="2" t="s">
        <v>13</v>
      </c>
      <c r="D11225" s="2" t="s">
        <v>12</v>
      </c>
      <c r="E11225" s="2"/>
      <c r="F11225" s="2" t="str">
        <f>HYPERLINK("http://www.12365auto.com/zlts/20200206/446505.shtml","http://www.12365auto.com/zlts/20200206/446505.shtml")</f>
        <v>http://www.12365auto.com/zlts/20200206/446505.shtml</v>
      </c>
      <c r="G11225" s="2"/>
      <c r="H11225" s="2" t="s">
        <v>15009</v>
      </c>
      <c r="I11225" s="2" t="s">
        <v>15</v>
      </c>
      <c r="J11225" s="2" t="s">
        <v>12</v>
      </c>
      <c r="K11225" s="2" t="s">
        <v>15008</v>
      </c>
      <c r="L11225" s="2">
        <f t="shared" si="175"/>
        <v>84</v>
      </c>
    </row>
    <row r="11226" spans="1:12" ht="25" customHeight="1">
      <c r="A11226" s="2" t="s">
        <v>12</v>
      </c>
      <c r="B11226" s="2" t="str">
        <f>HYPERLINK("http://www.12365auto.com/zlts/20200206/446504.shtml","众泰T600大灯不亮配件一直没有到货")</f>
        <v>众泰T600大灯不亮配件一直没有到货</v>
      </c>
      <c r="C11226" s="2" t="s">
        <v>13</v>
      </c>
      <c r="D11226" s="2" t="s">
        <v>12</v>
      </c>
      <c r="E11226" s="2" t="s">
        <v>17</v>
      </c>
      <c r="F11226" s="2" t="str">
        <f>HYPERLINK("http://www.12365auto.com/zlts/20200206/446504.shtml","http://www.12365auto.com/zlts/20200206/446504.shtml")</f>
        <v>http://www.12365auto.com/zlts/20200206/446504.shtml</v>
      </c>
      <c r="G11226" s="2"/>
      <c r="H11226" s="2" t="s">
        <v>15010</v>
      </c>
      <c r="I11226" s="2" t="s">
        <v>19</v>
      </c>
      <c r="J11226" s="2" t="s">
        <v>12</v>
      </c>
      <c r="K11226" s="2" t="s">
        <v>15011</v>
      </c>
      <c r="L11226" s="2">
        <f t="shared" si="175"/>
        <v>150</v>
      </c>
    </row>
    <row r="11227" spans="1:12" ht="25" customHeight="1">
      <c r="A11227" s="2" t="s">
        <v>12</v>
      </c>
      <c r="B11227" s="2" t="str">
        <f>HYPERLINK("http://www.12365auto.com/zlts/20200206/446503.shtml","车辆打着火后，发动机故障灯亮")</f>
        <v>车辆打着火后，发动机故障灯亮</v>
      </c>
      <c r="C11227" s="2" t="s">
        <v>13</v>
      </c>
      <c r="D11227" s="2" t="s">
        <v>12</v>
      </c>
      <c r="E11227" s="2"/>
      <c r="F11227" s="2" t="str">
        <f>HYPERLINK("http://www.12365auto.com/zlts/20200206/446503.shtml","http://www.12365auto.com/zlts/20200206/446503.shtml")</f>
        <v>http://www.12365auto.com/zlts/20200206/446503.shtml</v>
      </c>
      <c r="G11227" s="2"/>
      <c r="H11227" s="2" t="s">
        <v>15013</v>
      </c>
      <c r="I11227" s="2" t="s">
        <v>15</v>
      </c>
      <c r="J11227" s="2" t="s">
        <v>12</v>
      </c>
      <c r="K11227" s="2" t="s">
        <v>15012</v>
      </c>
      <c r="L11227" s="2">
        <f t="shared" si="175"/>
        <v>84</v>
      </c>
    </row>
    <row r="11228" spans="1:12" ht="25" customHeight="1">
      <c r="A11228" s="2" t="s">
        <v>12</v>
      </c>
      <c r="B11228" s="2" t="str">
        <f>HYPERLINK("http://www.12365auto.com/zlts/20200206/446502.shtml","奇瑞瑞虎8机油增多润滑油能力下降")</f>
        <v>奇瑞瑞虎8机油增多润滑油能力下降</v>
      </c>
      <c r="C11228" s="2" t="s">
        <v>13</v>
      </c>
      <c r="D11228" s="2" t="s">
        <v>12</v>
      </c>
      <c r="E11228" s="2" t="s">
        <v>17</v>
      </c>
      <c r="F11228" s="2" t="str">
        <f>HYPERLINK("http://www.12365auto.com/zlts/20200206/446502.shtml","http://www.12365auto.com/zlts/20200206/446502.shtml")</f>
        <v>http://www.12365auto.com/zlts/20200206/446502.shtml</v>
      </c>
      <c r="G11228" s="2"/>
      <c r="H11228" s="2" t="s">
        <v>15014</v>
      </c>
      <c r="I11228" s="2" t="s">
        <v>19</v>
      </c>
      <c r="J11228" s="2" t="s">
        <v>12</v>
      </c>
      <c r="K11228" s="2" t="s">
        <v>15015</v>
      </c>
      <c r="L11228" s="2">
        <f t="shared" si="175"/>
        <v>150</v>
      </c>
    </row>
    <row r="11229" spans="1:12" ht="25" customHeight="1">
      <c r="A11229" s="2" t="s">
        <v>12</v>
      </c>
      <c r="B11229" s="2" t="str">
        <f>HYPERLINK("http://m.12365auto.com/zjdy/20200206/121056.shtml","广汽传祺GS4电子手刹无法解锁是为什么？")</f>
        <v>广汽传祺GS4电子手刹无法解锁是为什么？</v>
      </c>
      <c r="C11229" s="2" t="s">
        <v>13</v>
      </c>
      <c r="D11229" s="2" t="s">
        <v>12</v>
      </c>
      <c r="E11229" s="2"/>
      <c r="F11229" s="2" t="str">
        <f>HYPERLINK("http://m.12365auto.com/zjdy/20200206/121056.shtml","http://m.12365auto.com/zjdy/20200206/121056.shtml")</f>
        <v>http://m.12365auto.com/zjdy/20200206/121056.shtml</v>
      </c>
      <c r="G11229" s="2"/>
      <c r="H11229" s="2" t="s">
        <v>15016</v>
      </c>
      <c r="I11229" s="2" t="s">
        <v>19</v>
      </c>
      <c r="J11229" s="2" t="s">
        <v>12</v>
      </c>
      <c r="K11229" s="2" t="s">
        <v>15017</v>
      </c>
      <c r="L11229" s="2">
        <f t="shared" si="175"/>
        <v>21</v>
      </c>
    </row>
    <row r="11230" spans="1:12" ht="25" customHeight="1">
      <c r="A11230" s="2" t="s">
        <v>12</v>
      </c>
      <c r="B11230" s="2" t="str">
        <f>HYPERLINK("http://m.12365auto.com/zjdy/20200206/121057.shtml","机油增多会导致发动机异响加剧磨损吗？")</f>
        <v>机油增多会导致发动机异响加剧磨损吗？</v>
      </c>
      <c r="C11230" s="2" t="s">
        <v>13</v>
      </c>
      <c r="D11230" s="2" t="s">
        <v>12</v>
      </c>
      <c r="E11230" s="2"/>
      <c r="F11230" s="2" t="str">
        <f>HYPERLINK("http://m.12365auto.com/zjdy/20200206/121057.shtml","http://m.12365auto.com/zjdy/20200206/121057.shtml")</f>
        <v>http://m.12365auto.com/zjdy/20200206/121057.shtml</v>
      </c>
      <c r="G11230" s="2"/>
      <c r="H11230" s="2" t="s">
        <v>15018</v>
      </c>
      <c r="I11230" s="2" t="s">
        <v>19</v>
      </c>
      <c r="J11230" s="2" t="s">
        <v>12</v>
      </c>
      <c r="K11230" s="2" t="s">
        <v>15019</v>
      </c>
      <c r="L11230" s="2">
        <f t="shared" si="175"/>
        <v>55</v>
      </c>
    </row>
    <row r="11231" spans="1:12" ht="25" customHeight="1">
      <c r="A11231" s="2" t="s">
        <v>12</v>
      </c>
      <c r="B11231" s="2" t="str">
        <f>HYPERLINK("http://www.12365auto.com/zlts/20200206/446499.shtml","广汽丰田凯美瑞两侧半轴防尘套漏油")</f>
        <v>广汽丰田凯美瑞两侧半轴防尘套漏油</v>
      </c>
      <c r="C11231" s="2" t="s">
        <v>13</v>
      </c>
      <c r="D11231" s="2" t="s">
        <v>12</v>
      </c>
      <c r="E11231" s="2" t="s">
        <v>17</v>
      </c>
      <c r="F11231" s="2" t="str">
        <f>HYPERLINK("http://www.12365auto.com/zlts/20200206/446499.shtml","http://www.12365auto.com/zlts/20200206/446499.shtml")</f>
        <v>http://www.12365auto.com/zlts/20200206/446499.shtml</v>
      </c>
      <c r="G11231" s="2"/>
      <c r="H11231" s="2" t="s">
        <v>15020</v>
      </c>
      <c r="I11231" s="2" t="s">
        <v>15</v>
      </c>
      <c r="J11231" s="2" t="s">
        <v>12</v>
      </c>
      <c r="K11231" s="2" t="s">
        <v>15021</v>
      </c>
      <c r="L11231" s="2">
        <f t="shared" si="175"/>
        <v>150</v>
      </c>
    </row>
    <row r="11232" spans="1:12" ht="25" customHeight="1">
      <c r="A11232" s="2" t="s">
        <v>12</v>
      </c>
      <c r="B11232" s="2" t="str">
        <f>HYPERLINK("http://www.12365auto.com/zlts/20200206/446498.shtml","宝马7系变速箱无法换挡有共振现象")</f>
        <v>宝马7系变速箱无法换挡有共振现象</v>
      </c>
      <c r="C11232" s="2" t="s">
        <v>13</v>
      </c>
      <c r="D11232" s="2" t="s">
        <v>12</v>
      </c>
      <c r="E11232" s="2" t="s">
        <v>17</v>
      </c>
      <c r="F11232" s="2" t="str">
        <f>HYPERLINK("http://www.12365auto.com/zlts/20200206/446498.shtml","http://www.12365auto.com/zlts/20200206/446498.shtml")</f>
        <v>http://www.12365auto.com/zlts/20200206/446498.shtml</v>
      </c>
      <c r="G11232" s="2"/>
      <c r="H11232" s="2" t="s">
        <v>15022</v>
      </c>
      <c r="I11232" s="2" t="s">
        <v>19</v>
      </c>
      <c r="J11232" s="2" t="s">
        <v>12</v>
      </c>
      <c r="K11232" s="2" t="s">
        <v>15023</v>
      </c>
      <c r="L11232" s="2">
        <f t="shared" si="175"/>
        <v>150</v>
      </c>
    </row>
    <row r="11233" spans="1:12" ht="25" customHeight="1">
      <c r="A11233" s="2" t="s">
        <v>12</v>
      </c>
      <c r="B11233" s="2" t="str">
        <f>HYPERLINK("http://m.12365auto.com/zjdy/20200206/121055.shtml","辉腾怠速时发动机有砰砰敲鼓声是为什么？")</f>
        <v>辉腾怠速时发动机有砰砰敲鼓声是为什么？</v>
      </c>
      <c r="C11233" s="2" t="s">
        <v>13</v>
      </c>
      <c r="D11233" s="2" t="s">
        <v>12</v>
      </c>
      <c r="E11233" s="2"/>
      <c r="F11233" s="2" t="str">
        <f>HYPERLINK("http://m.12365auto.com/zjdy/20200206/121055.shtml","http://m.12365auto.com/zjdy/20200206/121055.shtml")</f>
        <v>http://m.12365auto.com/zjdy/20200206/121055.shtml</v>
      </c>
      <c r="G11233" s="2"/>
      <c r="H11233" s="2" t="s">
        <v>15024</v>
      </c>
      <c r="I11233" s="2" t="s">
        <v>19</v>
      </c>
      <c r="J11233" s="2" t="s">
        <v>12</v>
      </c>
      <c r="K11233" s="2" t="s">
        <v>15025</v>
      </c>
      <c r="L11233" s="2">
        <f t="shared" si="175"/>
        <v>38</v>
      </c>
    </row>
    <row r="11234" spans="1:12" ht="25" customHeight="1">
      <c r="A11234" s="2" t="s">
        <v>12</v>
      </c>
      <c r="B11234" s="2" t="str">
        <f>HYPERLINK("http://www.12365auto.com/zlts/20200206/446492.shtml","新车买来才一年 四个轮胎出现不同程度龟裂")</f>
        <v>新车买来才一年 四个轮胎出现不同程度龟裂</v>
      </c>
      <c r="C11234" s="2" t="s">
        <v>13</v>
      </c>
      <c r="D11234" s="2" t="s">
        <v>12</v>
      </c>
      <c r="E11234" s="2"/>
      <c r="F11234" s="2" t="str">
        <f>HYPERLINK("http://www.12365auto.com/zlts/20200206/446492.shtml","http://www.12365auto.com/zlts/20200206/446492.shtml")</f>
        <v>http://www.12365auto.com/zlts/20200206/446492.shtml</v>
      </c>
      <c r="G11234" s="2"/>
      <c r="H11234" s="2" t="s">
        <v>15027</v>
      </c>
      <c r="I11234" s="2" t="s">
        <v>15</v>
      </c>
      <c r="J11234" s="2" t="s">
        <v>12</v>
      </c>
      <c r="K11234" s="2" t="s">
        <v>15026</v>
      </c>
      <c r="L11234" s="2">
        <f t="shared" si="175"/>
        <v>81</v>
      </c>
    </row>
    <row r="11235" spans="1:12" ht="25" customHeight="1">
      <c r="A11235" s="2" t="s">
        <v>12</v>
      </c>
      <c r="B11235" s="2" t="str">
        <f>HYPERLINK("http://www.12365auto.com/zlts/20200206/446491.shtml","上汽大众帕萨特车身设计缺陷碰撞测试不合格")</f>
        <v>上汽大众帕萨特车身设计缺陷碰撞测试不合格</v>
      </c>
      <c r="C11235" s="2" t="s">
        <v>13</v>
      </c>
      <c r="D11235" s="2" t="s">
        <v>12</v>
      </c>
      <c r="E11235" s="2"/>
      <c r="F11235" s="2" t="str">
        <f>HYPERLINK("http://www.12365auto.com/zlts/20200206/446491.shtml","http://www.12365auto.com/zlts/20200206/446491.shtml")</f>
        <v>http://www.12365auto.com/zlts/20200206/446491.shtml</v>
      </c>
      <c r="G11235" s="2"/>
      <c r="H11235" s="2" t="s">
        <v>15029</v>
      </c>
      <c r="I11235" s="2" t="s">
        <v>15</v>
      </c>
      <c r="J11235" s="2" t="s">
        <v>12</v>
      </c>
      <c r="K11235" s="2" t="s">
        <v>15028</v>
      </c>
      <c r="L11235" s="2">
        <f t="shared" si="175"/>
        <v>83</v>
      </c>
    </row>
    <row r="11236" spans="1:12" ht="25" customHeight="1">
      <c r="A11236" s="2" t="s">
        <v>12</v>
      </c>
      <c r="B11236" s="2" t="str">
        <f>HYPERLINK("http://www.12365auto.com/zlts/20200206/446494.shtml","广汽丰田致炫发动机异响 正时链条异响")</f>
        <v>广汽丰田致炫发动机异响 正时链条异响</v>
      </c>
      <c r="C11236" s="2" t="s">
        <v>13</v>
      </c>
      <c r="D11236" s="2" t="s">
        <v>12</v>
      </c>
      <c r="E11236" s="2" t="s">
        <v>17</v>
      </c>
      <c r="F11236" s="2" t="str">
        <f>HYPERLINK("http://www.12365auto.com/zlts/20200206/446494.shtml","http://www.12365auto.com/zlts/20200206/446494.shtml")</f>
        <v>http://www.12365auto.com/zlts/20200206/446494.shtml</v>
      </c>
      <c r="G11236" s="2"/>
      <c r="H11236" s="2" t="s">
        <v>15030</v>
      </c>
      <c r="I11236" s="2" t="s">
        <v>15</v>
      </c>
      <c r="J11236" s="2" t="s">
        <v>12</v>
      </c>
      <c r="K11236" s="2" t="s">
        <v>15031</v>
      </c>
      <c r="L11236" s="2">
        <f t="shared" si="175"/>
        <v>150</v>
      </c>
    </row>
    <row r="11237" spans="1:12" ht="25" customHeight="1">
      <c r="A11237" s="2" t="s">
        <v>12</v>
      </c>
      <c r="B11237" s="2" t="str">
        <f>HYPERLINK("http://bbs.12365auto.com/postcontent.aspx?tID=193445","更向年轻化和运动化 奥迪A6L售价高达11.71万")</f>
        <v>更向年轻化和运动化 奥迪A6L售价高达11.71万</v>
      </c>
      <c r="C11237" s="2" t="s">
        <v>13</v>
      </c>
      <c r="D11237" s="2" t="s">
        <v>12</v>
      </c>
      <c r="E11237" s="2" t="s">
        <v>28</v>
      </c>
      <c r="F11237" s="2" t="str">
        <f>HYPERLINK("http://bbs.12365auto.com/postcontent.aspx?tID=193445","http://bbs.12365auto.com/postcontent.aspx?tID=193445")</f>
        <v>http://bbs.12365auto.com/postcontent.aspx?tID=193445</v>
      </c>
      <c r="G11237" s="2"/>
      <c r="H11237" s="2" t="s">
        <v>15032</v>
      </c>
      <c r="I11237" s="2" t="s">
        <v>15</v>
      </c>
      <c r="J11237" s="2" t="s">
        <v>15033</v>
      </c>
      <c r="K11237" s="2" t="s">
        <v>15034</v>
      </c>
      <c r="L11237" s="2">
        <f t="shared" si="175"/>
        <v>150</v>
      </c>
    </row>
    <row r="11238" spans="1:12" ht="25" customHeight="1">
      <c r="A11238" s="2" t="s">
        <v>12</v>
      </c>
      <c r="B11238" s="2" t="str">
        <f>HYPERLINK("http://bbs.12365auto.com/postcontent.aspx?tId=193445","更向年轻化和运动化 奥迪A6L售价高达11.71万")</f>
        <v>更向年轻化和运动化 奥迪A6L售价高达11.71万</v>
      </c>
      <c r="C11238" s="2" t="s">
        <v>13</v>
      </c>
      <c r="D11238" s="2" t="s">
        <v>12</v>
      </c>
      <c r="E11238" s="2" t="s">
        <v>27</v>
      </c>
      <c r="F11238" s="2" t="str">
        <f>HYPERLINK("http://bbs.12365auto.com/postcontent.aspx?tId=193445","http://bbs.12365auto.com/postcontent.aspx?tId=193445")</f>
        <v>http://bbs.12365auto.com/postcontent.aspx?tId=193445</v>
      </c>
      <c r="G11238" s="2"/>
      <c r="H11238" s="2" t="s">
        <v>15035</v>
      </c>
      <c r="I11238" s="2" t="s">
        <v>15</v>
      </c>
      <c r="J11238" s="2" t="s">
        <v>15033</v>
      </c>
      <c r="K11238" s="2" t="s">
        <v>15034</v>
      </c>
      <c r="L11238" s="2">
        <f t="shared" si="175"/>
        <v>150</v>
      </c>
    </row>
    <row r="11239" spans="1:12" ht="25" customHeight="1">
      <c r="A11239" s="2" t="s">
        <v>12</v>
      </c>
      <c r="B11239" s="2" t="str">
        <f>HYPERLINK("http://m.12365auto.com/bbs/postcontent.aspx?tID=193445","更向年轻化和运动化 奥迪A6L售价高达11.71万")</f>
        <v>更向年轻化和运动化 奥迪A6L售价高达11.71万</v>
      </c>
      <c r="C11239" s="2" t="s">
        <v>13</v>
      </c>
      <c r="D11239" s="2" t="s">
        <v>23</v>
      </c>
      <c r="E11239" s="2"/>
      <c r="F11239" s="2" t="str">
        <f>HYPERLINK("http://m.12365auto.com/bbs/postcontent.aspx?tID=193445","http://m.12365auto.com/bbs/postcontent.aspx?tID=193445")</f>
        <v>http://m.12365auto.com/bbs/postcontent.aspx?tID=193445</v>
      </c>
      <c r="G11239" s="2"/>
      <c r="H11239" s="2" t="s">
        <v>15035</v>
      </c>
      <c r="I11239" s="2" t="s">
        <v>15</v>
      </c>
      <c r="J11239" s="2" t="s">
        <v>15033</v>
      </c>
      <c r="K11239" s="2" t="s">
        <v>15034</v>
      </c>
      <c r="L11239" s="2">
        <f t="shared" si="175"/>
        <v>150</v>
      </c>
    </row>
    <row r="11240" spans="1:12" ht="25" customHeight="1">
      <c r="A11240" s="2" t="s">
        <v>12</v>
      </c>
      <c r="B11240" s="2" t="str">
        <f>HYPERLINK("http://m.12365auto.com/xcdg/20200206/417879.shtml","纯电续航超400 长安新能源E-Pro值不值？")</f>
        <v>纯电续航超400 长安新能源E-Pro值不值？</v>
      </c>
      <c r="C11240" s="2" t="s">
        <v>13</v>
      </c>
      <c r="D11240" s="2" t="s">
        <v>12</v>
      </c>
      <c r="E11240" s="2"/>
      <c r="F11240" s="2" t="str">
        <f>HYPERLINK("http://m.12365auto.com/xcdg/20200206/417879.shtml","http://m.12365auto.com/xcdg/20200206/417879.shtml")</f>
        <v>http://m.12365auto.com/xcdg/20200206/417879.shtml</v>
      </c>
      <c r="G11240" s="2"/>
      <c r="H11240" s="2" t="s">
        <v>15036</v>
      </c>
      <c r="I11240" s="2" t="s">
        <v>19</v>
      </c>
      <c r="J11240" s="2" t="s">
        <v>1727</v>
      </c>
      <c r="K11240" s="2" t="s">
        <v>15037</v>
      </c>
      <c r="L11240" s="2">
        <f t="shared" si="175"/>
        <v>150</v>
      </c>
    </row>
    <row r="11241" spans="1:12" ht="25" customHeight="1">
      <c r="A11241" s="2" t="s">
        <v>12</v>
      </c>
      <c r="B11241" s="2" t="str">
        <f>HYPERLINK("http://m.12365auto.com/zjdy/20200206/121054.shtml","风光580中控蓝屏手机无法连接怎么处理？")</f>
        <v>风光580中控蓝屏手机无法连接怎么处理？</v>
      </c>
      <c r="C11241" s="2" t="s">
        <v>13</v>
      </c>
      <c r="D11241" s="2" t="s">
        <v>12</v>
      </c>
      <c r="E11241" s="2"/>
      <c r="F11241" s="2" t="str">
        <f>HYPERLINK("http://m.12365auto.com/zjdy/20200206/121054.shtml","http://m.12365auto.com/zjdy/20200206/121054.shtml")</f>
        <v>http://m.12365auto.com/zjdy/20200206/121054.shtml</v>
      </c>
      <c r="G11241" s="2"/>
      <c r="H11241" s="2" t="s">
        <v>15038</v>
      </c>
      <c r="I11241" s="2" t="s">
        <v>19</v>
      </c>
      <c r="J11241" s="2" t="s">
        <v>12</v>
      </c>
      <c r="K11241" s="2" t="s">
        <v>15039</v>
      </c>
      <c r="L11241" s="2">
        <f t="shared" si="175"/>
        <v>26</v>
      </c>
    </row>
    <row r="11242" spans="1:12" ht="25" customHeight="1">
      <c r="A11242" s="2" t="s">
        <v>12</v>
      </c>
      <c r="B11242" s="2" t="str">
        <f>HYPERLINK("http://www.12365auto.com/zlts/20200206/446490.shtml","一汽大众奥迪A6L行驶中方向突然失灵")</f>
        <v>一汽大众奥迪A6L行驶中方向突然失灵</v>
      </c>
      <c r="C11242" s="2" t="s">
        <v>13</v>
      </c>
      <c r="D11242" s="2" t="s">
        <v>12</v>
      </c>
      <c r="E11242" s="2" t="s">
        <v>17</v>
      </c>
      <c r="F11242" s="2" t="str">
        <f>HYPERLINK("http://www.12365auto.com/zlts/20200206/446490.shtml","http://www.12365auto.com/zlts/20200206/446490.shtml")</f>
        <v>http://www.12365auto.com/zlts/20200206/446490.shtml</v>
      </c>
      <c r="G11242" s="2"/>
      <c r="H11242" s="2" t="s">
        <v>15040</v>
      </c>
      <c r="I11242" s="2" t="s">
        <v>15</v>
      </c>
      <c r="J11242" s="2" t="s">
        <v>12</v>
      </c>
      <c r="K11242" s="2" t="s">
        <v>15041</v>
      </c>
      <c r="L11242" s="2">
        <f t="shared" si="175"/>
        <v>150</v>
      </c>
    </row>
    <row r="11243" spans="1:12" ht="25" customHeight="1">
      <c r="A11243" s="2" t="s">
        <v>12</v>
      </c>
      <c r="B11243" s="2" t="str">
        <f>HYPERLINK("http://m.12365auto.com/xcdg/20200206/417878.shtml","疫情当下 买个送“口罩”的XC60值不值？")</f>
        <v>疫情当下 买个送“口罩”的XC60值不值？</v>
      </c>
      <c r="C11243" s="2" t="s">
        <v>13</v>
      </c>
      <c r="D11243" s="2" t="s">
        <v>12</v>
      </c>
      <c r="E11243" s="2"/>
      <c r="F11243" s="2" t="str">
        <f>HYPERLINK("http://m.12365auto.com/xcdg/20200206/417878.shtml","http://m.12365auto.com/xcdg/20200206/417878.shtml")</f>
        <v>http://m.12365auto.com/xcdg/20200206/417878.shtml</v>
      </c>
      <c r="G11243" s="2"/>
      <c r="H11243" s="2" t="s">
        <v>15042</v>
      </c>
      <c r="I11243" s="2" t="s">
        <v>19</v>
      </c>
      <c r="J11243" s="2" t="s">
        <v>1733</v>
      </c>
      <c r="K11243" s="2" t="s">
        <v>15041</v>
      </c>
      <c r="L11243" s="2">
        <f t="shared" si="175"/>
        <v>150</v>
      </c>
    </row>
    <row r="11244" spans="1:12" ht="25" customHeight="1">
      <c r="A11244" s="2" t="s">
        <v>12</v>
      </c>
      <c r="B11244" s="2" t="str">
        <f>HYPERLINK("http://www.12365auto.com/news/20200206/417877.shtml","呼吁政府 斯柯达希望加大电动车投资")</f>
        <v>呼吁政府 斯柯达希望加大电动车投资</v>
      </c>
      <c r="C11244" s="2" t="s">
        <v>13</v>
      </c>
      <c r="D11244" s="2" t="s">
        <v>12</v>
      </c>
      <c r="E11244" s="2" t="s">
        <v>276</v>
      </c>
      <c r="F11244" s="2" t="str">
        <f>HYPERLINK("http://www.12365auto.com/news/20200206/417877.shtml","http://www.12365auto.com/news/20200206/417877.shtml")</f>
        <v>http://www.12365auto.com/news/20200206/417877.shtml</v>
      </c>
      <c r="G11244" s="2"/>
      <c r="H11244" s="2" t="s">
        <v>15043</v>
      </c>
      <c r="I11244" s="2" t="s">
        <v>15</v>
      </c>
      <c r="J11244" s="2" t="s">
        <v>12</v>
      </c>
      <c r="K11244" s="2" t="s">
        <v>15044</v>
      </c>
      <c r="L11244" s="2">
        <f t="shared" si="175"/>
        <v>150</v>
      </c>
    </row>
    <row r="11245" spans="1:12" ht="25" customHeight="1">
      <c r="A11245" s="2" t="s">
        <v>12</v>
      </c>
      <c r="B11245" s="2" t="str">
        <f>HYPERLINK("http://m.12365auto.com/news/20200206/417877.shtml","呼吁政府 斯柯达希望加大电动车投资")</f>
        <v>呼吁政府 斯柯达希望加大电动车投资</v>
      </c>
      <c r="C11245" s="2" t="s">
        <v>13</v>
      </c>
      <c r="D11245" s="2" t="s">
        <v>12</v>
      </c>
      <c r="E11245" s="2"/>
      <c r="F11245" s="2" t="str">
        <f>HYPERLINK("http://m.12365auto.com/news/20200206/417877.shtml","http://m.12365auto.com/news/20200206/417877.shtml")</f>
        <v>http://m.12365auto.com/news/20200206/417877.shtml</v>
      </c>
      <c r="G11245" s="2"/>
      <c r="H11245" s="2" t="s">
        <v>15045</v>
      </c>
      <c r="I11245" s="2" t="s">
        <v>19</v>
      </c>
      <c r="J11245" s="2" t="s">
        <v>1543</v>
      </c>
      <c r="K11245" s="2" t="s">
        <v>15044</v>
      </c>
      <c r="L11245" s="2">
        <f t="shared" si="175"/>
        <v>150</v>
      </c>
    </row>
    <row r="11246" spans="1:12" ht="25" customHeight="1">
      <c r="A11246" s="2" t="s">
        <v>12</v>
      </c>
      <c r="B11246" s="2" t="str">
        <f>HYPERLINK("http://www.12365auto.com/xcdg/20200206/417876.shtml","或两年推量产版 塔塔发Sierra EV概念车")</f>
        <v>或两年推量产版 塔塔发Sierra EV概念车</v>
      </c>
      <c r="C11246" s="2" t="s">
        <v>13</v>
      </c>
      <c r="D11246" s="2" t="s">
        <v>12</v>
      </c>
      <c r="E11246" s="2" t="s">
        <v>216</v>
      </c>
      <c r="F11246" s="2" t="str">
        <f>HYPERLINK("http://www.12365auto.com/xcdg/20200206/417876.shtml","http://www.12365auto.com/xcdg/20200206/417876.shtml")</f>
        <v>http://www.12365auto.com/xcdg/20200206/417876.shtml</v>
      </c>
      <c r="G11246" s="2"/>
      <c r="H11246" s="2" t="s">
        <v>15046</v>
      </c>
      <c r="I11246" s="2" t="s">
        <v>15</v>
      </c>
      <c r="J11246" s="2" t="s">
        <v>12</v>
      </c>
      <c r="K11246" s="2" t="s">
        <v>15047</v>
      </c>
      <c r="L11246" s="2">
        <f t="shared" si="175"/>
        <v>150</v>
      </c>
    </row>
    <row r="11247" spans="1:12" ht="25" customHeight="1">
      <c r="A11247" s="2" t="s">
        <v>12</v>
      </c>
      <c r="B11247" s="2" t="str">
        <f>HYPERLINK("http://m.12365auto.com/xcdg/20200206/417876.shtml","或两年推量产版 塔塔发Sierra EV概念车")</f>
        <v>或两年推量产版 塔塔发Sierra EV概念车</v>
      </c>
      <c r="C11247" s="2" t="s">
        <v>13</v>
      </c>
      <c r="D11247" s="2" t="s">
        <v>12</v>
      </c>
      <c r="E11247" s="2"/>
      <c r="F11247" s="2" t="str">
        <f>HYPERLINK("http://m.12365auto.com/xcdg/20200206/417876.shtml","http://m.12365auto.com/xcdg/20200206/417876.shtml")</f>
        <v>http://m.12365auto.com/xcdg/20200206/417876.shtml</v>
      </c>
      <c r="G11247" s="2"/>
      <c r="H11247" s="2" t="s">
        <v>15048</v>
      </c>
      <c r="I11247" s="2" t="s">
        <v>19</v>
      </c>
      <c r="J11247" s="2" t="s">
        <v>781</v>
      </c>
      <c r="K11247" s="2" t="s">
        <v>15047</v>
      </c>
      <c r="L11247" s="2">
        <f t="shared" si="175"/>
        <v>150</v>
      </c>
    </row>
    <row r="11248" spans="1:12" ht="25" customHeight="1">
      <c r="A11248" s="2" t="s">
        <v>12</v>
      </c>
      <c r="B11248" s="2" t="str">
        <f>HYPERLINK("http://www.12365auto.com/news/20200206/417875.shtml","且开且珍惜 哪些违法行为扣12分？")</f>
        <v>且开且珍惜 哪些违法行为扣12分？</v>
      </c>
      <c r="C11248" s="2" t="s">
        <v>13</v>
      </c>
      <c r="D11248" s="2" t="s">
        <v>12</v>
      </c>
      <c r="E11248" s="2" t="s">
        <v>372</v>
      </c>
      <c r="F11248" s="2" t="str">
        <f>HYPERLINK("http://www.12365auto.com/news/20200206/417875.shtml","http://www.12365auto.com/news/20200206/417875.shtml")</f>
        <v>http://www.12365auto.com/news/20200206/417875.shtml</v>
      </c>
      <c r="G11248" s="2"/>
      <c r="H11248" s="2" t="s">
        <v>15049</v>
      </c>
      <c r="I11248" s="2" t="s">
        <v>15</v>
      </c>
      <c r="J11248" s="2" t="s">
        <v>12</v>
      </c>
      <c r="K11248" s="2" t="s">
        <v>15050</v>
      </c>
      <c r="L11248" s="2">
        <f t="shared" si="175"/>
        <v>150</v>
      </c>
    </row>
    <row r="11249" spans="1:12" ht="25" customHeight="1">
      <c r="A11249" s="2" t="s">
        <v>12</v>
      </c>
      <c r="B11249" s="2" t="str">
        <f>HYPERLINK("http://m.12365auto.com/news/20200206/417875.shtml","且开且珍惜 哪些违法行为扣12分？")</f>
        <v>且开且珍惜 哪些违法行为扣12分？</v>
      </c>
      <c r="C11249" s="2" t="s">
        <v>13</v>
      </c>
      <c r="D11249" s="2" t="s">
        <v>12</v>
      </c>
      <c r="E11249" s="2"/>
      <c r="F11249" s="2" t="str">
        <f>HYPERLINK("http://m.12365auto.com/news/20200206/417875.shtml","http://m.12365auto.com/news/20200206/417875.shtml")</f>
        <v>http://m.12365auto.com/news/20200206/417875.shtml</v>
      </c>
      <c r="G11249" s="2"/>
      <c r="H11249" s="2" t="s">
        <v>15051</v>
      </c>
      <c r="I11249" s="2" t="s">
        <v>19</v>
      </c>
      <c r="J11249" s="2" t="s">
        <v>7437</v>
      </c>
      <c r="K11249" s="2" t="s">
        <v>15050</v>
      </c>
      <c r="L11249" s="2">
        <f t="shared" si="175"/>
        <v>150</v>
      </c>
    </row>
    <row r="11250" spans="1:12" ht="25" customHeight="1">
      <c r="A11250" s="2" t="s">
        <v>12</v>
      </c>
      <c r="B11250" s="2" t="str">
        <f>HYPERLINK("http://www.12365auto.com/news/20200206/417874.shtml","车窗玻璃这些小细节你也忽略？小心酿成大祸")</f>
        <v>车窗玻璃这些小细节你也忽略？小心酿成大祸</v>
      </c>
      <c r="C11250" s="2" t="s">
        <v>13</v>
      </c>
      <c r="D11250" s="2" t="s">
        <v>12</v>
      </c>
      <c r="E11250" s="2" t="s">
        <v>372</v>
      </c>
      <c r="F11250" s="2" t="str">
        <f>HYPERLINK("http://www.12365auto.com/news/20200206/417874.shtml","http://www.12365auto.com/news/20200206/417874.shtml")</f>
        <v>http://www.12365auto.com/news/20200206/417874.shtml</v>
      </c>
      <c r="G11250" s="2"/>
      <c r="H11250" s="2" t="s">
        <v>15052</v>
      </c>
      <c r="I11250" s="2" t="s">
        <v>15</v>
      </c>
      <c r="J11250" s="2" t="s">
        <v>12</v>
      </c>
      <c r="K11250" s="2" t="s">
        <v>15053</v>
      </c>
      <c r="L11250" s="2">
        <f t="shared" si="175"/>
        <v>150</v>
      </c>
    </row>
    <row r="11251" spans="1:12" ht="25" customHeight="1">
      <c r="A11251" s="2" t="s">
        <v>12</v>
      </c>
      <c r="B11251" s="2" t="str">
        <f>HYPERLINK("http://m.12365auto.com/news/20200206/417874.shtml","车窗玻璃这些小细节你也忽略？小心酿成大祸")</f>
        <v>车窗玻璃这些小细节你也忽略？小心酿成大祸</v>
      </c>
      <c r="C11251" s="2" t="s">
        <v>13</v>
      </c>
      <c r="D11251" s="2" t="s">
        <v>12</v>
      </c>
      <c r="E11251" s="2"/>
      <c r="F11251" s="2" t="str">
        <f>HYPERLINK("http://m.12365auto.com/news/20200206/417874.shtml","http://m.12365auto.com/news/20200206/417874.shtml")</f>
        <v>http://m.12365auto.com/news/20200206/417874.shtml</v>
      </c>
      <c r="G11251" s="2"/>
      <c r="H11251" s="2" t="s">
        <v>15054</v>
      </c>
      <c r="I11251" s="2" t="s">
        <v>19</v>
      </c>
      <c r="J11251" s="2" t="s">
        <v>15055</v>
      </c>
      <c r="K11251" s="2" t="s">
        <v>15053</v>
      </c>
      <c r="L11251" s="2">
        <f t="shared" si="175"/>
        <v>150</v>
      </c>
    </row>
    <row r="11252" spans="1:12" ht="25" customHeight="1">
      <c r="A11252" s="2" t="s">
        <v>12</v>
      </c>
      <c r="B11252" s="2" t="str">
        <f>HYPERLINK("http://www.12365auto.com/news/20200206/417873.shtml","关乎行车安全 汽车脚垫怎么选？")</f>
        <v>关乎行车安全 汽车脚垫怎么选？</v>
      </c>
      <c r="C11252" s="2" t="s">
        <v>13</v>
      </c>
      <c r="D11252" s="2" t="s">
        <v>12</v>
      </c>
      <c r="E11252" s="2" t="s">
        <v>372</v>
      </c>
      <c r="F11252" s="2" t="str">
        <f>HYPERLINK("http://www.12365auto.com/news/20200206/417873.shtml","http://www.12365auto.com/news/20200206/417873.shtml")</f>
        <v>http://www.12365auto.com/news/20200206/417873.shtml</v>
      </c>
      <c r="G11252" s="2"/>
      <c r="H11252" s="2" t="s">
        <v>15056</v>
      </c>
      <c r="I11252" s="2" t="s">
        <v>15</v>
      </c>
      <c r="J11252" s="2" t="s">
        <v>12</v>
      </c>
      <c r="K11252" s="2" t="s">
        <v>15057</v>
      </c>
      <c r="L11252" s="2">
        <f t="shared" si="175"/>
        <v>150</v>
      </c>
    </row>
    <row r="11253" spans="1:12" ht="25" customHeight="1">
      <c r="A11253" s="2" t="s">
        <v>12</v>
      </c>
      <c r="B11253" s="2" t="str">
        <f>HYPERLINK("http://m.12365auto.com/news/20200206/417873.shtml","关乎行车安全 汽车脚垫怎么选？")</f>
        <v>关乎行车安全 汽车脚垫怎么选？</v>
      </c>
      <c r="C11253" s="2" t="s">
        <v>13</v>
      </c>
      <c r="D11253" s="2" t="s">
        <v>12</v>
      </c>
      <c r="E11253" s="2"/>
      <c r="F11253" s="2" t="str">
        <f>HYPERLINK("http://m.12365auto.com/news/20200206/417873.shtml","http://m.12365auto.com/news/20200206/417873.shtml")</f>
        <v>http://m.12365auto.com/news/20200206/417873.shtml</v>
      </c>
      <c r="G11253" s="2"/>
      <c r="H11253" s="2" t="s">
        <v>15058</v>
      </c>
      <c r="I11253" s="2" t="s">
        <v>19</v>
      </c>
      <c r="J11253" s="2" t="s">
        <v>7437</v>
      </c>
      <c r="K11253" s="2" t="s">
        <v>15057</v>
      </c>
      <c r="L11253" s="2">
        <f t="shared" si="175"/>
        <v>150</v>
      </c>
    </row>
    <row r="11254" spans="1:12" ht="25" customHeight="1">
      <c r="A11254" s="2" t="s">
        <v>12</v>
      </c>
      <c r="B11254" s="2" t="str">
        <f>HYPERLINK("http://www.12365auto.com/zlts/20200206/446486.shtml","华晨中华V6发动机严重烧机油要求尽快处理")</f>
        <v>华晨中华V6发动机严重烧机油要求尽快处理</v>
      </c>
      <c r="C11254" s="2" t="s">
        <v>13</v>
      </c>
      <c r="D11254" s="2" t="s">
        <v>12</v>
      </c>
      <c r="E11254" s="2"/>
      <c r="F11254" s="2" t="str">
        <f>HYPERLINK("http://www.12365auto.com/zlts/20200206/446486.shtml","http://www.12365auto.com/zlts/20200206/446486.shtml")</f>
        <v>http://www.12365auto.com/zlts/20200206/446486.shtml</v>
      </c>
      <c r="G11254" s="2"/>
      <c r="H11254" s="2" t="s">
        <v>15060</v>
      </c>
      <c r="I11254" s="2" t="s">
        <v>15</v>
      </c>
      <c r="J11254" s="2" t="s">
        <v>12</v>
      </c>
      <c r="K11254" s="2" t="s">
        <v>15059</v>
      </c>
      <c r="L11254" s="2">
        <f t="shared" si="175"/>
        <v>82</v>
      </c>
    </row>
    <row r="11255" spans="1:12" ht="25" customHeight="1">
      <c r="A11255" s="2" t="s">
        <v>12</v>
      </c>
      <c r="B11255" s="2" t="str">
        <f>HYPERLINK("http://bbs.12365auto.com/postcontent.aspx?tID=193444","咱们深度对比下宝马3系和奔驰C级哪个更保值")</f>
        <v>咱们深度对比下宝马3系和奔驰C级哪个更保值</v>
      </c>
      <c r="C11255" s="2" t="s">
        <v>13</v>
      </c>
      <c r="D11255" s="2" t="s">
        <v>12</v>
      </c>
      <c r="E11255" s="2" t="s">
        <v>28</v>
      </c>
      <c r="F11255" s="2" t="str">
        <f>HYPERLINK("http://bbs.12365auto.com/postcontent.aspx?tID=193444","http://bbs.12365auto.com/postcontent.aspx?tID=193444")</f>
        <v>http://bbs.12365auto.com/postcontent.aspx?tID=193444</v>
      </c>
      <c r="G11255" s="2"/>
      <c r="H11255" s="2" t="s">
        <v>15061</v>
      </c>
      <c r="I11255" s="2" t="s">
        <v>15</v>
      </c>
      <c r="J11255" s="2" t="s">
        <v>5704</v>
      </c>
      <c r="K11255" s="2" t="s">
        <v>15062</v>
      </c>
      <c r="L11255" s="2">
        <f t="shared" si="175"/>
        <v>150</v>
      </c>
    </row>
    <row r="11256" spans="1:12" ht="25" customHeight="1">
      <c r="A11256" s="2" t="s">
        <v>12</v>
      </c>
      <c r="B11256" s="2" t="str">
        <f>HYPERLINK("http://m.12365auto.com/news/20200206/417872.shtml","正常行驶途中被扣查 只因这一小点")</f>
        <v>正常行驶途中被扣查 只因这一小点</v>
      </c>
      <c r="C11256" s="2" t="s">
        <v>13</v>
      </c>
      <c r="D11256" s="2" t="s">
        <v>12</v>
      </c>
      <c r="E11256" s="2"/>
      <c r="F11256" s="2" t="str">
        <f>HYPERLINK("http://m.12365auto.com/news/20200206/417872.shtml","http://m.12365auto.com/news/20200206/417872.shtml")</f>
        <v>http://m.12365auto.com/news/20200206/417872.shtml</v>
      </c>
      <c r="G11256" s="2"/>
      <c r="H11256" s="2" t="s">
        <v>15063</v>
      </c>
      <c r="I11256" s="2" t="s">
        <v>19</v>
      </c>
      <c r="J11256" s="2" t="s">
        <v>15055</v>
      </c>
      <c r="K11256" s="2" t="s">
        <v>15062</v>
      </c>
      <c r="L11256" s="2">
        <f t="shared" si="175"/>
        <v>150</v>
      </c>
    </row>
    <row r="11257" spans="1:12" ht="25" customHeight="1">
      <c r="A11257" s="2" t="s">
        <v>12</v>
      </c>
      <c r="B11257" s="2" t="str">
        <f>HYPERLINK("http://m.12365auto.com/news/20200206/417871.shtml","特斯拉股价暴跌17% 马斯克资产缩水59亿美元")</f>
        <v>特斯拉股价暴跌17% 马斯克资产缩水59亿美元</v>
      </c>
      <c r="C11257" s="2" t="s">
        <v>13</v>
      </c>
      <c r="D11257" s="2" t="s">
        <v>12</v>
      </c>
      <c r="E11257" s="2"/>
      <c r="F11257" s="2" t="str">
        <f>HYPERLINK("http://m.12365auto.com/news/20200206/417871.shtml","http://m.12365auto.com/news/20200206/417871.shtml")</f>
        <v>http://m.12365auto.com/news/20200206/417871.shtml</v>
      </c>
      <c r="G11257" s="2"/>
      <c r="H11257" s="2" t="s">
        <v>15064</v>
      </c>
      <c r="I11257" s="2" t="s">
        <v>19</v>
      </c>
      <c r="J11257" s="2" t="s">
        <v>2527</v>
      </c>
      <c r="K11257" s="2" t="s">
        <v>15062</v>
      </c>
      <c r="L11257" s="2">
        <f t="shared" si="175"/>
        <v>150</v>
      </c>
    </row>
    <row r="11258" spans="1:12" ht="25" customHeight="1">
      <c r="A11258" s="2" t="s">
        <v>12</v>
      </c>
      <c r="B11258" s="2" t="str">
        <f>HYPERLINK("http://m.12365auto.com/bbs/postcontent.aspx?tID=193444","咱们深度对比下宝马3系和奔驰C级哪个更保值")</f>
        <v>咱们深度对比下宝马3系和奔驰C级哪个更保值</v>
      </c>
      <c r="C11258" s="2" t="s">
        <v>13</v>
      </c>
      <c r="D11258" s="2" t="s">
        <v>23</v>
      </c>
      <c r="E11258" s="2"/>
      <c r="F11258" s="2" t="str">
        <f>HYPERLINK("http://m.12365auto.com/bbs/postcontent.aspx?tID=193444","http://m.12365auto.com/bbs/postcontent.aspx?tID=193444")</f>
        <v>http://m.12365auto.com/bbs/postcontent.aspx?tID=193444</v>
      </c>
      <c r="G11258" s="2"/>
      <c r="H11258" s="2" t="s">
        <v>15065</v>
      </c>
      <c r="I11258" s="2" t="s">
        <v>15</v>
      </c>
      <c r="J11258" s="2" t="s">
        <v>5704</v>
      </c>
      <c r="K11258" s="2" t="s">
        <v>15062</v>
      </c>
      <c r="L11258" s="2">
        <f t="shared" si="175"/>
        <v>150</v>
      </c>
    </row>
    <row r="11259" spans="1:12" ht="25" customHeight="1">
      <c r="A11259" s="2" t="s">
        <v>12</v>
      </c>
      <c r="B11259" s="2" t="str">
        <f>HYPERLINK("http://www.12365auto.com/news/20200206/417872.shtml","正常行驶途中被扣查 只因这一小点")</f>
        <v>正常行驶途中被扣查 只因这一小点</v>
      </c>
      <c r="C11259" s="2" t="s">
        <v>13</v>
      </c>
      <c r="D11259" s="2" t="s">
        <v>12</v>
      </c>
      <c r="E11259" s="2" t="s">
        <v>372</v>
      </c>
      <c r="F11259" s="2" t="str">
        <f>HYPERLINK("http://www.12365auto.com/news/20200206/417872.shtml","http://www.12365auto.com/news/20200206/417872.shtml")</f>
        <v>http://www.12365auto.com/news/20200206/417872.shtml</v>
      </c>
      <c r="G11259" s="2"/>
      <c r="H11259" s="2" t="s">
        <v>15066</v>
      </c>
      <c r="I11259" s="2" t="s">
        <v>15</v>
      </c>
      <c r="J11259" s="2" t="s">
        <v>12</v>
      </c>
      <c r="K11259" s="2" t="s">
        <v>15062</v>
      </c>
      <c r="L11259" s="2">
        <f t="shared" si="175"/>
        <v>150</v>
      </c>
    </row>
    <row r="11260" spans="1:12" ht="25" customHeight="1">
      <c r="A11260" s="2" t="s">
        <v>12</v>
      </c>
      <c r="B11260" s="2" t="str">
        <f>HYPERLINK("http://www.12365auto.com/news/20200206/417871.shtml","特斯拉股价暴跌17% 马斯克资产缩水59亿美元")</f>
        <v>特斯拉股价暴跌17% 马斯克资产缩水59亿美元</v>
      </c>
      <c r="C11260" s="2" t="s">
        <v>13</v>
      </c>
      <c r="D11260" s="2" t="s">
        <v>12</v>
      </c>
      <c r="E11260" s="2" t="s">
        <v>276</v>
      </c>
      <c r="F11260" s="2" t="str">
        <f>HYPERLINK("http://www.12365auto.com/news/20200206/417871.shtml","http://www.12365auto.com/news/20200206/417871.shtml")</f>
        <v>http://www.12365auto.com/news/20200206/417871.shtml</v>
      </c>
      <c r="G11260" s="2"/>
      <c r="H11260" s="2" t="s">
        <v>15067</v>
      </c>
      <c r="I11260" s="2" t="s">
        <v>15</v>
      </c>
      <c r="J11260" s="2" t="s">
        <v>12</v>
      </c>
      <c r="K11260" s="2" t="s">
        <v>15062</v>
      </c>
      <c r="L11260" s="2">
        <f t="shared" si="175"/>
        <v>150</v>
      </c>
    </row>
    <row r="11261" spans="1:12" ht="25" customHeight="1">
      <c r="A11261" s="2" t="s">
        <v>12</v>
      </c>
      <c r="B11261" s="2" t="str">
        <f>HYPERLINK("http://bbs.12365auto.com/postcontent.aspx?tId=193444","咱们深度对比下宝马3系和奔驰C级哪个更保值")</f>
        <v>咱们深度对比下宝马3系和奔驰C级哪个更保值</v>
      </c>
      <c r="C11261" s="2" t="s">
        <v>13</v>
      </c>
      <c r="D11261" s="2" t="s">
        <v>12</v>
      </c>
      <c r="E11261" s="2" t="s">
        <v>27</v>
      </c>
      <c r="F11261" s="2" t="str">
        <f>HYPERLINK("http://bbs.12365auto.com/postcontent.aspx?tId=193444","http://bbs.12365auto.com/postcontent.aspx?tId=193444")</f>
        <v>http://bbs.12365auto.com/postcontent.aspx?tId=193444</v>
      </c>
      <c r="G11261" s="2"/>
      <c r="H11261" s="2" t="s">
        <v>15065</v>
      </c>
      <c r="I11261" s="2" t="s">
        <v>15</v>
      </c>
      <c r="J11261" s="2" t="s">
        <v>5704</v>
      </c>
      <c r="K11261" s="2" t="s">
        <v>15062</v>
      </c>
      <c r="L11261" s="2">
        <f t="shared" si="175"/>
        <v>150</v>
      </c>
    </row>
    <row r="11262" spans="1:12" ht="25" customHeight="1">
      <c r="A11262" s="2" t="s">
        <v>12</v>
      </c>
      <c r="B11262" s="2" t="str">
        <f>HYPERLINK("http://bbs.12365auto.com/postcontent.aspx?tID=193443","消费者越来越精明 CS75PLUS为何还能4个月热卖7万台")</f>
        <v>消费者越来越精明 CS75PLUS为何还能4个月热卖7万台</v>
      </c>
      <c r="C11262" s="2" t="s">
        <v>13</v>
      </c>
      <c r="D11262" s="2" t="s">
        <v>12</v>
      </c>
      <c r="E11262" s="2" t="s">
        <v>28</v>
      </c>
      <c r="F11262" s="2" t="str">
        <f>HYPERLINK("http://bbs.12365auto.com/postcontent.aspx?tID=193443","http://bbs.12365auto.com/postcontent.aspx?tID=193443")</f>
        <v>http://bbs.12365auto.com/postcontent.aspx?tID=193443</v>
      </c>
      <c r="G11262" s="2"/>
      <c r="H11262" s="2" t="s">
        <v>15068</v>
      </c>
      <c r="I11262" s="2" t="s">
        <v>15</v>
      </c>
      <c r="J11262" s="2" t="s">
        <v>5704</v>
      </c>
      <c r="K11262" s="2" t="s">
        <v>15069</v>
      </c>
      <c r="L11262" s="2">
        <f t="shared" si="175"/>
        <v>150</v>
      </c>
    </row>
    <row r="11263" spans="1:12" ht="25" customHeight="1">
      <c r="A11263" s="2" t="s">
        <v>12</v>
      </c>
      <c r="B11263" s="2" t="str">
        <f>HYPERLINK("http://www.12365auto.com/zlts/20200206/446488.shtml","一汽大众迈腾发动机曲轴后油封漏油")</f>
        <v>一汽大众迈腾发动机曲轴后油封漏油</v>
      </c>
      <c r="C11263" s="2" t="s">
        <v>13</v>
      </c>
      <c r="D11263" s="2" t="s">
        <v>12</v>
      </c>
      <c r="E11263" s="2" t="s">
        <v>17</v>
      </c>
      <c r="F11263" s="2" t="str">
        <f>HYPERLINK("http://www.12365auto.com/zlts/20200206/446488.shtml","http://www.12365auto.com/zlts/20200206/446488.shtml")</f>
        <v>http://www.12365auto.com/zlts/20200206/446488.shtml</v>
      </c>
      <c r="G11263" s="2"/>
      <c r="H11263" s="2" t="s">
        <v>15070</v>
      </c>
      <c r="I11263" s="2" t="s">
        <v>19</v>
      </c>
      <c r="J11263" s="2" t="s">
        <v>12</v>
      </c>
      <c r="K11263" s="2" t="s">
        <v>15069</v>
      </c>
      <c r="L11263" s="2">
        <f t="shared" si="175"/>
        <v>150</v>
      </c>
    </row>
    <row r="11264" spans="1:12" ht="25" customHeight="1">
      <c r="A11264" s="2" t="s">
        <v>12</v>
      </c>
      <c r="B11264" s="2" t="str">
        <f>HYPERLINK("http://m.12365auto.com/bbs/postcontent.aspx?tID=193443","消费者越来越精明 CS75PLUS为何还能4个月热卖7万台")</f>
        <v>消费者越来越精明 CS75PLUS为何还能4个月热卖7万台</v>
      </c>
      <c r="C11264" s="2" t="s">
        <v>13</v>
      </c>
      <c r="D11264" s="2" t="s">
        <v>23</v>
      </c>
      <c r="E11264" s="2"/>
      <c r="F11264" s="2" t="str">
        <f>HYPERLINK("http://m.12365auto.com/bbs/postcontent.aspx?tID=193443","http://m.12365auto.com/bbs/postcontent.aspx?tID=193443")</f>
        <v>http://m.12365auto.com/bbs/postcontent.aspx?tID=193443</v>
      </c>
      <c r="G11264" s="2"/>
      <c r="H11264" s="2" t="s">
        <v>15071</v>
      </c>
      <c r="I11264" s="2" t="s">
        <v>15</v>
      </c>
      <c r="J11264" s="2" t="s">
        <v>5704</v>
      </c>
      <c r="K11264" s="2" t="s">
        <v>15069</v>
      </c>
      <c r="L11264" s="2">
        <f t="shared" si="175"/>
        <v>150</v>
      </c>
    </row>
    <row r="11265" spans="1:12" ht="25" customHeight="1">
      <c r="A11265" s="2" t="s">
        <v>12</v>
      </c>
      <c r="B11265" s="2" t="str">
        <f>HYPERLINK("http://bbs.12365auto.com/postcontent.aspx?tId=193443","消费者越来越精明 CS75PLUS为何还能4个月热卖7万台")</f>
        <v>消费者越来越精明 CS75PLUS为何还能4个月热卖7万台</v>
      </c>
      <c r="C11265" s="2" t="s">
        <v>13</v>
      </c>
      <c r="D11265" s="2" t="s">
        <v>12</v>
      </c>
      <c r="E11265" s="2" t="s">
        <v>27</v>
      </c>
      <c r="F11265" s="2" t="str">
        <f>HYPERLINK("http://bbs.12365auto.com/postcontent.aspx?tId=193443","http://bbs.12365auto.com/postcontent.aspx?tId=193443")</f>
        <v>http://bbs.12365auto.com/postcontent.aspx?tId=193443</v>
      </c>
      <c r="G11265" s="2"/>
      <c r="H11265" s="2" t="s">
        <v>15071</v>
      </c>
      <c r="I11265" s="2" t="s">
        <v>15</v>
      </c>
      <c r="J11265" s="2" t="s">
        <v>5704</v>
      </c>
      <c r="K11265" s="2" t="s">
        <v>15069</v>
      </c>
      <c r="L11265" s="2">
        <f t="shared" si="175"/>
        <v>150</v>
      </c>
    </row>
    <row r="11266" spans="1:12" ht="25" customHeight="1">
      <c r="A11266" s="2" t="s">
        <v>12</v>
      </c>
      <c r="B11266" s="2" t="str">
        <f>HYPERLINK("http://bbs.12365auto.com/postcontent.aspx?tID=193442","雅阁与帕萨特应该怎么选")</f>
        <v>雅阁与帕萨特应该怎么选</v>
      </c>
      <c r="C11266" s="2" t="s">
        <v>13</v>
      </c>
      <c r="D11266" s="2" t="s">
        <v>12</v>
      </c>
      <c r="E11266" s="2" t="s">
        <v>28</v>
      </c>
      <c r="F11266" s="2" t="str">
        <f>HYPERLINK("http://bbs.12365auto.com/postcontent.aspx?tID=193442","http://bbs.12365auto.com/postcontent.aspx?tID=193442")</f>
        <v>http://bbs.12365auto.com/postcontent.aspx?tID=193442</v>
      </c>
      <c r="G11266" s="2"/>
      <c r="H11266" s="2" t="s">
        <v>15072</v>
      </c>
      <c r="I11266" s="2" t="s">
        <v>15</v>
      </c>
      <c r="J11266" s="2" t="s">
        <v>5704</v>
      </c>
      <c r="K11266" s="2" t="s">
        <v>15073</v>
      </c>
      <c r="L11266" s="2">
        <f t="shared" si="175"/>
        <v>150</v>
      </c>
    </row>
    <row r="11267" spans="1:12" ht="25" customHeight="1">
      <c r="A11267" s="2" t="s">
        <v>12</v>
      </c>
      <c r="B11267" s="2" t="str">
        <f>HYPERLINK("http://m.12365auto.com/news/20200206/417870.shtml","马自达1月在华销量20963辆 同比下降8.23%")</f>
        <v>马自达1月在华销量20963辆 同比下降8.23%</v>
      </c>
      <c r="C11267" s="2" t="s">
        <v>13</v>
      </c>
      <c r="D11267" s="2" t="s">
        <v>12</v>
      </c>
      <c r="E11267" s="2"/>
      <c r="F11267" s="2" t="str">
        <f>HYPERLINK("http://m.12365auto.com/news/20200206/417870.shtml","http://m.12365auto.com/news/20200206/417870.shtml")</f>
        <v>http://m.12365auto.com/news/20200206/417870.shtml</v>
      </c>
      <c r="G11267" s="2"/>
      <c r="H11267" s="2" t="s">
        <v>15074</v>
      </c>
      <c r="I11267" s="2" t="s">
        <v>19</v>
      </c>
      <c r="J11267" s="2" t="s">
        <v>12</v>
      </c>
      <c r="K11267" s="2" t="s">
        <v>15073</v>
      </c>
      <c r="L11267" s="2">
        <f t="shared" ref="L11267:L11330" si="176">LEN(H11267)</f>
        <v>150</v>
      </c>
    </row>
    <row r="11268" spans="1:12" ht="25" customHeight="1">
      <c r="A11268" s="2" t="s">
        <v>12</v>
      </c>
      <c r="B11268" s="2" t="str">
        <f>HYPERLINK("http://m.12365auto.com/bbs/postcontent.aspx?tID=193442","雅阁与帕萨特应该怎么选")</f>
        <v>雅阁与帕萨特应该怎么选</v>
      </c>
      <c r="C11268" s="2" t="s">
        <v>13</v>
      </c>
      <c r="D11268" s="2" t="s">
        <v>23</v>
      </c>
      <c r="E11268" s="2"/>
      <c r="F11268" s="2" t="str">
        <f>HYPERLINK("http://m.12365auto.com/bbs/postcontent.aspx?tID=193442","http://m.12365auto.com/bbs/postcontent.aspx?tID=193442")</f>
        <v>http://m.12365auto.com/bbs/postcontent.aspx?tID=193442</v>
      </c>
      <c r="G11268" s="2"/>
      <c r="H11268" s="2" t="s">
        <v>15075</v>
      </c>
      <c r="I11268" s="2" t="s">
        <v>15</v>
      </c>
      <c r="J11268" s="2" t="s">
        <v>5704</v>
      </c>
      <c r="K11268" s="2" t="s">
        <v>15073</v>
      </c>
      <c r="L11268" s="2">
        <f t="shared" si="176"/>
        <v>150</v>
      </c>
    </row>
    <row r="11269" spans="1:12" ht="25" customHeight="1">
      <c r="A11269" s="2" t="s">
        <v>12</v>
      </c>
      <c r="B11269" s="2" t="str">
        <f>HYPERLINK("http://www.12365auto.com/news/20200206/417870.shtml","马自达1月在华销量20963辆 同比下降8.23%")</f>
        <v>马自达1月在华销量20963辆 同比下降8.23%</v>
      </c>
      <c r="C11269" s="2" t="s">
        <v>13</v>
      </c>
      <c r="D11269" s="2" t="s">
        <v>12</v>
      </c>
      <c r="E11269" s="2" t="s">
        <v>276</v>
      </c>
      <c r="F11269" s="2" t="str">
        <f>HYPERLINK("http://www.12365auto.com/news/20200206/417870.shtml","http://www.12365auto.com/news/20200206/417870.shtml")</f>
        <v>http://www.12365auto.com/news/20200206/417870.shtml</v>
      </c>
      <c r="G11269" s="2"/>
      <c r="H11269" s="2" t="s">
        <v>15076</v>
      </c>
      <c r="I11269" s="2" t="s">
        <v>15</v>
      </c>
      <c r="J11269" s="2" t="s">
        <v>12</v>
      </c>
      <c r="K11269" s="2" t="s">
        <v>15073</v>
      </c>
      <c r="L11269" s="2">
        <f t="shared" si="176"/>
        <v>150</v>
      </c>
    </row>
    <row r="11270" spans="1:12" ht="25" customHeight="1">
      <c r="A11270" s="2" t="s">
        <v>12</v>
      </c>
      <c r="B11270" s="2" t="str">
        <f>HYPERLINK("http://bbs.12365auto.com/postcontent.aspx?tId=193442","雅阁与帕萨特应该怎么选")</f>
        <v>雅阁与帕萨特应该怎么选</v>
      </c>
      <c r="C11270" s="2" t="s">
        <v>13</v>
      </c>
      <c r="D11270" s="2" t="s">
        <v>12</v>
      </c>
      <c r="E11270" s="2" t="s">
        <v>27</v>
      </c>
      <c r="F11270" s="2" t="str">
        <f>HYPERLINK("http://bbs.12365auto.com/postcontent.aspx?tId=193442","http://bbs.12365auto.com/postcontent.aspx?tId=193442")</f>
        <v>http://bbs.12365auto.com/postcontent.aspx?tId=193442</v>
      </c>
      <c r="G11270" s="2"/>
      <c r="H11270" s="2" t="s">
        <v>15075</v>
      </c>
      <c r="I11270" s="2" t="s">
        <v>15</v>
      </c>
      <c r="J11270" s="2" t="s">
        <v>5704</v>
      </c>
      <c r="K11270" s="2" t="s">
        <v>15073</v>
      </c>
      <c r="L11270" s="2">
        <f t="shared" si="176"/>
        <v>150</v>
      </c>
    </row>
    <row r="11271" spans="1:12" ht="25" customHeight="1">
      <c r="A11271" s="2" t="s">
        <v>12</v>
      </c>
      <c r="B11271" s="2" t="str">
        <f>HYPERLINK("http://bbs.12365auto.com/postcontent.aspx?tID=193441","全新S级曝光 这比亚迪风是在哪学的")</f>
        <v>全新S级曝光 这比亚迪风是在哪学的</v>
      </c>
      <c r="C11271" s="2" t="s">
        <v>13</v>
      </c>
      <c r="D11271" s="2" t="s">
        <v>12</v>
      </c>
      <c r="E11271" s="2" t="s">
        <v>28</v>
      </c>
      <c r="F11271" s="2" t="str">
        <f>HYPERLINK("http://bbs.12365auto.com/postcontent.aspx?tID=193441","http://bbs.12365auto.com/postcontent.aspx?tID=193441")</f>
        <v>http://bbs.12365auto.com/postcontent.aspx?tID=193441</v>
      </c>
      <c r="G11271" s="2"/>
      <c r="H11271" s="2" t="s">
        <v>15077</v>
      </c>
      <c r="I11271" s="2" t="s">
        <v>15</v>
      </c>
      <c r="J11271" s="2" t="s">
        <v>5704</v>
      </c>
      <c r="K11271" s="2" t="s">
        <v>15078</v>
      </c>
      <c r="L11271" s="2">
        <f t="shared" si="176"/>
        <v>150</v>
      </c>
    </row>
    <row r="11272" spans="1:12" ht="25" customHeight="1">
      <c r="A11272" s="2" t="s">
        <v>12</v>
      </c>
      <c r="B11272" s="2" t="str">
        <f>HYPERLINK("http://m.12365auto.com/bbs/postcontent.aspx?tID=193441","全新S级曝光 这比亚迪风是在哪学的")</f>
        <v>全新S级曝光 这比亚迪风是在哪学的</v>
      </c>
      <c r="C11272" s="2" t="s">
        <v>13</v>
      </c>
      <c r="D11272" s="2" t="s">
        <v>23</v>
      </c>
      <c r="E11272" s="2"/>
      <c r="F11272" s="2" t="str">
        <f>HYPERLINK("http://m.12365auto.com/bbs/postcontent.aspx?tID=193441","http://m.12365auto.com/bbs/postcontent.aspx?tID=193441")</f>
        <v>http://m.12365auto.com/bbs/postcontent.aspx?tID=193441</v>
      </c>
      <c r="G11272" s="2"/>
      <c r="H11272" s="2" t="s">
        <v>15079</v>
      </c>
      <c r="I11272" s="2" t="s">
        <v>15</v>
      </c>
      <c r="J11272" s="2" t="s">
        <v>5704</v>
      </c>
      <c r="K11272" s="2" t="s">
        <v>15078</v>
      </c>
      <c r="L11272" s="2">
        <f t="shared" si="176"/>
        <v>150</v>
      </c>
    </row>
    <row r="11273" spans="1:12" ht="25" customHeight="1">
      <c r="A11273" s="2" t="s">
        <v>12</v>
      </c>
      <c r="B11273" s="2" t="str">
        <f>HYPERLINK("http://bbs.12365auto.com/postcontent.aspx?tId=193441","全新S级曝光 这比亚迪风是在哪学的")</f>
        <v>全新S级曝光 这比亚迪风是在哪学的</v>
      </c>
      <c r="C11273" s="2" t="s">
        <v>13</v>
      </c>
      <c r="D11273" s="2" t="s">
        <v>12</v>
      </c>
      <c r="E11273" s="2" t="s">
        <v>27</v>
      </c>
      <c r="F11273" s="2" t="str">
        <f>HYPERLINK("http://bbs.12365auto.com/postcontent.aspx?tId=193441","http://bbs.12365auto.com/postcontent.aspx?tId=193441")</f>
        <v>http://bbs.12365auto.com/postcontent.aspx?tId=193441</v>
      </c>
      <c r="G11273" s="2"/>
      <c r="H11273" s="2" t="s">
        <v>15079</v>
      </c>
      <c r="I11273" s="2" t="s">
        <v>15</v>
      </c>
      <c r="J11273" s="2" t="s">
        <v>5704</v>
      </c>
      <c r="K11273" s="2" t="s">
        <v>15078</v>
      </c>
      <c r="L11273" s="2">
        <f t="shared" si="176"/>
        <v>150</v>
      </c>
    </row>
    <row r="11274" spans="1:12" ht="25" customHeight="1">
      <c r="A11274" s="2" t="s">
        <v>12</v>
      </c>
      <c r="B11274" s="2" t="str">
        <f>HYPERLINK("http://bbs.12365auto.com/postcontent.aspx?tID=193440","汽车轮胎磨损掉的部分都到哪里去了")</f>
        <v>汽车轮胎磨损掉的部分都到哪里去了</v>
      </c>
      <c r="C11274" s="2" t="s">
        <v>13</v>
      </c>
      <c r="D11274" s="2" t="s">
        <v>12</v>
      </c>
      <c r="E11274" s="2" t="s">
        <v>28</v>
      </c>
      <c r="F11274" s="2" t="str">
        <f>HYPERLINK("http://bbs.12365auto.com/postcontent.aspx?tID=193440","http://bbs.12365auto.com/postcontent.aspx?tID=193440")</f>
        <v>http://bbs.12365auto.com/postcontent.aspx?tID=193440</v>
      </c>
      <c r="G11274" s="2"/>
      <c r="H11274" s="2" t="s">
        <v>15080</v>
      </c>
      <c r="I11274" s="2" t="s">
        <v>15</v>
      </c>
      <c r="J11274" s="2" t="s">
        <v>1903</v>
      </c>
      <c r="K11274" s="2" t="s">
        <v>15081</v>
      </c>
      <c r="L11274" s="2">
        <f t="shared" si="176"/>
        <v>150</v>
      </c>
    </row>
    <row r="11275" spans="1:12" ht="25" customHeight="1">
      <c r="A11275" s="2" t="s">
        <v>12</v>
      </c>
      <c r="B11275" s="2" t="str">
        <f>HYPERLINK("http://bbs.12365auto.com/postcontent.aspx?tID=193439","路虎揽胜皇家一号加长 高端豪华领域 5.0伊丽莎白款")</f>
        <v>路虎揽胜皇家一号加长 高端豪华领域 5.0伊丽莎白款</v>
      </c>
      <c r="C11275" s="2" t="s">
        <v>13</v>
      </c>
      <c r="D11275" s="2" t="s">
        <v>12</v>
      </c>
      <c r="E11275" s="2" t="s">
        <v>28</v>
      </c>
      <c r="F11275" s="2" t="str">
        <f>HYPERLINK("http://bbs.12365auto.com/postcontent.aspx?tID=193439","http://bbs.12365auto.com/postcontent.aspx?tID=193439")</f>
        <v>http://bbs.12365auto.com/postcontent.aspx?tID=193439</v>
      </c>
      <c r="G11275" s="2"/>
      <c r="H11275" s="2" t="s">
        <v>15082</v>
      </c>
      <c r="I11275" s="2" t="s">
        <v>15</v>
      </c>
      <c r="J11275" s="2" t="s">
        <v>5704</v>
      </c>
      <c r="K11275" s="2" t="s">
        <v>15081</v>
      </c>
      <c r="L11275" s="2">
        <f t="shared" si="176"/>
        <v>150</v>
      </c>
    </row>
    <row r="11276" spans="1:12" ht="25" customHeight="1">
      <c r="A11276" s="2" t="s">
        <v>12</v>
      </c>
      <c r="B11276" s="2" t="str">
        <f>HYPERLINK("http://m.12365auto.com/xcdg/20200206/417869.shtml","路虎发现运动版搭2.0T发动机 百里油耗7.6升")</f>
        <v>路虎发现运动版搭2.0T发动机 百里油耗7.6升</v>
      </c>
      <c r="C11276" s="2" t="s">
        <v>13</v>
      </c>
      <c r="D11276" s="2" t="s">
        <v>12</v>
      </c>
      <c r="E11276" s="2"/>
      <c r="F11276" s="2" t="str">
        <f>HYPERLINK("http://m.12365auto.com/xcdg/20200206/417869.shtml","http://m.12365auto.com/xcdg/20200206/417869.shtml")</f>
        <v>http://m.12365auto.com/xcdg/20200206/417869.shtml</v>
      </c>
      <c r="G11276" s="2"/>
      <c r="H11276" s="2" t="s">
        <v>15083</v>
      </c>
      <c r="I11276" s="2" t="s">
        <v>19</v>
      </c>
      <c r="J11276" s="2" t="s">
        <v>236</v>
      </c>
      <c r="K11276" s="2" t="s">
        <v>15081</v>
      </c>
      <c r="L11276" s="2">
        <f t="shared" si="176"/>
        <v>150</v>
      </c>
    </row>
    <row r="11277" spans="1:12" ht="25" customHeight="1">
      <c r="A11277" s="2" t="s">
        <v>12</v>
      </c>
      <c r="B11277" s="2" t="str">
        <f>HYPERLINK("http://m.12365auto.com/bbs/postcontent.aspx?tID=193440","汽车轮胎磨损掉的部分都到哪里去了")</f>
        <v>汽车轮胎磨损掉的部分都到哪里去了</v>
      </c>
      <c r="C11277" s="2" t="s">
        <v>13</v>
      </c>
      <c r="D11277" s="2" t="s">
        <v>23</v>
      </c>
      <c r="E11277" s="2"/>
      <c r="F11277" s="2" t="str">
        <f>HYPERLINK("http://m.12365auto.com/bbs/postcontent.aspx?tID=193440","http://m.12365auto.com/bbs/postcontent.aspx?tID=193440")</f>
        <v>http://m.12365auto.com/bbs/postcontent.aspx?tID=193440</v>
      </c>
      <c r="G11277" s="2"/>
      <c r="H11277" s="2" t="s">
        <v>15084</v>
      </c>
      <c r="I11277" s="2" t="s">
        <v>15</v>
      </c>
      <c r="J11277" s="2" t="s">
        <v>1903</v>
      </c>
      <c r="K11277" s="2" t="s">
        <v>15081</v>
      </c>
      <c r="L11277" s="2">
        <f t="shared" si="176"/>
        <v>150</v>
      </c>
    </row>
    <row r="11278" spans="1:12" ht="25" customHeight="1">
      <c r="A11278" s="2" t="s">
        <v>12</v>
      </c>
      <c r="B11278" s="2" t="str">
        <f>HYPERLINK("http://m.12365auto.com/bbs/postcontent.aspx?tID=193438","新能源汽车锂电池使用寿命多长")</f>
        <v>新能源汽车锂电池使用寿命多长</v>
      </c>
      <c r="C11278" s="2" t="s">
        <v>13</v>
      </c>
      <c r="D11278" s="2" t="s">
        <v>23</v>
      </c>
      <c r="E11278" s="2"/>
      <c r="F11278" s="2" t="str">
        <f>HYPERLINK("http://m.12365auto.com/bbs/postcontent.aspx?tID=193438","http://m.12365auto.com/bbs/postcontent.aspx?tID=193438")</f>
        <v>http://m.12365auto.com/bbs/postcontent.aspx?tID=193438</v>
      </c>
      <c r="G11278" s="2"/>
      <c r="H11278" s="2" t="s">
        <v>15085</v>
      </c>
      <c r="I11278" s="2" t="s">
        <v>15</v>
      </c>
      <c r="J11278" s="2" t="s">
        <v>1903</v>
      </c>
      <c r="K11278" s="2" t="s">
        <v>15081</v>
      </c>
      <c r="L11278" s="2">
        <f t="shared" si="176"/>
        <v>150</v>
      </c>
    </row>
    <row r="11279" spans="1:12" ht="25" customHeight="1">
      <c r="A11279" s="2" t="s">
        <v>12</v>
      </c>
      <c r="B11279" s="2" t="str">
        <f>HYPERLINK("http://m.12365auto.com/bbs/postcontent.aspx?tID=193439","路虎揽胜皇家一号加长 高端豪华领域 5.0伊丽莎白款")</f>
        <v>路虎揽胜皇家一号加长 高端豪华领域 5.0伊丽莎白款</v>
      </c>
      <c r="C11279" s="2" t="s">
        <v>13</v>
      </c>
      <c r="D11279" s="2" t="s">
        <v>23</v>
      </c>
      <c r="E11279" s="2"/>
      <c r="F11279" s="2" t="str">
        <f>HYPERLINK("http://m.12365auto.com/bbs/postcontent.aspx?tID=193439","http://m.12365auto.com/bbs/postcontent.aspx?tID=193439")</f>
        <v>http://m.12365auto.com/bbs/postcontent.aspx?tID=193439</v>
      </c>
      <c r="G11279" s="2"/>
      <c r="H11279" s="2" t="s">
        <v>15086</v>
      </c>
      <c r="I11279" s="2" t="s">
        <v>15</v>
      </c>
      <c r="J11279" s="2" t="s">
        <v>5704</v>
      </c>
      <c r="K11279" s="2" t="s">
        <v>15081</v>
      </c>
      <c r="L11279" s="2">
        <f t="shared" si="176"/>
        <v>150</v>
      </c>
    </row>
    <row r="11280" spans="1:12" ht="25" customHeight="1">
      <c r="A11280" s="2" t="s">
        <v>12</v>
      </c>
      <c r="B11280" s="2" t="str">
        <f>HYPERLINK("http://m.12365auto.com/bbs/postcontent.aspx?tID=193437","安全气囊弹出后复原究竟要花多少钱")</f>
        <v>安全气囊弹出后复原究竟要花多少钱</v>
      </c>
      <c r="C11280" s="2" t="s">
        <v>13</v>
      </c>
      <c r="D11280" s="2" t="s">
        <v>23</v>
      </c>
      <c r="E11280" s="2"/>
      <c r="F11280" s="2" t="str">
        <f>HYPERLINK("http://m.12365auto.com/bbs/postcontent.aspx?tID=193437","http://m.12365auto.com/bbs/postcontent.aspx?tID=193437")</f>
        <v>http://m.12365auto.com/bbs/postcontent.aspx?tID=193437</v>
      </c>
      <c r="G11280" s="2"/>
      <c r="H11280" s="2" t="s">
        <v>15087</v>
      </c>
      <c r="I11280" s="2" t="s">
        <v>15</v>
      </c>
      <c r="J11280" s="2" t="s">
        <v>1903</v>
      </c>
      <c r="K11280" s="2" t="s">
        <v>15081</v>
      </c>
      <c r="L11280" s="2">
        <f t="shared" si="176"/>
        <v>150</v>
      </c>
    </row>
    <row r="11281" spans="1:12" ht="25" customHeight="1">
      <c r="A11281" s="2" t="s">
        <v>12</v>
      </c>
      <c r="B11281" s="2" t="str">
        <f>HYPERLINK("http://m.12365auto.com/bbs/postcontent.aspx?tID=193436","比燃油版动力更出色 试驾荣威RX5 eMAX 500PHEV")</f>
        <v>比燃油版动力更出色 试驾荣威RX5 eMAX 500PHEV</v>
      </c>
      <c r="C11281" s="2" t="s">
        <v>13</v>
      </c>
      <c r="D11281" s="2" t="s">
        <v>23</v>
      </c>
      <c r="E11281" s="2"/>
      <c r="F11281" s="2" t="str">
        <f>HYPERLINK("http://m.12365auto.com/bbs/postcontent.aspx?tID=193436","http://m.12365auto.com/bbs/postcontent.aspx?tID=193436")</f>
        <v>http://m.12365auto.com/bbs/postcontent.aspx?tID=193436</v>
      </c>
      <c r="G11281" s="2"/>
      <c r="H11281" s="2" t="s">
        <v>15088</v>
      </c>
      <c r="I11281" s="2" t="s">
        <v>15</v>
      </c>
      <c r="J11281" s="2" t="s">
        <v>5704</v>
      </c>
      <c r="K11281" s="2" t="s">
        <v>15081</v>
      </c>
      <c r="L11281" s="2">
        <f t="shared" si="176"/>
        <v>150</v>
      </c>
    </row>
    <row r="11282" spans="1:12" ht="25" customHeight="1">
      <c r="A11282" s="2" t="s">
        <v>12</v>
      </c>
      <c r="B11282" s="2" t="str">
        <f>HYPERLINK("http://bbs.12365auto.com/postcontent.aspx?tId=193440","汽车轮胎磨损掉的部分都到哪里去了")</f>
        <v>汽车轮胎磨损掉的部分都到哪里去了</v>
      </c>
      <c r="C11282" s="2" t="s">
        <v>13</v>
      </c>
      <c r="D11282" s="2" t="s">
        <v>12</v>
      </c>
      <c r="E11282" s="2" t="s">
        <v>27</v>
      </c>
      <c r="F11282" s="2" t="str">
        <f>HYPERLINK("http://bbs.12365auto.com/postcontent.aspx?tId=193440","http://bbs.12365auto.com/postcontent.aspx?tId=193440")</f>
        <v>http://bbs.12365auto.com/postcontent.aspx?tId=193440</v>
      </c>
      <c r="G11282" s="2"/>
      <c r="H11282" s="2" t="s">
        <v>15084</v>
      </c>
      <c r="I11282" s="2" t="s">
        <v>15</v>
      </c>
      <c r="J11282" s="2" t="s">
        <v>1903</v>
      </c>
      <c r="K11282" s="2" t="s">
        <v>15081</v>
      </c>
      <c r="L11282" s="2">
        <f t="shared" si="176"/>
        <v>150</v>
      </c>
    </row>
    <row r="11283" spans="1:12" ht="25" customHeight="1">
      <c r="A11283" s="2" t="s">
        <v>12</v>
      </c>
      <c r="B11283" s="2" t="str">
        <f>HYPERLINK("http://bbs.12365auto.com/postcontent.aspx?tId=193437","安全气囊弹出后复原究竟要花多少钱")</f>
        <v>安全气囊弹出后复原究竟要花多少钱</v>
      </c>
      <c r="C11283" s="2" t="s">
        <v>13</v>
      </c>
      <c r="D11283" s="2" t="s">
        <v>12</v>
      </c>
      <c r="E11283" s="2" t="s">
        <v>27</v>
      </c>
      <c r="F11283" s="2" t="str">
        <f>HYPERLINK("http://bbs.12365auto.com/postcontent.aspx?tId=193437","http://bbs.12365auto.com/postcontent.aspx?tId=193437")</f>
        <v>http://bbs.12365auto.com/postcontent.aspx?tId=193437</v>
      </c>
      <c r="G11283" s="2"/>
      <c r="H11283" s="2" t="s">
        <v>15087</v>
      </c>
      <c r="I11283" s="2" t="s">
        <v>15</v>
      </c>
      <c r="J11283" s="2" t="s">
        <v>1903</v>
      </c>
      <c r="K11283" s="2" t="s">
        <v>15081</v>
      </c>
      <c r="L11283" s="2">
        <f t="shared" si="176"/>
        <v>150</v>
      </c>
    </row>
    <row r="11284" spans="1:12" ht="25" customHeight="1">
      <c r="A11284" s="2" t="s">
        <v>12</v>
      </c>
      <c r="B11284" s="2" t="str">
        <f>HYPERLINK("http://bbs.12365auto.com/postcontent.aspx?tId=193439","路虎揽胜皇家一号加长 高端豪华领域 5.0伊丽莎白款")</f>
        <v>路虎揽胜皇家一号加长 高端豪华领域 5.0伊丽莎白款</v>
      </c>
      <c r="C11284" s="2" t="s">
        <v>13</v>
      </c>
      <c r="D11284" s="2" t="s">
        <v>12</v>
      </c>
      <c r="E11284" s="2" t="s">
        <v>27</v>
      </c>
      <c r="F11284" s="2" t="str">
        <f>HYPERLINK("http://bbs.12365auto.com/postcontent.aspx?tId=193439","http://bbs.12365auto.com/postcontent.aspx?tId=193439")</f>
        <v>http://bbs.12365auto.com/postcontent.aspx?tId=193439</v>
      </c>
      <c r="G11284" s="2"/>
      <c r="H11284" s="2" t="s">
        <v>15086</v>
      </c>
      <c r="I11284" s="2" t="s">
        <v>15</v>
      </c>
      <c r="J11284" s="2" t="s">
        <v>5704</v>
      </c>
      <c r="K11284" s="2" t="s">
        <v>15081</v>
      </c>
      <c r="L11284" s="2">
        <f t="shared" si="176"/>
        <v>150</v>
      </c>
    </row>
    <row r="11285" spans="1:12" ht="25" customHeight="1">
      <c r="A11285" s="2" t="s">
        <v>12</v>
      </c>
      <c r="B11285" s="2" t="str">
        <f>HYPERLINK("http://bbs.12365auto.com/postcontent.aspx?tID=193437","安全气囊弹出后复原究竟要花多少钱")</f>
        <v>安全气囊弹出后复原究竟要花多少钱</v>
      </c>
      <c r="C11285" s="2" t="s">
        <v>13</v>
      </c>
      <c r="D11285" s="2" t="s">
        <v>12</v>
      </c>
      <c r="E11285" s="2" t="s">
        <v>28</v>
      </c>
      <c r="F11285" s="2" t="str">
        <f>HYPERLINK("http://bbs.12365auto.com/postcontent.aspx?tID=193437","http://bbs.12365auto.com/postcontent.aspx?tID=193437")</f>
        <v>http://bbs.12365auto.com/postcontent.aspx?tID=193437</v>
      </c>
      <c r="G11285" s="2"/>
      <c r="H11285" s="2" t="s">
        <v>15089</v>
      </c>
      <c r="I11285" s="2" t="s">
        <v>15</v>
      </c>
      <c r="J11285" s="2" t="s">
        <v>1903</v>
      </c>
      <c r="K11285" s="2" t="s">
        <v>15081</v>
      </c>
      <c r="L11285" s="2">
        <f t="shared" si="176"/>
        <v>150</v>
      </c>
    </row>
    <row r="11286" spans="1:12" ht="25" customHeight="1">
      <c r="A11286" s="2" t="s">
        <v>12</v>
      </c>
      <c r="B11286" s="2" t="str">
        <f>HYPERLINK("http://bbs.12365auto.com/postcontent.aspx?tId=193436","比燃油版动力更出色 试驾荣威RX5 eMAX 500PHEV")</f>
        <v>比燃油版动力更出色 试驾荣威RX5 eMAX 500PHEV</v>
      </c>
      <c r="C11286" s="2" t="s">
        <v>13</v>
      </c>
      <c r="D11286" s="2" t="s">
        <v>12</v>
      </c>
      <c r="E11286" s="2" t="s">
        <v>27</v>
      </c>
      <c r="F11286" s="2" t="str">
        <f>HYPERLINK("http://bbs.12365auto.com/postcontent.aspx?tId=193436","http://bbs.12365auto.com/postcontent.aspx?tId=193436")</f>
        <v>http://bbs.12365auto.com/postcontent.aspx?tId=193436</v>
      </c>
      <c r="G11286" s="2"/>
      <c r="H11286" s="2" t="s">
        <v>15088</v>
      </c>
      <c r="I11286" s="2" t="s">
        <v>15</v>
      </c>
      <c r="J11286" s="2" t="s">
        <v>5704</v>
      </c>
      <c r="K11286" s="2" t="s">
        <v>15081</v>
      </c>
      <c r="L11286" s="2">
        <f t="shared" si="176"/>
        <v>150</v>
      </c>
    </row>
    <row r="11287" spans="1:12" ht="25" customHeight="1">
      <c r="A11287" s="2" t="s">
        <v>12</v>
      </c>
      <c r="B11287" s="2" t="str">
        <f>HYPERLINK("http://bbs.12365auto.com/postcontent.aspx?tId=193438","新能源汽车锂电池使用寿命多长")</f>
        <v>新能源汽车锂电池使用寿命多长</v>
      </c>
      <c r="C11287" s="2" t="s">
        <v>13</v>
      </c>
      <c r="D11287" s="2" t="s">
        <v>12</v>
      </c>
      <c r="E11287" s="2" t="s">
        <v>27</v>
      </c>
      <c r="F11287" s="2" t="str">
        <f>HYPERLINK("http://bbs.12365auto.com/postcontent.aspx?tId=193438","http://bbs.12365auto.com/postcontent.aspx?tId=193438")</f>
        <v>http://bbs.12365auto.com/postcontent.aspx?tId=193438</v>
      </c>
      <c r="G11287" s="2"/>
      <c r="H11287" s="2" t="s">
        <v>15085</v>
      </c>
      <c r="I11287" s="2" t="s">
        <v>15</v>
      </c>
      <c r="J11287" s="2" t="s">
        <v>1903</v>
      </c>
      <c r="K11287" s="2" t="s">
        <v>15081</v>
      </c>
      <c r="L11287" s="2">
        <f t="shared" si="176"/>
        <v>150</v>
      </c>
    </row>
    <row r="11288" spans="1:12" ht="25" customHeight="1">
      <c r="A11288" s="2" t="s">
        <v>12</v>
      </c>
      <c r="B11288" s="2" t="str">
        <f>HYPERLINK("http://bbs.12365auto.com/postcontent.aspx?tID=193436","比燃油版动力更出色 试驾荣威RX5 eMAX 500PHEV")</f>
        <v>比燃油版动力更出色 试驾荣威RX5 eMAX 500PHEV</v>
      </c>
      <c r="C11288" s="2" t="s">
        <v>13</v>
      </c>
      <c r="D11288" s="2" t="s">
        <v>12</v>
      </c>
      <c r="E11288" s="2" t="s">
        <v>28</v>
      </c>
      <c r="F11288" s="2" t="str">
        <f>HYPERLINK("http://bbs.12365auto.com/postcontent.aspx?tID=193436","http://bbs.12365auto.com/postcontent.aspx?tID=193436")</f>
        <v>http://bbs.12365auto.com/postcontent.aspx?tID=193436</v>
      </c>
      <c r="G11288" s="2"/>
      <c r="H11288" s="2" t="s">
        <v>15090</v>
      </c>
      <c r="I11288" s="2" t="s">
        <v>15</v>
      </c>
      <c r="J11288" s="2" t="s">
        <v>5704</v>
      </c>
      <c r="K11288" s="2" t="s">
        <v>15081</v>
      </c>
      <c r="L11288" s="2">
        <f t="shared" si="176"/>
        <v>150</v>
      </c>
    </row>
    <row r="11289" spans="1:12" ht="25" customHeight="1">
      <c r="A11289" s="2" t="s">
        <v>12</v>
      </c>
      <c r="B11289" s="2" t="str">
        <f>HYPERLINK("http://www.12365auto.com/xcdg/20200206/417869.shtml","路虎发现运动版搭2.0T发动机 百里油耗7.6升")</f>
        <v>路虎发现运动版搭2.0T发动机 百里油耗7.6升</v>
      </c>
      <c r="C11289" s="2" t="s">
        <v>13</v>
      </c>
      <c r="D11289" s="2" t="s">
        <v>12</v>
      </c>
      <c r="E11289" s="2" t="s">
        <v>216</v>
      </c>
      <c r="F11289" s="2" t="str">
        <f>HYPERLINK("http://www.12365auto.com/xcdg/20200206/417869.shtml","http://www.12365auto.com/xcdg/20200206/417869.shtml")</f>
        <v>http://www.12365auto.com/xcdg/20200206/417869.shtml</v>
      </c>
      <c r="G11289" s="2"/>
      <c r="H11289" s="2" t="s">
        <v>15091</v>
      </c>
      <c r="I11289" s="2" t="s">
        <v>15</v>
      </c>
      <c r="J11289" s="2" t="s">
        <v>12</v>
      </c>
      <c r="K11289" s="2" t="s">
        <v>15081</v>
      </c>
      <c r="L11289" s="2">
        <f t="shared" si="176"/>
        <v>150</v>
      </c>
    </row>
    <row r="11290" spans="1:12" ht="25" customHeight="1">
      <c r="A11290" s="2" t="s">
        <v>12</v>
      </c>
      <c r="B11290" s="2" t="str">
        <f>HYPERLINK("http://bbs.12365auto.com/postcontent.aspx?tID=193438","新能源汽车锂电池使用寿命多长")</f>
        <v>新能源汽车锂电池使用寿命多长</v>
      </c>
      <c r="C11290" s="2" t="s">
        <v>13</v>
      </c>
      <c r="D11290" s="2" t="s">
        <v>12</v>
      </c>
      <c r="E11290" s="2" t="s">
        <v>28</v>
      </c>
      <c r="F11290" s="2" t="str">
        <f>HYPERLINK("http://bbs.12365auto.com/postcontent.aspx?tID=193438","http://bbs.12365auto.com/postcontent.aspx?tID=193438")</f>
        <v>http://bbs.12365auto.com/postcontent.aspx?tID=193438</v>
      </c>
      <c r="G11290" s="2"/>
      <c r="H11290" s="2" t="s">
        <v>15092</v>
      </c>
      <c r="I11290" s="2" t="s">
        <v>15</v>
      </c>
      <c r="J11290" s="2" t="s">
        <v>1903</v>
      </c>
      <c r="K11290" s="2" t="s">
        <v>15081</v>
      </c>
      <c r="L11290" s="2">
        <f t="shared" si="176"/>
        <v>150</v>
      </c>
    </row>
    <row r="11291" spans="1:12" ht="25" customHeight="1">
      <c r="A11291" s="2" t="s">
        <v>12</v>
      </c>
      <c r="B11291" s="2" t="str">
        <f>HYPERLINK("http://bbs.12365auto.com/postcontent.aspx?tID=193435","汽车遇到锯齿车道要怎么开")</f>
        <v>汽车遇到锯齿车道要怎么开</v>
      </c>
      <c r="C11291" s="2" t="s">
        <v>13</v>
      </c>
      <c r="D11291" s="2" t="s">
        <v>12</v>
      </c>
      <c r="E11291" s="2" t="s">
        <v>28</v>
      </c>
      <c r="F11291" s="2" t="str">
        <f>HYPERLINK("http://bbs.12365auto.com/postcontent.aspx?tID=193435","http://bbs.12365auto.com/postcontent.aspx?tID=193435")</f>
        <v>http://bbs.12365auto.com/postcontent.aspx?tID=193435</v>
      </c>
      <c r="G11291" s="2"/>
      <c r="H11291" s="2" t="s">
        <v>15093</v>
      </c>
      <c r="I11291" s="2" t="s">
        <v>15</v>
      </c>
      <c r="J11291" s="2" t="s">
        <v>1903</v>
      </c>
      <c r="K11291" s="2" t="s">
        <v>15094</v>
      </c>
      <c r="L11291" s="2">
        <f t="shared" si="176"/>
        <v>150</v>
      </c>
    </row>
    <row r="11292" spans="1:12" ht="25" customHeight="1">
      <c r="A11292" s="2" t="s">
        <v>12</v>
      </c>
      <c r="B11292" s="2" t="str">
        <f>HYPERLINK("http://m.12365auto.com/news/20200206/417868.shtml","雷诺发布E-Tech计划 推进电动化和自动驾驶")</f>
        <v>雷诺发布E-Tech计划 推进电动化和自动驾驶</v>
      </c>
      <c r="C11292" s="2" t="s">
        <v>13</v>
      </c>
      <c r="D11292" s="2" t="s">
        <v>12</v>
      </c>
      <c r="E11292" s="2"/>
      <c r="F11292" s="2" t="str">
        <f>HYPERLINK("http://m.12365auto.com/news/20200206/417868.shtml","http://m.12365auto.com/news/20200206/417868.shtml")</f>
        <v>http://m.12365auto.com/news/20200206/417868.shtml</v>
      </c>
      <c r="G11292" s="2"/>
      <c r="H11292" s="2" t="s">
        <v>15095</v>
      </c>
      <c r="I11292" s="2" t="s">
        <v>19</v>
      </c>
      <c r="J11292" s="2" t="s">
        <v>230</v>
      </c>
      <c r="K11292" s="2" t="s">
        <v>15094</v>
      </c>
      <c r="L11292" s="2">
        <f t="shared" si="176"/>
        <v>150</v>
      </c>
    </row>
    <row r="11293" spans="1:12" ht="25" customHeight="1">
      <c r="A11293" s="2" t="s">
        <v>12</v>
      </c>
      <c r="B11293" s="2" t="str">
        <f>HYPERLINK("http://m.12365auto.com/bbs/postcontent.aspx?tID=193435","汽车遇到锯齿车道要怎么开")</f>
        <v>汽车遇到锯齿车道要怎么开</v>
      </c>
      <c r="C11293" s="2" t="s">
        <v>13</v>
      </c>
      <c r="D11293" s="2" t="s">
        <v>23</v>
      </c>
      <c r="E11293" s="2"/>
      <c r="F11293" s="2" t="str">
        <f>HYPERLINK("http://m.12365auto.com/bbs/postcontent.aspx?tID=193435","http://m.12365auto.com/bbs/postcontent.aspx?tID=193435")</f>
        <v>http://m.12365auto.com/bbs/postcontent.aspx?tID=193435</v>
      </c>
      <c r="G11293" s="2"/>
      <c r="H11293" s="2" t="s">
        <v>15096</v>
      </c>
      <c r="I11293" s="2" t="s">
        <v>15</v>
      </c>
      <c r="J11293" s="2" t="s">
        <v>1903</v>
      </c>
      <c r="K11293" s="2" t="s">
        <v>15094</v>
      </c>
      <c r="L11293" s="2">
        <f t="shared" si="176"/>
        <v>150</v>
      </c>
    </row>
    <row r="11294" spans="1:12" ht="25" customHeight="1">
      <c r="A11294" s="2" t="s">
        <v>12</v>
      </c>
      <c r="B11294" s="2" t="str">
        <f>HYPERLINK("http://bbs.12365auto.com/postcontent.aspx?tId=193435","汽车遇到锯齿车道要怎么开")</f>
        <v>汽车遇到锯齿车道要怎么开</v>
      </c>
      <c r="C11294" s="2" t="s">
        <v>13</v>
      </c>
      <c r="D11294" s="2" t="s">
        <v>12</v>
      </c>
      <c r="E11294" s="2" t="s">
        <v>27</v>
      </c>
      <c r="F11294" s="2" t="str">
        <f>HYPERLINK("http://bbs.12365auto.com/postcontent.aspx?tId=193435","http://bbs.12365auto.com/postcontent.aspx?tId=193435")</f>
        <v>http://bbs.12365auto.com/postcontent.aspx?tId=193435</v>
      </c>
      <c r="G11294" s="2"/>
      <c r="H11294" s="2" t="s">
        <v>15096</v>
      </c>
      <c r="I11294" s="2" t="s">
        <v>15</v>
      </c>
      <c r="J11294" s="2" t="s">
        <v>1903</v>
      </c>
      <c r="K11294" s="2" t="s">
        <v>15094</v>
      </c>
      <c r="L11294" s="2">
        <f t="shared" si="176"/>
        <v>150</v>
      </c>
    </row>
    <row r="11295" spans="1:12" ht="25" customHeight="1">
      <c r="A11295" s="2" t="s">
        <v>12</v>
      </c>
      <c r="B11295" s="2" t="str">
        <f>HYPERLINK("http://www.12365auto.com/news/20200206/417868.shtml","雷诺发布E-Tech计划 推进电动化和自动驾驶")</f>
        <v>雷诺发布E-Tech计划 推进电动化和自动驾驶</v>
      </c>
      <c r="C11295" s="2" t="s">
        <v>13</v>
      </c>
      <c r="D11295" s="2" t="s">
        <v>12</v>
      </c>
      <c r="E11295" s="2" t="s">
        <v>276</v>
      </c>
      <c r="F11295" s="2" t="str">
        <f>HYPERLINK("http://www.12365auto.com/news/20200206/417868.shtml","http://www.12365auto.com/news/20200206/417868.shtml")</f>
        <v>http://www.12365auto.com/news/20200206/417868.shtml</v>
      </c>
      <c r="G11295" s="2"/>
      <c r="H11295" s="2" t="s">
        <v>15097</v>
      </c>
      <c r="I11295" s="2" t="s">
        <v>15</v>
      </c>
      <c r="J11295" s="2" t="s">
        <v>12</v>
      </c>
      <c r="K11295" s="2" t="s">
        <v>15094</v>
      </c>
      <c r="L11295" s="2">
        <f t="shared" si="176"/>
        <v>150</v>
      </c>
    </row>
    <row r="11296" spans="1:12" ht="25" customHeight="1">
      <c r="A11296" s="2" t="s">
        <v>12</v>
      </c>
      <c r="B11296" s="2" t="str">
        <f>HYPERLINK("http://bbs.12365auto.com/postcontent.aspx?tID=193433","现在车内如何进行科学消毒")</f>
        <v>现在车内如何进行科学消毒</v>
      </c>
      <c r="C11296" s="2" t="s">
        <v>13</v>
      </c>
      <c r="D11296" s="2" t="s">
        <v>12</v>
      </c>
      <c r="E11296" s="2" t="s">
        <v>28</v>
      </c>
      <c r="F11296" s="2" t="str">
        <f>HYPERLINK("http://bbs.12365auto.com/postcontent.aspx?tID=193433","http://bbs.12365auto.com/postcontent.aspx?tID=193433")</f>
        <v>http://bbs.12365auto.com/postcontent.aspx?tID=193433</v>
      </c>
      <c r="G11296" s="2"/>
      <c r="H11296" s="2" t="s">
        <v>15098</v>
      </c>
      <c r="I11296" s="2" t="s">
        <v>15</v>
      </c>
      <c r="J11296" s="2" t="s">
        <v>5704</v>
      </c>
      <c r="K11296" s="2" t="s">
        <v>15099</v>
      </c>
      <c r="L11296" s="2">
        <f t="shared" si="176"/>
        <v>150</v>
      </c>
    </row>
    <row r="11297" spans="1:12" ht="25" customHeight="1">
      <c r="A11297" s="2" t="s">
        <v>12</v>
      </c>
      <c r="B11297" s="2" t="str">
        <f>HYPERLINK("http://m.12365auto.com/bbs/postcontent.aspx?tID=193434","驾驶证副页可别不当回事")</f>
        <v>驾驶证副页可别不当回事</v>
      </c>
      <c r="C11297" s="2" t="s">
        <v>13</v>
      </c>
      <c r="D11297" s="2" t="s">
        <v>23</v>
      </c>
      <c r="E11297" s="2"/>
      <c r="F11297" s="2" t="str">
        <f>HYPERLINK("http://m.12365auto.com/bbs/postcontent.aspx?tID=193434","http://m.12365auto.com/bbs/postcontent.aspx?tID=193434")</f>
        <v>http://m.12365auto.com/bbs/postcontent.aspx?tID=193434</v>
      </c>
      <c r="G11297" s="2"/>
      <c r="H11297" s="2" t="s">
        <v>15100</v>
      </c>
      <c r="I11297" s="2" t="s">
        <v>15</v>
      </c>
      <c r="J11297" s="2" t="s">
        <v>1903</v>
      </c>
      <c r="K11297" s="2" t="s">
        <v>15099</v>
      </c>
      <c r="L11297" s="2">
        <f t="shared" si="176"/>
        <v>150</v>
      </c>
    </row>
    <row r="11298" spans="1:12" ht="25" customHeight="1">
      <c r="A11298" s="2" t="s">
        <v>12</v>
      </c>
      <c r="B11298" s="2" t="str">
        <f>HYPERLINK("http://m.12365auto.com/bbs/postcontent.aspx?tID=193433","现在车内如何进行科学消毒")</f>
        <v>现在车内如何进行科学消毒</v>
      </c>
      <c r="C11298" s="2" t="s">
        <v>13</v>
      </c>
      <c r="D11298" s="2" t="s">
        <v>23</v>
      </c>
      <c r="E11298" s="2"/>
      <c r="F11298" s="2" t="str">
        <f>HYPERLINK("http://m.12365auto.com/bbs/postcontent.aspx?tID=193433","http://m.12365auto.com/bbs/postcontent.aspx?tID=193433")</f>
        <v>http://m.12365auto.com/bbs/postcontent.aspx?tID=193433</v>
      </c>
      <c r="G11298" s="2"/>
      <c r="H11298" s="2" t="s">
        <v>15101</v>
      </c>
      <c r="I11298" s="2" t="s">
        <v>15</v>
      </c>
      <c r="J11298" s="2" t="s">
        <v>5704</v>
      </c>
      <c r="K11298" s="2" t="s">
        <v>15099</v>
      </c>
      <c r="L11298" s="2">
        <f t="shared" si="176"/>
        <v>150</v>
      </c>
    </row>
    <row r="11299" spans="1:12" ht="25" customHeight="1">
      <c r="A11299" s="2" t="s">
        <v>12</v>
      </c>
      <c r="B11299" s="2" t="str">
        <f>HYPERLINK("http://bbs.12365auto.com/postcontent.aspx?tID=193434","驾驶证副页可别不当回事")</f>
        <v>驾驶证副页可别不当回事</v>
      </c>
      <c r="C11299" s="2" t="s">
        <v>13</v>
      </c>
      <c r="D11299" s="2" t="s">
        <v>12</v>
      </c>
      <c r="E11299" s="2" t="s">
        <v>28</v>
      </c>
      <c r="F11299" s="2" t="str">
        <f>HYPERLINK("http://bbs.12365auto.com/postcontent.aspx?tID=193434","http://bbs.12365auto.com/postcontent.aspx?tID=193434")</f>
        <v>http://bbs.12365auto.com/postcontent.aspx?tID=193434</v>
      </c>
      <c r="G11299" s="2"/>
      <c r="H11299" s="2" t="s">
        <v>15102</v>
      </c>
      <c r="I11299" s="2" t="s">
        <v>15</v>
      </c>
      <c r="J11299" s="2" t="s">
        <v>1903</v>
      </c>
      <c r="K11299" s="2" t="s">
        <v>15099</v>
      </c>
      <c r="L11299" s="2">
        <f t="shared" si="176"/>
        <v>150</v>
      </c>
    </row>
    <row r="11300" spans="1:12" ht="25" customHeight="1">
      <c r="A11300" s="2" t="s">
        <v>12</v>
      </c>
      <c r="B11300" s="2" t="str">
        <f>HYPERLINK("http://bbs.12365auto.com/postcontent.aspx?tId=193434","驾驶证副页可别不当回事")</f>
        <v>驾驶证副页可别不当回事</v>
      </c>
      <c r="C11300" s="2" t="s">
        <v>13</v>
      </c>
      <c r="D11300" s="2" t="s">
        <v>12</v>
      </c>
      <c r="E11300" s="2" t="s">
        <v>27</v>
      </c>
      <c r="F11300" s="2" t="str">
        <f>HYPERLINK("http://bbs.12365auto.com/postcontent.aspx?tId=193434","http://bbs.12365auto.com/postcontent.aspx?tId=193434")</f>
        <v>http://bbs.12365auto.com/postcontent.aspx?tId=193434</v>
      </c>
      <c r="G11300" s="2"/>
      <c r="H11300" s="2" t="s">
        <v>15100</v>
      </c>
      <c r="I11300" s="2" t="s">
        <v>15</v>
      </c>
      <c r="J11300" s="2" t="s">
        <v>1903</v>
      </c>
      <c r="K11300" s="2" t="s">
        <v>15099</v>
      </c>
      <c r="L11300" s="2">
        <f t="shared" si="176"/>
        <v>150</v>
      </c>
    </row>
    <row r="11301" spans="1:12" ht="25" customHeight="1">
      <c r="A11301" s="2" t="s">
        <v>12</v>
      </c>
      <c r="B11301" s="2" t="str">
        <f>HYPERLINK("http://bbs.12365auto.com/postcontent.aspx?tId=193433","现在车内如何进行科学消毒")</f>
        <v>现在车内如何进行科学消毒</v>
      </c>
      <c r="C11301" s="2" t="s">
        <v>13</v>
      </c>
      <c r="D11301" s="2" t="s">
        <v>12</v>
      </c>
      <c r="E11301" s="2" t="s">
        <v>27</v>
      </c>
      <c r="F11301" s="2" t="str">
        <f>HYPERLINK("http://bbs.12365auto.com/postcontent.aspx?tId=193433","http://bbs.12365auto.com/postcontent.aspx?tId=193433")</f>
        <v>http://bbs.12365auto.com/postcontent.aspx?tId=193433</v>
      </c>
      <c r="G11301" s="2"/>
      <c r="H11301" s="2" t="s">
        <v>15101</v>
      </c>
      <c r="I11301" s="2" t="s">
        <v>15</v>
      </c>
      <c r="J11301" s="2" t="s">
        <v>5704</v>
      </c>
      <c r="K11301" s="2" t="s">
        <v>15099</v>
      </c>
      <c r="L11301" s="2">
        <f t="shared" si="176"/>
        <v>150</v>
      </c>
    </row>
    <row r="11302" spans="1:12" ht="25" customHeight="1">
      <c r="A11302" s="2" t="s">
        <v>12</v>
      </c>
      <c r="B11302" s="2" t="str">
        <f>HYPERLINK("http://m.12365auto.com/bbs/postcontent.aspx?tID=193431","旗舰来了 比亚迪汉实车曝光")</f>
        <v>旗舰来了 比亚迪汉实车曝光</v>
      </c>
      <c r="C11302" s="2" t="s">
        <v>13</v>
      </c>
      <c r="D11302" s="2" t="s">
        <v>23</v>
      </c>
      <c r="E11302" s="2"/>
      <c r="F11302" s="2" t="str">
        <f>HYPERLINK("http://m.12365auto.com/bbs/postcontent.aspx?tID=193431","http://m.12365auto.com/bbs/postcontent.aspx?tID=193431")</f>
        <v>http://m.12365auto.com/bbs/postcontent.aspx?tID=193431</v>
      </c>
      <c r="G11302" s="2"/>
      <c r="H11302" s="2" t="s">
        <v>15103</v>
      </c>
      <c r="I11302" s="2" t="s">
        <v>15</v>
      </c>
      <c r="J11302" s="2" t="s">
        <v>5704</v>
      </c>
      <c r="K11302" s="2" t="s">
        <v>15104</v>
      </c>
      <c r="L11302" s="2">
        <f t="shared" si="176"/>
        <v>150</v>
      </c>
    </row>
    <row r="11303" spans="1:12" ht="25" customHeight="1">
      <c r="A11303" s="2" t="s">
        <v>12</v>
      </c>
      <c r="B11303" s="2" t="str">
        <f>HYPERLINK("http://m.12365auto.com/bbs/postcontent.aspx?tID=193432","“窄轮胎”与“宽轮胎”差距到底在哪")</f>
        <v>“窄轮胎”与“宽轮胎”差距到底在哪</v>
      </c>
      <c r="C11303" s="2" t="s">
        <v>13</v>
      </c>
      <c r="D11303" s="2" t="s">
        <v>23</v>
      </c>
      <c r="E11303" s="2"/>
      <c r="F11303" s="2" t="str">
        <f>HYPERLINK("http://m.12365auto.com/bbs/postcontent.aspx?tID=193432","http://m.12365auto.com/bbs/postcontent.aspx?tID=193432")</f>
        <v>http://m.12365auto.com/bbs/postcontent.aspx?tID=193432</v>
      </c>
      <c r="G11303" s="2"/>
      <c r="H11303" s="2" t="s">
        <v>15105</v>
      </c>
      <c r="I11303" s="2" t="s">
        <v>15</v>
      </c>
      <c r="J11303" s="2" t="s">
        <v>1903</v>
      </c>
      <c r="K11303" s="2" t="s">
        <v>15104</v>
      </c>
      <c r="L11303" s="2">
        <f t="shared" si="176"/>
        <v>150</v>
      </c>
    </row>
    <row r="11304" spans="1:12" ht="25" customHeight="1">
      <c r="A11304" s="2" t="s">
        <v>12</v>
      </c>
      <c r="B11304" s="2" t="str">
        <f>HYPERLINK("http://bbs.12365auto.com/postcontent.aspx?tID=193431","旗舰来了 比亚迪汉实车曝光")</f>
        <v>旗舰来了 比亚迪汉实车曝光</v>
      </c>
      <c r="C11304" s="2" t="s">
        <v>13</v>
      </c>
      <c r="D11304" s="2" t="s">
        <v>12</v>
      </c>
      <c r="E11304" s="2" t="s">
        <v>28</v>
      </c>
      <c r="F11304" s="2" t="str">
        <f>HYPERLINK("http://bbs.12365auto.com/postcontent.aspx?tID=193431","http://bbs.12365auto.com/postcontent.aspx?tID=193431")</f>
        <v>http://bbs.12365auto.com/postcontent.aspx?tID=193431</v>
      </c>
      <c r="G11304" s="2"/>
      <c r="H11304" s="2" t="s">
        <v>15106</v>
      </c>
      <c r="I11304" s="2" t="s">
        <v>15</v>
      </c>
      <c r="J11304" s="2" t="s">
        <v>5704</v>
      </c>
      <c r="K11304" s="2" t="s">
        <v>15104</v>
      </c>
      <c r="L11304" s="2">
        <f t="shared" si="176"/>
        <v>150</v>
      </c>
    </row>
    <row r="11305" spans="1:12" ht="25" customHeight="1">
      <c r="A11305" s="2" t="s">
        <v>12</v>
      </c>
      <c r="B11305" s="2" t="str">
        <f>HYPERLINK("http://bbs.12365auto.com/postcontent.aspx?tId=193432","“窄轮胎”与“宽轮胎”差距到底在哪")</f>
        <v>“窄轮胎”与“宽轮胎”差距到底在哪</v>
      </c>
      <c r="C11305" s="2" t="s">
        <v>13</v>
      </c>
      <c r="D11305" s="2" t="s">
        <v>12</v>
      </c>
      <c r="E11305" s="2" t="s">
        <v>27</v>
      </c>
      <c r="F11305" s="2" t="str">
        <f>HYPERLINK("http://bbs.12365auto.com/postcontent.aspx?tId=193432","http://bbs.12365auto.com/postcontent.aspx?tId=193432")</f>
        <v>http://bbs.12365auto.com/postcontent.aspx?tId=193432</v>
      </c>
      <c r="G11305" s="2"/>
      <c r="H11305" s="2" t="s">
        <v>15105</v>
      </c>
      <c r="I11305" s="2" t="s">
        <v>15</v>
      </c>
      <c r="J11305" s="2" t="s">
        <v>1903</v>
      </c>
      <c r="K11305" s="2" t="s">
        <v>15104</v>
      </c>
      <c r="L11305" s="2">
        <f t="shared" si="176"/>
        <v>150</v>
      </c>
    </row>
    <row r="11306" spans="1:12" ht="25" customHeight="1">
      <c r="A11306" s="2" t="s">
        <v>12</v>
      </c>
      <c r="B11306" s="2" t="str">
        <f>HYPERLINK("http://bbs.12365auto.com/postcontent.aspx?tID=193432","“窄轮胎”与“宽轮胎”差距到底在哪")</f>
        <v>“窄轮胎”与“宽轮胎”差距到底在哪</v>
      </c>
      <c r="C11306" s="2" t="s">
        <v>13</v>
      </c>
      <c r="D11306" s="2" t="s">
        <v>12</v>
      </c>
      <c r="E11306" s="2" t="s">
        <v>28</v>
      </c>
      <c r="F11306" s="2" t="str">
        <f>HYPERLINK("http://bbs.12365auto.com/postcontent.aspx?tID=193432","http://bbs.12365auto.com/postcontent.aspx?tID=193432")</f>
        <v>http://bbs.12365auto.com/postcontent.aspx?tID=193432</v>
      </c>
      <c r="G11306" s="2"/>
      <c r="H11306" s="2" t="s">
        <v>15107</v>
      </c>
      <c r="I11306" s="2" t="s">
        <v>15</v>
      </c>
      <c r="J11306" s="2" t="s">
        <v>1903</v>
      </c>
      <c r="K11306" s="2" t="s">
        <v>15104</v>
      </c>
      <c r="L11306" s="2">
        <f t="shared" si="176"/>
        <v>150</v>
      </c>
    </row>
    <row r="11307" spans="1:12" ht="25" customHeight="1">
      <c r="A11307" s="2" t="s">
        <v>12</v>
      </c>
      <c r="B11307" s="2" t="str">
        <f>HYPERLINK("http://bbs.12365auto.com/postcontent.aspx?tId=193430","交通肇事可能承担的法律责任有哪些")</f>
        <v>交通肇事可能承担的法律责任有哪些</v>
      </c>
      <c r="C11307" s="2" t="s">
        <v>13</v>
      </c>
      <c r="D11307" s="2" t="s">
        <v>12</v>
      </c>
      <c r="E11307" s="2" t="s">
        <v>27</v>
      </c>
      <c r="F11307" s="2" t="str">
        <f>HYPERLINK("http://bbs.12365auto.com/postcontent.aspx?tId=193430","http://bbs.12365auto.com/postcontent.aspx?tId=193430")</f>
        <v>http://bbs.12365auto.com/postcontent.aspx?tId=193430</v>
      </c>
      <c r="G11307" s="2"/>
      <c r="H11307" s="2" t="s">
        <v>15108</v>
      </c>
      <c r="I11307" s="2" t="s">
        <v>15</v>
      </c>
      <c r="J11307" s="2" t="s">
        <v>1903</v>
      </c>
      <c r="K11307" s="2" t="s">
        <v>15104</v>
      </c>
      <c r="L11307" s="2">
        <f t="shared" si="176"/>
        <v>150</v>
      </c>
    </row>
    <row r="11308" spans="1:12" ht="25" customHeight="1">
      <c r="A11308" s="2" t="s">
        <v>12</v>
      </c>
      <c r="B11308" s="2" t="str">
        <f>HYPERLINK("http://bbs.12365auto.com/postcontent.aspx?tId=193431","旗舰来了 比亚迪汉实车曝光")</f>
        <v>旗舰来了 比亚迪汉实车曝光</v>
      </c>
      <c r="C11308" s="2" t="s">
        <v>13</v>
      </c>
      <c r="D11308" s="2" t="s">
        <v>12</v>
      </c>
      <c r="E11308" s="2" t="s">
        <v>27</v>
      </c>
      <c r="F11308" s="2" t="str">
        <f>HYPERLINK("http://bbs.12365auto.com/postcontent.aspx?tId=193431","http://bbs.12365auto.com/postcontent.aspx?tId=193431")</f>
        <v>http://bbs.12365auto.com/postcontent.aspx?tId=193431</v>
      </c>
      <c r="G11308" s="2"/>
      <c r="H11308" s="2" t="s">
        <v>15103</v>
      </c>
      <c r="I11308" s="2" t="s">
        <v>15</v>
      </c>
      <c r="J11308" s="2" t="s">
        <v>5704</v>
      </c>
      <c r="K11308" s="2" t="s">
        <v>15104</v>
      </c>
      <c r="L11308" s="2">
        <f t="shared" si="176"/>
        <v>150</v>
      </c>
    </row>
    <row r="11309" spans="1:12" ht="25" customHeight="1">
      <c r="A11309" s="2" t="s">
        <v>12</v>
      </c>
      <c r="B11309" s="2" t="str">
        <f>HYPERLINK("http://bbs.12365auto.com/postcontent.aspx?tID=193430","交通肇事可能承担的法律责任有哪些")</f>
        <v>交通肇事可能承担的法律责任有哪些</v>
      </c>
      <c r="C11309" s="2" t="s">
        <v>13</v>
      </c>
      <c r="D11309" s="2" t="s">
        <v>12</v>
      </c>
      <c r="E11309" s="2" t="s">
        <v>28</v>
      </c>
      <c r="F11309" s="2" t="str">
        <f>HYPERLINK("http://bbs.12365auto.com/postcontent.aspx?tID=193430","http://bbs.12365auto.com/postcontent.aspx?tID=193430")</f>
        <v>http://bbs.12365auto.com/postcontent.aspx?tID=193430</v>
      </c>
      <c r="G11309" s="2"/>
      <c r="H11309" s="2" t="s">
        <v>15109</v>
      </c>
      <c r="I11309" s="2" t="s">
        <v>15</v>
      </c>
      <c r="J11309" s="2" t="s">
        <v>1903</v>
      </c>
      <c r="K11309" s="2" t="s">
        <v>15104</v>
      </c>
      <c r="L11309" s="2">
        <f t="shared" si="176"/>
        <v>150</v>
      </c>
    </row>
    <row r="11310" spans="1:12" ht="25" customHeight="1">
      <c r="A11310" s="2" t="s">
        <v>12</v>
      </c>
      <c r="B11310" s="2" t="str">
        <f>HYPERLINK("http://bbs.12365auto.com/postcontent.aspx?tId=193429","30万预算 选国产Model 3还是奔驰C")</f>
        <v>30万预算 选国产Model 3还是奔驰C</v>
      </c>
      <c r="C11310" s="2" t="s">
        <v>13</v>
      </c>
      <c r="D11310" s="2" t="s">
        <v>12</v>
      </c>
      <c r="E11310" s="2" t="s">
        <v>27</v>
      </c>
      <c r="F11310" s="2" t="str">
        <f>HYPERLINK("http://bbs.12365auto.com/postcontent.aspx?tId=193429","http://bbs.12365auto.com/postcontent.aspx?tId=193429")</f>
        <v>http://bbs.12365auto.com/postcontent.aspx?tId=193429</v>
      </c>
      <c r="G11310" s="2"/>
      <c r="H11310" s="2" t="s">
        <v>15110</v>
      </c>
      <c r="I11310" s="2" t="s">
        <v>15</v>
      </c>
      <c r="J11310" s="2" t="s">
        <v>5704</v>
      </c>
      <c r="K11310" s="2" t="s">
        <v>15111</v>
      </c>
      <c r="L11310" s="2">
        <f t="shared" si="176"/>
        <v>150</v>
      </c>
    </row>
    <row r="11311" spans="1:12" ht="25" customHeight="1">
      <c r="A11311" s="2" t="s">
        <v>12</v>
      </c>
      <c r="B11311" s="2" t="str">
        <f>HYPERLINK("http://bbs.12365auto.com/postcontent.aspx?tId=193428","动图说安全")</f>
        <v>动图说安全</v>
      </c>
      <c r="C11311" s="2" t="s">
        <v>13</v>
      </c>
      <c r="D11311" s="2" t="s">
        <v>12</v>
      </c>
      <c r="E11311" s="2" t="s">
        <v>27</v>
      </c>
      <c r="F11311" s="2" t="str">
        <f>HYPERLINK("http://bbs.12365auto.com/postcontent.aspx?tId=193428","http://bbs.12365auto.com/postcontent.aspx?tId=193428")</f>
        <v>http://bbs.12365auto.com/postcontent.aspx?tId=193428</v>
      </c>
      <c r="G11311" s="2"/>
      <c r="H11311" s="2" t="s">
        <v>15112</v>
      </c>
      <c r="I11311" s="2" t="s">
        <v>15</v>
      </c>
      <c r="J11311" s="2" t="s">
        <v>1903</v>
      </c>
      <c r="K11311" s="2" t="s">
        <v>15111</v>
      </c>
      <c r="L11311" s="2">
        <f t="shared" si="176"/>
        <v>54</v>
      </c>
    </row>
    <row r="11312" spans="1:12" ht="25" customHeight="1">
      <c r="A11312" s="2" t="s">
        <v>12</v>
      </c>
      <c r="B11312" s="2" t="str">
        <f>HYPERLINK("http://bbs.12365auto.com/postcontent.aspx?tID=193429","30万预算 选国产Model 3还是奔驰C")</f>
        <v>30万预算 选国产Model 3还是奔驰C</v>
      </c>
      <c r="C11312" s="2" t="s">
        <v>13</v>
      </c>
      <c r="D11312" s="2" t="s">
        <v>12</v>
      </c>
      <c r="E11312" s="2" t="s">
        <v>28</v>
      </c>
      <c r="F11312" s="2" t="str">
        <f>HYPERLINK("http://bbs.12365auto.com/postcontent.aspx?tID=193429","http://bbs.12365auto.com/postcontent.aspx?tID=193429")</f>
        <v>http://bbs.12365auto.com/postcontent.aspx?tID=193429</v>
      </c>
      <c r="G11312" s="2"/>
      <c r="H11312" s="2" t="s">
        <v>15113</v>
      </c>
      <c r="I11312" s="2" t="s">
        <v>15</v>
      </c>
      <c r="J11312" s="2" t="s">
        <v>5704</v>
      </c>
      <c r="K11312" s="2" t="s">
        <v>15111</v>
      </c>
      <c r="L11312" s="2">
        <f t="shared" si="176"/>
        <v>150</v>
      </c>
    </row>
    <row r="11313" spans="1:12" ht="25" customHeight="1">
      <c r="A11313" s="2" t="s">
        <v>12</v>
      </c>
      <c r="B11313" s="2" t="str">
        <f>HYPERLINK("http://bbs.12365auto.com/postcontent.aspx?tID=193428","动图说安全")</f>
        <v>动图说安全</v>
      </c>
      <c r="C11313" s="2" t="s">
        <v>13</v>
      </c>
      <c r="D11313" s="2" t="s">
        <v>12</v>
      </c>
      <c r="E11313" s="2" t="s">
        <v>28</v>
      </c>
      <c r="F11313" s="2" t="str">
        <f>HYPERLINK("http://bbs.12365auto.com/postcontent.aspx?tID=193428","http://bbs.12365auto.com/postcontent.aspx?tID=193428")</f>
        <v>http://bbs.12365auto.com/postcontent.aspx?tID=193428</v>
      </c>
      <c r="G11313" s="2"/>
      <c r="H11313" s="2" t="s">
        <v>15114</v>
      </c>
      <c r="I11313" s="2" t="s">
        <v>15</v>
      </c>
      <c r="J11313" s="2" t="s">
        <v>1903</v>
      </c>
      <c r="K11313" s="2" t="s">
        <v>15111</v>
      </c>
      <c r="L11313" s="2">
        <f t="shared" si="176"/>
        <v>59</v>
      </c>
    </row>
    <row r="11314" spans="1:12" ht="25" customHeight="1">
      <c r="A11314" s="2" t="s">
        <v>12</v>
      </c>
      <c r="B11314" s="2" t="str">
        <f>HYPERLINK("http://bbs.12365auto.com/postcontent.aspx?tId=193426","宝马4系谍照曝光 拥有更大尺寸的进气格栅")</f>
        <v>宝马4系谍照曝光 拥有更大尺寸的进气格栅</v>
      </c>
      <c r="C11314" s="2" t="s">
        <v>13</v>
      </c>
      <c r="D11314" s="2" t="s">
        <v>12</v>
      </c>
      <c r="E11314" s="2" t="s">
        <v>27</v>
      </c>
      <c r="F11314" s="2" t="str">
        <f>HYPERLINK("http://bbs.12365auto.com/postcontent.aspx?tId=193426","http://bbs.12365auto.com/postcontent.aspx?tId=193426")</f>
        <v>http://bbs.12365auto.com/postcontent.aspx?tId=193426</v>
      </c>
      <c r="G11314" s="2"/>
      <c r="H11314" s="2" t="s">
        <v>15115</v>
      </c>
      <c r="I11314" s="2" t="s">
        <v>15</v>
      </c>
      <c r="J11314" s="2" t="s">
        <v>5704</v>
      </c>
      <c r="K11314" s="2" t="s">
        <v>15116</v>
      </c>
      <c r="L11314" s="2">
        <f t="shared" si="176"/>
        <v>150</v>
      </c>
    </row>
    <row r="11315" spans="1:12" ht="25" customHeight="1">
      <c r="A11315" s="2" t="s">
        <v>12</v>
      </c>
      <c r="B11315" s="2" t="str">
        <f>HYPERLINK("http://www.12365auto.com/parts/20200206/417867.shtml","冰雪世界里需要一双钉鞋 倍耐力推新轮胎")</f>
        <v>冰雪世界里需要一双钉鞋 倍耐力推新轮胎</v>
      </c>
      <c r="C11315" s="2" t="s">
        <v>13</v>
      </c>
      <c r="D11315" s="2" t="s">
        <v>12</v>
      </c>
      <c r="E11315" s="2" t="s">
        <v>240</v>
      </c>
      <c r="F11315" s="2" t="str">
        <f>HYPERLINK("http://www.12365auto.com/parts/20200206/417867.shtml","http://www.12365auto.com/parts/20200206/417867.shtml")</f>
        <v>http://www.12365auto.com/parts/20200206/417867.shtml</v>
      </c>
      <c r="G11315" s="2"/>
      <c r="H11315" s="2" t="s">
        <v>15117</v>
      </c>
      <c r="I11315" s="2" t="s">
        <v>15</v>
      </c>
      <c r="J11315" s="2" t="s">
        <v>12</v>
      </c>
      <c r="K11315" s="2" t="s">
        <v>15116</v>
      </c>
      <c r="L11315" s="2">
        <f t="shared" si="176"/>
        <v>150</v>
      </c>
    </row>
    <row r="11316" spans="1:12" ht="25" customHeight="1">
      <c r="A11316" s="2" t="s">
        <v>12</v>
      </c>
      <c r="B11316" s="2" t="str">
        <f>HYPERLINK("http://m.12365auto.com/parts/20200206/417867.shtml","冰雪世界里需要一双钉鞋 倍耐力推新轮胎")</f>
        <v>冰雪世界里需要一双钉鞋 倍耐力推新轮胎</v>
      </c>
      <c r="C11316" s="2" t="s">
        <v>13</v>
      </c>
      <c r="D11316" s="2" t="s">
        <v>12</v>
      </c>
      <c r="E11316" s="2"/>
      <c r="F11316" s="2" t="str">
        <f>HYPERLINK("http://m.12365auto.com/parts/20200206/417867.shtml","http://m.12365auto.com/parts/20200206/417867.shtml")</f>
        <v>http://m.12365auto.com/parts/20200206/417867.shtml</v>
      </c>
      <c r="G11316" s="2"/>
      <c r="H11316" s="2" t="s">
        <v>15118</v>
      </c>
      <c r="I11316" s="2" t="s">
        <v>19</v>
      </c>
      <c r="J11316" s="2" t="s">
        <v>2572</v>
      </c>
      <c r="K11316" s="2" t="s">
        <v>15116</v>
      </c>
      <c r="L11316" s="2">
        <f t="shared" si="176"/>
        <v>150</v>
      </c>
    </row>
    <row r="11317" spans="1:12" ht="25" customHeight="1">
      <c r="A11317" s="2" t="s">
        <v>12</v>
      </c>
      <c r="B11317" s="2" t="str">
        <f>HYPERLINK("http://bbs.12365auto.com/postcontent.aspx?tID=193425","做完油漆发现明显的色差")</f>
        <v>做完油漆发现明显的色差</v>
      </c>
      <c r="C11317" s="2" t="s">
        <v>13</v>
      </c>
      <c r="D11317" s="2" t="s">
        <v>12</v>
      </c>
      <c r="E11317" s="2" t="s">
        <v>28</v>
      </c>
      <c r="F11317" s="2" t="str">
        <f>HYPERLINK("http://bbs.12365auto.com/postcontent.aspx?tID=193425","http://bbs.12365auto.com/postcontent.aspx?tID=193425")</f>
        <v>http://bbs.12365auto.com/postcontent.aspx?tID=193425</v>
      </c>
      <c r="G11317" s="2"/>
      <c r="H11317" s="2" t="s">
        <v>15119</v>
      </c>
      <c r="I11317" s="2" t="s">
        <v>15</v>
      </c>
      <c r="J11317" s="2" t="s">
        <v>1903</v>
      </c>
      <c r="K11317" s="2" t="s">
        <v>15116</v>
      </c>
      <c r="L11317" s="2">
        <f t="shared" si="176"/>
        <v>150</v>
      </c>
    </row>
    <row r="11318" spans="1:12" ht="25" customHeight="1">
      <c r="A11318" s="2" t="s">
        <v>12</v>
      </c>
      <c r="B11318" s="2" t="str">
        <f>HYPERLINK("http://www.12365auto.com/zlts/20200206/446487.shtml","吉利帝豪变速箱故障灯亮无法行驶")</f>
        <v>吉利帝豪变速箱故障灯亮无法行驶</v>
      </c>
      <c r="C11318" s="2" t="s">
        <v>13</v>
      </c>
      <c r="D11318" s="2" t="s">
        <v>12</v>
      </c>
      <c r="E11318" s="2" t="s">
        <v>17</v>
      </c>
      <c r="F11318" s="2" t="str">
        <f>HYPERLINK("http://www.12365auto.com/zlts/20200206/446487.shtml","http://www.12365auto.com/zlts/20200206/446487.shtml")</f>
        <v>http://www.12365auto.com/zlts/20200206/446487.shtml</v>
      </c>
      <c r="G11318" s="2"/>
      <c r="H11318" s="2" t="s">
        <v>15120</v>
      </c>
      <c r="I11318" s="2" t="s">
        <v>19</v>
      </c>
      <c r="J11318" s="2" t="s">
        <v>12</v>
      </c>
      <c r="K11318" s="2" t="s">
        <v>15116</v>
      </c>
      <c r="L11318" s="2">
        <f t="shared" si="176"/>
        <v>150</v>
      </c>
    </row>
    <row r="11319" spans="1:12" ht="25" customHeight="1">
      <c r="A11319" s="2" t="s">
        <v>12</v>
      </c>
      <c r="B11319" s="2" t="str">
        <f>HYPERLINK("http://bbs.12365auto.com/postcontent.aspx?tId=193425","做完油漆发现明显的色差")</f>
        <v>做完油漆发现明显的色差</v>
      </c>
      <c r="C11319" s="2" t="s">
        <v>13</v>
      </c>
      <c r="D11319" s="2" t="s">
        <v>12</v>
      </c>
      <c r="E11319" s="2" t="s">
        <v>27</v>
      </c>
      <c r="F11319" s="2" t="str">
        <f>HYPERLINK("http://bbs.12365auto.com/postcontent.aspx?tId=193425","http://bbs.12365auto.com/postcontent.aspx?tId=193425")</f>
        <v>http://bbs.12365auto.com/postcontent.aspx?tId=193425</v>
      </c>
      <c r="G11319" s="2"/>
      <c r="H11319" s="2" t="s">
        <v>15121</v>
      </c>
      <c r="I11319" s="2" t="s">
        <v>15</v>
      </c>
      <c r="J11319" s="2" t="s">
        <v>1903</v>
      </c>
      <c r="K11319" s="2" t="s">
        <v>15116</v>
      </c>
      <c r="L11319" s="2">
        <f t="shared" si="176"/>
        <v>150</v>
      </c>
    </row>
    <row r="11320" spans="1:12" ht="25" customHeight="1">
      <c r="A11320" s="2" t="s">
        <v>12</v>
      </c>
      <c r="B11320" s="2" t="str">
        <f>HYPERLINK("http://bbs.12365auto.com/postcontent.aspx?tId=193427","汽车室内杀菌消毒与日常使用注意事项")</f>
        <v>汽车室内杀菌消毒与日常使用注意事项</v>
      </c>
      <c r="C11320" s="2" t="s">
        <v>13</v>
      </c>
      <c r="D11320" s="2" t="s">
        <v>12</v>
      </c>
      <c r="E11320" s="2" t="s">
        <v>27</v>
      </c>
      <c r="F11320" s="2" t="str">
        <f>HYPERLINK("http://bbs.12365auto.com/postcontent.aspx?tId=193427","http://bbs.12365auto.com/postcontent.aspx?tId=193427")</f>
        <v>http://bbs.12365auto.com/postcontent.aspx?tId=193427</v>
      </c>
      <c r="G11320" s="2"/>
      <c r="H11320" s="2" t="s">
        <v>15122</v>
      </c>
      <c r="I11320" s="2" t="s">
        <v>15</v>
      </c>
      <c r="J11320" s="2" t="s">
        <v>1903</v>
      </c>
      <c r="K11320" s="2" t="s">
        <v>15116</v>
      </c>
      <c r="L11320" s="2">
        <f t="shared" si="176"/>
        <v>150</v>
      </c>
    </row>
    <row r="11321" spans="1:12" ht="25" customHeight="1">
      <c r="A11321" s="2" t="s">
        <v>12</v>
      </c>
      <c r="B11321" s="2" t="str">
        <f>HYPERLINK("http://bbs.12365auto.com/postcontent.aspx?tID=193427","汽车室内杀菌消毒与日常使用注意事项")</f>
        <v>汽车室内杀菌消毒与日常使用注意事项</v>
      </c>
      <c r="C11321" s="2" t="s">
        <v>13</v>
      </c>
      <c r="D11321" s="2" t="s">
        <v>12</v>
      </c>
      <c r="E11321" s="2" t="s">
        <v>28</v>
      </c>
      <c r="F11321" s="2" t="str">
        <f>HYPERLINK("http://bbs.12365auto.com/postcontent.aspx?tID=193427","http://bbs.12365auto.com/postcontent.aspx?tID=193427")</f>
        <v>http://bbs.12365auto.com/postcontent.aspx?tID=193427</v>
      </c>
      <c r="G11321" s="2"/>
      <c r="H11321" s="2" t="s">
        <v>15123</v>
      </c>
      <c r="I11321" s="2" t="s">
        <v>15</v>
      </c>
      <c r="J11321" s="2" t="s">
        <v>1903</v>
      </c>
      <c r="K11321" s="2" t="s">
        <v>15116</v>
      </c>
      <c r="L11321" s="2">
        <f t="shared" si="176"/>
        <v>150</v>
      </c>
    </row>
    <row r="11322" spans="1:12" ht="25" customHeight="1">
      <c r="A11322" s="2" t="s">
        <v>12</v>
      </c>
      <c r="B11322" s="2" t="str">
        <f>HYPERLINK("http://bbs.12365auto.com/postcontent.aspx?tID=193426","宝马4系谍照曝光 拥有更大尺寸的进气格栅")</f>
        <v>宝马4系谍照曝光 拥有更大尺寸的进气格栅</v>
      </c>
      <c r="C11322" s="2" t="s">
        <v>13</v>
      </c>
      <c r="D11322" s="2" t="s">
        <v>12</v>
      </c>
      <c r="E11322" s="2" t="s">
        <v>28</v>
      </c>
      <c r="F11322" s="2" t="str">
        <f>HYPERLINK("http://bbs.12365auto.com/postcontent.aspx?tID=193426","http://bbs.12365auto.com/postcontent.aspx?tID=193426")</f>
        <v>http://bbs.12365auto.com/postcontent.aspx?tID=193426</v>
      </c>
      <c r="G11322" s="2"/>
      <c r="H11322" s="2" t="s">
        <v>15124</v>
      </c>
      <c r="I11322" s="2" t="s">
        <v>15</v>
      </c>
      <c r="J11322" s="2" t="s">
        <v>5704</v>
      </c>
      <c r="K11322" s="2" t="s">
        <v>15116</v>
      </c>
      <c r="L11322" s="2">
        <f t="shared" si="176"/>
        <v>150</v>
      </c>
    </row>
    <row r="11323" spans="1:12" ht="25" customHeight="1">
      <c r="A11323" s="2" t="s">
        <v>12</v>
      </c>
      <c r="B11323" s="2" t="str">
        <f>HYPERLINK("http://www.12365auto.com/news/20200206/417866.shtml","东风雪铁龙为经销商减压 全力保障员工健康")</f>
        <v>东风雪铁龙为经销商减压 全力保障员工健康</v>
      </c>
      <c r="C11323" s="2" t="s">
        <v>13</v>
      </c>
      <c r="D11323" s="2" t="s">
        <v>12</v>
      </c>
      <c r="E11323" s="2" t="s">
        <v>276</v>
      </c>
      <c r="F11323" s="2" t="str">
        <f>HYPERLINK("http://www.12365auto.com/news/20200206/417866.shtml","http://www.12365auto.com/news/20200206/417866.shtml")</f>
        <v>http://www.12365auto.com/news/20200206/417866.shtml</v>
      </c>
      <c r="G11323" s="2"/>
      <c r="H11323" s="2" t="s">
        <v>15125</v>
      </c>
      <c r="I11323" s="2" t="s">
        <v>15</v>
      </c>
      <c r="J11323" s="2" t="s">
        <v>12</v>
      </c>
      <c r="K11323" s="2" t="s">
        <v>15126</v>
      </c>
      <c r="L11323" s="2">
        <f t="shared" si="176"/>
        <v>150</v>
      </c>
    </row>
    <row r="11324" spans="1:12" ht="25" customHeight="1">
      <c r="A11324" s="2" t="s">
        <v>12</v>
      </c>
      <c r="B11324" s="2" t="str">
        <f>HYPERLINK("http://m.12365auto.com/news/20200206/417866.shtml","东风雪铁龙为经销商减压 全力保障员工健康")</f>
        <v>东风雪铁龙为经销商减压 全力保障员工健康</v>
      </c>
      <c r="C11324" s="2" t="s">
        <v>13</v>
      </c>
      <c r="D11324" s="2" t="s">
        <v>12</v>
      </c>
      <c r="E11324" s="2"/>
      <c r="F11324" s="2" t="str">
        <f>HYPERLINK("http://m.12365auto.com/news/20200206/417866.shtml","http://m.12365auto.com/news/20200206/417866.shtml")</f>
        <v>http://m.12365auto.com/news/20200206/417866.shtml</v>
      </c>
      <c r="G11324" s="2"/>
      <c r="H11324" s="2" t="s">
        <v>15127</v>
      </c>
      <c r="I11324" s="2" t="s">
        <v>19</v>
      </c>
      <c r="J11324" s="2" t="s">
        <v>236</v>
      </c>
      <c r="K11324" s="2" t="s">
        <v>15126</v>
      </c>
      <c r="L11324" s="2">
        <f t="shared" si="176"/>
        <v>150</v>
      </c>
    </row>
    <row r="11325" spans="1:12" ht="25" customHeight="1">
      <c r="A11325" s="2" t="s">
        <v>12</v>
      </c>
      <c r="B11325" s="2" t="str">
        <f>HYPERLINK("http://www.12365auto.com/news/20200206/417865.shtml","林肯推出5大关爱行动 质保最高可延长90天")</f>
        <v>林肯推出5大关爱行动 质保最高可延长90天</v>
      </c>
      <c r="C11325" s="2" t="s">
        <v>13</v>
      </c>
      <c r="D11325" s="2" t="s">
        <v>12</v>
      </c>
      <c r="E11325" s="2" t="s">
        <v>276</v>
      </c>
      <c r="F11325" s="2" t="str">
        <f>HYPERLINK("http://www.12365auto.com/news/20200206/417865.shtml","http://www.12365auto.com/news/20200206/417865.shtml")</f>
        <v>http://www.12365auto.com/news/20200206/417865.shtml</v>
      </c>
      <c r="G11325" s="2"/>
      <c r="H11325" s="2" t="s">
        <v>15128</v>
      </c>
      <c r="I11325" s="2" t="s">
        <v>15</v>
      </c>
      <c r="J11325" s="2" t="s">
        <v>12</v>
      </c>
      <c r="K11325" s="2" t="s">
        <v>15129</v>
      </c>
      <c r="L11325" s="2">
        <f t="shared" si="176"/>
        <v>150</v>
      </c>
    </row>
    <row r="11326" spans="1:12" ht="25" customHeight="1">
      <c r="A11326" s="2" t="s">
        <v>12</v>
      </c>
      <c r="B11326" s="2" t="str">
        <f>HYPERLINK("http://m.12365auto.com/news/20200206/417865.shtml","林肯推出5大关爱行动 质保最高可延长90天")</f>
        <v>林肯推出5大关爱行动 质保最高可延长90天</v>
      </c>
      <c r="C11326" s="2" t="s">
        <v>13</v>
      </c>
      <c r="D11326" s="2" t="s">
        <v>12</v>
      </c>
      <c r="E11326" s="2"/>
      <c r="F11326" s="2" t="str">
        <f>HYPERLINK("http://m.12365auto.com/news/20200206/417865.shtml","http://m.12365auto.com/news/20200206/417865.shtml")</f>
        <v>http://m.12365auto.com/news/20200206/417865.shtml</v>
      </c>
      <c r="G11326" s="2"/>
      <c r="H11326" s="2" t="s">
        <v>15130</v>
      </c>
      <c r="I11326" s="2" t="s">
        <v>19</v>
      </c>
      <c r="J11326" s="2" t="s">
        <v>1069</v>
      </c>
      <c r="K11326" s="2" t="s">
        <v>15129</v>
      </c>
      <c r="L11326" s="2">
        <f t="shared" si="176"/>
        <v>150</v>
      </c>
    </row>
    <row r="11327" spans="1:12" ht="25" customHeight="1">
      <c r="A11327" s="2" t="s">
        <v>12</v>
      </c>
      <c r="B11327" s="2" t="str">
        <f>HYPERLINK("http://www.12365auto.com/xcdg/20200206/417864.shtml","日产“淑女”归来 Fairlady 400Z将明年亮相")</f>
        <v>日产“淑女”归来 Fairlady 400Z将明年亮相</v>
      </c>
      <c r="C11327" s="2" t="s">
        <v>13</v>
      </c>
      <c r="D11327" s="2" t="s">
        <v>12</v>
      </c>
      <c r="E11327" s="2" t="s">
        <v>216</v>
      </c>
      <c r="F11327" s="2" t="str">
        <f>HYPERLINK("http://www.12365auto.com/xcdg/20200206/417864.shtml","http://www.12365auto.com/xcdg/20200206/417864.shtml")</f>
        <v>http://www.12365auto.com/xcdg/20200206/417864.shtml</v>
      </c>
      <c r="G11327" s="2"/>
      <c r="H11327" s="2" t="s">
        <v>15131</v>
      </c>
      <c r="I11327" s="2" t="s">
        <v>15</v>
      </c>
      <c r="J11327" s="2" t="s">
        <v>12</v>
      </c>
      <c r="K11327" s="2" t="s">
        <v>15132</v>
      </c>
      <c r="L11327" s="2">
        <f t="shared" si="176"/>
        <v>150</v>
      </c>
    </row>
    <row r="11328" spans="1:12" ht="25" customHeight="1">
      <c r="A11328" s="2" t="s">
        <v>12</v>
      </c>
      <c r="B11328" s="2" t="str">
        <f>HYPERLINK("http://m.12365auto.com/xcdg/20200206/417864.shtml","日产“淑女”归来 Fairlady 400Z将明年亮相")</f>
        <v>日产“淑女”归来 Fairlady 400Z将明年亮相</v>
      </c>
      <c r="C11328" s="2" t="s">
        <v>13</v>
      </c>
      <c r="D11328" s="2" t="s">
        <v>12</v>
      </c>
      <c r="E11328" s="2"/>
      <c r="F11328" s="2" t="str">
        <f>HYPERLINK("http://m.12365auto.com/xcdg/20200206/417864.shtml","http://m.12365auto.com/xcdg/20200206/417864.shtml")</f>
        <v>http://m.12365auto.com/xcdg/20200206/417864.shtml</v>
      </c>
      <c r="G11328" s="2"/>
      <c r="H11328" s="2" t="s">
        <v>15133</v>
      </c>
      <c r="I11328" s="2" t="s">
        <v>19</v>
      </c>
      <c r="J11328" s="2" t="s">
        <v>1623</v>
      </c>
      <c r="K11328" s="2" t="s">
        <v>15132</v>
      </c>
      <c r="L11328" s="2">
        <f t="shared" si="176"/>
        <v>150</v>
      </c>
    </row>
    <row r="11329" spans="1:12" ht="25" customHeight="1">
      <c r="A11329" s="2" t="s">
        <v>12</v>
      </c>
      <c r="B11329" s="2" t="str">
        <f>HYPERLINK("http://www.12365auto.com/zlts/20200206/446483.shtml","上汽大众凌渡行驶中脱挡 机电控制单元故障")</f>
        <v>上汽大众凌渡行驶中脱挡 机电控制单元故障</v>
      </c>
      <c r="C11329" s="2" t="s">
        <v>13</v>
      </c>
      <c r="D11329" s="2" t="s">
        <v>12</v>
      </c>
      <c r="E11329" s="2" t="s">
        <v>17</v>
      </c>
      <c r="F11329" s="2" t="str">
        <f>HYPERLINK("http://www.12365auto.com/zlts/20200206/446483.shtml","http://www.12365auto.com/zlts/20200206/446483.shtml")</f>
        <v>http://www.12365auto.com/zlts/20200206/446483.shtml</v>
      </c>
      <c r="G11329" s="2"/>
      <c r="H11329" s="2" t="s">
        <v>15134</v>
      </c>
      <c r="I11329" s="2" t="s">
        <v>15</v>
      </c>
      <c r="J11329" s="2" t="s">
        <v>12</v>
      </c>
      <c r="K11329" s="2" t="s">
        <v>15135</v>
      </c>
      <c r="L11329" s="2">
        <f t="shared" si="176"/>
        <v>150</v>
      </c>
    </row>
    <row r="11330" spans="1:12" ht="25" customHeight="1">
      <c r="A11330" s="2" t="s">
        <v>12</v>
      </c>
      <c r="B11330" s="2" t="str">
        <f>HYPERLINK("http://www.12365auto.com/xcdg/20200206/417863.shtml","轿跑版“西装暴徒”实车亮相 未来引入国内")</f>
        <v>轿跑版“西装暴徒”实车亮相 未来引入国内</v>
      </c>
      <c r="C11330" s="2" t="s">
        <v>13</v>
      </c>
      <c r="D11330" s="2" t="s">
        <v>12</v>
      </c>
      <c r="E11330" s="2" t="s">
        <v>216</v>
      </c>
      <c r="F11330" s="2" t="str">
        <f>HYPERLINK("http://www.12365auto.com/xcdg/20200206/417863.shtml","http://www.12365auto.com/xcdg/20200206/417863.shtml")</f>
        <v>http://www.12365auto.com/xcdg/20200206/417863.shtml</v>
      </c>
      <c r="G11330" s="2"/>
      <c r="H11330" s="2" t="s">
        <v>15136</v>
      </c>
      <c r="I11330" s="2" t="s">
        <v>15</v>
      </c>
      <c r="J11330" s="2" t="s">
        <v>12</v>
      </c>
      <c r="K11330" s="2" t="s">
        <v>15137</v>
      </c>
      <c r="L11330" s="2">
        <f t="shared" si="176"/>
        <v>150</v>
      </c>
    </row>
    <row r="11331" spans="1:12" ht="25" customHeight="1">
      <c r="A11331" s="2" t="s">
        <v>12</v>
      </c>
      <c r="B11331" s="2" t="str">
        <f>HYPERLINK("http://m.12365auto.com/xcdg/20200206/417863.shtml","轿跑版“西装暴徒”实车亮相 未来引入国内")</f>
        <v>轿跑版“西装暴徒”实车亮相 未来引入国内</v>
      </c>
      <c r="C11331" s="2" t="s">
        <v>13</v>
      </c>
      <c r="D11331" s="2" t="s">
        <v>12</v>
      </c>
      <c r="E11331" s="2"/>
      <c r="F11331" s="2" t="str">
        <f>HYPERLINK("http://m.12365auto.com/xcdg/20200206/417863.shtml","http://m.12365auto.com/xcdg/20200206/417863.shtml")</f>
        <v>http://m.12365auto.com/xcdg/20200206/417863.shtml</v>
      </c>
      <c r="G11331" s="2"/>
      <c r="H11331" s="2" t="s">
        <v>15138</v>
      </c>
      <c r="I11331" s="2" t="s">
        <v>19</v>
      </c>
      <c r="J11331" s="2" t="s">
        <v>1923</v>
      </c>
      <c r="K11331" s="2" t="s">
        <v>15137</v>
      </c>
      <c r="L11331" s="2">
        <f t="shared" ref="L11331:L11394" si="177">LEN(H11331)</f>
        <v>150</v>
      </c>
    </row>
    <row r="11332" spans="1:12" ht="25" customHeight="1">
      <c r="A11332" s="2" t="s">
        <v>12</v>
      </c>
      <c r="B11332" s="2" t="str">
        <f>HYPERLINK("http://www.12365auto.com/news/20200206/417862.shtml","特斯拉上海工厂停产 Model 3新车交付将推迟")</f>
        <v>特斯拉上海工厂停产 Model 3新车交付将推迟</v>
      </c>
      <c r="C11332" s="2" t="s">
        <v>13</v>
      </c>
      <c r="D11332" s="2" t="s">
        <v>12</v>
      </c>
      <c r="E11332" s="2" t="s">
        <v>276</v>
      </c>
      <c r="F11332" s="2" t="str">
        <f>HYPERLINK("http://www.12365auto.com/news/20200206/417862.shtml","http://www.12365auto.com/news/20200206/417862.shtml")</f>
        <v>http://www.12365auto.com/news/20200206/417862.shtml</v>
      </c>
      <c r="G11332" s="2"/>
      <c r="H11332" s="2" t="s">
        <v>15139</v>
      </c>
      <c r="I11332" s="2" t="s">
        <v>15</v>
      </c>
      <c r="J11332" s="2" t="s">
        <v>12</v>
      </c>
      <c r="K11332" s="2" t="s">
        <v>15140</v>
      </c>
      <c r="L11332" s="2">
        <f t="shared" si="177"/>
        <v>150</v>
      </c>
    </row>
    <row r="11333" spans="1:12" ht="25" customHeight="1">
      <c r="A11333" s="2" t="s">
        <v>12</v>
      </c>
      <c r="B11333" s="2" t="str">
        <f>HYPERLINK("http://m.12365auto.com/news/20200206/417862.shtml","特斯拉上海工厂停产 Model 3新车交付将推迟")</f>
        <v>特斯拉上海工厂停产 Model 3新车交付将推迟</v>
      </c>
      <c r="C11333" s="2" t="s">
        <v>13</v>
      </c>
      <c r="D11333" s="2" t="s">
        <v>12</v>
      </c>
      <c r="E11333" s="2"/>
      <c r="F11333" s="2" t="str">
        <f>HYPERLINK("http://m.12365auto.com/news/20200206/417862.shtml","http://m.12365auto.com/news/20200206/417862.shtml")</f>
        <v>http://m.12365auto.com/news/20200206/417862.shtml</v>
      </c>
      <c r="G11333" s="2"/>
      <c r="H11333" s="2" t="s">
        <v>15141</v>
      </c>
      <c r="I11333" s="2" t="s">
        <v>19</v>
      </c>
      <c r="J11333" s="2" t="s">
        <v>1076</v>
      </c>
      <c r="K11333" s="2" t="s">
        <v>15140</v>
      </c>
      <c r="L11333" s="2">
        <f t="shared" si="177"/>
        <v>150</v>
      </c>
    </row>
    <row r="11334" spans="1:12" ht="25" customHeight="1">
      <c r="A11334" s="2" t="s">
        <v>12</v>
      </c>
      <c r="B11334" s="2" t="str">
        <f>HYPERLINK("http://m.12365auto.com/xcdg/20200206/417861.shtml","宝马3系高性能版售价曝光内饰配置更豪华")</f>
        <v>宝马3系高性能版售价曝光内饰配置更豪华</v>
      </c>
      <c r="C11334" s="2" t="s">
        <v>13</v>
      </c>
      <c r="D11334" s="2" t="s">
        <v>12</v>
      </c>
      <c r="E11334" s="2"/>
      <c r="F11334" s="2" t="str">
        <f>HYPERLINK("http://m.12365auto.com/xcdg/20200206/417861.shtml","http://m.12365auto.com/xcdg/20200206/417861.shtml")</f>
        <v>http://m.12365auto.com/xcdg/20200206/417861.shtml</v>
      </c>
      <c r="G11334" s="2"/>
      <c r="H11334" s="2" t="s">
        <v>15142</v>
      </c>
      <c r="I11334" s="2" t="s">
        <v>19</v>
      </c>
      <c r="J11334" s="2" t="s">
        <v>220</v>
      </c>
      <c r="K11334" s="2" t="s">
        <v>15143</v>
      </c>
      <c r="L11334" s="2">
        <f t="shared" si="177"/>
        <v>150</v>
      </c>
    </row>
    <row r="11335" spans="1:12" ht="25" customHeight="1">
      <c r="A11335" s="2" t="s">
        <v>12</v>
      </c>
      <c r="B11335" s="2" t="str">
        <f>HYPERLINK("http://www.12365auto.com/xcdg/20200206/417861.shtml","宝马3系高性能版售价曝光内饰配置更豪华")</f>
        <v>宝马3系高性能版售价曝光内饰配置更豪华</v>
      </c>
      <c r="C11335" s="2" t="s">
        <v>13</v>
      </c>
      <c r="D11335" s="2" t="s">
        <v>12</v>
      </c>
      <c r="E11335" s="2" t="s">
        <v>216</v>
      </c>
      <c r="F11335" s="2" t="str">
        <f>HYPERLINK("http://www.12365auto.com/xcdg/20200206/417861.shtml","http://www.12365auto.com/xcdg/20200206/417861.shtml")</f>
        <v>http://www.12365auto.com/xcdg/20200206/417861.shtml</v>
      </c>
      <c r="G11335" s="2"/>
      <c r="H11335" s="2" t="s">
        <v>15144</v>
      </c>
      <c r="I11335" s="2" t="s">
        <v>15</v>
      </c>
      <c r="J11335" s="2" t="s">
        <v>12</v>
      </c>
      <c r="K11335" s="2" t="s">
        <v>15143</v>
      </c>
      <c r="L11335" s="2">
        <f t="shared" si="177"/>
        <v>150</v>
      </c>
    </row>
    <row r="11336" spans="1:12" ht="25" customHeight="1">
      <c r="A11336" s="2" t="s">
        <v>12</v>
      </c>
      <c r="B11336" s="2" t="str">
        <f>HYPERLINK("http://m.12365auto.com/xcdg/20200206/417860.shtml","奥迪RS Q8改装版曝光 搭4.0T引擎")</f>
        <v>奥迪RS Q8改装版曝光 搭4.0T引擎</v>
      </c>
      <c r="C11336" s="2" t="s">
        <v>13</v>
      </c>
      <c r="D11336" s="2" t="s">
        <v>12</v>
      </c>
      <c r="E11336" s="2"/>
      <c r="F11336" s="2" t="str">
        <f>HYPERLINK("http://m.12365auto.com/xcdg/20200206/417860.shtml","http://m.12365auto.com/xcdg/20200206/417860.shtml")</f>
        <v>http://m.12365auto.com/xcdg/20200206/417860.shtml</v>
      </c>
      <c r="G11336" s="2"/>
      <c r="H11336" s="2" t="s">
        <v>15145</v>
      </c>
      <c r="I11336" s="2" t="s">
        <v>19</v>
      </c>
      <c r="J11336" s="2" t="s">
        <v>13601</v>
      </c>
      <c r="K11336" s="2" t="s">
        <v>15146</v>
      </c>
      <c r="L11336" s="2">
        <f t="shared" si="177"/>
        <v>150</v>
      </c>
    </row>
    <row r="11337" spans="1:12" ht="25" customHeight="1">
      <c r="A11337" s="2" t="s">
        <v>12</v>
      </c>
      <c r="B11337" s="2" t="str">
        <f>HYPERLINK("http://www.12365auto.com/xcdg/20200206/417860.shtml","奥迪RS Q8改装版曝光 搭4.0T引擎")</f>
        <v>奥迪RS Q8改装版曝光 搭4.0T引擎</v>
      </c>
      <c r="C11337" s="2" t="s">
        <v>13</v>
      </c>
      <c r="D11337" s="2" t="s">
        <v>12</v>
      </c>
      <c r="E11337" s="2" t="s">
        <v>216</v>
      </c>
      <c r="F11337" s="2" t="str">
        <f>HYPERLINK("http://www.12365auto.com/xcdg/20200206/417860.shtml","http://www.12365auto.com/xcdg/20200206/417860.shtml")</f>
        <v>http://www.12365auto.com/xcdg/20200206/417860.shtml</v>
      </c>
      <c r="G11337" s="2"/>
      <c r="H11337" s="2" t="s">
        <v>15147</v>
      </c>
      <c r="I11337" s="2" t="s">
        <v>15</v>
      </c>
      <c r="J11337" s="2" t="s">
        <v>12</v>
      </c>
      <c r="K11337" s="2" t="s">
        <v>15146</v>
      </c>
      <c r="L11337" s="2">
        <f t="shared" si="177"/>
        <v>150</v>
      </c>
    </row>
    <row r="11338" spans="1:12" ht="25" customHeight="1">
      <c r="A11338" s="2" t="s">
        <v>12</v>
      </c>
      <c r="B11338" s="2" t="str">
        <f>HYPERLINK("http://m.12365auto.com/xcdg/20200206/417859.shtml","起亚新款KX3傲跑全球首发 搭1.5L引擎")</f>
        <v>起亚新款KX3傲跑全球首发 搭1.5L引擎</v>
      </c>
      <c r="C11338" s="2" t="s">
        <v>13</v>
      </c>
      <c r="D11338" s="2" t="s">
        <v>12</v>
      </c>
      <c r="E11338" s="2"/>
      <c r="F11338" s="2" t="str">
        <f>HYPERLINK("http://m.12365auto.com/xcdg/20200206/417859.shtml","http://m.12365auto.com/xcdg/20200206/417859.shtml")</f>
        <v>http://m.12365auto.com/xcdg/20200206/417859.shtml</v>
      </c>
      <c r="G11338" s="2"/>
      <c r="H11338" s="2" t="s">
        <v>15148</v>
      </c>
      <c r="I11338" s="2" t="s">
        <v>19</v>
      </c>
      <c r="J11338" s="2" t="s">
        <v>13601</v>
      </c>
      <c r="K11338" s="2" t="s">
        <v>15149</v>
      </c>
      <c r="L11338" s="2">
        <f t="shared" si="177"/>
        <v>150</v>
      </c>
    </row>
    <row r="11339" spans="1:12" ht="25" customHeight="1">
      <c r="A11339" s="2" t="s">
        <v>12</v>
      </c>
      <c r="B11339" s="2" t="str">
        <f>HYPERLINK("http://www.12365auto.com/xcdg/20200206/417859.shtml","起亚新款KX3傲跑全球首发 搭1.5L引擎")</f>
        <v>起亚新款KX3傲跑全球首发 搭1.5L引擎</v>
      </c>
      <c r="C11339" s="2" t="s">
        <v>13</v>
      </c>
      <c r="D11339" s="2" t="s">
        <v>12</v>
      </c>
      <c r="E11339" s="2" t="s">
        <v>216</v>
      </c>
      <c r="F11339" s="2" t="str">
        <f>HYPERLINK("http://www.12365auto.com/xcdg/20200206/417859.shtml","http://www.12365auto.com/xcdg/20200206/417859.shtml")</f>
        <v>http://www.12365auto.com/xcdg/20200206/417859.shtml</v>
      </c>
      <c r="G11339" s="2"/>
      <c r="H11339" s="2" t="s">
        <v>15150</v>
      </c>
      <c r="I11339" s="2" t="s">
        <v>15</v>
      </c>
      <c r="J11339" s="2" t="s">
        <v>12</v>
      </c>
      <c r="K11339" s="2" t="s">
        <v>15149</v>
      </c>
      <c r="L11339" s="2">
        <f t="shared" si="177"/>
        <v>150</v>
      </c>
    </row>
    <row r="11340" spans="1:12" ht="25" customHeight="1">
      <c r="A11340" s="2" t="s">
        <v>12</v>
      </c>
      <c r="B11340" s="2" t="str">
        <f>HYPERLINK("http://www.12365auto.com/zlts/20200206/446482.shtml","广汽菲克Jeep自由光电瓶被更换过")</f>
        <v>广汽菲克Jeep自由光电瓶被更换过</v>
      </c>
      <c r="C11340" s="2" t="s">
        <v>13</v>
      </c>
      <c r="D11340" s="2" t="s">
        <v>12</v>
      </c>
      <c r="E11340" s="2"/>
      <c r="F11340" s="2" t="str">
        <f>HYPERLINK("http://www.12365auto.com/zlts/20200206/446482.shtml","http://www.12365auto.com/zlts/20200206/446482.shtml")</f>
        <v>http://www.12365auto.com/zlts/20200206/446482.shtml</v>
      </c>
      <c r="G11340" s="2"/>
      <c r="H11340" s="2" t="s">
        <v>15152</v>
      </c>
      <c r="I11340" s="2" t="s">
        <v>15</v>
      </c>
      <c r="J11340" s="2" t="s">
        <v>12</v>
      </c>
      <c r="K11340" s="2" t="s">
        <v>15151</v>
      </c>
      <c r="L11340" s="2">
        <f t="shared" si="177"/>
        <v>82</v>
      </c>
    </row>
    <row r="11341" spans="1:12" ht="25" customHeight="1">
      <c r="A11341" s="2" t="s">
        <v>12</v>
      </c>
      <c r="B11341" s="2" t="str">
        <f>HYPERLINK("http://m.12365auto.com/xcdg/20200206/417858.shtml","现代新款途胜无伪谍照曝光 售价公布")</f>
        <v>现代新款途胜无伪谍照曝光 售价公布</v>
      </c>
      <c r="C11341" s="2" t="s">
        <v>13</v>
      </c>
      <c r="D11341" s="2" t="s">
        <v>12</v>
      </c>
      <c r="E11341" s="2"/>
      <c r="F11341" s="2" t="str">
        <f>HYPERLINK("http://m.12365auto.com/xcdg/20200206/417858.shtml","http://m.12365auto.com/xcdg/20200206/417858.shtml")</f>
        <v>http://m.12365auto.com/xcdg/20200206/417858.shtml</v>
      </c>
      <c r="G11341" s="2"/>
      <c r="H11341" s="2" t="s">
        <v>15153</v>
      </c>
      <c r="I11341" s="2" t="s">
        <v>19</v>
      </c>
      <c r="J11341" s="2" t="s">
        <v>13601</v>
      </c>
      <c r="K11341" s="2" t="s">
        <v>15154</v>
      </c>
      <c r="L11341" s="2">
        <f t="shared" si="177"/>
        <v>150</v>
      </c>
    </row>
    <row r="11342" spans="1:12" ht="25" customHeight="1">
      <c r="A11342" s="2" t="s">
        <v>12</v>
      </c>
      <c r="B11342" s="2" t="str">
        <f>HYPERLINK("http://www.12365auto.com/xcdg/20200206/417858.shtml","现代新款途胜无伪谍照曝光 售价公布")</f>
        <v>现代新款途胜无伪谍照曝光 售价公布</v>
      </c>
      <c r="C11342" s="2" t="s">
        <v>13</v>
      </c>
      <c r="D11342" s="2" t="s">
        <v>12</v>
      </c>
      <c r="E11342" s="2" t="s">
        <v>224</v>
      </c>
      <c r="F11342" s="2" t="str">
        <f>HYPERLINK("http://www.12365auto.com/xcdg/20200206/417858.shtml","http://www.12365auto.com/xcdg/20200206/417858.shtml")</f>
        <v>http://www.12365auto.com/xcdg/20200206/417858.shtml</v>
      </c>
      <c r="G11342" s="2"/>
      <c r="H11342" s="2" t="s">
        <v>15155</v>
      </c>
      <c r="I11342" s="2" t="s">
        <v>15</v>
      </c>
      <c r="J11342" s="2" t="s">
        <v>12</v>
      </c>
      <c r="K11342" s="2" t="s">
        <v>15154</v>
      </c>
      <c r="L11342" s="2">
        <f t="shared" si="177"/>
        <v>150</v>
      </c>
    </row>
    <row r="11343" spans="1:12" ht="25" customHeight="1">
      <c r="A11343" s="2" t="s">
        <v>12</v>
      </c>
      <c r="B11343" s="2" t="str">
        <f>HYPERLINK("http://www.12365auto.com/xcdg/20200206/417857.shtml","下一代斯柯达Citigo或仅提供纯电动车型")</f>
        <v>下一代斯柯达Citigo或仅提供纯电动车型</v>
      </c>
      <c r="C11343" s="2" t="s">
        <v>13</v>
      </c>
      <c r="D11343" s="2" t="s">
        <v>12</v>
      </c>
      <c r="E11343" s="2" t="s">
        <v>216</v>
      </c>
      <c r="F11343" s="2" t="str">
        <f>HYPERLINK("http://www.12365auto.com/xcdg/20200206/417857.shtml","http://www.12365auto.com/xcdg/20200206/417857.shtml")</f>
        <v>http://www.12365auto.com/xcdg/20200206/417857.shtml</v>
      </c>
      <c r="G11343" s="2"/>
      <c r="H11343" s="2" t="s">
        <v>15156</v>
      </c>
      <c r="I11343" s="2" t="s">
        <v>15</v>
      </c>
      <c r="J11343" s="2" t="s">
        <v>12</v>
      </c>
      <c r="K11343" s="2" t="s">
        <v>15157</v>
      </c>
      <c r="L11343" s="2">
        <f t="shared" si="177"/>
        <v>150</v>
      </c>
    </row>
    <row r="11344" spans="1:12" ht="25" customHeight="1">
      <c r="A11344" s="2" t="s">
        <v>12</v>
      </c>
      <c r="B11344" s="2" t="str">
        <f>HYPERLINK("http://m.12365auto.com/xcdg/20200206/417857.shtml","下一代斯柯达Citigo或仅提供纯电动车型")</f>
        <v>下一代斯柯达Citigo或仅提供纯电动车型</v>
      </c>
      <c r="C11344" s="2" t="s">
        <v>13</v>
      </c>
      <c r="D11344" s="2" t="s">
        <v>12</v>
      </c>
      <c r="E11344" s="2"/>
      <c r="F11344" s="2" t="str">
        <f>HYPERLINK("http://m.12365auto.com/xcdg/20200206/417857.shtml","http://m.12365auto.com/xcdg/20200206/417857.shtml")</f>
        <v>http://m.12365auto.com/xcdg/20200206/417857.shtml</v>
      </c>
      <c r="G11344" s="2"/>
      <c r="H11344" s="2" t="s">
        <v>15158</v>
      </c>
      <c r="I11344" s="2" t="s">
        <v>19</v>
      </c>
      <c r="J11344" s="2" t="s">
        <v>332</v>
      </c>
      <c r="K11344" s="2" t="s">
        <v>15157</v>
      </c>
      <c r="L11344" s="2">
        <f t="shared" si="177"/>
        <v>150</v>
      </c>
    </row>
    <row r="11345" spans="1:12" ht="25" customHeight="1">
      <c r="A11345" s="2" t="s">
        <v>12</v>
      </c>
      <c r="B11345" s="2" t="str">
        <f>HYPERLINK("http://www.12365auto.com/xcdg/20200206/417856.shtml","面向印度市场 起亚Sonet概念车发布")</f>
        <v>面向印度市场 起亚Sonet概念车发布</v>
      </c>
      <c r="C11345" s="2" t="s">
        <v>13</v>
      </c>
      <c r="D11345" s="2" t="s">
        <v>12</v>
      </c>
      <c r="E11345" s="2" t="s">
        <v>216</v>
      </c>
      <c r="F11345" s="2" t="str">
        <f>HYPERLINK("http://www.12365auto.com/xcdg/20200206/417856.shtml","http://www.12365auto.com/xcdg/20200206/417856.shtml")</f>
        <v>http://www.12365auto.com/xcdg/20200206/417856.shtml</v>
      </c>
      <c r="G11345" s="2"/>
      <c r="H11345" s="2" t="s">
        <v>15159</v>
      </c>
      <c r="I11345" s="2" t="s">
        <v>15</v>
      </c>
      <c r="J11345" s="2" t="s">
        <v>12</v>
      </c>
      <c r="K11345" s="2" t="s">
        <v>15160</v>
      </c>
      <c r="L11345" s="2">
        <f t="shared" si="177"/>
        <v>150</v>
      </c>
    </row>
    <row r="11346" spans="1:12" ht="25" customHeight="1">
      <c r="A11346" s="2" t="s">
        <v>12</v>
      </c>
      <c r="B11346" s="2" t="str">
        <f>HYPERLINK("http://m.12365auto.com/xcdg/20200206/417856.shtml","面向印度市场 起亚Sonet概念车发布")</f>
        <v>面向印度市场 起亚Sonet概念车发布</v>
      </c>
      <c r="C11346" s="2" t="s">
        <v>13</v>
      </c>
      <c r="D11346" s="2" t="s">
        <v>12</v>
      </c>
      <c r="E11346" s="2"/>
      <c r="F11346" s="2" t="str">
        <f>HYPERLINK("http://m.12365auto.com/xcdg/20200206/417856.shtml","http://m.12365auto.com/xcdg/20200206/417856.shtml")</f>
        <v>http://m.12365auto.com/xcdg/20200206/417856.shtml</v>
      </c>
      <c r="G11346" s="2"/>
      <c r="H11346" s="2" t="s">
        <v>15161</v>
      </c>
      <c r="I11346" s="2" t="s">
        <v>19</v>
      </c>
      <c r="J11346" s="2" t="s">
        <v>1197</v>
      </c>
      <c r="K11346" s="2" t="s">
        <v>15160</v>
      </c>
      <c r="L11346" s="2">
        <f t="shared" si="177"/>
        <v>150</v>
      </c>
    </row>
    <row r="11347" spans="1:12" ht="25" customHeight="1">
      <c r="A11347" s="2" t="s">
        <v>12</v>
      </c>
      <c r="B11347" s="2" t="str">
        <f>HYPERLINK("http://www.12365auto.com/xcdg/20200206/417855.shtml","日内瓦车展发布 全新现代i20预告图")</f>
        <v>日内瓦车展发布 全新现代i20预告图</v>
      </c>
      <c r="C11347" s="2" t="s">
        <v>13</v>
      </c>
      <c r="D11347" s="2" t="s">
        <v>12</v>
      </c>
      <c r="E11347" s="2" t="s">
        <v>216</v>
      </c>
      <c r="F11347" s="2" t="str">
        <f>HYPERLINK("http://www.12365auto.com/xcdg/20200206/417855.shtml","http://www.12365auto.com/xcdg/20200206/417855.shtml")</f>
        <v>http://www.12365auto.com/xcdg/20200206/417855.shtml</v>
      </c>
      <c r="G11347" s="2"/>
      <c r="H11347" s="2" t="s">
        <v>15162</v>
      </c>
      <c r="I11347" s="2" t="s">
        <v>15</v>
      </c>
      <c r="J11347" s="2" t="s">
        <v>12</v>
      </c>
      <c r="K11347" s="2" t="s">
        <v>15163</v>
      </c>
      <c r="L11347" s="2">
        <f t="shared" si="177"/>
        <v>150</v>
      </c>
    </row>
    <row r="11348" spans="1:12" ht="25" customHeight="1">
      <c r="A11348" s="2" t="s">
        <v>12</v>
      </c>
      <c r="B11348" s="2" t="str">
        <f>HYPERLINK("http://m.12365auto.com/xcdg/20200206/417855.shtml","日内瓦车展发布 全新现代i20预告图")</f>
        <v>日内瓦车展发布 全新现代i20预告图</v>
      </c>
      <c r="C11348" s="2" t="s">
        <v>13</v>
      </c>
      <c r="D11348" s="2" t="s">
        <v>12</v>
      </c>
      <c r="E11348" s="2"/>
      <c r="F11348" s="2" t="str">
        <f>HYPERLINK("http://m.12365auto.com/xcdg/20200206/417855.shtml","http://m.12365auto.com/xcdg/20200206/417855.shtml")</f>
        <v>http://m.12365auto.com/xcdg/20200206/417855.shtml</v>
      </c>
      <c r="G11348" s="2"/>
      <c r="H11348" s="2" t="s">
        <v>15162</v>
      </c>
      <c r="I11348" s="2" t="s">
        <v>19</v>
      </c>
      <c r="J11348" s="2" t="s">
        <v>2560</v>
      </c>
      <c r="K11348" s="2" t="s">
        <v>15163</v>
      </c>
      <c r="L11348" s="2">
        <f t="shared" si="177"/>
        <v>150</v>
      </c>
    </row>
    <row r="11349" spans="1:12" ht="25" customHeight="1">
      <c r="A11349" s="2" t="s">
        <v>12</v>
      </c>
      <c r="B11349" s="2" t="str">
        <f>HYPERLINK("http://www.12365auto.com/news/20200206/417854.shtml","净利润下滑17.4% 通用发布2019年财报")</f>
        <v>净利润下滑17.4% 通用发布2019年财报</v>
      </c>
      <c r="C11349" s="2" t="s">
        <v>13</v>
      </c>
      <c r="D11349" s="2" t="s">
        <v>12</v>
      </c>
      <c r="E11349" s="2" t="s">
        <v>276</v>
      </c>
      <c r="F11349" s="2" t="str">
        <f>HYPERLINK("http://www.12365auto.com/news/20200206/417854.shtml","http://www.12365auto.com/news/20200206/417854.shtml")</f>
        <v>http://www.12365auto.com/news/20200206/417854.shtml</v>
      </c>
      <c r="G11349" s="2"/>
      <c r="H11349" s="2" t="s">
        <v>15164</v>
      </c>
      <c r="I11349" s="2" t="s">
        <v>15</v>
      </c>
      <c r="J11349" s="2" t="s">
        <v>12</v>
      </c>
      <c r="K11349" s="2" t="s">
        <v>15165</v>
      </c>
      <c r="L11349" s="2">
        <f t="shared" si="177"/>
        <v>150</v>
      </c>
    </row>
    <row r="11350" spans="1:12" ht="25" customHeight="1">
      <c r="A11350" s="2" t="s">
        <v>12</v>
      </c>
      <c r="B11350" s="2" t="str">
        <f>HYPERLINK("http://m.12365auto.com/news/20200206/417854.shtml","净利润下滑17.4% 通用发布2019年财报")</f>
        <v>净利润下滑17.4% 通用发布2019年财报</v>
      </c>
      <c r="C11350" s="2" t="s">
        <v>13</v>
      </c>
      <c r="D11350" s="2" t="s">
        <v>12</v>
      </c>
      <c r="E11350" s="2"/>
      <c r="F11350" s="2" t="str">
        <f>HYPERLINK("http://m.12365auto.com/news/20200206/417854.shtml","http://m.12365auto.com/news/20200206/417854.shtml")</f>
        <v>http://m.12365auto.com/news/20200206/417854.shtml</v>
      </c>
      <c r="G11350" s="2"/>
      <c r="H11350" s="2" t="s">
        <v>15166</v>
      </c>
      <c r="I11350" s="2" t="s">
        <v>19</v>
      </c>
      <c r="J11350" s="2" t="s">
        <v>286</v>
      </c>
      <c r="K11350" s="2" t="s">
        <v>15165</v>
      </c>
      <c r="L11350" s="2">
        <f t="shared" si="177"/>
        <v>150</v>
      </c>
    </row>
    <row r="11351" spans="1:12" ht="25" customHeight="1">
      <c r="A11351" s="2" t="s">
        <v>12</v>
      </c>
      <c r="B11351" s="2" t="str">
        <f>HYPERLINK("http://www.12365auto.com/zlts/20200206/446481.shtml","一汽大众宝来发动机出现大面积漏油")</f>
        <v>一汽大众宝来发动机出现大面积漏油</v>
      </c>
      <c r="C11351" s="2" t="s">
        <v>13</v>
      </c>
      <c r="D11351" s="2" t="s">
        <v>12</v>
      </c>
      <c r="E11351" s="2" t="s">
        <v>17</v>
      </c>
      <c r="F11351" s="2" t="str">
        <f>HYPERLINK("http://www.12365auto.com/zlts/20200206/446481.shtml","http://www.12365auto.com/zlts/20200206/446481.shtml")</f>
        <v>http://www.12365auto.com/zlts/20200206/446481.shtml</v>
      </c>
      <c r="G11351" s="2"/>
      <c r="H11351" s="2" t="s">
        <v>15167</v>
      </c>
      <c r="I11351" s="2" t="s">
        <v>19</v>
      </c>
      <c r="J11351" s="2" t="s">
        <v>12</v>
      </c>
      <c r="K11351" s="2" t="s">
        <v>15168</v>
      </c>
      <c r="L11351" s="2">
        <f t="shared" si="177"/>
        <v>150</v>
      </c>
    </row>
    <row r="11352" spans="1:12" ht="25" customHeight="1">
      <c r="A11352" s="2" t="s">
        <v>12</v>
      </c>
      <c r="B11352" s="2" t="str">
        <f>HYPERLINK("http://www.12365auto.com/xcdg/20200206/417853.shtml","3月2日首发 斯柯达明锐RS iV设计草图")</f>
        <v>3月2日首发 斯柯达明锐RS iV设计草图</v>
      </c>
      <c r="C11352" s="2" t="s">
        <v>13</v>
      </c>
      <c r="D11352" s="2" t="s">
        <v>12</v>
      </c>
      <c r="E11352" s="2" t="s">
        <v>216</v>
      </c>
      <c r="F11352" s="2" t="str">
        <f>HYPERLINK("http://www.12365auto.com/xcdg/20200206/417853.shtml","http://www.12365auto.com/xcdg/20200206/417853.shtml")</f>
        <v>http://www.12365auto.com/xcdg/20200206/417853.shtml</v>
      </c>
      <c r="G11352" s="2"/>
      <c r="H11352" s="2" t="s">
        <v>15169</v>
      </c>
      <c r="I11352" s="2" t="s">
        <v>15</v>
      </c>
      <c r="J11352" s="2" t="s">
        <v>12</v>
      </c>
      <c r="K11352" s="2" t="s">
        <v>15168</v>
      </c>
      <c r="L11352" s="2">
        <f t="shared" si="177"/>
        <v>150</v>
      </c>
    </row>
    <row r="11353" spans="1:12" ht="25" customHeight="1">
      <c r="A11353" s="2" t="s">
        <v>12</v>
      </c>
      <c r="B11353" s="2" t="str">
        <f>HYPERLINK("http://m.12365auto.com/xcdg/20200206/417853.shtml","3月2日首发 斯柯达明锐RS iV设计草图")</f>
        <v>3月2日首发 斯柯达明锐RS iV设计草图</v>
      </c>
      <c r="C11353" s="2" t="s">
        <v>13</v>
      </c>
      <c r="D11353" s="2" t="s">
        <v>12</v>
      </c>
      <c r="E11353" s="2"/>
      <c r="F11353" s="2" t="str">
        <f>HYPERLINK("http://m.12365auto.com/xcdg/20200206/417853.shtml","http://m.12365auto.com/xcdg/20200206/417853.shtml")</f>
        <v>http://m.12365auto.com/xcdg/20200206/417853.shtml</v>
      </c>
      <c r="G11353" s="2"/>
      <c r="H11353" s="2" t="s">
        <v>15170</v>
      </c>
      <c r="I11353" s="2" t="s">
        <v>19</v>
      </c>
      <c r="J11353" s="2" t="s">
        <v>836</v>
      </c>
      <c r="K11353" s="2" t="s">
        <v>15168</v>
      </c>
      <c r="L11353" s="2">
        <f t="shared" si="177"/>
        <v>150</v>
      </c>
    </row>
    <row r="11354" spans="1:12" ht="25" customHeight="1">
      <c r="A11354" s="2" t="s">
        <v>12</v>
      </c>
      <c r="B11354" s="2" t="str">
        <f>HYPERLINK("http://www.12365auto.com/xcdg/20200206/417852.shtml","新凯迪拉克凯雷德长轴版将纽约车展亮相")</f>
        <v>新凯迪拉克凯雷德长轴版将纽约车展亮相</v>
      </c>
      <c r="C11354" s="2" t="s">
        <v>13</v>
      </c>
      <c r="D11354" s="2" t="s">
        <v>12</v>
      </c>
      <c r="E11354" s="2" t="s">
        <v>216</v>
      </c>
      <c r="F11354" s="2" t="str">
        <f>HYPERLINK("http://www.12365auto.com/xcdg/20200206/417852.shtml","http://www.12365auto.com/xcdg/20200206/417852.shtml")</f>
        <v>http://www.12365auto.com/xcdg/20200206/417852.shtml</v>
      </c>
      <c r="G11354" s="2"/>
      <c r="H11354" s="2" t="s">
        <v>15171</v>
      </c>
      <c r="I11354" s="2" t="s">
        <v>15</v>
      </c>
      <c r="J11354" s="2" t="s">
        <v>12</v>
      </c>
      <c r="K11354" s="2" t="s">
        <v>15172</v>
      </c>
      <c r="L11354" s="2">
        <f t="shared" si="177"/>
        <v>150</v>
      </c>
    </row>
    <row r="11355" spans="1:12" ht="25" customHeight="1">
      <c r="A11355" s="2" t="s">
        <v>12</v>
      </c>
      <c r="B11355" s="2" t="str">
        <f>HYPERLINK("http://m.12365auto.com/xcdg/20200206/417852.shtml","新凯迪拉克凯雷德长轴版将纽约车展亮相")</f>
        <v>新凯迪拉克凯雷德长轴版将纽约车展亮相</v>
      </c>
      <c r="C11355" s="2" t="s">
        <v>13</v>
      </c>
      <c r="D11355" s="2" t="s">
        <v>12</v>
      </c>
      <c r="E11355" s="2"/>
      <c r="F11355" s="2" t="str">
        <f>HYPERLINK("http://m.12365auto.com/xcdg/20200206/417852.shtml","http://m.12365auto.com/xcdg/20200206/417852.shtml")</f>
        <v>http://m.12365auto.com/xcdg/20200206/417852.shtml</v>
      </c>
      <c r="G11355" s="2"/>
      <c r="H11355" s="2" t="s">
        <v>15173</v>
      </c>
      <c r="I11355" s="2" t="s">
        <v>19</v>
      </c>
      <c r="J11355" s="2" t="s">
        <v>338</v>
      </c>
      <c r="K11355" s="2" t="s">
        <v>15172</v>
      </c>
      <c r="L11355" s="2">
        <f t="shared" si="177"/>
        <v>150</v>
      </c>
    </row>
    <row r="11356" spans="1:12" ht="25" customHeight="1">
      <c r="A11356" s="2" t="s">
        <v>12</v>
      </c>
      <c r="B11356" s="2" t="str">
        <f>HYPERLINK("http://www.12365auto.com/zlts/20200206/446480.shtml","广汽本田冠道车门异响 车身异响 中控异响")</f>
        <v>广汽本田冠道车门异响 车身异响 中控异响</v>
      </c>
      <c r="C11356" s="2" t="s">
        <v>13</v>
      </c>
      <c r="D11356" s="2" t="s">
        <v>12</v>
      </c>
      <c r="E11356" s="2" t="s">
        <v>17</v>
      </c>
      <c r="F11356" s="2" t="str">
        <f>HYPERLINK("http://www.12365auto.com/zlts/20200206/446480.shtml","http://www.12365auto.com/zlts/20200206/446480.shtml")</f>
        <v>http://www.12365auto.com/zlts/20200206/446480.shtml</v>
      </c>
      <c r="G11356" s="2"/>
      <c r="H11356" s="2" t="s">
        <v>15174</v>
      </c>
      <c r="I11356" s="2" t="s">
        <v>19</v>
      </c>
      <c r="J11356" s="2" t="s">
        <v>12</v>
      </c>
      <c r="K11356" s="2" t="s">
        <v>15172</v>
      </c>
      <c r="L11356" s="2">
        <f t="shared" si="177"/>
        <v>150</v>
      </c>
    </row>
    <row r="11357" spans="1:12" ht="25" customHeight="1">
      <c r="A11357" s="2" t="s">
        <v>12</v>
      </c>
      <c r="B11357" s="2" t="str">
        <f>HYPERLINK("http://www.12365auto.com/xcdg/20200206/417851.shtml","表情逐渐放肆 曝全新宝马4系实车图谍照")</f>
        <v>表情逐渐放肆 曝全新宝马4系实车图谍照</v>
      </c>
      <c r="C11357" s="2" t="s">
        <v>13</v>
      </c>
      <c r="D11357" s="2" t="s">
        <v>12</v>
      </c>
      <c r="E11357" s="2" t="s">
        <v>224</v>
      </c>
      <c r="F11357" s="2" t="str">
        <f>HYPERLINK("http://www.12365auto.com/xcdg/20200206/417851.shtml","http://www.12365auto.com/xcdg/20200206/417851.shtml")</f>
        <v>http://www.12365auto.com/xcdg/20200206/417851.shtml</v>
      </c>
      <c r="G11357" s="2"/>
      <c r="H11357" s="2" t="s">
        <v>15175</v>
      </c>
      <c r="I11357" s="2" t="s">
        <v>15</v>
      </c>
      <c r="J11357" s="2" t="s">
        <v>12</v>
      </c>
      <c r="K11357" s="2" t="s">
        <v>15176</v>
      </c>
      <c r="L11357" s="2">
        <f t="shared" si="177"/>
        <v>150</v>
      </c>
    </row>
    <row r="11358" spans="1:12" ht="25" customHeight="1">
      <c r="A11358" s="2" t="s">
        <v>12</v>
      </c>
      <c r="B11358" s="2" t="str">
        <f>HYPERLINK("http://m.12365auto.com/xcdg/20200206/417851.shtml","表情逐渐放肆 曝全新宝马4系实车图谍照")</f>
        <v>表情逐渐放肆 曝全新宝马4系实车图谍照</v>
      </c>
      <c r="C11358" s="2" t="s">
        <v>13</v>
      </c>
      <c r="D11358" s="2" t="s">
        <v>12</v>
      </c>
      <c r="E11358" s="2"/>
      <c r="F11358" s="2" t="str">
        <f>HYPERLINK("http://m.12365auto.com/xcdg/20200206/417851.shtml","http://m.12365auto.com/xcdg/20200206/417851.shtml")</f>
        <v>http://m.12365auto.com/xcdg/20200206/417851.shtml</v>
      </c>
      <c r="G11358" s="2"/>
      <c r="H11358" s="2" t="s">
        <v>15177</v>
      </c>
      <c r="I11358" s="2" t="s">
        <v>19</v>
      </c>
      <c r="J11358" s="2" t="s">
        <v>317</v>
      </c>
      <c r="K11358" s="2" t="s">
        <v>15176</v>
      </c>
      <c r="L11358" s="2">
        <f t="shared" si="177"/>
        <v>150</v>
      </c>
    </row>
    <row r="11359" spans="1:12" ht="25" customHeight="1">
      <c r="A11359" s="2" t="s">
        <v>12</v>
      </c>
      <c r="B11359" s="2" t="str">
        <f>HYPERLINK("http://www.12365auto.com/xcdg/20200206/417850.shtml","展示电气化方向 铃木子公司发新概念车")</f>
        <v>展示电气化方向 铃木子公司发新概念车</v>
      </c>
      <c r="C11359" s="2" t="s">
        <v>13</v>
      </c>
      <c r="D11359" s="2" t="s">
        <v>12</v>
      </c>
      <c r="E11359" s="2" t="s">
        <v>216</v>
      </c>
      <c r="F11359" s="2" t="str">
        <f>HYPERLINK("http://www.12365auto.com/xcdg/20200206/417850.shtml","http://www.12365auto.com/xcdg/20200206/417850.shtml")</f>
        <v>http://www.12365auto.com/xcdg/20200206/417850.shtml</v>
      </c>
      <c r="G11359" s="2"/>
      <c r="H11359" s="2" t="s">
        <v>15178</v>
      </c>
      <c r="I11359" s="2" t="s">
        <v>15</v>
      </c>
      <c r="J11359" s="2" t="s">
        <v>12</v>
      </c>
      <c r="K11359" s="2" t="s">
        <v>15179</v>
      </c>
      <c r="L11359" s="2">
        <f t="shared" si="177"/>
        <v>150</v>
      </c>
    </row>
    <row r="11360" spans="1:12" ht="25" customHeight="1">
      <c r="A11360" s="2" t="s">
        <v>12</v>
      </c>
      <c r="B11360" s="2" t="str">
        <f>HYPERLINK("http://m.12365auto.com/xcdg/20200206/417850.shtml","展示电气化方向 铃木子公司发新概念车")</f>
        <v>展示电气化方向 铃木子公司发新概念车</v>
      </c>
      <c r="C11360" s="2" t="s">
        <v>13</v>
      </c>
      <c r="D11360" s="2" t="s">
        <v>12</v>
      </c>
      <c r="E11360" s="2"/>
      <c r="F11360" s="2" t="str">
        <f>HYPERLINK("http://m.12365auto.com/xcdg/20200206/417850.shtml","http://m.12365auto.com/xcdg/20200206/417850.shtml")</f>
        <v>http://m.12365auto.com/xcdg/20200206/417850.shtml</v>
      </c>
      <c r="G11360" s="2"/>
      <c r="H11360" s="2" t="s">
        <v>15180</v>
      </c>
      <c r="I11360" s="2" t="s">
        <v>19</v>
      </c>
      <c r="J11360" s="2" t="s">
        <v>781</v>
      </c>
      <c r="K11360" s="2" t="s">
        <v>15179</v>
      </c>
      <c r="L11360" s="2">
        <f t="shared" si="177"/>
        <v>150</v>
      </c>
    </row>
    <row r="11361" spans="1:12" ht="25" customHeight="1">
      <c r="A11361" s="2" t="s">
        <v>12</v>
      </c>
      <c r="B11361" s="2" t="str">
        <f>HYPERLINK("http://www.12365auto.com/news/20200206/417849.shtml","成本下探 国产特斯拉供应链再添新成员")</f>
        <v>成本下探 国产特斯拉供应链再添新成员</v>
      </c>
      <c r="C11361" s="2" t="s">
        <v>13</v>
      </c>
      <c r="D11361" s="2" t="s">
        <v>12</v>
      </c>
      <c r="E11361" s="2" t="s">
        <v>276</v>
      </c>
      <c r="F11361" s="2" t="str">
        <f>HYPERLINK("http://www.12365auto.com/news/20200206/417849.shtml","http://www.12365auto.com/news/20200206/417849.shtml")</f>
        <v>http://www.12365auto.com/news/20200206/417849.shtml</v>
      </c>
      <c r="G11361" s="2"/>
      <c r="H11361" s="2" t="s">
        <v>15181</v>
      </c>
      <c r="I11361" s="2" t="s">
        <v>15</v>
      </c>
      <c r="J11361" s="2" t="s">
        <v>12</v>
      </c>
      <c r="K11361" s="2" t="s">
        <v>15182</v>
      </c>
      <c r="L11361" s="2">
        <f t="shared" si="177"/>
        <v>150</v>
      </c>
    </row>
    <row r="11362" spans="1:12" ht="25" customHeight="1">
      <c r="A11362" s="2" t="s">
        <v>12</v>
      </c>
      <c r="B11362" s="2" t="str">
        <f>HYPERLINK("http://m.12365auto.com/news/20200206/417849.shtml","成本下探 国产特斯拉供应链再添新成员")</f>
        <v>成本下探 国产特斯拉供应链再添新成员</v>
      </c>
      <c r="C11362" s="2" t="s">
        <v>13</v>
      </c>
      <c r="D11362" s="2" t="s">
        <v>12</v>
      </c>
      <c r="E11362" s="2"/>
      <c r="F11362" s="2" t="str">
        <f>HYPERLINK("http://m.12365auto.com/news/20200206/417849.shtml","http://m.12365auto.com/news/20200206/417849.shtml")</f>
        <v>http://m.12365auto.com/news/20200206/417849.shtml</v>
      </c>
      <c r="G11362" s="2"/>
      <c r="H11362" s="2" t="s">
        <v>15183</v>
      </c>
      <c r="I11362" s="2" t="s">
        <v>19</v>
      </c>
      <c r="J11362" s="2" t="s">
        <v>1653</v>
      </c>
      <c r="K11362" s="2" t="s">
        <v>15182</v>
      </c>
      <c r="L11362" s="2">
        <f t="shared" si="177"/>
        <v>150</v>
      </c>
    </row>
    <row r="11363" spans="1:12" ht="25" customHeight="1">
      <c r="A11363" s="2" t="s">
        <v>12</v>
      </c>
      <c r="B11363" s="2" t="str">
        <f>HYPERLINK("http://www.12365auto.com/news/20200206/417848.shtml","停摆两年解禁 Uber加州无人车测试获批")</f>
        <v>停摆两年解禁 Uber加州无人车测试获批</v>
      </c>
      <c r="C11363" s="2" t="s">
        <v>13</v>
      </c>
      <c r="D11363" s="2" t="s">
        <v>12</v>
      </c>
      <c r="E11363" s="2" t="s">
        <v>276</v>
      </c>
      <c r="F11363" s="2" t="str">
        <f>HYPERLINK("http://www.12365auto.com/news/20200206/417848.shtml","http://www.12365auto.com/news/20200206/417848.shtml")</f>
        <v>http://www.12365auto.com/news/20200206/417848.shtml</v>
      </c>
      <c r="G11363" s="2"/>
      <c r="H11363" s="2" t="s">
        <v>15184</v>
      </c>
      <c r="I11363" s="2" t="s">
        <v>15</v>
      </c>
      <c r="J11363" s="2" t="s">
        <v>12</v>
      </c>
      <c r="K11363" s="2" t="s">
        <v>15185</v>
      </c>
      <c r="L11363" s="2">
        <f t="shared" si="177"/>
        <v>150</v>
      </c>
    </row>
    <row r="11364" spans="1:12" ht="25" customHeight="1">
      <c r="A11364" s="2" t="s">
        <v>12</v>
      </c>
      <c r="B11364" s="2" t="str">
        <f>HYPERLINK("http://m.12365auto.com/news/20200206/417848.shtml","停摆两年解禁 Uber加州无人车测试获批")</f>
        <v>停摆两年解禁 Uber加州无人车测试获批</v>
      </c>
      <c r="C11364" s="2" t="s">
        <v>13</v>
      </c>
      <c r="D11364" s="2" t="s">
        <v>12</v>
      </c>
      <c r="E11364" s="2"/>
      <c r="F11364" s="2" t="str">
        <f>HYPERLINK("http://m.12365auto.com/news/20200206/417848.shtml","http://m.12365auto.com/news/20200206/417848.shtml")</f>
        <v>http://m.12365auto.com/news/20200206/417848.shtml</v>
      </c>
      <c r="G11364" s="2"/>
      <c r="H11364" s="2" t="s">
        <v>15186</v>
      </c>
      <c r="I11364" s="2" t="s">
        <v>19</v>
      </c>
      <c r="J11364" s="2" t="s">
        <v>1543</v>
      </c>
      <c r="K11364" s="2" t="s">
        <v>15185</v>
      </c>
      <c r="L11364" s="2">
        <f t="shared" si="177"/>
        <v>150</v>
      </c>
    </row>
    <row r="11365" spans="1:12" ht="25" customHeight="1">
      <c r="A11365" s="2" t="s">
        <v>12</v>
      </c>
      <c r="B11365" s="2" t="str">
        <f>HYPERLINK("http://www.12365auto.com/zlts/20200206/446478.shtml","广汽丰田雷凌隔音棉材质极差导致车内异味")</f>
        <v>广汽丰田雷凌隔音棉材质极差导致车内异味</v>
      </c>
      <c r="C11365" s="2" t="s">
        <v>13</v>
      </c>
      <c r="D11365" s="2" t="s">
        <v>12</v>
      </c>
      <c r="E11365" s="2" t="s">
        <v>17</v>
      </c>
      <c r="F11365" s="2" t="str">
        <f>HYPERLINK("http://www.12365auto.com/zlts/20200206/446478.shtml","http://www.12365auto.com/zlts/20200206/446478.shtml")</f>
        <v>http://www.12365auto.com/zlts/20200206/446478.shtml</v>
      </c>
      <c r="G11365" s="2"/>
      <c r="H11365" s="2" t="s">
        <v>15187</v>
      </c>
      <c r="I11365" s="2" t="s">
        <v>19</v>
      </c>
      <c r="J11365" s="2" t="s">
        <v>12</v>
      </c>
      <c r="K11365" s="2" t="s">
        <v>15188</v>
      </c>
      <c r="L11365" s="2">
        <f t="shared" si="177"/>
        <v>150</v>
      </c>
    </row>
    <row r="11366" spans="1:12" ht="25" customHeight="1">
      <c r="A11366" s="2" t="s">
        <v>12</v>
      </c>
      <c r="B11366" s="2" t="str">
        <f>HYPERLINK("http://www.12365auto.com/news/20200206/417847.shtml","拓展至22车型 通用升级半自动驾驶功能")</f>
        <v>拓展至22车型 通用升级半自动驾驶功能</v>
      </c>
      <c r="C11366" s="2" t="s">
        <v>13</v>
      </c>
      <c r="D11366" s="2" t="s">
        <v>12</v>
      </c>
      <c r="E11366" s="2" t="s">
        <v>276</v>
      </c>
      <c r="F11366" s="2" t="str">
        <f>HYPERLINK("http://www.12365auto.com/news/20200206/417847.shtml","http://www.12365auto.com/news/20200206/417847.shtml")</f>
        <v>http://www.12365auto.com/news/20200206/417847.shtml</v>
      </c>
      <c r="G11366" s="2"/>
      <c r="H11366" s="2" t="s">
        <v>15189</v>
      </c>
      <c r="I11366" s="2" t="s">
        <v>15</v>
      </c>
      <c r="J11366" s="2" t="s">
        <v>12</v>
      </c>
      <c r="K11366" s="2" t="s">
        <v>15190</v>
      </c>
      <c r="L11366" s="2">
        <f t="shared" si="177"/>
        <v>150</v>
      </c>
    </row>
    <row r="11367" spans="1:12" ht="25" customHeight="1">
      <c r="A11367" s="2" t="s">
        <v>12</v>
      </c>
      <c r="B11367" s="2" t="str">
        <f>HYPERLINK("http://m.12365auto.com/news/20200206/417847.shtml","拓展至22车型 通用升级半自动驾驶功能")</f>
        <v>拓展至22车型 通用升级半自动驾驶功能</v>
      </c>
      <c r="C11367" s="2" t="s">
        <v>13</v>
      </c>
      <c r="D11367" s="2" t="s">
        <v>12</v>
      </c>
      <c r="E11367" s="2"/>
      <c r="F11367" s="2" t="str">
        <f>HYPERLINK("http://m.12365auto.com/news/20200206/417847.shtml","http://m.12365auto.com/news/20200206/417847.shtml")</f>
        <v>http://m.12365auto.com/news/20200206/417847.shtml</v>
      </c>
      <c r="G11367" s="2"/>
      <c r="H11367" s="2" t="s">
        <v>15191</v>
      </c>
      <c r="I11367" s="2" t="s">
        <v>19</v>
      </c>
      <c r="J11367" s="2" t="s">
        <v>1643</v>
      </c>
      <c r="K11367" s="2" t="s">
        <v>15190</v>
      </c>
      <c r="L11367" s="2">
        <f t="shared" si="177"/>
        <v>150</v>
      </c>
    </row>
    <row r="11368" spans="1:12" ht="25" customHeight="1">
      <c r="A11368" s="2" t="s">
        <v>12</v>
      </c>
      <c r="B11368" s="2" t="str">
        <f>HYPERLINK("http://www.12365auto.com/xcdg/20200206/417846.shtml","搭3.8L+9AT 新款日产Frontier官图发布")</f>
        <v>搭3.8L+9AT 新款日产Frontier官图发布</v>
      </c>
      <c r="C11368" s="2" t="s">
        <v>13</v>
      </c>
      <c r="D11368" s="2" t="s">
        <v>12</v>
      </c>
      <c r="E11368" s="2" t="s">
        <v>216</v>
      </c>
      <c r="F11368" s="2" t="str">
        <f>HYPERLINK("http://www.12365auto.com/xcdg/20200206/417846.shtml","http://www.12365auto.com/xcdg/20200206/417846.shtml")</f>
        <v>http://www.12365auto.com/xcdg/20200206/417846.shtml</v>
      </c>
      <c r="G11368" s="2"/>
      <c r="H11368" s="2" t="s">
        <v>15192</v>
      </c>
      <c r="I11368" s="2" t="s">
        <v>15</v>
      </c>
      <c r="J11368" s="2" t="s">
        <v>12</v>
      </c>
      <c r="K11368" s="2" t="s">
        <v>15193</v>
      </c>
      <c r="L11368" s="2">
        <f t="shared" si="177"/>
        <v>150</v>
      </c>
    </row>
    <row r="11369" spans="1:12" ht="25" customHeight="1">
      <c r="A11369" s="2" t="s">
        <v>12</v>
      </c>
      <c r="B11369" s="2" t="str">
        <f>HYPERLINK("http://m.12365auto.com/xcdg/20200206/417846.shtml","搭3.8L+9AT 新款日产Frontier官图发布")</f>
        <v>搭3.8L+9AT 新款日产Frontier官图发布</v>
      </c>
      <c r="C11369" s="2" t="s">
        <v>13</v>
      </c>
      <c r="D11369" s="2" t="s">
        <v>12</v>
      </c>
      <c r="E11369" s="2"/>
      <c r="F11369" s="2" t="str">
        <f>HYPERLINK("http://m.12365auto.com/xcdg/20200206/417846.shtml","http://m.12365auto.com/xcdg/20200206/417846.shtml")</f>
        <v>http://m.12365auto.com/xcdg/20200206/417846.shtml</v>
      </c>
      <c r="G11369" s="2"/>
      <c r="H11369" s="2" t="s">
        <v>15194</v>
      </c>
      <c r="I11369" s="2" t="s">
        <v>19</v>
      </c>
      <c r="J11369" s="2" t="s">
        <v>836</v>
      </c>
      <c r="K11369" s="2" t="s">
        <v>15193</v>
      </c>
      <c r="L11369" s="2">
        <f t="shared" si="177"/>
        <v>150</v>
      </c>
    </row>
    <row r="11370" spans="1:12" ht="25" customHeight="1">
      <c r="A11370" s="2" t="s">
        <v>12</v>
      </c>
      <c r="B11370" s="2" t="str">
        <f>HYPERLINK("http://www.12365auto.com/zlts/20200206/446477.shtml","别克君越电池故障 要求尽快处理")</f>
        <v>别克君越电池故障 要求尽快处理</v>
      </c>
      <c r="C11370" s="2" t="s">
        <v>13</v>
      </c>
      <c r="D11370" s="2" t="s">
        <v>12</v>
      </c>
      <c r="E11370" s="2"/>
      <c r="F11370" s="2" t="str">
        <f>HYPERLINK("http://www.12365auto.com/zlts/20200206/446477.shtml","http://www.12365auto.com/zlts/20200206/446477.shtml")</f>
        <v>http://www.12365auto.com/zlts/20200206/446477.shtml</v>
      </c>
      <c r="G11370" s="2"/>
      <c r="H11370" s="2" t="s">
        <v>15196</v>
      </c>
      <c r="I11370" s="2" t="s">
        <v>15</v>
      </c>
      <c r="J11370" s="2" t="s">
        <v>12</v>
      </c>
      <c r="K11370" s="2" t="s">
        <v>15195</v>
      </c>
      <c r="L11370" s="2">
        <f t="shared" si="177"/>
        <v>81</v>
      </c>
    </row>
    <row r="11371" spans="1:12" ht="25" customHeight="1">
      <c r="A11371" s="2" t="s">
        <v>12</v>
      </c>
      <c r="B11371" s="2" t="str">
        <f>HYPERLINK("http://www.12365auto.com/news/20200206/417845.shtml","威马汽车员工返岗时间延后至2月17日")</f>
        <v>威马汽车员工返岗时间延后至2月17日</v>
      </c>
      <c r="C11371" s="2" t="s">
        <v>13</v>
      </c>
      <c r="D11371" s="2" t="s">
        <v>12</v>
      </c>
      <c r="E11371" s="2" t="s">
        <v>276</v>
      </c>
      <c r="F11371" s="2" t="str">
        <f>HYPERLINK("http://www.12365auto.com/news/20200206/417845.shtml","http://www.12365auto.com/news/20200206/417845.shtml")</f>
        <v>http://www.12365auto.com/news/20200206/417845.shtml</v>
      </c>
      <c r="G11371" s="2"/>
      <c r="H11371" s="2" t="s">
        <v>15197</v>
      </c>
      <c r="I11371" s="2" t="s">
        <v>15</v>
      </c>
      <c r="J11371" s="2" t="s">
        <v>12</v>
      </c>
      <c r="K11371" s="2" t="s">
        <v>15198</v>
      </c>
      <c r="L11371" s="2">
        <f t="shared" si="177"/>
        <v>150</v>
      </c>
    </row>
    <row r="11372" spans="1:12" ht="25" customHeight="1">
      <c r="A11372" s="2" t="s">
        <v>12</v>
      </c>
      <c r="B11372" s="2" t="str">
        <f>HYPERLINK("http://m.12365auto.com/news/20200206/417845.shtml","威马汽车员工返岗时间延后至2月17日")</f>
        <v>威马汽车员工返岗时间延后至2月17日</v>
      </c>
      <c r="C11372" s="2" t="s">
        <v>13</v>
      </c>
      <c r="D11372" s="2" t="s">
        <v>12</v>
      </c>
      <c r="E11372" s="2"/>
      <c r="F11372" s="2" t="str">
        <f>HYPERLINK("http://m.12365auto.com/news/20200206/417845.shtml","http://m.12365auto.com/news/20200206/417845.shtml")</f>
        <v>http://m.12365auto.com/news/20200206/417845.shtml</v>
      </c>
      <c r="G11372" s="2"/>
      <c r="H11372" s="2" t="s">
        <v>15199</v>
      </c>
      <c r="I11372" s="2" t="s">
        <v>19</v>
      </c>
      <c r="J11372" s="2" t="s">
        <v>1968</v>
      </c>
      <c r="K11372" s="2" t="s">
        <v>15198</v>
      </c>
      <c r="L11372" s="2">
        <f t="shared" si="177"/>
        <v>150</v>
      </c>
    </row>
    <row r="11373" spans="1:12" ht="25" customHeight="1">
      <c r="A11373" s="2" t="s">
        <v>12</v>
      </c>
      <c r="B11373" s="2" t="str">
        <f>HYPERLINK("http://www.12365auto.com/news/20200206/417844.shtml","宝腾1月销量8506辆 同比增长20.2%")</f>
        <v>宝腾1月销量8506辆 同比增长20.2%</v>
      </c>
      <c r="C11373" s="2" t="s">
        <v>13</v>
      </c>
      <c r="D11373" s="2" t="s">
        <v>12</v>
      </c>
      <c r="E11373" s="2" t="s">
        <v>276</v>
      </c>
      <c r="F11373" s="2" t="str">
        <f>HYPERLINK("http://www.12365auto.com/news/20200206/417844.shtml","http://www.12365auto.com/news/20200206/417844.shtml")</f>
        <v>http://www.12365auto.com/news/20200206/417844.shtml</v>
      </c>
      <c r="G11373" s="2"/>
      <c r="H11373" s="2" t="s">
        <v>15200</v>
      </c>
      <c r="I11373" s="2" t="s">
        <v>15</v>
      </c>
      <c r="J11373" s="2" t="s">
        <v>12</v>
      </c>
      <c r="K11373" s="2" t="s">
        <v>15201</v>
      </c>
      <c r="L11373" s="2">
        <f t="shared" si="177"/>
        <v>150</v>
      </c>
    </row>
    <row r="11374" spans="1:12" ht="25" customHeight="1">
      <c r="A11374" s="2" t="s">
        <v>12</v>
      </c>
      <c r="B11374" s="2" t="str">
        <f>HYPERLINK("http://m.12365auto.com/news/20200206/417844.shtml","宝腾1月销量8506辆 同比增长20.2%")</f>
        <v>宝腾1月销量8506辆 同比增长20.2%</v>
      </c>
      <c r="C11374" s="2" t="s">
        <v>13</v>
      </c>
      <c r="D11374" s="2" t="s">
        <v>12</v>
      </c>
      <c r="E11374" s="2"/>
      <c r="F11374" s="2" t="str">
        <f>HYPERLINK("http://m.12365auto.com/news/20200206/417844.shtml","http://m.12365auto.com/news/20200206/417844.shtml")</f>
        <v>http://m.12365auto.com/news/20200206/417844.shtml</v>
      </c>
      <c r="G11374" s="2"/>
      <c r="H11374" s="2" t="s">
        <v>15202</v>
      </c>
      <c r="I11374" s="2" t="s">
        <v>19</v>
      </c>
      <c r="J11374" s="2" t="s">
        <v>12</v>
      </c>
      <c r="K11374" s="2" t="s">
        <v>15201</v>
      </c>
      <c r="L11374" s="2">
        <f t="shared" si="177"/>
        <v>150</v>
      </c>
    </row>
    <row r="11375" spans="1:12" ht="25" customHeight="1">
      <c r="A11375" s="2" t="s">
        <v>12</v>
      </c>
      <c r="B11375" s="2" t="str">
        <f>HYPERLINK("http://www.12365auto.com/xcdg/20200206/417843.shtml","布加迪Chiron即将停产  最后100台")</f>
        <v>布加迪Chiron即将停产  最后100台</v>
      </c>
      <c r="C11375" s="2" t="s">
        <v>13</v>
      </c>
      <c r="D11375" s="2" t="s">
        <v>12</v>
      </c>
      <c r="E11375" s="2" t="s">
        <v>216</v>
      </c>
      <c r="F11375" s="2" t="str">
        <f>HYPERLINK("http://www.12365auto.com/xcdg/20200206/417843.shtml","http://www.12365auto.com/xcdg/20200206/417843.shtml")</f>
        <v>http://www.12365auto.com/xcdg/20200206/417843.shtml</v>
      </c>
      <c r="G11375" s="2"/>
      <c r="H11375" s="2" t="s">
        <v>15203</v>
      </c>
      <c r="I11375" s="2" t="s">
        <v>15</v>
      </c>
      <c r="J11375" s="2" t="s">
        <v>12</v>
      </c>
      <c r="K11375" s="2" t="s">
        <v>15204</v>
      </c>
      <c r="L11375" s="2">
        <f t="shared" si="177"/>
        <v>150</v>
      </c>
    </row>
    <row r="11376" spans="1:12" ht="25" customHeight="1">
      <c r="A11376" s="2" t="s">
        <v>12</v>
      </c>
      <c r="B11376" s="2" t="str">
        <f>HYPERLINK("http://m.12365auto.com/xcdg/20200206/417843.shtml","布加迪Chiron即将停产  最后100台")</f>
        <v>布加迪Chiron即将停产  最后100台</v>
      </c>
      <c r="C11376" s="2" t="s">
        <v>13</v>
      </c>
      <c r="D11376" s="2" t="s">
        <v>12</v>
      </c>
      <c r="E11376" s="2"/>
      <c r="F11376" s="2" t="str">
        <f>HYPERLINK("http://m.12365auto.com/xcdg/20200206/417843.shtml","http://m.12365auto.com/xcdg/20200206/417843.shtml")</f>
        <v>http://m.12365auto.com/xcdg/20200206/417843.shtml</v>
      </c>
      <c r="G11376" s="2"/>
      <c r="H11376" s="2" t="s">
        <v>15205</v>
      </c>
      <c r="I11376" s="2" t="s">
        <v>19</v>
      </c>
      <c r="J11376" s="2" t="s">
        <v>12</v>
      </c>
      <c r="K11376" s="2" t="s">
        <v>15204</v>
      </c>
      <c r="L11376" s="2">
        <f t="shared" si="177"/>
        <v>150</v>
      </c>
    </row>
    <row r="11377" spans="1:12" ht="25" customHeight="1">
      <c r="A11377" s="2" t="s">
        <v>12</v>
      </c>
      <c r="B11377" s="2" t="str">
        <f>HYPERLINK("http://www.12365auto.com/xcdg/20200206/417842.shtml","新宝骏RC-6即将上市 搭载华为HiCar")</f>
        <v>新宝骏RC-6即将上市 搭载华为HiCar</v>
      </c>
      <c r="C11377" s="2" t="s">
        <v>13</v>
      </c>
      <c r="D11377" s="2" t="s">
        <v>12</v>
      </c>
      <c r="E11377" s="2" t="s">
        <v>216</v>
      </c>
      <c r="F11377" s="2" t="str">
        <f>HYPERLINK("http://www.12365auto.com/xcdg/20200206/417842.shtml","http://www.12365auto.com/xcdg/20200206/417842.shtml")</f>
        <v>http://www.12365auto.com/xcdg/20200206/417842.shtml</v>
      </c>
      <c r="G11377" s="2"/>
      <c r="H11377" s="2" t="s">
        <v>15206</v>
      </c>
      <c r="I11377" s="2" t="s">
        <v>15</v>
      </c>
      <c r="J11377" s="2" t="s">
        <v>12</v>
      </c>
      <c r="K11377" s="2" t="s">
        <v>15207</v>
      </c>
      <c r="L11377" s="2">
        <f t="shared" si="177"/>
        <v>150</v>
      </c>
    </row>
    <row r="11378" spans="1:12" ht="25" customHeight="1">
      <c r="A11378" s="2" t="s">
        <v>12</v>
      </c>
      <c r="B11378" s="2" t="str">
        <f>HYPERLINK("http://m.12365auto.com/xcdg/20200206/417842.shtml","新宝骏RC-6即将上市 搭载华为HiCar")</f>
        <v>新宝骏RC-6即将上市 搭载华为HiCar</v>
      </c>
      <c r="C11378" s="2" t="s">
        <v>13</v>
      </c>
      <c r="D11378" s="2" t="s">
        <v>12</v>
      </c>
      <c r="E11378" s="2"/>
      <c r="F11378" s="2" t="str">
        <f>HYPERLINK("http://m.12365auto.com/xcdg/20200206/417842.shtml","http://m.12365auto.com/xcdg/20200206/417842.shtml")</f>
        <v>http://m.12365auto.com/xcdg/20200206/417842.shtml</v>
      </c>
      <c r="G11378" s="2"/>
      <c r="H11378" s="2" t="s">
        <v>15208</v>
      </c>
      <c r="I11378" s="2" t="s">
        <v>19</v>
      </c>
      <c r="J11378" s="2" t="s">
        <v>236</v>
      </c>
      <c r="K11378" s="2" t="s">
        <v>15207</v>
      </c>
      <c r="L11378" s="2">
        <f t="shared" si="177"/>
        <v>150</v>
      </c>
    </row>
    <row r="11379" spans="1:12" ht="25" customHeight="1">
      <c r="A11379" s="2" t="s">
        <v>12</v>
      </c>
      <c r="B11379" s="2" t="str">
        <f>HYPERLINK("http://www.12365auto.com/xcdg/20200206/417841.shtml","搭电动对开门 哈弗VISION 2025亮相印度车展")</f>
        <v>搭电动对开门 哈弗VISION 2025亮相印度车展</v>
      </c>
      <c r="C11379" s="2" t="s">
        <v>13</v>
      </c>
      <c r="D11379" s="2" t="s">
        <v>12</v>
      </c>
      <c r="E11379" s="2" t="s">
        <v>216</v>
      </c>
      <c r="F11379" s="2" t="str">
        <f>HYPERLINK("http://www.12365auto.com/xcdg/20200206/417841.shtml","http://www.12365auto.com/xcdg/20200206/417841.shtml")</f>
        <v>http://www.12365auto.com/xcdg/20200206/417841.shtml</v>
      </c>
      <c r="G11379" s="2"/>
      <c r="H11379" s="2" t="s">
        <v>15209</v>
      </c>
      <c r="I11379" s="2" t="s">
        <v>15</v>
      </c>
      <c r="J11379" s="2" t="s">
        <v>12</v>
      </c>
      <c r="K11379" s="2" t="s">
        <v>15210</v>
      </c>
      <c r="L11379" s="2">
        <f t="shared" si="177"/>
        <v>150</v>
      </c>
    </row>
    <row r="11380" spans="1:12" ht="25" customHeight="1">
      <c r="A11380" s="2" t="s">
        <v>12</v>
      </c>
      <c r="B11380" s="2" t="str">
        <f>HYPERLINK("http://m.12365auto.com/xcdg/20200206/417841.shtml","搭电动对开门 哈弗VISION 2025亮相印度车展")</f>
        <v>搭电动对开门 哈弗VISION 2025亮相印度车展</v>
      </c>
      <c r="C11380" s="2" t="s">
        <v>13</v>
      </c>
      <c r="D11380" s="2" t="s">
        <v>12</v>
      </c>
      <c r="E11380" s="2"/>
      <c r="F11380" s="2" t="str">
        <f>HYPERLINK("http://m.12365auto.com/xcdg/20200206/417841.shtml","http://m.12365auto.com/xcdg/20200206/417841.shtml")</f>
        <v>http://m.12365auto.com/xcdg/20200206/417841.shtml</v>
      </c>
      <c r="G11380" s="2"/>
      <c r="H11380" s="2" t="s">
        <v>15211</v>
      </c>
      <c r="I11380" s="2" t="s">
        <v>19</v>
      </c>
      <c r="J11380" s="2" t="s">
        <v>12</v>
      </c>
      <c r="K11380" s="2" t="s">
        <v>15210</v>
      </c>
      <c r="L11380" s="2">
        <f t="shared" si="177"/>
        <v>150</v>
      </c>
    </row>
    <row r="11381" spans="1:12" ht="25" customHeight="1">
      <c r="A11381" s="2" t="s">
        <v>12</v>
      </c>
      <c r="B11381" s="2" t="str">
        <f>HYPERLINK("http://bbs.12365auto.com/postcontent.aspx?tID=193424","长安欧尚A600经销商出售库存车未告知")</f>
        <v>长安欧尚A600经销商出售库存车未告知</v>
      </c>
      <c r="C11381" s="2" t="s">
        <v>13</v>
      </c>
      <c r="D11381" s="2" t="s">
        <v>12</v>
      </c>
      <c r="E11381" s="2" t="s">
        <v>67</v>
      </c>
      <c r="F11381" s="2" t="str">
        <f>HYPERLINK("http://bbs.12365auto.com/postcontent.aspx?tID=193424","http://bbs.12365auto.com/postcontent.aspx?tID=193424")</f>
        <v>http://bbs.12365auto.com/postcontent.aspx?tID=193424</v>
      </c>
      <c r="G11381" s="2"/>
      <c r="H11381" s="2" t="s">
        <v>15212</v>
      </c>
      <c r="I11381" s="2" t="s">
        <v>15</v>
      </c>
      <c r="J11381" s="2" t="s">
        <v>587</v>
      </c>
      <c r="K11381" s="2" t="s">
        <v>15213</v>
      </c>
      <c r="L11381" s="2">
        <f t="shared" si="177"/>
        <v>123</v>
      </c>
    </row>
    <row r="11382" spans="1:12" ht="25" customHeight="1">
      <c r="A11382" s="2" t="s">
        <v>12</v>
      </c>
      <c r="B11382" s="2" t="str">
        <f>HYPERLINK("http://m.12365auto.com/bbs/postcontent.aspx?tID=193424","长安欧尚A600经销商出售库存车未告知")</f>
        <v>长安欧尚A600经销商出售库存车未告知</v>
      </c>
      <c r="C11382" s="2" t="s">
        <v>13</v>
      </c>
      <c r="D11382" s="2" t="s">
        <v>23</v>
      </c>
      <c r="E11382" s="2"/>
      <c r="F11382" s="2" t="str">
        <f>HYPERLINK("http://m.12365auto.com/bbs/postcontent.aspx?tID=193424","http://m.12365auto.com/bbs/postcontent.aspx?tID=193424")</f>
        <v>http://m.12365auto.com/bbs/postcontent.aspx?tID=193424</v>
      </c>
      <c r="G11382" s="2"/>
      <c r="H11382" s="2" t="s">
        <v>15214</v>
      </c>
      <c r="I11382" s="2" t="s">
        <v>15</v>
      </c>
      <c r="J11382" s="2" t="s">
        <v>587</v>
      </c>
      <c r="K11382" s="2" t="s">
        <v>15213</v>
      </c>
      <c r="L11382" s="2">
        <f t="shared" si="177"/>
        <v>104</v>
      </c>
    </row>
    <row r="11383" spans="1:12" ht="25" customHeight="1">
      <c r="A11383" s="2" t="s">
        <v>12</v>
      </c>
      <c r="B11383" s="2" t="str">
        <f>HYPERLINK("http://bbs.12365auto.com/postcontent.aspx?tId=193424","长安欧尚A600经销商出售库存车未告知")</f>
        <v>长安欧尚A600经销商出售库存车未告知</v>
      </c>
      <c r="C11383" s="2" t="s">
        <v>13</v>
      </c>
      <c r="D11383" s="2" t="s">
        <v>12</v>
      </c>
      <c r="E11383" s="2" t="s">
        <v>66</v>
      </c>
      <c r="F11383" s="2" t="str">
        <f>HYPERLINK("http://bbs.12365auto.com/postcontent.aspx?tId=193424","http://bbs.12365auto.com/postcontent.aspx?tId=193424")</f>
        <v>http://bbs.12365auto.com/postcontent.aspx?tId=193424</v>
      </c>
      <c r="G11383" s="2"/>
      <c r="H11383" s="2" t="s">
        <v>15214</v>
      </c>
      <c r="I11383" s="2" t="s">
        <v>15</v>
      </c>
      <c r="J11383" s="2" t="s">
        <v>587</v>
      </c>
      <c r="K11383" s="2" t="s">
        <v>15213</v>
      </c>
      <c r="L11383" s="2">
        <f t="shared" si="177"/>
        <v>104</v>
      </c>
    </row>
    <row r="11384" spans="1:12" ht="25" customHeight="1">
      <c r="A11384" s="2" t="s">
        <v>12</v>
      </c>
      <c r="B11384" s="2" t="str">
        <f>HYPERLINK("http://www.12365auto.com/news/20200206/417840.shtml","一万牛米什么概念？电动车轻易超越燃油车")</f>
        <v>一万牛米什么概念？电动车轻易超越燃油车</v>
      </c>
      <c r="C11384" s="2" t="s">
        <v>13</v>
      </c>
      <c r="D11384" s="2" t="s">
        <v>12</v>
      </c>
      <c r="E11384" s="2" t="s">
        <v>276</v>
      </c>
      <c r="F11384" s="2" t="str">
        <f>HYPERLINK("http://www.12365auto.com/news/20200206/417840.shtml","http://www.12365auto.com/news/20200206/417840.shtml")</f>
        <v>http://www.12365auto.com/news/20200206/417840.shtml</v>
      </c>
      <c r="G11384" s="2"/>
      <c r="H11384" s="2" t="s">
        <v>15215</v>
      </c>
      <c r="I11384" s="2" t="s">
        <v>15</v>
      </c>
      <c r="J11384" s="2" t="s">
        <v>12</v>
      </c>
      <c r="K11384" s="2" t="s">
        <v>15213</v>
      </c>
      <c r="L11384" s="2">
        <f t="shared" si="177"/>
        <v>150</v>
      </c>
    </row>
    <row r="11385" spans="1:12" ht="25" customHeight="1">
      <c r="A11385" s="2" t="s">
        <v>12</v>
      </c>
      <c r="B11385" s="2" t="str">
        <f>HYPERLINK("http://m.12365auto.com/news/20200206/417840.shtml","一万牛米什么概念？电动车轻易超越燃油车")</f>
        <v>一万牛米什么概念？电动车轻易超越燃油车</v>
      </c>
      <c r="C11385" s="2" t="s">
        <v>13</v>
      </c>
      <c r="D11385" s="2" t="s">
        <v>12</v>
      </c>
      <c r="E11385" s="2"/>
      <c r="F11385" s="2" t="str">
        <f>HYPERLINK("http://m.12365auto.com/news/20200206/417840.shtml","http://m.12365auto.com/news/20200206/417840.shtml")</f>
        <v>http://m.12365auto.com/news/20200206/417840.shtml</v>
      </c>
      <c r="G11385" s="2"/>
      <c r="H11385" s="2" t="s">
        <v>15216</v>
      </c>
      <c r="I11385" s="2" t="s">
        <v>19</v>
      </c>
      <c r="J11385" s="2" t="s">
        <v>15217</v>
      </c>
      <c r="K11385" s="2" t="s">
        <v>15213</v>
      </c>
      <c r="L11385" s="2">
        <f t="shared" si="177"/>
        <v>150</v>
      </c>
    </row>
    <row r="11386" spans="1:12" ht="25" customHeight="1">
      <c r="A11386" s="2" t="s">
        <v>12</v>
      </c>
      <c r="B11386" s="2" t="str">
        <f>HYPERLINK("http://bbs.12365auto.com/postcontent.aspx?tID=193423","上汽大众帕萨特碰撞测试A柱断裂")</f>
        <v>上汽大众帕萨特碰撞测试A柱断裂</v>
      </c>
      <c r="C11386" s="2" t="s">
        <v>13</v>
      </c>
      <c r="D11386" s="2" t="s">
        <v>12</v>
      </c>
      <c r="E11386" s="2" t="s">
        <v>67</v>
      </c>
      <c r="F11386" s="2" t="str">
        <f>HYPERLINK("http://bbs.12365auto.com/postcontent.aspx?tID=193423","http://bbs.12365auto.com/postcontent.aspx?tID=193423")</f>
        <v>http://bbs.12365auto.com/postcontent.aspx?tID=193423</v>
      </c>
      <c r="G11386" s="2"/>
      <c r="H11386" s="2" t="s">
        <v>15218</v>
      </c>
      <c r="I11386" s="2" t="s">
        <v>15</v>
      </c>
      <c r="J11386" s="2" t="s">
        <v>590</v>
      </c>
      <c r="K11386" s="2" t="s">
        <v>15219</v>
      </c>
      <c r="L11386" s="2">
        <f t="shared" si="177"/>
        <v>48</v>
      </c>
    </row>
    <row r="11387" spans="1:12" ht="25" customHeight="1">
      <c r="A11387" s="2" t="s">
        <v>12</v>
      </c>
      <c r="B11387" s="2" t="str">
        <f>HYPERLINK("http://m.12365auto.com/bbs/postcontent.aspx?tID=193423","上汽大众帕萨特碰撞测试A柱断裂")</f>
        <v>上汽大众帕萨特碰撞测试A柱断裂</v>
      </c>
      <c r="C11387" s="2" t="s">
        <v>13</v>
      </c>
      <c r="D11387" s="2" t="s">
        <v>23</v>
      </c>
      <c r="E11387" s="2"/>
      <c r="F11387" s="2" t="str">
        <f>HYPERLINK("http://m.12365auto.com/bbs/postcontent.aspx?tID=193423","http://m.12365auto.com/bbs/postcontent.aspx?tID=193423")</f>
        <v>http://m.12365auto.com/bbs/postcontent.aspx?tID=193423</v>
      </c>
      <c r="G11387" s="2"/>
      <c r="H11387" s="2" t="s">
        <v>15220</v>
      </c>
      <c r="I11387" s="2" t="s">
        <v>15</v>
      </c>
      <c r="J11387" s="2" t="s">
        <v>590</v>
      </c>
      <c r="K11387" s="2" t="s">
        <v>15219</v>
      </c>
      <c r="L11387" s="2">
        <f t="shared" si="177"/>
        <v>24</v>
      </c>
    </row>
    <row r="11388" spans="1:12" ht="25" customHeight="1">
      <c r="A11388" s="2" t="s">
        <v>12</v>
      </c>
      <c r="B11388" s="2" t="str">
        <f>HYPERLINK("http://bbs.12365auto.com/postcontent.aspx?tId=193423","上汽大众帕萨特碰撞测试A柱断裂")</f>
        <v>上汽大众帕萨特碰撞测试A柱断裂</v>
      </c>
      <c r="C11388" s="2" t="s">
        <v>13</v>
      </c>
      <c r="D11388" s="2" t="s">
        <v>12</v>
      </c>
      <c r="E11388" s="2" t="s">
        <v>66</v>
      </c>
      <c r="F11388" s="2" t="str">
        <f>HYPERLINK("http://bbs.12365auto.com/postcontent.aspx?tId=193423","http://bbs.12365auto.com/postcontent.aspx?tId=193423")</f>
        <v>http://bbs.12365auto.com/postcontent.aspx?tId=193423</v>
      </c>
      <c r="G11388" s="2"/>
      <c r="H11388" s="2" t="s">
        <v>15220</v>
      </c>
      <c r="I11388" s="2" t="s">
        <v>15</v>
      </c>
      <c r="J11388" s="2" t="s">
        <v>590</v>
      </c>
      <c r="K11388" s="2" t="s">
        <v>15219</v>
      </c>
      <c r="L11388" s="2">
        <f t="shared" si="177"/>
        <v>24</v>
      </c>
    </row>
    <row r="11389" spans="1:12" ht="25" customHeight="1">
      <c r="A11389" s="2" t="s">
        <v>12</v>
      </c>
      <c r="B11389" s="2" t="str">
        <f>HYPERLINK("http://bbs.12365auto.com/postcontent.aspx?tID=193422","雷克萨斯ES两前轮翼子板内衬卷入大量泥浆")</f>
        <v>雷克萨斯ES两前轮翼子板内衬卷入大量泥浆</v>
      </c>
      <c r="C11389" s="2" t="s">
        <v>13</v>
      </c>
      <c r="D11389" s="2" t="s">
        <v>12</v>
      </c>
      <c r="E11389" s="2" t="s">
        <v>67</v>
      </c>
      <c r="F11389" s="2" t="str">
        <f>HYPERLINK("http://bbs.12365auto.com/postcontent.aspx?tID=193422","http://bbs.12365auto.com/postcontent.aspx?tID=193422")</f>
        <v>http://bbs.12365auto.com/postcontent.aspx?tID=193422</v>
      </c>
      <c r="G11389" s="2"/>
      <c r="H11389" s="2" t="s">
        <v>15221</v>
      </c>
      <c r="I11389" s="2" t="s">
        <v>15</v>
      </c>
      <c r="J11389" s="2" t="s">
        <v>594</v>
      </c>
      <c r="K11389" s="2" t="s">
        <v>15222</v>
      </c>
      <c r="L11389" s="2">
        <f t="shared" si="177"/>
        <v>150</v>
      </c>
    </row>
    <row r="11390" spans="1:12" ht="25" customHeight="1">
      <c r="A11390" s="2" t="s">
        <v>12</v>
      </c>
      <c r="B11390" s="2" t="str">
        <f>HYPERLINK("http://bbs.12365auto.com/postcontent.aspx?tID=193421","吉利帝豪GL无法使用互联与PM2.5显示")</f>
        <v>吉利帝豪GL无法使用互联与PM2.5显示</v>
      </c>
      <c r="C11390" s="2" t="s">
        <v>13</v>
      </c>
      <c r="D11390" s="2" t="s">
        <v>12</v>
      </c>
      <c r="E11390" s="2" t="s">
        <v>67</v>
      </c>
      <c r="F11390" s="2" t="str">
        <f>HYPERLINK("http://bbs.12365auto.com/postcontent.aspx?tID=193421","http://bbs.12365auto.com/postcontent.aspx?tID=193421")</f>
        <v>http://bbs.12365auto.com/postcontent.aspx?tID=193421</v>
      </c>
      <c r="G11390" s="2"/>
      <c r="H11390" s="2" t="s">
        <v>15223</v>
      </c>
      <c r="I11390" s="2" t="s">
        <v>15</v>
      </c>
      <c r="J11390" s="2" t="s">
        <v>2389</v>
      </c>
      <c r="K11390" s="2" t="s">
        <v>15222</v>
      </c>
      <c r="L11390" s="2">
        <f t="shared" si="177"/>
        <v>83</v>
      </c>
    </row>
    <row r="11391" spans="1:12" ht="25" customHeight="1">
      <c r="A11391" s="2" t="s">
        <v>12</v>
      </c>
      <c r="B11391" s="2" t="str">
        <f>HYPERLINK("http://bbs.12365auto.com/postcontent.aspx?tId=193422","雷克萨斯ES两前轮翼子板内衬卷入大量泥浆")</f>
        <v>雷克萨斯ES两前轮翼子板内衬卷入大量泥浆</v>
      </c>
      <c r="C11391" s="2" t="s">
        <v>13</v>
      </c>
      <c r="D11391" s="2" t="s">
        <v>12</v>
      </c>
      <c r="E11391" s="2" t="s">
        <v>66</v>
      </c>
      <c r="F11391" s="2" t="str">
        <f>HYPERLINK("http://bbs.12365auto.com/postcontent.aspx?tId=193422","http://bbs.12365auto.com/postcontent.aspx?tId=193422")</f>
        <v>http://bbs.12365auto.com/postcontent.aspx?tId=193422</v>
      </c>
      <c r="G11391" s="2"/>
      <c r="H11391" s="2" t="s">
        <v>15224</v>
      </c>
      <c r="I11391" s="2" t="s">
        <v>15</v>
      </c>
      <c r="J11391" s="2" t="s">
        <v>594</v>
      </c>
      <c r="K11391" s="2" t="s">
        <v>15222</v>
      </c>
      <c r="L11391" s="2">
        <f t="shared" si="177"/>
        <v>150</v>
      </c>
    </row>
    <row r="11392" spans="1:12" ht="25" customHeight="1">
      <c r="A11392" s="2" t="s">
        <v>12</v>
      </c>
      <c r="B11392" s="2" t="str">
        <f>HYPERLINK("http://bbs.12365auto.com/postcontent.aspx?tId=193421","吉利帝豪GL无法使用互联与PM2.5显示")</f>
        <v>吉利帝豪GL无法使用互联与PM2.5显示</v>
      </c>
      <c r="C11392" s="2" t="s">
        <v>13</v>
      </c>
      <c r="D11392" s="2" t="s">
        <v>12</v>
      </c>
      <c r="E11392" s="2" t="s">
        <v>66</v>
      </c>
      <c r="F11392" s="2" t="str">
        <f>HYPERLINK("http://bbs.12365auto.com/postcontent.aspx?tId=193421","http://bbs.12365auto.com/postcontent.aspx?tId=193421")</f>
        <v>http://bbs.12365auto.com/postcontent.aspx?tId=193421</v>
      </c>
      <c r="G11392" s="2"/>
      <c r="H11392" s="2" t="s">
        <v>15225</v>
      </c>
      <c r="I11392" s="2" t="s">
        <v>15</v>
      </c>
      <c r="J11392" s="2" t="s">
        <v>2389</v>
      </c>
      <c r="K11392" s="2" t="s">
        <v>15222</v>
      </c>
      <c r="L11392" s="2">
        <f t="shared" si="177"/>
        <v>56</v>
      </c>
    </row>
    <row r="11393" spans="1:12" ht="25" customHeight="1">
      <c r="A11393" s="2" t="s">
        <v>12</v>
      </c>
      <c r="B11393" s="2" t="str">
        <f>HYPERLINK("http://m.12365auto.com/bbs/postcontent.aspx?tID=193422","雷克萨斯ES两前轮翼子板内衬卷入大量泥浆")</f>
        <v>雷克萨斯ES两前轮翼子板内衬卷入大量泥浆</v>
      </c>
      <c r="C11393" s="2" t="s">
        <v>13</v>
      </c>
      <c r="D11393" s="2" t="s">
        <v>23</v>
      </c>
      <c r="E11393" s="2"/>
      <c r="F11393" s="2" t="str">
        <f>HYPERLINK("http://m.12365auto.com/bbs/postcontent.aspx?tID=193422","http://m.12365auto.com/bbs/postcontent.aspx?tID=193422")</f>
        <v>http://m.12365auto.com/bbs/postcontent.aspx?tID=193422</v>
      </c>
      <c r="G11393" s="2"/>
      <c r="H11393" s="2" t="s">
        <v>15224</v>
      </c>
      <c r="I11393" s="2" t="s">
        <v>15</v>
      </c>
      <c r="J11393" s="2" t="s">
        <v>594</v>
      </c>
      <c r="K11393" s="2" t="s">
        <v>15222</v>
      </c>
      <c r="L11393" s="2">
        <f t="shared" si="177"/>
        <v>150</v>
      </c>
    </row>
    <row r="11394" spans="1:12" ht="25" customHeight="1">
      <c r="A11394" s="2" t="s">
        <v>12</v>
      </c>
      <c r="B11394" s="2" t="str">
        <f>HYPERLINK("http://m.12365auto.com/bbs/postcontent.aspx?tID=193421","吉利帝豪GL无法使用互联与PM2.5显示")</f>
        <v>吉利帝豪GL无法使用互联与PM2.5显示</v>
      </c>
      <c r="C11394" s="2" t="s">
        <v>13</v>
      </c>
      <c r="D11394" s="2" t="s">
        <v>23</v>
      </c>
      <c r="E11394" s="2"/>
      <c r="F11394" s="2" t="str">
        <f>HYPERLINK("http://m.12365auto.com/bbs/postcontent.aspx?tID=193421","http://m.12365auto.com/bbs/postcontent.aspx?tID=193421")</f>
        <v>http://m.12365auto.com/bbs/postcontent.aspx?tID=193421</v>
      </c>
      <c r="G11394" s="2"/>
      <c r="H11394" s="2" t="s">
        <v>15225</v>
      </c>
      <c r="I11394" s="2" t="s">
        <v>15</v>
      </c>
      <c r="J11394" s="2" t="s">
        <v>2389</v>
      </c>
      <c r="K11394" s="2" t="s">
        <v>15222</v>
      </c>
      <c r="L11394" s="2">
        <f t="shared" si="177"/>
        <v>56</v>
      </c>
    </row>
    <row r="11395" spans="1:12" ht="25" customHeight="1">
      <c r="A11395" s="2" t="s">
        <v>12</v>
      </c>
      <c r="B11395" s="2" t="str">
        <f>HYPERLINK("http://bbs.12365auto.com/postcontent.aspx?tId=193420","启辰D60行驶过程中突然熄火")</f>
        <v>启辰D60行驶过程中突然熄火</v>
      </c>
      <c r="C11395" s="2" t="s">
        <v>13</v>
      </c>
      <c r="D11395" s="2" t="s">
        <v>12</v>
      </c>
      <c r="E11395" s="2" t="s">
        <v>66</v>
      </c>
      <c r="F11395" s="2" t="str">
        <f>HYPERLINK("http://bbs.12365auto.com/postcontent.aspx?tId=193420","http://bbs.12365auto.com/postcontent.aspx?tId=193420")</f>
        <v>http://bbs.12365auto.com/postcontent.aspx?tId=193420</v>
      </c>
      <c r="G11395" s="2"/>
      <c r="H11395" s="2" t="s">
        <v>15226</v>
      </c>
      <c r="I11395" s="2" t="s">
        <v>15</v>
      </c>
      <c r="J11395" s="2" t="s">
        <v>2393</v>
      </c>
      <c r="K11395" s="2" t="s">
        <v>15227</v>
      </c>
      <c r="L11395" s="2">
        <f t="shared" ref="L11395:L11458" si="178">LEN(H11395)</f>
        <v>69</v>
      </c>
    </row>
    <row r="11396" spans="1:12" ht="25" customHeight="1">
      <c r="A11396" s="2" t="s">
        <v>12</v>
      </c>
      <c r="B11396" s="2" t="str">
        <f>HYPERLINK("http://bbs.12365auto.com/postcontent.aspx?tId=193419","一汽大众宝来车身漏水怎么回事")</f>
        <v>一汽大众宝来车身漏水怎么回事</v>
      </c>
      <c r="C11396" s="2" t="s">
        <v>13</v>
      </c>
      <c r="D11396" s="2" t="s">
        <v>12</v>
      </c>
      <c r="E11396" s="2" t="s">
        <v>66</v>
      </c>
      <c r="F11396" s="2" t="str">
        <f>HYPERLINK("http://bbs.12365auto.com/postcontent.aspx?tId=193419","http://bbs.12365auto.com/postcontent.aspx?tId=193419")</f>
        <v>http://bbs.12365auto.com/postcontent.aspx?tId=193419</v>
      </c>
      <c r="G11396" s="2"/>
      <c r="H11396" s="2" t="s">
        <v>15228</v>
      </c>
      <c r="I11396" s="2" t="s">
        <v>15</v>
      </c>
      <c r="J11396" s="2" t="s">
        <v>2400</v>
      </c>
      <c r="K11396" s="2" t="s">
        <v>15227</v>
      </c>
      <c r="L11396" s="2">
        <f t="shared" si="178"/>
        <v>66</v>
      </c>
    </row>
    <row r="11397" spans="1:12" ht="25" customHeight="1">
      <c r="A11397" s="2" t="s">
        <v>12</v>
      </c>
      <c r="B11397" s="2" t="str">
        <f>HYPERLINK("http://m.12365auto.com/bbs/postcontent.aspx?tID=193420","启辰D60行驶过程中突然熄火")</f>
        <v>启辰D60行驶过程中突然熄火</v>
      </c>
      <c r="C11397" s="2" t="s">
        <v>13</v>
      </c>
      <c r="D11397" s="2" t="s">
        <v>23</v>
      </c>
      <c r="E11397" s="2"/>
      <c r="F11397" s="2" t="str">
        <f>HYPERLINK("http://m.12365auto.com/bbs/postcontent.aspx?tID=193420","http://m.12365auto.com/bbs/postcontent.aspx?tID=193420")</f>
        <v>http://m.12365auto.com/bbs/postcontent.aspx?tID=193420</v>
      </c>
      <c r="G11397" s="2"/>
      <c r="H11397" s="2" t="s">
        <v>15226</v>
      </c>
      <c r="I11397" s="2" t="s">
        <v>15</v>
      </c>
      <c r="J11397" s="2" t="s">
        <v>2393</v>
      </c>
      <c r="K11397" s="2" t="s">
        <v>15227</v>
      </c>
      <c r="L11397" s="2">
        <f t="shared" si="178"/>
        <v>69</v>
      </c>
    </row>
    <row r="11398" spans="1:12" ht="25" customHeight="1">
      <c r="A11398" s="2" t="s">
        <v>12</v>
      </c>
      <c r="B11398" s="2" t="str">
        <f>HYPERLINK("http://m.12365auto.com/bbs/postcontent.aspx?tID=193419","一汽大众宝来车身漏水怎么回事")</f>
        <v>一汽大众宝来车身漏水怎么回事</v>
      </c>
      <c r="C11398" s="2" t="s">
        <v>13</v>
      </c>
      <c r="D11398" s="2" t="s">
        <v>23</v>
      </c>
      <c r="E11398" s="2"/>
      <c r="F11398" s="2" t="str">
        <f>HYPERLINK("http://m.12365auto.com/bbs/postcontent.aspx?tID=193419","http://m.12365auto.com/bbs/postcontent.aspx?tID=193419")</f>
        <v>http://m.12365auto.com/bbs/postcontent.aspx?tID=193419</v>
      </c>
      <c r="G11398" s="2"/>
      <c r="H11398" s="2" t="s">
        <v>15228</v>
      </c>
      <c r="I11398" s="2" t="s">
        <v>15</v>
      </c>
      <c r="J11398" s="2" t="s">
        <v>2400</v>
      </c>
      <c r="K11398" s="2" t="s">
        <v>15227</v>
      </c>
      <c r="L11398" s="2">
        <f t="shared" si="178"/>
        <v>66</v>
      </c>
    </row>
    <row r="11399" spans="1:12" ht="25" customHeight="1">
      <c r="A11399" s="2" t="s">
        <v>12</v>
      </c>
      <c r="B11399" s="2" t="str">
        <f>HYPERLINK("http://bbs.12365auto.com/postcontent.aspx?tID=193420","启辰D60行驶过程中突然熄火")</f>
        <v>启辰D60行驶过程中突然熄火</v>
      </c>
      <c r="C11399" s="2" t="s">
        <v>13</v>
      </c>
      <c r="D11399" s="2" t="s">
        <v>12</v>
      </c>
      <c r="E11399" s="2" t="s">
        <v>67</v>
      </c>
      <c r="F11399" s="2" t="str">
        <f>HYPERLINK("http://bbs.12365auto.com/postcontent.aspx?tID=193420","http://bbs.12365auto.com/postcontent.aspx?tID=193420")</f>
        <v>http://bbs.12365auto.com/postcontent.aspx?tID=193420</v>
      </c>
      <c r="G11399" s="2"/>
      <c r="H11399" s="2" t="s">
        <v>15229</v>
      </c>
      <c r="I11399" s="2" t="s">
        <v>15</v>
      </c>
      <c r="J11399" s="2" t="s">
        <v>2393</v>
      </c>
      <c r="K11399" s="2" t="s">
        <v>15227</v>
      </c>
      <c r="L11399" s="2">
        <f t="shared" si="178"/>
        <v>83</v>
      </c>
    </row>
    <row r="11400" spans="1:12" ht="25" customHeight="1">
      <c r="A11400" s="2" t="s">
        <v>12</v>
      </c>
      <c r="B11400" s="2" t="str">
        <f>HYPERLINK("http://bbs.12365auto.com/postcontent.aspx?tID=193419","一汽大众宝来车身漏水怎么回事")</f>
        <v>一汽大众宝来车身漏水怎么回事</v>
      </c>
      <c r="C11400" s="2" t="s">
        <v>13</v>
      </c>
      <c r="D11400" s="2" t="s">
        <v>12</v>
      </c>
      <c r="E11400" s="2" t="s">
        <v>67</v>
      </c>
      <c r="F11400" s="2" t="str">
        <f>HYPERLINK("http://bbs.12365auto.com/postcontent.aspx?tID=193419","http://bbs.12365auto.com/postcontent.aspx?tID=193419")</f>
        <v>http://bbs.12365auto.com/postcontent.aspx?tID=193419</v>
      </c>
      <c r="G11400" s="2"/>
      <c r="H11400" s="2" t="s">
        <v>15230</v>
      </c>
      <c r="I11400" s="2" t="s">
        <v>15</v>
      </c>
      <c r="J11400" s="2" t="s">
        <v>2400</v>
      </c>
      <c r="K11400" s="2" t="s">
        <v>15227</v>
      </c>
      <c r="L11400" s="2">
        <f t="shared" si="178"/>
        <v>80</v>
      </c>
    </row>
    <row r="11401" spans="1:12" ht="25" customHeight="1">
      <c r="A11401" s="2" t="s">
        <v>12</v>
      </c>
      <c r="B11401" s="2" t="str">
        <f>HYPERLINK("http://bbs.12365auto.com/postcontent.aspx?tID=193417","宝骏560主驾座椅塌陷影响正常乘坐")</f>
        <v>宝骏560主驾座椅塌陷影响正常乘坐</v>
      </c>
      <c r="C11401" s="2" t="s">
        <v>13</v>
      </c>
      <c r="D11401" s="2" t="s">
        <v>12</v>
      </c>
      <c r="E11401" s="2" t="s">
        <v>67</v>
      </c>
      <c r="F11401" s="2" t="str">
        <f>HYPERLINK("http://bbs.12365auto.com/postcontent.aspx?tID=193417","http://bbs.12365auto.com/postcontent.aspx?tID=193417")</f>
        <v>http://bbs.12365auto.com/postcontent.aspx?tID=193417</v>
      </c>
      <c r="G11401" s="2"/>
      <c r="H11401" s="2" t="s">
        <v>15231</v>
      </c>
      <c r="I11401" s="2" t="s">
        <v>15</v>
      </c>
      <c r="J11401" s="2" t="s">
        <v>15232</v>
      </c>
      <c r="K11401" s="2" t="s">
        <v>15233</v>
      </c>
      <c r="L11401" s="2">
        <f t="shared" si="178"/>
        <v>121</v>
      </c>
    </row>
    <row r="11402" spans="1:12" ht="25" customHeight="1">
      <c r="A11402" s="2" t="s">
        <v>12</v>
      </c>
      <c r="B11402" s="2" t="str">
        <f>HYPERLINK("http://bbs.12365auto.com/postcontent.aspx?tId=193417","宝骏560主驾座椅塌陷影响正常乘坐")</f>
        <v>宝骏560主驾座椅塌陷影响正常乘坐</v>
      </c>
      <c r="C11402" s="2" t="s">
        <v>13</v>
      </c>
      <c r="D11402" s="2" t="s">
        <v>12</v>
      </c>
      <c r="E11402" s="2" t="s">
        <v>66</v>
      </c>
      <c r="F11402" s="2" t="str">
        <f>HYPERLINK("http://bbs.12365auto.com/postcontent.aspx?tId=193417","http://bbs.12365auto.com/postcontent.aspx?tId=193417")</f>
        <v>http://bbs.12365auto.com/postcontent.aspx?tId=193417</v>
      </c>
      <c r="G11402" s="2"/>
      <c r="H11402" s="2" t="s">
        <v>15234</v>
      </c>
      <c r="I11402" s="2" t="s">
        <v>15</v>
      </c>
      <c r="J11402" s="2" t="s">
        <v>15232</v>
      </c>
      <c r="K11402" s="2" t="s">
        <v>15233</v>
      </c>
      <c r="L11402" s="2">
        <f t="shared" si="178"/>
        <v>104</v>
      </c>
    </row>
    <row r="11403" spans="1:12" ht="25" customHeight="1">
      <c r="A11403" s="2" t="s">
        <v>12</v>
      </c>
      <c r="B11403" s="2" t="str">
        <f>HYPERLINK("http://bbs.12365auto.com/postcontent.aspx?tId=193418","华晨宝马X1车辆尾部异响无法解决")</f>
        <v>华晨宝马X1车辆尾部异响无法解决</v>
      </c>
      <c r="C11403" s="2" t="s">
        <v>13</v>
      </c>
      <c r="D11403" s="2" t="s">
        <v>12</v>
      </c>
      <c r="E11403" s="2" t="s">
        <v>66</v>
      </c>
      <c r="F11403" s="2" t="str">
        <f>HYPERLINK("http://bbs.12365auto.com/postcontent.aspx?tId=193418","http://bbs.12365auto.com/postcontent.aspx?tId=193418")</f>
        <v>http://bbs.12365auto.com/postcontent.aspx?tId=193418</v>
      </c>
      <c r="G11403" s="2"/>
      <c r="H11403" s="2" t="s">
        <v>15235</v>
      </c>
      <c r="I11403" s="2" t="s">
        <v>15</v>
      </c>
      <c r="J11403" s="2" t="s">
        <v>2397</v>
      </c>
      <c r="K11403" s="2" t="s">
        <v>15233</v>
      </c>
      <c r="L11403" s="2">
        <f t="shared" si="178"/>
        <v>150</v>
      </c>
    </row>
    <row r="11404" spans="1:12" ht="25" customHeight="1">
      <c r="A11404" s="2" t="s">
        <v>12</v>
      </c>
      <c r="B11404" s="2" t="str">
        <f>HYPERLINK("http://m.12365auto.com/bbs/postcontent.aspx?tID=193418","华晨宝马X1车辆尾部异响无法解决")</f>
        <v>华晨宝马X1车辆尾部异响无法解决</v>
      </c>
      <c r="C11404" s="2" t="s">
        <v>13</v>
      </c>
      <c r="D11404" s="2" t="s">
        <v>23</v>
      </c>
      <c r="E11404" s="2"/>
      <c r="F11404" s="2" t="str">
        <f>HYPERLINK("http://m.12365auto.com/bbs/postcontent.aspx?tID=193418","http://m.12365auto.com/bbs/postcontent.aspx?tID=193418")</f>
        <v>http://m.12365auto.com/bbs/postcontent.aspx?tID=193418</v>
      </c>
      <c r="G11404" s="2"/>
      <c r="H11404" s="2" t="s">
        <v>15235</v>
      </c>
      <c r="I11404" s="2" t="s">
        <v>15</v>
      </c>
      <c r="J11404" s="2" t="s">
        <v>2397</v>
      </c>
      <c r="K11404" s="2" t="s">
        <v>15233</v>
      </c>
      <c r="L11404" s="2">
        <f t="shared" si="178"/>
        <v>150</v>
      </c>
    </row>
    <row r="11405" spans="1:12" ht="25" customHeight="1">
      <c r="A11405" s="2" t="s">
        <v>12</v>
      </c>
      <c r="B11405" s="2" t="str">
        <f>HYPERLINK("http://m.12365auto.com/bbs/postcontent.aspx?tID=193417","宝骏560主驾座椅塌陷影响正常乘坐")</f>
        <v>宝骏560主驾座椅塌陷影响正常乘坐</v>
      </c>
      <c r="C11405" s="2" t="s">
        <v>13</v>
      </c>
      <c r="D11405" s="2" t="s">
        <v>23</v>
      </c>
      <c r="E11405" s="2"/>
      <c r="F11405" s="2" t="str">
        <f>HYPERLINK("http://m.12365auto.com/bbs/postcontent.aspx?tID=193417","http://m.12365auto.com/bbs/postcontent.aspx?tID=193417")</f>
        <v>http://m.12365auto.com/bbs/postcontent.aspx?tID=193417</v>
      </c>
      <c r="G11405" s="2"/>
      <c r="H11405" s="2" t="s">
        <v>15234</v>
      </c>
      <c r="I11405" s="2" t="s">
        <v>15</v>
      </c>
      <c r="J11405" s="2" t="s">
        <v>15232</v>
      </c>
      <c r="K11405" s="2" t="s">
        <v>15233</v>
      </c>
      <c r="L11405" s="2">
        <f t="shared" si="178"/>
        <v>104</v>
      </c>
    </row>
    <row r="11406" spans="1:12" ht="25" customHeight="1">
      <c r="A11406" s="2" t="s">
        <v>12</v>
      </c>
      <c r="B11406" s="2" t="str">
        <f>HYPERLINK("http://bbs.12365auto.com/postcontent.aspx?tID=193418","华晨宝马X1车辆尾部异响无法解决")</f>
        <v>华晨宝马X1车辆尾部异响无法解决</v>
      </c>
      <c r="C11406" s="2" t="s">
        <v>13</v>
      </c>
      <c r="D11406" s="2" t="s">
        <v>12</v>
      </c>
      <c r="E11406" s="2" t="s">
        <v>67</v>
      </c>
      <c r="F11406" s="2" t="str">
        <f>HYPERLINK("http://bbs.12365auto.com/postcontent.aspx?tID=193418","http://bbs.12365auto.com/postcontent.aspx?tID=193418")</f>
        <v>http://bbs.12365auto.com/postcontent.aspx?tID=193418</v>
      </c>
      <c r="G11406" s="2"/>
      <c r="H11406" s="2" t="s">
        <v>15236</v>
      </c>
      <c r="I11406" s="2" t="s">
        <v>15</v>
      </c>
      <c r="J11406" s="2" t="s">
        <v>2397</v>
      </c>
      <c r="K11406" s="2" t="s">
        <v>15233</v>
      </c>
      <c r="L11406" s="2">
        <f t="shared" si="178"/>
        <v>150</v>
      </c>
    </row>
    <row r="11407" spans="1:12" ht="25" customHeight="1">
      <c r="A11407" s="2" t="s">
        <v>12</v>
      </c>
      <c r="B11407" s="2" t="str">
        <f>HYPERLINK("http://www.12365auto.com/xcdg/20200206/417839.shtml","现代伊兰特谍照曝光 预计上半年发布")</f>
        <v>现代伊兰特谍照曝光 预计上半年发布</v>
      </c>
      <c r="C11407" s="2" t="s">
        <v>13</v>
      </c>
      <c r="D11407" s="2" t="s">
        <v>12</v>
      </c>
      <c r="E11407" s="2" t="s">
        <v>224</v>
      </c>
      <c r="F11407" s="2" t="str">
        <f>HYPERLINK("http://www.12365auto.com/xcdg/20200206/417839.shtml","http://www.12365auto.com/xcdg/20200206/417839.shtml")</f>
        <v>http://www.12365auto.com/xcdg/20200206/417839.shtml</v>
      </c>
      <c r="G11407" s="2"/>
      <c r="H11407" s="2" t="s">
        <v>15237</v>
      </c>
      <c r="I11407" s="2" t="s">
        <v>15</v>
      </c>
      <c r="J11407" s="2" t="s">
        <v>12</v>
      </c>
      <c r="K11407" s="2" t="s">
        <v>15233</v>
      </c>
      <c r="L11407" s="2">
        <f t="shared" si="178"/>
        <v>150</v>
      </c>
    </row>
    <row r="11408" spans="1:12" ht="25" customHeight="1">
      <c r="A11408" s="2" t="s">
        <v>12</v>
      </c>
      <c r="B11408" s="2" t="str">
        <f>HYPERLINK("http://m.12365auto.com/xcdg/20200206/417839.shtml","现代伊兰特谍照曝光 预计上半年发布")</f>
        <v>现代伊兰特谍照曝光 预计上半年发布</v>
      </c>
      <c r="C11408" s="2" t="s">
        <v>13</v>
      </c>
      <c r="D11408" s="2" t="s">
        <v>12</v>
      </c>
      <c r="E11408" s="2"/>
      <c r="F11408" s="2" t="str">
        <f>HYPERLINK("http://m.12365auto.com/xcdg/20200206/417839.shtml","http://m.12365auto.com/xcdg/20200206/417839.shtml")</f>
        <v>http://m.12365auto.com/xcdg/20200206/417839.shtml</v>
      </c>
      <c r="G11408" s="2"/>
      <c r="H11408" s="2" t="s">
        <v>15238</v>
      </c>
      <c r="I11408" s="2" t="s">
        <v>19</v>
      </c>
      <c r="J11408" s="2" t="s">
        <v>15239</v>
      </c>
      <c r="K11408" s="2" t="s">
        <v>15233</v>
      </c>
      <c r="L11408" s="2">
        <f t="shared" si="178"/>
        <v>150</v>
      </c>
    </row>
    <row r="11409" spans="1:12" ht="25" customHeight="1">
      <c r="A11409" s="2" t="s">
        <v>12</v>
      </c>
      <c r="B11409" s="2" t="str">
        <f>HYPERLINK("http://bbs.12365auto.com/postcontent.aspx?tID=193417&amp;sId=1650&amp;ppage=1&amp;from=s","宝骏560主驾座椅塌陷影响正常乘坐")</f>
        <v>宝骏560主驾座椅塌陷影响正常乘坐</v>
      </c>
      <c r="C11409" s="2" t="s">
        <v>13</v>
      </c>
      <c r="D11409" s="2" t="s">
        <v>12</v>
      </c>
      <c r="E11409" s="2" t="s">
        <v>564</v>
      </c>
      <c r="F11409" s="2" t="str">
        <f>HYPERLINK("http://bbs.12365auto.com/postcontent.aspx?tID=193417&amp;sId=1650&amp;ppage=1&amp;from=s","http://bbs.12365auto.com/postcontent.aspx?tID=193417&amp;sId=1650&amp;ppage=1&amp;from=s")</f>
        <v>http://bbs.12365auto.com/postcontent.aspx?tID=193417&amp;sId=1650&amp;ppage=1&amp;from=s</v>
      </c>
      <c r="G11409" s="2"/>
      <c r="H11409" s="2" t="s">
        <v>15231</v>
      </c>
      <c r="I11409" s="2" t="s">
        <v>15</v>
      </c>
      <c r="J11409" s="2" t="s">
        <v>15240</v>
      </c>
      <c r="K11409" s="2" t="s">
        <v>15233</v>
      </c>
      <c r="L11409" s="2">
        <f t="shared" si="178"/>
        <v>121</v>
      </c>
    </row>
    <row r="11410" spans="1:12" ht="25" customHeight="1">
      <c r="A11410" s="2" t="s">
        <v>12</v>
      </c>
      <c r="B11410" s="2" t="str">
        <f>HYPERLINK("http://bbs.12365auto.com/postcontent.aspx?tID=193415","东风日产轩逸自动启停系统失灵了")</f>
        <v>东风日产轩逸自动启停系统失灵了</v>
      </c>
      <c r="C11410" s="2" t="s">
        <v>13</v>
      </c>
      <c r="D11410" s="2" t="s">
        <v>12</v>
      </c>
      <c r="E11410" s="2" t="s">
        <v>67</v>
      </c>
      <c r="F11410" s="2" t="str">
        <f>HYPERLINK("http://bbs.12365auto.com/postcontent.aspx?tID=193415","http://bbs.12365auto.com/postcontent.aspx?tID=193415")</f>
        <v>http://bbs.12365auto.com/postcontent.aspx?tID=193415</v>
      </c>
      <c r="G11410" s="2"/>
      <c r="H11410" s="2" t="s">
        <v>15241</v>
      </c>
      <c r="I11410" s="2" t="s">
        <v>15</v>
      </c>
      <c r="J11410" s="2" t="s">
        <v>2404</v>
      </c>
      <c r="K11410" s="2" t="s">
        <v>15242</v>
      </c>
      <c r="L11410" s="2">
        <f t="shared" si="178"/>
        <v>62</v>
      </c>
    </row>
    <row r="11411" spans="1:12" ht="25" customHeight="1">
      <c r="A11411" s="2" t="s">
        <v>12</v>
      </c>
      <c r="B11411" s="2" t="str">
        <f>HYPERLINK("http://bbs.12365auto.com/postcontent.aspx?tId=193416","别克君越油箱未加满就自动跳枪")</f>
        <v>别克君越油箱未加满就自动跳枪</v>
      </c>
      <c r="C11411" s="2" t="s">
        <v>13</v>
      </c>
      <c r="D11411" s="2" t="s">
        <v>12</v>
      </c>
      <c r="E11411" s="2" t="s">
        <v>66</v>
      </c>
      <c r="F11411" s="2" t="str">
        <f>HYPERLINK("http://bbs.12365auto.com/postcontent.aspx?tId=193416","http://bbs.12365auto.com/postcontent.aspx?tId=193416")</f>
        <v>http://bbs.12365auto.com/postcontent.aspx?tId=193416</v>
      </c>
      <c r="G11411" s="2"/>
      <c r="H11411" s="2" t="s">
        <v>15243</v>
      </c>
      <c r="I11411" s="2" t="s">
        <v>15</v>
      </c>
      <c r="J11411" s="2" t="s">
        <v>15244</v>
      </c>
      <c r="K11411" s="2" t="s">
        <v>15242</v>
      </c>
      <c r="L11411" s="2">
        <f t="shared" si="178"/>
        <v>71</v>
      </c>
    </row>
    <row r="11412" spans="1:12" ht="25" customHeight="1">
      <c r="A11412" s="2" t="s">
        <v>12</v>
      </c>
      <c r="B11412" s="2" t="str">
        <f>HYPERLINK("http://bbs.12365auto.com/postcontent.aspx?tId=193415","东风日产轩逸自动启停系统失灵了")</f>
        <v>东风日产轩逸自动启停系统失灵了</v>
      </c>
      <c r="C11412" s="2" t="s">
        <v>13</v>
      </c>
      <c r="D11412" s="2" t="s">
        <v>12</v>
      </c>
      <c r="E11412" s="2" t="s">
        <v>66</v>
      </c>
      <c r="F11412" s="2" t="str">
        <f>HYPERLINK("http://bbs.12365auto.com/postcontent.aspx?tId=193415","http://bbs.12365auto.com/postcontent.aspx?tId=193415")</f>
        <v>http://bbs.12365auto.com/postcontent.aspx?tId=193415</v>
      </c>
      <c r="G11412" s="2"/>
      <c r="H11412" s="2" t="s">
        <v>15245</v>
      </c>
      <c r="I11412" s="2" t="s">
        <v>15</v>
      </c>
      <c r="J11412" s="2" t="s">
        <v>2404</v>
      </c>
      <c r="K11412" s="2" t="s">
        <v>15242</v>
      </c>
      <c r="L11412" s="2">
        <f t="shared" si="178"/>
        <v>47</v>
      </c>
    </row>
    <row r="11413" spans="1:12" ht="25" customHeight="1">
      <c r="A11413" s="2" t="s">
        <v>12</v>
      </c>
      <c r="B11413" s="2" t="str">
        <f>HYPERLINK("http://m.12365auto.com/bbs/postcontent.aspx?tID=193415","东风日产轩逸自动启停系统失灵了")</f>
        <v>东风日产轩逸自动启停系统失灵了</v>
      </c>
      <c r="C11413" s="2" t="s">
        <v>13</v>
      </c>
      <c r="D11413" s="2" t="s">
        <v>23</v>
      </c>
      <c r="E11413" s="2"/>
      <c r="F11413" s="2" t="str">
        <f>HYPERLINK("http://m.12365auto.com/bbs/postcontent.aspx?tID=193415","http://m.12365auto.com/bbs/postcontent.aspx?tID=193415")</f>
        <v>http://m.12365auto.com/bbs/postcontent.aspx?tID=193415</v>
      </c>
      <c r="G11413" s="2"/>
      <c r="H11413" s="2" t="s">
        <v>15245</v>
      </c>
      <c r="I11413" s="2" t="s">
        <v>15</v>
      </c>
      <c r="J11413" s="2" t="s">
        <v>2404</v>
      </c>
      <c r="K11413" s="2" t="s">
        <v>15242</v>
      </c>
      <c r="L11413" s="2">
        <f t="shared" si="178"/>
        <v>47</v>
      </c>
    </row>
    <row r="11414" spans="1:12" ht="25" customHeight="1">
      <c r="A11414" s="2" t="s">
        <v>12</v>
      </c>
      <c r="B11414" s="2" t="str">
        <f>HYPERLINK("http://m.12365auto.com/bbs/postcontent.aspx?tID=193416","别克君越油箱未加满就自动跳枪")</f>
        <v>别克君越油箱未加满就自动跳枪</v>
      </c>
      <c r="C11414" s="2" t="s">
        <v>13</v>
      </c>
      <c r="D11414" s="2" t="s">
        <v>23</v>
      </c>
      <c r="E11414" s="2"/>
      <c r="F11414" s="2" t="str">
        <f>HYPERLINK("http://m.12365auto.com/bbs/postcontent.aspx?tID=193416","http://m.12365auto.com/bbs/postcontent.aspx?tID=193416")</f>
        <v>http://m.12365auto.com/bbs/postcontent.aspx?tID=193416</v>
      </c>
      <c r="G11414" s="2"/>
      <c r="H11414" s="2" t="s">
        <v>15243</v>
      </c>
      <c r="I11414" s="2" t="s">
        <v>15</v>
      </c>
      <c r="J11414" s="2" t="s">
        <v>15244</v>
      </c>
      <c r="K11414" s="2" t="s">
        <v>15242</v>
      </c>
      <c r="L11414" s="2">
        <f t="shared" si="178"/>
        <v>71</v>
      </c>
    </row>
    <row r="11415" spans="1:12" ht="25" customHeight="1">
      <c r="A11415" s="2" t="s">
        <v>12</v>
      </c>
      <c r="B11415" s="2" t="str">
        <f>HYPERLINK("http://m.12365auto.com/xcdg/20200206/417838.shtml","保时捷911 Turbo最新谍照 有望春季发布")</f>
        <v>保时捷911 Turbo最新谍照 有望春季发布</v>
      </c>
      <c r="C11415" s="2" t="s">
        <v>13</v>
      </c>
      <c r="D11415" s="2" t="s">
        <v>12</v>
      </c>
      <c r="E11415" s="2"/>
      <c r="F11415" s="2" t="str">
        <f>HYPERLINK("http://m.12365auto.com/xcdg/20200206/417838.shtml","http://m.12365auto.com/xcdg/20200206/417838.shtml")</f>
        <v>http://m.12365auto.com/xcdg/20200206/417838.shtml</v>
      </c>
      <c r="G11415" s="2"/>
      <c r="H11415" s="2" t="s">
        <v>15246</v>
      </c>
      <c r="I11415" s="2" t="s">
        <v>19</v>
      </c>
      <c r="J11415" s="2" t="s">
        <v>15239</v>
      </c>
      <c r="K11415" s="2" t="s">
        <v>15242</v>
      </c>
      <c r="L11415" s="2">
        <f t="shared" si="178"/>
        <v>150</v>
      </c>
    </row>
    <row r="11416" spans="1:12" ht="25" customHeight="1">
      <c r="A11416" s="2" t="s">
        <v>12</v>
      </c>
      <c r="B11416" s="2" t="str">
        <f>HYPERLINK("http://bbs.12365auto.com/postcontent.aspx?tID=193416","别克君越油箱未加满就自动跳枪")</f>
        <v>别克君越油箱未加满就自动跳枪</v>
      </c>
      <c r="C11416" s="2" t="s">
        <v>13</v>
      </c>
      <c r="D11416" s="2" t="s">
        <v>12</v>
      </c>
      <c r="E11416" s="2" t="s">
        <v>67</v>
      </c>
      <c r="F11416" s="2" t="str">
        <f>HYPERLINK("http://bbs.12365auto.com/postcontent.aspx?tID=193416","http://bbs.12365auto.com/postcontent.aspx?tID=193416")</f>
        <v>http://bbs.12365auto.com/postcontent.aspx?tID=193416</v>
      </c>
      <c r="G11416" s="2"/>
      <c r="H11416" s="2" t="s">
        <v>15247</v>
      </c>
      <c r="I11416" s="2" t="s">
        <v>15</v>
      </c>
      <c r="J11416" s="2" t="s">
        <v>15244</v>
      </c>
      <c r="K11416" s="2" t="s">
        <v>15242</v>
      </c>
      <c r="L11416" s="2">
        <f t="shared" si="178"/>
        <v>90</v>
      </c>
    </row>
    <row r="11417" spans="1:12" ht="25" customHeight="1">
      <c r="A11417" s="2" t="s">
        <v>12</v>
      </c>
      <c r="B11417" s="2" t="str">
        <f>HYPERLINK("http://www.12365auto.com/xcdg/20200206/417838.shtml","保时捷911 Turbo最新谍照 有望春季发布")</f>
        <v>保时捷911 Turbo最新谍照 有望春季发布</v>
      </c>
      <c r="C11417" s="2" t="s">
        <v>13</v>
      </c>
      <c r="D11417" s="2" t="s">
        <v>12</v>
      </c>
      <c r="E11417" s="2" t="s">
        <v>224</v>
      </c>
      <c r="F11417" s="2" t="str">
        <f>HYPERLINK("http://www.12365auto.com/xcdg/20200206/417838.shtml","http://www.12365auto.com/xcdg/20200206/417838.shtml")</f>
        <v>http://www.12365auto.com/xcdg/20200206/417838.shtml</v>
      </c>
      <c r="G11417" s="2"/>
      <c r="H11417" s="2" t="s">
        <v>15248</v>
      </c>
      <c r="I11417" s="2" t="s">
        <v>15</v>
      </c>
      <c r="J11417" s="2" t="s">
        <v>12</v>
      </c>
      <c r="K11417" s="2" t="s">
        <v>15242</v>
      </c>
      <c r="L11417" s="2">
        <f t="shared" si="178"/>
        <v>150</v>
      </c>
    </row>
    <row r="11418" spans="1:12" ht="25" customHeight="1">
      <c r="A11418" s="2" t="s">
        <v>12</v>
      </c>
      <c r="B11418" s="2" t="str">
        <f>HYPERLINK("http://bbs.12365auto.com/postcontent.aspx?tId=193414","广汽本田飞度起动机故障发动机不易启动")</f>
        <v>广汽本田飞度起动机故障发动机不易启动</v>
      </c>
      <c r="C11418" s="2" t="s">
        <v>13</v>
      </c>
      <c r="D11418" s="2" t="s">
        <v>12</v>
      </c>
      <c r="E11418" s="2" t="s">
        <v>66</v>
      </c>
      <c r="F11418" s="2" t="str">
        <f>HYPERLINK("http://bbs.12365auto.com/postcontent.aspx?tId=193414","http://bbs.12365auto.com/postcontent.aspx?tId=193414")</f>
        <v>http://bbs.12365auto.com/postcontent.aspx?tId=193414</v>
      </c>
      <c r="G11418" s="2"/>
      <c r="H11418" s="2" t="s">
        <v>15249</v>
      </c>
      <c r="I11418" s="2" t="s">
        <v>15</v>
      </c>
      <c r="J11418" s="2" t="s">
        <v>15250</v>
      </c>
      <c r="K11418" s="2" t="s">
        <v>15251</v>
      </c>
      <c r="L11418" s="2">
        <f t="shared" si="178"/>
        <v>121</v>
      </c>
    </row>
    <row r="11419" spans="1:12" ht="25" customHeight="1">
      <c r="A11419" s="2" t="s">
        <v>12</v>
      </c>
      <c r="B11419" s="2" t="str">
        <f>HYPERLINK("http://bbs.12365auto.com/postcontent.aspx?tID=193414","广汽本田飞度起动机故障发动机不易启动")</f>
        <v>广汽本田飞度起动机故障发动机不易启动</v>
      </c>
      <c r="C11419" s="2" t="s">
        <v>13</v>
      </c>
      <c r="D11419" s="2" t="s">
        <v>12</v>
      </c>
      <c r="E11419" s="2" t="s">
        <v>67</v>
      </c>
      <c r="F11419" s="2" t="str">
        <f>HYPERLINK("http://bbs.12365auto.com/postcontent.aspx?tID=193414","http://bbs.12365auto.com/postcontent.aspx?tID=193414")</f>
        <v>http://bbs.12365auto.com/postcontent.aspx?tID=193414</v>
      </c>
      <c r="G11419" s="2"/>
      <c r="H11419" s="2" t="s">
        <v>15252</v>
      </c>
      <c r="I11419" s="2" t="s">
        <v>15</v>
      </c>
      <c r="J11419" s="2" t="s">
        <v>15250</v>
      </c>
      <c r="K11419" s="2" t="s">
        <v>15251</v>
      </c>
      <c r="L11419" s="2">
        <f t="shared" si="178"/>
        <v>142</v>
      </c>
    </row>
    <row r="11420" spans="1:12" ht="25" customHeight="1">
      <c r="A11420" s="2" t="s">
        <v>12</v>
      </c>
      <c r="B11420" s="2" t="str">
        <f>HYPERLINK("http://bbs.12365auto.com/postcontent.aspx?tId=193413","东风雪铁龙C4L方向盘松动")</f>
        <v>东风雪铁龙C4L方向盘松动</v>
      </c>
      <c r="C11420" s="2" t="s">
        <v>13</v>
      </c>
      <c r="D11420" s="2" t="s">
        <v>12</v>
      </c>
      <c r="E11420" s="2" t="s">
        <v>66</v>
      </c>
      <c r="F11420" s="2" t="str">
        <f>HYPERLINK("http://bbs.12365auto.com/postcontent.aspx?tId=193413","http://bbs.12365auto.com/postcontent.aspx?tId=193413")</f>
        <v>http://bbs.12365auto.com/postcontent.aspx?tId=193413</v>
      </c>
      <c r="G11420" s="2"/>
      <c r="H11420" s="2" t="s">
        <v>15253</v>
      </c>
      <c r="I11420" s="2" t="s">
        <v>15</v>
      </c>
      <c r="J11420" s="2" t="s">
        <v>15254</v>
      </c>
      <c r="K11420" s="2" t="s">
        <v>15255</v>
      </c>
      <c r="L11420" s="2">
        <f t="shared" si="178"/>
        <v>150</v>
      </c>
    </row>
    <row r="11421" spans="1:12" ht="25" customHeight="1">
      <c r="A11421" s="2" t="s">
        <v>12</v>
      </c>
      <c r="B11421" s="2" t="str">
        <f>HYPERLINK("http://m.12365auto.com/xcdg/20200206/417837.shtml","国产CC猎装版太香了 一汽-大众新车抢先看")</f>
        <v>国产CC猎装版太香了 一汽-大众新车抢先看</v>
      </c>
      <c r="C11421" s="2" t="s">
        <v>13</v>
      </c>
      <c r="D11421" s="2" t="s">
        <v>12</v>
      </c>
      <c r="E11421" s="2"/>
      <c r="F11421" s="2" t="str">
        <f>HYPERLINK("http://m.12365auto.com/xcdg/20200206/417837.shtml","http://m.12365auto.com/xcdg/20200206/417837.shtml")</f>
        <v>http://m.12365auto.com/xcdg/20200206/417837.shtml</v>
      </c>
      <c r="G11421" s="2"/>
      <c r="H11421" s="2" t="s">
        <v>15256</v>
      </c>
      <c r="I11421" s="2" t="s">
        <v>19</v>
      </c>
      <c r="J11421" s="2" t="s">
        <v>7937</v>
      </c>
      <c r="K11421" s="2" t="s">
        <v>15255</v>
      </c>
      <c r="L11421" s="2">
        <f t="shared" si="178"/>
        <v>150</v>
      </c>
    </row>
    <row r="11422" spans="1:12" ht="25" customHeight="1">
      <c r="A11422" s="2" t="s">
        <v>12</v>
      </c>
      <c r="B11422" s="2" t="str">
        <f>HYPERLINK("http://bbs.12365auto.com/postcontent.aspx?tID=193413","东风雪铁龙C4L方向盘松动")</f>
        <v>东风雪铁龙C4L方向盘松动</v>
      </c>
      <c r="C11422" s="2" t="s">
        <v>13</v>
      </c>
      <c r="D11422" s="2" t="s">
        <v>12</v>
      </c>
      <c r="E11422" s="2" t="s">
        <v>67</v>
      </c>
      <c r="F11422" s="2" t="str">
        <f>HYPERLINK("http://bbs.12365auto.com/postcontent.aspx?tID=193413","http://bbs.12365auto.com/postcontent.aspx?tID=193413")</f>
        <v>http://bbs.12365auto.com/postcontent.aspx?tID=193413</v>
      </c>
      <c r="G11422" s="2"/>
      <c r="H11422" s="2" t="s">
        <v>15257</v>
      </c>
      <c r="I11422" s="2" t="s">
        <v>15</v>
      </c>
      <c r="J11422" s="2" t="s">
        <v>15254</v>
      </c>
      <c r="K11422" s="2" t="s">
        <v>15255</v>
      </c>
      <c r="L11422" s="2">
        <f t="shared" si="178"/>
        <v>150</v>
      </c>
    </row>
    <row r="11423" spans="1:12" ht="25" customHeight="1">
      <c r="A11423" s="2" t="s">
        <v>12</v>
      </c>
      <c r="B11423" s="2" t="str">
        <f>HYPERLINK("http://www.12365auto.com/xcdg/20200206/417837.shtml","国产CC猎装版太香了 一汽-大众新车抢先看")</f>
        <v>国产CC猎装版太香了 一汽-大众新车抢先看</v>
      </c>
      <c r="C11423" s="2" t="s">
        <v>13</v>
      </c>
      <c r="D11423" s="2" t="s">
        <v>12</v>
      </c>
      <c r="E11423" s="2" t="s">
        <v>216</v>
      </c>
      <c r="F11423" s="2" t="str">
        <f>HYPERLINK("http://www.12365auto.com/xcdg/20200206/417837.shtml","http://www.12365auto.com/xcdg/20200206/417837.shtml")</f>
        <v>http://www.12365auto.com/xcdg/20200206/417837.shtml</v>
      </c>
      <c r="G11423" s="2"/>
      <c r="H11423" s="2" t="s">
        <v>15258</v>
      </c>
      <c r="I11423" s="2" t="s">
        <v>15</v>
      </c>
      <c r="J11423" s="2" t="s">
        <v>12</v>
      </c>
      <c r="K11423" s="2" t="s">
        <v>15255</v>
      </c>
      <c r="L11423" s="2">
        <f t="shared" si="178"/>
        <v>150</v>
      </c>
    </row>
    <row r="11424" spans="1:12" ht="25" customHeight="1">
      <c r="A11424" s="2" t="s">
        <v>12</v>
      </c>
      <c r="B11424" s="2" t="str">
        <f>HYPERLINK("http://bbs.12365auto.com/postcontent.aspx?tId=193412","一汽丰田RAV4荣放发动机漏油")</f>
        <v>一汽丰田RAV4荣放发动机漏油</v>
      </c>
      <c r="C11424" s="2" t="s">
        <v>13</v>
      </c>
      <c r="D11424" s="2" t="s">
        <v>12</v>
      </c>
      <c r="E11424" s="2" t="s">
        <v>66</v>
      </c>
      <c r="F11424" s="2" t="str">
        <f>HYPERLINK("http://bbs.12365auto.com/postcontent.aspx?tId=193412","http://bbs.12365auto.com/postcontent.aspx?tId=193412")</f>
        <v>http://bbs.12365auto.com/postcontent.aspx?tId=193412</v>
      </c>
      <c r="G11424" s="2"/>
      <c r="H11424" s="2" t="s">
        <v>15259</v>
      </c>
      <c r="I11424" s="2" t="s">
        <v>15</v>
      </c>
      <c r="J11424" s="2" t="s">
        <v>15260</v>
      </c>
      <c r="K11424" s="2" t="s">
        <v>15261</v>
      </c>
      <c r="L11424" s="2">
        <f t="shared" si="178"/>
        <v>89</v>
      </c>
    </row>
    <row r="11425" spans="1:12" ht="25" customHeight="1">
      <c r="A11425" s="2" t="s">
        <v>12</v>
      </c>
      <c r="B11425" s="2" t="str">
        <f>HYPERLINK("http://bbs.12365auto.com/postcontent.aspx?tID=193412","一汽丰田RAV4荣放发动机漏油")</f>
        <v>一汽丰田RAV4荣放发动机漏油</v>
      </c>
      <c r="C11425" s="2" t="s">
        <v>13</v>
      </c>
      <c r="D11425" s="2" t="s">
        <v>12</v>
      </c>
      <c r="E11425" s="2" t="s">
        <v>67</v>
      </c>
      <c r="F11425" s="2" t="str">
        <f>HYPERLINK("http://bbs.12365auto.com/postcontent.aspx?tID=193412","http://bbs.12365auto.com/postcontent.aspx?tID=193412")</f>
        <v>http://bbs.12365auto.com/postcontent.aspx?tID=193412</v>
      </c>
      <c r="G11425" s="2"/>
      <c r="H11425" s="2" t="s">
        <v>15262</v>
      </c>
      <c r="I11425" s="2" t="s">
        <v>15</v>
      </c>
      <c r="J11425" s="2" t="s">
        <v>15260</v>
      </c>
      <c r="K11425" s="2" t="s">
        <v>15261</v>
      </c>
      <c r="L11425" s="2">
        <f t="shared" si="178"/>
        <v>104</v>
      </c>
    </row>
    <row r="11426" spans="1:12" ht="25" customHeight="1">
      <c r="A11426" s="2" t="s">
        <v>12</v>
      </c>
      <c r="B11426" s="2" t="str">
        <f>HYPERLINK("http://www.12365auto.com/xcdg/20200206/417836.shtml","造型硬朗/功率275匹 撼路者新增2.3T动力")</f>
        <v>造型硬朗/功率275匹 撼路者新增2.3T动力</v>
      </c>
      <c r="C11426" s="2" t="s">
        <v>13</v>
      </c>
      <c r="D11426" s="2" t="s">
        <v>12</v>
      </c>
      <c r="E11426" s="2" t="s">
        <v>216</v>
      </c>
      <c r="F11426" s="2" t="str">
        <f>HYPERLINK("http://www.12365auto.com/xcdg/20200206/417836.shtml","http://www.12365auto.com/xcdg/20200206/417836.shtml")</f>
        <v>http://www.12365auto.com/xcdg/20200206/417836.shtml</v>
      </c>
      <c r="G11426" s="2"/>
      <c r="H11426" s="2" t="s">
        <v>15263</v>
      </c>
      <c r="I11426" s="2" t="s">
        <v>15</v>
      </c>
      <c r="J11426" s="2" t="s">
        <v>12</v>
      </c>
      <c r="K11426" s="2" t="s">
        <v>15261</v>
      </c>
      <c r="L11426" s="2">
        <f t="shared" si="178"/>
        <v>150</v>
      </c>
    </row>
    <row r="11427" spans="1:12" ht="25" customHeight="1">
      <c r="A11427" s="2" t="s">
        <v>12</v>
      </c>
      <c r="B11427" s="2" t="str">
        <f>HYPERLINK("http://m.12365auto.com/xcdg/20200206/417836.shtml","造型硬朗/功率275匹 撼路者新增2.3T动力")</f>
        <v>造型硬朗/功率275匹 撼路者新增2.3T动力</v>
      </c>
      <c r="C11427" s="2" t="s">
        <v>13</v>
      </c>
      <c r="D11427" s="2" t="s">
        <v>12</v>
      </c>
      <c r="E11427" s="2"/>
      <c r="F11427" s="2" t="str">
        <f>HYPERLINK("http://m.12365auto.com/xcdg/20200206/417836.shtml","http://m.12365auto.com/xcdg/20200206/417836.shtml")</f>
        <v>http://m.12365auto.com/xcdg/20200206/417836.shtml</v>
      </c>
      <c r="G11427" s="2"/>
      <c r="H11427" s="2" t="s">
        <v>15264</v>
      </c>
      <c r="I11427" s="2" t="s">
        <v>19</v>
      </c>
      <c r="J11427" s="2" t="s">
        <v>13422</v>
      </c>
      <c r="K11427" s="2" t="s">
        <v>15261</v>
      </c>
      <c r="L11427" s="2">
        <f t="shared" si="178"/>
        <v>150</v>
      </c>
    </row>
    <row r="11428" spans="1:12" ht="25" customHeight="1">
      <c r="A11428" s="2" t="s">
        <v>12</v>
      </c>
      <c r="B11428" s="2" t="str">
        <f>HYPERLINK("http://bbs.12365auto.com/postcontent.aspx?tID=193411","上汽名爵ZS电瓶亏电中控屏幕不亮")</f>
        <v>上汽名爵ZS电瓶亏电中控屏幕不亮</v>
      </c>
      <c r="C11428" s="2" t="s">
        <v>13</v>
      </c>
      <c r="D11428" s="2" t="s">
        <v>12</v>
      </c>
      <c r="E11428" s="2" t="s">
        <v>67</v>
      </c>
      <c r="F11428" s="2" t="str">
        <f>HYPERLINK("http://bbs.12365auto.com/postcontent.aspx?tID=193411","http://bbs.12365auto.com/postcontent.aspx?tID=193411")</f>
        <v>http://bbs.12365auto.com/postcontent.aspx?tID=193411</v>
      </c>
      <c r="G11428" s="2"/>
      <c r="H11428" s="2" t="s">
        <v>15265</v>
      </c>
      <c r="I11428" s="2" t="s">
        <v>15</v>
      </c>
      <c r="J11428" s="2" t="s">
        <v>2408</v>
      </c>
      <c r="K11428" s="2" t="s">
        <v>15266</v>
      </c>
      <c r="L11428" s="2">
        <f t="shared" si="178"/>
        <v>67</v>
      </c>
    </row>
    <row r="11429" spans="1:12" ht="25" customHeight="1">
      <c r="A11429" s="2" t="s">
        <v>12</v>
      </c>
      <c r="B11429" s="2" t="str">
        <f>HYPERLINK("http://bbs.12365auto.com/postcontent.aspx?tId=193411","上汽名爵ZS电瓶亏电中控屏幕不亮")</f>
        <v>上汽名爵ZS电瓶亏电中控屏幕不亮</v>
      </c>
      <c r="C11429" s="2" t="s">
        <v>13</v>
      </c>
      <c r="D11429" s="2" t="s">
        <v>12</v>
      </c>
      <c r="E11429" s="2" t="s">
        <v>66</v>
      </c>
      <c r="F11429" s="2" t="str">
        <f>HYPERLINK("http://bbs.12365auto.com/postcontent.aspx?tId=193411","http://bbs.12365auto.com/postcontent.aspx?tId=193411")</f>
        <v>http://bbs.12365auto.com/postcontent.aspx?tId=193411</v>
      </c>
      <c r="G11429" s="2"/>
      <c r="H11429" s="2" t="s">
        <v>15267</v>
      </c>
      <c r="I11429" s="2" t="s">
        <v>15</v>
      </c>
      <c r="J11429" s="2" t="s">
        <v>2408</v>
      </c>
      <c r="K11429" s="2" t="s">
        <v>15266</v>
      </c>
      <c r="L11429" s="2">
        <f t="shared" si="178"/>
        <v>51</v>
      </c>
    </row>
    <row r="11430" spans="1:12" ht="25" customHeight="1">
      <c r="A11430" s="2" t="s">
        <v>12</v>
      </c>
      <c r="B11430" s="2" t="str">
        <f>HYPERLINK("http://www.12365auto.com/xcdg/20200206/417835.shtml","续航突破490km 全新一代K3 EV将3月上市")</f>
        <v>续航突破490km 全新一代K3 EV将3月上市</v>
      </c>
      <c r="C11430" s="2" t="s">
        <v>13</v>
      </c>
      <c r="D11430" s="2" t="s">
        <v>12</v>
      </c>
      <c r="E11430" s="2" t="s">
        <v>216</v>
      </c>
      <c r="F11430" s="2" t="str">
        <f>HYPERLINK("http://www.12365auto.com/xcdg/20200206/417835.shtml","http://www.12365auto.com/xcdg/20200206/417835.shtml")</f>
        <v>http://www.12365auto.com/xcdg/20200206/417835.shtml</v>
      </c>
      <c r="G11430" s="2"/>
      <c r="H11430" s="2" t="s">
        <v>15268</v>
      </c>
      <c r="I11430" s="2" t="s">
        <v>15</v>
      </c>
      <c r="J11430" s="2" t="s">
        <v>12</v>
      </c>
      <c r="K11430" s="2" t="s">
        <v>15266</v>
      </c>
      <c r="L11430" s="2">
        <f t="shared" si="178"/>
        <v>150</v>
      </c>
    </row>
    <row r="11431" spans="1:12" ht="25" customHeight="1">
      <c r="A11431" s="2" t="s">
        <v>12</v>
      </c>
      <c r="B11431" s="2" t="str">
        <f>HYPERLINK("http://m.12365auto.com/xcdg/20200206/417835.shtml","续航突破490km 全新一代K3 EV将3月上市")</f>
        <v>续航突破490km 全新一代K3 EV将3月上市</v>
      </c>
      <c r="C11431" s="2" t="s">
        <v>13</v>
      </c>
      <c r="D11431" s="2" t="s">
        <v>12</v>
      </c>
      <c r="E11431" s="2"/>
      <c r="F11431" s="2" t="str">
        <f>HYPERLINK("http://m.12365auto.com/xcdg/20200206/417835.shtml","http://m.12365auto.com/xcdg/20200206/417835.shtml")</f>
        <v>http://m.12365auto.com/xcdg/20200206/417835.shtml</v>
      </c>
      <c r="G11431" s="2"/>
      <c r="H11431" s="2" t="s">
        <v>15269</v>
      </c>
      <c r="I11431" s="2" t="s">
        <v>19</v>
      </c>
      <c r="J11431" s="2" t="s">
        <v>4467</v>
      </c>
      <c r="K11431" s="2" t="s">
        <v>15266</v>
      </c>
      <c r="L11431" s="2">
        <f t="shared" si="178"/>
        <v>150</v>
      </c>
    </row>
    <row r="11432" spans="1:12" ht="25" customHeight="1">
      <c r="A11432" s="2" t="s">
        <v>12</v>
      </c>
      <c r="B11432" s="2" t="str">
        <f>HYPERLINK("http://www.12365auto.com/zlts/20200206/446476.shtml","北京现代菲斯塔耐克森轮胎开裂 车门掉漆")</f>
        <v>北京现代菲斯塔耐克森轮胎开裂 车门掉漆</v>
      </c>
      <c r="C11432" s="2" t="s">
        <v>13</v>
      </c>
      <c r="D11432" s="2" t="s">
        <v>12</v>
      </c>
      <c r="E11432" s="2" t="s">
        <v>17</v>
      </c>
      <c r="F11432" s="2" t="str">
        <f>HYPERLINK("http://www.12365auto.com/zlts/20200206/446476.shtml","http://www.12365auto.com/zlts/20200206/446476.shtml")</f>
        <v>http://www.12365auto.com/zlts/20200206/446476.shtml</v>
      </c>
      <c r="G11432" s="2"/>
      <c r="H11432" s="2" t="s">
        <v>15270</v>
      </c>
      <c r="I11432" s="2" t="s">
        <v>15</v>
      </c>
      <c r="J11432" s="2" t="s">
        <v>12</v>
      </c>
      <c r="K11432" s="2" t="s">
        <v>15271</v>
      </c>
      <c r="L11432" s="2">
        <f t="shared" si="178"/>
        <v>150</v>
      </c>
    </row>
    <row r="11433" spans="1:12" ht="25" customHeight="1">
      <c r="A11433" s="2" t="s">
        <v>12</v>
      </c>
      <c r="B11433" s="2" t="str">
        <f>HYPERLINK("http://bbs.12365auto.com/postcontent.aspx?tID=193410","上汽大众凌渡马牌轮胎胎噪大")</f>
        <v>上汽大众凌渡马牌轮胎胎噪大</v>
      </c>
      <c r="C11433" s="2" t="s">
        <v>13</v>
      </c>
      <c r="D11433" s="2" t="s">
        <v>12</v>
      </c>
      <c r="E11433" s="2" t="s">
        <v>67</v>
      </c>
      <c r="F11433" s="2" t="str">
        <f>HYPERLINK("http://bbs.12365auto.com/postcontent.aspx?tID=193410","http://bbs.12365auto.com/postcontent.aspx?tID=193410")</f>
        <v>http://bbs.12365auto.com/postcontent.aspx?tID=193410</v>
      </c>
      <c r="G11433" s="2"/>
      <c r="H11433" s="2" t="s">
        <v>15272</v>
      </c>
      <c r="I11433" s="2" t="s">
        <v>15</v>
      </c>
      <c r="J11433" s="2" t="s">
        <v>15273</v>
      </c>
      <c r="K11433" s="2" t="s">
        <v>15274</v>
      </c>
      <c r="L11433" s="2">
        <f t="shared" si="178"/>
        <v>80</v>
      </c>
    </row>
    <row r="11434" spans="1:12" ht="25" customHeight="1">
      <c r="A11434" s="2" t="s">
        <v>12</v>
      </c>
      <c r="B11434" s="2" t="str">
        <f>HYPERLINK("http://bbs.12365auto.com/postcontent.aspx?tId=193410","上汽大众凌渡马牌轮胎胎噪大")</f>
        <v>上汽大众凌渡马牌轮胎胎噪大</v>
      </c>
      <c r="C11434" s="2" t="s">
        <v>13</v>
      </c>
      <c r="D11434" s="2" t="s">
        <v>12</v>
      </c>
      <c r="E11434" s="2" t="s">
        <v>66</v>
      </c>
      <c r="F11434" s="2" t="str">
        <f>HYPERLINK("http://bbs.12365auto.com/postcontent.aspx?tId=193410","http://bbs.12365auto.com/postcontent.aspx?tId=193410")</f>
        <v>http://bbs.12365auto.com/postcontent.aspx?tId=193410</v>
      </c>
      <c r="G11434" s="2"/>
      <c r="H11434" s="2" t="s">
        <v>15275</v>
      </c>
      <c r="I11434" s="2" t="s">
        <v>15</v>
      </c>
      <c r="J11434" s="2" t="s">
        <v>15273</v>
      </c>
      <c r="K11434" s="2" t="s">
        <v>15274</v>
      </c>
      <c r="L11434" s="2">
        <f t="shared" si="178"/>
        <v>67</v>
      </c>
    </row>
    <row r="11435" spans="1:12" ht="25" customHeight="1">
      <c r="A11435" s="2" t="s">
        <v>12</v>
      </c>
      <c r="B11435" s="2" t="str">
        <f>HYPERLINK("http://m.12365auto.com/bbs/postcontent.aspx?tID=193410","上汽大众凌渡马牌轮胎胎噪大")</f>
        <v>上汽大众凌渡马牌轮胎胎噪大</v>
      </c>
      <c r="C11435" s="2" t="s">
        <v>13</v>
      </c>
      <c r="D11435" s="2" t="s">
        <v>23</v>
      </c>
      <c r="E11435" s="2"/>
      <c r="F11435" s="2" t="str">
        <f>HYPERLINK("http://m.12365auto.com/bbs/postcontent.aspx?tID=193410","http://m.12365auto.com/bbs/postcontent.aspx?tID=193410")</f>
        <v>http://m.12365auto.com/bbs/postcontent.aspx?tID=193410</v>
      </c>
      <c r="G11435" s="2"/>
      <c r="H11435" s="2" t="s">
        <v>15275</v>
      </c>
      <c r="I11435" s="2" t="s">
        <v>15</v>
      </c>
      <c r="J11435" s="2" t="s">
        <v>15273</v>
      </c>
      <c r="K11435" s="2" t="s">
        <v>15274</v>
      </c>
      <c r="L11435" s="2">
        <f t="shared" si="178"/>
        <v>67</v>
      </c>
    </row>
    <row r="11436" spans="1:12" ht="25" customHeight="1">
      <c r="A11436" s="2" t="s">
        <v>12</v>
      </c>
      <c r="B11436" s="2" t="str">
        <f>HYPERLINK("http://m.12365auto.com/xcdg/20200206/417834.shtml","2月24日正式销售 雷克萨斯LM售116.6万起")</f>
        <v>2月24日正式销售 雷克萨斯LM售116.6万起</v>
      </c>
      <c r="C11436" s="2" t="s">
        <v>13</v>
      </c>
      <c r="D11436" s="2" t="s">
        <v>12</v>
      </c>
      <c r="E11436" s="2"/>
      <c r="F11436" s="2" t="str">
        <f>HYPERLINK("http://m.12365auto.com/xcdg/20200206/417834.shtml","http://m.12365auto.com/xcdg/20200206/417834.shtml")</f>
        <v>http://m.12365auto.com/xcdg/20200206/417834.shtml</v>
      </c>
      <c r="G11436" s="2"/>
      <c r="H11436" s="2" t="s">
        <v>15276</v>
      </c>
      <c r="I11436" s="2" t="s">
        <v>19</v>
      </c>
      <c r="J11436" s="2" t="s">
        <v>7937</v>
      </c>
      <c r="K11436" s="2" t="s">
        <v>15277</v>
      </c>
      <c r="L11436" s="2">
        <f t="shared" si="178"/>
        <v>150</v>
      </c>
    </row>
    <row r="11437" spans="1:12" ht="25" customHeight="1">
      <c r="A11437" s="2" t="s">
        <v>12</v>
      </c>
      <c r="B11437" s="2" t="str">
        <f>HYPERLINK("http://www.12365auto.com/xcdg/20200206/417834.shtml","2月24日正式销售 雷克萨斯LM售116.6万起")</f>
        <v>2月24日正式销售 雷克萨斯LM售116.6万起</v>
      </c>
      <c r="C11437" s="2" t="s">
        <v>13</v>
      </c>
      <c r="D11437" s="2" t="s">
        <v>12</v>
      </c>
      <c r="E11437" s="2" t="s">
        <v>216</v>
      </c>
      <c r="F11437" s="2" t="str">
        <f>HYPERLINK("http://www.12365auto.com/xcdg/20200206/417834.shtml","http://www.12365auto.com/xcdg/20200206/417834.shtml")</f>
        <v>http://www.12365auto.com/xcdg/20200206/417834.shtml</v>
      </c>
      <c r="G11437" s="2"/>
      <c r="H11437" s="2" t="s">
        <v>15278</v>
      </c>
      <c r="I11437" s="2" t="s">
        <v>15</v>
      </c>
      <c r="J11437" s="2" t="s">
        <v>12</v>
      </c>
      <c r="K11437" s="2" t="s">
        <v>15277</v>
      </c>
      <c r="L11437" s="2">
        <f t="shared" si="178"/>
        <v>150</v>
      </c>
    </row>
    <row r="11438" spans="1:12" ht="25" customHeight="1">
      <c r="A11438" s="2" t="s">
        <v>12</v>
      </c>
      <c r="B11438" s="2" t="str">
        <f>HYPERLINK("http://m.12365auto.com/zjdy/20200206/121053.shtml","别克昂科威四驱精英版变速箱怎么样？")</f>
        <v>别克昂科威四驱精英版变速箱怎么样？</v>
      </c>
      <c r="C11438" s="2" t="s">
        <v>13</v>
      </c>
      <c r="D11438" s="2" t="s">
        <v>12</v>
      </c>
      <c r="E11438" s="2"/>
      <c r="F11438" s="2" t="str">
        <f>HYPERLINK("http://m.12365auto.com/zjdy/20200206/121053.shtml","http://m.12365auto.com/zjdy/20200206/121053.shtml")</f>
        <v>http://m.12365auto.com/zjdy/20200206/121053.shtml</v>
      </c>
      <c r="G11438" s="2"/>
      <c r="H11438" s="2" t="s">
        <v>15279</v>
      </c>
      <c r="I11438" s="2" t="s">
        <v>19</v>
      </c>
      <c r="J11438" s="2" t="s">
        <v>12</v>
      </c>
      <c r="K11438" s="2" t="s">
        <v>15280</v>
      </c>
      <c r="L11438" s="2">
        <f t="shared" si="178"/>
        <v>39</v>
      </c>
    </row>
    <row r="11439" spans="1:12" ht="25" customHeight="1">
      <c r="A11439" s="2" t="s">
        <v>12</v>
      </c>
      <c r="B11439" s="2" t="str">
        <f>HYPERLINK("http://bbs.12365auto.com/postcontent.aspx?tID=193409","一汽大众奥迪A4L变速箱异响希望解决")</f>
        <v>一汽大众奥迪A4L变速箱异响希望解决</v>
      </c>
      <c r="C11439" s="2" t="s">
        <v>13</v>
      </c>
      <c r="D11439" s="2" t="s">
        <v>12</v>
      </c>
      <c r="E11439" s="2" t="s">
        <v>67</v>
      </c>
      <c r="F11439" s="2" t="str">
        <f>HYPERLINK("http://bbs.12365auto.com/postcontent.aspx?tID=193409","http://bbs.12365auto.com/postcontent.aspx?tID=193409")</f>
        <v>http://bbs.12365auto.com/postcontent.aspx?tID=193409</v>
      </c>
      <c r="G11439" s="2"/>
      <c r="H11439" s="2" t="s">
        <v>15281</v>
      </c>
      <c r="I11439" s="2" t="s">
        <v>15</v>
      </c>
      <c r="J11439" s="2" t="s">
        <v>15282</v>
      </c>
      <c r="K11439" s="2" t="s">
        <v>15283</v>
      </c>
      <c r="L11439" s="2">
        <f t="shared" si="178"/>
        <v>88</v>
      </c>
    </row>
    <row r="11440" spans="1:12" ht="25" customHeight="1">
      <c r="A11440" s="2" t="s">
        <v>12</v>
      </c>
      <c r="B11440" s="2" t="str">
        <f>HYPERLINK("http://bbs.12365auto.com/postcontent.aspx?tId=193409","一汽大众奥迪A4L变速箱异响希望解决")</f>
        <v>一汽大众奥迪A4L变速箱异响希望解决</v>
      </c>
      <c r="C11440" s="2" t="s">
        <v>13</v>
      </c>
      <c r="D11440" s="2" t="s">
        <v>12</v>
      </c>
      <c r="E11440" s="2" t="s">
        <v>66</v>
      </c>
      <c r="F11440" s="2" t="str">
        <f>HYPERLINK("http://bbs.12365auto.com/postcontent.aspx?tId=193409","http://bbs.12365auto.com/postcontent.aspx?tId=193409")</f>
        <v>http://bbs.12365auto.com/postcontent.aspx?tId=193409</v>
      </c>
      <c r="G11440" s="2"/>
      <c r="H11440" s="2" t="s">
        <v>15284</v>
      </c>
      <c r="I11440" s="2" t="s">
        <v>15</v>
      </c>
      <c r="J11440" s="2" t="s">
        <v>15282</v>
      </c>
      <c r="K11440" s="2" t="s">
        <v>15283</v>
      </c>
      <c r="L11440" s="2">
        <f t="shared" si="178"/>
        <v>70</v>
      </c>
    </row>
    <row r="11441" spans="1:12" ht="25" customHeight="1">
      <c r="A11441" s="2" t="s">
        <v>12</v>
      </c>
      <c r="B11441" s="2" t="str">
        <f>HYPERLINK("http://www.12365auto.com/zlts/20200206/446475.shtml","上汽大众朗逸发动机噪音大加速时转速上升")</f>
        <v>上汽大众朗逸发动机噪音大加速时转速上升</v>
      </c>
      <c r="C11441" s="2" t="s">
        <v>13</v>
      </c>
      <c r="D11441" s="2" t="s">
        <v>12</v>
      </c>
      <c r="E11441" s="2" t="s">
        <v>17</v>
      </c>
      <c r="F11441" s="2" t="str">
        <f>HYPERLINK("http://www.12365auto.com/zlts/20200206/446475.shtml","http://www.12365auto.com/zlts/20200206/446475.shtml")</f>
        <v>http://www.12365auto.com/zlts/20200206/446475.shtml</v>
      </c>
      <c r="G11441" s="2"/>
      <c r="H11441" s="2" t="s">
        <v>15285</v>
      </c>
      <c r="I11441" s="2" t="s">
        <v>19</v>
      </c>
      <c r="J11441" s="2" t="s">
        <v>12</v>
      </c>
      <c r="K11441" s="2" t="s">
        <v>15283</v>
      </c>
      <c r="L11441" s="2">
        <f t="shared" si="178"/>
        <v>150</v>
      </c>
    </row>
    <row r="11442" spans="1:12" ht="25" customHeight="1">
      <c r="A11442" s="2" t="s">
        <v>12</v>
      </c>
      <c r="B11442" s="2" t="str">
        <f>HYPERLINK("http://m.12365auto.com/bbs/postcontent.aspx?tID=193409","一汽大众奥迪A4L变速箱异响希望解决")</f>
        <v>一汽大众奥迪A4L变速箱异响希望解决</v>
      </c>
      <c r="C11442" s="2" t="s">
        <v>13</v>
      </c>
      <c r="D11442" s="2" t="s">
        <v>23</v>
      </c>
      <c r="E11442" s="2"/>
      <c r="F11442" s="2" t="str">
        <f>HYPERLINK("http://m.12365auto.com/bbs/postcontent.aspx?tID=193409","http://m.12365auto.com/bbs/postcontent.aspx?tID=193409")</f>
        <v>http://m.12365auto.com/bbs/postcontent.aspx?tID=193409</v>
      </c>
      <c r="G11442" s="2"/>
      <c r="H11442" s="2" t="s">
        <v>15284</v>
      </c>
      <c r="I11442" s="2" t="s">
        <v>15</v>
      </c>
      <c r="J11442" s="2" t="s">
        <v>15282</v>
      </c>
      <c r="K11442" s="2" t="s">
        <v>15283</v>
      </c>
      <c r="L11442" s="2">
        <f t="shared" si="178"/>
        <v>70</v>
      </c>
    </row>
    <row r="11443" spans="1:12" ht="25" customHeight="1">
      <c r="A11443" s="2" t="s">
        <v>12</v>
      </c>
      <c r="B11443" s="2" t="str">
        <f>HYPERLINK("http://bbs.12365auto.com/postcontent.aspx?tId=193408","长安逸动XT换挡器总成P挡卡死无法摘出")</f>
        <v>长安逸动XT换挡器总成P挡卡死无法摘出</v>
      </c>
      <c r="C11443" s="2" t="s">
        <v>13</v>
      </c>
      <c r="D11443" s="2" t="s">
        <v>12</v>
      </c>
      <c r="E11443" s="2" t="s">
        <v>66</v>
      </c>
      <c r="F11443" s="2" t="str">
        <f>HYPERLINK("http://bbs.12365auto.com/postcontent.aspx?tId=193408","http://bbs.12365auto.com/postcontent.aspx?tId=193408")</f>
        <v>http://bbs.12365auto.com/postcontent.aspx?tId=193408</v>
      </c>
      <c r="G11443" s="2"/>
      <c r="H11443" s="2" t="s">
        <v>15286</v>
      </c>
      <c r="I11443" s="2" t="s">
        <v>15</v>
      </c>
      <c r="J11443" s="2" t="s">
        <v>15287</v>
      </c>
      <c r="K11443" s="2" t="s">
        <v>15288</v>
      </c>
      <c r="L11443" s="2">
        <f t="shared" si="178"/>
        <v>68</v>
      </c>
    </row>
    <row r="11444" spans="1:12" ht="25" customHeight="1">
      <c r="A11444" s="2" t="s">
        <v>12</v>
      </c>
      <c r="B11444" s="2" t="str">
        <f>HYPERLINK("http://m.12365auto.com/xcdg/20200206/417833.shtml","情人节选TA就对了 吉利icon将2月14日上市")</f>
        <v>情人节选TA就对了 吉利icon将2月14日上市</v>
      </c>
      <c r="C11444" s="2" t="s">
        <v>13</v>
      </c>
      <c r="D11444" s="2" t="s">
        <v>12</v>
      </c>
      <c r="E11444" s="2"/>
      <c r="F11444" s="2" t="str">
        <f>HYPERLINK("http://m.12365auto.com/xcdg/20200206/417833.shtml","http://m.12365auto.com/xcdg/20200206/417833.shtml")</f>
        <v>http://m.12365auto.com/xcdg/20200206/417833.shtml</v>
      </c>
      <c r="G11444" s="2"/>
      <c r="H11444" s="2" t="s">
        <v>15289</v>
      </c>
      <c r="I11444" s="2" t="s">
        <v>19</v>
      </c>
      <c r="J11444" s="2" t="s">
        <v>7937</v>
      </c>
      <c r="K11444" s="2" t="s">
        <v>15288</v>
      </c>
      <c r="L11444" s="2">
        <f t="shared" si="178"/>
        <v>150</v>
      </c>
    </row>
    <row r="11445" spans="1:12" ht="25" customHeight="1">
      <c r="A11445" s="2" t="s">
        <v>12</v>
      </c>
      <c r="B11445" s="2" t="str">
        <f>HYPERLINK("http://www.12365auto.com/xcdg/20200206/417833.shtml","情人节选TA就对了 吉利icon将2月14日上市")</f>
        <v>情人节选TA就对了 吉利icon将2月14日上市</v>
      </c>
      <c r="C11445" s="2" t="s">
        <v>13</v>
      </c>
      <c r="D11445" s="2" t="s">
        <v>12</v>
      </c>
      <c r="E11445" s="2" t="s">
        <v>216</v>
      </c>
      <c r="F11445" s="2" t="str">
        <f>HYPERLINK("http://www.12365auto.com/xcdg/20200206/417833.shtml","http://www.12365auto.com/xcdg/20200206/417833.shtml")</f>
        <v>http://www.12365auto.com/xcdg/20200206/417833.shtml</v>
      </c>
      <c r="G11445" s="2"/>
      <c r="H11445" s="2" t="s">
        <v>15290</v>
      </c>
      <c r="I11445" s="2" t="s">
        <v>15</v>
      </c>
      <c r="J11445" s="2" t="s">
        <v>12</v>
      </c>
      <c r="K11445" s="2" t="s">
        <v>15288</v>
      </c>
      <c r="L11445" s="2">
        <f t="shared" si="178"/>
        <v>150</v>
      </c>
    </row>
    <row r="11446" spans="1:12" ht="25" customHeight="1">
      <c r="A11446" s="2" t="s">
        <v>12</v>
      </c>
      <c r="B11446" s="2" t="str">
        <f>HYPERLINK("http://m.12365auto.com/bbs/postcontent.aspx?tID=193408","长安逸动XT换挡器总成P挡卡死无法摘出")</f>
        <v>长安逸动XT换挡器总成P挡卡死无法摘出</v>
      </c>
      <c r="C11446" s="2" t="s">
        <v>13</v>
      </c>
      <c r="D11446" s="2" t="s">
        <v>23</v>
      </c>
      <c r="E11446" s="2"/>
      <c r="F11446" s="2" t="str">
        <f>HYPERLINK("http://m.12365auto.com/bbs/postcontent.aspx?tID=193408","http://m.12365auto.com/bbs/postcontent.aspx?tID=193408")</f>
        <v>http://m.12365auto.com/bbs/postcontent.aspx?tID=193408</v>
      </c>
      <c r="G11446" s="2"/>
      <c r="H11446" s="2" t="s">
        <v>15286</v>
      </c>
      <c r="I11446" s="2" t="s">
        <v>15</v>
      </c>
      <c r="J11446" s="2" t="s">
        <v>15287</v>
      </c>
      <c r="K11446" s="2" t="s">
        <v>15288</v>
      </c>
      <c r="L11446" s="2">
        <f t="shared" si="178"/>
        <v>68</v>
      </c>
    </row>
    <row r="11447" spans="1:12" ht="25" customHeight="1">
      <c r="A11447" s="2" t="s">
        <v>12</v>
      </c>
      <c r="B11447" s="2" t="str">
        <f>HYPERLINK("http://bbs.12365auto.com/postcontent.aspx?tID=193408","长安逸动XT换挡器总成P挡卡死无法摘出")</f>
        <v>长安逸动XT换挡器总成P挡卡死无法摘出</v>
      </c>
      <c r="C11447" s="2" t="s">
        <v>13</v>
      </c>
      <c r="D11447" s="2" t="s">
        <v>12</v>
      </c>
      <c r="E11447" s="2" t="s">
        <v>67</v>
      </c>
      <c r="F11447" s="2" t="str">
        <f>HYPERLINK("http://bbs.12365auto.com/postcontent.aspx?tID=193408","http://bbs.12365auto.com/postcontent.aspx?tID=193408")</f>
        <v>http://bbs.12365auto.com/postcontent.aspx?tID=193408</v>
      </c>
      <c r="G11447" s="2"/>
      <c r="H11447" s="2" t="s">
        <v>15291</v>
      </c>
      <c r="I11447" s="2" t="s">
        <v>15</v>
      </c>
      <c r="J11447" s="2" t="s">
        <v>15287</v>
      </c>
      <c r="K11447" s="2" t="s">
        <v>15288</v>
      </c>
      <c r="L11447" s="2">
        <f t="shared" si="178"/>
        <v>87</v>
      </c>
    </row>
    <row r="11448" spans="1:12" ht="25" customHeight="1">
      <c r="A11448" s="2" t="s">
        <v>12</v>
      </c>
      <c r="B11448" s="2" t="str">
        <f>HYPERLINK("http://bbs.12365auto.com/postcontent.aspx?tID=193407","东风风光580发动机缸盖漏油")</f>
        <v>东风风光580发动机缸盖漏油</v>
      </c>
      <c r="C11448" s="2" t="s">
        <v>13</v>
      </c>
      <c r="D11448" s="2" t="s">
        <v>12</v>
      </c>
      <c r="E11448" s="2" t="s">
        <v>67</v>
      </c>
      <c r="F11448" s="2" t="str">
        <f>HYPERLINK("http://bbs.12365auto.com/postcontent.aspx?tID=193407","http://bbs.12365auto.com/postcontent.aspx?tID=193407")</f>
        <v>http://bbs.12365auto.com/postcontent.aspx?tID=193407</v>
      </c>
      <c r="G11448" s="2"/>
      <c r="H11448" s="2" t="s">
        <v>15292</v>
      </c>
      <c r="I11448" s="2" t="s">
        <v>15</v>
      </c>
      <c r="J11448" s="2" t="s">
        <v>15293</v>
      </c>
      <c r="K11448" s="2" t="s">
        <v>15294</v>
      </c>
      <c r="L11448" s="2">
        <f t="shared" si="178"/>
        <v>64</v>
      </c>
    </row>
    <row r="11449" spans="1:12" ht="25" customHeight="1">
      <c r="A11449" s="2" t="s">
        <v>12</v>
      </c>
      <c r="B11449" s="2" t="str">
        <f>HYPERLINK("http://bbs.12365auto.com/postcontent.aspx?tId=193407","东风风光580发动机缸盖漏油")</f>
        <v>东风风光580发动机缸盖漏油</v>
      </c>
      <c r="C11449" s="2" t="s">
        <v>13</v>
      </c>
      <c r="D11449" s="2" t="s">
        <v>12</v>
      </c>
      <c r="E11449" s="2" t="s">
        <v>66</v>
      </c>
      <c r="F11449" s="2" t="str">
        <f>HYPERLINK("http://bbs.12365auto.com/postcontent.aspx?tId=193407","http://bbs.12365auto.com/postcontent.aspx?tId=193407")</f>
        <v>http://bbs.12365auto.com/postcontent.aspx?tId=193407</v>
      </c>
      <c r="G11449" s="2"/>
      <c r="H11449" s="2" t="s">
        <v>15295</v>
      </c>
      <c r="I11449" s="2" t="s">
        <v>15</v>
      </c>
      <c r="J11449" s="2" t="s">
        <v>15293</v>
      </c>
      <c r="K11449" s="2" t="s">
        <v>15294</v>
      </c>
      <c r="L11449" s="2">
        <f t="shared" si="178"/>
        <v>50</v>
      </c>
    </row>
    <row r="11450" spans="1:12" ht="25" customHeight="1">
      <c r="A11450" s="2" t="s">
        <v>12</v>
      </c>
      <c r="B11450" s="2" t="str">
        <f>HYPERLINK("http://m.12365auto.com/bbs/postcontent.aspx?tID=193407","东风风光580发动机缸盖漏油")</f>
        <v>东风风光580发动机缸盖漏油</v>
      </c>
      <c r="C11450" s="2" t="s">
        <v>13</v>
      </c>
      <c r="D11450" s="2" t="s">
        <v>23</v>
      </c>
      <c r="E11450" s="2"/>
      <c r="F11450" s="2" t="str">
        <f>HYPERLINK("http://m.12365auto.com/bbs/postcontent.aspx?tID=193407","http://m.12365auto.com/bbs/postcontent.aspx?tID=193407")</f>
        <v>http://m.12365auto.com/bbs/postcontent.aspx?tID=193407</v>
      </c>
      <c r="G11450" s="2"/>
      <c r="H11450" s="2" t="s">
        <v>15295</v>
      </c>
      <c r="I11450" s="2" t="s">
        <v>15</v>
      </c>
      <c r="J11450" s="2" t="s">
        <v>15293</v>
      </c>
      <c r="K11450" s="2" t="s">
        <v>15294</v>
      </c>
      <c r="L11450" s="2">
        <f t="shared" si="178"/>
        <v>50</v>
      </c>
    </row>
    <row r="11451" spans="1:12" ht="25" customHeight="1">
      <c r="A11451" s="2" t="s">
        <v>12</v>
      </c>
      <c r="B11451" s="2" t="str">
        <f>HYPERLINK("http://bbs.12365auto.com/postcontent.aspx?tID=193406","东南汽车DX3高速车身共振噪音大")</f>
        <v>东南汽车DX3高速车身共振噪音大</v>
      </c>
      <c r="C11451" s="2" t="s">
        <v>13</v>
      </c>
      <c r="D11451" s="2" t="s">
        <v>12</v>
      </c>
      <c r="E11451" s="2" t="s">
        <v>67</v>
      </c>
      <c r="F11451" s="2" t="str">
        <f>HYPERLINK("http://bbs.12365auto.com/postcontent.aspx?tID=193406","http://bbs.12365auto.com/postcontent.aspx?tID=193406")</f>
        <v>http://bbs.12365auto.com/postcontent.aspx?tID=193406</v>
      </c>
      <c r="G11451" s="2"/>
      <c r="H11451" s="2" t="s">
        <v>15296</v>
      </c>
      <c r="I11451" s="2" t="s">
        <v>15</v>
      </c>
      <c r="J11451" s="2" t="s">
        <v>15297</v>
      </c>
      <c r="K11451" s="2" t="s">
        <v>15298</v>
      </c>
      <c r="L11451" s="2">
        <f t="shared" si="178"/>
        <v>72</v>
      </c>
    </row>
    <row r="11452" spans="1:12" ht="25" customHeight="1">
      <c r="A11452" s="2" t="s">
        <v>12</v>
      </c>
      <c r="B11452" s="2" t="str">
        <f>HYPERLINK("http://bbs.12365auto.com/postcontent.aspx?tId=193406","东南汽车DX3高速车身共振噪音大")</f>
        <v>东南汽车DX3高速车身共振噪音大</v>
      </c>
      <c r="C11452" s="2" t="s">
        <v>13</v>
      </c>
      <c r="D11452" s="2" t="s">
        <v>12</v>
      </c>
      <c r="E11452" s="2" t="s">
        <v>66</v>
      </c>
      <c r="F11452" s="2" t="str">
        <f>HYPERLINK("http://bbs.12365auto.com/postcontent.aspx?tId=193406","http://bbs.12365auto.com/postcontent.aspx?tId=193406")</f>
        <v>http://bbs.12365auto.com/postcontent.aspx?tId=193406</v>
      </c>
      <c r="G11452" s="2"/>
      <c r="H11452" s="2" t="s">
        <v>15299</v>
      </c>
      <c r="I11452" s="2" t="s">
        <v>15</v>
      </c>
      <c r="J11452" s="2" t="s">
        <v>15297</v>
      </c>
      <c r="K11452" s="2" t="s">
        <v>15298</v>
      </c>
      <c r="L11452" s="2">
        <f t="shared" si="178"/>
        <v>56</v>
      </c>
    </row>
    <row r="11453" spans="1:12" ht="25" customHeight="1">
      <c r="A11453" s="2" t="s">
        <v>12</v>
      </c>
      <c r="B11453" s="2" t="str">
        <f>HYPERLINK("http://m.12365auto.com/bbs/postcontent.aspx?tID=193406","东南汽车DX3高速车身共振噪音大")</f>
        <v>东南汽车DX3高速车身共振噪音大</v>
      </c>
      <c r="C11453" s="2" t="s">
        <v>13</v>
      </c>
      <c r="D11453" s="2" t="s">
        <v>23</v>
      </c>
      <c r="E11453" s="2"/>
      <c r="F11453" s="2" t="str">
        <f>HYPERLINK("http://m.12365auto.com/bbs/postcontent.aspx?tID=193406","http://m.12365auto.com/bbs/postcontent.aspx?tID=193406")</f>
        <v>http://m.12365auto.com/bbs/postcontent.aspx?tID=193406</v>
      </c>
      <c r="G11453" s="2"/>
      <c r="H11453" s="2" t="s">
        <v>15299</v>
      </c>
      <c r="I11453" s="2" t="s">
        <v>15</v>
      </c>
      <c r="J11453" s="2" t="s">
        <v>15297</v>
      </c>
      <c r="K11453" s="2" t="s">
        <v>15298</v>
      </c>
      <c r="L11453" s="2">
        <f t="shared" si="178"/>
        <v>56</v>
      </c>
    </row>
    <row r="11454" spans="1:12" ht="25" customHeight="1">
      <c r="A11454" s="2" t="s">
        <v>12</v>
      </c>
      <c r="B11454" s="2" t="str">
        <f>HYPERLINK("http://bbs.12365auto.com/postcontent.aspx?tId=193405","吉利帝豪新能源空调加热器故障")</f>
        <v>吉利帝豪新能源空调加热器故障</v>
      </c>
      <c r="C11454" s="2" t="s">
        <v>13</v>
      </c>
      <c r="D11454" s="2" t="s">
        <v>12</v>
      </c>
      <c r="E11454" s="2" t="s">
        <v>66</v>
      </c>
      <c r="F11454" s="2" t="str">
        <f>HYPERLINK("http://bbs.12365auto.com/postcontent.aspx?tId=193405","http://bbs.12365auto.com/postcontent.aspx?tId=193405")</f>
        <v>http://bbs.12365auto.com/postcontent.aspx?tId=193405</v>
      </c>
      <c r="G11454" s="2"/>
      <c r="H11454" s="2" t="s">
        <v>15300</v>
      </c>
      <c r="I11454" s="2" t="s">
        <v>15</v>
      </c>
      <c r="J11454" s="2" t="s">
        <v>15301</v>
      </c>
      <c r="K11454" s="2" t="s">
        <v>15302</v>
      </c>
      <c r="L11454" s="2">
        <f t="shared" si="178"/>
        <v>150</v>
      </c>
    </row>
    <row r="11455" spans="1:12" ht="25" customHeight="1">
      <c r="A11455" s="2" t="s">
        <v>12</v>
      </c>
      <c r="B11455" s="2" t="str">
        <f>HYPERLINK("http://m.12365auto.com/bbs/postcontent.aspx?tID=193405","吉利帝豪新能源空调加热器故障")</f>
        <v>吉利帝豪新能源空调加热器故障</v>
      </c>
      <c r="C11455" s="2" t="s">
        <v>13</v>
      </c>
      <c r="D11455" s="2" t="s">
        <v>23</v>
      </c>
      <c r="E11455" s="2"/>
      <c r="F11455" s="2" t="str">
        <f>HYPERLINK("http://m.12365auto.com/bbs/postcontent.aspx?tID=193405","http://m.12365auto.com/bbs/postcontent.aspx?tID=193405")</f>
        <v>http://m.12365auto.com/bbs/postcontent.aspx?tID=193405</v>
      </c>
      <c r="G11455" s="2"/>
      <c r="H11455" s="2" t="s">
        <v>15300</v>
      </c>
      <c r="I11455" s="2" t="s">
        <v>15</v>
      </c>
      <c r="J11455" s="2" t="s">
        <v>15301</v>
      </c>
      <c r="K11455" s="2" t="s">
        <v>15302</v>
      </c>
      <c r="L11455" s="2">
        <f t="shared" si="178"/>
        <v>150</v>
      </c>
    </row>
    <row r="11456" spans="1:12" ht="25" customHeight="1">
      <c r="A11456" s="2" t="s">
        <v>12</v>
      </c>
      <c r="B11456" s="2" t="str">
        <f>HYPERLINK("http://bbs.12365auto.com/postcontent.aspx?tID=193405","吉利帝豪新能源空调加热器故障")</f>
        <v>吉利帝豪新能源空调加热器故障</v>
      </c>
      <c r="C11456" s="2" t="s">
        <v>13</v>
      </c>
      <c r="D11456" s="2" t="s">
        <v>12</v>
      </c>
      <c r="E11456" s="2" t="s">
        <v>67</v>
      </c>
      <c r="F11456" s="2" t="str">
        <f>HYPERLINK("http://bbs.12365auto.com/postcontent.aspx?tID=193405","http://bbs.12365auto.com/postcontent.aspx?tID=193405")</f>
        <v>http://bbs.12365auto.com/postcontent.aspx?tID=193405</v>
      </c>
      <c r="G11456" s="2"/>
      <c r="H11456" s="2" t="s">
        <v>15303</v>
      </c>
      <c r="I11456" s="2" t="s">
        <v>15</v>
      </c>
      <c r="J11456" s="2" t="s">
        <v>15301</v>
      </c>
      <c r="K11456" s="2" t="s">
        <v>15302</v>
      </c>
      <c r="L11456" s="2">
        <f t="shared" si="178"/>
        <v>150</v>
      </c>
    </row>
    <row r="11457" spans="1:12" ht="25" customHeight="1">
      <c r="A11457" s="2" t="s">
        <v>12</v>
      </c>
      <c r="B11457" s="2" t="str">
        <f>HYPERLINK("http://bbs.12365auto.com/postcontent.aspx?tId=193404","汽车的“日间行车灯”到底有何作用")</f>
        <v>汽车的“日间行车灯”到底有何作用</v>
      </c>
      <c r="C11457" s="2" t="s">
        <v>13</v>
      </c>
      <c r="D11457" s="2" t="s">
        <v>12</v>
      </c>
      <c r="E11457" s="2" t="s">
        <v>1397</v>
      </c>
      <c r="F11457" s="2" t="str">
        <f>HYPERLINK("http://bbs.12365auto.com/postcontent.aspx?tId=193404","http://bbs.12365auto.com/postcontent.aspx?tId=193404")</f>
        <v>http://bbs.12365auto.com/postcontent.aspx?tId=193404</v>
      </c>
      <c r="G11457" s="2"/>
      <c r="H11457" s="2" t="s">
        <v>15304</v>
      </c>
      <c r="I11457" s="2" t="s">
        <v>15</v>
      </c>
      <c r="J11457" s="2" t="s">
        <v>4561</v>
      </c>
      <c r="K11457" s="2" t="s">
        <v>15305</v>
      </c>
      <c r="L11457" s="2">
        <f t="shared" si="178"/>
        <v>150</v>
      </c>
    </row>
    <row r="11458" spans="1:12" ht="25" customHeight="1">
      <c r="A11458" s="2" t="s">
        <v>12</v>
      </c>
      <c r="B11458" s="2" t="str">
        <f>HYPERLINK("http://m.12365auto.com/bbs/postcontent.aspx?tID=193404","汽车的“日间行车灯”到底有何作用")</f>
        <v>汽车的“日间行车灯”到底有何作用</v>
      </c>
      <c r="C11458" s="2" t="s">
        <v>13</v>
      </c>
      <c r="D11458" s="2" t="s">
        <v>23</v>
      </c>
      <c r="E11458" s="2"/>
      <c r="F11458" s="2" t="str">
        <f>HYPERLINK("http://m.12365auto.com/bbs/postcontent.aspx?tID=193404","http://m.12365auto.com/bbs/postcontent.aspx?tID=193404")</f>
        <v>http://m.12365auto.com/bbs/postcontent.aspx?tID=193404</v>
      </c>
      <c r="G11458" s="2"/>
      <c r="H11458" s="2" t="s">
        <v>15304</v>
      </c>
      <c r="I11458" s="2" t="s">
        <v>15</v>
      </c>
      <c r="J11458" s="2" t="s">
        <v>4561</v>
      </c>
      <c r="K11458" s="2" t="s">
        <v>15305</v>
      </c>
      <c r="L11458" s="2">
        <f t="shared" si="178"/>
        <v>150</v>
      </c>
    </row>
    <row r="11459" spans="1:12" ht="25" customHeight="1">
      <c r="A11459" s="2" t="s">
        <v>12</v>
      </c>
      <c r="B11459" s="2" t="str">
        <f>HYPERLINK("http://bbs.12365auto.com/postcontent.aspx?tID=193404","汽车的“日间行车灯”到底有何作用")</f>
        <v>汽车的“日间行车灯”到底有何作用</v>
      </c>
      <c r="C11459" s="2" t="s">
        <v>13</v>
      </c>
      <c r="D11459" s="2" t="s">
        <v>12</v>
      </c>
      <c r="E11459" s="2" t="s">
        <v>1393</v>
      </c>
      <c r="F11459" s="2" t="str">
        <f>HYPERLINK("http://bbs.12365auto.com/postcontent.aspx?tID=193404","http://bbs.12365auto.com/postcontent.aspx?tID=193404")</f>
        <v>http://bbs.12365auto.com/postcontent.aspx?tID=193404</v>
      </c>
      <c r="G11459" s="2"/>
      <c r="H11459" s="2" t="s">
        <v>15306</v>
      </c>
      <c r="I11459" s="2" t="s">
        <v>15</v>
      </c>
      <c r="J11459" s="2" t="s">
        <v>4561</v>
      </c>
      <c r="K11459" s="2" t="s">
        <v>15305</v>
      </c>
      <c r="L11459" s="2">
        <f t="shared" ref="L11459:L11522" si="179">LEN(H11459)</f>
        <v>150</v>
      </c>
    </row>
    <row r="11460" spans="1:12" ht="25" customHeight="1">
      <c r="A11460" s="2" t="s">
        <v>12</v>
      </c>
      <c r="B11460" s="2" t="str">
        <f>HYPERLINK("http://bbs.12365auto.com/postcontent.aspx?tId=193402","汽车悬架分哪些类型 各有什么特点")</f>
        <v>汽车悬架分哪些类型 各有什么特点</v>
      </c>
      <c r="C11460" s="2" t="s">
        <v>13</v>
      </c>
      <c r="D11460" s="2" t="s">
        <v>12</v>
      </c>
      <c r="E11460" s="2" t="s">
        <v>1397</v>
      </c>
      <c r="F11460" s="2" t="str">
        <f>HYPERLINK("http://bbs.12365auto.com/postcontent.aspx?tId=193402","http://bbs.12365auto.com/postcontent.aspx?tId=193402")</f>
        <v>http://bbs.12365auto.com/postcontent.aspx?tId=193402</v>
      </c>
      <c r="G11460" s="2"/>
      <c r="H11460" s="2" t="s">
        <v>15307</v>
      </c>
      <c r="I11460" s="2" t="s">
        <v>15</v>
      </c>
      <c r="J11460" s="2" t="s">
        <v>4561</v>
      </c>
      <c r="K11460" s="2" t="s">
        <v>15308</v>
      </c>
      <c r="L11460" s="2">
        <f t="shared" si="179"/>
        <v>150</v>
      </c>
    </row>
    <row r="11461" spans="1:12" ht="25" customHeight="1">
      <c r="A11461" s="2" t="s">
        <v>12</v>
      </c>
      <c r="B11461" s="2" t="str">
        <f>HYPERLINK("http://bbs.12365auto.com/postcontent.aspx?tId=193403","带有这种功能的车速不要超过40")</f>
        <v>带有这种功能的车速不要超过40</v>
      </c>
      <c r="C11461" s="2" t="s">
        <v>13</v>
      </c>
      <c r="D11461" s="2" t="s">
        <v>12</v>
      </c>
      <c r="E11461" s="2" t="s">
        <v>1397</v>
      </c>
      <c r="F11461" s="2" t="str">
        <f>HYPERLINK("http://bbs.12365auto.com/postcontent.aspx?tId=193403","http://bbs.12365auto.com/postcontent.aspx?tId=193403")</f>
        <v>http://bbs.12365auto.com/postcontent.aspx?tId=193403</v>
      </c>
      <c r="G11461" s="2"/>
      <c r="H11461" s="2" t="s">
        <v>15309</v>
      </c>
      <c r="I11461" s="2" t="s">
        <v>15</v>
      </c>
      <c r="J11461" s="2" t="s">
        <v>4561</v>
      </c>
      <c r="K11461" s="2" t="s">
        <v>15308</v>
      </c>
      <c r="L11461" s="2">
        <f t="shared" si="179"/>
        <v>150</v>
      </c>
    </row>
    <row r="11462" spans="1:12" ht="25" customHeight="1">
      <c r="A11462" s="2" t="s">
        <v>12</v>
      </c>
      <c r="B11462" s="2" t="str">
        <f>HYPERLINK("http://m.12365auto.com/bbs/postcontent.aspx?tID=193403","带有这种功能的车速不要超过40")</f>
        <v>带有这种功能的车速不要超过40</v>
      </c>
      <c r="C11462" s="2" t="s">
        <v>13</v>
      </c>
      <c r="D11462" s="2" t="s">
        <v>23</v>
      </c>
      <c r="E11462" s="2"/>
      <c r="F11462" s="2" t="str">
        <f>HYPERLINK("http://m.12365auto.com/bbs/postcontent.aspx?tID=193403","http://m.12365auto.com/bbs/postcontent.aspx?tID=193403")</f>
        <v>http://m.12365auto.com/bbs/postcontent.aspx?tID=193403</v>
      </c>
      <c r="G11462" s="2"/>
      <c r="H11462" s="2" t="s">
        <v>15309</v>
      </c>
      <c r="I11462" s="2" t="s">
        <v>15</v>
      </c>
      <c r="J11462" s="2" t="s">
        <v>4561</v>
      </c>
      <c r="K11462" s="2" t="s">
        <v>15308</v>
      </c>
      <c r="L11462" s="2">
        <f t="shared" si="179"/>
        <v>150</v>
      </c>
    </row>
    <row r="11463" spans="1:12" ht="25" customHeight="1">
      <c r="A11463" s="2" t="s">
        <v>12</v>
      </c>
      <c r="B11463" s="2" t="str">
        <f>HYPERLINK("http://m.12365auto.com/bbs/postcontent.aspx?tID=193402","汽车悬架分哪些类型 各有什么特点")</f>
        <v>汽车悬架分哪些类型 各有什么特点</v>
      </c>
      <c r="C11463" s="2" t="s">
        <v>13</v>
      </c>
      <c r="D11463" s="2" t="s">
        <v>23</v>
      </c>
      <c r="E11463" s="2"/>
      <c r="F11463" s="2" t="str">
        <f>HYPERLINK("http://m.12365auto.com/bbs/postcontent.aspx?tID=193402","http://m.12365auto.com/bbs/postcontent.aspx?tID=193402")</f>
        <v>http://m.12365auto.com/bbs/postcontent.aspx?tID=193402</v>
      </c>
      <c r="G11463" s="2"/>
      <c r="H11463" s="2" t="s">
        <v>15307</v>
      </c>
      <c r="I11463" s="2" t="s">
        <v>15</v>
      </c>
      <c r="J11463" s="2" t="s">
        <v>4561</v>
      </c>
      <c r="K11463" s="2" t="s">
        <v>15308</v>
      </c>
      <c r="L11463" s="2">
        <f t="shared" si="179"/>
        <v>150</v>
      </c>
    </row>
    <row r="11464" spans="1:12" ht="25" customHeight="1">
      <c r="A11464" s="2" t="s">
        <v>12</v>
      </c>
      <c r="B11464" s="2" t="str">
        <f>HYPERLINK("http://bbs.12365auto.com/postcontent.aspx?tID=193403","带有这种功能的车速不要超过40")</f>
        <v>带有这种功能的车速不要超过40</v>
      </c>
      <c r="C11464" s="2" t="s">
        <v>13</v>
      </c>
      <c r="D11464" s="2" t="s">
        <v>12</v>
      </c>
      <c r="E11464" s="2" t="s">
        <v>1393</v>
      </c>
      <c r="F11464" s="2" t="str">
        <f>HYPERLINK("http://bbs.12365auto.com/postcontent.aspx?tID=193403","http://bbs.12365auto.com/postcontent.aspx?tID=193403")</f>
        <v>http://bbs.12365auto.com/postcontent.aspx?tID=193403</v>
      </c>
      <c r="G11464" s="2"/>
      <c r="H11464" s="2" t="s">
        <v>15310</v>
      </c>
      <c r="I11464" s="2" t="s">
        <v>15</v>
      </c>
      <c r="J11464" s="2" t="s">
        <v>4561</v>
      </c>
      <c r="K11464" s="2" t="s">
        <v>15308</v>
      </c>
      <c r="L11464" s="2">
        <f t="shared" si="179"/>
        <v>150</v>
      </c>
    </row>
    <row r="11465" spans="1:12" ht="25" customHeight="1">
      <c r="A11465" s="2" t="s">
        <v>12</v>
      </c>
      <c r="B11465" s="2" t="str">
        <f>HYPERLINK("http://bbs.12365auto.com/postcontent.aspx?tID=193402","汽车悬架分哪些类型 各有什么特点")</f>
        <v>汽车悬架分哪些类型 各有什么特点</v>
      </c>
      <c r="C11465" s="2" t="s">
        <v>13</v>
      </c>
      <c r="D11465" s="2" t="s">
        <v>12</v>
      </c>
      <c r="E11465" s="2" t="s">
        <v>1393</v>
      </c>
      <c r="F11465" s="2" t="str">
        <f>HYPERLINK("http://bbs.12365auto.com/postcontent.aspx?tID=193402","http://bbs.12365auto.com/postcontent.aspx?tID=193402")</f>
        <v>http://bbs.12365auto.com/postcontent.aspx?tID=193402</v>
      </c>
      <c r="G11465" s="2"/>
      <c r="H11465" s="2" t="s">
        <v>15311</v>
      </c>
      <c r="I11465" s="2" t="s">
        <v>15</v>
      </c>
      <c r="J11465" s="2" t="s">
        <v>4561</v>
      </c>
      <c r="K11465" s="2" t="s">
        <v>15308</v>
      </c>
      <c r="L11465" s="2">
        <f t="shared" si="179"/>
        <v>150</v>
      </c>
    </row>
    <row r="11466" spans="1:12" ht="25" customHeight="1">
      <c r="A11466" s="2" t="s">
        <v>12</v>
      </c>
      <c r="B11466" s="2" t="str">
        <f>HYPERLINK("http://bbs.12365auto.com/postcontent.aspx?tId=193401","世界最轻汽车座舱仅86公斤 挑战车门党底线")</f>
        <v>世界最轻汽车座舱仅86公斤 挑战车门党底线</v>
      </c>
      <c r="C11466" s="2" t="s">
        <v>13</v>
      </c>
      <c r="D11466" s="2" t="s">
        <v>12</v>
      </c>
      <c r="E11466" s="2" t="s">
        <v>1397</v>
      </c>
      <c r="F11466" s="2" t="str">
        <f>HYPERLINK("http://bbs.12365auto.com/postcontent.aspx?tId=193401","http://bbs.12365auto.com/postcontent.aspx?tId=193401")</f>
        <v>http://bbs.12365auto.com/postcontent.aspx?tId=193401</v>
      </c>
      <c r="G11466" s="2"/>
      <c r="H11466" s="2" t="s">
        <v>15312</v>
      </c>
      <c r="I11466" s="2" t="s">
        <v>15</v>
      </c>
      <c r="J11466" s="2" t="s">
        <v>4561</v>
      </c>
      <c r="K11466" s="2" t="s">
        <v>15313</v>
      </c>
      <c r="L11466" s="2">
        <f t="shared" si="179"/>
        <v>150</v>
      </c>
    </row>
    <row r="11467" spans="1:12" ht="25" customHeight="1">
      <c r="A11467" s="2" t="s">
        <v>12</v>
      </c>
      <c r="B11467" s="2" t="str">
        <f>HYPERLINK("http://m.12365auto.com/bbs/postcontent.aspx?tID=193399","三缸高配四缸低配 这样的车型你见过吗")</f>
        <v>三缸高配四缸低配 这样的车型你见过吗</v>
      </c>
      <c r="C11467" s="2" t="s">
        <v>13</v>
      </c>
      <c r="D11467" s="2" t="s">
        <v>23</v>
      </c>
      <c r="E11467" s="2"/>
      <c r="F11467" s="2" t="str">
        <f>HYPERLINK("http://m.12365auto.com/bbs/postcontent.aspx?tID=193399","http://m.12365auto.com/bbs/postcontent.aspx?tID=193399")</f>
        <v>http://m.12365auto.com/bbs/postcontent.aspx?tID=193399</v>
      </c>
      <c r="G11467" s="2"/>
      <c r="H11467" s="2" t="s">
        <v>15314</v>
      </c>
      <c r="I11467" s="2" t="s">
        <v>15</v>
      </c>
      <c r="J11467" s="2" t="s">
        <v>4561</v>
      </c>
      <c r="K11467" s="2" t="s">
        <v>15313</v>
      </c>
      <c r="L11467" s="2">
        <f t="shared" si="179"/>
        <v>150</v>
      </c>
    </row>
    <row r="11468" spans="1:12" ht="25" customHeight="1">
      <c r="A11468" s="2" t="s">
        <v>12</v>
      </c>
      <c r="B11468" s="2" t="str">
        <f>HYPERLINK("http://bbs.12365auto.com/postcontent.aspx?tId=193400","涡轮增压器上的废气旁通阀是干什么用的")</f>
        <v>涡轮增压器上的废气旁通阀是干什么用的</v>
      </c>
      <c r="C11468" s="2" t="s">
        <v>13</v>
      </c>
      <c r="D11468" s="2" t="s">
        <v>12</v>
      </c>
      <c r="E11468" s="2" t="s">
        <v>1397</v>
      </c>
      <c r="F11468" s="2" t="str">
        <f>HYPERLINK("http://bbs.12365auto.com/postcontent.aspx?tId=193400","http://bbs.12365auto.com/postcontent.aspx?tId=193400")</f>
        <v>http://bbs.12365auto.com/postcontent.aspx?tId=193400</v>
      </c>
      <c r="G11468" s="2"/>
      <c r="H11468" s="2" t="s">
        <v>15315</v>
      </c>
      <c r="I11468" s="2" t="s">
        <v>15</v>
      </c>
      <c r="J11468" s="2" t="s">
        <v>4561</v>
      </c>
      <c r="K11468" s="2" t="s">
        <v>15313</v>
      </c>
      <c r="L11468" s="2">
        <f t="shared" si="179"/>
        <v>150</v>
      </c>
    </row>
    <row r="11469" spans="1:12" ht="25" customHeight="1">
      <c r="A11469" s="2" t="s">
        <v>12</v>
      </c>
      <c r="B11469" s="2" t="str">
        <f>HYPERLINK("http://bbs.12365auto.com/postcontent.aspx?tId=193399","三缸高配四缸低配 这样的车型你见过吗")</f>
        <v>三缸高配四缸低配 这样的车型你见过吗</v>
      </c>
      <c r="C11469" s="2" t="s">
        <v>13</v>
      </c>
      <c r="D11469" s="2" t="s">
        <v>12</v>
      </c>
      <c r="E11469" s="2" t="s">
        <v>1397</v>
      </c>
      <c r="F11469" s="2" t="str">
        <f>HYPERLINK("http://bbs.12365auto.com/postcontent.aspx?tId=193399","http://bbs.12365auto.com/postcontent.aspx?tId=193399")</f>
        <v>http://bbs.12365auto.com/postcontent.aspx?tId=193399</v>
      </c>
      <c r="G11469" s="2"/>
      <c r="H11469" s="2" t="s">
        <v>15314</v>
      </c>
      <c r="I11469" s="2" t="s">
        <v>15</v>
      </c>
      <c r="J11469" s="2" t="s">
        <v>4561</v>
      </c>
      <c r="K11469" s="2" t="s">
        <v>15313</v>
      </c>
      <c r="L11469" s="2">
        <f t="shared" si="179"/>
        <v>150</v>
      </c>
    </row>
    <row r="11470" spans="1:12" ht="25" customHeight="1">
      <c r="A11470" s="2" t="s">
        <v>12</v>
      </c>
      <c r="B11470" s="2" t="str">
        <f>HYPERLINK("http://m.12365auto.com/bbs/postcontent.aspx?tID=193400","涡轮增压器上的废气旁通阀是干什么用的")</f>
        <v>涡轮增压器上的废气旁通阀是干什么用的</v>
      </c>
      <c r="C11470" s="2" t="s">
        <v>13</v>
      </c>
      <c r="D11470" s="2" t="s">
        <v>23</v>
      </c>
      <c r="E11470" s="2"/>
      <c r="F11470" s="2" t="str">
        <f>HYPERLINK("http://m.12365auto.com/bbs/postcontent.aspx?tID=193400","http://m.12365auto.com/bbs/postcontent.aspx?tID=193400")</f>
        <v>http://m.12365auto.com/bbs/postcontent.aspx?tID=193400</v>
      </c>
      <c r="G11470" s="2"/>
      <c r="H11470" s="2" t="s">
        <v>15315</v>
      </c>
      <c r="I11470" s="2" t="s">
        <v>15</v>
      </c>
      <c r="J11470" s="2" t="s">
        <v>4561</v>
      </c>
      <c r="K11470" s="2" t="s">
        <v>15313</v>
      </c>
      <c r="L11470" s="2">
        <f t="shared" si="179"/>
        <v>150</v>
      </c>
    </row>
    <row r="11471" spans="1:12" ht="25" customHeight="1">
      <c r="A11471" s="2" t="s">
        <v>12</v>
      </c>
      <c r="B11471" s="2" t="str">
        <f>HYPERLINK("http://m.12365auto.com/bbs/postcontent.aspx?tID=193401","世界最轻汽车座舱仅86公斤 挑战车门党底线")</f>
        <v>世界最轻汽车座舱仅86公斤 挑战车门党底线</v>
      </c>
      <c r="C11471" s="2" t="s">
        <v>13</v>
      </c>
      <c r="D11471" s="2" t="s">
        <v>23</v>
      </c>
      <c r="E11471" s="2"/>
      <c r="F11471" s="2" t="str">
        <f>HYPERLINK("http://m.12365auto.com/bbs/postcontent.aspx?tID=193401","http://m.12365auto.com/bbs/postcontent.aspx?tID=193401")</f>
        <v>http://m.12365auto.com/bbs/postcontent.aspx?tID=193401</v>
      </c>
      <c r="G11471" s="2"/>
      <c r="H11471" s="2" t="s">
        <v>15312</v>
      </c>
      <c r="I11471" s="2" t="s">
        <v>15</v>
      </c>
      <c r="J11471" s="2" t="s">
        <v>4561</v>
      </c>
      <c r="K11471" s="2" t="s">
        <v>15313</v>
      </c>
      <c r="L11471" s="2">
        <f t="shared" si="179"/>
        <v>150</v>
      </c>
    </row>
    <row r="11472" spans="1:12" ht="25" customHeight="1">
      <c r="A11472" s="2" t="s">
        <v>12</v>
      </c>
      <c r="B11472" s="2" t="str">
        <f>HYPERLINK("http://bbs.12365auto.com/postcontent.aspx?tID=193399","三缸高配四缸低配 这样的车型你见过吗")</f>
        <v>三缸高配四缸低配 这样的车型你见过吗</v>
      </c>
      <c r="C11472" s="2" t="s">
        <v>13</v>
      </c>
      <c r="D11472" s="2" t="s">
        <v>12</v>
      </c>
      <c r="E11472" s="2" t="s">
        <v>1393</v>
      </c>
      <c r="F11472" s="2" t="str">
        <f>HYPERLINK("http://bbs.12365auto.com/postcontent.aspx?tID=193399","http://bbs.12365auto.com/postcontent.aspx?tID=193399")</f>
        <v>http://bbs.12365auto.com/postcontent.aspx?tID=193399</v>
      </c>
      <c r="G11472" s="2"/>
      <c r="H11472" s="2" t="s">
        <v>15316</v>
      </c>
      <c r="I11472" s="2" t="s">
        <v>15</v>
      </c>
      <c r="J11472" s="2" t="s">
        <v>4561</v>
      </c>
      <c r="K11472" s="2" t="s">
        <v>15313</v>
      </c>
      <c r="L11472" s="2">
        <f t="shared" si="179"/>
        <v>150</v>
      </c>
    </row>
    <row r="11473" spans="1:12" ht="25" customHeight="1">
      <c r="A11473" s="2" t="s">
        <v>12</v>
      </c>
      <c r="B11473" s="2" t="str">
        <f>HYPERLINK("http://bbs.12365auto.com/postcontent.aspx?tID=193400","涡轮增压器上的废气旁通阀是干什么用的")</f>
        <v>涡轮增压器上的废气旁通阀是干什么用的</v>
      </c>
      <c r="C11473" s="2" t="s">
        <v>13</v>
      </c>
      <c r="D11473" s="2" t="s">
        <v>12</v>
      </c>
      <c r="E11473" s="2" t="s">
        <v>1393</v>
      </c>
      <c r="F11473" s="2" t="str">
        <f>HYPERLINK("http://bbs.12365auto.com/postcontent.aspx?tID=193400","http://bbs.12365auto.com/postcontent.aspx?tID=193400")</f>
        <v>http://bbs.12365auto.com/postcontent.aspx?tID=193400</v>
      </c>
      <c r="G11473" s="2"/>
      <c r="H11473" s="2" t="s">
        <v>15317</v>
      </c>
      <c r="I11473" s="2" t="s">
        <v>15</v>
      </c>
      <c r="J11473" s="2" t="s">
        <v>4561</v>
      </c>
      <c r="K11473" s="2" t="s">
        <v>15313</v>
      </c>
      <c r="L11473" s="2">
        <f t="shared" si="179"/>
        <v>150</v>
      </c>
    </row>
    <row r="11474" spans="1:12" ht="25" customHeight="1">
      <c r="A11474" s="2" t="s">
        <v>12</v>
      </c>
      <c r="B11474" s="2" t="str">
        <f>HYPERLINK("http://bbs.12365auto.com/postcontent.aspx?tID=193401","世界最轻汽车座舱仅86公斤 挑战车门党底线")</f>
        <v>世界最轻汽车座舱仅86公斤 挑战车门党底线</v>
      </c>
      <c r="C11474" s="2" t="s">
        <v>13</v>
      </c>
      <c r="D11474" s="2" t="s">
        <v>12</v>
      </c>
      <c r="E11474" s="2" t="s">
        <v>1393</v>
      </c>
      <c r="F11474" s="2" t="str">
        <f>HYPERLINK("http://bbs.12365auto.com/postcontent.aspx?tID=193401","http://bbs.12365auto.com/postcontent.aspx?tID=193401")</f>
        <v>http://bbs.12365auto.com/postcontent.aspx?tID=193401</v>
      </c>
      <c r="G11474" s="2"/>
      <c r="H11474" s="2" t="s">
        <v>15318</v>
      </c>
      <c r="I11474" s="2" t="s">
        <v>15</v>
      </c>
      <c r="J11474" s="2" t="s">
        <v>4561</v>
      </c>
      <c r="K11474" s="2" t="s">
        <v>15313</v>
      </c>
      <c r="L11474" s="2">
        <f t="shared" si="179"/>
        <v>150</v>
      </c>
    </row>
    <row r="11475" spans="1:12" ht="25" customHeight="1">
      <c r="A11475" s="2" t="s">
        <v>12</v>
      </c>
      <c r="B11475" s="2" t="str">
        <f>HYPERLINK("http://bbs.12365auto.com/postcontent.aspx?tId=193398","抗击病毒的“移动堡垒” 为你解析负压救护车")</f>
        <v>抗击病毒的“移动堡垒” 为你解析负压救护车</v>
      </c>
      <c r="C11475" s="2" t="s">
        <v>13</v>
      </c>
      <c r="D11475" s="2" t="s">
        <v>12</v>
      </c>
      <c r="E11475" s="2" t="s">
        <v>1397</v>
      </c>
      <c r="F11475" s="2" t="str">
        <f>HYPERLINK("http://bbs.12365auto.com/postcontent.aspx?tId=193398","http://bbs.12365auto.com/postcontent.aspx?tId=193398")</f>
        <v>http://bbs.12365auto.com/postcontent.aspx?tId=193398</v>
      </c>
      <c r="G11475" s="2"/>
      <c r="H11475" s="2" t="s">
        <v>15319</v>
      </c>
      <c r="I11475" s="2" t="s">
        <v>15</v>
      </c>
      <c r="J11475" s="2" t="s">
        <v>4561</v>
      </c>
      <c r="K11475" s="2" t="s">
        <v>15320</v>
      </c>
      <c r="L11475" s="2">
        <f t="shared" si="179"/>
        <v>150</v>
      </c>
    </row>
    <row r="11476" spans="1:12" ht="25" customHeight="1">
      <c r="A11476" s="2" t="s">
        <v>12</v>
      </c>
      <c r="B11476" s="2" t="str">
        <f>HYPERLINK("http://m.12365auto.com/bbs/postcontent.aspx?tID=193398","抗击病毒的“移动堡垒” 为你解析负压救护车")</f>
        <v>抗击病毒的“移动堡垒” 为你解析负压救护车</v>
      </c>
      <c r="C11476" s="2" t="s">
        <v>13</v>
      </c>
      <c r="D11476" s="2" t="s">
        <v>23</v>
      </c>
      <c r="E11476" s="2"/>
      <c r="F11476" s="2" t="str">
        <f>HYPERLINK("http://m.12365auto.com/bbs/postcontent.aspx?tID=193398","http://m.12365auto.com/bbs/postcontent.aspx?tID=193398")</f>
        <v>http://m.12365auto.com/bbs/postcontent.aspx?tID=193398</v>
      </c>
      <c r="G11476" s="2"/>
      <c r="H11476" s="2" t="s">
        <v>15319</v>
      </c>
      <c r="I11476" s="2" t="s">
        <v>15</v>
      </c>
      <c r="J11476" s="2" t="s">
        <v>4561</v>
      </c>
      <c r="K11476" s="2" t="s">
        <v>15320</v>
      </c>
      <c r="L11476" s="2">
        <f t="shared" si="179"/>
        <v>150</v>
      </c>
    </row>
    <row r="11477" spans="1:12" ht="25" customHeight="1">
      <c r="A11477" s="2" t="s">
        <v>12</v>
      </c>
      <c r="B11477" s="2" t="str">
        <f>HYPERLINK("http://bbs.12365auto.com/postcontent.aspx?tID=193398","抗击病毒的“移动堡垒” 为你解析负压救护车")</f>
        <v>抗击病毒的“移动堡垒” 为你解析负压救护车</v>
      </c>
      <c r="C11477" s="2" t="s">
        <v>13</v>
      </c>
      <c r="D11477" s="2" t="s">
        <v>12</v>
      </c>
      <c r="E11477" s="2" t="s">
        <v>1393</v>
      </c>
      <c r="F11477" s="2" t="str">
        <f>HYPERLINK("http://bbs.12365auto.com/postcontent.aspx?tID=193398","http://bbs.12365auto.com/postcontent.aspx?tID=193398")</f>
        <v>http://bbs.12365auto.com/postcontent.aspx?tID=193398</v>
      </c>
      <c r="G11477" s="2"/>
      <c r="H11477" s="2" t="s">
        <v>15321</v>
      </c>
      <c r="I11477" s="2" t="s">
        <v>15</v>
      </c>
      <c r="J11477" s="2" t="s">
        <v>4561</v>
      </c>
      <c r="K11477" s="2" t="s">
        <v>15320</v>
      </c>
      <c r="L11477" s="2">
        <f t="shared" si="179"/>
        <v>150</v>
      </c>
    </row>
    <row r="11478" spans="1:12" ht="25" customHeight="1">
      <c r="A11478" s="2" t="s">
        <v>12</v>
      </c>
      <c r="B11478" s="2" t="str">
        <f>HYPERLINK("http://bbs.12365auto.com/postcontent.aspx?tId=193396","车载空气净化装置能过滤病毒吗")</f>
        <v>车载空气净化装置能过滤病毒吗</v>
      </c>
      <c r="C11478" s="2" t="s">
        <v>13</v>
      </c>
      <c r="D11478" s="2" t="s">
        <v>12</v>
      </c>
      <c r="E11478" s="2" t="s">
        <v>1397</v>
      </c>
      <c r="F11478" s="2" t="str">
        <f>HYPERLINK("http://bbs.12365auto.com/postcontent.aspx?tId=193396","http://bbs.12365auto.com/postcontent.aspx?tId=193396")</f>
        <v>http://bbs.12365auto.com/postcontent.aspx?tId=193396</v>
      </c>
      <c r="G11478" s="2"/>
      <c r="H11478" s="2" t="s">
        <v>15322</v>
      </c>
      <c r="I11478" s="2" t="s">
        <v>15</v>
      </c>
      <c r="J11478" s="2" t="s">
        <v>4561</v>
      </c>
      <c r="K11478" s="2" t="s">
        <v>15323</v>
      </c>
      <c r="L11478" s="2">
        <f t="shared" si="179"/>
        <v>150</v>
      </c>
    </row>
    <row r="11479" spans="1:12" ht="25" customHeight="1">
      <c r="A11479" s="2" t="s">
        <v>12</v>
      </c>
      <c r="B11479" s="2" t="str">
        <f>HYPERLINK("http://bbs.12365auto.com/postcontent.aspx?tId=193397","让人又爱又恨的AMT变速器为什么消失不见")</f>
        <v>让人又爱又恨的AMT变速器为什么消失不见</v>
      </c>
      <c r="C11479" s="2" t="s">
        <v>13</v>
      </c>
      <c r="D11479" s="2" t="s">
        <v>12</v>
      </c>
      <c r="E11479" s="2" t="s">
        <v>1397</v>
      </c>
      <c r="F11479" s="2" t="str">
        <f>HYPERLINK("http://bbs.12365auto.com/postcontent.aspx?tId=193397","http://bbs.12365auto.com/postcontent.aspx?tId=193397")</f>
        <v>http://bbs.12365auto.com/postcontent.aspx?tId=193397</v>
      </c>
      <c r="G11479" s="2"/>
      <c r="H11479" s="2" t="s">
        <v>15324</v>
      </c>
      <c r="I11479" s="2" t="s">
        <v>15</v>
      </c>
      <c r="J11479" s="2" t="s">
        <v>4561</v>
      </c>
      <c r="K11479" s="2" t="s">
        <v>15323</v>
      </c>
      <c r="L11479" s="2">
        <f t="shared" si="179"/>
        <v>150</v>
      </c>
    </row>
    <row r="11480" spans="1:12" ht="25" customHeight="1">
      <c r="A11480" s="2" t="s">
        <v>12</v>
      </c>
      <c r="B11480" s="2" t="str">
        <f>HYPERLINK("http://m.12365auto.com/bbs/postcontent.aspx?tID=193397","让人又爱又恨的AMT变速器为什么消失不见")</f>
        <v>让人又爱又恨的AMT变速器为什么消失不见</v>
      </c>
      <c r="C11480" s="2" t="s">
        <v>13</v>
      </c>
      <c r="D11480" s="2" t="s">
        <v>23</v>
      </c>
      <c r="E11480" s="2"/>
      <c r="F11480" s="2" t="str">
        <f>HYPERLINK("http://m.12365auto.com/bbs/postcontent.aspx?tID=193397","http://m.12365auto.com/bbs/postcontent.aspx?tID=193397")</f>
        <v>http://m.12365auto.com/bbs/postcontent.aspx?tID=193397</v>
      </c>
      <c r="G11480" s="2"/>
      <c r="H11480" s="2" t="s">
        <v>15324</v>
      </c>
      <c r="I11480" s="2" t="s">
        <v>15</v>
      </c>
      <c r="J11480" s="2" t="s">
        <v>4561</v>
      </c>
      <c r="K11480" s="2" t="s">
        <v>15323</v>
      </c>
      <c r="L11480" s="2">
        <f t="shared" si="179"/>
        <v>150</v>
      </c>
    </row>
    <row r="11481" spans="1:12" ht="25" customHeight="1">
      <c r="A11481" s="2" t="s">
        <v>12</v>
      </c>
      <c r="B11481" s="2" t="str">
        <f>HYPERLINK("http://m.12365auto.com/bbs/postcontent.aspx?tID=193396","车载空气净化装置能过滤病毒吗")</f>
        <v>车载空气净化装置能过滤病毒吗</v>
      </c>
      <c r="C11481" s="2" t="s">
        <v>13</v>
      </c>
      <c r="D11481" s="2" t="s">
        <v>23</v>
      </c>
      <c r="E11481" s="2"/>
      <c r="F11481" s="2" t="str">
        <f>HYPERLINK("http://m.12365auto.com/bbs/postcontent.aspx?tID=193396","http://m.12365auto.com/bbs/postcontent.aspx?tID=193396")</f>
        <v>http://m.12365auto.com/bbs/postcontent.aspx?tID=193396</v>
      </c>
      <c r="G11481" s="2"/>
      <c r="H11481" s="2" t="s">
        <v>15322</v>
      </c>
      <c r="I11481" s="2" t="s">
        <v>15</v>
      </c>
      <c r="J11481" s="2" t="s">
        <v>4561</v>
      </c>
      <c r="K11481" s="2" t="s">
        <v>15323</v>
      </c>
      <c r="L11481" s="2">
        <f t="shared" si="179"/>
        <v>150</v>
      </c>
    </row>
    <row r="11482" spans="1:12" ht="25" customHeight="1">
      <c r="A11482" s="2" t="s">
        <v>12</v>
      </c>
      <c r="B11482" s="2" t="str">
        <f>HYPERLINK("http://bbs.12365auto.com/postcontent.aspx?tID=193396","车载空气净化装置能过滤病毒吗")</f>
        <v>车载空气净化装置能过滤病毒吗</v>
      </c>
      <c r="C11482" s="2" t="s">
        <v>13</v>
      </c>
      <c r="D11482" s="2" t="s">
        <v>12</v>
      </c>
      <c r="E11482" s="2" t="s">
        <v>1393</v>
      </c>
      <c r="F11482" s="2" t="str">
        <f>HYPERLINK("http://bbs.12365auto.com/postcontent.aspx?tID=193396","http://bbs.12365auto.com/postcontent.aspx?tID=193396")</f>
        <v>http://bbs.12365auto.com/postcontent.aspx?tID=193396</v>
      </c>
      <c r="G11482" s="2"/>
      <c r="H11482" s="2" t="s">
        <v>15325</v>
      </c>
      <c r="I11482" s="2" t="s">
        <v>15</v>
      </c>
      <c r="J11482" s="2" t="s">
        <v>4561</v>
      </c>
      <c r="K11482" s="2" t="s">
        <v>15323</v>
      </c>
      <c r="L11482" s="2">
        <f t="shared" si="179"/>
        <v>150</v>
      </c>
    </row>
    <row r="11483" spans="1:12" ht="25" customHeight="1">
      <c r="A11483" s="2" t="s">
        <v>12</v>
      </c>
      <c r="B11483" s="2" t="str">
        <f>HYPERLINK("http://bbs.12365auto.com/postcontent.aspx?tID=193397","让人又爱又恨的AMT变速器为什么消失不见")</f>
        <v>让人又爱又恨的AMT变速器为什么消失不见</v>
      </c>
      <c r="C11483" s="2" t="s">
        <v>13</v>
      </c>
      <c r="D11483" s="2" t="s">
        <v>12</v>
      </c>
      <c r="E11483" s="2" t="s">
        <v>1393</v>
      </c>
      <c r="F11483" s="2" t="str">
        <f>HYPERLINK("http://bbs.12365auto.com/postcontent.aspx?tID=193397","http://bbs.12365auto.com/postcontent.aspx?tID=193397")</f>
        <v>http://bbs.12365auto.com/postcontent.aspx?tID=193397</v>
      </c>
      <c r="G11483" s="2"/>
      <c r="H11483" s="2" t="s">
        <v>15326</v>
      </c>
      <c r="I11483" s="2" t="s">
        <v>15</v>
      </c>
      <c r="J11483" s="2" t="s">
        <v>4561</v>
      </c>
      <c r="K11483" s="2" t="s">
        <v>15323</v>
      </c>
      <c r="L11483" s="2">
        <f t="shared" si="179"/>
        <v>150</v>
      </c>
    </row>
    <row r="11484" spans="1:12" ht="25" customHeight="1">
      <c r="A11484" s="2" t="s">
        <v>12</v>
      </c>
      <c r="B11484" s="2" t="str">
        <f>HYPERLINK("http://bbs.12365auto.com/postcontent.aspx?tId=193395","前驱VS后驱到底有多大差别 选哪个更好")</f>
        <v>前驱VS后驱到底有多大差别 选哪个更好</v>
      </c>
      <c r="C11484" s="2" t="s">
        <v>13</v>
      </c>
      <c r="D11484" s="2" t="s">
        <v>12</v>
      </c>
      <c r="E11484" s="2" t="s">
        <v>1397</v>
      </c>
      <c r="F11484" s="2" t="str">
        <f>HYPERLINK("http://bbs.12365auto.com/postcontent.aspx?tId=193395","http://bbs.12365auto.com/postcontent.aspx?tId=193395")</f>
        <v>http://bbs.12365auto.com/postcontent.aspx?tId=193395</v>
      </c>
      <c r="G11484" s="2"/>
      <c r="H11484" s="2" t="s">
        <v>15327</v>
      </c>
      <c r="I11484" s="2" t="s">
        <v>15</v>
      </c>
      <c r="J11484" s="2" t="s">
        <v>4561</v>
      </c>
      <c r="K11484" s="2" t="s">
        <v>15328</v>
      </c>
      <c r="L11484" s="2">
        <f t="shared" si="179"/>
        <v>150</v>
      </c>
    </row>
    <row r="11485" spans="1:12" ht="25" customHeight="1">
      <c r="A11485" s="2" t="s">
        <v>12</v>
      </c>
      <c r="B11485" s="2" t="str">
        <f>HYPERLINK("http://bbs.12365auto.com/postcontent.aspx?tID=193395","前驱VS后驱到底有多大差别 选哪个更好")</f>
        <v>前驱VS后驱到底有多大差别 选哪个更好</v>
      </c>
      <c r="C11485" s="2" t="s">
        <v>13</v>
      </c>
      <c r="D11485" s="2" t="s">
        <v>12</v>
      </c>
      <c r="E11485" s="2" t="s">
        <v>1393</v>
      </c>
      <c r="F11485" s="2" t="str">
        <f>HYPERLINK("http://bbs.12365auto.com/postcontent.aspx?tID=193395","http://bbs.12365auto.com/postcontent.aspx?tID=193395")</f>
        <v>http://bbs.12365auto.com/postcontent.aspx?tID=193395</v>
      </c>
      <c r="G11485" s="2"/>
      <c r="H11485" s="2" t="s">
        <v>15329</v>
      </c>
      <c r="I11485" s="2" t="s">
        <v>15</v>
      </c>
      <c r="J11485" s="2" t="s">
        <v>4561</v>
      </c>
      <c r="K11485" s="2" t="s">
        <v>15328</v>
      </c>
      <c r="L11485" s="2">
        <f t="shared" si="179"/>
        <v>150</v>
      </c>
    </row>
    <row r="11486" spans="1:12" ht="25" customHeight="1">
      <c r="A11486" s="2" t="s">
        <v>12</v>
      </c>
      <c r="B11486" s="2" t="str">
        <f>HYPERLINK("http://www.12365auto.com/zlts/20200206/446474.shtml","上汽名爵ZS电瓶亏电 中控屏幕不亮")</f>
        <v>上汽名爵ZS电瓶亏电 中控屏幕不亮</v>
      </c>
      <c r="C11486" s="2" t="s">
        <v>13</v>
      </c>
      <c r="D11486" s="2" t="s">
        <v>12</v>
      </c>
      <c r="E11486" s="2" t="s">
        <v>17</v>
      </c>
      <c r="F11486" s="2" t="str">
        <f>HYPERLINK("http://www.12365auto.com/zlts/20200206/446474.shtml","http://www.12365auto.com/zlts/20200206/446474.shtml")</f>
        <v>http://www.12365auto.com/zlts/20200206/446474.shtml</v>
      </c>
      <c r="G11486" s="2"/>
      <c r="H11486" s="2" t="s">
        <v>15330</v>
      </c>
      <c r="I11486" s="2" t="s">
        <v>19</v>
      </c>
      <c r="J11486" s="2" t="s">
        <v>12</v>
      </c>
      <c r="K11486" s="2" t="s">
        <v>15331</v>
      </c>
      <c r="L11486" s="2">
        <f t="shared" si="179"/>
        <v>150</v>
      </c>
    </row>
    <row r="11487" spans="1:12" ht="25" customHeight="1">
      <c r="A11487" s="2" t="s">
        <v>12</v>
      </c>
      <c r="B11487" s="2" t="str">
        <f>HYPERLINK("http://www.12365auto.com/zlts/20200206/446473.shtml","东风日产轩逸自动启停系统失灵希望处理")</f>
        <v>东风日产轩逸自动启停系统失灵希望处理</v>
      </c>
      <c r="C11487" s="2" t="s">
        <v>13</v>
      </c>
      <c r="D11487" s="2" t="s">
        <v>12</v>
      </c>
      <c r="E11487" s="2" t="s">
        <v>17</v>
      </c>
      <c r="F11487" s="2" t="str">
        <f>HYPERLINK("http://www.12365auto.com/zlts/20200206/446473.shtml","http://www.12365auto.com/zlts/20200206/446473.shtml")</f>
        <v>http://www.12365auto.com/zlts/20200206/446473.shtml</v>
      </c>
      <c r="G11487" s="2"/>
      <c r="H11487" s="2" t="s">
        <v>15332</v>
      </c>
      <c r="I11487" s="2" t="s">
        <v>19</v>
      </c>
      <c r="J11487" s="2" t="s">
        <v>12</v>
      </c>
      <c r="K11487" s="2" t="s">
        <v>15333</v>
      </c>
      <c r="L11487" s="2">
        <f t="shared" si="179"/>
        <v>150</v>
      </c>
    </row>
    <row r="11488" spans="1:12" ht="25" customHeight="1">
      <c r="A11488" s="2" t="s">
        <v>12</v>
      </c>
      <c r="B11488" s="2" t="str">
        <f>HYPERLINK("http://m.12365auto.com/xcdg/20200206/417831.shtml","续航490公里 菲斯塔电动版2月18日上市")</f>
        <v>续航490公里 菲斯塔电动版2月18日上市</v>
      </c>
      <c r="C11488" s="2" t="s">
        <v>13</v>
      </c>
      <c r="D11488" s="2" t="s">
        <v>12</v>
      </c>
      <c r="E11488" s="2"/>
      <c r="F11488" s="2" t="str">
        <f>HYPERLINK("http://m.12365auto.com/xcdg/20200206/417831.shtml","http://m.12365auto.com/xcdg/20200206/417831.shtml")</f>
        <v>http://m.12365auto.com/xcdg/20200206/417831.shtml</v>
      </c>
      <c r="G11488" s="2"/>
      <c r="H11488" s="2" t="s">
        <v>15334</v>
      </c>
      <c r="I11488" s="2" t="s">
        <v>19</v>
      </c>
      <c r="J11488" s="2" t="s">
        <v>7923</v>
      </c>
      <c r="K11488" s="2" t="s">
        <v>15335</v>
      </c>
      <c r="L11488" s="2">
        <f t="shared" si="179"/>
        <v>150</v>
      </c>
    </row>
    <row r="11489" spans="1:12" ht="25" customHeight="1">
      <c r="A11489" s="2" t="s">
        <v>12</v>
      </c>
      <c r="B11489" s="2" t="str">
        <f>HYPERLINK("http://www.12365auto.com/xcdg/20200206/417831.shtml","续航490公里 菲斯塔电动版2月18日上市")</f>
        <v>续航490公里 菲斯塔电动版2月18日上市</v>
      </c>
      <c r="C11489" s="2" t="s">
        <v>13</v>
      </c>
      <c r="D11489" s="2" t="s">
        <v>12</v>
      </c>
      <c r="E11489" s="2" t="s">
        <v>216</v>
      </c>
      <c r="F11489" s="2" t="str">
        <f>HYPERLINK("http://www.12365auto.com/xcdg/20200206/417831.shtml","http://www.12365auto.com/xcdg/20200206/417831.shtml")</f>
        <v>http://www.12365auto.com/xcdg/20200206/417831.shtml</v>
      </c>
      <c r="G11489" s="2"/>
      <c r="H11489" s="2" t="s">
        <v>15336</v>
      </c>
      <c r="I11489" s="2" t="s">
        <v>15</v>
      </c>
      <c r="J11489" s="2" t="s">
        <v>12</v>
      </c>
      <c r="K11489" s="2" t="s">
        <v>15335</v>
      </c>
      <c r="L11489" s="2">
        <f t="shared" si="179"/>
        <v>150</v>
      </c>
    </row>
    <row r="11490" spans="1:12" ht="25" customHeight="1">
      <c r="A11490" s="2" t="s">
        <v>12</v>
      </c>
      <c r="B11490" s="2" t="str">
        <f>HYPERLINK("http://www.12365auto.com/xcdg/20200206/417830.shtml","将于3月上市 传祺GS4 Coupe运动范儿十足")</f>
        <v>将于3月上市 传祺GS4 Coupe运动范儿十足</v>
      </c>
      <c r="C11490" s="2" t="s">
        <v>13</v>
      </c>
      <c r="D11490" s="2" t="s">
        <v>12</v>
      </c>
      <c r="E11490" s="2" t="s">
        <v>245</v>
      </c>
      <c r="F11490" s="2" t="str">
        <f>HYPERLINK("http://www.12365auto.com/xcdg/20200206/417830.shtml","http://www.12365auto.com/xcdg/20200206/417830.shtml")</f>
        <v>http://www.12365auto.com/xcdg/20200206/417830.shtml</v>
      </c>
      <c r="G11490" s="2"/>
      <c r="H11490" s="2" t="s">
        <v>15337</v>
      </c>
      <c r="I11490" s="2" t="s">
        <v>19</v>
      </c>
      <c r="J11490" s="2" t="s">
        <v>12</v>
      </c>
      <c r="K11490" s="2" t="s">
        <v>15338</v>
      </c>
      <c r="L11490" s="2">
        <f t="shared" si="179"/>
        <v>150</v>
      </c>
    </row>
    <row r="11491" spans="1:12" ht="25" customHeight="1">
      <c r="A11491" s="2" t="s">
        <v>12</v>
      </c>
      <c r="B11491" s="2" t="str">
        <f>HYPERLINK("http://m.12365auto.com/xcdg/20200206/417830.shtml","将于3月上市 传祺GS4 Coupe运动范儿十足")</f>
        <v>将于3月上市 传祺GS4 Coupe运动范儿十足</v>
      </c>
      <c r="C11491" s="2" t="s">
        <v>13</v>
      </c>
      <c r="D11491" s="2" t="s">
        <v>12</v>
      </c>
      <c r="E11491" s="2"/>
      <c r="F11491" s="2" t="str">
        <f>HYPERLINK("http://m.12365auto.com/xcdg/20200206/417830.shtml","http://m.12365auto.com/xcdg/20200206/417830.shtml")</f>
        <v>http://m.12365auto.com/xcdg/20200206/417830.shtml</v>
      </c>
      <c r="G11491" s="2"/>
      <c r="H11491" s="2" t="s">
        <v>15339</v>
      </c>
      <c r="I11491" s="2" t="s">
        <v>19</v>
      </c>
      <c r="J11491" s="2" t="s">
        <v>7923</v>
      </c>
      <c r="K11491" s="2" t="s">
        <v>15338</v>
      </c>
      <c r="L11491" s="2">
        <f t="shared" si="179"/>
        <v>150</v>
      </c>
    </row>
    <row r="11492" spans="1:12" ht="25" customHeight="1">
      <c r="A11492" s="2" t="s">
        <v>12</v>
      </c>
      <c r="B11492" s="2" t="str">
        <f>HYPERLINK("http://www.12365auto.com/xcdg/20200206/417829.shtml","续航605公里 长安E-Rock预计于3月上市")</f>
        <v>续航605公里 长安E-Rock预计于3月上市</v>
      </c>
      <c r="C11492" s="2" t="s">
        <v>13</v>
      </c>
      <c r="D11492" s="2" t="s">
        <v>12</v>
      </c>
      <c r="E11492" s="2" t="s">
        <v>245</v>
      </c>
      <c r="F11492" s="2" t="str">
        <f>HYPERLINK("http://www.12365auto.com/xcdg/20200206/417829.shtml","http://www.12365auto.com/xcdg/20200206/417829.shtml")</f>
        <v>http://www.12365auto.com/xcdg/20200206/417829.shtml</v>
      </c>
      <c r="G11492" s="2"/>
      <c r="H11492" s="2" t="s">
        <v>15340</v>
      </c>
      <c r="I11492" s="2" t="s">
        <v>19</v>
      </c>
      <c r="J11492" s="2" t="s">
        <v>12</v>
      </c>
      <c r="K11492" s="2" t="s">
        <v>15341</v>
      </c>
      <c r="L11492" s="2">
        <f t="shared" si="179"/>
        <v>150</v>
      </c>
    </row>
    <row r="11493" spans="1:12" ht="25" customHeight="1">
      <c r="A11493" s="2" t="s">
        <v>12</v>
      </c>
      <c r="B11493" s="2" t="str">
        <f>HYPERLINK("http://m.12365auto.com/xcdg/20200206/417829.shtml","续航605公里 长安E-Rock预计于3月上市")</f>
        <v>续航605公里 长安E-Rock预计于3月上市</v>
      </c>
      <c r="C11493" s="2" t="s">
        <v>13</v>
      </c>
      <c r="D11493" s="2" t="s">
        <v>12</v>
      </c>
      <c r="E11493" s="2"/>
      <c r="F11493" s="2" t="str">
        <f>HYPERLINK("http://m.12365auto.com/xcdg/20200206/417829.shtml","http://m.12365auto.com/xcdg/20200206/417829.shtml")</f>
        <v>http://m.12365auto.com/xcdg/20200206/417829.shtml</v>
      </c>
      <c r="G11493" s="2"/>
      <c r="H11493" s="2" t="s">
        <v>15342</v>
      </c>
      <c r="I11493" s="2" t="s">
        <v>19</v>
      </c>
      <c r="J11493" s="2" t="s">
        <v>7923</v>
      </c>
      <c r="K11493" s="2" t="s">
        <v>15341</v>
      </c>
      <c r="L11493" s="2">
        <f t="shared" si="179"/>
        <v>150</v>
      </c>
    </row>
    <row r="11494" spans="1:12" ht="25" customHeight="1">
      <c r="A11494" s="2" t="s">
        <v>12</v>
      </c>
      <c r="B11494" s="2" t="str">
        <f>HYPERLINK("http://www.12365auto.com/xcdg/20200206/417828.shtml","增配座椅加热 Jeep全系列推出北方版车型")</f>
        <v>增配座椅加热 Jeep全系列推出北方版车型</v>
      </c>
      <c r="C11494" s="2" t="s">
        <v>13</v>
      </c>
      <c r="D11494" s="2" t="s">
        <v>12</v>
      </c>
      <c r="E11494" s="2" t="s">
        <v>216</v>
      </c>
      <c r="F11494" s="2" t="str">
        <f>HYPERLINK("http://www.12365auto.com/xcdg/20200206/417828.shtml","http://www.12365auto.com/xcdg/20200206/417828.shtml")</f>
        <v>http://www.12365auto.com/xcdg/20200206/417828.shtml</v>
      </c>
      <c r="G11494" s="2"/>
      <c r="H11494" s="2" t="s">
        <v>15343</v>
      </c>
      <c r="I11494" s="2" t="s">
        <v>15</v>
      </c>
      <c r="J11494" s="2" t="s">
        <v>12</v>
      </c>
      <c r="K11494" s="2" t="s">
        <v>15344</v>
      </c>
      <c r="L11494" s="2">
        <f t="shared" si="179"/>
        <v>150</v>
      </c>
    </row>
    <row r="11495" spans="1:12" ht="25" customHeight="1">
      <c r="A11495" s="2" t="s">
        <v>12</v>
      </c>
      <c r="B11495" s="2" t="str">
        <f>HYPERLINK("http://m.12365auto.com/xcdg/20200206/417828.shtml","增配座椅加热 Jeep全系列推出北方版车型")</f>
        <v>增配座椅加热 Jeep全系列推出北方版车型</v>
      </c>
      <c r="C11495" s="2" t="s">
        <v>13</v>
      </c>
      <c r="D11495" s="2" t="s">
        <v>12</v>
      </c>
      <c r="E11495" s="2"/>
      <c r="F11495" s="2" t="str">
        <f>HYPERLINK("http://m.12365auto.com/xcdg/20200206/417828.shtml","http://m.12365auto.com/xcdg/20200206/417828.shtml")</f>
        <v>http://m.12365auto.com/xcdg/20200206/417828.shtml</v>
      </c>
      <c r="G11495" s="2"/>
      <c r="H11495" s="2" t="s">
        <v>15345</v>
      </c>
      <c r="I11495" s="2" t="s">
        <v>19</v>
      </c>
      <c r="J11495" s="2" t="s">
        <v>1558</v>
      </c>
      <c r="K11495" s="2" t="s">
        <v>15344</v>
      </c>
      <c r="L11495" s="2">
        <f t="shared" si="179"/>
        <v>150</v>
      </c>
    </row>
    <row r="11496" spans="1:12" ht="25" customHeight="1">
      <c r="A11496" s="2" t="s">
        <v>12</v>
      </c>
      <c r="B11496" s="2" t="str">
        <f>HYPERLINK("http://www.12365auto.com/xcdg/20200206/417827.shtml","汉兰达瑟瑟发抖 雪佛兰开拓者上半年上市")</f>
        <v>汉兰达瑟瑟发抖 雪佛兰开拓者上半年上市</v>
      </c>
      <c r="C11496" s="2" t="s">
        <v>13</v>
      </c>
      <c r="D11496" s="2" t="s">
        <v>12</v>
      </c>
      <c r="E11496" s="2" t="s">
        <v>216</v>
      </c>
      <c r="F11496" s="2" t="str">
        <f>HYPERLINK("http://www.12365auto.com/xcdg/20200206/417827.shtml","http://www.12365auto.com/xcdg/20200206/417827.shtml")</f>
        <v>http://www.12365auto.com/xcdg/20200206/417827.shtml</v>
      </c>
      <c r="G11496" s="2"/>
      <c r="H11496" s="2" t="s">
        <v>15346</v>
      </c>
      <c r="I11496" s="2" t="s">
        <v>15</v>
      </c>
      <c r="J11496" s="2" t="s">
        <v>12</v>
      </c>
      <c r="K11496" s="2" t="s">
        <v>15347</v>
      </c>
      <c r="L11496" s="2">
        <f t="shared" si="179"/>
        <v>150</v>
      </c>
    </row>
    <row r="11497" spans="1:12" ht="25" customHeight="1">
      <c r="A11497" s="2" t="s">
        <v>12</v>
      </c>
      <c r="B11497" s="2" t="str">
        <f>HYPERLINK("http://m.12365auto.com/xcdg/20200206/417827.shtml","汉兰达瑟瑟发抖 雪佛兰开拓者上半年上市")</f>
        <v>汉兰达瑟瑟发抖 雪佛兰开拓者上半年上市</v>
      </c>
      <c r="C11497" s="2" t="s">
        <v>13</v>
      </c>
      <c r="D11497" s="2" t="s">
        <v>12</v>
      </c>
      <c r="E11497" s="2"/>
      <c r="F11497" s="2" t="str">
        <f>HYPERLINK("http://m.12365auto.com/xcdg/20200206/417827.shtml","http://m.12365auto.com/xcdg/20200206/417827.shtml")</f>
        <v>http://m.12365auto.com/xcdg/20200206/417827.shtml</v>
      </c>
      <c r="G11497" s="2"/>
      <c r="H11497" s="2" t="s">
        <v>15348</v>
      </c>
      <c r="I11497" s="2" t="s">
        <v>19</v>
      </c>
      <c r="J11497" s="2" t="s">
        <v>7937</v>
      </c>
      <c r="K11497" s="2" t="s">
        <v>15347</v>
      </c>
      <c r="L11497" s="2">
        <f t="shared" si="179"/>
        <v>150</v>
      </c>
    </row>
    <row r="11498" spans="1:12" ht="25" customHeight="1">
      <c r="A11498" s="2" t="s">
        <v>12</v>
      </c>
      <c r="B11498" s="2" t="str">
        <f>HYPERLINK("http://www.12365auto.com/xcdg/20200206/417826.shtml","阿斯顿马丁日内瓦阵容曝光 要过去还是未来")</f>
        <v>阿斯顿马丁日内瓦阵容曝光 要过去还是未来</v>
      </c>
      <c r="C11498" s="2" t="s">
        <v>13</v>
      </c>
      <c r="D11498" s="2" t="s">
        <v>12</v>
      </c>
      <c r="E11498" s="2" t="s">
        <v>216</v>
      </c>
      <c r="F11498" s="2" t="str">
        <f>HYPERLINK("http://www.12365auto.com/xcdg/20200206/417826.shtml","http://www.12365auto.com/xcdg/20200206/417826.shtml")</f>
        <v>http://www.12365auto.com/xcdg/20200206/417826.shtml</v>
      </c>
      <c r="G11498" s="2"/>
      <c r="H11498" s="2" t="s">
        <v>15349</v>
      </c>
      <c r="I11498" s="2" t="s">
        <v>15</v>
      </c>
      <c r="J11498" s="2" t="s">
        <v>12</v>
      </c>
      <c r="K11498" s="2" t="s">
        <v>15350</v>
      </c>
      <c r="L11498" s="2">
        <f t="shared" si="179"/>
        <v>150</v>
      </c>
    </row>
    <row r="11499" spans="1:12" ht="25" customHeight="1">
      <c r="A11499" s="2" t="s">
        <v>12</v>
      </c>
      <c r="B11499" s="2" t="str">
        <f>HYPERLINK("http://m.12365auto.com/xcdg/20200206/417826.shtml","阿斯顿马丁日内瓦阵容曝光 要过去还是未来")</f>
        <v>阿斯顿马丁日内瓦阵容曝光 要过去还是未来</v>
      </c>
      <c r="C11499" s="2" t="s">
        <v>13</v>
      </c>
      <c r="D11499" s="2" t="s">
        <v>12</v>
      </c>
      <c r="E11499" s="2"/>
      <c r="F11499" s="2" t="str">
        <f>HYPERLINK("http://m.12365auto.com/xcdg/20200206/417826.shtml","http://m.12365auto.com/xcdg/20200206/417826.shtml")</f>
        <v>http://m.12365auto.com/xcdg/20200206/417826.shtml</v>
      </c>
      <c r="G11499" s="2"/>
      <c r="H11499" s="2" t="s">
        <v>15351</v>
      </c>
      <c r="I11499" s="2" t="s">
        <v>19</v>
      </c>
      <c r="J11499" s="2" t="s">
        <v>4514</v>
      </c>
      <c r="K11499" s="2" t="s">
        <v>15350</v>
      </c>
      <c r="L11499" s="2">
        <f t="shared" si="179"/>
        <v>150</v>
      </c>
    </row>
    <row r="11500" spans="1:12" ht="25" customHeight="1">
      <c r="A11500" s="2" t="s">
        <v>12</v>
      </c>
      <c r="B11500" s="2" t="str">
        <f>HYPERLINK("http://www.12365auto.com/zlts/20200206/446468.shtml","车门生锈，后轮叶子板生锈")</f>
        <v>车门生锈，后轮叶子板生锈</v>
      </c>
      <c r="C11500" s="2" t="s">
        <v>13</v>
      </c>
      <c r="D11500" s="2" t="s">
        <v>12</v>
      </c>
      <c r="E11500" s="2"/>
      <c r="F11500" s="2" t="str">
        <f>HYPERLINK("http://www.12365auto.com/zlts/20200206/446468.shtml","http://www.12365auto.com/zlts/20200206/446468.shtml")</f>
        <v>http://www.12365auto.com/zlts/20200206/446468.shtml</v>
      </c>
      <c r="G11500" s="2"/>
      <c r="H11500" s="2" t="s">
        <v>15353</v>
      </c>
      <c r="I11500" s="2" t="s">
        <v>15</v>
      </c>
      <c r="J11500" s="2" t="s">
        <v>12</v>
      </c>
      <c r="K11500" s="2" t="s">
        <v>15352</v>
      </c>
      <c r="L11500" s="2">
        <f t="shared" si="179"/>
        <v>90</v>
      </c>
    </row>
    <row r="11501" spans="1:12" ht="25" customHeight="1">
      <c r="A11501" s="2" t="s">
        <v>12</v>
      </c>
      <c r="B11501" s="2" t="str">
        <f>HYPERLINK("http://www.12365auto.com/news/20200206/417825.shtml","包展馆买工厂 长城为何“盯”上了印度？")</f>
        <v>包展馆买工厂 长城为何“盯”上了印度？</v>
      </c>
      <c r="C11501" s="2" t="s">
        <v>13</v>
      </c>
      <c r="D11501" s="2" t="s">
        <v>12</v>
      </c>
      <c r="E11501" s="2" t="s">
        <v>276</v>
      </c>
      <c r="F11501" s="2" t="str">
        <f>HYPERLINK("http://www.12365auto.com/news/20200206/417825.shtml","http://www.12365auto.com/news/20200206/417825.shtml")</f>
        <v>http://www.12365auto.com/news/20200206/417825.shtml</v>
      </c>
      <c r="G11501" s="2"/>
      <c r="H11501" s="2" t="s">
        <v>15354</v>
      </c>
      <c r="I11501" s="2" t="s">
        <v>15</v>
      </c>
      <c r="J11501" s="2" t="s">
        <v>12</v>
      </c>
      <c r="K11501" s="2" t="s">
        <v>15355</v>
      </c>
      <c r="L11501" s="2">
        <f t="shared" si="179"/>
        <v>150</v>
      </c>
    </row>
    <row r="11502" spans="1:12" ht="25" customHeight="1">
      <c r="A11502" s="2" t="s">
        <v>12</v>
      </c>
      <c r="B11502" s="2" t="str">
        <f>HYPERLINK("http://m.12365auto.com/news/20200206/417825.shtml","包展馆买工厂 长城为何“盯”上了印度？")</f>
        <v>包展馆买工厂 长城为何“盯”上了印度？</v>
      </c>
      <c r="C11502" s="2" t="s">
        <v>13</v>
      </c>
      <c r="D11502" s="2" t="s">
        <v>12</v>
      </c>
      <c r="E11502" s="2"/>
      <c r="F11502" s="2" t="str">
        <f>HYPERLINK("http://m.12365auto.com/news/20200206/417825.shtml","http://m.12365auto.com/news/20200206/417825.shtml")</f>
        <v>http://m.12365auto.com/news/20200206/417825.shtml</v>
      </c>
      <c r="G11502" s="2"/>
      <c r="H11502" s="2" t="s">
        <v>15356</v>
      </c>
      <c r="I11502" s="2" t="s">
        <v>19</v>
      </c>
      <c r="J11502" s="2" t="s">
        <v>12</v>
      </c>
      <c r="K11502" s="2" t="s">
        <v>15355</v>
      </c>
      <c r="L11502" s="2">
        <f t="shared" si="179"/>
        <v>150</v>
      </c>
    </row>
    <row r="11503" spans="1:12" ht="25" customHeight="1">
      <c r="A11503" s="2" t="s">
        <v>12</v>
      </c>
      <c r="B11503" s="2" t="str">
        <f>HYPERLINK("http://www.12365auto.com/zlts/20200206/446469.shtml","宝骏560主驾座椅塌陷影响正常使用")</f>
        <v>宝骏560主驾座椅塌陷影响正常使用</v>
      </c>
      <c r="C11503" s="2" t="s">
        <v>13</v>
      </c>
      <c r="D11503" s="2" t="s">
        <v>12</v>
      </c>
      <c r="E11503" s="2" t="s">
        <v>17</v>
      </c>
      <c r="F11503" s="2" t="str">
        <f>HYPERLINK("http://www.12365auto.com/zlts/20200206/446469.shtml","http://www.12365auto.com/zlts/20200206/446469.shtml")</f>
        <v>http://www.12365auto.com/zlts/20200206/446469.shtml</v>
      </c>
      <c r="G11503" s="2"/>
      <c r="H11503" s="2" t="s">
        <v>15357</v>
      </c>
      <c r="I11503" s="2" t="s">
        <v>19</v>
      </c>
      <c r="J11503" s="2" t="s">
        <v>12</v>
      </c>
      <c r="K11503" s="2" t="s">
        <v>15358</v>
      </c>
      <c r="L11503" s="2">
        <f t="shared" si="179"/>
        <v>150</v>
      </c>
    </row>
    <row r="11504" spans="1:12" ht="25" customHeight="1">
      <c r="A11504" s="2" t="s">
        <v>12</v>
      </c>
      <c r="B11504" s="2" t="str">
        <f>HYPERLINK("http://m.12365auto.com/xcdg/20200206/417824.shtml","拳打X6 脚踢卡宴Coupe 奥迪Q8值不值？")</f>
        <v>拳打X6 脚踢卡宴Coupe 奥迪Q8值不值？</v>
      </c>
      <c r="C11504" s="2" t="s">
        <v>13</v>
      </c>
      <c r="D11504" s="2" t="s">
        <v>12</v>
      </c>
      <c r="E11504" s="2"/>
      <c r="F11504" s="2" t="str">
        <f>HYPERLINK("http://m.12365auto.com/xcdg/20200206/417824.shtml","http://m.12365auto.com/xcdg/20200206/417824.shtml")</f>
        <v>http://m.12365auto.com/xcdg/20200206/417824.shtml</v>
      </c>
      <c r="G11504" s="2"/>
      <c r="H11504" s="2" t="s">
        <v>15359</v>
      </c>
      <c r="I11504" s="2" t="s">
        <v>19</v>
      </c>
      <c r="J11504" s="2" t="s">
        <v>12</v>
      </c>
      <c r="K11504" s="2" t="s">
        <v>15358</v>
      </c>
      <c r="L11504" s="2">
        <f t="shared" si="179"/>
        <v>150</v>
      </c>
    </row>
    <row r="11505" spans="1:12" ht="25" customHeight="1">
      <c r="A11505" s="2" t="s">
        <v>12</v>
      </c>
      <c r="B11505" s="2" t="str">
        <f>HYPERLINK("http://m.12365auto.com/news/20200206/417823.shtml","东风风行捐款100万 并不设2月销售目标")</f>
        <v>东风风行捐款100万 并不设2月销售目标</v>
      </c>
      <c r="C11505" s="2" t="s">
        <v>13</v>
      </c>
      <c r="D11505" s="2" t="s">
        <v>12</v>
      </c>
      <c r="E11505" s="2"/>
      <c r="F11505" s="2" t="str">
        <f>HYPERLINK("http://m.12365auto.com/news/20200206/417823.shtml","http://m.12365auto.com/news/20200206/417823.shtml")</f>
        <v>http://m.12365auto.com/news/20200206/417823.shtml</v>
      </c>
      <c r="G11505" s="2"/>
      <c r="H11505" s="2" t="s">
        <v>15360</v>
      </c>
      <c r="I11505" s="2" t="s">
        <v>19</v>
      </c>
      <c r="J11505" s="2" t="s">
        <v>9118</v>
      </c>
      <c r="K11505" s="2" t="s">
        <v>15361</v>
      </c>
      <c r="L11505" s="2">
        <f t="shared" si="179"/>
        <v>150</v>
      </c>
    </row>
    <row r="11506" spans="1:12" ht="25" customHeight="1">
      <c r="A11506" s="2" t="s">
        <v>12</v>
      </c>
      <c r="B11506" s="2" t="str">
        <f>HYPERLINK("http://www.12365auto.com/news/20200206/417823.shtml","东风风行捐款100万 并不设2月销售目标")</f>
        <v>东风风行捐款100万 并不设2月销售目标</v>
      </c>
      <c r="C11506" s="2" t="s">
        <v>13</v>
      </c>
      <c r="D11506" s="2" t="s">
        <v>12</v>
      </c>
      <c r="E11506" s="2" t="s">
        <v>276</v>
      </c>
      <c r="F11506" s="2" t="str">
        <f>HYPERLINK("http://www.12365auto.com/news/20200206/417823.shtml","http://www.12365auto.com/news/20200206/417823.shtml")</f>
        <v>http://www.12365auto.com/news/20200206/417823.shtml</v>
      </c>
      <c r="G11506" s="2"/>
      <c r="H11506" s="2" t="s">
        <v>15362</v>
      </c>
      <c r="I11506" s="2" t="s">
        <v>15</v>
      </c>
      <c r="J11506" s="2" t="s">
        <v>12</v>
      </c>
      <c r="K11506" s="2" t="s">
        <v>15361</v>
      </c>
      <c r="L11506" s="2">
        <f t="shared" si="179"/>
        <v>150</v>
      </c>
    </row>
    <row r="11507" spans="1:12" ht="25" customHeight="1">
      <c r="A11507" s="2" t="s">
        <v>12</v>
      </c>
      <c r="B11507" s="2" t="str">
        <f>HYPERLINK("http://m.12365auto.com/xcdg/20200206/417822.shtml","没钱就不谈情怀 直降10万买汉兰达还是奥迪")</f>
        <v>没钱就不谈情怀 直降10万买汉兰达还是奥迪</v>
      </c>
      <c r="C11507" s="2" t="s">
        <v>13</v>
      </c>
      <c r="D11507" s="2" t="s">
        <v>12</v>
      </c>
      <c r="E11507" s="2"/>
      <c r="F11507" s="2" t="str">
        <f>HYPERLINK("http://m.12365auto.com/xcdg/20200206/417822.shtml","http://m.12365auto.com/xcdg/20200206/417822.shtml")</f>
        <v>http://m.12365auto.com/xcdg/20200206/417822.shtml</v>
      </c>
      <c r="G11507" s="2"/>
      <c r="H11507" s="2" t="s">
        <v>15363</v>
      </c>
      <c r="I11507" s="2" t="s">
        <v>19</v>
      </c>
      <c r="J11507" s="2" t="s">
        <v>8579</v>
      </c>
      <c r="K11507" s="2" t="s">
        <v>15364</v>
      </c>
      <c r="L11507" s="2">
        <f t="shared" si="179"/>
        <v>150</v>
      </c>
    </row>
    <row r="11508" spans="1:12" ht="25" customHeight="1">
      <c r="A11508" s="2" t="s">
        <v>12</v>
      </c>
      <c r="B11508" s="2" t="str">
        <f>HYPERLINK("http://m.12365auto.com/xcdg/20200206/417821.shtml","别总盯着Q5L和X3 直降7万的QX50不香吗？")</f>
        <v>别总盯着Q5L和X3 直降7万的QX50不香吗？</v>
      </c>
      <c r="C11508" s="2" t="s">
        <v>13</v>
      </c>
      <c r="D11508" s="2" t="s">
        <v>12</v>
      </c>
      <c r="E11508" s="2"/>
      <c r="F11508" s="2" t="str">
        <f>HYPERLINK("http://m.12365auto.com/xcdg/20200206/417821.shtml","http://m.12365auto.com/xcdg/20200206/417821.shtml")</f>
        <v>http://m.12365auto.com/xcdg/20200206/417821.shtml</v>
      </c>
      <c r="G11508" s="2"/>
      <c r="H11508" s="2" t="s">
        <v>15365</v>
      </c>
      <c r="I11508" s="2" t="s">
        <v>19</v>
      </c>
      <c r="J11508" s="2" t="s">
        <v>2741</v>
      </c>
      <c r="K11508" s="2" t="s">
        <v>15366</v>
      </c>
      <c r="L11508" s="2">
        <f t="shared" si="179"/>
        <v>150</v>
      </c>
    </row>
    <row r="11509" spans="1:12" ht="25" customHeight="1">
      <c r="A11509" s="2" t="s">
        <v>12</v>
      </c>
      <c r="B11509" s="2" t="str">
        <f>HYPERLINK("http://m.12365auto.com/parts/20200206/417820.shtml","宝马X1有必要上四驱？体验前驱/四驱版X1")</f>
        <v>宝马X1有必要上四驱？体验前驱/四驱版X1</v>
      </c>
      <c r="C11509" s="2" t="s">
        <v>13</v>
      </c>
      <c r="D11509" s="2" t="s">
        <v>12</v>
      </c>
      <c r="E11509" s="2"/>
      <c r="F11509" s="2" t="str">
        <f>HYPERLINK("http://m.12365auto.com/parts/20200206/417820.shtml","http://m.12365auto.com/parts/20200206/417820.shtml")</f>
        <v>http://m.12365auto.com/parts/20200206/417820.shtml</v>
      </c>
      <c r="G11509" s="2"/>
      <c r="H11509" s="2" t="s">
        <v>15367</v>
      </c>
      <c r="I11509" s="2" t="s">
        <v>19</v>
      </c>
      <c r="J11509" s="2" t="s">
        <v>1009</v>
      </c>
      <c r="K11509" s="2" t="s">
        <v>15368</v>
      </c>
      <c r="L11509" s="2">
        <f t="shared" si="179"/>
        <v>150</v>
      </c>
    </row>
    <row r="11510" spans="1:12" ht="25" customHeight="1">
      <c r="A11510" s="2" t="s">
        <v>12</v>
      </c>
      <c r="B11510" s="2" t="str">
        <f>HYPERLINK("http://www.12365auto.com/parts/20200206/417820.shtml","宝马X1有必要上四驱？体验前驱/四驱版X1")</f>
        <v>宝马X1有必要上四驱？体验前驱/四驱版X1</v>
      </c>
      <c r="C11510" s="2" t="s">
        <v>13</v>
      </c>
      <c r="D11510" s="2" t="s">
        <v>12</v>
      </c>
      <c r="E11510" s="2" t="s">
        <v>240</v>
      </c>
      <c r="F11510" s="2" t="str">
        <f>HYPERLINK("http://www.12365auto.com/parts/20200206/417820.shtml","http://www.12365auto.com/parts/20200206/417820.shtml")</f>
        <v>http://www.12365auto.com/parts/20200206/417820.shtml</v>
      </c>
      <c r="G11510" s="2"/>
      <c r="H11510" s="2" t="s">
        <v>15369</v>
      </c>
      <c r="I11510" s="2" t="s">
        <v>15</v>
      </c>
      <c r="J11510" s="2" t="s">
        <v>12</v>
      </c>
      <c r="K11510" s="2" t="s">
        <v>15368</v>
      </c>
      <c r="L11510" s="2">
        <f t="shared" si="179"/>
        <v>150</v>
      </c>
    </row>
    <row r="11511" spans="1:12" ht="25" customHeight="1">
      <c r="A11511" s="2" t="s">
        <v>12</v>
      </c>
      <c r="B11511" s="2" t="str">
        <f>HYPERLINK("http://m.12365auto.com/news/20200206/417819.shtml","意料之外情理之中 沃尔沃全球销量罕见回落")</f>
        <v>意料之外情理之中 沃尔沃全球销量罕见回落</v>
      </c>
      <c r="C11511" s="2" t="s">
        <v>13</v>
      </c>
      <c r="D11511" s="2" t="s">
        <v>12</v>
      </c>
      <c r="E11511" s="2"/>
      <c r="F11511" s="2" t="str">
        <f>HYPERLINK("http://m.12365auto.com/news/20200206/417819.shtml","http://m.12365auto.com/news/20200206/417819.shtml")</f>
        <v>http://m.12365auto.com/news/20200206/417819.shtml</v>
      </c>
      <c r="G11511" s="2"/>
      <c r="H11511" s="2" t="s">
        <v>15370</v>
      </c>
      <c r="I11511" s="2" t="s">
        <v>19</v>
      </c>
      <c r="J11511" s="2" t="s">
        <v>1017</v>
      </c>
      <c r="K11511" s="2" t="s">
        <v>15371</v>
      </c>
      <c r="L11511" s="2">
        <f t="shared" si="179"/>
        <v>150</v>
      </c>
    </row>
    <row r="11512" spans="1:12" ht="25" customHeight="1">
      <c r="A11512" s="2" t="s">
        <v>12</v>
      </c>
      <c r="B11512" s="2" t="str">
        <f>HYPERLINK("http://www.12365auto.com/news/20200206/417819.shtml","意料之外情理之中 沃尔沃全球销量罕见回落")</f>
        <v>意料之外情理之中 沃尔沃全球销量罕见回落</v>
      </c>
      <c r="C11512" s="2" t="s">
        <v>13</v>
      </c>
      <c r="D11512" s="2" t="s">
        <v>12</v>
      </c>
      <c r="E11512" s="2" t="s">
        <v>276</v>
      </c>
      <c r="F11512" s="2" t="str">
        <f>HYPERLINK("http://www.12365auto.com/news/20200206/417819.shtml","http://www.12365auto.com/news/20200206/417819.shtml")</f>
        <v>http://www.12365auto.com/news/20200206/417819.shtml</v>
      </c>
      <c r="G11512" s="2"/>
      <c r="H11512" s="2" t="s">
        <v>15372</v>
      </c>
      <c r="I11512" s="2" t="s">
        <v>15</v>
      </c>
      <c r="J11512" s="2" t="s">
        <v>12</v>
      </c>
      <c r="K11512" s="2" t="s">
        <v>15371</v>
      </c>
      <c r="L11512" s="2">
        <f t="shared" si="179"/>
        <v>150</v>
      </c>
    </row>
    <row r="11513" spans="1:12" ht="25" customHeight="1">
      <c r="A11513" s="2" t="s">
        <v>12</v>
      </c>
      <c r="B11513" s="2" t="str">
        <f>HYPERLINK("http://m.12365auto.com/xcdg/20200206/417818.shtml","十年老将拿什么迎战对手？名爵6竞争力分析")</f>
        <v>十年老将拿什么迎战对手？名爵6竞争力分析</v>
      </c>
      <c r="C11513" s="2" t="s">
        <v>13</v>
      </c>
      <c r="D11513" s="2" t="s">
        <v>12</v>
      </c>
      <c r="E11513" s="2"/>
      <c r="F11513" s="2" t="str">
        <f>HYPERLINK("http://m.12365auto.com/xcdg/20200206/417818.shtml","http://m.12365auto.com/xcdg/20200206/417818.shtml")</f>
        <v>http://m.12365auto.com/xcdg/20200206/417818.shtml</v>
      </c>
      <c r="G11513" s="2"/>
      <c r="H11513" s="2" t="s">
        <v>15373</v>
      </c>
      <c r="I11513" s="2" t="s">
        <v>19</v>
      </c>
      <c r="J11513" s="2" t="s">
        <v>1076</v>
      </c>
      <c r="K11513" s="2" t="s">
        <v>15374</v>
      </c>
      <c r="L11513" s="2">
        <f t="shared" si="179"/>
        <v>150</v>
      </c>
    </row>
    <row r="11514" spans="1:12" ht="25" customHeight="1">
      <c r="A11514" s="2" t="s">
        <v>12</v>
      </c>
      <c r="B11514" s="2" t="str">
        <f>HYPERLINK("http://m.12365auto.com/xcdg/20200206/417817.shtml","值得期待的一款轿跑车 全新奔驰CLA前景分析")</f>
        <v>值得期待的一款轿跑车 全新奔驰CLA前景分析</v>
      </c>
      <c r="C11514" s="2" t="s">
        <v>13</v>
      </c>
      <c r="D11514" s="2" t="s">
        <v>12</v>
      </c>
      <c r="E11514" s="2"/>
      <c r="F11514" s="2" t="str">
        <f>HYPERLINK("http://m.12365auto.com/xcdg/20200206/417817.shtml","http://m.12365auto.com/xcdg/20200206/417817.shtml")</f>
        <v>http://m.12365auto.com/xcdg/20200206/417817.shtml</v>
      </c>
      <c r="G11514" s="2"/>
      <c r="H11514" s="2" t="s">
        <v>15375</v>
      </c>
      <c r="I11514" s="2" t="s">
        <v>19</v>
      </c>
      <c r="J11514" s="2" t="s">
        <v>1099</v>
      </c>
      <c r="K11514" s="2" t="s">
        <v>15376</v>
      </c>
      <c r="L11514" s="2">
        <f t="shared" si="179"/>
        <v>150</v>
      </c>
    </row>
    <row r="11515" spans="1:12" ht="25" customHeight="1">
      <c r="A11515" s="2" t="s">
        <v>12</v>
      </c>
      <c r="B11515" s="2" t="str">
        <f>HYPERLINK("http://m.12365auto.com/xcdg/20200206/417816.shtml","块头大配置高油耗喜人 这款国产豪华SUV如何")</f>
        <v>块头大配置高油耗喜人 这款国产豪华SUV如何</v>
      </c>
      <c r="C11515" s="2" t="s">
        <v>13</v>
      </c>
      <c r="D11515" s="2" t="s">
        <v>12</v>
      </c>
      <c r="E11515" s="2"/>
      <c r="F11515" s="2" t="str">
        <f>HYPERLINK("http://m.12365auto.com/xcdg/20200206/417816.shtml","http://m.12365auto.com/xcdg/20200206/417816.shtml")</f>
        <v>http://m.12365auto.com/xcdg/20200206/417816.shtml</v>
      </c>
      <c r="G11515" s="2"/>
      <c r="H11515" s="2" t="s">
        <v>15377</v>
      </c>
      <c r="I11515" s="2" t="s">
        <v>19</v>
      </c>
      <c r="J11515" s="2" t="s">
        <v>5854</v>
      </c>
      <c r="K11515" s="2" t="s">
        <v>15378</v>
      </c>
      <c r="L11515" s="2">
        <f t="shared" si="179"/>
        <v>150</v>
      </c>
    </row>
    <row r="11516" spans="1:12" ht="25" customHeight="1">
      <c r="A11516" s="2" t="s">
        <v>12</v>
      </c>
      <c r="B11516" s="2" t="str">
        <f>HYPERLINK("http://m.12365auto.com/news/20200206/417815.shtml","新车要涨价？法拉利上调2020年营收利润预期")</f>
        <v>新车要涨价？法拉利上调2020年营收利润预期</v>
      </c>
      <c r="C11516" s="2" t="s">
        <v>13</v>
      </c>
      <c r="D11516" s="2" t="s">
        <v>12</v>
      </c>
      <c r="E11516" s="2"/>
      <c r="F11516" s="2" t="str">
        <f>HYPERLINK("http://m.12365auto.com/news/20200206/417815.shtml","http://m.12365auto.com/news/20200206/417815.shtml")</f>
        <v>http://m.12365auto.com/news/20200206/417815.shtml</v>
      </c>
      <c r="G11516" s="2"/>
      <c r="H11516" s="2" t="s">
        <v>15379</v>
      </c>
      <c r="I11516" s="2" t="s">
        <v>19</v>
      </c>
      <c r="J11516" s="2" t="s">
        <v>1074</v>
      </c>
      <c r="K11516" s="2" t="s">
        <v>15380</v>
      </c>
      <c r="L11516" s="2">
        <f t="shared" si="179"/>
        <v>150</v>
      </c>
    </row>
    <row r="11517" spans="1:12" ht="25" customHeight="1">
      <c r="A11517" s="2" t="s">
        <v>12</v>
      </c>
      <c r="B11517" s="2" t="str">
        <f>HYPERLINK("http://www.12365auto.com/news/20200206/417815.shtml","新车要涨价？法拉利上调2020年营收利润预期")</f>
        <v>新车要涨价？法拉利上调2020年营收利润预期</v>
      </c>
      <c r="C11517" s="2" t="s">
        <v>13</v>
      </c>
      <c r="D11517" s="2" t="s">
        <v>12</v>
      </c>
      <c r="E11517" s="2" t="s">
        <v>276</v>
      </c>
      <c r="F11517" s="2" t="str">
        <f>HYPERLINK("http://www.12365auto.com/news/20200206/417815.shtml","http://www.12365auto.com/news/20200206/417815.shtml")</f>
        <v>http://www.12365auto.com/news/20200206/417815.shtml</v>
      </c>
      <c r="G11517" s="2"/>
      <c r="H11517" s="2" t="s">
        <v>15381</v>
      </c>
      <c r="I11517" s="2" t="s">
        <v>15</v>
      </c>
      <c r="J11517" s="2" t="s">
        <v>12</v>
      </c>
      <c r="K11517" s="2" t="s">
        <v>15380</v>
      </c>
      <c r="L11517" s="2">
        <f t="shared" si="179"/>
        <v>150</v>
      </c>
    </row>
    <row r="11518" spans="1:12" ht="25" customHeight="1">
      <c r="A11518" s="2" t="s">
        <v>12</v>
      </c>
      <c r="B11518" s="2" t="str">
        <f>HYPERLINK("http://m.12365auto.com/news/20200206/417814.shtml","东风风光推出用户关爱服务 提供上门取送车")</f>
        <v>东风风光推出用户关爱服务 提供上门取送车</v>
      </c>
      <c r="C11518" s="2" t="s">
        <v>13</v>
      </c>
      <c r="D11518" s="2" t="s">
        <v>12</v>
      </c>
      <c r="E11518" s="2"/>
      <c r="F11518" s="2" t="str">
        <f>HYPERLINK("http://m.12365auto.com/news/20200206/417814.shtml","http://m.12365auto.com/news/20200206/417814.shtml")</f>
        <v>http://m.12365auto.com/news/20200206/417814.shtml</v>
      </c>
      <c r="G11518" s="2"/>
      <c r="H11518" s="2" t="s">
        <v>15382</v>
      </c>
      <c r="I11518" s="2" t="s">
        <v>19</v>
      </c>
      <c r="J11518" s="2" t="s">
        <v>236</v>
      </c>
      <c r="K11518" s="2" t="s">
        <v>15383</v>
      </c>
      <c r="L11518" s="2">
        <f t="shared" si="179"/>
        <v>150</v>
      </c>
    </row>
    <row r="11519" spans="1:12" ht="25" customHeight="1">
      <c r="A11519" s="2" t="s">
        <v>12</v>
      </c>
      <c r="B11519" s="2" t="str">
        <f>HYPERLINK("http://www.12365auto.com/news/20200206/417814.shtml","东风风光推出用户关爱服务 提供上门取送车")</f>
        <v>东风风光推出用户关爱服务 提供上门取送车</v>
      </c>
      <c r="C11519" s="2" t="s">
        <v>13</v>
      </c>
      <c r="D11519" s="2" t="s">
        <v>12</v>
      </c>
      <c r="E11519" s="2" t="s">
        <v>276</v>
      </c>
      <c r="F11519" s="2" t="str">
        <f>HYPERLINK("http://www.12365auto.com/news/20200206/417814.shtml","http://www.12365auto.com/news/20200206/417814.shtml")</f>
        <v>http://www.12365auto.com/news/20200206/417814.shtml</v>
      </c>
      <c r="G11519" s="2"/>
      <c r="H11519" s="2" t="s">
        <v>15384</v>
      </c>
      <c r="I11519" s="2" t="s">
        <v>15</v>
      </c>
      <c r="J11519" s="2" t="s">
        <v>12</v>
      </c>
      <c r="K11519" s="2" t="s">
        <v>15383</v>
      </c>
      <c r="L11519" s="2">
        <f t="shared" si="179"/>
        <v>150</v>
      </c>
    </row>
    <row r="11520" spans="1:12" ht="25" customHeight="1">
      <c r="A11520" s="2" t="s">
        <v>12</v>
      </c>
      <c r="B11520" s="2" t="str">
        <f>HYPERLINK("http://m.12365auto.com/news/20200206/417813.shtml","驰援一线 上汽大通30台负压救护车达武汉")</f>
        <v>驰援一线 上汽大通30台负压救护车达武汉</v>
      </c>
      <c r="C11520" s="2" t="s">
        <v>13</v>
      </c>
      <c r="D11520" s="2" t="s">
        <v>12</v>
      </c>
      <c r="E11520" s="2"/>
      <c r="F11520" s="2" t="str">
        <f>HYPERLINK("http://m.12365auto.com/news/20200206/417813.shtml","http://m.12365auto.com/news/20200206/417813.shtml")</f>
        <v>http://m.12365auto.com/news/20200206/417813.shtml</v>
      </c>
      <c r="G11520" s="2"/>
      <c r="H11520" s="2" t="s">
        <v>15385</v>
      </c>
      <c r="I11520" s="2" t="s">
        <v>19</v>
      </c>
      <c r="J11520" s="2" t="s">
        <v>2660</v>
      </c>
      <c r="K11520" s="2" t="s">
        <v>15386</v>
      </c>
      <c r="L11520" s="2">
        <f t="shared" si="179"/>
        <v>150</v>
      </c>
    </row>
    <row r="11521" spans="1:12" ht="25" customHeight="1">
      <c r="A11521" s="2" t="s">
        <v>12</v>
      </c>
      <c r="B11521" s="2" t="str">
        <f>HYPERLINK("http://www.12365auto.com/news/20200206/417813.shtml","驰援一线 上汽大通30台负压救护车达武汉")</f>
        <v>驰援一线 上汽大通30台负压救护车达武汉</v>
      </c>
      <c r="C11521" s="2" t="s">
        <v>13</v>
      </c>
      <c r="D11521" s="2" t="s">
        <v>12</v>
      </c>
      <c r="E11521" s="2" t="s">
        <v>276</v>
      </c>
      <c r="F11521" s="2" t="str">
        <f>HYPERLINK("http://www.12365auto.com/news/20200206/417813.shtml","http://www.12365auto.com/news/20200206/417813.shtml")</f>
        <v>http://www.12365auto.com/news/20200206/417813.shtml</v>
      </c>
      <c r="G11521" s="2"/>
      <c r="H11521" s="2" t="s">
        <v>15387</v>
      </c>
      <c r="I11521" s="2" t="s">
        <v>15</v>
      </c>
      <c r="J11521" s="2" t="s">
        <v>12</v>
      </c>
      <c r="K11521" s="2" t="s">
        <v>15386</v>
      </c>
      <c r="L11521" s="2">
        <f t="shared" si="179"/>
        <v>150</v>
      </c>
    </row>
    <row r="11522" spans="1:12" ht="25" customHeight="1">
      <c r="A11522" s="2" t="s">
        <v>12</v>
      </c>
      <c r="B11522" s="2" t="str">
        <f>HYPERLINK("http://m.12365auto.com/news/20200206/417812.shtml","帮助经销商减压 东风悦达起亚再推八大保障")</f>
        <v>帮助经销商减压 东风悦达起亚再推八大保障</v>
      </c>
      <c r="C11522" s="2" t="s">
        <v>13</v>
      </c>
      <c r="D11522" s="2" t="s">
        <v>12</v>
      </c>
      <c r="E11522" s="2"/>
      <c r="F11522" s="2" t="str">
        <f>HYPERLINK("http://m.12365auto.com/news/20200206/417812.shtml","http://m.12365auto.com/news/20200206/417812.shtml")</f>
        <v>http://m.12365auto.com/news/20200206/417812.shtml</v>
      </c>
      <c r="G11522" s="2"/>
      <c r="H11522" s="2" t="s">
        <v>15388</v>
      </c>
      <c r="I11522" s="2" t="s">
        <v>19</v>
      </c>
      <c r="J11522" s="2" t="s">
        <v>6010</v>
      </c>
      <c r="K11522" s="2" t="s">
        <v>15389</v>
      </c>
      <c r="L11522" s="2">
        <f t="shared" si="179"/>
        <v>150</v>
      </c>
    </row>
    <row r="11523" spans="1:12" ht="25" customHeight="1">
      <c r="A11523" s="2" t="s">
        <v>12</v>
      </c>
      <c r="B11523" s="2" t="str">
        <f>HYPERLINK("http://www.12365auto.com/news/20200206/417812.shtml","帮助经销商减压 东风悦达起亚再推八大保障")</f>
        <v>帮助经销商减压 东风悦达起亚再推八大保障</v>
      </c>
      <c r="C11523" s="2" t="s">
        <v>13</v>
      </c>
      <c r="D11523" s="2" t="s">
        <v>12</v>
      </c>
      <c r="E11523" s="2" t="s">
        <v>276</v>
      </c>
      <c r="F11523" s="2" t="str">
        <f>HYPERLINK("http://www.12365auto.com/news/20200206/417812.shtml","http://www.12365auto.com/news/20200206/417812.shtml")</f>
        <v>http://www.12365auto.com/news/20200206/417812.shtml</v>
      </c>
      <c r="G11523" s="2"/>
      <c r="H11523" s="2" t="s">
        <v>15390</v>
      </c>
      <c r="I11523" s="2" t="s">
        <v>15</v>
      </c>
      <c r="J11523" s="2" t="s">
        <v>12</v>
      </c>
      <c r="K11523" s="2" t="s">
        <v>15389</v>
      </c>
      <c r="L11523" s="2">
        <f t="shared" ref="L11523:L11586" si="180">LEN(H11523)</f>
        <v>150</v>
      </c>
    </row>
    <row r="11524" spans="1:12" ht="25" customHeight="1">
      <c r="A11524" s="2" t="s">
        <v>12</v>
      </c>
      <c r="B11524" s="2" t="str">
        <f>HYPERLINK("http://m.12365auto.com/xcdg/20200206/417811.shtml","宝马2系Gran Coupe北美售价公布 将引国内")</f>
        <v>宝马2系Gran Coupe北美售价公布 将引国内</v>
      </c>
      <c r="C11524" s="2" t="s">
        <v>13</v>
      </c>
      <c r="D11524" s="2" t="s">
        <v>12</v>
      </c>
      <c r="E11524" s="2"/>
      <c r="F11524" s="2" t="str">
        <f>HYPERLINK("http://m.12365auto.com/xcdg/20200206/417811.shtml","http://m.12365auto.com/xcdg/20200206/417811.shtml")</f>
        <v>http://m.12365auto.com/xcdg/20200206/417811.shtml</v>
      </c>
      <c r="G11524" s="2"/>
      <c r="H11524" s="2" t="s">
        <v>15391</v>
      </c>
      <c r="I11524" s="2" t="s">
        <v>19</v>
      </c>
      <c r="J11524" s="2" t="s">
        <v>1923</v>
      </c>
      <c r="K11524" s="2" t="s">
        <v>15392</v>
      </c>
      <c r="L11524" s="2">
        <f t="shared" si="180"/>
        <v>150</v>
      </c>
    </row>
    <row r="11525" spans="1:12" ht="25" customHeight="1">
      <c r="A11525" s="2" t="s">
        <v>12</v>
      </c>
      <c r="B11525" s="2" t="str">
        <f>HYPERLINK("http://www.12365auto.com/xcdg/20200206/417811.shtml","宝马2系Gran Coupe北美售价公布 将引国内")</f>
        <v>宝马2系Gran Coupe北美售价公布 将引国内</v>
      </c>
      <c r="C11525" s="2" t="s">
        <v>13</v>
      </c>
      <c r="D11525" s="2" t="s">
        <v>12</v>
      </c>
      <c r="E11525" s="2" t="s">
        <v>216</v>
      </c>
      <c r="F11525" s="2" t="str">
        <f>HYPERLINK("http://www.12365auto.com/xcdg/20200206/417811.shtml","http://www.12365auto.com/xcdg/20200206/417811.shtml")</f>
        <v>http://www.12365auto.com/xcdg/20200206/417811.shtml</v>
      </c>
      <c r="G11525" s="2"/>
      <c r="H11525" s="2" t="s">
        <v>15393</v>
      </c>
      <c r="I11525" s="2" t="s">
        <v>15</v>
      </c>
      <c r="J11525" s="2" t="s">
        <v>12</v>
      </c>
      <c r="K11525" s="2" t="s">
        <v>15392</v>
      </c>
      <c r="L11525" s="2">
        <f t="shared" si="180"/>
        <v>150</v>
      </c>
    </row>
    <row r="11526" spans="1:12" ht="25" customHeight="1">
      <c r="A11526" s="2" t="s">
        <v>12</v>
      </c>
      <c r="B11526" s="2" t="str">
        <f>HYPERLINK("http://m.12365auto.com/news/20200206/417810.shtml","上汽大众向疫区追加捐赠 捐款已达4000万元")</f>
        <v>上汽大众向疫区追加捐赠 捐款已达4000万元</v>
      </c>
      <c r="C11526" s="2" t="s">
        <v>13</v>
      </c>
      <c r="D11526" s="2" t="s">
        <v>12</v>
      </c>
      <c r="E11526" s="2"/>
      <c r="F11526" s="2" t="str">
        <f>HYPERLINK("http://m.12365auto.com/news/20200206/417810.shtml","http://m.12365auto.com/news/20200206/417810.shtml")</f>
        <v>http://m.12365auto.com/news/20200206/417810.shtml</v>
      </c>
      <c r="G11526" s="2"/>
      <c r="H11526" s="2" t="s">
        <v>15394</v>
      </c>
      <c r="I11526" s="2" t="s">
        <v>19</v>
      </c>
      <c r="J11526" s="2" t="s">
        <v>236</v>
      </c>
      <c r="K11526" s="2" t="s">
        <v>15395</v>
      </c>
      <c r="L11526" s="2">
        <f t="shared" si="180"/>
        <v>150</v>
      </c>
    </row>
    <row r="11527" spans="1:12" ht="25" customHeight="1">
      <c r="A11527" s="2" t="s">
        <v>12</v>
      </c>
      <c r="B11527" s="2" t="str">
        <f>HYPERLINK("http://www.12365auto.com/news/20200206/417810.shtml","上汽大众向疫区追加捐赠 捐款已达4000万元")</f>
        <v>上汽大众向疫区追加捐赠 捐款已达4000万元</v>
      </c>
      <c r="C11527" s="2" t="s">
        <v>13</v>
      </c>
      <c r="D11527" s="2" t="s">
        <v>12</v>
      </c>
      <c r="E11527" s="2" t="s">
        <v>276</v>
      </c>
      <c r="F11527" s="2" t="str">
        <f>HYPERLINK("http://www.12365auto.com/news/20200206/417810.shtml","http://www.12365auto.com/news/20200206/417810.shtml")</f>
        <v>http://www.12365auto.com/news/20200206/417810.shtml</v>
      </c>
      <c r="G11527" s="2"/>
      <c r="H11527" s="2" t="s">
        <v>15396</v>
      </c>
      <c r="I11527" s="2" t="s">
        <v>15</v>
      </c>
      <c r="J11527" s="2" t="s">
        <v>12</v>
      </c>
      <c r="K11527" s="2" t="s">
        <v>15395</v>
      </c>
      <c r="L11527" s="2">
        <f t="shared" si="180"/>
        <v>150</v>
      </c>
    </row>
    <row r="11528" spans="1:12" ht="25" customHeight="1">
      <c r="A11528" s="2" t="s">
        <v>12</v>
      </c>
      <c r="B11528" s="2" t="str">
        <f>HYPERLINK("http://bbs.12365auto.com/postcontent.aspx?tID=193393","p挡踩刹车时出现异响 这是通病么")</f>
        <v>p挡踩刹车时出现异响 这是通病么</v>
      </c>
      <c r="C11528" s="2" t="s">
        <v>13</v>
      </c>
      <c r="D11528" s="2" t="s">
        <v>12</v>
      </c>
      <c r="E11528" s="2" t="s">
        <v>67</v>
      </c>
      <c r="F11528" s="2" t="str">
        <f>HYPERLINK("http://bbs.12365auto.com/postcontent.aspx?tID=193393","http://bbs.12365auto.com/postcontent.aspx?tID=193393")</f>
        <v>http://bbs.12365auto.com/postcontent.aspx?tID=193393</v>
      </c>
      <c r="G11528" s="2"/>
      <c r="H11528" s="2" t="s">
        <v>15397</v>
      </c>
      <c r="I11528" s="2" t="s">
        <v>15</v>
      </c>
      <c r="J11528" s="2" t="s">
        <v>15398</v>
      </c>
      <c r="K11528" s="2" t="s">
        <v>15399</v>
      </c>
      <c r="L11528" s="2">
        <f t="shared" si="180"/>
        <v>63</v>
      </c>
    </row>
    <row r="11529" spans="1:12" ht="25" customHeight="1">
      <c r="A11529" s="2" t="s">
        <v>12</v>
      </c>
      <c r="B11529" s="2" t="str">
        <f>HYPERLINK("http://www.12365auto.com/xcdg/20200206/417809.shtml","长城进军印度市场 哈弗F7/F7x亮相印度车展")</f>
        <v>长城进军印度市场 哈弗F7/F7x亮相印度车展</v>
      </c>
      <c r="C11529" s="2" t="s">
        <v>13</v>
      </c>
      <c r="D11529" s="2" t="s">
        <v>12</v>
      </c>
      <c r="E11529" s="2" t="s">
        <v>245</v>
      </c>
      <c r="F11529" s="2" t="str">
        <f>HYPERLINK("http://www.12365auto.com/xcdg/20200206/417809.shtml","http://www.12365auto.com/xcdg/20200206/417809.shtml")</f>
        <v>http://www.12365auto.com/xcdg/20200206/417809.shtml</v>
      </c>
      <c r="G11529" s="2"/>
      <c r="H11529" s="2" t="s">
        <v>15400</v>
      </c>
      <c r="I11529" s="2" t="s">
        <v>19</v>
      </c>
      <c r="J11529" s="2" t="s">
        <v>12</v>
      </c>
      <c r="K11529" s="2" t="s">
        <v>15401</v>
      </c>
      <c r="L11529" s="2">
        <f t="shared" si="180"/>
        <v>150</v>
      </c>
    </row>
    <row r="11530" spans="1:12" ht="25" customHeight="1">
      <c r="A11530" s="2" t="s">
        <v>12</v>
      </c>
      <c r="B11530" s="2" t="str">
        <f>HYPERLINK("http://m.12365auto.com/xcdg/20200206/417809.shtml","长城进军印度市场 哈弗F7/F7x亮相印度车展")</f>
        <v>长城进军印度市场 哈弗F7/F7x亮相印度车展</v>
      </c>
      <c r="C11530" s="2" t="s">
        <v>13</v>
      </c>
      <c r="D11530" s="2" t="s">
        <v>12</v>
      </c>
      <c r="E11530" s="2"/>
      <c r="F11530" s="2" t="str">
        <f>HYPERLINK("http://m.12365auto.com/xcdg/20200206/417809.shtml","http://m.12365auto.com/xcdg/20200206/417809.shtml")</f>
        <v>http://m.12365auto.com/xcdg/20200206/417809.shtml</v>
      </c>
      <c r="G11530" s="2"/>
      <c r="H11530" s="2" t="s">
        <v>15402</v>
      </c>
      <c r="I11530" s="2" t="s">
        <v>19</v>
      </c>
      <c r="J11530" s="2" t="s">
        <v>9165</v>
      </c>
      <c r="K11530" s="2" t="s">
        <v>15401</v>
      </c>
      <c r="L11530" s="2">
        <f t="shared" si="180"/>
        <v>150</v>
      </c>
    </row>
    <row r="11531" spans="1:12" ht="25" customHeight="1">
      <c r="A11531" s="2" t="s">
        <v>12</v>
      </c>
      <c r="B11531" s="2" t="str">
        <f>HYPERLINK("http://www.12365auto.com/zlts/20200206/446466.shtml","曲轴后油封异响")</f>
        <v>曲轴后油封异响</v>
      </c>
      <c r="C11531" s="2" t="s">
        <v>13</v>
      </c>
      <c r="D11531" s="2" t="s">
        <v>12</v>
      </c>
      <c r="E11531" s="2"/>
      <c r="F11531" s="2" t="str">
        <f>HYPERLINK("http://www.12365auto.com/zlts/20200206/446466.shtml","http://www.12365auto.com/zlts/20200206/446466.shtml")</f>
        <v>http://www.12365auto.com/zlts/20200206/446466.shtml</v>
      </c>
      <c r="G11531" s="2"/>
      <c r="H11531" s="2" t="s">
        <v>15404</v>
      </c>
      <c r="I11531" s="2" t="s">
        <v>15</v>
      </c>
      <c r="J11531" s="2" t="s">
        <v>12</v>
      </c>
      <c r="K11531" s="2" t="s">
        <v>15403</v>
      </c>
      <c r="L11531" s="2">
        <f t="shared" si="180"/>
        <v>84</v>
      </c>
    </row>
    <row r="11532" spans="1:12" ht="25" customHeight="1">
      <c r="A11532" s="2" t="s">
        <v>12</v>
      </c>
      <c r="B11532" s="2" t="str">
        <f>HYPERLINK("http://www.12365auto.com/news/20200206/417808.shtml","萌出新高度 欧拉R1亮相第15届印度德里车展")</f>
        <v>萌出新高度 欧拉R1亮相第15届印度德里车展</v>
      </c>
      <c r="C11532" s="2" t="s">
        <v>13</v>
      </c>
      <c r="D11532" s="2" t="s">
        <v>12</v>
      </c>
      <c r="E11532" s="2" t="s">
        <v>282</v>
      </c>
      <c r="F11532" s="2" t="str">
        <f>HYPERLINK("http://www.12365auto.com/news/20200206/417808.shtml","http://www.12365auto.com/news/20200206/417808.shtml")</f>
        <v>http://www.12365auto.com/news/20200206/417808.shtml</v>
      </c>
      <c r="G11532" s="2"/>
      <c r="H11532" s="2" t="s">
        <v>15405</v>
      </c>
      <c r="I11532" s="2" t="s">
        <v>19</v>
      </c>
      <c r="J11532" s="2" t="s">
        <v>12</v>
      </c>
      <c r="K11532" s="2" t="s">
        <v>15406</v>
      </c>
      <c r="L11532" s="2">
        <f t="shared" si="180"/>
        <v>150</v>
      </c>
    </row>
    <row r="11533" spans="1:12" ht="25" customHeight="1">
      <c r="A11533" s="2" t="s">
        <v>12</v>
      </c>
      <c r="B11533" s="2" t="str">
        <f>HYPERLINK("http://m.12365auto.com/news/20200206/417808.shtml","萌出新高度 欧拉R1亮相第15届印度德里车展")</f>
        <v>萌出新高度 欧拉R1亮相第15届印度德里车展</v>
      </c>
      <c r="C11533" s="2" t="s">
        <v>13</v>
      </c>
      <c r="D11533" s="2" t="s">
        <v>12</v>
      </c>
      <c r="E11533" s="2"/>
      <c r="F11533" s="2" t="str">
        <f>HYPERLINK("http://m.12365auto.com/news/20200206/417808.shtml","http://m.12365auto.com/news/20200206/417808.shtml")</f>
        <v>http://m.12365auto.com/news/20200206/417808.shtml</v>
      </c>
      <c r="G11533" s="2"/>
      <c r="H11533" s="2" t="s">
        <v>15407</v>
      </c>
      <c r="I11533" s="2" t="s">
        <v>19</v>
      </c>
      <c r="J11533" s="2" t="s">
        <v>1623</v>
      </c>
      <c r="K11533" s="2" t="s">
        <v>15406</v>
      </c>
      <c r="L11533" s="2">
        <f t="shared" si="180"/>
        <v>150</v>
      </c>
    </row>
    <row r="11534" spans="1:12" ht="25" customHeight="1">
      <c r="A11534" s="2" t="s">
        <v>12</v>
      </c>
      <c r="B11534" s="2" t="str">
        <f>HYPERLINK("http://www.12365auto.com/xcdg/20200206/417807.shtml","三把锁已名扬海外 哈弗H9正式亮相印度车展")</f>
        <v>三把锁已名扬海外 哈弗H9正式亮相印度车展</v>
      </c>
      <c r="C11534" s="2" t="s">
        <v>13</v>
      </c>
      <c r="D11534" s="2" t="s">
        <v>12</v>
      </c>
      <c r="E11534" s="2" t="s">
        <v>245</v>
      </c>
      <c r="F11534" s="2" t="str">
        <f>HYPERLINK("http://www.12365auto.com/xcdg/20200206/417807.shtml","http://www.12365auto.com/xcdg/20200206/417807.shtml")</f>
        <v>http://www.12365auto.com/xcdg/20200206/417807.shtml</v>
      </c>
      <c r="G11534" s="2"/>
      <c r="H11534" s="2" t="s">
        <v>15408</v>
      </c>
      <c r="I11534" s="2" t="s">
        <v>19</v>
      </c>
      <c r="J11534" s="2" t="s">
        <v>12</v>
      </c>
      <c r="K11534" s="2" t="s">
        <v>15409</v>
      </c>
      <c r="L11534" s="2">
        <f t="shared" si="180"/>
        <v>150</v>
      </c>
    </row>
    <row r="11535" spans="1:12" ht="25" customHeight="1">
      <c r="A11535" s="2" t="s">
        <v>12</v>
      </c>
      <c r="B11535" s="2" t="str">
        <f>HYPERLINK("http://m.12365auto.com/xcdg/20200206/417807.shtml","三把锁已名扬海外 哈弗H9正式亮相印度车展")</f>
        <v>三把锁已名扬海外 哈弗H9正式亮相印度车展</v>
      </c>
      <c r="C11535" s="2" t="s">
        <v>13</v>
      </c>
      <c r="D11535" s="2" t="s">
        <v>12</v>
      </c>
      <c r="E11535" s="2"/>
      <c r="F11535" s="2" t="str">
        <f>HYPERLINK("http://m.12365auto.com/xcdg/20200206/417807.shtml","http://m.12365auto.com/xcdg/20200206/417807.shtml")</f>
        <v>http://m.12365auto.com/xcdg/20200206/417807.shtml</v>
      </c>
      <c r="G11535" s="2"/>
      <c r="H11535" s="2" t="s">
        <v>15410</v>
      </c>
      <c r="I11535" s="2" t="s">
        <v>19</v>
      </c>
      <c r="J11535" s="2" t="s">
        <v>1069</v>
      </c>
      <c r="K11535" s="2" t="s">
        <v>15409</v>
      </c>
      <c r="L11535" s="2">
        <f t="shared" si="180"/>
        <v>150</v>
      </c>
    </row>
    <row r="11536" spans="1:12" ht="25" customHeight="1">
      <c r="A11536" s="2" t="s">
        <v>12</v>
      </c>
      <c r="B11536" s="2" t="str">
        <f>HYPERLINK("http://www.12365auto.com/xcdg/20200206/417806.shtml","奔驰AMG新款GT R车型曝光 搭4.0T引擎")</f>
        <v>奔驰AMG新款GT R车型曝光 搭4.0T引擎</v>
      </c>
      <c r="C11536" s="2" t="s">
        <v>13</v>
      </c>
      <c r="D11536" s="2" t="s">
        <v>12</v>
      </c>
      <c r="E11536" s="2" t="s">
        <v>245</v>
      </c>
      <c r="F11536" s="2" t="str">
        <f>HYPERLINK("http://www.12365auto.com/xcdg/20200206/417806.shtml","http://www.12365auto.com/xcdg/20200206/417806.shtml")</f>
        <v>http://www.12365auto.com/xcdg/20200206/417806.shtml</v>
      </c>
      <c r="G11536" s="2"/>
      <c r="H11536" s="2" t="s">
        <v>15411</v>
      </c>
      <c r="I11536" s="2" t="s">
        <v>19</v>
      </c>
      <c r="J11536" s="2" t="s">
        <v>12</v>
      </c>
      <c r="K11536" s="2" t="s">
        <v>15412</v>
      </c>
      <c r="L11536" s="2">
        <f t="shared" si="180"/>
        <v>150</v>
      </c>
    </row>
    <row r="11537" spans="1:12" ht="25" customHeight="1">
      <c r="A11537" s="2" t="s">
        <v>12</v>
      </c>
      <c r="B11537" s="2" t="str">
        <f>HYPERLINK("http://m.12365auto.com/xcdg/20200206/417806.shtml","奔驰AMG新款GT R车型曝光 搭4.0T引擎")</f>
        <v>奔驰AMG新款GT R车型曝光 搭4.0T引擎</v>
      </c>
      <c r="C11537" s="2" t="s">
        <v>13</v>
      </c>
      <c r="D11537" s="2" t="s">
        <v>12</v>
      </c>
      <c r="E11537" s="2"/>
      <c r="F11537" s="2" t="str">
        <f>HYPERLINK("http://m.12365auto.com/xcdg/20200206/417806.shtml","http://m.12365auto.com/xcdg/20200206/417806.shtml")</f>
        <v>http://m.12365auto.com/xcdg/20200206/417806.shtml</v>
      </c>
      <c r="G11537" s="2"/>
      <c r="H11537" s="2" t="s">
        <v>15413</v>
      </c>
      <c r="I11537" s="2" t="s">
        <v>19</v>
      </c>
      <c r="J11537" s="2" t="s">
        <v>13601</v>
      </c>
      <c r="K11537" s="2" t="s">
        <v>15412</v>
      </c>
      <c r="L11537" s="2">
        <f t="shared" si="180"/>
        <v>150</v>
      </c>
    </row>
    <row r="11538" spans="1:12" ht="25" customHeight="1">
      <c r="A11538" s="2" t="s">
        <v>12</v>
      </c>
      <c r="B11538" s="2" t="str">
        <f>HYPERLINK("http://www.12365auto.com/xcdg/20200206/417805.shtml","10款重磅自主SUV今年上市 最低8万")</f>
        <v>10款重磅自主SUV今年上市 最低8万</v>
      </c>
      <c r="C11538" s="2" t="s">
        <v>13</v>
      </c>
      <c r="D11538" s="2" t="s">
        <v>12</v>
      </c>
      <c r="E11538" s="2" t="s">
        <v>216</v>
      </c>
      <c r="F11538" s="2" t="str">
        <f>HYPERLINK("http://www.12365auto.com/xcdg/20200206/417805.shtml","http://www.12365auto.com/xcdg/20200206/417805.shtml")</f>
        <v>http://www.12365auto.com/xcdg/20200206/417805.shtml</v>
      </c>
      <c r="G11538" s="2"/>
      <c r="H11538" s="2" t="s">
        <v>15414</v>
      </c>
      <c r="I11538" s="2" t="s">
        <v>15</v>
      </c>
      <c r="J11538" s="2" t="s">
        <v>12</v>
      </c>
      <c r="K11538" s="2" t="s">
        <v>15415</v>
      </c>
      <c r="L11538" s="2">
        <f t="shared" si="180"/>
        <v>150</v>
      </c>
    </row>
    <row r="11539" spans="1:12" ht="25" customHeight="1">
      <c r="A11539" s="2" t="s">
        <v>12</v>
      </c>
      <c r="B11539" s="2" t="str">
        <f>HYPERLINK("http://m.12365auto.com/xcdg/20200206/417805.shtml","10款重磅自主SUV今年上市 最低8万")</f>
        <v>10款重磅自主SUV今年上市 最低8万</v>
      </c>
      <c r="C11539" s="2" t="s">
        <v>13</v>
      </c>
      <c r="D11539" s="2" t="s">
        <v>12</v>
      </c>
      <c r="E11539" s="2"/>
      <c r="F11539" s="2" t="str">
        <f>HYPERLINK("http://m.12365auto.com/xcdg/20200206/417805.shtml","http://m.12365auto.com/xcdg/20200206/417805.shtml")</f>
        <v>http://m.12365auto.com/xcdg/20200206/417805.shtml</v>
      </c>
      <c r="G11539" s="2"/>
      <c r="H11539" s="2" t="s">
        <v>15416</v>
      </c>
      <c r="I11539" s="2" t="s">
        <v>19</v>
      </c>
      <c r="J11539" s="2" t="s">
        <v>3053</v>
      </c>
      <c r="K11539" s="2" t="s">
        <v>15415</v>
      </c>
      <c r="L11539" s="2">
        <f t="shared" si="180"/>
        <v>150</v>
      </c>
    </row>
    <row r="11540" spans="1:12" ht="25" customHeight="1">
      <c r="A11540" s="2" t="s">
        <v>12</v>
      </c>
      <c r="B11540" s="2" t="str">
        <f>HYPERLINK("http://m.12365auto.com/xcdg/20200206/417804.shtml","奥迪e-tron 50售价曝光 续航超300km")</f>
        <v>奥迪e-tron 50售价曝光 续航超300km</v>
      </c>
      <c r="C11540" s="2" t="s">
        <v>13</v>
      </c>
      <c r="D11540" s="2" t="s">
        <v>12</v>
      </c>
      <c r="E11540" s="2"/>
      <c r="F11540" s="2" t="str">
        <f>HYPERLINK("http://m.12365auto.com/xcdg/20200206/417804.shtml","http://m.12365auto.com/xcdg/20200206/417804.shtml")</f>
        <v>http://m.12365auto.com/xcdg/20200206/417804.shtml</v>
      </c>
      <c r="G11540" s="2"/>
      <c r="H11540" s="2" t="s">
        <v>15417</v>
      </c>
      <c r="I11540" s="2" t="s">
        <v>19</v>
      </c>
      <c r="J11540" s="2" t="s">
        <v>220</v>
      </c>
      <c r="K11540" s="2" t="s">
        <v>15418</v>
      </c>
      <c r="L11540" s="2">
        <f t="shared" si="180"/>
        <v>150</v>
      </c>
    </row>
    <row r="11541" spans="1:12" ht="25" customHeight="1">
      <c r="A11541" s="2" t="s">
        <v>12</v>
      </c>
      <c r="B11541" s="2" t="str">
        <f>HYPERLINK("http://www.12365auto.com/xcdg/20200206/417804.shtml","奥迪e-tron 50售价曝光 续航超300km")</f>
        <v>奥迪e-tron 50售价曝光 续航超300km</v>
      </c>
      <c r="C11541" s="2" t="s">
        <v>13</v>
      </c>
      <c r="D11541" s="2" t="s">
        <v>12</v>
      </c>
      <c r="E11541" s="2" t="s">
        <v>216</v>
      </c>
      <c r="F11541" s="2" t="str">
        <f>HYPERLINK("http://www.12365auto.com/xcdg/20200206/417804.shtml","http://www.12365auto.com/xcdg/20200206/417804.shtml")</f>
        <v>http://www.12365auto.com/xcdg/20200206/417804.shtml</v>
      </c>
      <c r="G11541" s="2"/>
      <c r="H11541" s="2" t="s">
        <v>15419</v>
      </c>
      <c r="I11541" s="2" t="s">
        <v>15</v>
      </c>
      <c r="J11541" s="2" t="s">
        <v>12</v>
      </c>
      <c r="K11541" s="2" t="s">
        <v>15418</v>
      </c>
      <c r="L11541" s="2">
        <f t="shared" si="180"/>
        <v>150</v>
      </c>
    </row>
    <row r="11542" spans="1:12" ht="25" customHeight="1">
      <c r="A11542" s="2" t="s">
        <v>12</v>
      </c>
      <c r="B11542" s="2" t="str">
        <f>HYPERLINK("http://m.12365auto.com/xcdg/20200206/417803.shtml","福特品牌年推4款新车 3款新产品含大7座SUV")</f>
        <v>福特品牌年推4款新车 3款新产品含大7座SUV</v>
      </c>
      <c r="C11542" s="2" t="s">
        <v>13</v>
      </c>
      <c r="D11542" s="2" t="s">
        <v>12</v>
      </c>
      <c r="E11542" s="2"/>
      <c r="F11542" s="2" t="str">
        <f>HYPERLINK("http://m.12365auto.com/xcdg/20200206/417803.shtml","http://m.12365auto.com/xcdg/20200206/417803.shtml")</f>
        <v>http://m.12365auto.com/xcdg/20200206/417803.shtml</v>
      </c>
      <c r="G11542" s="2"/>
      <c r="H11542" s="2" t="s">
        <v>15420</v>
      </c>
      <c r="I11542" s="2" t="s">
        <v>19</v>
      </c>
      <c r="J11542" s="2" t="s">
        <v>2603</v>
      </c>
      <c r="K11542" s="2" t="s">
        <v>15421</v>
      </c>
      <c r="L11542" s="2">
        <f t="shared" si="180"/>
        <v>150</v>
      </c>
    </row>
    <row r="11543" spans="1:12" ht="25" customHeight="1">
      <c r="A11543" s="2" t="s">
        <v>12</v>
      </c>
      <c r="B11543" s="2" t="str">
        <f>HYPERLINK("http://www.12365auto.com/xcdg/20200206/417803.shtml","福特品牌年推4款新车 3款新产品含大7座SUV")</f>
        <v>福特品牌年推4款新车 3款新产品含大7座SUV</v>
      </c>
      <c r="C11543" s="2" t="s">
        <v>13</v>
      </c>
      <c r="D11543" s="2" t="s">
        <v>12</v>
      </c>
      <c r="E11543" s="2" t="s">
        <v>216</v>
      </c>
      <c r="F11543" s="2" t="str">
        <f>HYPERLINK("http://www.12365auto.com/xcdg/20200206/417803.shtml","http://www.12365auto.com/xcdg/20200206/417803.shtml")</f>
        <v>http://www.12365auto.com/xcdg/20200206/417803.shtml</v>
      </c>
      <c r="G11543" s="2"/>
      <c r="H11543" s="2" t="s">
        <v>15422</v>
      </c>
      <c r="I11543" s="2" t="s">
        <v>15</v>
      </c>
      <c r="J11543" s="2" t="s">
        <v>12</v>
      </c>
      <c r="K11543" s="2" t="s">
        <v>15421</v>
      </c>
      <c r="L11543" s="2">
        <f t="shared" si="180"/>
        <v>150</v>
      </c>
    </row>
    <row r="11544" spans="1:12" ht="25" customHeight="1">
      <c r="A11544" s="2" t="s">
        <v>12</v>
      </c>
      <c r="B11544" s="2" t="str">
        <f>HYPERLINK("http://www.12365auto.com/xcdg/20200206/417802.shtml","奔驰新款GLC车型信息曝光 年内上市")</f>
        <v>奔驰新款GLC车型信息曝光 年内上市</v>
      </c>
      <c r="C11544" s="2" t="s">
        <v>13</v>
      </c>
      <c r="D11544" s="2" t="s">
        <v>12</v>
      </c>
      <c r="E11544" s="2" t="s">
        <v>216</v>
      </c>
      <c r="F11544" s="2" t="str">
        <f>HYPERLINK("http://www.12365auto.com/xcdg/20200206/417802.shtml","http://www.12365auto.com/xcdg/20200206/417802.shtml")</f>
        <v>http://www.12365auto.com/xcdg/20200206/417802.shtml</v>
      </c>
      <c r="G11544" s="2"/>
      <c r="H11544" s="2" t="s">
        <v>15423</v>
      </c>
      <c r="I11544" s="2" t="s">
        <v>15</v>
      </c>
      <c r="J11544" s="2" t="s">
        <v>12</v>
      </c>
      <c r="K11544" s="2" t="s">
        <v>15424</v>
      </c>
      <c r="L11544" s="2">
        <f t="shared" si="180"/>
        <v>150</v>
      </c>
    </row>
    <row r="11545" spans="1:12" ht="25" customHeight="1">
      <c r="A11545" s="2" t="s">
        <v>12</v>
      </c>
      <c r="B11545" s="2" t="str">
        <f>HYPERLINK("http://m.12365auto.com/xcdg/20200206/417802.shtml","奔驰新款GLC车型信息曝光 年内上市")</f>
        <v>奔驰新款GLC车型信息曝光 年内上市</v>
      </c>
      <c r="C11545" s="2" t="s">
        <v>13</v>
      </c>
      <c r="D11545" s="2" t="s">
        <v>12</v>
      </c>
      <c r="E11545" s="2"/>
      <c r="F11545" s="2" t="str">
        <f>HYPERLINK("http://m.12365auto.com/xcdg/20200206/417802.shtml","http://m.12365auto.com/xcdg/20200206/417802.shtml")</f>
        <v>http://m.12365auto.com/xcdg/20200206/417802.shtml</v>
      </c>
      <c r="G11545" s="2"/>
      <c r="H11545" s="2" t="s">
        <v>15425</v>
      </c>
      <c r="I11545" s="2" t="s">
        <v>19</v>
      </c>
      <c r="J11545" s="2" t="s">
        <v>13601</v>
      </c>
      <c r="K11545" s="2" t="s">
        <v>15424</v>
      </c>
      <c r="L11545" s="2">
        <f t="shared" si="180"/>
        <v>150</v>
      </c>
    </row>
    <row r="11546" spans="1:12" ht="25" customHeight="1">
      <c r="A11546" s="2" t="s">
        <v>12</v>
      </c>
      <c r="B11546" s="2" t="str">
        <f>HYPERLINK("http://www.12365auto.com/xcdg/20200206/417801.shtml","劳斯莱斯全新古思特内饰曝光 年内即将亮相")</f>
        <v>劳斯莱斯全新古思特内饰曝光 年内即将亮相</v>
      </c>
      <c r="C11546" s="2" t="s">
        <v>13</v>
      </c>
      <c r="D11546" s="2" t="s">
        <v>12</v>
      </c>
      <c r="E11546" s="2" t="s">
        <v>224</v>
      </c>
      <c r="F11546" s="2" t="str">
        <f>HYPERLINK("http://www.12365auto.com/xcdg/20200206/417801.shtml","http://www.12365auto.com/xcdg/20200206/417801.shtml")</f>
        <v>http://www.12365auto.com/xcdg/20200206/417801.shtml</v>
      </c>
      <c r="G11546" s="2"/>
      <c r="H11546" s="2" t="s">
        <v>15426</v>
      </c>
      <c r="I11546" s="2" t="s">
        <v>15</v>
      </c>
      <c r="J11546" s="2" t="s">
        <v>12</v>
      </c>
      <c r="K11546" s="2" t="s">
        <v>15427</v>
      </c>
      <c r="L11546" s="2">
        <f t="shared" si="180"/>
        <v>150</v>
      </c>
    </row>
    <row r="11547" spans="1:12" ht="25" customHeight="1">
      <c r="A11547" s="2" t="s">
        <v>12</v>
      </c>
      <c r="B11547" s="2" t="str">
        <f>HYPERLINK("http://m.12365auto.com/xcdg/20200206/417801.shtml","劳斯莱斯全新古思特内饰曝光 年内即将亮相")</f>
        <v>劳斯莱斯全新古思特内饰曝光 年内即将亮相</v>
      </c>
      <c r="C11547" s="2" t="s">
        <v>13</v>
      </c>
      <c r="D11547" s="2" t="s">
        <v>12</v>
      </c>
      <c r="E11547" s="2"/>
      <c r="F11547" s="2" t="str">
        <f>HYPERLINK("http://m.12365auto.com/xcdg/20200206/417801.shtml","http://m.12365auto.com/xcdg/20200206/417801.shtml")</f>
        <v>http://m.12365auto.com/xcdg/20200206/417801.shtml</v>
      </c>
      <c r="G11547" s="2"/>
      <c r="H11547" s="2" t="s">
        <v>15428</v>
      </c>
      <c r="I11547" s="2" t="s">
        <v>19</v>
      </c>
      <c r="J11547" s="2" t="s">
        <v>220</v>
      </c>
      <c r="K11547" s="2" t="s">
        <v>15427</v>
      </c>
      <c r="L11547" s="2">
        <f t="shared" si="180"/>
        <v>150</v>
      </c>
    </row>
    <row r="11548" spans="1:12" ht="25" customHeight="1">
      <c r="A11548" s="2" t="s">
        <v>12</v>
      </c>
      <c r="B11548" s="2" t="s">
        <v>15429</v>
      </c>
      <c r="C11548" s="2" t="s">
        <v>13</v>
      </c>
      <c r="D11548" s="2" t="s">
        <v>12</v>
      </c>
      <c r="E11548" s="2" t="s">
        <v>216</v>
      </c>
      <c r="F11548" s="2" t="str">
        <f>HYPERLINK("http://www.12365auto.com/xcdg/20200206/417800.shtml","http://www.12365auto.com/xcdg/20200206/417800.shtml")</f>
        <v>http://www.12365auto.com/xcdg/20200206/417800.shtml</v>
      </c>
      <c r="G11548" s="2"/>
      <c r="H11548" s="2" t="s">
        <v>15430</v>
      </c>
      <c r="I11548" s="2" t="s">
        <v>15</v>
      </c>
      <c r="J11548" s="2" t="s">
        <v>12</v>
      </c>
      <c r="K11548" s="2" t="s">
        <v>15431</v>
      </c>
      <c r="L11548" s="2">
        <f t="shared" si="180"/>
        <v>150</v>
      </c>
    </row>
    <row r="11549" spans="1:12" ht="25" customHeight="1">
      <c r="A11549" s="2" t="s">
        <v>12</v>
      </c>
      <c r="B11549" s="2" t="s">
        <v>15429</v>
      </c>
      <c r="C11549" s="2" t="s">
        <v>13</v>
      </c>
      <c r="D11549" s="2" t="s">
        <v>12</v>
      </c>
      <c r="E11549" s="2"/>
      <c r="F11549" s="2" t="str">
        <f>HYPERLINK("http://m.12365auto.com/xcdg/20200206/417800.shtml","http://m.12365auto.com/xcdg/20200206/417800.shtml")</f>
        <v>http://m.12365auto.com/xcdg/20200206/417800.shtml</v>
      </c>
      <c r="G11549" s="2"/>
      <c r="H11549" s="2" t="s">
        <v>15432</v>
      </c>
      <c r="I11549" s="2" t="s">
        <v>19</v>
      </c>
      <c r="J11549" s="2" t="s">
        <v>257</v>
      </c>
      <c r="K11549" s="2" t="s">
        <v>15431</v>
      </c>
      <c r="L11549" s="2">
        <f t="shared" si="180"/>
        <v>150</v>
      </c>
    </row>
    <row r="11550" spans="1:12" ht="25" customHeight="1">
      <c r="A11550" s="2" t="s">
        <v>12</v>
      </c>
      <c r="B11550" s="2" t="str">
        <f>HYPERLINK("http://m.12365auto.com/xcdg/20200206/417799.shtml","大众全新途观车型首发亮相 搭1.5T引擎")</f>
        <v>大众全新途观车型首发亮相 搭1.5T引擎</v>
      </c>
      <c r="C11550" s="2" t="s">
        <v>13</v>
      </c>
      <c r="D11550" s="2" t="s">
        <v>12</v>
      </c>
      <c r="E11550" s="2"/>
      <c r="F11550" s="2" t="str">
        <f>HYPERLINK("http://m.12365auto.com/xcdg/20200206/417799.shtml","http://m.12365auto.com/xcdg/20200206/417799.shtml")</f>
        <v>http://m.12365auto.com/xcdg/20200206/417799.shtml</v>
      </c>
      <c r="G11550" s="2"/>
      <c r="H11550" s="2" t="s">
        <v>15433</v>
      </c>
      <c r="I11550" s="2" t="s">
        <v>19</v>
      </c>
      <c r="J11550" s="2" t="s">
        <v>13601</v>
      </c>
      <c r="K11550" s="2" t="s">
        <v>15434</v>
      </c>
      <c r="L11550" s="2">
        <f t="shared" si="180"/>
        <v>150</v>
      </c>
    </row>
    <row r="11551" spans="1:12" ht="25" customHeight="1">
      <c r="A11551" s="2" t="s">
        <v>12</v>
      </c>
      <c r="B11551" s="2" t="str">
        <f>HYPERLINK("http://www.12365auto.com/xcdg/20200206/417799.shtml","大众全新途观车型首发亮相 搭1.5T引擎")</f>
        <v>大众全新途观车型首发亮相 搭1.5T引擎</v>
      </c>
      <c r="C11551" s="2" t="s">
        <v>13</v>
      </c>
      <c r="D11551" s="2" t="s">
        <v>12</v>
      </c>
      <c r="E11551" s="2" t="s">
        <v>245</v>
      </c>
      <c r="F11551" s="2" t="str">
        <f>HYPERLINK("http://www.12365auto.com/xcdg/20200206/417799.shtml","http://www.12365auto.com/xcdg/20200206/417799.shtml")</f>
        <v>http://www.12365auto.com/xcdg/20200206/417799.shtml</v>
      </c>
      <c r="G11551" s="2"/>
      <c r="H11551" s="2" t="s">
        <v>15435</v>
      </c>
      <c r="I11551" s="2" t="s">
        <v>19</v>
      </c>
      <c r="J11551" s="2" t="s">
        <v>12</v>
      </c>
      <c r="K11551" s="2" t="s">
        <v>15434</v>
      </c>
      <c r="L11551" s="2">
        <f t="shared" si="180"/>
        <v>150</v>
      </c>
    </row>
    <row r="11552" spans="1:12" ht="25" customHeight="1">
      <c r="A11552" s="2" t="s">
        <v>12</v>
      </c>
      <c r="B11552" s="2" t="str">
        <f>HYPERLINK("http://www.12365auto.com/zlts/20200206/446463.shtml","华晨宝马X1车辆尾部异响无法解决")</f>
        <v>华晨宝马X1车辆尾部异响无法解决</v>
      </c>
      <c r="C11552" s="2" t="s">
        <v>13</v>
      </c>
      <c r="D11552" s="2" t="s">
        <v>12</v>
      </c>
      <c r="E11552" s="2" t="s">
        <v>17</v>
      </c>
      <c r="F11552" s="2" t="str">
        <f>HYPERLINK("http://www.12365auto.com/zlts/20200206/446463.shtml","http://www.12365auto.com/zlts/20200206/446463.shtml")</f>
        <v>http://www.12365auto.com/zlts/20200206/446463.shtml</v>
      </c>
      <c r="G11552" s="2"/>
      <c r="H11552" s="2" t="s">
        <v>15436</v>
      </c>
      <c r="I11552" s="2" t="s">
        <v>15</v>
      </c>
      <c r="J11552" s="2" t="s">
        <v>12</v>
      </c>
      <c r="K11552" s="2" t="s">
        <v>15437</v>
      </c>
      <c r="L11552" s="2">
        <f t="shared" si="180"/>
        <v>150</v>
      </c>
    </row>
    <row r="11553" spans="1:12" ht="25" customHeight="1">
      <c r="A11553" s="2" t="s">
        <v>12</v>
      </c>
      <c r="B11553" s="2" t="str">
        <f>HYPERLINK("http://www.12365auto.com/xcdg/20200206/417798.shtml","马自达2020年新车规划 CX-30等3款新车上市")</f>
        <v>马自达2020年新车规划 CX-30等3款新车上市</v>
      </c>
      <c r="C11553" s="2" t="s">
        <v>13</v>
      </c>
      <c r="D11553" s="2" t="s">
        <v>12</v>
      </c>
      <c r="E11553" s="2" t="s">
        <v>216</v>
      </c>
      <c r="F11553" s="2" t="str">
        <f>HYPERLINK("http://www.12365auto.com/xcdg/20200206/417798.shtml","http://www.12365auto.com/xcdg/20200206/417798.shtml")</f>
        <v>http://www.12365auto.com/xcdg/20200206/417798.shtml</v>
      </c>
      <c r="G11553" s="2"/>
      <c r="H11553" s="2" t="s">
        <v>15438</v>
      </c>
      <c r="I11553" s="2" t="s">
        <v>15</v>
      </c>
      <c r="J11553" s="2" t="s">
        <v>12</v>
      </c>
      <c r="K11553" s="2" t="s">
        <v>15439</v>
      </c>
      <c r="L11553" s="2">
        <f t="shared" si="180"/>
        <v>150</v>
      </c>
    </row>
    <row r="11554" spans="1:12" ht="25" customHeight="1">
      <c r="A11554" s="2" t="s">
        <v>12</v>
      </c>
      <c r="B11554" s="2" t="str">
        <f>HYPERLINK("http://m.12365auto.com/xcdg/20200206/417798.shtml","马自达2020年新车规划 CX-30等3款新车上市")</f>
        <v>马自达2020年新车规划 CX-30等3款新车上市</v>
      </c>
      <c r="C11554" s="2" t="s">
        <v>13</v>
      </c>
      <c r="D11554" s="2" t="s">
        <v>12</v>
      </c>
      <c r="E11554" s="2"/>
      <c r="F11554" s="2" t="str">
        <f>HYPERLINK("http://m.12365auto.com/xcdg/20200206/417798.shtml","http://m.12365auto.com/xcdg/20200206/417798.shtml")</f>
        <v>http://m.12365auto.com/xcdg/20200206/417798.shtml</v>
      </c>
      <c r="G11554" s="2"/>
      <c r="H11554" s="2" t="s">
        <v>15440</v>
      </c>
      <c r="I11554" s="2" t="s">
        <v>19</v>
      </c>
      <c r="J11554" s="2" t="s">
        <v>265</v>
      </c>
      <c r="K11554" s="2" t="s">
        <v>15439</v>
      </c>
      <c r="L11554" s="2">
        <f t="shared" si="180"/>
        <v>150</v>
      </c>
    </row>
    <row r="11555" spans="1:12" ht="25" customHeight="1">
      <c r="A11555" s="2" t="s">
        <v>12</v>
      </c>
      <c r="B11555" s="2" t="str">
        <f>HYPERLINK("http://www.12365auto.com/xcdg/20200206/417797.shtml","路虎新卫士实车曝光 即将发布有望5月上市")</f>
        <v>路虎新卫士实车曝光 即将发布有望5月上市</v>
      </c>
      <c r="C11555" s="2" t="s">
        <v>13</v>
      </c>
      <c r="D11555" s="2" t="s">
        <v>12</v>
      </c>
      <c r="E11555" s="2" t="s">
        <v>224</v>
      </c>
      <c r="F11555" s="2" t="str">
        <f>HYPERLINK("http://www.12365auto.com/xcdg/20200206/417797.shtml","http://www.12365auto.com/xcdg/20200206/417797.shtml")</f>
        <v>http://www.12365auto.com/xcdg/20200206/417797.shtml</v>
      </c>
      <c r="G11555" s="2"/>
      <c r="H11555" s="2" t="s">
        <v>15441</v>
      </c>
      <c r="I11555" s="2" t="s">
        <v>15</v>
      </c>
      <c r="J11555" s="2" t="s">
        <v>12</v>
      </c>
      <c r="K11555" s="2" t="s">
        <v>15442</v>
      </c>
      <c r="L11555" s="2">
        <f t="shared" si="180"/>
        <v>150</v>
      </c>
    </row>
    <row r="11556" spans="1:12" ht="25" customHeight="1">
      <c r="A11556" s="2" t="s">
        <v>12</v>
      </c>
      <c r="B11556" s="2" t="str">
        <f>HYPERLINK("http://m.12365auto.com/xcdg/20200206/417797.shtml","路虎新卫士实车曝光 即将发布有望5月上市")</f>
        <v>路虎新卫士实车曝光 即将发布有望5月上市</v>
      </c>
      <c r="C11556" s="2" t="s">
        <v>13</v>
      </c>
      <c r="D11556" s="2" t="s">
        <v>12</v>
      </c>
      <c r="E11556" s="2"/>
      <c r="F11556" s="2" t="str">
        <f>HYPERLINK("http://m.12365auto.com/xcdg/20200206/417797.shtml","http://m.12365auto.com/xcdg/20200206/417797.shtml")</f>
        <v>http://m.12365auto.com/xcdg/20200206/417797.shtml</v>
      </c>
      <c r="G11556" s="2"/>
      <c r="H11556" s="2" t="s">
        <v>15443</v>
      </c>
      <c r="I11556" s="2" t="s">
        <v>19</v>
      </c>
      <c r="J11556" s="2" t="s">
        <v>2603</v>
      </c>
      <c r="K11556" s="2" t="s">
        <v>15442</v>
      </c>
      <c r="L11556" s="2">
        <f t="shared" si="180"/>
        <v>150</v>
      </c>
    </row>
    <row r="11557" spans="1:12" ht="25" customHeight="1">
      <c r="A11557" s="2" t="s">
        <v>12</v>
      </c>
      <c r="B11557" s="2" t="str">
        <f>HYPERLINK("http://www.12365auto.com/xcdg/20200206/417796.shtml","东风风光MPV曝光 比奥德赛大 百公里1.6L油")</f>
        <v>东风风光MPV曝光 比奥德赛大 百公里1.6L油</v>
      </c>
      <c r="C11557" s="2" t="s">
        <v>13</v>
      </c>
      <c r="D11557" s="2" t="s">
        <v>12</v>
      </c>
      <c r="E11557" s="2" t="s">
        <v>216</v>
      </c>
      <c r="F11557" s="2" t="str">
        <f>HYPERLINK("http://www.12365auto.com/xcdg/20200206/417796.shtml","http://www.12365auto.com/xcdg/20200206/417796.shtml")</f>
        <v>http://www.12365auto.com/xcdg/20200206/417796.shtml</v>
      </c>
      <c r="G11557" s="2"/>
      <c r="H11557" s="2" t="s">
        <v>15444</v>
      </c>
      <c r="I11557" s="2" t="s">
        <v>15</v>
      </c>
      <c r="J11557" s="2" t="s">
        <v>12</v>
      </c>
      <c r="K11557" s="2" t="s">
        <v>15445</v>
      </c>
      <c r="L11557" s="2">
        <f t="shared" si="180"/>
        <v>150</v>
      </c>
    </row>
    <row r="11558" spans="1:12" ht="25" customHeight="1">
      <c r="A11558" s="2" t="s">
        <v>12</v>
      </c>
      <c r="B11558" s="2" t="str">
        <f>HYPERLINK("http://m.12365auto.com/xcdg/20200206/417796.shtml","东风风光MPV曝光 比奥德赛大 百公里1.6L油")</f>
        <v>东风风光MPV曝光 比奥德赛大 百公里1.6L油</v>
      </c>
      <c r="C11558" s="2" t="s">
        <v>13</v>
      </c>
      <c r="D11558" s="2" t="s">
        <v>12</v>
      </c>
      <c r="E11558" s="2"/>
      <c r="F11558" s="2" t="str">
        <f>HYPERLINK("http://m.12365auto.com/xcdg/20200206/417796.shtml","http://m.12365auto.com/xcdg/20200206/417796.shtml")</f>
        <v>http://m.12365auto.com/xcdg/20200206/417796.shtml</v>
      </c>
      <c r="G11558" s="2"/>
      <c r="H11558" s="2" t="s">
        <v>15446</v>
      </c>
      <c r="I11558" s="2" t="s">
        <v>19</v>
      </c>
      <c r="J11558" s="2" t="s">
        <v>6086</v>
      </c>
      <c r="K11558" s="2" t="s">
        <v>15445</v>
      </c>
      <c r="L11558" s="2">
        <f t="shared" si="180"/>
        <v>150</v>
      </c>
    </row>
    <row r="11559" spans="1:12" ht="25" customHeight="1">
      <c r="A11559" s="2" t="s">
        <v>12</v>
      </c>
      <c r="B11559" s="2" t="str">
        <f>HYPERLINK("http://www.12365auto.com/news/20200206/417795.shtml","减压经销商 关怀用户 奔腾推出10项服务举措")</f>
        <v>减压经销商 关怀用户 奔腾推出10项服务举措</v>
      </c>
      <c r="C11559" s="2" t="s">
        <v>13</v>
      </c>
      <c r="D11559" s="2" t="s">
        <v>12</v>
      </c>
      <c r="E11559" s="2" t="s">
        <v>276</v>
      </c>
      <c r="F11559" s="2" t="str">
        <f>HYPERLINK("http://www.12365auto.com/news/20200206/417795.shtml","http://www.12365auto.com/news/20200206/417795.shtml")</f>
        <v>http://www.12365auto.com/news/20200206/417795.shtml</v>
      </c>
      <c r="G11559" s="2"/>
      <c r="H11559" s="2" t="s">
        <v>15447</v>
      </c>
      <c r="I11559" s="2" t="s">
        <v>15</v>
      </c>
      <c r="J11559" s="2" t="s">
        <v>12</v>
      </c>
      <c r="K11559" s="2" t="s">
        <v>15448</v>
      </c>
      <c r="L11559" s="2">
        <f t="shared" si="180"/>
        <v>150</v>
      </c>
    </row>
    <row r="11560" spans="1:12" ht="25" customHeight="1">
      <c r="A11560" s="2" t="s">
        <v>12</v>
      </c>
      <c r="B11560" s="2" t="str">
        <f>HYPERLINK("http://m.12365auto.com/news/20200206/417795.shtml","减压经销商 关怀用户 奔腾推出10项服务举措")</f>
        <v>减压经销商 关怀用户 奔腾推出10项服务举措</v>
      </c>
      <c r="C11560" s="2" t="s">
        <v>13</v>
      </c>
      <c r="D11560" s="2" t="s">
        <v>12</v>
      </c>
      <c r="E11560" s="2"/>
      <c r="F11560" s="2" t="str">
        <f>HYPERLINK("http://m.12365auto.com/news/20200206/417795.shtml","http://m.12365auto.com/news/20200206/417795.shtml")</f>
        <v>http://m.12365auto.com/news/20200206/417795.shtml</v>
      </c>
      <c r="G11560" s="2"/>
      <c r="H11560" s="2" t="s">
        <v>15449</v>
      </c>
      <c r="I11560" s="2" t="s">
        <v>19</v>
      </c>
      <c r="J11560" s="2" t="s">
        <v>6086</v>
      </c>
      <c r="K11560" s="2" t="s">
        <v>15448</v>
      </c>
      <c r="L11560" s="2">
        <f t="shared" si="180"/>
        <v>150</v>
      </c>
    </row>
    <row r="11561" spans="1:12" ht="25" customHeight="1">
      <c r="A11561" s="2" t="s">
        <v>12</v>
      </c>
      <c r="B11561" s="2" t="str">
        <f>HYPERLINK("http://m.12365auto.com/xcdg/20200206/417794.shtml","20万左右预算想买豪华品牌SUV 这3款正合适")</f>
        <v>20万左右预算想买豪华品牌SUV 这3款正合适</v>
      </c>
      <c r="C11561" s="2" t="s">
        <v>13</v>
      </c>
      <c r="D11561" s="2" t="s">
        <v>12</v>
      </c>
      <c r="E11561" s="2"/>
      <c r="F11561" s="2" t="str">
        <f>HYPERLINK("http://m.12365auto.com/xcdg/20200206/417794.shtml","http://m.12365auto.com/xcdg/20200206/417794.shtml")</f>
        <v>http://m.12365auto.com/xcdg/20200206/417794.shtml</v>
      </c>
      <c r="G11561" s="2"/>
      <c r="H11561" s="2" t="s">
        <v>15450</v>
      </c>
      <c r="I11561" s="2" t="s">
        <v>19</v>
      </c>
      <c r="J11561" s="2" t="s">
        <v>6112</v>
      </c>
      <c r="K11561" s="2" t="s">
        <v>15451</v>
      </c>
      <c r="L11561" s="2">
        <f t="shared" si="180"/>
        <v>150</v>
      </c>
    </row>
    <row r="11562" spans="1:12" ht="25" customHeight="1">
      <c r="A11562" s="2" t="s">
        <v>12</v>
      </c>
      <c r="B11562" s="2" t="str">
        <f>HYPERLINK("http://m.12365auto.com/xcdg/20200206/417793.shtml","还看缤智/XR-V？现代这台全新SUV更值得期待")</f>
        <v>还看缤智/XR-V？现代这台全新SUV更值得期待</v>
      </c>
      <c r="C11562" s="2" t="s">
        <v>13</v>
      </c>
      <c r="D11562" s="2" t="s">
        <v>12</v>
      </c>
      <c r="E11562" s="2"/>
      <c r="F11562" s="2" t="str">
        <f>HYPERLINK("http://m.12365auto.com/xcdg/20200206/417793.shtml","http://m.12365auto.com/xcdg/20200206/417793.shtml")</f>
        <v>http://m.12365auto.com/xcdg/20200206/417793.shtml</v>
      </c>
      <c r="G11562" s="2"/>
      <c r="H11562" s="2" t="s">
        <v>15452</v>
      </c>
      <c r="I11562" s="2" t="s">
        <v>19</v>
      </c>
      <c r="J11562" s="2" t="s">
        <v>1255</v>
      </c>
      <c r="K11562" s="2" t="s">
        <v>15453</v>
      </c>
      <c r="L11562" s="2">
        <f t="shared" si="180"/>
        <v>150</v>
      </c>
    </row>
    <row r="11563" spans="1:12" ht="25" customHeight="1">
      <c r="A11563" s="2" t="s">
        <v>12</v>
      </c>
      <c r="B11563" s="2" t="str">
        <f>HYPERLINK("http://www.12365auto.com/news/20200206/417792.shtml","大搞自动驾驶 马斯克亲自为特斯拉招人")</f>
        <v>大搞自动驾驶 马斯克亲自为特斯拉招人</v>
      </c>
      <c r="C11563" s="2" t="s">
        <v>13</v>
      </c>
      <c r="D11563" s="2" t="s">
        <v>12</v>
      </c>
      <c r="E11563" s="2" t="s">
        <v>276</v>
      </c>
      <c r="F11563" s="2" t="str">
        <f>HYPERLINK("http://www.12365auto.com/news/20200206/417792.shtml","http://www.12365auto.com/news/20200206/417792.shtml")</f>
        <v>http://www.12365auto.com/news/20200206/417792.shtml</v>
      </c>
      <c r="G11563" s="2"/>
      <c r="H11563" s="2" t="s">
        <v>15454</v>
      </c>
      <c r="I11563" s="2" t="s">
        <v>15</v>
      </c>
      <c r="J11563" s="2" t="s">
        <v>12</v>
      </c>
      <c r="K11563" s="2" t="s">
        <v>15455</v>
      </c>
      <c r="L11563" s="2">
        <f t="shared" si="180"/>
        <v>150</v>
      </c>
    </row>
    <row r="11564" spans="1:12" ht="25" customHeight="1">
      <c r="A11564" s="2" t="s">
        <v>12</v>
      </c>
      <c r="B11564" s="2" t="str">
        <f>HYPERLINK("http://m.12365auto.com/news/20200206/417792.shtml","大搞自动驾驶 马斯克亲自为特斯拉招人")</f>
        <v>大搞自动驾驶 马斯克亲自为特斯拉招人</v>
      </c>
      <c r="C11564" s="2" t="s">
        <v>13</v>
      </c>
      <c r="D11564" s="2" t="s">
        <v>12</v>
      </c>
      <c r="E11564" s="2"/>
      <c r="F11564" s="2" t="str">
        <f>HYPERLINK("http://m.12365auto.com/news/20200206/417792.shtml","http://m.12365auto.com/news/20200206/417792.shtml")</f>
        <v>http://m.12365auto.com/news/20200206/417792.shtml</v>
      </c>
      <c r="G11564" s="2"/>
      <c r="H11564" s="2" t="s">
        <v>15456</v>
      </c>
      <c r="I11564" s="2" t="s">
        <v>19</v>
      </c>
      <c r="J11564" s="2" t="s">
        <v>1188</v>
      </c>
      <c r="K11564" s="2" t="s">
        <v>15455</v>
      </c>
      <c r="L11564" s="2">
        <f t="shared" si="180"/>
        <v>150</v>
      </c>
    </row>
    <row r="11565" spans="1:12" ht="25" customHeight="1">
      <c r="A11565" s="2" t="s">
        <v>12</v>
      </c>
      <c r="B11565" s="2" t="str">
        <f>HYPERLINK("http://www.12365auto.com/xcdg/20200206/417791.shtml","质感提升 曝新款帕杰罗劲畅国内谍照")</f>
        <v>质感提升 曝新款帕杰罗劲畅国内谍照</v>
      </c>
      <c r="C11565" s="2" t="s">
        <v>13</v>
      </c>
      <c r="D11565" s="2" t="s">
        <v>12</v>
      </c>
      <c r="E11565" s="2" t="s">
        <v>224</v>
      </c>
      <c r="F11565" s="2" t="str">
        <f>HYPERLINK("http://www.12365auto.com/xcdg/20200206/417791.shtml","http://www.12365auto.com/xcdg/20200206/417791.shtml")</f>
        <v>http://www.12365auto.com/xcdg/20200206/417791.shtml</v>
      </c>
      <c r="G11565" s="2"/>
      <c r="H11565" s="2" t="s">
        <v>15457</v>
      </c>
      <c r="I11565" s="2" t="s">
        <v>15</v>
      </c>
      <c r="J11565" s="2" t="s">
        <v>12</v>
      </c>
      <c r="K11565" s="2" t="s">
        <v>15458</v>
      </c>
      <c r="L11565" s="2">
        <f t="shared" si="180"/>
        <v>150</v>
      </c>
    </row>
    <row r="11566" spans="1:12" ht="25" customHeight="1">
      <c r="A11566" s="2" t="s">
        <v>12</v>
      </c>
      <c r="B11566" s="2" t="str">
        <f>HYPERLINK("http://m.12365auto.com/xcdg/20200206/417791.shtml","质感提升 曝新款帕杰罗劲畅国内谍照")</f>
        <v>质感提升 曝新款帕杰罗劲畅国内谍照</v>
      </c>
      <c r="C11566" s="2" t="s">
        <v>13</v>
      </c>
      <c r="D11566" s="2" t="s">
        <v>12</v>
      </c>
      <c r="E11566" s="2"/>
      <c r="F11566" s="2" t="str">
        <f>HYPERLINK("http://m.12365auto.com/xcdg/20200206/417791.shtml","http://m.12365auto.com/xcdg/20200206/417791.shtml")</f>
        <v>http://m.12365auto.com/xcdg/20200206/417791.shtml</v>
      </c>
      <c r="G11566" s="2"/>
      <c r="H11566" s="2" t="s">
        <v>15459</v>
      </c>
      <c r="I11566" s="2" t="s">
        <v>19</v>
      </c>
      <c r="J11566" s="2" t="s">
        <v>317</v>
      </c>
      <c r="K11566" s="2" t="s">
        <v>15458</v>
      </c>
      <c r="L11566" s="2">
        <f t="shared" si="180"/>
        <v>150</v>
      </c>
    </row>
    <row r="11567" spans="1:12" ht="25" customHeight="1">
      <c r="A11567" s="2" t="s">
        <v>12</v>
      </c>
      <c r="B11567" s="2" t="str">
        <f>HYPERLINK("http://www.12365auto.com/news/20200206/417790.shtml","奇瑞瑞弗首批20辆负压救护车正式交付")</f>
        <v>奇瑞瑞弗首批20辆负压救护车正式交付</v>
      </c>
      <c r="C11567" s="2" t="s">
        <v>13</v>
      </c>
      <c r="D11567" s="2" t="s">
        <v>12</v>
      </c>
      <c r="E11567" s="2" t="s">
        <v>276</v>
      </c>
      <c r="F11567" s="2" t="str">
        <f>HYPERLINK("http://www.12365auto.com/news/20200206/417790.shtml","http://www.12365auto.com/news/20200206/417790.shtml")</f>
        <v>http://www.12365auto.com/news/20200206/417790.shtml</v>
      </c>
      <c r="G11567" s="2"/>
      <c r="H11567" s="2" t="s">
        <v>14282</v>
      </c>
      <c r="I11567" s="2" t="s">
        <v>15</v>
      </c>
      <c r="J11567" s="2" t="s">
        <v>12</v>
      </c>
      <c r="K11567" s="2" t="s">
        <v>15460</v>
      </c>
      <c r="L11567" s="2">
        <f t="shared" si="180"/>
        <v>150</v>
      </c>
    </row>
    <row r="11568" spans="1:12" ht="25" customHeight="1">
      <c r="A11568" s="2" t="s">
        <v>12</v>
      </c>
      <c r="B11568" s="2" t="str">
        <f>HYPERLINK("http://m.12365auto.com/news/20200206/417790.shtml","奇瑞瑞弗首批20辆负压救护车正式交付")</f>
        <v>奇瑞瑞弗首批20辆负压救护车正式交付</v>
      </c>
      <c r="C11568" s="2" t="s">
        <v>13</v>
      </c>
      <c r="D11568" s="2" t="s">
        <v>12</v>
      </c>
      <c r="E11568" s="2"/>
      <c r="F11568" s="2" t="str">
        <f>HYPERLINK("http://m.12365auto.com/news/20200206/417790.shtml","http://m.12365auto.com/news/20200206/417790.shtml")</f>
        <v>http://m.12365auto.com/news/20200206/417790.shtml</v>
      </c>
      <c r="G11568" s="2"/>
      <c r="H11568" s="2" t="s">
        <v>14284</v>
      </c>
      <c r="I11568" s="2" t="s">
        <v>19</v>
      </c>
      <c r="J11568" s="2" t="s">
        <v>274</v>
      </c>
      <c r="K11568" s="2" t="s">
        <v>15460</v>
      </c>
      <c r="L11568" s="2">
        <f t="shared" si="180"/>
        <v>150</v>
      </c>
    </row>
    <row r="11569" spans="1:12" ht="25" customHeight="1">
      <c r="A11569" s="2" t="s">
        <v>12</v>
      </c>
      <c r="B11569" s="2" t="str">
        <f>HYPERLINK("http://www.12365auto.com/xcdg/20200206/417789.shtml","1.4T/四款车型 曝一汽-大众捷达VS7配置")</f>
        <v>1.4T/四款车型 曝一汽-大众捷达VS7配置</v>
      </c>
      <c r="C11569" s="2" t="s">
        <v>13</v>
      </c>
      <c r="D11569" s="2" t="s">
        <v>12</v>
      </c>
      <c r="E11569" s="2" t="s">
        <v>216</v>
      </c>
      <c r="F11569" s="2" t="str">
        <f>HYPERLINK("http://www.12365auto.com/xcdg/20200206/417789.shtml","http://www.12365auto.com/xcdg/20200206/417789.shtml")</f>
        <v>http://www.12365auto.com/xcdg/20200206/417789.shtml</v>
      </c>
      <c r="G11569" s="2"/>
      <c r="H11569" s="2" t="s">
        <v>15461</v>
      </c>
      <c r="I11569" s="2" t="s">
        <v>15</v>
      </c>
      <c r="J11569" s="2" t="s">
        <v>12</v>
      </c>
      <c r="K11569" s="2" t="s">
        <v>15462</v>
      </c>
      <c r="L11569" s="2">
        <f t="shared" si="180"/>
        <v>150</v>
      </c>
    </row>
    <row r="11570" spans="1:12" ht="25" customHeight="1">
      <c r="A11570" s="2" t="s">
        <v>12</v>
      </c>
      <c r="B11570" s="2" t="str">
        <f>HYPERLINK("http://m.12365auto.com/xcdg/20200206/417789.shtml","1.4T/四款车型 曝一汽-大众捷达VS7配置")</f>
        <v>1.4T/四款车型 曝一汽-大众捷达VS7配置</v>
      </c>
      <c r="C11570" s="2" t="s">
        <v>13</v>
      </c>
      <c r="D11570" s="2" t="s">
        <v>12</v>
      </c>
      <c r="E11570" s="2"/>
      <c r="F11570" s="2" t="str">
        <f>HYPERLINK("http://m.12365auto.com/xcdg/20200206/417789.shtml","http://m.12365auto.com/xcdg/20200206/417789.shtml")</f>
        <v>http://m.12365auto.com/xcdg/20200206/417789.shtml</v>
      </c>
      <c r="G11570" s="2"/>
      <c r="H11570" s="2" t="s">
        <v>15463</v>
      </c>
      <c r="I11570" s="2" t="s">
        <v>19</v>
      </c>
      <c r="J11570" s="2" t="s">
        <v>1197</v>
      </c>
      <c r="K11570" s="2" t="s">
        <v>15462</v>
      </c>
      <c r="L11570" s="2">
        <f t="shared" si="180"/>
        <v>150</v>
      </c>
    </row>
    <row r="11571" spans="1:12" ht="25" customHeight="1">
      <c r="A11571" s="2" t="s">
        <v>12</v>
      </c>
      <c r="B11571" s="2" t="str">
        <f>HYPERLINK("http://m.12365auto.com/news/20200206/417788.shtml","为经销商松绑 东风风神下调销量目标")</f>
        <v>为经销商松绑 东风风神下调销量目标</v>
      </c>
      <c r="C11571" s="2" t="s">
        <v>13</v>
      </c>
      <c r="D11571" s="2" t="s">
        <v>12</v>
      </c>
      <c r="E11571" s="2"/>
      <c r="F11571" s="2" t="str">
        <f>HYPERLINK("http://m.12365auto.com/news/20200206/417788.shtml","http://m.12365auto.com/news/20200206/417788.shtml")</f>
        <v>http://m.12365auto.com/news/20200206/417788.shtml</v>
      </c>
      <c r="G11571" s="2"/>
      <c r="H11571" s="2" t="s">
        <v>15464</v>
      </c>
      <c r="I11571" s="2" t="s">
        <v>19</v>
      </c>
      <c r="J11571" s="2" t="s">
        <v>1170</v>
      </c>
      <c r="K11571" s="2" t="s">
        <v>15465</v>
      </c>
      <c r="L11571" s="2">
        <f t="shared" si="180"/>
        <v>150</v>
      </c>
    </row>
    <row r="11572" spans="1:12" ht="25" customHeight="1">
      <c r="A11572" s="2" t="s">
        <v>12</v>
      </c>
      <c r="B11572" s="2" t="str">
        <f>HYPERLINK("http://www.12365auto.com/news/20200206/417788.shtml","为经销商松绑 东风风神下调销量目标")</f>
        <v>为经销商松绑 东风风神下调销量目标</v>
      </c>
      <c r="C11572" s="2" t="s">
        <v>13</v>
      </c>
      <c r="D11572" s="2" t="s">
        <v>12</v>
      </c>
      <c r="E11572" s="2" t="s">
        <v>276</v>
      </c>
      <c r="F11572" s="2" t="str">
        <f>HYPERLINK("http://www.12365auto.com/news/20200206/417788.shtml","http://www.12365auto.com/news/20200206/417788.shtml")</f>
        <v>http://www.12365auto.com/news/20200206/417788.shtml</v>
      </c>
      <c r="G11572" s="2"/>
      <c r="H11572" s="2" t="s">
        <v>15466</v>
      </c>
      <c r="I11572" s="2" t="s">
        <v>15</v>
      </c>
      <c r="J11572" s="2" t="s">
        <v>12</v>
      </c>
      <c r="K11572" s="2" t="s">
        <v>15465</v>
      </c>
      <c r="L11572" s="2">
        <f t="shared" si="180"/>
        <v>150</v>
      </c>
    </row>
    <row r="11573" spans="1:12" ht="25" customHeight="1">
      <c r="A11573" s="2" t="s">
        <v>12</v>
      </c>
      <c r="B11573" s="2" t="str">
        <f>HYPERLINK("http://m.12365auto.com/news/20200206/417787.shtml","英国脱欧后 日产汽车业务将何去何从？")</f>
        <v>英国脱欧后 日产汽车业务将何去何从？</v>
      </c>
      <c r="C11573" s="2" t="s">
        <v>13</v>
      </c>
      <c r="D11573" s="2" t="s">
        <v>12</v>
      </c>
      <c r="E11573" s="2"/>
      <c r="F11573" s="2" t="str">
        <f>HYPERLINK("http://m.12365auto.com/news/20200206/417787.shtml","http://m.12365auto.com/news/20200206/417787.shtml")</f>
        <v>http://m.12365auto.com/news/20200206/417787.shtml</v>
      </c>
      <c r="G11573" s="2"/>
      <c r="H11573" s="2" t="s">
        <v>15467</v>
      </c>
      <c r="I11573" s="2" t="s">
        <v>19</v>
      </c>
      <c r="J11573" s="2" t="s">
        <v>1543</v>
      </c>
      <c r="K11573" s="2" t="s">
        <v>15468</v>
      </c>
      <c r="L11573" s="2">
        <f t="shared" si="180"/>
        <v>150</v>
      </c>
    </row>
    <row r="11574" spans="1:12" ht="25" customHeight="1">
      <c r="A11574" s="2" t="s">
        <v>12</v>
      </c>
      <c r="B11574" s="2" t="str">
        <f>HYPERLINK("http://www.12365auto.com/news/20200206/417787.shtml","英国脱欧后 日产汽车业务将何去何从？")</f>
        <v>英国脱欧后 日产汽车业务将何去何从？</v>
      </c>
      <c r="C11574" s="2" t="s">
        <v>13</v>
      </c>
      <c r="D11574" s="2" t="s">
        <v>12</v>
      </c>
      <c r="E11574" s="2" t="s">
        <v>276</v>
      </c>
      <c r="F11574" s="2" t="str">
        <f>HYPERLINK("http://www.12365auto.com/news/20200206/417787.shtml","http://www.12365auto.com/news/20200206/417787.shtml")</f>
        <v>http://www.12365auto.com/news/20200206/417787.shtml</v>
      </c>
      <c r="G11574" s="2"/>
      <c r="H11574" s="2" t="s">
        <v>15469</v>
      </c>
      <c r="I11574" s="2" t="s">
        <v>15</v>
      </c>
      <c r="J11574" s="2" t="s">
        <v>12</v>
      </c>
      <c r="K11574" s="2" t="s">
        <v>15468</v>
      </c>
      <c r="L11574" s="2">
        <f t="shared" si="180"/>
        <v>150</v>
      </c>
    </row>
    <row r="11575" spans="1:12" ht="25" customHeight="1">
      <c r="A11575" s="2" t="s">
        <v>12</v>
      </c>
      <c r="B11575" s="2" t="str">
        <f>HYPERLINK("http://m.12365auto.com/news/20200206/417786.shtml","零风险盲购 哪吒汽车推出创新销售政策")</f>
        <v>零风险盲购 哪吒汽车推出创新销售政策</v>
      </c>
      <c r="C11575" s="2" t="s">
        <v>13</v>
      </c>
      <c r="D11575" s="2" t="s">
        <v>12</v>
      </c>
      <c r="E11575" s="2"/>
      <c r="F11575" s="2" t="str">
        <f>HYPERLINK("http://m.12365auto.com/news/20200206/417786.shtml","http://m.12365auto.com/news/20200206/417786.shtml")</f>
        <v>http://m.12365auto.com/news/20200206/417786.shtml</v>
      </c>
      <c r="G11575" s="2"/>
      <c r="H11575" s="2" t="s">
        <v>15470</v>
      </c>
      <c r="I11575" s="2" t="s">
        <v>19</v>
      </c>
      <c r="J11575" s="2" t="s">
        <v>274</v>
      </c>
      <c r="K11575" s="2" t="s">
        <v>15471</v>
      </c>
      <c r="L11575" s="2">
        <f t="shared" si="180"/>
        <v>150</v>
      </c>
    </row>
    <row r="11576" spans="1:12" ht="25" customHeight="1">
      <c r="A11576" s="2" t="s">
        <v>12</v>
      </c>
      <c r="B11576" s="2" t="str">
        <f>HYPERLINK("http://www.12365auto.com/news/20200206/417786.shtml","零风险盲购 哪吒汽车推出创新销售政策")</f>
        <v>零风险盲购 哪吒汽车推出创新销售政策</v>
      </c>
      <c r="C11576" s="2" t="s">
        <v>13</v>
      </c>
      <c r="D11576" s="2" t="s">
        <v>12</v>
      </c>
      <c r="E11576" s="2" t="s">
        <v>276</v>
      </c>
      <c r="F11576" s="2" t="str">
        <f>HYPERLINK("http://www.12365auto.com/news/20200206/417786.shtml","http://www.12365auto.com/news/20200206/417786.shtml")</f>
        <v>http://www.12365auto.com/news/20200206/417786.shtml</v>
      </c>
      <c r="G11576" s="2"/>
      <c r="H11576" s="2" t="s">
        <v>15472</v>
      </c>
      <c r="I11576" s="2" t="s">
        <v>15</v>
      </c>
      <c r="J11576" s="2" t="s">
        <v>12</v>
      </c>
      <c r="K11576" s="2" t="s">
        <v>15471</v>
      </c>
      <c r="L11576" s="2">
        <f t="shared" si="180"/>
        <v>150</v>
      </c>
    </row>
    <row r="11577" spans="1:12" ht="25" customHeight="1">
      <c r="A11577" s="2" t="s">
        <v>12</v>
      </c>
      <c r="B11577" s="2" t="str">
        <f>HYPERLINK("http://www.12365auto.com/zlts/20200206/446460.shtml","主驾驶位置和主驾驶后面，漏水")</f>
        <v>主驾驶位置和主驾驶后面，漏水</v>
      </c>
      <c r="C11577" s="2" t="s">
        <v>13</v>
      </c>
      <c r="D11577" s="2" t="s">
        <v>12</v>
      </c>
      <c r="E11577" s="2"/>
      <c r="F11577" s="2" t="str">
        <f>HYPERLINK("http://www.12365auto.com/zlts/20200206/446460.shtml","http://www.12365auto.com/zlts/20200206/446460.shtml")</f>
        <v>http://www.12365auto.com/zlts/20200206/446460.shtml</v>
      </c>
      <c r="G11577" s="2"/>
      <c r="H11577" s="2" t="s">
        <v>15474</v>
      </c>
      <c r="I11577" s="2" t="s">
        <v>15</v>
      </c>
      <c r="J11577" s="2" t="s">
        <v>12</v>
      </c>
      <c r="K11577" s="2" t="s">
        <v>15473</v>
      </c>
      <c r="L11577" s="2">
        <f t="shared" si="180"/>
        <v>81</v>
      </c>
    </row>
    <row r="11578" spans="1:12" ht="25" customHeight="1">
      <c r="A11578" s="2" t="s">
        <v>12</v>
      </c>
      <c r="B11578" s="2" t="str">
        <f>HYPERLINK("http://m.12365auto.com/xcdg/20200206/417785.shtml","全新宝马X5 xDrive45e上市 售84.99万元")</f>
        <v>全新宝马X5 xDrive45e上市 售84.99万元</v>
      </c>
      <c r="C11578" s="2" t="s">
        <v>13</v>
      </c>
      <c r="D11578" s="2" t="s">
        <v>12</v>
      </c>
      <c r="E11578" s="2"/>
      <c r="F11578" s="2" t="str">
        <f>HYPERLINK("http://m.12365auto.com/xcdg/20200206/417785.shtml","http://m.12365auto.com/xcdg/20200206/417785.shtml")</f>
        <v>http://m.12365auto.com/xcdg/20200206/417785.shtml</v>
      </c>
      <c r="G11578" s="2"/>
      <c r="H11578" s="2" t="s">
        <v>15475</v>
      </c>
      <c r="I11578" s="2" t="s">
        <v>19</v>
      </c>
      <c r="J11578" s="2" t="s">
        <v>270</v>
      </c>
      <c r="K11578" s="2" t="s">
        <v>15476</v>
      </c>
      <c r="L11578" s="2">
        <f t="shared" si="180"/>
        <v>150</v>
      </c>
    </row>
    <row r="11579" spans="1:12" ht="25" customHeight="1">
      <c r="A11579" s="2" t="s">
        <v>12</v>
      </c>
      <c r="B11579" s="2" t="str">
        <f>HYPERLINK("http://www.12365auto.com/xcdg/20200206/417785.shtml","全新宝马X5 xDrive45e上市 售84.99万元")</f>
        <v>全新宝马X5 xDrive45e上市 售84.99万元</v>
      </c>
      <c r="C11579" s="2" t="s">
        <v>13</v>
      </c>
      <c r="D11579" s="2" t="s">
        <v>12</v>
      </c>
      <c r="E11579" s="2" t="s">
        <v>216</v>
      </c>
      <c r="F11579" s="2" t="str">
        <f>HYPERLINK("http://www.12365auto.com/xcdg/20200206/417785.shtml","http://www.12365auto.com/xcdg/20200206/417785.shtml")</f>
        <v>http://www.12365auto.com/xcdg/20200206/417785.shtml</v>
      </c>
      <c r="G11579" s="2"/>
      <c r="H11579" s="2" t="s">
        <v>15477</v>
      </c>
      <c r="I11579" s="2" t="s">
        <v>15</v>
      </c>
      <c r="J11579" s="2" t="s">
        <v>12</v>
      </c>
      <c r="K11579" s="2" t="s">
        <v>15476</v>
      </c>
      <c r="L11579" s="2">
        <f t="shared" si="180"/>
        <v>150</v>
      </c>
    </row>
    <row r="11580" spans="1:12" ht="25" customHeight="1">
      <c r="A11580" s="2" t="s">
        <v>12</v>
      </c>
      <c r="B11580" s="2" t="str">
        <f>HYPERLINK("http://www.12365auto.com/zlts/20200206/446459.shtml#404","汽车行驶过程中突然熄火")</f>
        <v>汽车行驶过程中突然熄火</v>
      </c>
      <c r="C11580" s="2" t="s">
        <v>13</v>
      </c>
      <c r="D11580" s="2" t="s">
        <v>12</v>
      </c>
      <c r="E11580" s="2"/>
      <c r="F11580" s="2" t="str">
        <f>HYPERLINK("http://www.12365auto.com/zlts/20200206/446459.shtml#404","http://www.12365auto.com/zlts/20200206/446459.shtml#404")</f>
        <v>http://www.12365auto.com/zlts/20200206/446459.shtml#404</v>
      </c>
      <c r="G11580" s="2"/>
      <c r="H11580" s="2" t="s">
        <v>15479</v>
      </c>
      <c r="I11580" s="2" t="s">
        <v>15</v>
      </c>
      <c r="J11580" s="2" t="s">
        <v>12</v>
      </c>
      <c r="K11580" s="2" t="s">
        <v>15478</v>
      </c>
      <c r="L11580" s="2">
        <f t="shared" si="180"/>
        <v>92</v>
      </c>
    </row>
    <row r="11581" spans="1:12" ht="25" customHeight="1">
      <c r="A11581" s="2" t="s">
        <v>12</v>
      </c>
      <c r="B11581" s="2" t="str">
        <f>HYPERLINK("http://m.12365auto.com/news/20200206/417784.shtml","恢复生产 特斯拉上海工厂拟2月10日复工")</f>
        <v>恢复生产 特斯拉上海工厂拟2月10日复工</v>
      </c>
      <c r="C11581" s="2" t="s">
        <v>13</v>
      </c>
      <c r="D11581" s="2" t="s">
        <v>12</v>
      </c>
      <c r="E11581" s="2"/>
      <c r="F11581" s="2" t="str">
        <f>HYPERLINK("http://m.12365auto.com/news/20200206/417784.shtml","http://m.12365auto.com/news/20200206/417784.shtml")</f>
        <v>http://m.12365auto.com/news/20200206/417784.shtml</v>
      </c>
      <c r="G11581" s="2"/>
      <c r="H11581" s="2" t="s">
        <v>15480</v>
      </c>
      <c r="I11581" s="2" t="s">
        <v>19</v>
      </c>
      <c r="J11581" s="2" t="s">
        <v>1643</v>
      </c>
      <c r="K11581" s="2" t="s">
        <v>15481</v>
      </c>
      <c r="L11581" s="2">
        <f t="shared" si="180"/>
        <v>150</v>
      </c>
    </row>
    <row r="11582" spans="1:12" ht="25" customHeight="1">
      <c r="A11582" s="2" t="s">
        <v>12</v>
      </c>
      <c r="B11582" s="2" t="str">
        <f>HYPERLINK("http://www.12365auto.com/news/20200206/417784.shtml","恢复生产 特斯拉上海工厂拟2月10日复工")</f>
        <v>恢复生产 特斯拉上海工厂拟2月10日复工</v>
      </c>
      <c r="C11582" s="2" t="s">
        <v>13</v>
      </c>
      <c r="D11582" s="2" t="s">
        <v>12</v>
      </c>
      <c r="E11582" s="2" t="s">
        <v>276</v>
      </c>
      <c r="F11582" s="2" t="str">
        <f>HYPERLINK("http://www.12365auto.com/news/20200206/417784.shtml","http://www.12365auto.com/news/20200206/417784.shtml")</f>
        <v>http://www.12365auto.com/news/20200206/417784.shtml</v>
      </c>
      <c r="G11582" s="2"/>
      <c r="H11582" s="2" t="s">
        <v>15482</v>
      </c>
      <c r="I11582" s="2" t="s">
        <v>15</v>
      </c>
      <c r="J11582" s="2" t="s">
        <v>12</v>
      </c>
      <c r="K11582" s="2" t="s">
        <v>15481</v>
      </c>
      <c r="L11582" s="2">
        <f t="shared" si="180"/>
        <v>150</v>
      </c>
    </row>
    <row r="11583" spans="1:12" ht="25" customHeight="1">
      <c r="A11583" s="2" t="s">
        <v>12</v>
      </c>
      <c r="B11583" s="2" t="str">
        <f>HYPERLINK("http://www.12365auto.com/zlts/20200206/446459.shtml","启辰D60汽车行驶过程中突然熄火希望处理")</f>
        <v>启辰D60汽车行驶过程中突然熄火希望处理</v>
      </c>
      <c r="C11583" s="2" t="s">
        <v>13</v>
      </c>
      <c r="D11583" s="2" t="s">
        <v>12</v>
      </c>
      <c r="E11583" s="2" t="s">
        <v>17</v>
      </c>
      <c r="F11583" s="2" t="str">
        <f>HYPERLINK("http://www.12365auto.com/zlts/20200206/446459.shtml","http://www.12365auto.com/zlts/20200206/446459.shtml")</f>
        <v>http://www.12365auto.com/zlts/20200206/446459.shtml</v>
      </c>
      <c r="G11583" s="2"/>
      <c r="H11583" s="2" t="s">
        <v>15483</v>
      </c>
      <c r="I11583" s="2" t="s">
        <v>19</v>
      </c>
      <c r="J11583" s="2" t="s">
        <v>12</v>
      </c>
      <c r="K11583" s="2" t="s">
        <v>15484</v>
      </c>
      <c r="L11583" s="2">
        <f t="shared" si="180"/>
        <v>150</v>
      </c>
    </row>
    <row r="11584" spans="1:12" ht="25" customHeight="1">
      <c r="A11584" s="2" t="s">
        <v>12</v>
      </c>
      <c r="B11584" s="2" t="str">
        <f>HYPERLINK("http://www.12365auto.com/zlts/20200206/446458.shtml","一汽奔腾T77发动机抖动引起车身共振")</f>
        <v>一汽奔腾T77发动机抖动引起车身共振</v>
      </c>
      <c r="C11584" s="2" t="s">
        <v>13</v>
      </c>
      <c r="D11584" s="2" t="s">
        <v>12</v>
      </c>
      <c r="E11584" s="2" t="s">
        <v>17</v>
      </c>
      <c r="F11584" s="2" t="str">
        <f>HYPERLINK("http://www.12365auto.com/zlts/20200206/446458.shtml","http://www.12365auto.com/zlts/20200206/446458.shtml")</f>
        <v>http://www.12365auto.com/zlts/20200206/446458.shtml</v>
      </c>
      <c r="G11584" s="2"/>
      <c r="H11584" s="2" t="s">
        <v>15485</v>
      </c>
      <c r="I11584" s="2" t="s">
        <v>19</v>
      </c>
      <c r="J11584" s="2" t="s">
        <v>12</v>
      </c>
      <c r="K11584" s="2" t="s">
        <v>15486</v>
      </c>
      <c r="L11584" s="2">
        <f t="shared" si="180"/>
        <v>150</v>
      </c>
    </row>
    <row r="11585" spans="1:12" ht="25" customHeight="1">
      <c r="A11585" s="2" t="s">
        <v>12</v>
      </c>
      <c r="B11585" s="2" t="str">
        <f>HYPERLINK("http://www.12365auto.com/xcdg/20200206/417783.shtml","配置真不低 实拍凯迪拉克CT5 28T技术型")</f>
        <v>配置真不低 实拍凯迪拉克CT5 28T技术型</v>
      </c>
      <c r="C11585" s="2" t="s">
        <v>13</v>
      </c>
      <c r="D11585" s="2" t="s">
        <v>12</v>
      </c>
      <c r="E11585" s="2" t="s">
        <v>245</v>
      </c>
      <c r="F11585" s="2" t="str">
        <f>HYPERLINK("http://www.12365auto.com/xcdg/20200206/417783.shtml","http://www.12365auto.com/xcdg/20200206/417783.shtml")</f>
        <v>http://www.12365auto.com/xcdg/20200206/417783.shtml</v>
      </c>
      <c r="G11585" s="2"/>
      <c r="H11585" s="2" t="s">
        <v>15487</v>
      </c>
      <c r="I11585" s="2" t="s">
        <v>19</v>
      </c>
      <c r="J11585" s="2" t="s">
        <v>12</v>
      </c>
      <c r="K11585" s="2" t="s">
        <v>15488</v>
      </c>
      <c r="L11585" s="2">
        <f t="shared" si="180"/>
        <v>150</v>
      </c>
    </row>
    <row r="11586" spans="1:12" ht="25" customHeight="1">
      <c r="A11586" s="2" t="s">
        <v>12</v>
      </c>
      <c r="B11586" s="2" t="str">
        <f>HYPERLINK("http://m.12365auto.com/xcdg/20200206/417783.shtml","配置真不低 实拍凯迪拉克CT5 28T技术型")</f>
        <v>配置真不低 实拍凯迪拉克CT5 28T技术型</v>
      </c>
      <c r="C11586" s="2" t="s">
        <v>13</v>
      </c>
      <c r="D11586" s="2" t="s">
        <v>12</v>
      </c>
      <c r="E11586" s="2"/>
      <c r="F11586" s="2" t="str">
        <f>HYPERLINK("http://m.12365auto.com/xcdg/20200206/417783.shtml","http://m.12365auto.com/xcdg/20200206/417783.shtml")</f>
        <v>http://m.12365auto.com/xcdg/20200206/417783.shtml</v>
      </c>
      <c r="G11586" s="2"/>
      <c r="H11586" s="2" t="s">
        <v>15489</v>
      </c>
      <c r="I11586" s="2" t="s">
        <v>19</v>
      </c>
      <c r="J11586" s="2" t="s">
        <v>8792</v>
      </c>
      <c r="K11586" s="2" t="s">
        <v>15488</v>
      </c>
      <c r="L11586" s="2">
        <f t="shared" si="180"/>
        <v>150</v>
      </c>
    </row>
    <row r="11587" spans="1:12" ht="25" customHeight="1">
      <c r="A11587" s="2" t="s">
        <v>12</v>
      </c>
      <c r="B11587" s="2" t="str">
        <f>HYPERLINK("http://m.12365auto.com/zjdy/20200205/121047.shtml","别克君威19款1.5T精英版落地多少钱？")</f>
        <v>别克君威19款1.5T精英版落地多少钱？</v>
      </c>
      <c r="C11587" s="2" t="s">
        <v>13</v>
      </c>
      <c r="D11587" s="2" t="s">
        <v>12</v>
      </c>
      <c r="E11587" s="2"/>
      <c r="F11587" s="2" t="str">
        <f>HYPERLINK("http://m.12365auto.com/zjdy/20200205/121047.shtml","http://m.12365auto.com/zjdy/20200205/121047.shtml")</f>
        <v>http://m.12365auto.com/zjdy/20200205/121047.shtml</v>
      </c>
      <c r="G11587" s="2"/>
      <c r="H11587" s="2" t="s">
        <v>15490</v>
      </c>
      <c r="I11587" s="2" t="s">
        <v>19</v>
      </c>
      <c r="J11587" s="2" t="s">
        <v>12</v>
      </c>
      <c r="K11587" s="2" t="s">
        <v>15491</v>
      </c>
      <c r="L11587" s="2">
        <f t="shared" ref="L11587:L11650" si="181">LEN(H11587)</f>
        <v>20</v>
      </c>
    </row>
    <row r="11588" spans="1:12" ht="25" customHeight="1">
      <c r="A11588" s="2" t="s">
        <v>12</v>
      </c>
      <c r="B11588" s="2" t="str">
        <f>HYPERLINK("http://www.12365auto.com/news/20200206/417782.shtml","延长保养期限等 零跑汽车发布防控措施")</f>
        <v>延长保养期限等 零跑汽车发布防控措施</v>
      </c>
      <c r="C11588" s="2" t="s">
        <v>13</v>
      </c>
      <c r="D11588" s="2" t="s">
        <v>12</v>
      </c>
      <c r="E11588" s="2" t="s">
        <v>282</v>
      </c>
      <c r="F11588" s="2" t="str">
        <f>HYPERLINK("http://www.12365auto.com/news/20200206/417782.shtml","http://www.12365auto.com/news/20200206/417782.shtml")</f>
        <v>http://www.12365auto.com/news/20200206/417782.shtml</v>
      </c>
      <c r="G11588" s="2"/>
      <c r="H11588" s="2" t="s">
        <v>15492</v>
      </c>
      <c r="I11588" s="2" t="s">
        <v>19</v>
      </c>
      <c r="J11588" s="2" t="s">
        <v>12</v>
      </c>
      <c r="K11588" s="2" t="s">
        <v>15493</v>
      </c>
      <c r="L11588" s="2">
        <f t="shared" si="181"/>
        <v>150</v>
      </c>
    </row>
    <row r="11589" spans="1:12" ht="25" customHeight="1">
      <c r="A11589" s="2" t="s">
        <v>12</v>
      </c>
      <c r="B11589" s="2" t="str">
        <f>HYPERLINK("http://m.12365auto.com/news/20200206/417782.shtml","延长保养期限等 零跑汽车发布防控措施")</f>
        <v>延长保养期限等 零跑汽车发布防控措施</v>
      </c>
      <c r="C11589" s="2" t="s">
        <v>13</v>
      </c>
      <c r="D11589" s="2" t="s">
        <v>12</v>
      </c>
      <c r="E11589" s="2"/>
      <c r="F11589" s="2" t="str">
        <f>HYPERLINK("http://m.12365auto.com/news/20200206/417782.shtml","http://m.12365auto.com/news/20200206/417782.shtml")</f>
        <v>http://m.12365auto.com/news/20200206/417782.shtml</v>
      </c>
      <c r="G11589" s="2"/>
      <c r="H11589" s="2" t="s">
        <v>15494</v>
      </c>
      <c r="I11589" s="2" t="s">
        <v>19</v>
      </c>
      <c r="J11589" s="2" t="s">
        <v>1222</v>
      </c>
      <c r="K11589" s="2" t="s">
        <v>15493</v>
      </c>
      <c r="L11589" s="2">
        <f t="shared" si="181"/>
        <v>150</v>
      </c>
    </row>
    <row r="11590" spans="1:12" ht="25" customHeight="1">
      <c r="A11590" s="2" t="s">
        <v>12</v>
      </c>
      <c r="B11590" s="2" t="str">
        <f>HYPERLINK("http://www.12365auto.com/news/20200206/417781.shtml","WEY品牌发布“三减三赋一加速”政策")</f>
        <v>WEY品牌发布“三减三赋一加速”政策</v>
      </c>
      <c r="C11590" s="2" t="s">
        <v>13</v>
      </c>
      <c r="D11590" s="2" t="s">
        <v>12</v>
      </c>
      <c r="E11590" s="2" t="s">
        <v>282</v>
      </c>
      <c r="F11590" s="2" t="str">
        <f>HYPERLINK("http://www.12365auto.com/news/20200206/417781.shtml","http://www.12365auto.com/news/20200206/417781.shtml")</f>
        <v>http://www.12365auto.com/news/20200206/417781.shtml</v>
      </c>
      <c r="G11590" s="2"/>
      <c r="H11590" s="2" t="s">
        <v>15495</v>
      </c>
      <c r="I11590" s="2" t="s">
        <v>19</v>
      </c>
      <c r="J11590" s="2" t="s">
        <v>12</v>
      </c>
      <c r="K11590" s="2" t="s">
        <v>15496</v>
      </c>
      <c r="L11590" s="2">
        <f t="shared" si="181"/>
        <v>150</v>
      </c>
    </row>
    <row r="11591" spans="1:12" ht="25" customHeight="1">
      <c r="A11591" s="2" t="s">
        <v>12</v>
      </c>
      <c r="B11591" s="2" t="str">
        <f>HYPERLINK("http://m.12365auto.com/news/20200206/417781.shtml","WEY品牌发布“三减三赋一加速”政策")</f>
        <v>WEY品牌发布“三减三赋一加速”政策</v>
      </c>
      <c r="C11591" s="2" t="s">
        <v>13</v>
      </c>
      <c r="D11591" s="2" t="s">
        <v>12</v>
      </c>
      <c r="E11591" s="2"/>
      <c r="F11591" s="2" t="str">
        <f>HYPERLINK("http://m.12365auto.com/news/20200206/417781.shtml","http://m.12365auto.com/news/20200206/417781.shtml")</f>
        <v>http://m.12365auto.com/news/20200206/417781.shtml</v>
      </c>
      <c r="G11591" s="2"/>
      <c r="H11591" s="2" t="s">
        <v>15497</v>
      </c>
      <c r="I11591" s="2" t="s">
        <v>19</v>
      </c>
      <c r="J11591" s="2" t="s">
        <v>751</v>
      </c>
      <c r="K11591" s="2" t="s">
        <v>15496</v>
      </c>
      <c r="L11591" s="2">
        <f t="shared" si="181"/>
        <v>150</v>
      </c>
    </row>
    <row r="11592" spans="1:12" ht="25" customHeight="1">
      <c r="A11592" s="2" t="s">
        <v>12</v>
      </c>
      <c r="B11592" s="2" t="str">
        <f>HYPERLINK("http://m.12365auto.com/zjdy/20200205/121045.shtml","亚洲龙和君越两款车家用如何选择？")</f>
        <v>亚洲龙和君越两款车家用如何选择？</v>
      </c>
      <c r="C11592" s="2" t="s">
        <v>13</v>
      </c>
      <c r="D11592" s="2" t="s">
        <v>12</v>
      </c>
      <c r="E11592" s="2"/>
      <c r="F11592" s="2" t="str">
        <f>HYPERLINK("http://m.12365auto.com/zjdy/20200205/121045.shtml","http://m.12365auto.com/zjdy/20200205/121045.shtml")</f>
        <v>http://m.12365auto.com/zjdy/20200205/121045.shtml</v>
      </c>
      <c r="G11592" s="2"/>
      <c r="H11592" s="2" t="s">
        <v>15498</v>
      </c>
      <c r="I11592" s="2" t="s">
        <v>19</v>
      </c>
      <c r="J11592" s="2" t="s">
        <v>12</v>
      </c>
      <c r="K11592" s="2" t="s">
        <v>15499</v>
      </c>
      <c r="L11592" s="2">
        <f t="shared" si="181"/>
        <v>13</v>
      </c>
    </row>
    <row r="11593" spans="1:12" ht="25" customHeight="1">
      <c r="A11593" s="2" t="s">
        <v>12</v>
      </c>
      <c r="B11593" s="2" t="str">
        <f>HYPERLINK("http://m.12365auto.com/zjdy/20200205/121046.shtml","2017款长安CS55自动挡最高挡位是几挡？")</f>
        <v>2017款长安CS55自动挡最高挡位是几挡？</v>
      </c>
      <c r="C11593" s="2" t="s">
        <v>13</v>
      </c>
      <c r="D11593" s="2" t="s">
        <v>12</v>
      </c>
      <c r="E11593" s="2"/>
      <c r="F11593" s="2" t="str">
        <f>HYPERLINK("http://m.12365auto.com/zjdy/20200205/121046.shtml","http://m.12365auto.com/zjdy/20200205/121046.shtml")</f>
        <v>http://m.12365auto.com/zjdy/20200205/121046.shtml</v>
      </c>
      <c r="G11593" s="2"/>
      <c r="H11593" s="2" t="s">
        <v>15500</v>
      </c>
      <c r="I11593" s="2" t="s">
        <v>19</v>
      </c>
      <c r="J11593" s="2" t="s">
        <v>12</v>
      </c>
      <c r="K11593" s="2" t="s">
        <v>15501</v>
      </c>
      <c r="L11593" s="2">
        <f t="shared" si="181"/>
        <v>22</v>
      </c>
    </row>
    <row r="11594" spans="1:12" ht="25" customHeight="1">
      <c r="A11594" s="2" t="s">
        <v>12</v>
      </c>
      <c r="B11594" s="2" t="str">
        <f>HYPERLINK("http://www.12365auto.com/news/20200206/417780.shtml","长城汽车印度战略发布 Concept H首亮相")</f>
        <v>长城汽车印度战略发布 Concept H首亮相</v>
      </c>
      <c r="C11594" s="2" t="s">
        <v>13</v>
      </c>
      <c r="D11594" s="2" t="s">
        <v>12</v>
      </c>
      <c r="E11594" s="2" t="s">
        <v>282</v>
      </c>
      <c r="F11594" s="2" t="str">
        <f>HYPERLINK("http://www.12365auto.com/news/20200206/417780.shtml","http://www.12365auto.com/news/20200206/417780.shtml")</f>
        <v>http://www.12365auto.com/news/20200206/417780.shtml</v>
      </c>
      <c r="G11594" s="2"/>
      <c r="H11594" s="2" t="s">
        <v>15502</v>
      </c>
      <c r="I11594" s="2" t="s">
        <v>19</v>
      </c>
      <c r="J11594" s="2" t="s">
        <v>12</v>
      </c>
      <c r="K11594" s="2" t="s">
        <v>15503</v>
      </c>
      <c r="L11594" s="2">
        <f t="shared" si="181"/>
        <v>150</v>
      </c>
    </row>
    <row r="11595" spans="1:12" ht="25" customHeight="1">
      <c r="A11595" s="2" t="s">
        <v>12</v>
      </c>
      <c r="B11595" s="2" t="str">
        <f>HYPERLINK("http://m.12365auto.com/news/20200206/417780.shtml","长城汽车印度战略发布 Concept H首亮相")</f>
        <v>长城汽车印度战略发布 Concept H首亮相</v>
      </c>
      <c r="C11595" s="2" t="s">
        <v>13</v>
      </c>
      <c r="D11595" s="2" t="s">
        <v>12</v>
      </c>
      <c r="E11595" s="2"/>
      <c r="F11595" s="2" t="str">
        <f>HYPERLINK("http://m.12365auto.com/news/20200206/417780.shtml","http://m.12365auto.com/news/20200206/417780.shtml")</f>
        <v>http://m.12365auto.com/news/20200206/417780.shtml</v>
      </c>
      <c r="G11595" s="2"/>
      <c r="H11595" s="2" t="s">
        <v>15504</v>
      </c>
      <c r="I11595" s="2" t="s">
        <v>19</v>
      </c>
      <c r="J11595" s="2" t="s">
        <v>1205</v>
      </c>
      <c r="K11595" s="2" t="s">
        <v>15503</v>
      </c>
      <c r="L11595" s="2">
        <f t="shared" si="181"/>
        <v>150</v>
      </c>
    </row>
    <row r="11596" spans="1:12" ht="25" customHeight="1">
      <c r="A11596" s="2" t="s">
        <v>12</v>
      </c>
      <c r="B11596" s="2" t="str">
        <f>HYPERLINK("http://www.12365auto.com/xcdg/20200206/417779.shtml","曝全新福特Bronco谍照 匹配10AT变速箱")</f>
        <v>曝全新福特Bronco谍照 匹配10AT变速箱</v>
      </c>
      <c r="C11596" s="2" t="s">
        <v>13</v>
      </c>
      <c r="D11596" s="2" t="s">
        <v>12</v>
      </c>
      <c r="E11596" s="2" t="s">
        <v>224</v>
      </c>
      <c r="F11596" s="2" t="str">
        <f>HYPERLINK("http://www.12365auto.com/xcdg/20200206/417779.shtml","http://www.12365auto.com/xcdg/20200206/417779.shtml")</f>
        <v>http://www.12365auto.com/xcdg/20200206/417779.shtml</v>
      </c>
      <c r="G11596" s="2"/>
      <c r="H11596" s="2" t="s">
        <v>15505</v>
      </c>
      <c r="I11596" s="2" t="s">
        <v>15</v>
      </c>
      <c r="J11596" s="2" t="s">
        <v>12</v>
      </c>
      <c r="K11596" s="2" t="s">
        <v>15506</v>
      </c>
      <c r="L11596" s="2">
        <f t="shared" si="181"/>
        <v>150</v>
      </c>
    </row>
    <row r="11597" spans="1:12" ht="25" customHeight="1">
      <c r="A11597" s="2" t="s">
        <v>12</v>
      </c>
      <c r="B11597" s="2" t="str">
        <f>HYPERLINK("http://m.12365auto.com/xcdg/20200206/417779.shtml","曝全新福特Bronco谍照 匹配10AT变速箱")</f>
        <v>曝全新福特Bronco谍照 匹配10AT变速箱</v>
      </c>
      <c r="C11597" s="2" t="s">
        <v>13</v>
      </c>
      <c r="D11597" s="2" t="s">
        <v>12</v>
      </c>
      <c r="E11597" s="2"/>
      <c r="F11597" s="2" t="str">
        <f>HYPERLINK("http://m.12365auto.com/xcdg/20200206/417779.shtml","http://m.12365auto.com/xcdg/20200206/417779.shtml")</f>
        <v>http://m.12365auto.com/xcdg/20200206/417779.shtml</v>
      </c>
      <c r="G11597" s="2"/>
      <c r="H11597" s="2" t="s">
        <v>15507</v>
      </c>
      <c r="I11597" s="2" t="s">
        <v>19</v>
      </c>
      <c r="J11597" s="2" t="s">
        <v>751</v>
      </c>
      <c r="K11597" s="2" t="s">
        <v>15506</v>
      </c>
      <c r="L11597" s="2">
        <f t="shared" si="181"/>
        <v>150</v>
      </c>
    </row>
    <row r="11598" spans="1:12" ht="25" customHeight="1">
      <c r="A11598" s="2" t="s">
        <v>12</v>
      </c>
      <c r="B11598" s="2" t="str">
        <f>HYPERLINK("http://m.12365auto.com/zjdy/20200205/121048.shtml","新车行驶转向与刹车会有异响该怎么处理？")</f>
        <v>新车行驶转向与刹车会有异响该怎么处理？</v>
      </c>
      <c r="C11598" s="2" t="s">
        <v>13</v>
      </c>
      <c r="D11598" s="2" t="s">
        <v>12</v>
      </c>
      <c r="E11598" s="2"/>
      <c r="F11598" s="2" t="str">
        <f>HYPERLINK("http://m.12365auto.com/zjdy/20200205/121048.shtml","http://m.12365auto.com/zjdy/20200205/121048.shtml")</f>
        <v>http://m.12365auto.com/zjdy/20200205/121048.shtml</v>
      </c>
      <c r="G11598" s="2"/>
      <c r="H11598" s="2" t="s">
        <v>15508</v>
      </c>
      <c r="I11598" s="2" t="s">
        <v>19</v>
      </c>
      <c r="J11598" s="2" t="s">
        <v>12</v>
      </c>
      <c r="K11598" s="2" t="s">
        <v>15509</v>
      </c>
      <c r="L11598" s="2">
        <f t="shared" si="181"/>
        <v>41</v>
      </c>
    </row>
    <row r="11599" spans="1:12" ht="25" customHeight="1">
      <c r="A11599" s="2" t="s">
        <v>12</v>
      </c>
      <c r="B11599" s="2" t="str">
        <f>HYPERLINK("http://m.12365auto.com/zjdy/20200205/121044.shtml","思域转向卡顿是什么原因造成的？")</f>
        <v>思域转向卡顿是什么原因造成的？</v>
      </c>
      <c r="C11599" s="2" t="s">
        <v>13</v>
      </c>
      <c r="D11599" s="2" t="s">
        <v>12</v>
      </c>
      <c r="E11599" s="2"/>
      <c r="F11599" s="2" t="str">
        <f>HYPERLINK("http://m.12365auto.com/zjdy/20200205/121044.shtml","http://m.12365auto.com/zjdy/20200205/121044.shtml")</f>
        <v>http://m.12365auto.com/zjdy/20200205/121044.shtml</v>
      </c>
      <c r="G11599" s="2"/>
      <c r="H11599" s="2" t="s">
        <v>15510</v>
      </c>
      <c r="I11599" s="2" t="s">
        <v>19</v>
      </c>
      <c r="J11599" s="2" t="s">
        <v>12</v>
      </c>
      <c r="K11599" s="2" t="s">
        <v>15509</v>
      </c>
      <c r="L11599" s="2">
        <f t="shared" si="181"/>
        <v>43</v>
      </c>
    </row>
    <row r="11600" spans="1:12" ht="25" customHeight="1">
      <c r="A11600" s="2" t="s">
        <v>12</v>
      </c>
      <c r="B11600" s="2" t="str">
        <f>HYPERLINK("http://m.12365auto.com/zjdy/20200205/121049.shtml","冬季暖风不热是什么原因怎么才能解决？")</f>
        <v>冬季暖风不热是什么原因怎么才能解决？</v>
      </c>
      <c r="C11600" s="2" t="s">
        <v>13</v>
      </c>
      <c r="D11600" s="2" t="s">
        <v>12</v>
      </c>
      <c r="E11600" s="2"/>
      <c r="F11600" s="2" t="str">
        <f>HYPERLINK("http://m.12365auto.com/zjdy/20200205/121049.shtml","http://m.12365auto.com/zjdy/20200205/121049.shtml")</f>
        <v>http://m.12365auto.com/zjdy/20200205/121049.shtml</v>
      </c>
      <c r="G11600" s="2"/>
      <c r="H11600" s="2" t="s">
        <v>15511</v>
      </c>
      <c r="I11600" s="2" t="s">
        <v>19</v>
      </c>
      <c r="J11600" s="2" t="s">
        <v>12</v>
      </c>
      <c r="K11600" s="2" t="s">
        <v>15509</v>
      </c>
      <c r="L11600" s="2">
        <f t="shared" si="181"/>
        <v>70</v>
      </c>
    </row>
    <row r="11601" spans="1:12" ht="25" customHeight="1">
      <c r="A11601" s="2" t="s">
        <v>12</v>
      </c>
      <c r="B11601" s="2" t="str">
        <f>HYPERLINK("http://m.12365auto.com/zjdy/20200205/121050.shtml","一键启动失灵是什么原因该如何解决？")</f>
        <v>一键启动失灵是什么原因该如何解决？</v>
      </c>
      <c r="C11601" s="2" t="s">
        <v>13</v>
      </c>
      <c r="D11601" s="2" t="s">
        <v>12</v>
      </c>
      <c r="E11601" s="2"/>
      <c r="F11601" s="2" t="str">
        <f>HYPERLINK("http://m.12365auto.com/zjdy/20200205/121050.shtml","http://m.12365auto.com/zjdy/20200205/121050.shtml")</f>
        <v>http://m.12365auto.com/zjdy/20200205/121050.shtml</v>
      </c>
      <c r="G11601" s="2"/>
      <c r="H11601" s="2" t="s">
        <v>15512</v>
      </c>
      <c r="I11601" s="2" t="s">
        <v>19</v>
      </c>
      <c r="J11601" s="2" t="s">
        <v>12</v>
      </c>
      <c r="K11601" s="2" t="s">
        <v>15513</v>
      </c>
      <c r="L11601" s="2">
        <f t="shared" si="181"/>
        <v>23</v>
      </c>
    </row>
    <row r="11602" spans="1:12" ht="25" customHeight="1">
      <c r="A11602" s="2" t="s">
        <v>12</v>
      </c>
      <c r="B11602" s="2" t="str">
        <f>HYPERLINK("http://www.12365auto.com/zlts/20200206/446456.shtml","吉利帝豪GL无法使用互联与PM2.5显示")</f>
        <v>吉利帝豪GL无法使用互联与PM2.5显示</v>
      </c>
      <c r="C11602" s="2" t="s">
        <v>13</v>
      </c>
      <c r="D11602" s="2" t="s">
        <v>12</v>
      </c>
      <c r="E11602" s="2" t="s">
        <v>17</v>
      </c>
      <c r="F11602" s="2" t="str">
        <f>HYPERLINK("http://www.12365auto.com/zlts/20200206/446456.shtml","http://www.12365auto.com/zlts/20200206/446456.shtml")</f>
        <v>http://www.12365auto.com/zlts/20200206/446456.shtml</v>
      </c>
      <c r="G11602" s="2"/>
      <c r="H11602" s="2" t="s">
        <v>15514</v>
      </c>
      <c r="I11602" s="2" t="s">
        <v>19</v>
      </c>
      <c r="J11602" s="2" t="s">
        <v>12</v>
      </c>
      <c r="K11602" s="2" t="s">
        <v>15515</v>
      </c>
      <c r="L11602" s="2">
        <f t="shared" si="181"/>
        <v>150</v>
      </c>
    </row>
    <row r="11603" spans="1:12" ht="25" customHeight="1">
      <c r="A11603" s="2" t="s">
        <v>12</v>
      </c>
      <c r="B11603" s="2" t="str">
        <f>HYPERLINK("http://bbs.12365auto.com/postcontent.aspx?tID=193391","本田飞度发动机冷启动抖动 有打齿声")</f>
        <v>本田飞度发动机冷启动抖动 有打齿声</v>
      </c>
      <c r="C11603" s="2" t="s">
        <v>13</v>
      </c>
      <c r="D11603" s="2" t="s">
        <v>12</v>
      </c>
      <c r="E11603" s="2" t="s">
        <v>67</v>
      </c>
      <c r="F11603" s="2" t="str">
        <f>HYPERLINK("http://bbs.12365auto.com/postcontent.aspx?tID=193391","http://bbs.12365auto.com/postcontent.aspx?tID=193391")</f>
        <v>http://bbs.12365auto.com/postcontent.aspx?tID=193391</v>
      </c>
      <c r="G11603" s="2"/>
      <c r="H11603" s="2" t="s">
        <v>15516</v>
      </c>
      <c r="I11603" s="2" t="s">
        <v>15</v>
      </c>
      <c r="J11603" s="2" t="s">
        <v>2338</v>
      </c>
      <c r="K11603" s="2" t="s">
        <v>15517</v>
      </c>
      <c r="L11603" s="2">
        <f t="shared" si="181"/>
        <v>124</v>
      </c>
    </row>
    <row r="11604" spans="1:12" ht="25" customHeight="1">
      <c r="A11604" s="2" t="s">
        <v>12</v>
      </c>
      <c r="B11604" s="2" t="str">
        <f>HYPERLINK("http://bbs.12365auto.com/postcontent.aspx?tId=193391","本田飞度发动机冷启动抖动 有打齿声")</f>
        <v>本田飞度发动机冷启动抖动 有打齿声</v>
      </c>
      <c r="C11604" s="2" t="s">
        <v>13</v>
      </c>
      <c r="D11604" s="2" t="s">
        <v>12</v>
      </c>
      <c r="E11604" s="2" t="s">
        <v>66</v>
      </c>
      <c r="F11604" s="2" t="str">
        <f>HYPERLINK("http://bbs.12365auto.com/postcontent.aspx?tId=193391","http://bbs.12365auto.com/postcontent.aspx?tId=193391")</f>
        <v>http://bbs.12365auto.com/postcontent.aspx?tId=193391</v>
      </c>
      <c r="G11604" s="2"/>
      <c r="H11604" s="2" t="s">
        <v>15518</v>
      </c>
      <c r="I11604" s="2" t="s">
        <v>15</v>
      </c>
      <c r="J11604" s="2" t="s">
        <v>2338</v>
      </c>
      <c r="K11604" s="2" t="s">
        <v>15517</v>
      </c>
      <c r="L11604" s="2">
        <f t="shared" si="181"/>
        <v>107</v>
      </c>
    </row>
    <row r="11605" spans="1:12" ht="25" customHeight="1">
      <c r="A11605" s="2" t="s">
        <v>12</v>
      </c>
      <c r="B11605" s="2" t="str">
        <f>HYPERLINK("http://m.12365auto.com/bbs/postcontent.aspx?tID=193391","本田飞度发动机冷启动抖动 有打齿声")</f>
        <v>本田飞度发动机冷启动抖动 有打齿声</v>
      </c>
      <c r="C11605" s="2" t="s">
        <v>13</v>
      </c>
      <c r="D11605" s="2" t="s">
        <v>23</v>
      </c>
      <c r="E11605" s="2"/>
      <c r="F11605" s="2" t="str">
        <f>HYPERLINK("http://m.12365auto.com/bbs/postcontent.aspx?tID=193391","http://m.12365auto.com/bbs/postcontent.aspx?tID=193391")</f>
        <v>http://m.12365auto.com/bbs/postcontent.aspx?tID=193391</v>
      </c>
      <c r="G11605" s="2"/>
      <c r="H11605" s="2" t="s">
        <v>15518</v>
      </c>
      <c r="I11605" s="2" t="s">
        <v>15</v>
      </c>
      <c r="J11605" s="2" t="s">
        <v>2338</v>
      </c>
      <c r="K11605" s="2" t="s">
        <v>15517</v>
      </c>
      <c r="L11605" s="2">
        <f t="shared" si="181"/>
        <v>107</v>
      </c>
    </row>
    <row r="11606" spans="1:12" ht="25" customHeight="1">
      <c r="A11606" s="2" t="s">
        <v>12</v>
      </c>
      <c r="B11606" s="2" t="str">
        <f>HYPERLINK("http://bbs.12365auto.com/postcontent.aspx?tID=193389","宝马5系新能源电池续航里程减少")</f>
        <v>宝马5系新能源电池续航里程减少</v>
      </c>
      <c r="C11606" s="2" t="s">
        <v>13</v>
      </c>
      <c r="D11606" s="2" t="s">
        <v>12</v>
      </c>
      <c r="E11606" s="2" t="s">
        <v>67</v>
      </c>
      <c r="F11606" s="2" t="str">
        <f>HYPERLINK("http://bbs.12365auto.com/postcontent.aspx?tID=193389","http://bbs.12365auto.com/postcontent.aspx?tID=193389")</f>
        <v>http://bbs.12365auto.com/postcontent.aspx?tID=193389</v>
      </c>
      <c r="G11606" s="2"/>
      <c r="H11606" s="2" t="s">
        <v>13133</v>
      </c>
      <c r="I11606" s="2" t="s">
        <v>15</v>
      </c>
      <c r="J11606" s="2" t="s">
        <v>2345</v>
      </c>
      <c r="K11606" s="2" t="s">
        <v>15519</v>
      </c>
      <c r="L11606" s="2">
        <f t="shared" si="181"/>
        <v>150</v>
      </c>
    </row>
    <row r="11607" spans="1:12" ht="25" customHeight="1">
      <c r="A11607" s="2" t="s">
        <v>12</v>
      </c>
      <c r="B11607" s="2" t="str">
        <f>HYPERLINK("http://bbs.12365auto.com/postcontent.aspx?tID=193390","大众探岳车灯不透亮夜间行车影响安全")</f>
        <v>大众探岳车灯不透亮夜间行车影响安全</v>
      </c>
      <c r="C11607" s="2" t="s">
        <v>13</v>
      </c>
      <c r="D11607" s="2" t="s">
        <v>12</v>
      </c>
      <c r="E11607" s="2" t="s">
        <v>67</v>
      </c>
      <c r="F11607" s="2" t="str">
        <f>HYPERLINK("http://bbs.12365auto.com/postcontent.aspx?tID=193390","http://bbs.12365auto.com/postcontent.aspx?tID=193390")</f>
        <v>http://bbs.12365auto.com/postcontent.aspx?tID=193390</v>
      </c>
      <c r="G11607" s="2"/>
      <c r="H11607" s="2" t="s">
        <v>15520</v>
      </c>
      <c r="I11607" s="2" t="s">
        <v>15</v>
      </c>
      <c r="J11607" s="2" t="s">
        <v>2342</v>
      </c>
      <c r="K11607" s="2" t="s">
        <v>15519</v>
      </c>
      <c r="L11607" s="2">
        <f t="shared" si="181"/>
        <v>65</v>
      </c>
    </row>
    <row r="11608" spans="1:12" ht="25" customHeight="1">
      <c r="A11608" s="2" t="s">
        <v>12</v>
      </c>
      <c r="B11608" s="2" t="str">
        <f>HYPERLINK("http://bbs.12365auto.com/postcontent.aspx?tId=193390","大众探岳车灯不透亮夜间行车影响安全")</f>
        <v>大众探岳车灯不透亮夜间行车影响安全</v>
      </c>
      <c r="C11608" s="2" t="s">
        <v>13</v>
      </c>
      <c r="D11608" s="2" t="s">
        <v>12</v>
      </c>
      <c r="E11608" s="2" t="s">
        <v>66</v>
      </c>
      <c r="F11608" s="2" t="str">
        <f>HYPERLINK("http://bbs.12365auto.com/postcontent.aspx?tId=193390","http://bbs.12365auto.com/postcontent.aspx?tId=193390")</f>
        <v>http://bbs.12365auto.com/postcontent.aspx?tId=193390</v>
      </c>
      <c r="G11608" s="2"/>
      <c r="H11608" s="2" t="s">
        <v>15521</v>
      </c>
      <c r="I11608" s="2" t="s">
        <v>15</v>
      </c>
      <c r="J11608" s="2" t="s">
        <v>2342</v>
      </c>
      <c r="K11608" s="2" t="s">
        <v>15519</v>
      </c>
      <c r="L11608" s="2">
        <f t="shared" si="181"/>
        <v>48</v>
      </c>
    </row>
    <row r="11609" spans="1:12" ht="25" customHeight="1">
      <c r="A11609" s="2" t="s">
        <v>12</v>
      </c>
      <c r="B11609" s="2" t="str">
        <f>HYPERLINK("http://bbs.12365auto.com/postcontent.aspx?tId=193389","宝马5系新能源电池续航里程减少")</f>
        <v>宝马5系新能源电池续航里程减少</v>
      </c>
      <c r="C11609" s="2" t="s">
        <v>13</v>
      </c>
      <c r="D11609" s="2" t="s">
        <v>12</v>
      </c>
      <c r="E11609" s="2" t="s">
        <v>66</v>
      </c>
      <c r="F11609" s="2" t="str">
        <f>HYPERLINK("http://bbs.12365auto.com/postcontent.aspx?tId=193389","http://bbs.12365auto.com/postcontent.aspx?tId=193389")</f>
        <v>http://bbs.12365auto.com/postcontent.aspx?tId=193389</v>
      </c>
      <c r="G11609" s="2"/>
      <c r="H11609" s="2" t="s">
        <v>13131</v>
      </c>
      <c r="I11609" s="2" t="s">
        <v>15</v>
      </c>
      <c r="J11609" s="2" t="s">
        <v>2345</v>
      </c>
      <c r="K11609" s="2" t="s">
        <v>15519</v>
      </c>
      <c r="L11609" s="2">
        <f t="shared" si="181"/>
        <v>150</v>
      </c>
    </row>
    <row r="11610" spans="1:12" ht="25" customHeight="1">
      <c r="A11610" s="2" t="s">
        <v>12</v>
      </c>
      <c r="B11610" s="2" t="str">
        <f>HYPERLINK("http://m.12365auto.com/bbs/postcontent.aspx?tID=193389","宝马5系新能源电池续航里程减少")</f>
        <v>宝马5系新能源电池续航里程减少</v>
      </c>
      <c r="C11610" s="2" t="s">
        <v>13</v>
      </c>
      <c r="D11610" s="2" t="s">
        <v>23</v>
      </c>
      <c r="E11610" s="2"/>
      <c r="F11610" s="2" t="str">
        <f>HYPERLINK("http://m.12365auto.com/bbs/postcontent.aspx?tID=193389","http://m.12365auto.com/bbs/postcontent.aspx?tID=193389")</f>
        <v>http://m.12365auto.com/bbs/postcontent.aspx?tID=193389</v>
      </c>
      <c r="G11610" s="2"/>
      <c r="H11610" s="2" t="s">
        <v>13131</v>
      </c>
      <c r="I11610" s="2" t="s">
        <v>15</v>
      </c>
      <c r="J11610" s="2" t="s">
        <v>2345</v>
      </c>
      <c r="K11610" s="2" t="s">
        <v>15519</v>
      </c>
      <c r="L11610" s="2">
        <f t="shared" si="181"/>
        <v>150</v>
      </c>
    </row>
    <row r="11611" spans="1:12" ht="25" customHeight="1">
      <c r="A11611" s="2" t="s">
        <v>12</v>
      </c>
      <c r="B11611" s="2" t="str">
        <f>HYPERLINK("http://m.12365auto.com/bbs/postcontent.aspx?tID=193390","大众探岳车灯不透亮夜间行车影响安全")</f>
        <v>大众探岳车灯不透亮夜间行车影响安全</v>
      </c>
      <c r="C11611" s="2" t="s">
        <v>13</v>
      </c>
      <c r="D11611" s="2" t="s">
        <v>23</v>
      </c>
      <c r="E11611" s="2"/>
      <c r="F11611" s="2" t="str">
        <f>HYPERLINK("http://m.12365auto.com/bbs/postcontent.aspx?tID=193390","http://m.12365auto.com/bbs/postcontent.aspx?tID=193390")</f>
        <v>http://m.12365auto.com/bbs/postcontent.aspx?tID=193390</v>
      </c>
      <c r="G11611" s="2"/>
      <c r="H11611" s="2" t="s">
        <v>15521</v>
      </c>
      <c r="I11611" s="2" t="s">
        <v>15</v>
      </c>
      <c r="J11611" s="2" t="s">
        <v>2342</v>
      </c>
      <c r="K11611" s="2" t="s">
        <v>15519</v>
      </c>
      <c r="L11611" s="2">
        <f t="shared" si="181"/>
        <v>48</v>
      </c>
    </row>
    <row r="11612" spans="1:12" ht="25" customHeight="1">
      <c r="A11612" s="2" t="s">
        <v>12</v>
      </c>
      <c r="B11612" s="2" t="str">
        <f>HYPERLINK("http://m.12365auto.com/zjdy/20200205/121051.shtml","卡罗拉公示油耗与实际差距太大正常吗？")</f>
        <v>卡罗拉公示油耗与实际差距太大正常吗？</v>
      </c>
      <c r="C11612" s="2" t="s">
        <v>13</v>
      </c>
      <c r="D11612" s="2" t="s">
        <v>12</v>
      </c>
      <c r="E11612" s="2"/>
      <c r="F11612" s="2" t="str">
        <f>HYPERLINK("http://m.12365auto.com/zjdy/20200205/121051.shtml","http://m.12365auto.com/zjdy/20200205/121051.shtml")</f>
        <v>http://m.12365auto.com/zjdy/20200205/121051.shtml</v>
      </c>
      <c r="G11612" s="2"/>
      <c r="H11612" s="2" t="s">
        <v>15522</v>
      </c>
      <c r="I11612" s="2" t="s">
        <v>19</v>
      </c>
      <c r="J11612" s="2" t="s">
        <v>12</v>
      </c>
      <c r="K11612" s="2" t="s">
        <v>15523</v>
      </c>
      <c r="L11612" s="2">
        <f t="shared" si="181"/>
        <v>34</v>
      </c>
    </row>
    <row r="11613" spans="1:12" ht="25" customHeight="1">
      <c r="A11613" s="2" t="s">
        <v>12</v>
      </c>
      <c r="B11613" s="2" t="str">
        <f>HYPERLINK("http://m.12365auto.com/zjdy/20200206/121052.shtml","东南DX3后避震漏油不给索赔更换怎么办？")</f>
        <v>东南DX3后避震漏油不给索赔更换怎么办？</v>
      </c>
      <c r="C11613" s="2" t="s">
        <v>13</v>
      </c>
      <c r="D11613" s="2" t="s">
        <v>12</v>
      </c>
      <c r="E11613" s="2"/>
      <c r="F11613" s="2" t="str">
        <f>HYPERLINK("http://m.12365auto.com/zjdy/20200206/121052.shtml","http://m.12365auto.com/zjdy/20200206/121052.shtml")</f>
        <v>http://m.12365auto.com/zjdy/20200206/121052.shtml</v>
      </c>
      <c r="G11613" s="2"/>
      <c r="H11613" s="2" t="s">
        <v>15524</v>
      </c>
      <c r="I11613" s="2" t="s">
        <v>19</v>
      </c>
      <c r="J11613" s="2" t="s">
        <v>12</v>
      </c>
      <c r="K11613" s="2" t="s">
        <v>15523</v>
      </c>
      <c r="L11613" s="2">
        <f t="shared" si="181"/>
        <v>66</v>
      </c>
    </row>
    <row r="11614" spans="1:12" ht="25" customHeight="1">
      <c r="A11614" s="2" t="s">
        <v>12</v>
      </c>
      <c r="B11614" s="2" t="str">
        <f>HYPERLINK("http://bbs.12365auto.com/postcontent.aspx?tID=193387&amp;sId=1650&amp;ppage=1&amp;from=s","宝骏560右后减震器漏油")</f>
        <v>宝骏560右后减震器漏油</v>
      </c>
      <c r="C11614" s="2" t="s">
        <v>13</v>
      </c>
      <c r="D11614" s="2" t="s">
        <v>12</v>
      </c>
      <c r="E11614" s="2" t="s">
        <v>564</v>
      </c>
      <c r="F11614" s="2" t="str">
        <f>HYPERLINK("http://bbs.12365auto.com/postcontent.aspx?tID=193387&amp;sId=1650&amp;ppage=1&amp;from=s","http://bbs.12365auto.com/postcontent.aspx?tID=193387&amp;sId=1650&amp;ppage=1&amp;from=s")</f>
        <v>http://bbs.12365auto.com/postcontent.aspx?tID=193387&amp;sId=1650&amp;ppage=1&amp;from=s</v>
      </c>
      <c r="G11614" s="2"/>
      <c r="H11614" s="2" t="s">
        <v>13134</v>
      </c>
      <c r="I11614" s="2" t="s">
        <v>15</v>
      </c>
      <c r="J11614" s="2" t="s">
        <v>15525</v>
      </c>
      <c r="K11614" s="2" t="s">
        <v>15526</v>
      </c>
      <c r="L11614" s="2">
        <f t="shared" si="181"/>
        <v>36</v>
      </c>
    </row>
    <row r="11615" spans="1:12" ht="25" customHeight="1">
      <c r="A11615" s="2" t="s">
        <v>12</v>
      </c>
      <c r="B11615" s="2" t="str">
        <f>HYPERLINK("http://bbs.12365auto.com/postcontent.aspx?tID=193387","宝骏560右后减震器漏油")</f>
        <v>宝骏560右后减震器漏油</v>
      </c>
      <c r="C11615" s="2" t="s">
        <v>13</v>
      </c>
      <c r="D11615" s="2" t="s">
        <v>12</v>
      </c>
      <c r="E11615" s="2" t="s">
        <v>67</v>
      </c>
      <c r="F11615" s="2" t="str">
        <f>HYPERLINK("http://bbs.12365auto.com/postcontent.aspx?tID=193387","http://bbs.12365auto.com/postcontent.aspx?tID=193387")</f>
        <v>http://bbs.12365auto.com/postcontent.aspx?tID=193387</v>
      </c>
      <c r="G11615" s="2"/>
      <c r="H11615" s="2" t="s">
        <v>13134</v>
      </c>
      <c r="I11615" s="2" t="s">
        <v>15</v>
      </c>
      <c r="J11615" s="2" t="s">
        <v>2353</v>
      </c>
      <c r="K11615" s="2" t="s">
        <v>15526</v>
      </c>
      <c r="L11615" s="2">
        <f t="shared" si="181"/>
        <v>36</v>
      </c>
    </row>
    <row r="11616" spans="1:12" ht="25" customHeight="1">
      <c r="A11616" s="2" t="s">
        <v>12</v>
      </c>
      <c r="B11616" s="2" t="str">
        <f>HYPERLINK("http://bbs.12365auto.com/postcontent.aspx?tId=193387","宝骏560右后减震器漏油")</f>
        <v>宝骏560右后减震器漏油</v>
      </c>
      <c r="C11616" s="2" t="s">
        <v>13</v>
      </c>
      <c r="D11616" s="2" t="s">
        <v>12</v>
      </c>
      <c r="E11616" s="2" t="s">
        <v>66</v>
      </c>
      <c r="F11616" s="2" t="str">
        <f>HYPERLINK("http://bbs.12365auto.com/postcontent.aspx?tId=193387","http://bbs.12365auto.com/postcontent.aspx?tId=193387")</f>
        <v>http://bbs.12365auto.com/postcontent.aspx?tId=193387</v>
      </c>
      <c r="G11616" s="2"/>
      <c r="H11616" s="2" t="s">
        <v>13137</v>
      </c>
      <c r="I11616" s="2" t="s">
        <v>15</v>
      </c>
      <c r="J11616" s="2" t="s">
        <v>2353</v>
      </c>
      <c r="K11616" s="2" t="s">
        <v>15526</v>
      </c>
      <c r="L11616" s="2">
        <f t="shared" si="181"/>
        <v>24</v>
      </c>
    </row>
    <row r="11617" spans="1:12" ht="25" customHeight="1">
      <c r="A11617" s="2" t="s">
        <v>12</v>
      </c>
      <c r="B11617" s="2" t="str">
        <f>HYPERLINK("http://m.12365auto.com/bbs/postcontent.aspx?tID=193387","宝骏560右后减震器漏油")</f>
        <v>宝骏560右后减震器漏油</v>
      </c>
      <c r="C11617" s="2" t="s">
        <v>13</v>
      </c>
      <c r="D11617" s="2" t="s">
        <v>23</v>
      </c>
      <c r="E11617" s="2"/>
      <c r="F11617" s="2" t="str">
        <f>HYPERLINK("http://m.12365auto.com/bbs/postcontent.aspx?tID=193387","http://m.12365auto.com/bbs/postcontent.aspx?tID=193387")</f>
        <v>http://m.12365auto.com/bbs/postcontent.aspx?tID=193387</v>
      </c>
      <c r="G11617" s="2"/>
      <c r="H11617" s="2" t="s">
        <v>13137</v>
      </c>
      <c r="I11617" s="2" t="s">
        <v>15</v>
      </c>
      <c r="J11617" s="2" t="s">
        <v>2353</v>
      </c>
      <c r="K11617" s="2" t="s">
        <v>15526</v>
      </c>
      <c r="L11617" s="2">
        <f t="shared" si="181"/>
        <v>24</v>
      </c>
    </row>
    <row r="11618" spans="1:12" ht="25" customHeight="1">
      <c r="A11618" s="2" t="s">
        <v>12</v>
      </c>
      <c r="B11618" s="2" t="str">
        <f>HYPERLINK("http://bbs.12365auto.com/postcontent.aspx?tID=193386","大众速腾变速箱加速减速有异响")</f>
        <v>大众速腾变速箱加速减速有异响</v>
      </c>
      <c r="C11618" s="2" t="s">
        <v>13</v>
      </c>
      <c r="D11618" s="2" t="s">
        <v>12</v>
      </c>
      <c r="E11618" s="2" t="s">
        <v>67</v>
      </c>
      <c r="F11618" s="2" t="str">
        <f>HYPERLINK("http://bbs.12365auto.com/postcontent.aspx?tID=193386","http://bbs.12365auto.com/postcontent.aspx?tID=193386")</f>
        <v>http://bbs.12365auto.com/postcontent.aspx?tID=193386</v>
      </c>
      <c r="G11618" s="2"/>
      <c r="H11618" s="2" t="s">
        <v>15527</v>
      </c>
      <c r="I11618" s="2" t="s">
        <v>15</v>
      </c>
      <c r="J11618" s="2" t="s">
        <v>2357</v>
      </c>
      <c r="K11618" s="2" t="s">
        <v>15528</v>
      </c>
      <c r="L11618" s="2">
        <f t="shared" si="181"/>
        <v>31</v>
      </c>
    </row>
    <row r="11619" spans="1:12" ht="25" customHeight="1">
      <c r="A11619" s="2" t="s">
        <v>12</v>
      </c>
      <c r="B11619" s="2" t="str">
        <f>HYPERLINK("http://bbs.12365auto.com/postcontent.aspx?tID=193385","大众帕萨特碰撞测试中A柱断裂")</f>
        <v>大众帕萨特碰撞测试中A柱断裂</v>
      </c>
      <c r="C11619" s="2" t="s">
        <v>13</v>
      </c>
      <c r="D11619" s="2" t="s">
        <v>12</v>
      </c>
      <c r="E11619" s="2" t="s">
        <v>67</v>
      </c>
      <c r="F11619" s="2" t="str">
        <f>HYPERLINK("http://bbs.12365auto.com/postcontent.aspx?tID=193385","http://bbs.12365auto.com/postcontent.aspx?tID=193385")</f>
        <v>http://bbs.12365auto.com/postcontent.aspx?tID=193385</v>
      </c>
      <c r="G11619" s="2"/>
      <c r="H11619" s="2" t="s">
        <v>15529</v>
      </c>
      <c r="I11619" s="2" t="s">
        <v>15</v>
      </c>
      <c r="J11619" s="2" t="s">
        <v>2360</v>
      </c>
      <c r="K11619" s="2" t="s">
        <v>15528</v>
      </c>
      <c r="L11619" s="2">
        <f t="shared" si="181"/>
        <v>52</v>
      </c>
    </row>
    <row r="11620" spans="1:12" ht="25" customHeight="1">
      <c r="A11620" s="2" t="s">
        <v>12</v>
      </c>
      <c r="B11620" s="2" t="str">
        <f>HYPERLINK("http://bbs.12365auto.com/postcontent.aspx?tId=193386","大众速腾变速箱加速减速有异响")</f>
        <v>大众速腾变速箱加速减速有异响</v>
      </c>
      <c r="C11620" s="2" t="s">
        <v>13</v>
      </c>
      <c r="D11620" s="2" t="s">
        <v>12</v>
      </c>
      <c r="E11620" s="2" t="s">
        <v>66</v>
      </c>
      <c r="F11620" s="2" t="str">
        <f>HYPERLINK("http://bbs.12365auto.com/postcontent.aspx?tId=193386","http://bbs.12365auto.com/postcontent.aspx?tId=193386")</f>
        <v>http://bbs.12365auto.com/postcontent.aspx?tId=193386</v>
      </c>
      <c r="G11620" s="2"/>
      <c r="H11620" s="2" t="s">
        <v>15530</v>
      </c>
      <c r="I11620" s="2" t="s">
        <v>15</v>
      </c>
      <c r="J11620" s="2" t="s">
        <v>2357</v>
      </c>
      <c r="K11620" s="2" t="s">
        <v>15528</v>
      </c>
      <c r="L11620" s="2">
        <f t="shared" si="181"/>
        <v>17</v>
      </c>
    </row>
    <row r="11621" spans="1:12" ht="25" customHeight="1">
      <c r="A11621" s="2" t="s">
        <v>12</v>
      </c>
      <c r="B11621" s="2" t="str">
        <f>HYPERLINK("http://bbs.12365auto.com/postcontent.aspx?tId=193385","大众帕萨特碰撞测试中A柱断裂")</f>
        <v>大众帕萨特碰撞测试中A柱断裂</v>
      </c>
      <c r="C11621" s="2" t="s">
        <v>13</v>
      </c>
      <c r="D11621" s="2" t="s">
        <v>12</v>
      </c>
      <c r="E11621" s="2" t="s">
        <v>66</v>
      </c>
      <c r="F11621" s="2" t="str">
        <f>HYPERLINK("http://bbs.12365auto.com/postcontent.aspx?tId=193385","http://bbs.12365auto.com/postcontent.aspx?tId=193385")</f>
        <v>http://bbs.12365auto.com/postcontent.aspx?tId=193385</v>
      </c>
      <c r="G11621" s="2"/>
      <c r="H11621" s="2" t="s">
        <v>13735</v>
      </c>
      <c r="I11621" s="2" t="s">
        <v>15</v>
      </c>
      <c r="J11621" s="2" t="s">
        <v>2360</v>
      </c>
      <c r="K11621" s="2" t="s">
        <v>15528</v>
      </c>
      <c r="L11621" s="2">
        <f t="shared" si="181"/>
        <v>38</v>
      </c>
    </row>
    <row r="11622" spans="1:12" ht="25" customHeight="1">
      <c r="A11622" s="2" t="s">
        <v>12</v>
      </c>
      <c r="B11622" s="2" t="str">
        <f>HYPERLINK("http://m.12365auto.com/bbs/postcontent.aspx?tID=193386","大众速腾变速箱加速减速有异响")</f>
        <v>大众速腾变速箱加速减速有异响</v>
      </c>
      <c r="C11622" s="2" t="s">
        <v>13</v>
      </c>
      <c r="D11622" s="2" t="s">
        <v>23</v>
      </c>
      <c r="E11622" s="2"/>
      <c r="F11622" s="2" t="str">
        <f>HYPERLINK("http://m.12365auto.com/bbs/postcontent.aspx?tID=193386","http://m.12365auto.com/bbs/postcontent.aspx?tID=193386")</f>
        <v>http://m.12365auto.com/bbs/postcontent.aspx?tID=193386</v>
      </c>
      <c r="G11622" s="2"/>
      <c r="H11622" s="2" t="s">
        <v>15530</v>
      </c>
      <c r="I11622" s="2" t="s">
        <v>15</v>
      </c>
      <c r="J11622" s="2" t="s">
        <v>2357</v>
      </c>
      <c r="K11622" s="2" t="s">
        <v>15528</v>
      </c>
      <c r="L11622" s="2">
        <f t="shared" si="181"/>
        <v>17</v>
      </c>
    </row>
    <row r="11623" spans="1:12" ht="25" customHeight="1">
      <c r="A11623" s="2" t="s">
        <v>12</v>
      </c>
      <c r="B11623" s="2" t="str">
        <f>HYPERLINK("http://m.12365auto.com/bbs/postcontent.aspx?tID=193385","大众帕萨特碰撞测试中A柱断裂")</f>
        <v>大众帕萨特碰撞测试中A柱断裂</v>
      </c>
      <c r="C11623" s="2" t="s">
        <v>13</v>
      </c>
      <c r="D11623" s="2" t="s">
        <v>23</v>
      </c>
      <c r="E11623" s="2"/>
      <c r="F11623" s="2" t="str">
        <f>HYPERLINK("http://m.12365auto.com/bbs/postcontent.aspx?tID=193385","http://m.12365auto.com/bbs/postcontent.aspx?tID=193385")</f>
        <v>http://m.12365auto.com/bbs/postcontent.aspx?tID=193385</v>
      </c>
      <c r="G11623" s="2"/>
      <c r="H11623" s="2" t="s">
        <v>13735</v>
      </c>
      <c r="I11623" s="2" t="s">
        <v>15</v>
      </c>
      <c r="J11623" s="2" t="s">
        <v>2360</v>
      </c>
      <c r="K11623" s="2" t="s">
        <v>15528</v>
      </c>
      <c r="L11623" s="2">
        <f t="shared" si="181"/>
        <v>38</v>
      </c>
    </row>
    <row r="11624" spans="1:12" ht="25" customHeight="1">
      <c r="A11624" s="2" t="s">
        <v>12</v>
      </c>
      <c r="B11624" s="2" t="str">
        <f>HYPERLINK("http://bbs.12365auto.com/postcontent.aspx?tId=193384","帝豪GS车辆行驶跑偏希望厂家解决")</f>
        <v>帝豪GS车辆行驶跑偏希望厂家解决</v>
      </c>
      <c r="C11624" s="2" t="s">
        <v>13</v>
      </c>
      <c r="D11624" s="2" t="s">
        <v>12</v>
      </c>
      <c r="E11624" s="2" t="s">
        <v>66</v>
      </c>
      <c r="F11624" s="2" t="str">
        <f>HYPERLINK("http://bbs.12365auto.com/postcontent.aspx?tId=193384","http://bbs.12365auto.com/postcontent.aspx?tId=193384")</f>
        <v>http://bbs.12365auto.com/postcontent.aspx?tId=193384</v>
      </c>
      <c r="G11624" s="2"/>
      <c r="H11624" s="2" t="s">
        <v>15531</v>
      </c>
      <c r="I11624" s="2" t="s">
        <v>15</v>
      </c>
      <c r="J11624" s="2" t="s">
        <v>2364</v>
      </c>
      <c r="K11624" s="2" t="s">
        <v>15532</v>
      </c>
      <c r="L11624" s="2">
        <f t="shared" si="181"/>
        <v>39</v>
      </c>
    </row>
    <row r="11625" spans="1:12" ht="25" customHeight="1">
      <c r="A11625" s="2" t="s">
        <v>12</v>
      </c>
      <c r="B11625" s="2" t="str">
        <f>HYPERLINK("http://bbs.12365auto.com/postcontent.aspx?tID=193384","帝豪GS车辆行驶跑偏希望厂家解决")</f>
        <v>帝豪GS车辆行驶跑偏希望厂家解决</v>
      </c>
      <c r="C11625" s="2" t="s">
        <v>13</v>
      </c>
      <c r="D11625" s="2" t="s">
        <v>12</v>
      </c>
      <c r="E11625" s="2" t="s">
        <v>67</v>
      </c>
      <c r="F11625" s="2" t="str">
        <f>HYPERLINK("http://bbs.12365auto.com/postcontent.aspx?tID=193384","http://bbs.12365auto.com/postcontent.aspx?tID=193384")</f>
        <v>http://bbs.12365auto.com/postcontent.aspx?tID=193384</v>
      </c>
      <c r="G11625" s="2"/>
      <c r="H11625" s="2" t="s">
        <v>15533</v>
      </c>
      <c r="I11625" s="2" t="s">
        <v>15</v>
      </c>
      <c r="J11625" s="2" t="s">
        <v>2364</v>
      </c>
      <c r="K11625" s="2" t="s">
        <v>15532</v>
      </c>
      <c r="L11625" s="2">
        <f t="shared" si="181"/>
        <v>55</v>
      </c>
    </row>
    <row r="11626" spans="1:12" ht="25" customHeight="1">
      <c r="A11626" s="2" t="s">
        <v>12</v>
      </c>
      <c r="B11626" s="2" t="str">
        <f>HYPERLINK("http://m.12365auto.com/bbs/postcontent.aspx?tID=193384","帝豪GS车辆行驶跑偏希望厂家解决")</f>
        <v>帝豪GS车辆行驶跑偏希望厂家解决</v>
      </c>
      <c r="C11626" s="2" t="s">
        <v>13</v>
      </c>
      <c r="D11626" s="2" t="s">
        <v>23</v>
      </c>
      <c r="E11626" s="2"/>
      <c r="F11626" s="2" t="str">
        <f>HYPERLINK("http://m.12365auto.com/bbs/postcontent.aspx?tID=193384","http://m.12365auto.com/bbs/postcontent.aspx?tID=193384")</f>
        <v>http://m.12365auto.com/bbs/postcontent.aspx?tID=193384</v>
      </c>
      <c r="G11626" s="2"/>
      <c r="H11626" s="2" t="s">
        <v>15531</v>
      </c>
      <c r="I11626" s="2" t="s">
        <v>15</v>
      </c>
      <c r="J11626" s="2" t="s">
        <v>2364</v>
      </c>
      <c r="K11626" s="2" t="s">
        <v>15532</v>
      </c>
      <c r="L11626" s="2">
        <f t="shared" si="181"/>
        <v>39</v>
      </c>
    </row>
    <row r="11627" spans="1:12" ht="25" customHeight="1">
      <c r="A11627" s="2" t="s">
        <v>12</v>
      </c>
      <c r="B11627" s="2" t="str">
        <f>HYPERLINK("http://bbs.12365auto.com/postcontent.aspx?tID=193383","雷克萨斯RX怠速时油箱位置异响严重")</f>
        <v>雷克萨斯RX怠速时油箱位置异响严重</v>
      </c>
      <c r="C11627" s="2" t="s">
        <v>13</v>
      </c>
      <c r="D11627" s="2" t="s">
        <v>12</v>
      </c>
      <c r="E11627" s="2" t="s">
        <v>67</v>
      </c>
      <c r="F11627" s="2" t="str">
        <f>HYPERLINK("http://bbs.12365auto.com/postcontent.aspx?tID=193383","http://bbs.12365auto.com/postcontent.aspx?tID=193383")</f>
        <v>http://bbs.12365auto.com/postcontent.aspx?tID=193383</v>
      </c>
      <c r="G11627" s="2"/>
      <c r="H11627" s="2" t="s">
        <v>15534</v>
      </c>
      <c r="I11627" s="2" t="s">
        <v>15</v>
      </c>
      <c r="J11627" s="2" t="s">
        <v>2368</v>
      </c>
      <c r="K11627" s="2" t="s">
        <v>15535</v>
      </c>
      <c r="L11627" s="2">
        <f t="shared" si="181"/>
        <v>61</v>
      </c>
    </row>
    <row r="11628" spans="1:12" ht="25" customHeight="1">
      <c r="A11628" s="2" t="s">
        <v>12</v>
      </c>
      <c r="B11628" s="2" t="str">
        <f>HYPERLINK("http://bbs.12365auto.com/postcontent.aspx?tId=193383","雷克萨斯RX怠速时油箱位置异响严重")</f>
        <v>雷克萨斯RX怠速时油箱位置异响严重</v>
      </c>
      <c r="C11628" s="2" t="s">
        <v>13</v>
      </c>
      <c r="D11628" s="2" t="s">
        <v>12</v>
      </c>
      <c r="E11628" s="2" t="s">
        <v>66</v>
      </c>
      <c r="F11628" s="2" t="str">
        <f>HYPERLINK("http://bbs.12365auto.com/postcontent.aspx?tId=193383","http://bbs.12365auto.com/postcontent.aspx?tId=193383")</f>
        <v>http://bbs.12365auto.com/postcontent.aspx?tId=193383</v>
      </c>
      <c r="G11628" s="2"/>
      <c r="H11628" s="2" t="s">
        <v>15536</v>
      </c>
      <c r="I11628" s="2" t="s">
        <v>15</v>
      </c>
      <c r="J11628" s="2" t="s">
        <v>2368</v>
      </c>
      <c r="K11628" s="2" t="s">
        <v>15535</v>
      </c>
      <c r="L11628" s="2">
        <f t="shared" si="181"/>
        <v>44</v>
      </c>
    </row>
    <row r="11629" spans="1:12" ht="25" customHeight="1">
      <c r="A11629" s="2" t="s">
        <v>12</v>
      </c>
      <c r="B11629" s="2" t="str">
        <f>HYPERLINK("http://m.12365auto.com/bbs/postcontent.aspx?tID=193383","雷克萨斯RX怠速时油箱位置异响严重")</f>
        <v>雷克萨斯RX怠速时油箱位置异响严重</v>
      </c>
      <c r="C11629" s="2" t="s">
        <v>13</v>
      </c>
      <c r="D11629" s="2" t="s">
        <v>23</v>
      </c>
      <c r="E11629" s="2"/>
      <c r="F11629" s="2" t="str">
        <f>HYPERLINK("http://m.12365auto.com/bbs/postcontent.aspx?tID=193383","http://m.12365auto.com/bbs/postcontent.aspx?tID=193383")</f>
        <v>http://m.12365auto.com/bbs/postcontent.aspx?tID=193383</v>
      </c>
      <c r="G11629" s="2"/>
      <c r="H11629" s="2" t="s">
        <v>15536</v>
      </c>
      <c r="I11629" s="2" t="s">
        <v>15</v>
      </c>
      <c r="J11629" s="2" t="s">
        <v>2368</v>
      </c>
      <c r="K11629" s="2" t="s">
        <v>15535</v>
      </c>
      <c r="L11629" s="2">
        <f t="shared" si="181"/>
        <v>44</v>
      </c>
    </row>
    <row r="11630" spans="1:12" ht="25" customHeight="1">
      <c r="A11630" s="2" t="s">
        <v>12</v>
      </c>
      <c r="B11630" s="2" t="str">
        <f>HYPERLINK("http://bbs.12365auto.com/postcontent.aspx?tId=193382","奥迪A4L节温器故障")</f>
        <v>奥迪A4L节温器故障</v>
      </c>
      <c r="C11630" s="2" t="s">
        <v>13</v>
      </c>
      <c r="D11630" s="2" t="s">
        <v>12</v>
      </c>
      <c r="E11630" s="2" t="s">
        <v>66</v>
      </c>
      <c r="F11630" s="2" t="str">
        <f>HYPERLINK("http://bbs.12365auto.com/postcontent.aspx?tId=193382","http://bbs.12365auto.com/postcontent.aspx?tId=193382")</f>
        <v>http://bbs.12365auto.com/postcontent.aspx?tId=193382</v>
      </c>
      <c r="G11630" s="2"/>
      <c r="H11630" s="2" t="s">
        <v>15537</v>
      </c>
      <c r="I11630" s="2" t="s">
        <v>15</v>
      </c>
      <c r="J11630" s="2" t="s">
        <v>2371</v>
      </c>
      <c r="K11630" s="2" t="s">
        <v>15538</v>
      </c>
      <c r="L11630" s="2">
        <f t="shared" si="181"/>
        <v>150</v>
      </c>
    </row>
    <row r="11631" spans="1:12" ht="25" customHeight="1">
      <c r="A11631" s="2" t="s">
        <v>12</v>
      </c>
      <c r="B11631" s="2" t="str">
        <f>HYPERLINK("http://bbs.12365auto.com/postcontent.aspx?tID=193382","奥迪A4L节温器故障")</f>
        <v>奥迪A4L节温器故障</v>
      </c>
      <c r="C11631" s="2" t="s">
        <v>13</v>
      </c>
      <c r="D11631" s="2" t="s">
        <v>12</v>
      </c>
      <c r="E11631" s="2" t="s">
        <v>67</v>
      </c>
      <c r="F11631" s="2" t="str">
        <f>HYPERLINK("http://bbs.12365auto.com/postcontent.aspx?tID=193382","http://bbs.12365auto.com/postcontent.aspx?tID=193382")</f>
        <v>http://bbs.12365auto.com/postcontent.aspx?tID=193382</v>
      </c>
      <c r="G11631" s="2"/>
      <c r="H11631" s="2" t="s">
        <v>15539</v>
      </c>
      <c r="I11631" s="2" t="s">
        <v>15</v>
      </c>
      <c r="J11631" s="2" t="s">
        <v>2371</v>
      </c>
      <c r="K11631" s="2" t="s">
        <v>15538</v>
      </c>
      <c r="L11631" s="2">
        <f t="shared" si="181"/>
        <v>150</v>
      </c>
    </row>
    <row r="11632" spans="1:12" ht="25" customHeight="1">
      <c r="A11632" s="2" t="s">
        <v>12</v>
      </c>
      <c r="B11632" s="2" t="str">
        <f>HYPERLINK("http://m.12365auto.com/bbs/postcontent.aspx?tID=193382","奥迪A4L节温器故障")</f>
        <v>奥迪A4L节温器故障</v>
      </c>
      <c r="C11632" s="2" t="s">
        <v>13</v>
      </c>
      <c r="D11632" s="2" t="s">
        <v>23</v>
      </c>
      <c r="E11632" s="2"/>
      <c r="F11632" s="2" t="str">
        <f>HYPERLINK("http://m.12365auto.com/bbs/postcontent.aspx?tID=193382","http://m.12365auto.com/bbs/postcontent.aspx?tID=193382")</f>
        <v>http://m.12365auto.com/bbs/postcontent.aspx?tID=193382</v>
      </c>
      <c r="G11632" s="2"/>
      <c r="H11632" s="2" t="s">
        <v>15537</v>
      </c>
      <c r="I11632" s="2" t="s">
        <v>15</v>
      </c>
      <c r="J11632" s="2" t="s">
        <v>2371</v>
      </c>
      <c r="K11632" s="2" t="s">
        <v>15538</v>
      </c>
      <c r="L11632" s="2">
        <f t="shared" si="181"/>
        <v>150</v>
      </c>
    </row>
    <row r="11633" spans="1:12" ht="25" customHeight="1">
      <c r="A11633" s="2" t="s">
        <v>12</v>
      </c>
      <c r="B11633" s="2" t="str">
        <f>HYPERLINK("http://www.12365auto.com/dcbg/20200206/417778.shtml","二手车购买指数：北京奔驰GLC")</f>
        <v>二手车购买指数：北京奔驰GLC</v>
      </c>
      <c r="C11633" s="2" t="s">
        <v>13</v>
      </c>
      <c r="D11633" s="2" t="s">
        <v>12</v>
      </c>
      <c r="E11633" s="2" t="s">
        <v>1319</v>
      </c>
      <c r="F11633" s="2" t="str">
        <f>HYPERLINK("http://www.12365auto.com/dcbg/20200206/417778.shtml","http://www.12365auto.com/dcbg/20200206/417778.shtml")</f>
        <v>http://www.12365auto.com/dcbg/20200206/417778.shtml</v>
      </c>
      <c r="G11633" s="2"/>
      <c r="H11633" s="2" t="s">
        <v>7244</v>
      </c>
      <c r="I11633" s="2" t="s">
        <v>15</v>
      </c>
      <c r="J11633" s="2" t="s">
        <v>12</v>
      </c>
      <c r="K11633" s="2" t="s">
        <v>15540</v>
      </c>
      <c r="L11633" s="2">
        <f t="shared" si="181"/>
        <v>150</v>
      </c>
    </row>
    <row r="11634" spans="1:12" ht="25" customHeight="1">
      <c r="A11634" s="2" t="s">
        <v>12</v>
      </c>
      <c r="B11634" s="2" t="str">
        <f>HYPERLINK("http://m.12365auto.com/dcbg/20200206/417778.shtml","二手车购买指数：北京奔驰GLC")</f>
        <v>二手车购买指数：北京奔驰GLC</v>
      </c>
      <c r="C11634" s="2" t="s">
        <v>13</v>
      </c>
      <c r="D11634" s="2" t="s">
        <v>12</v>
      </c>
      <c r="E11634" s="2"/>
      <c r="F11634" s="2" t="str">
        <f>HYPERLINK("http://m.12365auto.com/dcbg/20200206/417778.shtml","http://m.12365auto.com/dcbg/20200206/417778.shtml")</f>
        <v>http://m.12365auto.com/dcbg/20200206/417778.shtml</v>
      </c>
      <c r="G11634" s="2"/>
      <c r="H11634" s="2" t="s">
        <v>7242</v>
      </c>
      <c r="I11634" s="2" t="s">
        <v>19</v>
      </c>
      <c r="J11634" s="2" t="s">
        <v>369</v>
      </c>
      <c r="K11634" s="2" t="s">
        <v>15540</v>
      </c>
      <c r="L11634" s="2">
        <f t="shared" si="181"/>
        <v>150</v>
      </c>
    </row>
    <row r="11635" spans="1:12" ht="25" customHeight="1">
      <c r="A11635" s="2" t="s">
        <v>12</v>
      </c>
      <c r="B11635" s="2" t="str">
        <f>HYPERLINK("http://www.12365auto.com/zlts/20200206/446454.shtml","提车一个月，两前轮翼子板内衬卷入大量累积泥浆。")</f>
        <v>提车一个月，两前轮翼子板内衬卷入大量累积泥浆。</v>
      </c>
      <c r="C11635" s="2" t="s">
        <v>13</v>
      </c>
      <c r="D11635" s="2" t="s">
        <v>12</v>
      </c>
      <c r="E11635" s="2"/>
      <c r="F11635" s="2" t="str">
        <f>HYPERLINK("http://www.12365auto.com/zlts/20200206/446454.shtml","http://www.12365auto.com/zlts/20200206/446454.shtml")</f>
        <v>http://www.12365auto.com/zlts/20200206/446454.shtml</v>
      </c>
      <c r="G11635" s="2"/>
      <c r="H11635" s="2" t="s">
        <v>15542</v>
      </c>
      <c r="I11635" s="2" t="s">
        <v>15</v>
      </c>
      <c r="J11635" s="2" t="s">
        <v>12</v>
      </c>
      <c r="K11635" s="2" t="s">
        <v>15541</v>
      </c>
      <c r="L11635" s="2">
        <f t="shared" si="181"/>
        <v>80</v>
      </c>
    </row>
    <row r="11636" spans="1:12" ht="25" customHeight="1">
      <c r="A11636" s="2" t="s">
        <v>12</v>
      </c>
      <c r="B11636" s="2" t="str">
        <f>HYPERLINK("http://www.12365auto.com/zlts/20200206/446453.shtml","怠速时候哒哒哒哒响的厉害")</f>
        <v>怠速时候哒哒哒哒响的厉害</v>
      </c>
      <c r="C11636" s="2" t="s">
        <v>13</v>
      </c>
      <c r="D11636" s="2" t="s">
        <v>12</v>
      </c>
      <c r="E11636" s="2"/>
      <c r="F11636" s="2" t="str">
        <f>HYPERLINK("http://www.12365auto.com/zlts/20200206/446453.shtml","http://www.12365auto.com/zlts/20200206/446453.shtml")</f>
        <v>http://www.12365auto.com/zlts/20200206/446453.shtml</v>
      </c>
      <c r="G11636" s="2"/>
      <c r="H11636" s="2" t="s">
        <v>15544</v>
      </c>
      <c r="I11636" s="2" t="s">
        <v>15</v>
      </c>
      <c r="J11636" s="2" t="s">
        <v>12</v>
      </c>
      <c r="K11636" s="2" t="s">
        <v>15543</v>
      </c>
      <c r="L11636" s="2">
        <f t="shared" si="181"/>
        <v>79</v>
      </c>
    </row>
    <row r="11637" spans="1:12" ht="25" customHeight="1">
      <c r="A11637" s="2" t="s">
        <v>12</v>
      </c>
      <c r="B11637" s="2" t="str">
        <f>HYPERLINK("http://www.12365auto.com/zlts/20200206/446452.shtml","东南Dx3方向异响，走颠簸路段异响")</f>
        <v>东南Dx3方向异响，走颠簸路段异响</v>
      </c>
      <c r="C11637" s="2" t="s">
        <v>13</v>
      </c>
      <c r="D11637" s="2" t="s">
        <v>12</v>
      </c>
      <c r="E11637" s="2"/>
      <c r="F11637" s="2" t="str">
        <f>HYPERLINK("http://www.12365auto.com/zlts/20200206/446452.shtml","http://www.12365auto.com/zlts/20200206/446452.shtml")</f>
        <v>http://www.12365auto.com/zlts/20200206/446452.shtml</v>
      </c>
      <c r="G11637" s="2"/>
      <c r="H11637" s="2" t="s">
        <v>15546</v>
      </c>
      <c r="I11637" s="2" t="s">
        <v>15</v>
      </c>
      <c r="J11637" s="2" t="s">
        <v>12</v>
      </c>
      <c r="K11637" s="2" t="s">
        <v>15545</v>
      </c>
      <c r="L11637" s="2">
        <f t="shared" si="181"/>
        <v>83</v>
      </c>
    </row>
    <row r="11638" spans="1:12" ht="25" customHeight="1">
      <c r="A11638" s="2" t="s">
        <v>12</v>
      </c>
      <c r="B11638" s="2" t="str">
        <f>HYPERLINK("http://www.12365auto.com/zlts/20200206/446450.shtml","东风标致408更换完正时皮带烧机油")</f>
        <v>东风标致408更换完正时皮带烧机油</v>
      </c>
      <c r="C11638" s="2" t="s">
        <v>13</v>
      </c>
      <c r="D11638" s="2" t="s">
        <v>12</v>
      </c>
      <c r="E11638" s="2"/>
      <c r="F11638" s="2" t="str">
        <f>HYPERLINK("http://www.12365auto.com/zlts/20200206/446450.shtml","http://www.12365auto.com/zlts/20200206/446450.shtml")</f>
        <v>http://www.12365auto.com/zlts/20200206/446450.shtml</v>
      </c>
      <c r="G11638" s="2"/>
      <c r="H11638" s="2" t="s">
        <v>15548</v>
      </c>
      <c r="I11638" s="2" t="s">
        <v>15</v>
      </c>
      <c r="J11638" s="2" t="s">
        <v>12</v>
      </c>
      <c r="K11638" s="2" t="s">
        <v>15547</v>
      </c>
      <c r="L11638" s="2">
        <f t="shared" si="181"/>
        <v>83</v>
      </c>
    </row>
    <row r="11639" spans="1:12" ht="25" customHeight="1">
      <c r="A11639" s="2" t="s">
        <v>12</v>
      </c>
      <c r="B11639" s="2" t="str">
        <f>HYPERLINK("http://www.12365auto.com/zlts/20200206/446451.shtml","长安欧尚X7尾灯不亮严重影响安全")</f>
        <v>长安欧尚X7尾灯不亮严重影响安全</v>
      </c>
      <c r="C11639" s="2" t="s">
        <v>13</v>
      </c>
      <c r="D11639" s="2" t="s">
        <v>12</v>
      </c>
      <c r="E11639" s="2" t="s">
        <v>17</v>
      </c>
      <c r="F11639" s="2" t="str">
        <f>HYPERLINK("http://www.12365auto.com/zlts/20200206/446451.shtml","http://www.12365auto.com/zlts/20200206/446451.shtml")</f>
        <v>http://www.12365auto.com/zlts/20200206/446451.shtml</v>
      </c>
      <c r="G11639" s="2"/>
      <c r="H11639" s="2" t="s">
        <v>15549</v>
      </c>
      <c r="I11639" s="2" t="s">
        <v>19</v>
      </c>
      <c r="J11639" s="2" t="s">
        <v>12</v>
      </c>
      <c r="K11639" s="2" t="s">
        <v>15550</v>
      </c>
      <c r="L11639" s="2">
        <f t="shared" si="181"/>
        <v>150</v>
      </c>
    </row>
    <row r="11640" spans="1:12" ht="25" customHeight="1">
      <c r="A11640" s="2" t="s">
        <v>12</v>
      </c>
      <c r="B11640" s="2" t="str">
        <f>HYPERLINK("http://www.12365auto.com/zlts/20200205/446449.shtml","上汽大众帕萨特碰撞测试A柱断裂")</f>
        <v>上汽大众帕萨特碰撞测试A柱断裂</v>
      </c>
      <c r="C11640" s="2" t="s">
        <v>13</v>
      </c>
      <c r="D11640" s="2" t="s">
        <v>12</v>
      </c>
      <c r="E11640" s="2" t="s">
        <v>17</v>
      </c>
      <c r="F11640" s="2" t="str">
        <f>HYPERLINK("http://www.12365auto.com/zlts/20200205/446449.shtml","http://www.12365auto.com/zlts/20200205/446449.shtml")</f>
        <v>http://www.12365auto.com/zlts/20200205/446449.shtml</v>
      </c>
      <c r="G11640" s="2"/>
      <c r="H11640" s="2" t="s">
        <v>15551</v>
      </c>
      <c r="I11640" s="2" t="s">
        <v>19</v>
      </c>
      <c r="J11640" s="2" t="s">
        <v>12</v>
      </c>
      <c r="K11640" s="2" t="s">
        <v>15552</v>
      </c>
      <c r="L11640" s="2">
        <f t="shared" si="181"/>
        <v>150</v>
      </c>
    </row>
    <row r="11641" spans="1:12" ht="25" customHeight="1">
      <c r="A11641" s="2" t="s">
        <v>12</v>
      </c>
      <c r="B11641" s="2" t="str">
        <f>HYPERLINK("http://www.12365auto.com/zlts/20200205/446447.shtml","东风雪铁龙C6变速箱顿挫 涡轮进气管脱落")</f>
        <v>东风雪铁龙C6变速箱顿挫 涡轮进气管脱落</v>
      </c>
      <c r="C11641" s="2" t="s">
        <v>13</v>
      </c>
      <c r="D11641" s="2" t="s">
        <v>12</v>
      </c>
      <c r="E11641" s="2" t="s">
        <v>17</v>
      </c>
      <c r="F11641" s="2" t="str">
        <f>HYPERLINK("http://www.12365auto.com/zlts/20200205/446447.shtml","http://www.12365auto.com/zlts/20200205/446447.shtml")</f>
        <v>http://www.12365auto.com/zlts/20200205/446447.shtml</v>
      </c>
      <c r="G11641" s="2"/>
      <c r="H11641" s="2" t="s">
        <v>15553</v>
      </c>
      <c r="I11641" s="2" t="s">
        <v>19</v>
      </c>
      <c r="J11641" s="2" t="s">
        <v>12</v>
      </c>
      <c r="K11641" s="2" t="s">
        <v>15554</v>
      </c>
      <c r="L11641" s="2">
        <f t="shared" si="181"/>
        <v>150</v>
      </c>
    </row>
    <row r="11642" spans="1:12" ht="25" customHeight="1">
      <c r="A11642" s="2" t="s">
        <v>12</v>
      </c>
      <c r="B11642" s="2" t="str">
        <f>HYPERLINK("http://www.12365auto.com/zlts/20200205/446446.shtml","库存车")</f>
        <v>库存车</v>
      </c>
      <c r="C11642" s="2" t="s">
        <v>13</v>
      </c>
      <c r="D11642" s="2" t="s">
        <v>12</v>
      </c>
      <c r="E11642" s="2"/>
      <c r="F11642" s="2" t="str">
        <f>HYPERLINK("http://www.12365auto.com/zlts/20200205/446446.shtml","http://www.12365auto.com/zlts/20200205/446446.shtml")</f>
        <v>http://www.12365auto.com/zlts/20200205/446446.shtml</v>
      </c>
      <c r="G11642" s="2"/>
      <c r="H11642" s="2" t="s">
        <v>15556</v>
      </c>
      <c r="I11642" s="2" t="s">
        <v>15</v>
      </c>
      <c r="J11642" s="2" t="s">
        <v>12</v>
      </c>
      <c r="K11642" s="2" t="s">
        <v>15555</v>
      </c>
      <c r="L11642" s="2">
        <f t="shared" si="181"/>
        <v>86</v>
      </c>
    </row>
    <row r="11643" spans="1:12" ht="25" customHeight="1">
      <c r="A11643" s="2" t="s">
        <v>12</v>
      </c>
      <c r="B11643" s="2" t="str">
        <f>HYPERLINK("http://www.12365auto.com/zlts/20200205/446444.shtml","前挡风玻璃副驾驶下脚开裂")</f>
        <v>前挡风玻璃副驾驶下脚开裂</v>
      </c>
      <c r="C11643" s="2" t="s">
        <v>13</v>
      </c>
      <c r="D11643" s="2" t="s">
        <v>12</v>
      </c>
      <c r="E11643" s="2"/>
      <c r="F11643" s="2" t="str">
        <f>HYPERLINK("http://www.12365auto.com/zlts/20200205/446444.shtml","http://www.12365auto.com/zlts/20200205/446444.shtml")</f>
        <v>http://www.12365auto.com/zlts/20200205/446444.shtml</v>
      </c>
      <c r="G11643" s="2"/>
      <c r="H11643" s="2" t="s">
        <v>15558</v>
      </c>
      <c r="I11643" s="2" t="s">
        <v>15</v>
      </c>
      <c r="J11643" s="2" t="s">
        <v>12</v>
      </c>
      <c r="K11643" s="2" t="s">
        <v>15557</v>
      </c>
      <c r="L11643" s="2">
        <f t="shared" si="181"/>
        <v>82</v>
      </c>
    </row>
    <row r="11644" spans="1:12" ht="25" customHeight="1">
      <c r="A11644" s="2" t="s">
        <v>12</v>
      </c>
      <c r="B11644" s="2" t="str">
        <f>HYPERLINK("http://www.12365auto.com/zlts/20200205/446441.shtml","刹车异响.只要踩刹车就咯吱咯吱响.")</f>
        <v>刹车异响.只要踩刹车就咯吱咯吱响.</v>
      </c>
      <c r="C11644" s="2" t="s">
        <v>13</v>
      </c>
      <c r="D11644" s="2" t="s">
        <v>12</v>
      </c>
      <c r="E11644" s="2"/>
      <c r="F11644" s="2" t="str">
        <f>HYPERLINK("http://www.12365auto.com/zlts/20200205/446441.shtml","http://www.12365auto.com/zlts/20200205/446441.shtml")</f>
        <v>http://www.12365auto.com/zlts/20200205/446441.shtml</v>
      </c>
      <c r="G11644" s="2"/>
      <c r="H11644" s="2" t="s">
        <v>15560</v>
      </c>
      <c r="I11644" s="2" t="s">
        <v>15</v>
      </c>
      <c r="J11644" s="2" t="s">
        <v>12</v>
      </c>
      <c r="K11644" s="2" t="s">
        <v>15559</v>
      </c>
      <c r="L11644" s="2">
        <f t="shared" si="181"/>
        <v>94</v>
      </c>
    </row>
    <row r="11645" spans="1:12" ht="25" customHeight="1">
      <c r="A11645" s="2" t="s">
        <v>12</v>
      </c>
      <c r="B11645" s="2" t="str">
        <f>HYPERLINK("http://www.12365auto.com/zlts/20200205/446443.shtml","一汽丰田RAV4荣放怠速发动机异响")</f>
        <v>一汽丰田RAV4荣放怠速发动机异响</v>
      </c>
      <c r="C11645" s="2" t="s">
        <v>13</v>
      </c>
      <c r="D11645" s="2" t="s">
        <v>12</v>
      </c>
      <c r="E11645" s="2" t="s">
        <v>17</v>
      </c>
      <c r="F11645" s="2" t="str">
        <f>HYPERLINK("http://www.12365auto.com/zlts/20200205/446443.shtml","http://www.12365auto.com/zlts/20200205/446443.shtml")</f>
        <v>http://www.12365auto.com/zlts/20200205/446443.shtml</v>
      </c>
      <c r="G11645" s="2"/>
      <c r="H11645" s="2" t="s">
        <v>15561</v>
      </c>
      <c r="I11645" s="2" t="s">
        <v>19</v>
      </c>
      <c r="J11645" s="2" t="s">
        <v>12</v>
      </c>
      <c r="K11645" s="2" t="s">
        <v>15562</v>
      </c>
      <c r="L11645" s="2">
        <f t="shared" si="181"/>
        <v>150</v>
      </c>
    </row>
    <row r="11646" spans="1:12" ht="25" customHeight="1">
      <c r="A11646" s="2" t="s">
        <v>12</v>
      </c>
      <c r="B11646" s="2" t="str">
        <f>HYPERLINK("http://www.12365auto.com/zlts/20200205/446438.shtml","发动机排放异常及打不着车")</f>
        <v>发动机排放异常及打不着车</v>
      </c>
      <c r="C11646" s="2" t="s">
        <v>13</v>
      </c>
      <c r="D11646" s="2" t="s">
        <v>12</v>
      </c>
      <c r="E11646" s="2"/>
      <c r="F11646" s="2" t="str">
        <f>HYPERLINK("http://www.12365auto.com/zlts/20200205/446438.shtml","http://www.12365auto.com/zlts/20200205/446438.shtml")</f>
        <v>http://www.12365auto.com/zlts/20200205/446438.shtml</v>
      </c>
      <c r="G11646" s="2"/>
      <c r="H11646" s="2" t="s">
        <v>15564</v>
      </c>
      <c r="I11646" s="2" t="s">
        <v>15</v>
      </c>
      <c r="J11646" s="2" t="s">
        <v>12</v>
      </c>
      <c r="K11646" s="2" t="s">
        <v>15563</v>
      </c>
      <c r="L11646" s="2">
        <f t="shared" si="181"/>
        <v>90</v>
      </c>
    </row>
    <row r="11647" spans="1:12" ht="25" customHeight="1">
      <c r="A11647" s="2" t="s">
        <v>12</v>
      </c>
      <c r="B11647" s="2" t="str">
        <f>HYPERLINK("http://www.12365auto.com/zlts/20200205/446440.shtml","东南DX3发动机故障灯报警希望处理")</f>
        <v>东南DX3发动机故障灯报警希望处理</v>
      </c>
      <c r="C11647" s="2" t="s">
        <v>13</v>
      </c>
      <c r="D11647" s="2" t="s">
        <v>12</v>
      </c>
      <c r="E11647" s="2" t="s">
        <v>17</v>
      </c>
      <c r="F11647" s="2" t="str">
        <f>HYPERLINK("http://www.12365auto.com/zlts/20200205/446440.shtml","http://www.12365auto.com/zlts/20200205/446440.shtml")</f>
        <v>http://www.12365auto.com/zlts/20200205/446440.shtml</v>
      </c>
      <c r="G11647" s="2"/>
      <c r="H11647" s="2" t="s">
        <v>15565</v>
      </c>
      <c r="I11647" s="2" t="s">
        <v>19</v>
      </c>
      <c r="J11647" s="2" t="s">
        <v>12</v>
      </c>
      <c r="K11647" s="2" t="s">
        <v>15566</v>
      </c>
      <c r="L11647" s="2">
        <f t="shared" si="181"/>
        <v>150</v>
      </c>
    </row>
    <row r="11648" spans="1:12" ht="25" customHeight="1">
      <c r="A11648" s="2" t="s">
        <v>12</v>
      </c>
      <c r="B11648" s="2" t="str">
        <f>HYPERLINK("http://www.12365auto.com/zlts/20200205/446439.shtml","广汽丰田雷凌发动机怠速不稳 油耗高")</f>
        <v>广汽丰田雷凌发动机怠速不稳 油耗高</v>
      </c>
      <c r="C11648" s="2" t="s">
        <v>13</v>
      </c>
      <c r="D11648" s="2" t="s">
        <v>12</v>
      </c>
      <c r="E11648" s="2" t="s">
        <v>17</v>
      </c>
      <c r="F11648" s="2" t="str">
        <f>HYPERLINK("http://www.12365auto.com/zlts/20200205/446439.shtml","http://www.12365auto.com/zlts/20200205/446439.shtml")</f>
        <v>http://www.12365auto.com/zlts/20200205/446439.shtml</v>
      </c>
      <c r="G11648" s="2"/>
      <c r="H11648" s="2" t="s">
        <v>15567</v>
      </c>
      <c r="I11648" s="2" t="s">
        <v>19</v>
      </c>
      <c r="J11648" s="2" t="s">
        <v>12</v>
      </c>
      <c r="K11648" s="2" t="s">
        <v>15568</v>
      </c>
      <c r="L11648" s="2">
        <f t="shared" si="181"/>
        <v>150</v>
      </c>
    </row>
    <row r="11649" spans="1:12" ht="25" customHeight="1">
      <c r="A11649" s="2" t="s">
        <v>12</v>
      </c>
      <c r="B11649" s="2" t="str">
        <f>HYPERLINK("http://www.12365auto.com/zlts/20200205/446437.shtml","广汽本田雅阁方向盘卡顿转向有阻力")</f>
        <v>广汽本田雅阁方向盘卡顿转向有阻力</v>
      </c>
      <c r="C11649" s="2" t="s">
        <v>13</v>
      </c>
      <c r="D11649" s="2" t="s">
        <v>12</v>
      </c>
      <c r="E11649" s="2" t="s">
        <v>17</v>
      </c>
      <c r="F11649" s="2" t="str">
        <f>HYPERLINK("http://www.12365auto.com/zlts/20200205/446437.shtml","http://www.12365auto.com/zlts/20200205/446437.shtml")</f>
        <v>http://www.12365auto.com/zlts/20200205/446437.shtml</v>
      </c>
      <c r="G11649" s="2"/>
      <c r="H11649" s="2" t="s">
        <v>15569</v>
      </c>
      <c r="I11649" s="2" t="s">
        <v>19</v>
      </c>
      <c r="J11649" s="2" t="s">
        <v>12</v>
      </c>
      <c r="K11649" s="2" t="s">
        <v>15570</v>
      </c>
      <c r="L11649" s="2">
        <f t="shared" si="181"/>
        <v>150</v>
      </c>
    </row>
    <row r="11650" spans="1:12" ht="25" customHeight="1">
      <c r="A11650" s="2" t="s">
        <v>12</v>
      </c>
      <c r="B11650" s="2" t="str">
        <f>HYPERLINK("http://www.12365auto.com/zlts/20200205/446436.shtml","吉利博瑞发动机烧机油4S店否认质量问题")</f>
        <v>吉利博瑞发动机烧机油4S店否认质量问题</v>
      </c>
      <c r="C11650" s="2" t="s">
        <v>13</v>
      </c>
      <c r="D11650" s="2" t="s">
        <v>12</v>
      </c>
      <c r="E11650" s="2" t="s">
        <v>17</v>
      </c>
      <c r="F11650" s="2" t="str">
        <f>HYPERLINK("http://www.12365auto.com/zlts/20200205/446436.shtml","http://www.12365auto.com/zlts/20200205/446436.shtml")</f>
        <v>http://www.12365auto.com/zlts/20200205/446436.shtml</v>
      </c>
      <c r="G11650" s="2"/>
      <c r="H11650" s="2" t="s">
        <v>15571</v>
      </c>
      <c r="I11650" s="2" t="s">
        <v>19</v>
      </c>
      <c r="J11650" s="2" t="s">
        <v>12</v>
      </c>
      <c r="K11650" s="2" t="s">
        <v>15572</v>
      </c>
      <c r="L11650" s="2">
        <f t="shared" si="181"/>
        <v>150</v>
      </c>
    </row>
    <row r="11651" spans="1:12" ht="25" customHeight="1">
      <c r="A11651" s="2" t="s">
        <v>12</v>
      </c>
      <c r="B11651" s="2" t="str">
        <f>HYPERLINK("http://www.12365auto.com/zlts/20200205/446434.shtml","方向盘打方向异响，a柱碰撞测试不合格")</f>
        <v>方向盘打方向异响，a柱碰撞测试不合格</v>
      </c>
      <c r="C11651" s="2" t="s">
        <v>13</v>
      </c>
      <c r="D11651" s="2" t="s">
        <v>12</v>
      </c>
      <c r="E11651" s="2"/>
      <c r="F11651" s="2" t="str">
        <f>HYPERLINK("http://www.12365auto.com/zlts/20200205/446434.shtml","http://www.12365auto.com/zlts/20200205/446434.shtml")</f>
        <v>http://www.12365auto.com/zlts/20200205/446434.shtml</v>
      </c>
      <c r="G11651" s="2"/>
      <c r="H11651" s="2" t="s">
        <v>15574</v>
      </c>
      <c r="I11651" s="2" t="s">
        <v>15</v>
      </c>
      <c r="J11651" s="2" t="s">
        <v>12</v>
      </c>
      <c r="K11651" s="2" t="s">
        <v>15573</v>
      </c>
      <c r="L11651" s="2">
        <f t="shared" ref="L11651:L11714" si="182">LEN(H11651)</f>
        <v>84</v>
      </c>
    </row>
    <row r="11652" spans="1:12" ht="25" customHeight="1">
      <c r="A11652" s="2" t="s">
        <v>12</v>
      </c>
      <c r="B11652" s="2" t="str">
        <f>HYPERLINK("http://bbs.12365auto.com/postcontent.aspx?tId=193381","4s店做车辆保养这些项目都是坑")</f>
        <v>4s店做车辆保养这些项目都是坑</v>
      </c>
      <c r="C11652" s="2" t="s">
        <v>13</v>
      </c>
      <c r="D11652" s="2" t="s">
        <v>12</v>
      </c>
      <c r="E11652" s="2" t="s">
        <v>210</v>
      </c>
      <c r="F11652" s="2" t="str">
        <f>HYPERLINK("http://bbs.12365auto.com/postcontent.aspx?tId=193381","http://bbs.12365auto.com/postcontent.aspx?tId=193381")</f>
        <v>http://bbs.12365auto.com/postcontent.aspx?tId=193381</v>
      </c>
      <c r="G11652" s="2"/>
      <c r="H11652" s="2" t="s">
        <v>15575</v>
      </c>
      <c r="I11652" s="2" t="s">
        <v>15</v>
      </c>
      <c r="J11652" s="2" t="s">
        <v>1446</v>
      </c>
      <c r="K11652" s="2" t="s">
        <v>15576</v>
      </c>
      <c r="L11652" s="2">
        <f t="shared" si="182"/>
        <v>150</v>
      </c>
    </row>
    <row r="11653" spans="1:12" ht="25" customHeight="1">
      <c r="A11653" s="2" t="s">
        <v>12</v>
      </c>
      <c r="B11653" s="2" t="str">
        <f>HYPERLINK("http://m.12365auto.com/bbs/postcontent.aspx?tID=193381","4s店做车辆保养这些项目都是坑")</f>
        <v>4s店做车辆保养这些项目都是坑</v>
      </c>
      <c r="C11653" s="2" t="s">
        <v>13</v>
      </c>
      <c r="D11653" s="2" t="s">
        <v>23</v>
      </c>
      <c r="E11653" s="2"/>
      <c r="F11653" s="2" t="str">
        <f>HYPERLINK("http://m.12365auto.com/bbs/postcontent.aspx?tID=193381","http://m.12365auto.com/bbs/postcontent.aspx?tID=193381")</f>
        <v>http://m.12365auto.com/bbs/postcontent.aspx?tID=193381</v>
      </c>
      <c r="G11653" s="2"/>
      <c r="H11653" s="2" t="s">
        <v>15575</v>
      </c>
      <c r="I11653" s="2" t="s">
        <v>15</v>
      </c>
      <c r="J11653" s="2" t="s">
        <v>1446</v>
      </c>
      <c r="K11653" s="2" t="s">
        <v>15576</v>
      </c>
      <c r="L11653" s="2">
        <f t="shared" si="182"/>
        <v>150</v>
      </c>
    </row>
    <row r="11654" spans="1:12" ht="25" customHeight="1">
      <c r="A11654" s="2" t="s">
        <v>12</v>
      </c>
      <c r="B11654" s="2" t="str">
        <f>HYPERLINK("http://bbs.12365auto.com/postcontent.aspx?tID=193381","4s店做车辆保养这些项目都是坑")</f>
        <v>4s店做车辆保养这些项目都是坑</v>
      </c>
      <c r="C11654" s="2" t="s">
        <v>13</v>
      </c>
      <c r="D11654" s="2" t="s">
        <v>12</v>
      </c>
      <c r="E11654" s="2" t="s">
        <v>214</v>
      </c>
      <c r="F11654" s="2" t="str">
        <f>HYPERLINK("http://bbs.12365auto.com/postcontent.aspx?tID=193381","http://bbs.12365auto.com/postcontent.aspx?tID=193381")</f>
        <v>http://bbs.12365auto.com/postcontent.aspx?tID=193381</v>
      </c>
      <c r="G11654" s="2"/>
      <c r="H11654" s="2" t="s">
        <v>15577</v>
      </c>
      <c r="I11654" s="2" t="s">
        <v>15</v>
      </c>
      <c r="J11654" s="2" t="s">
        <v>1446</v>
      </c>
      <c r="K11654" s="2" t="s">
        <v>15576</v>
      </c>
      <c r="L11654" s="2">
        <f t="shared" si="182"/>
        <v>150</v>
      </c>
    </row>
    <row r="11655" spans="1:12" ht="25" customHeight="1">
      <c r="A11655" s="2" t="s">
        <v>12</v>
      </c>
      <c r="B11655" s="2" t="str">
        <f>HYPERLINK("http://www.12365auto.com/zlts/20200205/446435.shtml","众泰T300变速箱异响经常出现换挡困难现象")</f>
        <v>众泰T300变速箱异响经常出现换挡困难现象</v>
      </c>
      <c r="C11655" s="2" t="s">
        <v>13</v>
      </c>
      <c r="D11655" s="2" t="s">
        <v>12</v>
      </c>
      <c r="E11655" s="2" t="s">
        <v>17</v>
      </c>
      <c r="F11655" s="2" t="str">
        <f>HYPERLINK("http://www.12365auto.com/zlts/20200205/446435.shtml","http://www.12365auto.com/zlts/20200205/446435.shtml")</f>
        <v>http://www.12365auto.com/zlts/20200205/446435.shtml</v>
      </c>
      <c r="G11655" s="2"/>
      <c r="H11655" s="2" t="s">
        <v>15578</v>
      </c>
      <c r="I11655" s="2" t="s">
        <v>19</v>
      </c>
      <c r="J11655" s="2" t="s">
        <v>12</v>
      </c>
      <c r="K11655" s="2" t="s">
        <v>15579</v>
      </c>
      <c r="L11655" s="2">
        <f t="shared" si="182"/>
        <v>150</v>
      </c>
    </row>
    <row r="11656" spans="1:12" ht="25" customHeight="1">
      <c r="A11656" s="2" t="s">
        <v>12</v>
      </c>
      <c r="B11656" s="2" t="str">
        <f>HYPERLINK("http://www.12365auto.com/zlts/20200205/446433.shtml","车内异味")</f>
        <v>车内异味</v>
      </c>
      <c r="C11656" s="2" t="s">
        <v>13</v>
      </c>
      <c r="D11656" s="2" t="s">
        <v>12</v>
      </c>
      <c r="E11656" s="2"/>
      <c r="F11656" s="2" t="str">
        <f>HYPERLINK("http://www.12365auto.com/zlts/20200205/446433.shtml","http://www.12365auto.com/zlts/20200205/446433.shtml")</f>
        <v>http://www.12365auto.com/zlts/20200205/446433.shtml</v>
      </c>
      <c r="G11656" s="2"/>
      <c r="H11656" s="2" t="s">
        <v>15581</v>
      </c>
      <c r="I11656" s="2" t="s">
        <v>15</v>
      </c>
      <c r="J11656" s="2" t="s">
        <v>12</v>
      </c>
      <c r="K11656" s="2" t="s">
        <v>15580</v>
      </c>
      <c r="L11656" s="2">
        <f t="shared" si="182"/>
        <v>83</v>
      </c>
    </row>
    <row r="11657" spans="1:12" ht="25" customHeight="1">
      <c r="A11657" s="2" t="s">
        <v>12</v>
      </c>
      <c r="B11657" s="2" t="str">
        <f>HYPERLINK("http://www.12365auto.com/zlts/20200205/446431.shtml","东风日产逍客车内异味一直无法解决")</f>
        <v>东风日产逍客车内异味一直无法解决</v>
      </c>
      <c r="C11657" s="2" t="s">
        <v>13</v>
      </c>
      <c r="D11657" s="2" t="s">
        <v>12</v>
      </c>
      <c r="E11657" s="2" t="s">
        <v>17</v>
      </c>
      <c r="F11657" s="2" t="str">
        <f>HYPERLINK("http://www.12365auto.com/zlts/20200205/446431.shtml","http://www.12365auto.com/zlts/20200205/446431.shtml")</f>
        <v>http://www.12365auto.com/zlts/20200205/446431.shtml</v>
      </c>
      <c r="G11657" s="2"/>
      <c r="H11657" s="2" t="s">
        <v>15582</v>
      </c>
      <c r="I11657" s="2" t="s">
        <v>19</v>
      </c>
      <c r="J11657" s="2" t="s">
        <v>12</v>
      </c>
      <c r="K11657" s="2" t="s">
        <v>15583</v>
      </c>
      <c r="L11657" s="2">
        <f t="shared" si="182"/>
        <v>150</v>
      </c>
    </row>
    <row r="11658" spans="1:12" ht="25" customHeight="1">
      <c r="A11658" s="2" t="s">
        <v>12</v>
      </c>
      <c r="B11658" s="2" t="str">
        <f>HYPERLINK("http://www.12365auto.com/zlts/20200205/446427.shtml","车辆自动启停按键没有作用，按下去没有什么反馈。")</f>
        <v>车辆自动启停按键没有作用，按下去没有什么反馈。</v>
      </c>
      <c r="C11658" s="2" t="s">
        <v>13</v>
      </c>
      <c r="D11658" s="2" t="s">
        <v>12</v>
      </c>
      <c r="E11658" s="2"/>
      <c r="F11658" s="2" t="str">
        <f>HYPERLINK("http://www.12365auto.com/zlts/20200205/446427.shtml","http://www.12365auto.com/zlts/20200205/446427.shtml")</f>
        <v>http://www.12365auto.com/zlts/20200205/446427.shtml</v>
      </c>
      <c r="G11658" s="2"/>
      <c r="H11658" s="2" t="s">
        <v>15585</v>
      </c>
      <c r="I11658" s="2" t="s">
        <v>15</v>
      </c>
      <c r="J11658" s="2" t="s">
        <v>12</v>
      </c>
      <c r="K11658" s="2" t="s">
        <v>15584</v>
      </c>
      <c r="L11658" s="2">
        <f t="shared" si="182"/>
        <v>84</v>
      </c>
    </row>
    <row r="11659" spans="1:12" ht="25" customHeight="1">
      <c r="A11659" s="2" t="s">
        <v>12</v>
      </c>
      <c r="B11659" s="2" t="str">
        <f>HYPERLINK("http://www.12365auto.com/zlts/20200205/446429.shtml","东风日产奇骏电瓶亏电 无法启动")</f>
        <v>东风日产奇骏电瓶亏电 无法启动</v>
      </c>
      <c r="C11659" s="2" t="s">
        <v>13</v>
      </c>
      <c r="D11659" s="2" t="s">
        <v>12</v>
      </c>
      <c r="E11659" s="2" t="s">
        <v>17</v>
      </c>
      <c r="F11659" s="2" t="str">
        <f>HYPERLINK("http://www.12365auto.com/zlts/20200205/446429.shtml","http://www.12365auto.com/zlts/20200205/446429.shtml")</f>
        <v>http://www.12365auto.com/zlts/20200205/446429.shtml</v>
      </c>
      <c r="G11659" s="2"/>
      <c r="H11659" s="2" t="s">
        <v>15586</v>
      </c>
      <c r="I11659" s="2" t="s">
        <v>19</v>
      </c>
      <c r="J11659" s="2" t="s">
        <v>12</v>
      </c>
      <c r="K11659" s="2" t="s">
        <v>15587</v>
      </c>
      <c r="L11659" s="2">
        <f t="shared" si="182"/>
        <v>150</v>
      </c>
    </row>
    <row r="11660" spans="1:12" ht="25" customHeight="1">
      <c r="A11660" s="2" t="s">
        <v>12</v>
      </c>
      <c r="B11660" s="2" t="str">
        <f>HYPERLINK("http://m.12365auto.com/news/20200205/417777.shtml","长城全球化战略再进阶 印度市场战略启动")</f>
        <v>长城全球化战略再进阶 印度市场战略启动</v>
      </c>
      <c r="C11660" s="2" t="s">
        <v>13</v>
      </c>
      <c r="D11660" s="2" t="s">
        <v>12</v>
      </c>
      <c r="E11660" s="2"/>
      <c r="F11660" s="2" t="str">
        <f>HYPERLINK("http://m.12365auto.com/news/20200205/417777.shtml","http://m.12365auto.com/news/20200205/417777.shtml")</f>
        <v>http://m.12365auto.com/news/20200205/417777.shtml</v>
      </c>
      <c r="G11660" s="2"/>
      <c r="H11660" s="2" t="s">
        <v>15588</v>
      </c>
      <c r="I11660" s="2" t="s">
        <v>19</v>
      </c>
      <c r="J11660" s="2" t="s">
        <v>12</v>
      </c>
      <c r="K11660" s="2" t="s">
        <v>15589</v>
      </c>
      <c r="L11660" s="2">
        <f t="shared" si="182"/>
        <v>150</v>
      </c>
    </row>
    <row r="11661" spans="1:12" ht="25" customHeight="1">
      <c r="A11661" s="2" t="s">
        <v>12</v>
      </c>
      <c r="B11661" s="2" t="str">
        <f>HYPERLINK("http://www.12365auto.com/news/20200205/417777.shtml","长城全球化战略再进阶 印度市场战略启动")</f>
        <v>长城全球化战略再进阶 印度市场战略启动</v>
      </c>
      <c r="C11661" s="2" t="s">
        <v>13</v>
      </c>
      <c r="D11661" s="2" t="s">
        <v>12</v>
      </c>
      <c r="E11661" s="2" t="s">
        <v>276</v>
      </c>
      <c r="F11661" s="2" t="str">
        <f>HYPERLINK("http://www.12365auto.com/news/20200205/417777.shtml","http://www.12365auto.com/news/20200205/417777.shtml")</f>
        <v>http://www.12365auto.com/news/20200205/417777.shtml</v>
      </c>
      <c r="G11661" s="2"/>
      <c r="H11661" s="2" t="s">
        <v>15590</v>
      </c>
      <c r="I11661" s="2" t="s">
        <v>15</v>
      </c>
      <c r="J11661" s="2" t="s">
        <v>12</v>
      </c>
      <c r="K11661" s="2" t="s">
        <v>15589</v>
      </c>
      <c r="L11661" s="2">
        <f t="shared" si="182"/>
        <v>150</v>
      </c>
    </row>
    <row r="11662" spans="1:12" ht="25" customHeight="1">
      <c r="A11662" s="2" t="s">
        <v>12</v>
      </c>
      <c r="B11662" s="2" t="str">
        <f>HYPERLINK("http://www.12365auto.com/zlts/20200205/446422.shtml","众泰T600变速箱异响 厂家不回复")</f>
        <v>众泰T600变速箱异响 厂家不回复</v>
      </c>
      <c r="C11662" s="2" t="s">
        <v>13</v>
      </c>
      <c r="D11662" s="2" t="s">
        <v>12</v>
      </c>
      <c r="E11662" s="2" t="s">
        <v>17</v>
      </c>
      <c r="F11662" s="2" t="str">
        <f>HYPERLINK("http://www.12365auto.com/zlts/20200205/446422.shtml","http://www.12365auto.com/zlts/20200205/446422.shtml")</f>
        <v>http://www.12365auto.com/zlts/20200205/446422.shtml</v>
      </c>
      <c r="G11662" s="2"/>
      <c r="H11662" s="2" t="s">
        <v>15591</v>
      </c>
      <c r="I11662" s="2" t="s">
        <v>19</v>
      </c>
      <c r="J11662" s="2" t="s">
        <v>12</v>
      </c>
      <c r="K11662" s="2" t="s">
        <v>15592</v>
      </c>
      <c r="L11662" s="2">
        <f t="shared" si="182"/>
        <v>150</v>
      </c>
    </row>
    <row r="11663" spans="1:12" ht="25" customHeight="1">
      <c r="A11663" s="2" t="s">
        <v>12</v>
      </c>
      <c r="B11663" s="2" t="str">
        <f>HYPERLINK("http://www.12365auto.com/zlts/20200205/446420.shtml","比亚迪速锐更换变速箱之后异响更加严重")</f>
        <v>比亚迪速锐更换变速箱之后异响更加严重</v>
      </c>
      <c r="C11663" s="2" t="s">
        <v>13</v>
      </c>
      <c r="D11663" s="2" t="s">
        <v>12</v>
      </c>
      <c r="E11663" s="2" t="s">
        <v>17</v>
      </c>
      <c r="F11663" s="2" t="str">
        <f>HYPERLINK("http://www.12365auto.com/zlts/20200205/446420.shtml","http://www.12365auto.com/zlts/20200205/446420.shtml")</f>
        <v>http://www.12365auto.com/zlts/20200205/446420.shtml</v>
      </c>
      <c r="G11663" s="2"/>
      <c r="H11663" s="2" t="s">
        <v>15593</v>
      </c>
      <c r="I11663" s="2" t="s">
        <v>19</v>
      </c>
      <c r="J11663" s="2" t="s">
        <v>12</v>
      </c>
      <c r="K11663" s="2" t="s">
        <v>15594</v>
      </c>
      <c r="L11663" s="2">
        <f t="shared" si="182"/>
        <v>150</v>
      </c>
    </row>
    <row r="11664" spans="1:12" ht="25" customHeight="1">
      <c r="A11664" s="2" t="s">
        <v>12</v>
      </c>
      <c r="B11664" s="2" t="str">
        <f>HYPERLINK("http://www.12365auto.com/zlts/20200205/446416.shtml","车身右后顶棚部位异响")</f>
        <v>车身右后顶棚部位异响</v>
      </c>
      <c r="C11664" s="2" t="s">
        <v>13</v>
      </c>
      <c r="D11664" s="2" t="s">
        <v>12</v>
      </c>
      <c r="E11664" s="2"/>
      <c r="F11664" s="2" t="str">
        <f>HYPERLINK("http://www.12365auto.com/zlts/20200205/446416.shtml","http://www.12365auto.com/zlts/20200205/446416.shtml")</f>
        <v>http://www.12365auto.com/zlts/20200205/446416.shtml</v>
      </c>
      <c r="G11664" s="2"/>
      <c r="H11664" s="2" t="s">
        <v>15596</v>
      </c>
      <c r="I11664" s="2" t="s">
        <v>15</v>
      </c>
      <c r="J11664" s="2" t="s">
        <v>12</v>
      </c>
      <c r="K11664" s="2" t="s">
        <v>15595</v>
      </c>
      <c r="L11664" s="2">
        <f t="shared" si="182"/>
        <v>91</v>
      </c>
    </row>
    <row r="11665" spans="1:12" ht="25" customHeight="1">
      <c r="A11665" s="2" t="s">
        <v>12</v>
      </c>
      <c r="B11665" s="2" t="str">
        <f>HYPERLINK("http://www.12365auto.com/zlts/20200205/446415.shtml","一汽大众奥迪A4L节温器故障要求召回处理")</f>
        <v>一汽大众奥迪A4L节温器故障要求召回处理</v>
      </c>
      <c r="C11665" s="2" t="s">
        <v>13</v>
      </c>
      <c r="D11665" s="2" t="s">
        <v>12</v>
      </c>
      <c r="E11665" s="2" t="s">
        <v>17</v>
      </c>
      <c r="F11665" s="2" t="str">
        <f>HYPERLINK("http://www.12365auto.com/zlts/20200205/446415.shtml","http://www.12365auto.com/zlts/20200205/446415.shtml")</f>
        <v>http://www.12365auto.com/zlts/20200205/446415.shtml</v>
      </c>
      <c r="G11665" s="2"/>
      <c r="H11665" s="2" t="s">
        <v>15597</v>
      </c>
      <c r="I11665" s="2" t="s">
        <v>19</v>
      </c>
      <c r="J11665" s="2" t="s">
        <v>12</v>
      </c>
      <c r="K11665" s="2" t="s">
        <v>15598</v>
      </c>
      <c r="L11665" s="2">
        <f t="shared" si="182"/>
        <v>150</v>
      </c>
    </row>
    <row r="11666" spans="1:12" ht="25" customHeight="1">
      <c r="A11666" s="2" t="s">
        <v>12</v>
      </c>
      <c r="B11666" s="2" t="str">
        <f>HYPERLINK("http://m.12365auto.com/zjdy/20200205/121043.shtml","新款雷凌首保需要换机油和机油滤芯吗？")</f>
        <v>新款雷凌首保需要换机油和机油滤芯吗？</v>
      </c>
      <c r="C11666" s="2" t="s">
        <v>13</v>
      </c>
      <c r="D11666" s="2" t="s">
        <v>12</v>
      </c>
      <c r="E11666" s="2"/>
      <c r="F11666" s="2" t="str">
        <f>HYPERLINK("http://m.12365auto.com/zjdy/20200205/121043.shtml","http://m.12365auto.com/zjdy/20200205/121043.shtml")</f>
        <v>http://m.12365auto.com/zjdy/20200205/121043.shtml</v>
      </c>
      <c r="G11666" s="2"/>
      <c r="H11666" s="2" t="s">
        <v>15599</v>
      </c>
      <c r="I11666" s="2" t="s">
        <v>19</v>
      </c>
      <c r="J11666" s="2" t="s">
        <v>12</v>
      </c>
      <c r="K11666" s="2" t="s">
        <v>15600</v>
      </c>
      <c r="L11666" s="2">
        <f t="shared" si="182"/>
        <v>75</v>
      </c>
    </row>
    <row r="11667" spans="1:12" ht="25" customHeight="1">
      <c r="A11667" s="2" t="s">
        <v>12</v>
      </c>
      <c r="B11667" s="2" t="str">
        <f>HYPERLINK("http://www.12365auto.com/zlts/20200205/446414.shtml","雷克萨斯RX怠速时油箱位置异响严重")</f>
        <v>雷克萨斯RX怠速时油箱位置异响严重</v>
      </c>
      <c r="C11667" s="2" t="s">
        <v>13</v>
      </c>
      <c r="D11667" s="2" t="s">
        <v>12</v>
      </c>
      <c r="E11667" s="2" t="s">
        <v>17</v>
      </c>
      <c r="F11667" s="2" t="str">
        <f>HYPERLINK("http://www.12365auto.com/zlts/20200205/446414.shtml","http://www.12365auto.com/zlts/20200205/446414.shtml")</f>
        <v>http://www.12365auto.com/zlts/20200205/446414.shtml</v>
      </c>
      <c r="G11667" s="2"/>
      <c r="H11667" s="2" t="s">
        <v>15601</v>
      </c>
      <c r="I11667" s="2" t="s">
        <v>19</v>
      </c>
      <c r="J11667" s="2" t="s">
        <v>12</v>
      </c>
      <c r="K11667" s="2" t="s">
        <v>15602</v>
      </c>
      <c r="L11667" s="2">
        <f t="shared" si="182"/>
        <v>150</v>
      </c>
    </row>
    <row r="11668" spans="1:12" ht="25" customHeight="1">
      <c r="A11668" s="2" t="s">
        <v>12</v>
      </c>
      <c r="B11668" s="2" t="str">
        <f>HYPERLINK("http://www.12365auto.com/zlts/20200205/446412.shtml","凯马中型货车发动机拉缸经销商不予保修")</f>
        <v>凯马中型货车发动机拉缸经销商不予保修</v>
      </c>
      <c r="C11668" s="2" t="s">
        <v>13</v>
      </c>
      <c r="D11668" s="2" t="s">
        <v>12</v>
      </c>
      <c r="E11668" s="2" t="s">
        <v>17</v>
      </c>
      <c r="F11668" s="2" t="str">
        <f>HYPERLINK("http://www.12365auto.com/zlts/20200205/446412.shtml","http://www.12365auto.com/zlts/20200205/446412.shtml")</f>
        <v>http://www.12365auto.com/zlts/20200205/446412.shtml</v>
      </c>
      <c r="G11668" s="2"/>
      <c r="H11668" s="2" t="s">
        <v>15603</v>
      </c>
      <c r="I11668" s="2" t="s">
        <v>19</v>
      </c>
      <c r="J11668" s="2" t="s">
        <v>12</v>
      </c>
      <c r="K11668" s="2" t="s">
        <v>15604</v>
      </c>
      <c r="L11668" s="2">
        <f t="shared" si="182"/>
        <v>150</v>
      </c>
    </row>
    <row r="11669" spans="1:12" ht="25" customHeight="1">
      <c r="A11669" s="2" t="s">
        <v>12</v>
      </c>
      <c r="B11669" s="2" t="str">
        <f>HYPERLINK("http://m.12365auto.com/zjdy/20200205/121041.shtml","电子转向助力故障灯亮是哪里有问题？")</f>
        <v>电子转向助力故障灯亮是哪里有问题？</v>
      </c>
      <c r="C11669" s="2" t="s">
        <v>13</v>
      </c>
      <c r="D11669" s="2" t="s">
        <v>12</v>
      </c>
      <c r="E11669" s="2"/>
      <c r="F11669" s="2" t="str">
        <f>HYPERLINK("http://m.12365auto.com/zjdy/20200205/121041.shtml","http://m.12365auto.com/zjdy/20200205/121041.shtml")</f>
        <v>http://m.12365auto.com/zjdy/20200205/121041.shtml</v>
      </c>
      <c r="G11669" s="2"/>
      <c r="H11669" s="2" t="s">
        <v>15605</v>
      </c>
      <c r="I11669" s="2" t="s">
        <v>19</v>
      </c>
      <c r="J11669" s="2" t="s">
        <v>12</v>
      </c>
      <c r="K11669" s="2" t="s">
        <v>15606</v>
      </c>
      <c r="L11669" s="2">
        <f t="shared" si="182"/>
        <v>23</v>
      </c>
    </row>
    <row r="11670" spans="1:12" ht="25" customHeight="1">
      <c r="A11670" s="2" t="s">
        <v>12</v>
      </c>
      <c r="B11670" s="2" t="str">
        <f>HYPERLINK("http://www.12365auto.com/zlts/20200205/446411.shtml","吉利帝豪GS车辆行驶跑偏希望厂家解决")</f>
        <v>吉利帝豪GS车辆行驶跑偏希望厂家解决</v>
      </c>
      <c r="C11670" s="2" t="s">
        <v>13</v>
      </c>
      <c r="D11670" s="2" t="s">
        <v>12</v>
      </c>
      <c r="E11670" s="2" t="s">
        <v>17</v>
      </c>
      <c r="F11670" s="2" t="str">
        <f>HYPERLINK("http://www.12365auto.com/zlts/20200205/446411.shtml","http://www.12365auto.com/zlts/20200205/446411.shtml")</f>
        <v>http://www.12365auto.com/zlts/20200205/446411.shtml</v>
      </c>
      <c r="G11670" s="2"/>
      <c r="H11670" s="2" t="s">
        <v>15607</v>
      </c>
      <c r="I11670" s="2" t="s">
        <v>15</v>
      </c>
      <c r="J11670" s="2" t="s">
        <v>12</v>
      </c>
      <c r="K11670" s="2" t="s">
        <v>15608</v>
      </c>
      <c r="L11670" s="2">
        <f t="shared" si="182"/>
        <v>150</v>
      </c>
    </row>
    <row r="11671" spans="1:12" ht="25" customHeight="1">
      <c r="A11671" s="2" t="s">
        <v>12</v>
      </c>
      <c r="B11671" s="2" t="str">
        <f>HYPERLINK("http://bbs.12365auto.com/postcontent.aspx?tId=193380","Rx3这个车子是不是漏电 刚换的电瓶二天又发不起来了")</f>
        <v>Rx3这个车子是不是漏电 刚换的电瓶二天又发不起来了</v>
      </c>
      <c r="C11671" s="2" t="s">
        <v>13</v>
      </c>
      <c r="D11671" s="2" t="s">
        <v>12</v>
      </c>
      <c r="E11671" s="2" t="s">
        <v>66</v>
      </c>
      <c r="F11671" s="2" t="str">
        <f>HYPERLINK("http://bbs.12365auto.com/postcontent.aspx?tId=193380","http://bbs.12365auto.com/postcontent.aspx?tId=193380")</f>
        <v>http://bbs.12365auto.com/postcontent.aspx?tId=193380</v>
      </c>
      <c r="G11671" s="2"/>
      <c r="H11671" s="2" t="s">
        <v>15609</v>
      </c>
      <c r="I11671" s="2" t="s">
        <v>15</v>
      </c>
      <c r="J11671" s="2" t="s">
        <v>15610</v>
      </c>
      <c r="K11671" s="2" t="s">
        <v>15611</v>
      </c>
      <c r="L11671" s="2">
        <f t="shared" si="182"/>
        <v>32</v>
      </c>
    </row>
    <row r="11672" spans="1:12" ht="25" customHeight="1">
      <c r="A11672" s="2" t="s">
        <v>12</v>
      </c>
      <c r="B11672" s="2" t="str">
        <f>HYPERLINK("http://m.12365auto.com/bbs/postcontent.aspx?tID=193380","Rx3这个车子是不是漏电 刚换的电瓶二天又发不起来了")</f>
        <v>Rx3这个车子是不是漏电 刚换的电瓶二天又发不起来了</v>
      </c>
      <c r="C11672" s="2" t="s">
        <v>13</v>
      </c>
      <c r="D11672" s="2" t="s">
        <v>23</v>
      </c>
      <c r="E11672" s="2"/>
      <c r="F11672" s="2" t="str">
        <f>HYPERLINK("http://m.12365auto.com/bbs/postcontent.aspx?tID=193380","http://m.12365auto.com/bbs/postcontent.aspx?tID=193380")</f>
        <v>http://m.12365auto.com/bbs/postcontent.aspx?tID=193380</v>
      </c>
      <c r="G11672" s="2"/>
      <c r="H11672" s="2" t="s">
        <v>15609</v>
      </c>
      <c r="I11672" s="2" t="s">
        <v>15</v>
      </c>
      <c r="J11672" s="2" t="s">
        <v>15610</v>
      </c>
      <c r="K11672" s="2" t="s">
        <v>15611</v>
      </c>
      <c r="L11672" s="2">
        <f t="shared" si="182"/>
        <v>32</v>
      </c>
    </row>
    <row r="11673" spans="1:12" ht="25" customHeight="1">
      <c r="A11673" s="2" t="s">
        <v>12</v>
      </c>
      <c r="B11673" s="2" t="str">
        <f>HYPERLINK("http://bbs.12365auto.com/postcontent.aspx?tID=193380","Rx3这个车子是不是漏电 刚换的电瓶二天又发不起来了")</f>
        <v>Rx3这个车子是不是漏电 刚换的电瓶二天又发不起来了</v>
      </c>
      <c r="C11673" s="2" t="s">
        <v>13</v>
      </c>
      <c r="D11673" s="2" t="s">
        <v>12</v>
      </c>
      <c r="E11673" s="2" t="s">
        <v>67</v>
      </c>
      <c r="F11673" s="2" t="str">
        <f>HYPERLINK("http://bbs.12365auto.com/postcontent.aspx?tID=193380","http://bbs.12365auto.com/postcontent.aspx?tID=193380")</f>
        <v>http://bbs.12365auto.com/postcontent.aspx?tID=193380</v>
      </c>
      <c r="G11673" s="2"/>
      <c r="H11673" s="2" t="s">
        <v>15612</v>
      </c>
      <c r="I11673" s="2" t="s">
        <v>15</v>
      </c>
      <c r="J11673" s="2" t="s">
        <v>15610</v>
      </c>
      <c r="K11673" s="2" t="s">
        <v>15611</v>
      </c>
      <c r="L11673" s="2">
        <f t="shared" si="182"/>
        <v>58</v>
      </c>
    </row>
    <row r="11674" spans="1:12" ht="25" customHeight="1">
      <c r="A11674" s="2" t="s">
        <v>12</v>
      </c>
      <c r="B11674" s="2" t="str">
        <f>HYPERLINK("http://www.12365auto.com/zlts/20200205/446410.shtml","比速T5暖风电机不工作影响正常使用")</f>
        <v>比速T5暖风电机不工作影响正常使用</v>
      </c>
      <c r="C11674" s="2" t="s">
        <v>13</v>
      </c>
      <c r="D11674" s="2" t="s">
        <v>12</v>
      </c>
      <c r="E11674" s="2" t="s">
        <v>17</v>
      </c>
      <c r="F11674" s="2" t="str">
        <f>HYPERLINK("http://www.12365auto.com/zlts/20200205/446410.shtml","http://www.12365auto.com/zlts/20200205/446410.shtml")</f>
        <v>http://www.12365auto.com/zlts/20200205/446410.shtml</v>
      </c>
      <c r="G11674" s="2"/>
      <c r="H11674" s="2" t="s">
        <v>15613</v>
      </c>
      <c r="I11674" s="2" t="s">
        <v>15</v>
      </c>
      <c r="J11674" s="2" t="s">
        <v>12</v>
      </c>
      <c r="K11674" s="2" t="s">
        <v>15614</v>
      </c>
      <c r="L11674" s="2">
        <f t="shared" si="182"/>
        <v>150</v>
      </c>
    </row>
    <row r="11675" spans="1:12" ht="25" customHeight="1">
      <c r="A11675" s="2" t="s">
        <v>12</v>
      </c>
      <c r="B11675" s="2" t="str">
        <f>HYPERLINK("http://m.12365auto.com/zjdy/20200205/121039.shtml","冷车启动时发动机有异响应该怎么办？")</f>
        <v>冷车启动时发动机有异响应该怎么办？</v>
      </c>
      <c r="C11675" s="2" t="s">
        <v>13</v>
      </c>
      <c r="D11675" s="2" t="s">
        <v>12</v>
      </c>
      <c r="E11675" s="2"/>
      <c r="F11675" s="2" t="str">
        <f>HYPERLINK("http://m.12365auto.com/zjdy/20200205/121039.shtml","http://m.12365auto.com/zjdy/20200205/121039.shtml")</f>
        <v>http://m.12365auto.com/zjdy/20200205/121039.shtml</v>
      </c>
      <c r="G11675" s="2"/>
      <c r="H11675" s="2" t="s">
        <v>15615</v>
      </c>
      <c r="I11675" s="2" t="s">
        <v>19</v>
      </c>
      <c r="J11675" s="2" t="s">
        <v>12</v>
      </c>
      <c r="K11675" s="2" t="s">
        <v>15616</v>
      </c>
      <c r="L11675" s="2">
        <f t="shared" si="182"/>
        <v>18</v>
      </c>
    </row>
    <row r="11676" spans="1:12" ht="25" customHeight="1">
      <c r="A11676" s="2" t="s">
        <v>12</v>
      </c>
      <c r="B11676" s="2" t="str">
        <f>HYPERLINK("http://www.12365auto.com/zlts/20200205/446409.shtml","上汽大众帕萨特碰撞测试中A柱断裂")</f>
        <v>上汽大众帕萨特碰撞测试中A柱断裂</v>
      </c>
      <c r="C11676" s="2" t="s">
        <v>13</v>
      </c>
      <c r="D11676" s="2" t="s">
        <v>12</v>
      </c>
      <c r="E11676" s="2" t="s">
        <v>17</v>
      </c>
      <c r="F11676" s="2" t="str">
        <f>HYPERLINK("http://www.12365auto.com/zlts/20200205/446409.shtml","http://www.12365auto.com/zlts/20200205/446409.shtml")</f>
        <v>http://www.12365auto.com/zlts/20200205/446409.shtml</v>
      </c>
      <c r="G11676" s="2"/>
      <c r="H11676" s="2" t="s">
        <v>15617</v>
      </c>
      <c r="I11676" s="2" t="s">
        <v>19</v>
      </c>
      <c r="J11676" s="2" t="s">
        <v>12</v>
      </c>
      <c r="K11676" s="2" t="s">
        <v>15618</v>
      </c>
      <c r="L11676" s="2">
        <f t="shared" si="182"/>
        <v>150</v>
      </c>
    </row>
    <row r="11677" spans="1:12" ht="25" customHeight="1">
      <c r="A11677" s="2" t="s">
        <v>12</v>
      </c>
      <c r="B11677" s="2" t="str">
        <f>HYPERLINK("http://m.12365auto.com/zjdy/20200205/121037.shtml","福特蒙迪欧新车驻车制动报警该怎么处理？")</f>
        <v>福特蒙迪欧新车驻车制动报警该怎么处理？</v>
      </c>
      <c r="C11677" s="2" t="s">
        <v>13</v>
      </c>
      <c r="D11677" s="2" t="s">
        <v>12</v>
      </c>
      <c r="E11677" s="2"/>
      <c r="F11677" s="2" t="str">
        <f>HYPERLINK("http://m.12365auto.com/zjdy/20200205/121037.shtml","http://m.12365auto.com/zjdy/20200205/121037.shtml")</f>
        <v>http://m.12365auto.com/zjdy/20200205/121037.shtml</v>
      </c>
      <c r="G11677" s="2"/>
      <c r="H11677" s="2" t="s">
        <v>15619</v>
      </c>
      <c r="I11677" s="2" t="s">
        <v>19</v>
      </c>
      <c r="J11677" s="2" t="s">
        <v>12</v>
      </c>
      <c r="K11677" s="2" t="s">
        <v>15620</v>
      </c>
      <c r="L11677" s="2">
        <f t="shared" si="182"/>
        <v>104</v>
      </c>
    </row>
    <row r="11678" spans="1:12" ht="25" customHeight="1">
      <c r="A11678" s="2" t="s">
        <v>12</v>
      </c>
      <c r="B11678" s="2" t="str">
        <f>HYPERLINK("http://m.12365auto.com/zjdy/20200205/121036.shtml","停放四天后发动机无法启动是什么原因？")</f>
        <v>停放四天后发动机无法启动是什么原因？</v>
      </c>
      <c r="C11678" s="2" t="s">
        <v>13</v>
      </c>
      <c r="D11678" s="2" t="s">
        <v>12</v>
      </c>
      <c r="E11678" s="2"/>
      <c r="F11678" s="2" t="str">
        <f>HYPERLINK("http://m.12365auto.com/zjdy/20200205/121036.shtml","http://m.12365auto.com/zjdy/20200205/121036.shtml")</f>
        <v>http://m.12365auto.com/zjdy/20200205/121036.shtml</v>
      </c>
      <c r="G11678" s="2"/>
      <c r="H11678" s="2" t="s">
        <v>15621</v>
      </c>
      <c r="I11678" s="2" t="s">
        <v>19</v>
      </c>
      <c r="J11678" s="2" t="s">
        <v>12</v>
      </c>
      <c r="K11678" s="2" t="s">
        <v>15622</v>
      </c>
      <c r="L11678" s="2">
        <f t="shared" si="182"/>
        <v>42</v>
      </c>
    </row>
    <row r="11679" spans="1:12" ht="25" customHeight="1">
      <c r="A11679" s="2" t="s">
        <v>12</v>
      </c>
      <c r="B11679" s="2" t="str">
        <f>HYPERLINK("http://bbs.12365auto.com/postcontent.aspx?tId=193379","今天车启动不了 发动机不启动不认证")</f>
        <v>今天车启动不了 发动机不启动不认证</v>
      </c>
      <c r="C11679" s="2" t="s">
        <v>13</v>
      </c>
      <c r="D11679" s="2" t="s">
        <v>12</v>
      </c>
      <c r="E11679" s="2" t="s">
        <v>66</v>
      </c>
      <c r="F11679" s="2" t="str">
        <f>HYPERLINK("http://bbs.12365auto.com/postcontent.aspx?tId=193379","http://bbs.12365auto.com/postcontent.aspx?tId=193379")</f>
        <v>http://bbs.12365auto.com/postcontent.aspx?tId=193379</v>
      </c>
      <c r="G11679" s="2"/>
      <c r="H11679" s="2" t="s">
        <v>15623</v>
      </c>
      <c r="I11679" s="2" t="s">
        <v>15</v>
      </c>
      <c r="J11679" s="2" t="s">
        <v>15624</v>
      </c>
      <c r="K11679" s="2" t="s">
        <v>15625</v>
      </c>
      <c r="L11679" s="2">
        <f t="shared" si="182"/>
        <v>43</v>
      </c>
    </row>
    <row r="11680" spans="1:12" ht="25" customHeight="1">
      <c r="A11680" s="2" t="s">
        <v>12</v>
      </c>
      <c r="B11680" s="2" t="str">
        <f>HYPERLINK("http://m.12365auto.com/bbs/postcontent.aspx?tID=193379","今天车启动不了 发动机不启动不认证")</f>
        <v>今天车启动不了 发动机不启动不认证</v>
      </c>
      <c r="C11680" s="2" t="s">
        <v>13</v>
      </c>
      <c r="D11680" s="2" t="s">
        <v>23</v>
      </c>
      <c r="E11680" s="2"/>
      <c r="F11680" s="2" t="str">
        <f>HYPERLINK("http://m.12365auto.com/bbs/postcontent.aspx?tID=193379","http://m.12365auto.com/bbs/postcontent.aspx?tID=193379")</f>
        <v>http://m.12365auto.com/bbs/postcontent.aspx?tID=193379</v>
      </c>
      <c r="G11680" s="2"/>
      <c r="H11680" s="2" t="s">
        <v>15623</v>
      </c>
      <c r="I11680" s="2" t="s">
        <v>15</v>
      </c>
      <c r="J11680" s="2" t="s">
        <v>15624</v>
      </c>
      <c r="K11680" s="2" t="s">
        <v>15625</v>
      </c>
      <c r="L11680" s="2">
        <f t="shared" si="182"/>
        <v>43</v>
      </c>
    </row>
    <row r="11681" spans="1:12" ht="25" customHeight="1">
      <c r="A11681" s="2" t="s">
        <v>12</v>
      </c>
      <c r="B11681" s="2" t="str">
        <f>HYPERLINK("http://bbs.12365auto.com/postcontent.aspx?tID=193379","今天车启动不了 发动机不启动不认证")</f>
        <v>今天车启动不了 发动机不启动不认证</v>
      </c>
      <c r="C11681" s="2" t="s">
        <v>13</v>
      </c>
      <c r="D11681" s="2" t="s">
        <v>12</v>
      </c>
      <c r="E11681" s="2" t="s">
        <v>67</v>
      </c>
      <c r="F11681" s="2" t="str">
        <f>HYPERLINK("http://bbs.12365auto.com/postcontent.aspx?tID=193379","http://bbs.12365auto.com/postcontent.aspx?tID=193379")</f>
        <v>http://bbs.12365auto.com/postcontent.aspx?tID=193379</v>
      </c>
      <c r="G11681" s="2"/>
      <c r="H11681" s="2" t="s">
        <v>15626</v>
      </c>
      <c r="I11681" s="2" t="s">
        <v>15</v>
      </c>
      <c r="J11681" s="2" t="s">
        <v>15624</v>
      </c>
      <c r="K11681" s="2" t="s">
        <v>15625</v>
      </c>
      <c r="L11681" s="2">
        <f t="shared" si="182"/>
        <v>60</v>
      </c>
    </row>
    <row r="11682" spans="1:12" ht="25" customHeight="1">
      <c r="A11682" s="2" t="s">
        <v>12</v>
      </c>
      <c r="B11682" s="2" t="str">
        <f>HYPERLINK("http://m.12365auto.com/zjdy/20200205/121035.shtml","10万左右哪款SUV质量好可以值得购买？")</f>
        <v>10万左右哪款SUV质量好可以值得购买？</v>
      </c>
      <c r="C11682" s="2" t="s">
        <v>13</v>
      </c>
      <c r="D11682" s="2" t="s">
        <v>12</v>
      </c>
      <c r="E11682" s="2"/>
      <c r="F11682" s="2" t="str">
        <f>HYPERLINK("http://m.12365auto.com/zjdy/20200205/121035.shtml","http://m.12365auto.com/zjdy/20200205/121035.shtml")</f>
        <v>http://m.12365auto.com/zjdy/20200205/121035.shtml</v>
      </c>
      <c r="G11682" s="2"/>
      <c r="H11682" s="2" t="s">
        <v>15627</v>
      </c>
      <c r="I11682" s="2" t="s">
        <v>19</v>
      </c>
      <c r="J11682" s="2" t="s">
        <v>12</v>
      </c>
      <c r="K11682" s="2" t="s">
        <v>15628</v>
      </c>
      <c r="L11682" s="2">
        <f t="shared" si="182"/>
        <v>64</v>
      </c>
    </row>
    <row r="11683" spans="1:12" ht="25" customHeight="1">
      <c r="A11683" s="2" t="s">
        <v>12</v>
      </c>
      <c r="B11683" s="2" t="str">
        <f>HYPERLINK("http://www.12365auto.com/zlts/20200205/446407.shtml","一汽大众速腾变速箱加速减速有异响")</f>
        <v>一汽大众速腾变速箱加速减速有异响</v>
      </c>
      <c r="C11683" s="2" t="s">
        <v>13</v>
      </c>
      <c r="D11683" s="2" t="s">
        <v>12</v>
      </c>
      <c r="E11683" s="2" t="s">
        <v>17</v>
      </c>
      <c r="F11683" s="2" t="str">
        <f>HYPERLINK("http://www.12365auto.com/zlts/20200205/446407.shtml","http://www.12365auto.com/zlts/20200205/446407.shtml")</f>
        <v>http://www.12365auto.com/zlts/20200205/446407.shtml</v>
      </c>
      <c r="G11683" s="2"/>
      <c r="H11683" s="2" t="s">
        <v>15629</v>
      </c>
      <c r="I11683" s="2" t="s">
        <v>19</v>
      </c>
      <c r="J11683" s="2" t="s">
        <v>12</v>
      </c>
      <c r="K11683" s="2" t="s">
        <v>15630</v>
      </c>
      <c r="L11683" s="2">
        <f t="shared" si="182"/>
        <v>150</v>
      </c>
    </row>
    <row r="11684" spans="1:12" ht="25" customHeight="1">
      <c r="A11684" s="2" t="s">
        <v>12</v>
      </c>
      <c r="B11684" s="2" t="str">
        <f>HYPERLINK("http://m.12365auto.com/zjdy/20200205/121034.shtml","�克GL6这款车质量怎么样可以购买吗？")</f>
        <v>�克GL6这款车质量怎么样可以购买吗？</v>
      </c>
      <c r="C11684" s="2" t="s">
        <v>13</v>
      </c>
      <c r="D11684" s="2" t="s">
        <v>12</v>
      </c>
      <c r="E11684" s="2"/>
      <c r="F11684" s="2" t="str">
        <f>HYPERLINK("http://m.12365auto.com/zjdy/20200205/121034.shtml","http://m.12365auto.com/zjdy/20200205/121034.shtml")</f>
        <v>http://m.12365auto.com/zjdy/20200205/121034.shtml</v>
      </c>
      <c r="G11684" s="2"/>
      <c r="H11684" s="2" t="s">
        <v>15631</v>
      </c>
      <c r="I11684" s="2" t="s">
        <v>19</v>
      </c>
      <c r="J11684" s="2" t="s">
        <v>12</v>
      </c>
      <c r="K11684" s="2" t="s">
        <v>15632</v>
      </c>
      <c r="L11684" s="2">
        <f t="shared" si="182"/>
        <v>86</v>
      </c>
    </row>
    <row r="11685" spans="1:12" ht="25" customHeight="1">
      <c r="A11685" s="2" t="s">
        <v>12</v>
      </c>
      <c r="B11685" s="2" t="str">
        <f>HYPERLINK("http://m.12365auto.com/news/20200205/417775.shtml","共抗疫情 广汽三菱推出四大客户关怀服务")</f>
        <v>共抗疫情 广汽三菱推出四大客户关怀服务</v>
      </c>
      <c r="C11685" s="2" t="s">
        <v>13</v>
      </c>
      <c r="D11685" s="2" t="s">
        <v>12</v>
      </c>
      <c r="E11685" s="2"/>
      <c r="F11685" s="2" t="str">
        <f>HYPERLINK("http://m.12365auto.com/news/20200205/417775.shtml","http://m.12365auto.com/news/20200205/417775.shtml")</f>
        <v>http://m.12365auto.com/news/20200205/417775.shtml</v>
      </c>
      <c r="G11685" s="2"/>
      <c r="H11685" s="2" t="s">
        <v>15633</v>
      </c>
      <c r="I11685" s="2" t="s">
        <v>19</v>
      </c>
      <c r="J11685" s="2" t="s">
        <v>12</v>
      </c>
      <c r="K11685" s="2" t="s">
        <v>15634</v>
      </c>
      <c r="L11685" s="2">
        <f t="shared" si="182"/>
        <v>150</v>
      </c>
    </row>
    <row r="11686" spans="1:12" ht="25" customHeight="1">
      <c r="A11686" s="2" t="s">
        <v>12</v>
      </c>
      <c r="B11686" s="2" t="str">
        <f>HYPERLINK("http://m.12365auto.com/news/20200205/417774.shtml","车子居然变成冰棍？冰雪天气车辆注意事项")</f>
        <v>车子居然变成冰棍？冰雪天气车辆注意事项</v>
      </c>
      <c r="C11686" s="2" t="s">
        <v>13</v>
      </c>
      <c r="D11686" s="2" t="s">
        <v>12</v>
      </c>
      <c r="E11686" s="2"/>
      <c r="F11686" s="2" t="str">
        <f>HYPERLINK("http://m.12365auto.com/news/20200205/417774.shtml","http://m.12365auto.com/news/20200205/417774.shtml")</f>
        <v>http://m.12365auto.com/news/20200205/417774.shtml</v>
      </c>
      <c r="G11686" s="2"/>
      <c r="H11686" s="2" t="s">
        <v>15635</v>
      </c>
      <c r="I11686" s="2" t="s">
        <v>19</v>
      </c>
      <c r="J11686" s="2" t="s">
        <v>15055</v>
      </c>
      <c r="K11686" s="2" t="s">
        <v>15636</v>
      </c>
      <c r="L11686" s="2">
        <f t="shared" si="182"/>
        <v>150</v>
      </c>
    </row>
    <row r="11687" spans="1:12" ht="25" customHeight="1">
      <c r="A11687" s="2" t="s">
        <v>12</v>
      </c>
      <c r="B11687" s="2" t="str">
        <f>HYPERLINK("http://www.12365auto.com/news/20200205/417774.shtml","车子居然变成冰棍？冰雪天气车辆注意事项")</f>
        <v>车子居然变成冰棍？冰雪天气车辆注意事项</v>
      </c>
      <c r="C11687" s="2" t="s">
        <v>13</v>
      </c>
      <c r="D11687" s="2" t="s">
        <v>12</v>
      </c>
      <c r="E11687" s="2" t="s">
        <v>372</v>
      </c>
      <c r="F11687" s="2" t="str">
        <f>HYPERLINK("http://www.12365auto.com/news/20200205/417774.shtml","http://www.12365auto.com/news/20200205/417774.shtml")</f>
        <v>http://www.12365auto.com/news/20200205/417774.shtml</v>
      </c>
      <c r="G11687" s="2"/>
      <c r="H11687" s="2" t="s">
        <v>15637</v>
      </c>
      <c r="I11687" s="2" t="s">
        <v>15</v>
      </c>
      <c r="J11687" s="2" t="s">
        <v>12</v>
      </c>
      <c r="K11687" s="2" t="s">
        <v>15636</v>
      </c>
      <c r="L11687" s="2">
        <f t="shared" si="182"/>
        <v>150</v>
      </c>
    </row>
    <row r="11688" spans="1:12" ht="25" customHeight="1">
      <c r="A11688" s="2" t="s">
        <v>12</v>
      </c>
      <c r="B11688" s="2" t="str">
        <f>HYPERLINK("http://m.12365auto.com/news/20200205/417773.shtml","除雾只知道效率最低的？除雾知识大讲堂")</f>
        <v>除雾只知道效率最低的？除雾知识大讲堂</v>
      </c>
      <c r="C11688" s="2" t="s">
        <v>13</v>
      </c>
      <c r="D11688" s="2" t="s">
        <v>12</v>
      </c>
      <c r="E11688" s="2"/>
      <c r="F11688" s="2" t="str">
        <f>HYPERLINK("http://m.12365auto.com/news/20200205/417773.shtml","http://m.12365auto.com/news/20200205/417773.shtml")</f>
        <v>http://m.12365auto.com/news/20200205/417773.shtml</v>
      </c>
      <c r="G11688" s="2"/>
      <c r="H11688" s="2" t="s">
        <v>15638</v>
      </c>
      <c r="I11688" s="2" t="s">
        <v>19</v>
      </c>
      <c r="J11688" s="2" t="s">
        <v>15055</v>
      </c>
      <c r="K11688" s="2" t="s">
        <v>15639</v>
      </c>
      <c r="L11688" s="2">
        <f t="shared" si="182"/>
        <v>150</v>
      </c>
    </row>
    <row r="11689" spans="1:12" ht="25" customHeight="1">
      <c r="A11689" s="2" t="s">
        <v>12</v>
      </c>
      <c r="B11689" s="2" t="str">
        <f>HYPERLINK("http://www.12365auto.com/zlts/20200205/446404.shtml","宝骏560右后减震器漏油要求厂家解决")</f>
        <v>宝骏560右后减震器漏油要求厂家解决</v>
      </c>
      <c r="C11689" s="2" t="s">
        <v>13</v>
      </c>
      <c r="D11689" s="2" t="s">
        <v>12</v>
      </c>
      <c r="E11689" s="2" t="s">
        <v>17</v>
      </c>
      <c r="F11689" s="2" t="str">
        <f>HYPERLINK("http://www.12365auto.com/zlts/20200205/446404.shtml","http://www.12365auto.com/zlts/20200205/446404.shtml")</f>
        <v>http://www.12365auto.com/zlts/20200205/446404.shtml</v>
      </c>
      <c r="G11689" s="2"/>
      <c r="H11689" s="2" t="s">
        <v>15640</v>
      </c>
      <c r="I11689" s="2" t="s">
        <v>19</v>
      </c>
      <c r="J11689" s="2" t="s">
        <v>12</v>
      </c>
      <c r="K11689" s="2" t="s">
        <v>15639</v>
      </c>
      <c r="L11689" s="2">
        <f t="shared" si="182"/>
        <v>150</v>
      </c>
    </row>
    <row r="11690" spans="1:12" ht="25" customHeight="1">
      <c r="A11690" s="2" t="s">
        <v>12</v>
      </c>
      <c r="B11690" s="2" t="str">
        <f>HYPERLINK("http://www.12365auto.com/news/20200205/417773.shtml","除雾只知道效率最低的？除雾知识大讲堂")</f>
        <v>除雾只知道效率最低的？除雾知识大讲堂</v>
      </c>
      <c r="C11690" s="2" t="s">
        <v>13</v>
      </c>
      <c r="D11690" s="2" t="s">
        <v>12</v>
      </c>
      <c r="E11690" s="2" t="s">
        <v>372</v>
      </c>
      <c r="F11690" s="2" t="str">
        <f>HYPERLINK("http://www.12365auto.com/news/20200205/417773.shtml","http://www.12365auto.com/news/20200205/417773.shtml")</f>
        <v>http://www.12365auto.com/news/20200205/417773.shtml</v>
      </c>
      <c r="G11690" s="2"/>
      <c r="H11690" s="2" t="s">
        <v>15641</v>
      </c>
      <c r="I11690" s="2" t="s">
        <v>15</v>
      </c>
      <c r="J11690" s="2" t="s">
        <v>12</v>
      </c>
      <c r="K11690" s="2" t="s">
        <v>15639</v>
      </c>
      <c r="L11690" s="2">
        <f t="shared" si="182"/>
        <v>150</v>
      </c>
    </row>
    <row r="11691" spans="1:12" ht="25" customHeight="1">
      <c r="A11691" s="2" t="s">
        <v>12</v>
      </c>
      <c r="B11691" s="2" t="str">
        <f>HYPERLINK("http://m.12365auto.com/news/20200205/417772.shtml","交通事故中必备拍照技巧 会这几招不吃亏")</f>
        <v>交通事故中必备拍照技巧 会这几招不吃亏</v>
      </c>
      <c r="C11691" s="2" t="s">
        <v>13</v>
      </c>
      <c r="D11691" s="2" t="s">
        <v>12</v>
      </c>
      <c r="E11691" s="2"/>
      <c r="F11691" s="2" t="str">
        <f>HYPERLINK("http://m.12365auto.com/news/20200205/417772.shtml","http://m.12365auto.com/news/20200205/417772.shtml")</f>
        <v>http://m.12365auto.com/news/20200205/417772.shtml</v>
      </c>
      <c r="G11691" s="2"/>
      <c r="H11691" s="2" t="s">
        <v>15642</v>
      </c>
      <c r="I11691" s="2" t="s">
        <v>19</v>
      </c>
      <c r="J11691" s="2" t="s">
        <v>15643</v>
      </c>
      <c r="K11691" s="2" t="s">
        <v>15644</v>
      </c>
      <c r="L11691" s="2">
        <f t="shared" si="182"/>
        <v>150</v>
      </c>
    </row>
    <row r="11692" spans="1:12" ht="25" customHeight="1">
      <c r="A11692" s="2" t="s">
        <v>12</v>
      </c>
      <c r="B11692" s="2" t="str">
        <f>HYPERLINK("http://www.12365auto.com/news/20200205/417772.shtml","交通事故中必备拍照技巧 会这几招不吃亏")</f>
        <v>交通事故中必备拍照技巧 会这几招不吃亏</v>
      </c>
      <c r="C11692" s="2" t="s">
        <v>13</v>
      </c>
      <c r="D11692" s="2" t="s">
        <v>12</v>
      </c>
      <c r="E11692" s="2" t="s">
        <v>372</v>
      </c>
      <c r="F11692" s="2" t="str">
        <f>HYPERLINK("http://www.12365auto.com/news/20200205/417772.shtml","http://www.12365auto.com/news/20200205/417772.shtml")</f>
        <v>http://www.12365auto.com/news/20200205/417772.shtml</v>
      </c>
      <c r="G11692" s="2"/>
      <c r="H11692" s="2" t="s">
        <v>15645</v>
      </c>
      <c r="I11692" s="2" t="s">
        <v>15</v>
      </c>
      <c r="J11692" s="2" t="s">
        <v>12</v>
      </c>
      <c r="K11692" s="2" t="s">
        <v>15644</v>
      </c>
      <c r="L11692" s="2">
        <f t="shared" si="182"/>
        <v>150</v>
      </c>
    </row>
    <row r="11693" spans="1:12" ht="25" customHeight="1">
      <c r="A11693" s="2" t="s">
        <v>12</v>
      </c>
      <c r="B11693" s="2" t="str">
        <f>HYPERLINK("http://m.12365auto.com/news/20200205/417771.shtml","脚垫卡住油门差点要命 这些汽车用品加乱用")</f>
        <v>脚垫卡住油门差点要命 这些汽车用品加乱用</v>
      </c>
      <c r="C11693" s="2" t="s">
        <v>13</v>
      </c>
      <c r="D11693" s="2" t="s">
        <v>12</v>
      </c>
      <c r="E11693" s="2"/>
      <c r="F11693" s="2" t="str">
        <f>HYPERLINK("http://m.12365auto.com/news/20200205/417771.shtml","http://m.12365auto.com/news/20200205/417771.shtml")</f>
        <v>http://m.12365auto.com/news/20200205/417771.shtml</v>
      </c>
      <c r="G11693" s="2"/>
      <c r="H11693" s="2" t="s">
        <v>15646</v>
      </c>
      <c r="I11693" s="2" t="s">
        <v>19</v>
      </c>
      <c r="J11693" s="2" t="s">
        <v>15643</v>
      </c>
      <c r="K11693" s="2" t="s">
        <v>15647</v>
      </c>
      <c r="L11693" s="2">
        <f t="shared" si="182"/>
        <v>150</v>
      </c>
    </row>
    <row r="11694" spans="1:12" ht="25" customHeight="1">
      <c r="A11694" s="2" t="s">
        <v>12</v>
      </c>
      <c r="B11694" s="2" t="str">
        <f>HYPERLINK("http://www.12365auto.com/news/20200205/417771.shtml","脚垫卡住油门差点要命 这些汽车用品加乱用")</f>
        <v>脚垫卡住油门差点要命 这些汽车用品加乱用</v>
      </c>
      <c r="C11694" s="2" t="s">
        <v>13</v>
      </c>
      <c r="D11694" s="2" t="s">
        <v>12</v>
      </c>
      <c r="E11694" s="2" t="s">
        <v>372</v>
      </c>
      <c r="F11694" s="2" t="str">
        <f>HYPERLINK("http://www.12365auto.com/news/20200205/417771.shtml","http://www.12365auto.com/news/20200205/417771.shtml")</f>
        <v>http://www.12365auto.com/news/20200205/417771.shtml</v>
      </c>
      <c r="G11694" s="2"/>
      <c r="H11694" s="2" t="s">
        <v>15648</v>
      </c>
      <c r="I11694" s="2" t="s">
        <v>15</v>
      </c>
      <c r="J11694" s="2" t="s">
        <v>12</v>
      </c>
      <c r="K11694" s="2" t="s">
        <v>15647</v>
      </c>
      <c r="L11694" s="2">
        <f t="shared" si="182"/>
        <v>150</v>
      </c>
    </row>
    <row r="11695" spans="1:12" ht="25" customHeight="1">
      <c r="A11695" s="2" t="s">
        <v>12</v>
      </c>
      <c r="B11695" s="2" t="str">
        <f>HYPERLINK("http://m.12365auto.com/news/20200205/417770.shtml","这些配置又贵又没用 买车时千万不要考虑")</f>
        <v>这些配置又贵又没用 买车时千万不要考虑</v>
      </c>
      <c r="C11695" s="2" t="s">
        <v>13</v>
      </c>
      <c r="D11695" s="2" t="s">
        <v>12</v>
      </c>
      <c r="E11695" s="2"/>
      <c r="F11695" s="2" t="str">
        <f>HYPERLINK("http://m.12365auto.com/news/20200205/417770.shtml","http://m.12365auto.com/news/20200205/417770.shtml")</f>
        <v>http://m.12365auto.com/news/20200205/417770.shtml</v>
      </c>
      <c r="G11695" s="2"/>
      <c r="H11695" s="2" t="s">
        <v>15649</v>
      </c>
      <c r="I11695" s="2" t="s">
        <v>19</v>
      </c>
      <c r="J11695" s="2" t="s">
        <v>15643</v>
      </c>
      <c r="K11695" s="2" t="s">
        <v>15650</v>
      </c>
      <c r="L11695" s="2">
        <f t="shared" si="182"/>
        <v>150</v>
      </c>
    </row>
    <row r="11696" spans="1:12" ht="25" customHeight="1">
      <c r="A11696" s="2" t="s">
        <v>12</v>
      </c>
      <c r="B11696" s="2" t="str">
        <f>HYPERLINK("http://www.12365auto.com/news/20200205/417770.shtml","这些配置又贵又没用 买车时千万不要考虑")</f>
        <v>这些配置又贵又没用 买车时千万不要考虑</v>
      </c>
      <c r="C11696" s="2" t="s">
        <v>13</v>
      </c>
      <c r="D11696" s="2" t="s">
        <v>12</v>
      </c>
      <c r="E11696" s="2" t="s">
        <v>372</v>
      </c>
      <c r="F11696" s="2" t="str">
        <f>HYPERLINK("http://www.12365auto.com/news/20200205/417770.shtml","http://www.12365auto.com/news/20200205/417770.shtml")</f>
        <v>http://www.12365auto.com/news/20200205/417770.shtml</v>
      </c>
      <c r="G11696" s="2"/>
      <c r="H11696" s="2" t="s">
        <v>15651</v>
      </c>
      <c r="I11696" s="2" t="s">
        <v>15</v>
      </c>
      <c r="J11696" s="2" t="s">
        <v>12</v>
      </c>
      <c r="K11696" s="2" t="s">
        <v>15650</v>
      </c>
      <c r="L11696" s="2">
        <f t="shared" si="182"/>
        <v>150</v>
      </c>
    </row>
    <row r="11697" spans="1:12" ht="25" customHeight="1">
      <c r="A11697" s="2" t="s">
        <v>12</v>
      </c>
      <c r="B11697" s="2" t="str">
        <f>HYPERLINK("http://m.12365auto.com/xcdg/20200205/417769.shtml","将亮相日内瓦车展 Cupra Formentor谍照")</f>
        <v>将亮相日内瓦车展 Cupra Formentor谍照</v>
      </c>
      <c r="C11697" s="2" t="s">
        <v>13</v>
      </c>
      <c r="D11697" s="2" t="s">
        <v>12</v>
      </c>
      <c r="E11697" s="2"/>
      <c r="F11697" s="2" t="str">
        <f>HYPERLINK("http://m.12365auto.com/xcdg/20200205/417769.shtml","http://m.12365auto.com/xcdg/20200205/417769.shtml")</f>
        <v>http://m.12365auto.com/xcdg/20200205/417769.shtml</v>
      </c>
      <c r="G11697" s="2"/>
      <c r="H11697" s="2" t="s">
        <v>15652</v>
      </c>
      <c r="I11697" s="2" t="s">
        <v>19</v>
      </c>
      <c r="J11697" s="2" t="s">
        <v>297</v>
      </c>
      <c r="K11697" s="2" t="s">
        <v>15653</v>
      </c>
      <c r="L11697" s="2">
        <f t="shared" si="182"/>
        <v>150</v>
      </c>
    </row>
    <row r="11698" spans="1:12" ht="25" customHeight="1">
      <c r="A11698" s="2" t="s">
        <v>12</v>
      </c>
      <c r="B11698" s="2" t="str">
        <f>HYPERLINK("http://www.12365auto.com/xcdg/20200205/417769.shtml","将亮相日内瓦车展 Cupra Formentor谍照")</f>
        <v>将亮相日内瓦车展 Cupra Formentor谍照</v>
      </c>
      <c r="C11698" s="2" t="s">
        <v>13</v>
      </c>
      <c r="D11698" s="2" t="s">
        <v>12</v>
      </c>
      <c r="E11698" s="2" t="s">
        <v>224</v>
      </c>
      <c r="F11698" s="2" t="str">
        <f>HYPERLINK("http://www.12365auto.com/xcdg/20200205/417769.shtml","http://www.12365auto.com/xcdg/20200205/417769.shtml")</f>
        <v>http://www.12365auto.com/xcdg/20200205/417769.shtml</v>
      </c>
      <c r="G11698" s="2"/>
      <c r="H11698" s="2" t="s">
        <v>15654</v>
      </c>
      <c r="I11698" s="2" t="s">
        <v>15</v>
      </c>
      <c r="J11698" s="2" t="s">
        <v>12</v>
      </c>
      <c r="K11698" s="2" t="s">
        <v>15653</v>
      </c>
      <c r="L11698" s="2">
        <f t="shared" si="182"/>
        <v>150</v>
      </c>
    </row>
    <row r="11699" spans="1:12" ht="25" customHeight="1">
      <c r="A11699" s="2" t="s">
        <v>12</v>
      </c>
      <c r="B11699" s="2" t="str">
        <f>HYPERLINK("http://m.12365auto.com/news/20200205/417768.shtml","捐款额超2.5亿元 汽车零部件企业在行动")</f>
        <v>捐款额超2.5亿元 汽车零部件企业在行动</v>
      </c>
      <c r="C11699" s="2" t="s">
        <v>13</v>
      </c>
      <c r="D11699" s="2" t="s">
        <v>12</v>
      </c>
      <c r="E11699" s="2"/>
      <c r="F11699" s="2" t="str">
        <f>HYPERLINK("http://m.12365auto.com/news/20200205/417768.shtml","http://m.12365auto.com/news/20200205/417768.shtml")</f>
        <v>http://m.12365auto.com/news/20200205/417768.shtml</v>
      </c>
      <c r="G11699" s="2"/>
      <c r="H11699" s="2" t="s">
        <v>15655</v>
      </c>
      <c r="I11699" s="2" t="s">
        <v>19</v>
      </c>
      <c r="J11699" s="2" t="s">
        <v>1653</v>
      </c>
      <c r="K11699" s="2" t="s">
        <v>15656</v>
      </c>
      <c r="L11699" s="2">
        <f t="shared" si="182"/>
        <v>150</v>
      </c>
    </row>
    <row r="11700" spans="1:12" ht="25" customHeight="1">
      <c r="A11700" s="2" t="s">
        <v>12</v>
      </c>
      <c r="B11700" s="2" t="str">
        <f>HYPERLINK("http://www.12365auto.com/news/20200205/417768.shtml","捐款额超2.5亿元 汽车零部件企业在行动")</f>
        <v>捐款额超2.5亿元 汽车零部件企业在行动</v>
      </c>
      <c r="C11700" s="2" t="s">
        <v>13</v>
      </c>
      <c r="D11700" s="2" t="s">
        <v>12</v>
      </c>
      <c r="E11700" s="2" t="s">
        <v>276</v>
      </c>
      <c r="F11700" s="2" t="str">
        <f>HYPERLINK("http://www.12365auto.com/news/20200205/417768.shtml","http://www.12365auto.com/news/20200205/417768.shtml")</f>
        <v>http://www.12365auto.com/news/20200205/417768.shtml</v>
      </c>
      <c r="G11700" s="2"/>
      <c r="H11700" s="2" t="s">
        <v>15657</v>
      </c>
      <c r="I11700" s="2" t="s">
        <v>15</v>
      </c>
      <c r="J11700" s="2" t="s">
        <v>12</v>
      </c>
      <c r="K11700" s="2" t="s">
        <v>15656</v>
      </c>
      <c r="L11700" s="2">
        <f t="shared" si="182"/>
        <v>150</v>
      </c>
    </row>
    <row r="11701" spans="1:12" ht="25" customHeight="1">
      <c r="A11701" s="2" t="s">
        <v>12</v>
      </c>
      <c r="B11701" s="2" t="str">
        <f>HYPERLINK("http://m.12365auto.com/news/20200205/417767.shtml","受疫情影响特斯拉中国2月交付将延迟")</f>
        <v>受疫情影响特斯拉中国2月交付将延迟</v>
      </c>
      <c r="C11701" s="2" t="s">
        <v>13</v>
      </c>
      <c r="D11701" s="2" t="s">
        <v>12</v>
      </c>
      <c r="E11701" s="2"/>
      <c r="F11701" s="2" t="str">
        <f>HYPERLINK("http://m.12365auto.com/news/20200205/417767.shtml","http://m.12365auto.com/news/20200205/417767.shtml")</f>
        <v>http://m.12365auto.com/news/20200205/417767.shtml</v>
      </c>
      <c r="G11701" s="2"/>
      <c r="H11701" s="2" t="s">
        <v>15658</v>
      </c>
      <c r="I11701" s="2" t="s">
        <v>19</v>
      </c>
      <c r="J11701" s="2" t="s">
        <v>6734</v>
      </c>
      <c r="K11701" s="2" t="s">
        <v>15659</v>
      </c>
      <c r="L11701" s="2">
        <f t="shared" si="182"/>
        <v>150</v>
      </c>
    </row>
    <row r="11702" spans="1:12" ht="25" customHeight="1">
      <c r="A11702" s="2" t="s">
        <v>12</v>
      </c>
      <c r="B11702" s="2" t="str">
        <f>HYPERLINK("http://www.12365auto.com/news/20200205/417767.shtml","受疫情影响特斯拉中国2月交付将延迟")</f>
        <v>受疫情影响特斯拉中国2月交付将延迟</v>
      </c>
      <c r="C11702" s="2" t="s">
        <v>13</v>
      </c>
      <c r="D11702" s="2" t="s">
        <v>12</v>
      </c>
      <c r="E11702" s="2" t="s">
        <v>276</v>
      </c>
      <c r="F11702" s="2" t="str">
        <f>HYPERLINK("http://www.12365auto.com/news/20200205/417767.shtml","http://www.12365auto.com/news/20200205/417767.shtml")</f>
        <v>http://www.12365auto.com/news/20200205/417767.shtml</v>
      </c>
      <c r="G11702" s="2"/>
      <c r="H11702" s="2" t="s">
        <v>15660</v>
      </c>
      <c r="I11702" s="2" t="s">
        <v>15</v>
      </c>
      <c r="J11702" s="2" t="s">
        <v>12</v>
      </c>
      <c r="K11702" s="2" t="s">
        <v>15659</v>
      </c>
      <c r="L11702" s="2">
        <f t="shared" si="182"/>
        <v>150</v>
      </c>
    </row>
    <row r="11703" spans="1:12" ht="25" customHeight="1">
      <c r="A11703" s="2" t="s">
        <v>12</v>
      </c>
      <c r="B11703" s="2" t="str">
        <f>HYPERLINK("http://m.12365auto.com/xcdg/20200205/417766.shtml","内外升级明显 全新一代逍客将于9月份亮相")</f>
        <v>内外升级明显 全新一代逍客将于9月份亮相</v>
      </c>
      <c r="C11703" s="2" t="s">
        <v>13</v>
      </c>
      <c r="D11703" s="2" t="s">
        <v>12</v>
      </c>
      <c r="E11703" s="2"/>
      <c r="F11703" s="2" t="str">
        <f>HYPERLINK("http://m.12365auto.com/xcdg/20200205/417766.shtml","http://m.12365auto.com/xcdg/20200205/417766.shtml")</f>
        <v>http://m.12365auto.com/xcdg/20200205/417766.shtml</v>
      </c>
      <c r="G11703" s="2"/>
      <c r="H11703" s="2" t="s">
        <v>15661</v>
      </c>
      <c r="I11703" s="2" t="s">
        <v>19</v>
      </c>
      <c r="J11703" s="2" t="s">
        <v>1069</v>
      </c>
      <c r="K11703" s="2" t="s">
        <v>15662</v>
      </c>
      <c r="L11703" s="2">
        <f t="shared" si="182"/>
        <v>150</v>
      </c>
    </row>
    <row r="11704" spans="1:12" ht="25" customHeight="1">
      <c r="A11704" s="2" t="s">
        <v>12</v>
      </c>
      <c r="B11704" s="2" t="str">
        <f>HYPERLINK("http://www.12365auto.com/xcdg/20200205/417766.shtml","内外升级明显 全新一代逍客将于9月份亮相")</f>
        <v>内外升级明显 全新一代逍客将于9月份亮相</v>
      </c>
      <c r="C11704" s="2" t="s">
        <v>13</v>
      </c>
      <c r="D11704" s="2" t="s">
        <v>12</v>
      </c>
      <c r="E11704" s="2" t="s">
        <v>216</v>
      </c>
      <c r="F11704" s="2" t="str">
        <f>HYPERLINK("http://www.12365auto.com/xcdg/20200205/417766.shtml","http://www.12365auto.com/xcdg/20200205/417766.shtml")</f>
        <v>http://www.12365auto.com/xcdg/20200205/417766.shtml</v>
      </c>
      <c r="G11704" s="2"/>
      <c r="H11704" s="2" t="s">
        <v>15663</v>
      </c>
      <c r="I11704" s="2" t="s">
        <v>15</v>
      </c>
      <c r="J11704" s="2" t="s">
        <v>12</v>
      </c>
      <c r="K11704" s="2" t="s">
        <v>15662</v>
      </c>
      <c r="L11704" s="2">
        <f t="shared" si="182"/>
        <v>150</v>
      </c>
    </row>
    <row r="11705" spans="1:12" ht="25" customHeight="1">
      <c r="A11705" s="2" t="s">
        <v>12</v>
      </c>
      <c r="B11705" s="2" t="str">
        <f>HYPERLINK("http://m.12365auto.com/xcdg/20200205/417765.shtml","福特TX4车型信息曝光 专为南美市场开发")</f>
        <v>福特TX4车型信息曝光 专为南美市场开发</v>
      </c>
      <c r="C11705" s="2" t="s">
        <v>13</v>
      </c>
      <c r="D11705" s="2" t="s">
        <v>12</v>
      </c>
      <c r="E11705" s="2"/>
      <c r="F11705" s="2" t="str">
        <f>HYPERLINK("http://m.12365auto.com/xcdg/20200205/417765.shtml","http://m.12365auto.com/xcdg/20200205/417765.shtml")</f>
        <v>http://m.12365auto.com/xcdg/20200205/417765.shtml</v>
      </c>
      <c r="G11705" s="2"/>
      <c r="H11705" s="2" t="s">
        <v>15664</v>
      </c>
      <c r="I11705" s="2" t="s">
        <v>19</v>
      </c>
      <c r="J11705" s="2" t="s">
        <v>15239</v>
      </c>
      <c r="K11705" s="2" t="s">
        <v>15665</v>
      </c>
      <c r="L11705" s="2">
        <f t="shared" si="182"/>
        <v>150</v>
      </c>
    </row>
    <row r="11706" spans="1:12" ht="25" customHeight="1">
      <c r="A11706" s="2" t="s">
        <v>12</v>
      </c>
      <c r="B11706" s="2" t="str">
        <f>HYPERLINK("http://www.12365auto.com/xcdg/20200205/417765.shtml","福特TX4车型信息曝光 专为南美市场开发")</f>
        <v>福特TX4车型信息曝光 专为南美市场开发</v>
      </c>
      <c r="C11706" s="2" t="s">
        <v>13</v>
      </c>
      <c r="D11706" s="2" t="s">
        <v>12</v>
      </c>
      <c r="E11706" s="2" t="s">
        <v>216</v>
      </c>
      <c r="F11706" s="2" t="str">
        <f>HYPERLINK("http://www.12365auto.com/xcdg/20200205/417765.shtml","http://www.12365auto.com/xcdg/20200205/417765.shtml")</f>
        <v>http://www.12365auto.com/xcdg/20200205/417765.shtml</v>
      </c>
      <c r="G11706" s="2"/>
      <c r="H11706" s="2" t="s">
        <v>15666</v>
      </c>
      <c r="I11706" s="2" t="s">
        <v>15</v>
      </c>
      <c r="J11706" s="2" t="s">
        <v>12</v>
      </c>
      <c r="K11706" s="2" t="s">
        <v>15665</v>
      </c>
      <c r="L11706" s="2">
        <f t="shared" si="182"/>
        <v>150</v>
      </c>
    </row>
    <row r="11707" spans="1:12" ht="25" customHeight="1">
      <c r="A11707" s="2" t="s">
        <v>12</v>
      </c>
      <c r="B11707" s="2" t="str">
        <f>HYPERLINK("http://m.12365auto.com/xcdg/20200205/417764.shtml","三菱Eclipse效果图曝光 预计年底发布")</f>
        <v>三菱Eclipse效果图曝光 预计年底发布</v>
      </c>
      <c r="C11707" s="2" t="s">
        <v>13</v>
      </c>
      <c r="D11707" s="2" t="s">
        <v>12</v>
      </c>
      <c r="E11707" s="2"/>
      <c r="F11707" s="2" t="str">
        <f>HYPERLINK("http://m.12365auto.com/xcdg/20200205/417764.shtml","http://m.12365auto.com/xcdg/20200205/417764.shtml")</f>
        <v>http://m.12365auto.com/xcdg/20200205/417764.shtml</v>
      </c>
      <c r="G11707" s="2"/>
      <c r="H11707" s="2" t="s">
        <v>15667</v>
      </c>
      <c r="I11707" s="2" t="s">
        <v>19</v>
      </c>
      <c r="J11707" s="2" t="s">
        <v>15239</v>
      </c>
      <c r="K11707" s="2" t="s">
        <v>15668</v>
      </c>
      <c r="L11707" s="2">
        <f t="shared" si="182"/>
        <v>150</v>
      </c>
    </row>
    <row r="11708" spans="1:12" ht="25" customHeight="1">
      <c r="A11708" s="2" t="s">
        <v>12</v>
      </c>
      <c r="B11708" s="2" t="str">
        <f>HYPERLINK("http://www.12365auto.com/xcdg/20200205/417764.shtml","三菱Eclipse效果图曝光 预计年底发布")</f>
        <v>三菱Eclipse效果图曝光 预计年底发布</v>
      </c>
      <c r="C11708" s="2" t="s">
        <v>13</v>
      </c>
      <c r="D11708" s="2" t="s">
        <v>12</v>
      </c>
      <c r="E11708" s="2" t="s">
        <v>216</v>
      </c>
      <c r="F11708" s="2" t="str">
        <f>HYPERLINK("http://www.12365auto.com/xcdg/20200205/417764.shtml","http://www.12365auto.com/xcdg/20200205/417764.shtml")</f>
        <v>http://www.12365auto.com/xcdg/20200205/417764.shtml</v>
      </c>
      <c r="G11708" s="2"/>
      <c r="H11708" s="2" t="s">
        <v>15669</v>
      </c>
      <c r="I11708" s="2" t="s">
        <v>15</v>
      </c>
      <c r="J11708" s="2" t="s">
        <v>12</v>
      </c>
      <c r="K11708" s="2" t="s">
        <v>15668</v>
      </c>
      <c r="L11708" s="2">
        <f t="shared" si="182"/>
        <v>150</v>
      </c>
    </row>
    <row r="11709" spans="1:12" ht="25" customHeight="1">
      <c r="A11709" s="2" t="s">
        <v>12</v>
      </c>
      <c r="B11709" s="2" t="str">
        <f>HYPERLINK("http://www.12365auto.com/zlts/20200205/446400.shtml","华晨宝马5系新能源电池续航里程减少")</f>
        <v>华晨宝马5系新能源电池续航里程减少</v>
      </c>
      <c r="C11709" s="2" t="s">
        <v>13</v>
      </c>
      <c r="D11709" s="2" t="s">
        <v>12</v>
      </c>
      <c r="E11709" s="2" t="s">
        <v>17</v>
      </c>
      <c r="F11709" s="2" t="str">
        <f>HYPERLINK("http://www.12365auto.com/zlts/20200205/446400.shtml","http://www.12365auto.com/zlts/20200205/446400.shtml")</f>
        <v>http://www.12365auto.com/zlts/20200205/446400.shtml</v>
      </c>
      <c r="G11709" s="2"/>
      <c r="H11709" s="2" t="s">
        <v>15670</v>
      </c>
      <c r="I11709" s="2" t="s">
        <v>19</v>
      </c>
      <c r="J11709" s="2" t="s">
        <v>12</v>
      </c>
      <c r="K11709" s="2" t="s">
        <v>15671</v>
      </c>
      <c r="L11709" s="2">
        <f t="shared" si="182"/>
        <v>150</v>
      </c>
    </row>
    <row r="11710" spans="1:12" ht="25" customHeight="1">
      <c r="A11710" s="2" t="s">
        <v>12</v>
      </c>
      <c r="B11710" s="2" t="str">
        <f>HYPERLINK("http://www.12365auto.com/news/20200205/417763.shtml","构筑钢铁长城 BEIJING推网约车出行")</f>
        <v>构筑钢铁长城 BEIJING推网约车出行</v>
      </c>
      <c r="C11710" s="2" t="s">
        <v>13</v>
      </c>
      <c r="D11710" s="2" t="s">
        <v>12</v>
      </c>
      <c r="E11710" s="2" t="s">
        <v>276</v>
      </c>
      <c r="F11710" s="2" t="str">
        <f>HYPERLINK("http://www.12365auto.com/news/20200205/417763.shtml","http://www.12365auto.com/news/20200205/417763.shtml")</f>
        <v>http://www.12365auto.com/news/20200205/417763.shtml</v>
      </c>
      <c r="G11710" s="2"/>
      <c r="H11710" s="2" t="s">
        <v>15672</v>
      </c>
      <c r="I11710" s="2" t="s">
        <v>15</v>
      </c>
      <c r="J11710" s="2" t="s">
        <v>12</v>
      </c>
      <c r="K11710" s="2" t="s">
        <v>15673</v>
      </c>
      <c r="L11710" s="2">
        <f t="shared" si="182"/>
        <v>150</v>
      </c>
    </row>
    <row r="11711" spans="1:12" ht="25" customHeight="1">
      <c r="A11711" s="2" t="s">
        <v>12</v>
      </c>
      <c r="B11711" s="2" t="str">
        <f>HYPERLINK("http://m.12365auto.com/news/20200205/417763.shtml","构筑钢铁长城 BEIJING推网约车出行")</f>
        <v>构筑钢铁长城 BEIJING推网约车出行</v>
      </c>
      <c r="C11711" s="2" t="s">
        <v>13</v>
      </c>
      <c r="D11711" s="2" t="s">
        <v>12</v>
      </c>
      <c r="E11711" s="2"/>
      <c r="F11711" s="2" t="str">
        <f>HYPERLINK("http://m.12365auto.com/news/20200205/417763.shtml","http://m.12365auto.com/news/20200205/417763.shtml")</f>
        <v>http://m.12365auto.com/news/20200205/417763.shtml</v>
      </c>
      <c r="G11711" s="2"/>
      <c r="H11711" s="2" t="s">
        <v>15674</v>
      </c>
      <c r="I11711" s="2" t="s">
        <v>19</v>
      </c>
      <c r="J11711" s="2" t="s">
        <v>768</v>
      </c>
      <c r="K11711" s="2" t="s">
        <v>15673</v>
      </c>
      <c r="L11711" s="2">
        <f t="shared" si="182"/>
        <v>150</v>
      </c>
    </row>
    <row r="11712" spans="1:12" ht="25" customHeight="1">
      <c r="A11712" s="2" t="s">
        <v>12</v>
      </c>
      <c r="B11712" s="2" t="str">
        <f>HYPERLINK("http://www.12365auto.com/zlts/20200205/446398.shtml","东风标致308方向盘可上下左右晃动")</f>
        <v>东风标致308方向盘可上下左右晃动</v>
      </c>
      <c r="C11712" s="2" t="s">
        <v>13</v>
      </c>
      <c r="D11712" s="2" t="s">
        <v>12</v>
      </c>
      <c r="E11712" s="2"/>
      <c r="F11712" s="2" t="str">
        <f>HYPERLINK("http://www.12365auto.com/zlts/20200205/446398.shtml","http://www.12365auto.com/zlts/20200205/446398.shtml")</f>
        <v>http://www.12365auto.com/zlts/20200205/446398.shtml</v>
      </c>
      <c r="G11712" s="2"/>
      <c r="H11712" s="2" t="s">
        <v>15676</v>
      </c>
      <c r="I11712" s="2" t="s">
        <v>15</v>
      </c>
      <c r="J11712" s="2" t="s">
        <v>12</v>
      </c>
      <c r="K11712" s="2" t="s">
        <v>15675</v>
      </c>
      <c r="L11712" s="2">
        <f t="shared" si="182"/>
        <v>90</v>
      </c>
    </row>
    <row r="11713" spans="1:12" ht="25" customHeight="1">
      <c r="A11713" s="2" t="s">
        <v>12</v>
      </c>
      <c r="B11713" s="2" t="str">
        <f>HYPERLINK("http://www.12365auto.com/zlts/20200205/446399.shtml","一汽大众探岳车灯不透亮夜间行车影响安全")</f>
        <v>一汽大众探岳车灯不透亮夜间行车影响安全</v>
      </c>
      <c r="C11713" s="2" t="s">
        <v>13</v>
      </c>
      <c r="D11713" s="2" t="s">
        <v>12</v>
      </c>
      <c r="E11713" s="2" t="s">
        <v>17</v>
      </c>
      <c r="F11713" s="2" t="str">
        <f>HYPERLINK("http://www.12365auto.com/zlts/20200205/446399.shtml","http://www.12365auto.com/zlts/20200205/446399.shtml")</f>
        <v>http://www.12365auto.com/zlts/20200205/446399.shtml</v>
      </c>
      <c r="G11713" s="2"/>
      <c r="H11713" s="2" t="s">
        <v>15677</v>
      </c>
      <c r="I11713" s="2" t="s">
        <v>19</v>
      </c>
      <c r="J11713" s="2" t="s">
        <v>12</v>
      </c>
      <c r="K11713" s="2" t="s">
        <v>15678</v>
      </c>
      <c r="L11713" s="2">
        <f t="shared" si="182"/>
        <v>150</v>
      </c>
    </row>
    <row r="11714" spans="1:12" ht="25" customHeight="1">
      <c r="A11714" s="2" t="s">
        <v>12</v>
      </c>
      <c r="B11714" s="2" t="str">
        <f>HYPERLINK("http://www.12365auto.com/news/20200205/417762.shtml","马自达发动机专利曝光 预计2025年前投产")</f>
        <v>马自达发动机专利曝光 预计2025年前投产</v>
      </c>
      <c r="C11714" s="2" t="s">
        <v>13</v>
      </c>
      <c r="D11714" s="2" t="s">
        <v>12</v>
      </c>
      <c r="E11714" s="2" t="s">
        <v>276</v>
      </c>
      <c r="F11714" s="2" t="str">
        <f>HYPERLINK("http://www.12365auto.com/news/20200205/417762.shtml","http://www.12365auto.com/news/20200205/417762.shtml")</f>
        <v>http://www.12365auto.com/news/20200205/417762.shtml</v>
      </c>
      <c r="G11714" s="2"/>
      <c r="H11714" s="2" t="s">
        <v>15679</v>
      </c>
      <c r="I11714" s="2" t="s">
        <v>15</v>
      </c>
      <c r="J11714" s="2" t="s">
        <v>12</v>
      </c>
      <c r="K11714" s="2" t="s">
        <v>15680</v>
      </c>
      <c r="L11714" s="2">
        <f t="shared" si="182"/>
        <v>150</v>
      </c>
    </row>
    <row r="11715" spans="1:12" ht="25" customHeight="1">
      <c r="A11715" s="2" t="s">
        <v>12</v>
      </c>
      <c r="B11715" s="2" t="str">
        <f>HYPERLINK("http://m.12365auto.com/news/20200205/417762.shtml","马自达发动机专利曝光 预计2025年前投产")</f>
        <v>马自达发动机专利曝光 预计2025年前投产</v>
      </c>
      <c r="C11715" s="2" t="s">
        <v>13</v>
      </c>
      <c r="D11715" s="2" t="s">
        <v>12</v>
      </c>
      <c r="E11715" s="2"/>
      <c r="F11715" s="2" t="str">
        <f>HYPERLINK("http://m.12365auto.com/news/20200205/417762.shtml","http://m.12365auto.com/news/20200205/417762.shtml")</f>
        <v>http://m.12365auto.com/news/20200205/417762.shtml</v>
      </c>
      <c r="G11715" s="2"/>
      <c r="H11715" s="2" t="s">
        <v>15681</v>
      </c>
      <c r="I11715" s="2" t="s">
        <v>19</v>
      </c>
      <c r="J11715" s="2" t="s">
        <v>760</v>
      </c>
      <c r="K11715" s="2" t="s">
        <v>15680</v>
      </c>
      <c r="L11715" s="2">
        <f t="shared" ref="L11715:L11778" si="183">LEN(H11715)</f>
        <v>150</v>
      </c>
    </row>
    <row r="11716" spans="1:12" ht="25" customHeight="1">
      <c r="A11716" s="2" t="s">
        <v>12</v>
      </c>
      <c r="B11716" s="2" t="str">
        <f>HYPERLINK("http://www.12365auto.com/xcdg/20200205/417761.shtml","采用福克斯wagon外观？曝新全顺Connect谍照")</f>
        <v>采用福克斯wagon外观？曝新全顺Connect谍照</v>
      </c>
      <c r="C11716" s="2" t="s">
        <v>13</v>
      </c>
      <c r="D11716" s="2" t="s">
        <v>12</v>
      </c>
      <c r="E11716" s="2" t="s">
        <v>224</v>
      </c>
      <c r="F11716" s="2" t="str">
        <f>HYPERLINK("http://www.12365auto.com/xcdg/20200205/417761.shtml","http://www.12365auto.com/xcdg/20200205/417761.shtml")</f>
        <v>http://www.12365auto.com/xcdg/20200205/417761.shtml</v>
      </c>
      <c r="G11716" s="2"/>
      <c r="H11716" s="2" t="s">
        <v>15682</v>
      </c>
      <c r="I11716" s="2" t="s">
        <v>15</v>
      </c>
      <c r="J11716" s="2" t="s">
        <v>12</v>
      </c>
      <c r="K11716" s="2" t="s">
        <v>15683</v>
      </c>
      <c r="L11716" s="2">
        <f t="shared" si="183"/>
        <v>150</v>
      </c>
    </row>
    <row r="11717" spans="1:12" ht="25" customHeight="1">
      <c r="A11717" s="2" t="s">
        <v>12</v>
      </c>
      <c r="B11717" s="2" t="str">
        <f>HYPERLINK("http://m.12365auto.com/xcdg/20200205/417761.shtml","采用福克斯wagon外观？曝新全顺Connect谍照")</f>
        <v>采用福克斯wagon外观？曝新全顺Connect谍照</v>
      </c>
      <c r="C11717" s="2" t="s">
        <v>13</v>
      </c>
      <c r="D11717" s="2" t="s">
        <v>12</v>
      </c>
      <c r="E11717" s="2"/>
      <c r="F11717" s="2" t="str">
        <f>HYPERLINK("http://m.12365auto.com/xcdg/20200205/417761.shtml","http://m.12365auto.com/xcdg/20200205/417761.shtml")</f>
        <v>http://m.12365auto.com/xcdg/20200205/417761.shtml</v>
      </c>
      <c r="G11717" s="2"/>
      <c r="H11717" s="2" t="s">
        <v>15684</v>
      </c>
      <c r="I11717" s="2" t="s">
        <v>19</v>
      </c>
      <c r="J11717" s="2" t="s">
        <v>1623</v>
      </c>
      <c r="K11717" s="2" t="s">
        <v>15683</v>
      </c>
      <c r="L11717" s="2">
        <f t="shared" si="183"/>
        <v>150</v>
      </c>
    </row>
    <row r="11718" spans="1:12" ht="25" customHeight="1">
      <c r="A11718" s="2" t="s">
        <v>12</v>
      </c>
      <c r="B11718" s="2" t="str">
        <f>HYPERLINK("http://m.12365auto.com/bbs/postcontent.aspx?tID=193378","奇瑞瑞虎3x自动挡油耗为啥比工信部公布油耗高一倍")</f>
        <v>奇瑞瑞虎3x自动挡油耗为啥比工信部公布油耗高一倍</v>
      </c>
      <c r="C11718" s="2" t="s">
        <v>13</v>
      </c>
      <c r="D11718" s="2" t="s">
        <v>23</v>
      </c>
      <c r="E11718" s="2"/>
      <c r="F11718" s="2" t="str">
        <f>HYPERLINK("http://m.12365auto.com/bbs/postcontent.aspx?tID=193378","http://m.12365auto.com/bbs/postcontent.aspx?tID=193378")</f>
        <v>http://m.12365auto.com/bbs/postcontent.aspx?tID=193378</v>
      </c>
      <c r="G11718" s="2"/>
      <c r="H11718" s="2" t="s">
        <v>15685</v>
      </c>
      <c r="I11718" s="2" t="s">
        <v>15</v>
      </c>
      <c r="J11718" s="2" t="s">
        <v>15686</v>
      </c>
      <c r="K11718" s="2" t="s">
        <v>15687</v>
      </c>
      <c r="L11718" s="2">
        <f t="shared" si="183"/>
        <v>108</v>
      </c>
    </row>
    <row r="11719" spans="1:12" ht="25" customHeight="1">
      <c r="A11719" s="2" t="s">
        <v>12</v>
      </c>
      <c r="B11719" s="2" t="str">
        <f>HYPERLINK("http://bbs.12365auto.com/postcontent.aspx?tId=193378","奇瑞瑞虎3x自动挡油耗为啥比工信部公布油耗高一倍")</f>
        <v>奇瑞瑞虎3x自动挡油耗为啥比工信部公布油耗高一倍</v>
      </c>
      <c r="C11719" s="2" t="s">
        <v>13</v>
      </c>
      <c r="D11719" s="2" t="s">
        <v>12</v>
      </c>
      <c r="E11719" s="2" t="s">
        <v>66</v>
      </c>
      <c r="F11719" s="2" t="str">
        <f>HYPERLINK("http://bbs.12365auto.com/postcontent.aspx?tId=193378","http://bbs.12365auto.com/postcontent.aspx?tId=193378")</f>
        <v>http://bbs.12365auto.com/postcontent.aspx?tId=193378</v>
      </c>
      <c r="G11719" s="2"/>
      <c r="H11719" s="2" t="s">
        <v>15685</v>
      </c>
      <c r="I11719" s="2" t="s">
        <v>15</v>
      </c>
      <c r="J11719" s="2" t="s">
        <v>15686</v>
      </c>
      <c r="K11719" s="2" t="s">
        <v>15687</v>
      </c>
      <c r="L11719" s="2">
        <f t="shared" si="183"/>
        <v>108</v>
      </c>
    </row>
    <row r="11720" spans="1:12" ht="25" customHeight="1">
      <c r="A11720" s="2" t="s">
        <v>12</v>
      </c>
      <c r="B11720" s="2" t="str">
        <f>HYPERLINK("http://bbs.12365auto.com/postcontent.aspx?tID=193378","奇瑞瑞虎3x自动挡油耗为啥比工信部公布油耗高一倍")</f>
        <v>奇瑞瑞虎3x自动挡油耗为啥比工信部公布油耗高一倍</v>
      </c>
      <c r="C11720" s="2" t="s">
        <v>13</v>
      </c>
      <c r="D11720" s="2" t="s">
        <v>12</v>
      </c>
      <c r="E11720" s="2" t="s">
        <v>67</v>
      </c>
      <c r="F11720" s="2" t="str">
        <f>HYPERLINK("http://bbs.12365auto.com/postcontent.aspx?tID=193378","http://bbs.12365auto.com/postcontent.aspx?tID=193378")</f>
        <v>http://bbs.12365auto.com/postcontent.aspx?tID=193378</v>
      </c>
      <c r="G11720" s="2"/>
      <c r="H11720" s="2" t="s">
        <v>15688</v>
      </c>
      <c r="I11720" s="2" t="s">
        <v>15</v>
      </c>
      <c r="J11720" s="2" t="s">
        <v>15686</v>
      </c>
      <c r="K11720" s="2" t="s">
        <v>15687</v>
      </c>
      <c r="L11720" s="2">
        <f t="shared" si="183"/>
        <v>132</v>
      </c>
    </row>
    <row r="11721" spans="1:12" ht="25" customHeight="1">
      <c r="A11721" s="2" t="s">
        <v>12</v>
      </c>
      <c r="B11721" s="2" t="str">
        <f>HYPERLINK("http://www.12365auto.com/xcdg/20200205/417760.shtml","启辰星搭载DCT/MT变速箱 综合油耗最低6.1升")</f>
        <v>启辰星搭载DCT/MT变速箱 综合油耗最低6.1升</v>
      </c>
      <c r="C11721" s="2" t="s">
        <v>13</v>
      </c>
      <c r="D11721" s="2" t="s">
        <v>12</v>
      </c>
      <c r="E11721" s="2" t="s">
        <v>216</v>
      </c>
      <c r="F11721" s="2" t="str">
        <f>HYPERLINK("http://www.12365auto.com/xcdg/20200205/417760.shtml","http://www.12365auto.com/xcdg/20200205/417760.shtml")</f>
        <v>http://www.12365auto.com/xcdg/20200205/417760.shtml</v>
      </c>
      <c r="G11721" s="2"/>
      <c r="H11721" s="2" t="s">
        <v>15689</v>
      </c>
      <c r="I11721" s="2" t="s">
        <v>15</v>
      </c>
      <c r="J11721" s="2" t="s">
        <v>12</v>
      </c>
      <c r="K11721" s="2" t="s">
        <v>15690</v>
      </c>
      <c r="L11721" s="2">
        <f t="shared" si="183"/>
        <v>150</v>
      </c>
    </row>
    <row r="11722" spans="1:12" ht="25" customHeight="1">
      <c r="A11722" s="2" t="s">
        <v>12</v>
      </c>
      <c r="B11722" s="2" t="str">
        <f>HYPERLINK("http://m.12365auto.com/xcdg/20200205/417760.shtml","启辰星搭载DCT/MT变速箱 综合油耗最低6.1升")</f>
        <v>启辰星搭载DCT/MT变速箱 综合油耗最低6.1升</v>
      </c>
      <c r="C11722" s="2" t="s">
        <v>13</v>
      </c>
      <c r="D11722" s="2" t="s">
        <v>12</v>
      </c>
      <c r="E11722" s="2"/>
      <c r="F11722" s="2" t="str">
        <f>HYPERLINK("http://m.12365auto.com/xcdg/20200205/417760.shtml","http://m.12365auto.com/xcdg/20200205/417760.shtml")</f>
        <v>http://m.12365auto.com/xcdg/20200205/417760.shtml</v>
      </c>
      <c r="G11722" s="2"/>
      <c r="H11722" s="2" t="s">
        <v>15691</v>
      </c>
      <c r="I11722" s="2" t="s">
        <v>19</v>
      </c>
      <c r="J11722" s="2" t="s">
        <v>11087</v>
      </c>
      <c r="K11722" s="2" t="s">
        <v>15690</v>
      </c>
      <c r="L11722" s="2">
        <f t="shared" si="183"/>
        <v>150</v>
      </c>
    </row>
    <row r="11723" spans="1:12" ht="25" customHeight="1">
      <c r="A11723" s="2" t="s">
        <v>12</v>
      </c>
      <c r="B11723" s="2" t="str">
        <f>HYPERLINK("http://www.12365auto.com/news/20200205/417759.shtml","刷新历史纪录 法拉利2019年销量首次破万")</f>
        <v>刷新历史纪录 法拉利2019年销量首次破万</v>
      </c>
      <c r="C11723" s="2" t="s">
        <v>13</v>
      </c>
      <c r="D11723" s="2" t="s">
        <v>12</v>
      </c>
      <c r="E11723" s="2" t="s">
        <v>276</v>
      </c>
      <c r="F11723" s="2" t="str">
        <f>HYPERLINK("http://www.12365auto.com/news/20200205/417759.shtml","http://www.12365auto.com/news/20200205/417759.shtml")</f>
        <v>http://www.12365auto.com/news/20200205/417759.shtml</v>
      </c>
      <c r="G11723" s="2"/>
      <c r="H11723" s="2" t="s">
        <v>15692</v>
      </c>
      <c r="I11723" s="2" t="s">
        <v>15</v>
      </c>
      <c r="J11723" s="2" t="s">
        <v>12</v>
      </c>
      <c r="K11723" s="2" t="s">
        <v>15693</v>
      </c>
      <c r="L11723" s="2">
        <f t="shared" si="183"/>
        <v>150</v>
      </c>
    </row>
    <row r="11724" spans="1:12" ht="25" customHeight="1">
      <c r="A11724" s="2" t="s">
        <v>12</v>
      </c>
      <c r="B11724" s="2" t="str">
        <f>HYPERLINK("http://m.12365auto.com/news/20200205/417759.shtml","刷新历史纪录 法拉利2019年销量首次破万")</f>
        <v>刷新历史纪录 法拉利2019年销量首次破万</v>
      </c>
      <c r="C11724" s="2" t="s">
        <v>13</v>
      </c>
      <c r="D11724" s="2" t="s">
        <v>12</v>
      </c>
      <c r="E11724" s="2"/>
      <c r="F11724" s="2" t="str">
        <f>HYPERLINK("http://m.12365auto.com/news/20200205/417759.shtml","http://m.12365auto.com/news/20200205/417759.shtml")</f>
        <v>http://m.12365auto.com/news/20200205/417759.shtml</v>
      </c>
      <c r="G11724" s="2"/>
      <c r="H11724" s="2" t="s">
        <v>15694</v>
      </c>
      <c r="I11724" s="2" t="s">
        <v>19</v>
      </c>
      <c r="J11724" s="2" t="s">
        <v>1619</v>
      </c>
      <c r="K11724" s="2" t="s">
        <v>15693</v>
      </c>
      <c r="L11724" s="2">
        <f t="shared" si="183"/>
        <v>150</v>
      </c>
    </row>
    <row r="11725" spans="1:12" ht="25" customHeight="1">
      <c r="A11725" s="2" t="s">
        <v>12</v>
      </c>
      <c r="B11725" s="2" t="str">
        <f>HYPERLINK("http://m.12365auto.com/news/20200205/417758.shtml","捐款后再行动 东风风行推多项举措应对疫情")</f>
        <v>捐款后再行动 东风风行推多项举措应对疫情</v>
      </c>
      <c r="C11725" s="2" t="s">
        <v>13</v>
      </c>
      <c r="D11725" s="2" t="s">
        <v>12</v>
      </c>
      <c r="E11725" s="2"/>
      <c r="F11725" s="2" t="str">
        <f>HYPERLINK("http://m.12365auto.com/news/20200205/417758.shtml","http://m.12365auto.com/news/20200205/417758.shtml")</f>
        <v>http://m.12365auto.com/news/20200205/417758.shtml</v>
      </c>
      <c r="G11725" s="2"/>
      <c r="H11725" s="2" t="s">
        <v>15695</v>
      </c>
      <c r="I11725" s="2" t="s">
        <v>19</v>
      </c>
      <c r="J11725" s="2" t="s">
        <v>236</v>
      </c>
      <c r="K11725" s="2" t="s">
        <v>15696</v>
      </c>
      <c r="L11725" s="2">
        <f t="shared" si="183"/>
        <v>150</v>
      </c>
    </row>
    <row r="11726" spans="1:12" ht="25" customHeight="1">
      <c r="A11726" s="2" t="s">
        <v>12</v>
      </c>
      <c r="B11726" s="2" t="str">
        <f>HYPERLINK("http://www.12365auto.com/news/20200205/417758.shtml","捐款后再行动 东风风行推多项举措应对疫情")</f>
        <v>捐款后再行动 东风风行推多项举措应对疫情</v>
      </c>
      <c r="C11726" s="2" t="s">
        <v>13</v>
      </c>
      <c r="D11726" s="2" t="s">
        <v>12</v>
      </c>
      <c r="E11726" s="2" t="s">
        <v>282</v>
      </c>
      <c r="F11726" s="2" t="str">
        <f>HYPERLINK("http://www.12365auto.com/news/20200205/417758.shtml","http://www.12365auto.com/news/20200205/417758.shtml")</f>
        <v>http://www.12365auto.com/news/20200205/417758.shtml</v>
      </c>
      <c r="G11726" s="2"/>
      <c r="H11726" s="2" t="s">
        <v>15697</v>
      </c>
      <c r="I11726" s="2" t="s">
        <v>19</v>
      </c>
      <c r="J11726" s="2" t="s">
        <v>12</v>
      </c>
      <c r="K11726" s="2" t="s">
        <v>15696</v>
      </c>
      <c r="L11726" s="2">
        <f t="shared" si="183"/>
        <v>150</v>
      </c>
    </row>
    <row r="11727" spans="1:12" ht="25" customHeight="1">
      <c r="A11727" s="2" t="s">
        <v>12</v>
      </c>
      <c r="B11727" s="2" t="str">
        <f>HYPERLINK("http://m.12365auto.com/news/20200205/417757.shtml","大众“高尔夫R”推电动版 采用赛车电池技术")</f>
        <v>大众“高尔夫R”推电动版 采用赛车电池技术</v>
      </c>
      <c r="C11727" s="2" t="s">
        <v>13</v>
      </c>
      <c r="D11727" s="2" t="s">
        <v>12</v>
      </c>
      <c r="E11727" s="2"/>
      <c r="F11727" s="2" t="str">
        <f>HYPERLINK("http://m.12365auto.com/news/20200205/417757.shtml","http://m.12365auto.com/news/20200205/417757.shtml")</f>
        <v>http://m.12365auto.com/news/20200205/417757.shtml</v>
      </c>
      <c r="G11727" s="2"/>
      <c r="H11727" s="2" t="s">
        <v>15698</v>
      </c>
      <c r="I11727" s="2" t="s">
        <v>19</v>
      </c>
      <c r="J11727" s="2" t="s">
        <v>1076</v>
      </c>
      <c r="K11727" s="2" t="s">
        <v>15699</v>
      </c>
      <c r="L11727" s="2">
        <f t="shared" si="183"/>
        <v>150</v>
      </c>
    </row>
    <row r="11728" spans="1:12" ht="25" customHeight="1">
      <c r="A11728" s="2" t="s">
        <v>12</v>
      </c>
      <c r="B11728" s="2" t="str">
        <f>HYPERLINK("http://www.12365auto.com/news/20200205/417757.shtml","大众“高尔夫R”推电动版 采用赛车电池技术")</f>
        <v>大众“高尔夫R”推电动版 采用赛车电池技术</v>
      </c>
      <c r="C11728" s="2" t="s">
        <v>13</v>
      </c>
      <c r="D11728" s="2" t="s">
        <v>12</v>
      </c>
      <c r="E11728" s="2" t="s">
        <v>282</v>
      </c>
      <c r="F11728" s="2" t="str">
        <f>HYPERLINK("http://www.12365auto.com/news/20200205/417757.shtml","http://www.12365auto.com/news/20200205/417757.shtml")</f>
        <v>http://www.12365auto.com/news/20200205/417757.shtml</v>
      </c>
      <c r="G11728" s="2"/>
      <c r="H11728" s="2" t="s">
        <v>15700</v>
      </c>
      <c r="I11728" s="2" t="s">
        <v>19</v>
      </c>
      <c r="J11728" s="2" t="s">
        <v>12</v>
      </c>
      <c r="K11728" s="2" t="s">
        <v>15699</v>
      </c>
      <c r="L11728" s="2">
        <f t="shared" si="183"/>
        <v>150</v>
      </c>
    </row>
    <row r="11729" spans="1:12" ht="25" customHeight="1">
      <c r="A11729" s="2" t="s">
        <v>12</v>
      </c>
      <c r="B11729" s="2" t="str">
        <f>HYPERLINK("http://m.12365auto.com/bbs/postcontent.aspx?tID=193376","缤智水泥路段前轮咯噔异响   什么情况？")</f>
        <v>缤智水泥路段前轮咯噔异响   什么情况？</v>
      </c>
      <c r="C11729" s="2" t="s">
        <v>13</v>
      </c>
      <c r="D11729" s="2" t="s">
        <v>23</v>
      </c>
      <c r="E11729" s="2"/>
      <c r="F11729" s="2" t="str">
        <f>HYPERLINK("http://m.12365auto.com/bbs/postcontent.aspx?tID=193376","http://m.12365auto.com/bbs/postcontent.aspx?tID=193376")</f>
        <v>http://m.12365auto.com/bbs/postcontent.aspx?tID=193376</v>
      </c>
      <c r="G11729" s="2"/>
      <c r="H11729" s="2" t="s">
        <v>15701</v>
      </c>
      <c r="I11729" s="2" t="s">
        <v>15</v>
      </c>
      <c r="J11729" s="2" t="s">
        <v>15702</v>
      </c>
      <c r="K11729" s="2" t="s">
        <v>15703</v>
      </c>
      <c r="L11729" s="2">
        <f t="shared" si="183"/>
        <v>22</v>
      </c>
    </row>
    <row r="11730" spans="1:12" ht="25" customHeight="1">
      <c r="A11730" s="2" t="s">
        <v>12</v>
      </c>
      <c r="B11730" s="2" t="str">
        <f>HYPERLINK("http://bbs.12365auto.com/postcontent.aspx?tId=193376","缤智水泥路段前轮咯噔异响   什么情况？")</f>
        <v>缤智水泥路段前轮咯噔异响   什么情况？</v>
      </c>
      <c r="C11730" s="2" t="s">
        <v>13</v>
      </c>
      <c r="D11730" s="2" t="s">
        <v>12</v>
      </c>
      <c r="E11730" s="2" t="s">
        <v>66</v>
      </c>
      <c r="F11730" s="2" t="str">
        <f>HYPERLINK("http://bbs.12365auto.com/postcontent.aspx?tId=193376","http://bbs.12365auto.com/postcontent.aspx?tId=193376")</f>
        <v>http://bbs.12365auto.com/postcontent.aspx?tId=193376</v>
      </c>
      <c r="G11730" s="2"/>
      <c r="H11730" s="2" t="s">
        <v>15701</v>
      </c>
      <c r="I11730" s="2" t="s">
        <v>15</v>
      </c>
      <c r="J11730" s="2" t="s">
        <v>15702</v>
      </c>
      <c r="K11730" s="2" t="s">
        <v>15703</v>
      </c>
      <c r="L11730" s="2">
        <f t="shared" si="183"/>
        <v>22</v>
      </c>
    </row>
    <row r="11731" spans="1:12" ht="25" customHeight="1">
      <c r="A11731" s="2" t="s">
        <v>12</v>
      </c>
      <c r="B11731" s="2" t="str">
        <f>HYPERLINK("http://bbs.12365auto.com/postcontent.aspx?tID=193376","缤智水泥路段前轮咯噔异响   什么情况？")</f>
        <v>缤智水泥路段前轮咯噔异响   什么情况？</v>
      </c>
      <c r="C11731" s="2" t="s">
        <v>13</v>
      </c>
      <c r="D11731" s="2" t="s">
        <v>12</v>
      </c>
      <c r="E11731" s="2" t="s">
        <v>67</v>
      </c>
      <c r="F11731" s="2" t="str">
        <f>HYPERLINK("http://bbs.12365auto.com/postcontent.aspx?tID=193376","http://bbs.12365auto.com/postcontent.aspx?tID=193376")</f>
        <v>http://bbs.12365auto.com/postcontent.aspx?tID=193376</v>
      </c>
      <c r="G11731" s="2"/>
      <c r="H11731" s="2" t="s">
        <v>15704</v>
      </c>
      <c r="I11731" s="2" t="s">
        <v>15</v>
      </c>
      <c r="J11731" s="2" t="s">
        <v>15702</v>
      </c>
      <c r="K11731" s="2" t="s">
        <v>15703</v>
      </c>
      <c r="L11731" s="2">
        <f t="shared" si="183"/>
        <v>42</v>
      </c>
    </row>
    <row r="11732" spans="1:12" ht="25" customHeight="1">
      <c r="A11732" s="2" t="s">
        <v>12</v>
      </c>
      <c r="B11732" s="2" t="str">
        <f>HYPERLINK("http://m.12365auto.com/news/20200205/417756.shtml","奇瑞用海外优势抗击肺炎 首批物资运抵国内")</f>
        <v>奇瑞用海外优势抗击肺炎 首批物资运抵国内</v>
      </c>
      <c r="C11732" s="2" t="s">
        <v>13</v>
      </c>
      <c r="D11732" s="2" t="s">
        <v>12</v>
      </c>
      <c r="E11732" s="2"/>
      <c r="F11732" s="2" t="str">
        <f>HYPERLINK("http://m.12365auto.com/news/20200205/417756.shtml","http://m.12365auto.com/news/20200205/417756.shtml")</f>
        <v>http://m.12365auto.com/news/20200205/417756.shtml</v>
      </c>
      <c r="G11732" s="2"/>
      <c r="H11732" s="2" t="s">
        <v>15705</v>
      </c>
      <c r="I11732" s="2" t="s">
        <v>19</v>
      </c>
      <c r="J11732" s="2" t="s">
        <v>3053</v>
      </c>
      <c r="K11732" s="2" t="s">
        <v>15706</v>
      </c>
      <c r="L11732" s="2">
        <f t="shared" si="183"/>
        <v>150</v>
      </c>
    </row>
    <row r="11733" spans="1:12" ht="25" customHeight="1">
      <c r="A11733" s="2" t="s">
        <v>12</v>
      </c>
      <c r="B11733" s="2" t="str">
        <f>HYPERLINK("http://www.12365auto.com/news/20200205/417756.shtml","奇瑞用海外优势抗击肺炎 首批物资运抵国内")</f>
        <v>奇瑞用海外优势抗击肺炎 首批物资运抵国内</v>
      </c>
      <c r="C11733" s="2" t="s">
        <v>13</v>
      </c>
      <c r="D11733" s="2" t="s">
        <v>12</v>
      </c>
      <c r="E11733" s="2" t="s">
        <v>282</v>
      </c>
      <c r="F11733" s="2" t="str">
        <f>HYPERLINK("http://www.12365auto.com/news/20200205/417756.shtml","http://www.12365auto.com/news/20200205/417756.shtml")</f>
        <v>http://www.12365auto.com/news/20200205/417756.shtml</v>
      </c>
      <c r="G11733" s="2"/>
      <c r="H11733" s="2" t="s">
        <v>15707</v>
      </c>
      <c r="I11733" s="2" t="s">
        <v>19</v>
      </c>
      <c r="J11733" s="2" t="s">
        <v>12</v>
      </c>
      <c r="K11733" s="2" t="s">
        <v>15706</v>
      </c>
      <c r="L11733" s="2">
        <f t="shared" si="183"/>
        <v>150</v>
      </c>
    </row>
    <row r="11734" spans="1:12" ht="25" customHeight="1">
      <c r="A11734" s="2" t="s">
        <v>12</v>
      </c>
      <c r="B11734" s="2" t="str">
        <f>HYPERLINK("http://m.12365auto.com/xcdg/20200205/417755.shtml","大众帕萨特谍照曝光 搭2.0T引擎/年内上市")</f>
        <v>大众帕萨特谍照曝光 搭2.0T引擎/年内上市</v>
      </c>
      <c r="C11734" s="2" t="s">
        <v>13</v>
      </c>
      <c r="D11734" s="2" t="s">
        <v>12</v>
      </c>
      <c r="E11734" s="2"/>
      <c r="F11734" s="2" t="str">
        <f>HYPERLINK("http://m.12365auto.com/xcdg/20200205/417755.shtml","http://m.12365auto.com/xcdg/20200205/417755.shtml")</f>
        <v>http://m.12365auto.com/xcdg/20200205/417755.shtml</v>
      </c>
      <c r="G11734" s="2"/>
      <c r="H11734" s="2" t="s">
        <v>15708</v>
      </c>
      <c r="I11734" s="2" t="s">
        <v>19</v>
      </c>
      <c r="J11734" s="2" t="s">
        <v>13601</v>
      </c>
      <c r="K11734" s="2" t="s">
        <v>15709</v>
      </c>
      <c r="L11734" s="2">
        <f t="shared" si="183"/>
        <v>150</v>
      </c>
    </row>
    <row r="11735" spans="1:12" ht="25" customHeight="1">
      <c r="A11735" s="2" t="s">
        <v>12</v>
      </c>
      <c r="B11735" s="2" t="str">
        <f>HYPERLINK("http://www.12365auto.com/xcdg/20200205/417755.shtml","大众帕萨特谍照曝光 搭2.0T引擎/年内上市")</f>
        <v>大众帕萨特谍照曝光 搭2.0T引擎/年内上市</v>
      </c>
      <c r="C11735" s="2" t="s">
        <v>13</v>
      </c>
      <c r="D11735" s="2" t="s">
        <v>12</v>
      </c>
      <c r="E11735" s="2" t="s">
        <v>224</v>
      </c>
      <c r="F11735" s="2" t="str">
        <f>HYPERLINK("http://www.12365auto.com/xcdg/20200205/417755.shtml","http://www.12365auto.com/xcdg/20200205/417755.shtml")</f>
        <v>http://www.12365auto.com/xcdg/20200205/417755.shtml</v>
      </c>
      <c r="G11735" s="2"/>
      <c r="H11735" s="2" t="s">
        <v>15710</v>
      </c>
      <c r="I11735" s="2" t="s">
        <v>15</v>
      </c>
      <c r="J11735" s="2" t="s">
        <v>12</v>
      </c>
      <c r="K11735" s="2" t="s">
        <v>15709</v>
      </c>
      <c r="L11735" s="2">
        <f t="shared" si="183"/>
        <v>150</v>
      </c>
    </row>
    <row r="11736" spans="1:12" ht="25" customHeight="1">
      <c r="A11736" s="2" t="s">
        <v>12</v>
      </c>
      <c r="B11736" s="2" t="str">
        <f>HYPERLINK("http://m.12365auto.com/xcdg/20200205/417754.shtml","宝马iNEXT谍照曝光 明年亮相/续航达600km")</f>
        <v>宝马iNEXT谍照曝光 明年亮相/续航达600km</v>
      </c>
      <c r="C11736" s="2" t="s">
        <v>13</v>
      </c>
      <c r="D11736" s="2" t="s">
        <v>12</v>
      </c>
      <c r="E11736" s="2"/>
      <c r="F11736" s="2" t="str">
        <f>HYPERLINK("http://m.12365auto.com/xcdg/20200205/417754.shtml","http://m.12365auto.com/xcdg/20200205/417754.shtml")</f>
        <v>http://m.12365auto.com/xcdg/20200205/417754.shtml</v>
      </c>
      <c r="G11736" s="2"/>
      <c r="H11736" s="2" t="s">
        <v>15711</v>
      </c>
      <c r="I11736" s="2" t="s">
        <v>19</v>
      </c>
      <c r="J11736" s="2" t="s">
        <v>220</v>
      </c>
      <c r="K11736" s="2" t="s">
        <v>15712</v>
      </c>
      <c r="L11736" s="2">
        <f t="shared" si="183"/>
        <v>150</v>
      </c>
    </row>
    <row r="11737" spans="1:12" ht="25" customHeight="1">
      <c r="A11737" s="2" t="s">
        <v>12</v>
      </c>
      <c r="B11737" s="2" t="str">
        <f>HYPERLINK("http://www.12365auto.com/xcdg/20200205/417754.shtml","宝马iNEXT谍照曝光 明年亮相/续航达600km")</f>
        <v>宝马iNEXT谍照曝光 明年亮相/续航达600km</v>
      </c>
      <c r="C11737" s="2" t="s">
        <v>13</v>
      </c>
      <c r="D11737" s="2" t="s">
        <v>12</v>
      </c>
      <c r="E11737" s="2" t="s">
        <v>224</v>
      </c>
      <c r="F11737" s="2" t="str">
        <f>HYPERLINK("http://www.12365auto.com/xcdg/20200205/417754.shtml","http://www.12365auto.com/xcdg/20200205/417754.shtml")</f>
        <v>http://www.12365auto.com/xcdg/20200205/417754.shtml</v>
      </c>
      <c r="G11737" s="2"/>
      <c r="H11737" s="2" t="s">
        <v>15713</v>
      </c>
      <c r="I11737" s="2" t="s">
        <v>15</v>
      </c>
      <c r="J11737" s="2" t="s">
        <v>12</v>
      </c>
      <c r="K11737" s="2" t="s">
        <v>15712</v>
      </c>
      <c r="L11737" s="2">
        <f t="shared" si="183"/>
        <v>150</v>
      </c>
    </row>
    <row r="11738" spans="1:12" ht="25" customHeight="1">
      <c r="A11738" s="2" t="s">
        <v>12</v>
      </c>
      <c r="B11738" s="2" t="str">
        <f>HYPERLINK("http://m.12365auto.com/xcdg/20200205/417753.shtml","玛莎拉蒂全新Levante谍照 新增自动驾驶配置")</f>
        <v>玛莎拉蒂全新Levante谍照 新增自动驾驶配置</v>
      </c>
      <c r="C11738" s="2" t="s">
        <v>13</v>
      </c>
      <c r="D11738" s="2" t="s">
        <v>12</v>
      </c>
      <c r="E11738" s="2"/>
      <c r="F11738" s="2" t="str">
        <f>HYPERLINK("http://m.12365auto.com/xcdg/20200205/417753.shtml","http://m.12365auto.com/xcdg/20200205/417753.shtml")</f>
        <v>http://m.12365auto.com/xcdg/20200205/417753.shtml</v>
      </c>
      <c r="G11738" s="2"/>
      <c r="H11738" s="2" t="s">
        <v>15714</v>
      </c>
      <c r="I11738" s="2" t="s">
        <v>19</v>
      </c>
      <c r="J11738" s="2" t="s">
        <v>220</v>
      </c>
      <c r="K11738" s="2" t="s">
        <v>15715</v>
      </c>
      <c r="L11738" s="2">
        <f t="shared" si="183"/>
        <v>150</v>
      </c>
    </row>
    <row r="11739" spans="1:12" ht="25" customHeight="1">
      <c r="A11739" s="2" t="s">
        <v>12</v>
      </c>
      <c r="B11739" s="2" t="str">
        <f>HYPERLINK("http://www.12365auto.com/xcdg/20200205/417753.shtml","玛莎拉蒂全新Levante谍照 新增自动驾驶配置")</f>
        <v>玛莎拉蒂全新Levante谍照 新增自动驾驶配置</v>
      </c>
      <c r="C11739" s="2" t="s">
        <v>13</v>
      </c>
      <c r="D11739" s="2" t="s">
        <v>12</v>
      </c>
      <c r="E11739" s="2" t="s">
        <v>224</v>
      </c>
      <c r="F11739" s="2" t="str">
        <f>HYPERLINK("http://www.12365auto.com/xcdg/20200205/417753.shtml","http://www.12365auto.com/xcdg/20200205/417753.shtml")</f>
        <v>http://www.12365auto.com/xcdg/20200205/417753.shtml</v>
      </c>
      <c r="G11739" s="2"/>
      <c r="H11739" s="2" t="s">
        <v>15716</v>
      </c>
      <c r="I11739" s="2" t="s">
        <v>15</v>
      </c>
      <c r="J11739" s="2" t="s">
        <v>12</v>
      </c>
      <c r="K11739" s="2" t="s">
        <v>15715</v>
      </c>
      <c r="L11739" s="2">
        <f t="shared" si="183"/>
        <v>150</v>
      </c>
    </row>
    <row r="11740" spans="1:12" ht="25" customHeight="1">
      <c r="A11740" s="2" t="s">
        <v>12</v>
      </c>
      <c r="B11740" s="2" t="str">
        <f>HYPERLINK("http://m.12365auto.com/xcdg/20200205/417752.shtml","福特全新跨界轿车谍照 或将取代福特蒙迪欧")</f>
        <v>福特全新跨界轿车谍照 或将取代福特蒙迪欧</v>
      </c>
      <c r="C11740" s="2" t="s">
        <v>13</v>
      </c>
      <c r="D11740" s="2" t="s">
        <v>12</v>
      </c>
      <c r="E11740" s="2"/>
      <c r="F11740" s="2" t="str">
        <f>HYPERLINK("http://m.12365auto.com/xcdg/20200205/417752.shtml","http://m.12365auto.com/xcdg/20200205/417752.shtml")</f>
        <v>http://m.12365auto.com/xcdg/20200205/417752.shtml</v>
      </c>
      <c r="G11740" s="2"/>
      <c r="H11740" s="2" t="s">
        <v>15717</v>
      </c>
      <c r="I11740" s="2" t="s">
        <v>19</v>
      </c>
      <c r="J11740" s="2" t="s">
        <v>220</v>
      </c>
      <c r="K11740" s="2" t="s">
        <v>15718</v>
      </c>
      <c r="L11740" s="2">
        <f t="shared" si="183"/>
        <v>150</v>
      </c>
    </row>
    <row r="11741" spans="1:12" ht="25" customHeight="1">
      <c r="A11741" s="2" t="s">
        <v>12</v>
      </c>
      <c r="B11741" s="2" t="str">
        <f>HYPERLINK("http://www.12365auto.com/xcdg/20200205/417752.shtml","福特全新跨界轿车谍照 或将取代福特蒙迪欧")</f>
        <v>福特全新跨界轿车谍照 或将取代福特蒙迪欧</v>
      </c>
      <c r="C11741" s="2" t="s">
        <v>13</v>
      </c>
      <c r="D11741" s="2" t="s">
        <v>12</v>
      </c>
      <c r="E11741" s="2" t="s">
        <v>224</v>
      </c>
      <c r="F11741" s="2" t="str">
        <f>HYPERLINK("http://www.12365auto.com/xcdg/20200205/417752.shtml","http://www.12365auto.com/xcdg/20200205/417752.shtml")</f>
        <v>http://www.12365auto.com/xcdg/20200205/417752.shtml</v>
      </c>
      <c r="G11741" s="2"/>
      <c r="H11741" s="2" t="s">
        <v>15719</v>
      </c>
      <c r="I11741" s="2" t="s">
        <v>15</v>
      </c>
      <c r="J11741" s="2" t="s">
        <v>12</v>
      </c>
      <c r="K11741" s="2" t="s">
        <v>15718</v>
      </c>
      <c r="L11741" s="2">
        <f t="shared" si="183"/>
        <v>150</v>
      </c>
    </row>
    <row r="11742" spans="1:12" ht="25" customHeight="1">
      <c r="A11742" s="2" t="s">
        <v>12</v>
      </c>
      <c r="B11742" s="2" t="str">
        <f>HYPERLINK("http://m.12365auto.com/xcdg/20200205/417751.shtml","奔驰全新CLA 45信息曝光 搭2.0T引擎")</f>
        <v>奔驰全新CLA 45信息曝光 搭2.0T引擎</v>
      </c>
      <c r="C11742" s="2" t="s">
        <v>13</v>
      </c>
      <c r="D11742" s="2" t="s">
        <v>12</v>
      </c>
      <c r="E11742" s="2"/>
      <c r="F11742" s="2" t="str">
        <f>HYPERLINK("http://m.12365auto.com/xcdg/20200205/417751.shtml","http://m.12365auto.com/xcdg/20200205/417751.shtml")</f>
        <v>http://m.12365auto.com/xcdg/20200205/417751.shtml</v>
      </c>
      <c r="G11742" s="2"/>
      <c r="H11742" s="2" t="s">
        <v>15720</v>
      </c>
      <c r="I11742" s="2" t="s">
        <v>19</v>
      </c>
      <c r="J11742" s="2" t="s">
        <v>13601</v>
      </c>
      <c r="K11742" s="2" t="s">
        <v>15721</v>
      </c>
      <c r="L11742" s="2">
        <f t="shared" si="183"/>
        <v>150</v>
      </c>
    </row>
    <row r="11743" spans="1:12" ht="25" customHeight="1">
      <c r="A11743" s="2" t="s">
        <v>12</v>
      </c>
      <c r="B11743" s="2" t="str">
        <f>HYPERLINK("http://www.12365auto.com/xcdg/20200205/417751.shtml","奔驰全新CLA 45信息曝光 搭2.0T引擎")</f>
        <v>奔驰全新CLA 45信息曝光 搭2.0T引擎</v>
      </c>
      <c r="C11743" s="2" t="s">
        <v>13</v>
      </c>
      <c r="D11743" s="2" t="s">
        <v>12</v>
      </c>
      <c r="E11743" s="2" t="s">
        <v>216</v>
      </c>
      <c r="F11743" s="2" t="str">
        <f>HYPERLINK("http://www.12365auto.com/xcdg/20200205/417751.shtml","http://www.12365auto.com/xcdg/20200205/417751.shtml")</f>
        <v>http://www.12365auto.com/xcdg/20200205/417751.shtml</v>
      </c>
      <c r="G11743" s="2"/>
      <c r="H11743" s="2" t="s">
        <v>15722</v>
      </c>
      <c r="I11743" s="2" t="s">
        <v>15</v>
      </c>
      <c r="J11743" s="2" t="s">
        <v>12</v>
      </c>
      <c r="K11743" s="2" t="s">
        <v>15721</v>
      </c>
      <c r="L11743" s="2">
        <f t="shared" si="183"/>
        <v>150</v>
      </c>
    </row>
    <row r="11744" spans="1:12" ht="25" customHeight="1">
      <c r="A11744" s="2" t="s">
        <v>12</v>
      </c>
      <c r="B11744" s="2" t="str">
        <f>HYPERLINK("http://www.12365auto.com/zlts/20200205/446396.shtml","江铃域虎3发动机漏油 漏防冻液 故障灯报警")</f>
        <v>江铃域虎3发动机漏油 漏防冻液 故障灯报警</v>
      </c>
      <c r="C11744" s="2" t="s">
        <v>13</v>
      </c>
      <c r="D11744" s="2" t="s">
        <v>12</v>
      </c>
      <c r="E11744" s="2" t="s">
        <v>17</v>
      </c>
      <c r="F11744" s="2" t="str">
        <f>HYPERLINK("http://www.12365auto.com/zlts/20200205/446396.shtml","http://www.12365auto.com/zlts/20200205/446396.shtml")</f>
        <v>http://www.12365auto.com/zlts/20200205/446396.shtml</v>
      </c>
      <c r="G11744" s="2"/>
      <c r="H11744" s="2" t="s">
        <v>15723</v>
      </c>
      <c r="I11744" s="2" t="s">
        <v>19</v>
      </c>
      <c r="J11744" s="2" t="s">
        <v>12</v>
      </c>
      <c r="K11744" s="2" t="s">
        <v>15724</v>
      </c>
      <c r="L11744" s="2">
        <f t="shared" si="183"/>
        <v>150</v>
      </c>
    </row>
    <row r="11745" spans="1:12" ht="25" customHeight="1">
      <c r="A11745" s="2" t="s">
        <v>12</v>
      </c>
      <c r="B11745" s="2" t="str">
        <f>HYPERLINK("http://m.12365auto.com/xcdg/20200205/417750.shtml","雷诺新款梅甘娜RS曝光 搭1.8T/内饰配置提升")</f>
        <v>雷诺新款梅甘娜RS曝光 搭1.8T/内饰配置提升</v>
      </c>
      <c r="C11745" s="2" t="s">
        <v>13</v>
      </c>
      <c r="D11745" s="2" t="s">
        <v>12</v>
      </c>
      <c r="E11745" s="2"/>
      <c r="F11745" s="2" t="str">
        <f>HYPERLINK("http://m.12365auto.com/xcdg/20200205/417750.shtml","http://m.12365auto.com/xcdg/20200205/417750.shtml")</f>
        <v>http://m.12365auto.com/xcdg/20200205/417750.shtml</v>
      </c>
      <c r="G11745" s="2"/>
      <c r="H11745" s="2" t="s">
        <v>15725</v>
      </c>
      <c r="I11745" s="2" t="s">
        <v>19</v>
      </c>
      <c r="J11745" s="2" t="s">
        <v>220</v>
      </c>
      <c r="K11745" s="2" t="s">
        <v>15726</v>
      </c>
      <c r="L11745" s="2">
        <f t="shared" si="183"/>
        <v>150</v>
      </c>
    </row>
    <row r="11746" spans="1:12" ht="25" customHeight="1">
      <c r="A11746" s="2" t="s">
        <v>12</v>
      </c>
      <c r="B11746" s="2" t="str">
        <f>HYPERLINK("http://www.12365auto.com/xcdg/20200205/417750.shtml","雷诺新款梅甘娜RS曝光 搭1.8T/内饰配置提升")</f>
        <v>雷诺新款梅甘娜RS曝光 搭1.8T/内饰配置提升</v>
      </c>
      <c r="C11746" s="2" t="s">
        <v>13</v>
      </c>
      <c r="D11746" s="2" t="s">
        <v>12</v>
      </c>
      <c r="E11746" s="2" t="s">
        <v>216</v>
      </c>
      <c r="F11746" s="2" t="str">
        <f>HYPERLINK("http://www.12365auto.com/xcdg/20200205/417750.shtml","http://www.12365auto.com/xcdg/20200205/417750.shtml")</f>
        <v>http://www.12365auto.com/xcdg/20200205/417750.shtml</v>
      </c>
      <c r="G11746" s="2"/>
      <c r="H11746" s="2" t="s">
        <v>15727</v>
      </c>
      <c r="I11746" s="2" t="s">
        <v>15</v>
      </c>
      <c r="J11746" s="2" t="s">
        <v>12</v>
      </c>
      <c r="K11746" s="2" t="s">
        <v>15726</v>
      </c>
      <c r="L11746" s="2">
        <f t="shared" si="183"/>
        <v>150</v>
      </c>
    </row>
    <row r="11747" spans="1:12" ht="25" customHeight="1">
      <c r="A11747" s="2" t="s">
        <v>12</v>
      </c>
      <c r="B11747" s="2" t="str">
        <f>HYPERLINK("http://www.12365auto.com/xcdg/20200205/417749.shtml","起亚全新Rio路试谍照曝光 搭1.0T引擎")</f>
        <v>起亚全新Rio路试谍照曝光 搭1.0T引擎</v>
      </c>
      <c r="C11747" s="2" t="s">
        <v>13</v>
      </c>
      <c r="D11747" s="2" t="s">
        <v>12</v>
      </c>
      <c r="E11747" s="2" t="s">
        <v>224</v>
      </c>
      <c r="F11747" s="2" t="str">
        <f>HYPERLINK("http://www.12365auto.com/xcdg/20200205/417749.shtml","http://www.12365auto.com/xcdg/20200205/417749.shtml")</f>
        <v>http://www.12365auto.com/xcdg/20200205/417749.shtml</v>
      </c>
      <c r="G11747" s="2"/>
      <c r="H11747" s="2" t="s">
        <v>15728</v>
      </c>
      <c r="I11747" s="2" t="s">
        <v>15</v>
      </c>
      <c r="J11747" s="2" t="s">
        <v>12</v>
      </c>
      <c r="K11747" s="2" t="s">
        <v>15729</v>
      </c>
      <c r="L11747" s="2">
        <f t="shared" si="183"/>
        <v>150</v>
      </c>
    </row>
    <row r="11748" spans="1:12" ht="25" customHeight="1">
      <c r="A11748" s="2" t="s">
        <v>12</v>
      </c>
      <c r="B11748" s="2" t="str">
        <f>HYPERLINK("http://m.12365auto.com/xcdg/20200205/417749.shtml","起亚全新Rio路试谍照曝光 搭1.0T引擎")</f>
        <v>起亚全新Rio路试谍照曝光 搭1.0T引擎</v>
      </c>
      <c r="C11748" s="2" t="s">
        <v>13</v>
      </c>
      <c r="D11748" s="2" t="s">
        <v>12</v>
      </c>
      <c r="E11748" s="2"/>
      <c r="F11748" s="2" t="str">
        <f>HYPERLINK("http://m.12365auto.com/xcdg/20200205/417749.shtml","http://m.12365auto.com/xcdg/20200205/417749.shtml")</f>
        <v>http://m.12365auto.com/xcdg/20200205/417749.shtml</v>
      </c>
      <c r="G11748" s="2"/>
      <c r="H11748" s="2" t="s">
        <v>15730</v>
      </c>
      <c r="I11748" s="2" t="s">
        <v>19</v>
      </c>
      <c r="J11748" s="2" t="s">
        <v>220</v>
      </c>
      <c r="K11748" s="2" t="s">
        <v>15729</v>
      </c>
      <c r="L11748" s="2">
        <f t="shared" si="183"/>
        <v>150</v>
      </c>
    </row>
    <row r="11749" spans="1:12" ht="25" customHeight="1">
      <c r="A11749" s="2" t="s">
        <v>12</v>
      </c>
      <c r="B11749" s="2" t="str">
        <f>HYPERLINK("http://www.12365auto.com/xcdg/20200205/417748.shtml","中华大7座SUV V9谍照 内饰配连屏年内上市")</f>
        <v>中华大7座SUV V9谍照 内饰配连屏年内上市</v>
      </c>
      <c r="C11749" s="2" t="s">
        <v>13</v>
      </c>
      <c r="D11749" s="2" t="s">
        <v>12</v>
      </c>
      <c r="E11749" s="2" t="s">
        <v>224</v>
      </c>
      <c r="F11749" s="2" t="str">
        <f>HYPERLINK("http://www.12365auto.com/xcdg/20200205/417748.shtml","http://www.12365auto.com/xcdg/20200205/417748.shtml")</f>
        <v>http://www.12365auto.com/xcdg/20200205/417748.shtml</v>
      </c>
      <c r="G11749" s="2"/>
      <c r="H11749" s="2" t="s">
        <v>15731</v>
      </c>
      <c r="I11749" s="2" t="s">
        <v>15</v>
      </c>
      <c r="J11749" s="2" t="s">
        <v>12</v>
      </c>
      <c r="K11749" s="2" t="s">
        <v>15732</v>
      </c>
      <c r="L11749" s="2">
        <f t="shared" si="183"/>
        <v>150</v>
      </c>
    </row>
    <row r="11750" spans="1:12" ht="25" customHeight="1">
      <c r="A11750" s="2" t="s">
        <v>12</v>
      </c>
      <c r="B11750" s="2" t="str">
        <f>HYPERLINK("http://m.12365auto.com/xcdg/20200205/417748.shtml","中华大7座SUV V9谍照 内饰配连屏年内上市")</f>
        <v>中华大7座SUV V9谍照 内饰配连屏年内上市</v>
      </c>
      <c r="C11750" s="2" t="s">
        <v>13</v>
      </c>
      <c r="D11750" s="2" t="s">
        <v>12</v>
      </c>
      <c r="E11750" s="2"/>
      <c r="F11750" s="2" t="str">
        <f>HYPERLINK("http://m.12365auto.com/xcdg/20200205/417748.shtml","http://m.12365auto.com/xcdg/20200205/417748.shtml")</f>
        <v>http://m.12365auto.com/xcdg/20200205/417748.shtml</v>
      </c>
      <c r="G11750" s="2"/>
      <c r="H11750" s="2" t="s">
        <v>15733</v>
      </c>
      <c r="I11750" s="2" t="s">
        <v>19</v>
      </c>
      <c r="J11750" s="2" t="s">
        <v>6086</v>
      </c>
      <c r="K11750" s="2" t="s">
        <v>15732</v>
      </c>
      <c r="L11750" s="2">
        <f t="shared" si="183"/>
        <v>150</v>
      </c>
    </row>
    <row r="11751" spans="1:12" ht="25" customHeight="1">
      <c r="A11751" s="2" t="s">
        <v>12</v>
      </c>
      <c r="B11751" s="2" t="str">
        <f>HYPERLINK("http://www.12365auto.com/zlts/20200205/446395.shtml","江淮瑞风S3底盘异响严重希望尽快处理")</f>
        <v>江淮瑞风S3底盘异响严重希望尽快处理</v>
      </c>
      <c r="C11751" s="2" t="s">
        <v>13</v>
      </c>
      <c r="D11751" s="2" t="s">
        <v>12</v>
      </c>
      <c r="E11751" s="2" t="s">
        <v>17</v>
      </c>
      <c r="F11751" s="2" t="str">
        <f>HYPERLINK("http://www.12365auto.com/zlts/20200205/446395.shtml","http://www.12365auto.com/zlts/20200205/446395.shtml")</f>
        <v>http://www.12365auto.com/zlts/20200205/446395.shtml</v>
      </c>
      <c r="G11751" s="2"/>
      <c r="H11751" s="2" t="s">
        <v>15734</v>
      </c>
      <c r="I11751" s="2" t="s">
        <v>19</v>
      </c>
      <c r="J11751" s="2" t="s">
        <v>12</v>
      </c>
      <c r="K11751" s="2" t="s">
        <v>15735</v>
      </c>
      <c r="L11751" s="2">
        <f t="shared" si="183"/>
        <v>150</v>
      </c>
    </row>
    <row r="11752" spans="1:12" ht="25" customHeight="1">
      <c r="A11752" s="2" t="s">
        <v>12</v>
      </c>
      <c r="B11752" s="2" t="str">
        <f>HYPERLINK("http://www.12365auto.com/xcdg/20200205/417747.shtml","东风风光全新SUV曝光 比吉利缤越大4季度上市")</f>
        <v>东风风光全新SUV曝光 比吉利缤越大4季度上市</v>
      </c>
      <c r="C11752" s="2" t="s">
        <v>13</v>
      </c>
      <c r="D11752" s="2" t="s">
        <v>12</v>
      </c>
      <c r="E11752" s="2" t="s">
        <v>216</v>
      </c>
      <c r="F11752" s="2" t="str">
        <f>HYPERLINK("http://www.12365auto.com/xcdg/20200205/417747.shtml","http://www.12365auto.com/xcdg/20200205/417747.shtml")</f>
        <v>http://www.12365auto.com/xcdg/20200205/417747.shtml</v>
      </c>
      <c r="G11752" s="2"/>
      <c r="H11752" s="2" t="s">
        <v>15736</v>
      </c>
      <c r="I11752" s="2" t="s">
        <v>15</v>
      </c>
      <c r="J11752" s="2" t="s">
        <v>12</v>
      </c>
      <c r="K11752" s="2" t="s">
        <v>15737</v>
      </c>
      <c r="L11752" s="2">
        <f t="shared" si="183"/>
        <v>150</v>
      </c>
    </row>
    <row r="11753" spans="1:12" ht="25" customHeight="1">
      <c r="A11753" s="2" t="s">
        <v>12</v>
      </c>
      <c r="B11753" s="2" t="str">
        <f>HYPERLINK("http://m.12365auto.com/xcdg/20200205/417747.shtml","东风风光全新SUV曝光 比吉利缤越大4季度上市")</f>
        <v>东风风光全新SUV曝光 比吉利缤越大4季度上市</v>
      </c>
      <c r="C11753" s="2" t="s">
        <v>13</v>
      </c>
      <c r="D11753" s="2" t="s">
        <v>12</v>
      </c>
      <c r="E11753" s="2"/>
      <c r="F11753" s="2" t="str">
        <f>HYPERLINK("http://m.12365auto.com/xcdg/20200205/417747.shtml","http://m.12365auto.com/xcdg/20200205/417747.shtml")</f>
        <v>http://m.12365auto.com/xcdg/20200205/417747.shtml</v>
      </c>
      <c r="G11753" s="2"/>
      <c r="H11753" s="2" t="s">
        <v>15738</v>
      </c>
      <c r="I11753" s="2" t="s">
        <v>19</v>
      </c>
      <c r="J11753" s="2" t="s">
        <v>2928</v>
      </c>
      <c r="K11753" s="2" t="s">
        <v>15737</v>
      </c>
      <c r="L11753" s="2">
        <f t="shared" si="183"/>
        <v>150</v>
      </c>
    </row>
    <row r="11754" spans="1:12" ht="25" customHeight="1">
      <c r="A11754" s="2" t="s">
        <v>12</v>
      </c>
      <c r="B11754" s="2" t="str">
        <f>HYPERLINK("http://www.12365auto.com/xcdg/20200205/417746.shtml","更具运动感 福特探险者XLT运动版官图")</f>
        <v>更具运动感 福特探险者XLT运动版官图</v>
      </c>
      <c r="C11754" s="2" t="s">
        <v>13</v>
      </c>
      <c r="D11754" s="2" t="s">
        <v>12</v>
      </c>
      <c r="E11754" s="2" t="s">
        <v>245</v>
      </c>
      <c r="F11754" s="2" t="str">
        <f>HYPERLINK("http://www.12365auto.com/xcdg/20200205/417746.shtml","http://www.12365auto.com/xcdg/20200205/417746.shtml")</f>
        <v>http://www.12365auto.com/xcdg/20200205/417746.shtml</v>
      </c>
      <c r="G11754" s="2"/>
      <c r="H11754" s="2" t="s">
        <v>15739</v>
      </c>
      <c r="I11754" s="2" t="s">
        <v>19</v>
      </c>
      <c r="J11754" s="2" t="s">
        <v>12</v>
      </c>
      <c r="K11754" s="2" t="s">
        <v>15740</v>
      </c>
      <c r="L11754" s="2">
        <f t="shared" si="183"/>
        <v>150</v>
      </c>
    </row>
    <row r="11755" spans="1:12" ht="25" customHeight="1">
      <c r="A11755" s="2" t="s">
        <v>12</v>
      </c>
      <c r="B11755" s="2" t="str">
        <f>HYPERLINK("http://m.12365auto.com/xcdg/20200205/417746.shtml","更具运动感 福特探险者XLT运动版官图")</f>
        <v>更具运动感 福特探险者XLT运动版官图</v>
      </c>
      <c r="C11755" s="2" t="s">
        <v>13</v>
      </c>
      <c r="D11755" s="2" t="s">
        <v>12</v>
      </c>
      <c r="E11755" s="2"/>
      <c r="F11755" s="2" t="str">
        <f>HYPERLINK("http://m.12365auto.com/xcdg/20200205/417746.shtml","http://m.12365auto.com/xcdg/20200205/417746.shtml")</f>
        <v>http://m.12365auto.com/xcdg/20200205/417746.shtml</v>
      </c>
      <c r="G11755" s="2"/>
      <c r="H11755" s="2" t="s">
        <v>15741</v>
      </c>
      <c r="I11755" s="2" t="s">
        <v>19</v>
      </c>
      <c r="J11755" s="2" t="s">
        <v>295</v>
      </c>
      <c r="K11755" s="2" t="s">
        <v>15740</v>
      </c>
      <c r="L11755" s="2">
        <f t="shared" si="183"/>
        <v>150</v>
      </c>
    </row>
    <row r="11756" spans="1:12" ht="25" customHeight="1">
      <c r="A11756" s="2" t="s">
        <v>12</v>
      </c>
      <c r="B11756" s="2" t="str">
        <f>HYPERLINK("http://www.12365auto.com/news/20200205/417745.shtml","抗击疫情 广汽丰田推出线上 线下服务")</f>
        <v>抗击疫情 广汽丰田推出线上 线下服务</v>
      </c>
      <c r="C11756" s="2" t="s">
        <v>13</v>
      </c>
      <c r="D11756" s="2" t="s">
        <v>12</v>
      </c>
      <c r="E11756" s="2" t="s">
        <v>282</v>
      </c>
      <c r="F11756" s="2" t="str">
        <f>HYPERLINK("http://www.12365auto.com/news/20200205/417745.shtml","http://www.12365auto.com/news/20200205/417745.shtml")</f>
        <v>http://www.12365auto.com/news/20200205/417745.shtml</v>
      </c>
      <c r="G11756" s="2"/>
      <c r="H11756" s="2" t="s">
        <v>15742</v>
      </c>
      <c r="I11756" s="2" t="s">
        <v>19</v>
      </c>
      <c r="J11756" s="2" t="s">
        <v>12</v>
      </c>
      <c r="K11756" s="2" t="s">
        <v>15743</v>
      </c>
      <c r="L11756" s="2">
        <f t="shared" si="183"/>
        <v>150</v>
      </c>
    </row>
    <row r="11757" spans="1:12" ht="25" customHeight="1">
      <c r="A11757" s="2" t="s">
        <v>12</v>
      </c>
      <c r="B11757" s="2" t="str">
        <f>HYPERLINK("http://m.12365auto.com/news/20200205/417745.shtml","抗击疫情 广汽丰田推出线上 线下服务")</f>
        <v>抗击疫情 广汽丰田推出线上 线下服务</v>
      </c>
      <c r="C11757" s="2" t="s">
        <v>13</v>
      </c>
      <c r="D11757" s="2" t="s">
        <v>12</v>
      </c>
      <c r="E11757" s="2"/>
      <c r="F11757" s="2" t="str">
        <f>HYPERLINK("http://m.12365auto.com/news/20200205/417745.shtml","http://m.12365auto.com/news/20200205/417745.shtml")</f>
        <v>http://m.12365auto.com/news/20200205/417745.shtml</v>
      </c>
      <c r="G11757" s="2"/>
      <c r="H11757" s="2" t="s">
        <v>15744</v>
      </c>
      <c r="I11757" s="2" t="s">
        <v>19</v>
      </c>
      <c r="J11757" s="2" t="s">
        <v>1170</v>
      </c>
      <c r="K11757" s="2" t="s">
        <v>15743</v>
      </c>
      <c r="L11757" s="2">
        <f t="shared" si="183"/>
        <v>150</v>
      </c>
    </row>
    <row r="11758" spans="1:12" ht="25" customHeight="1">
      <c r="A11758" s="2" t="s">
        <v>12</v>
      </c>
      <c r="B11758" s="2" t="str">
        <f>HYPERLINK("http://www.12365auto.com/xcdg/20200205/417744.shtml","2020款日规版铃木英格尼斯官图正式发布")</f>
        <v>2020款日规版铃木英格尼斯官图正式发布</v>
      </c>
      <c r="C11758" s="2" t="s">
        <v>13</v>
      </c>
      <c r="D11758" s="2" t="s">
        <v>12</v>
      </c>
      <c r="E11758" s="2" t="s">
        <v>216</v>
      </c>
      <c r="F11758" s="2" t="str">
        <f>HYPERLINK("http://www.12365auto.com/xcdg/20200205/417744.shtml","http://www.12365auto.com/xcdg/20200205/417744.shtml")</f>
        <v>http://www.12365auto.com/xcdg/20200205/417744.shtml</v>
      </c>
      <c r="G11758" s="2"/>
      <c r="H11758" s="2" t="s">
        <v>15745</v>
      </c>
      <c r="I11758" s="2" t="s">
        <v>15</v>
      </c>
      <c r="J11758" s="2" t="s">
        <v>12</v>
      </c>
      <c r="K11758" s="2" t="s">
        <v>15746</v>
      </c>
      <c r="L11758" s="2">
        <f t="shared" si="183"/>
        <v>150</v>
      </c>
    </row>
    <row r="11759" spans="1:12" ht="25" customHeight="1">
      <c r="A11759" s="2" t="s">
        <v>12</v>
      </c>
      <c r="B11759" s="2" t="str">
        <f>HYPERLINK("http://m.12365auto.com/xcdg/20200205/417744.shtml","2020款日规版铃木英格尼斯官图正式发布")</f>
        <v>2020款日规版铃木英格尼斯官图正式发布</v>
      </c>
      <c r="C11759" s="2" t="s">
        <v>13</v>
      </c>
      <c r="D11759" s="2" t="s">
        <v>12</v>
      </c>
      <c r="E11759" s="2"/>
      <c r="F11759" s="2" t="str">
        <f>HYPERLINK("http://m.12365auto.com/xcdg/20200205/417744.shtml","http://m.12365auto.com/xcdg/20200205/417744.shtml")</f>
        <v>http://m.12365auto.com/xcdg/20200205/417744.shtml</v>
      </c>
      <c r="G11759" s="2"/>
      <c r="H11759" s="2" t="s">
        <v>15747</v>
      </c>
      <c r="I11759" s="2" t="s">
        <v>19</v>
      </c>
      <c r="J11759" s="2" t="s">
        <v>1197</v>
      </c>
      <c r="K11759" s="2" t="s">
        <v>15746</v>
      </c>
      <c r="L11759" s="2">
        <f t="shared" si="183"/>
        <v>150</v>
      </c>
    </row>
    <row r="11760" spans="1:12" ht="25" customHeight="1">
      <c r="A11760" s="2" t="s">
        <v>12</v>
      </c>
      <c r="B11760" s="2" t="str">
        <f>HYPERLINK("http://www.12365auto.com/xcdg/20200205/417743.shtml","OLED曲面中控屏 新凯迪拉克凯雷德发布")</f>
        <v>OLED曲面中控屏 新凯迪拉克凯雷德发布</v>
      </c>
      <c r="C11760" s="2" t="s">
        <v>13</v>
      </c>
      <c r="D11760" s="2" t="s">
        <v>12</v>
      </c>
      <c r="E11760" s="2" t="s">
        <v>216</v>
      </c>
      <c r="F11760" s="2" t="str">
        <f>HYPERLINK("http://www.12365auto.com/xcdg/20200205/417743.shtml","http://www.12365auto.com/xcdg/20200205/417743.shtml")</f>
        <v>http://www.12365auto.com/xcdg/20200205/417743.shtml</v>
      </c>
      <c r="G11760" s="2"/>
      <c r="H11760" s="2" t="s">
        <v>15748</v>
      </c>
      <c r="I11760" s="2" t="s">
        <v>15</v>
      </c>
      <c r="J11760" s="2" t="s">
        <v>12</v>
      </c>
      <c r="K11760" s="2" t="s">
        <v>15749</v>
      </c>
      <c r="L11760" s="2">
        <f t="shared" si="183"/>
        <v>150</v>
      </c>
    </row>
    <row r="11761" spans="1:12" ht="25" customHeight="1">
      <c r="A11761" s="2" t="s">
        <v>12</v>
      </c>
      <c r="B11761" s="2" t="str">
        <f>HYPERLINK("http://m.12365auto.com/xcdg/20200205/417743.shtml","OLED曲面中控屏 新凯迪拉克凯雷德发布")</f>
        <v>OLED曲面中控屏 新凯迪拉克凯雷德发布</v>
      </c>
      <c r="C11761" s="2" t="s">
        <v>13</v>
      </c>
      <c r="D11761" s="2" t="s">
        <v>12</v>
      </c>
      <c r="E11761" s="2"/>
      <c r="F11761" s="2" t="str">
        <f>HYPERLINK("http://m.12365auto.com/xcdg/20200205/417743.shtml","http://m.12365auto.com/xcdg/20200205/417743.shtml")</f>
        <v>http://m.12365auto.com/xcdg/20200205/417743.shtml</v>
      </c>
      <c r="G11761" s="2"/>
      <c r="H11761" s="2" t="s">
        <v>15750</v>
      </c>
      <c r="I11761" s="2" t="s">
        <v>19</v>
      </c>
      <c r="J11761" s="2" t="s">
        <v>338</v>
      </c>
      <c r="K11761" s="2" t="s">
        <v>15749</v>
      </c>
      <c r="L11761" s="2">
        <f t="shared" si="183"/>
        <v>150</v>
      </c>
    </row>
    <row r="11762" spans="1:12" ht="25" customHeight="1">
      <c r="A11762" s="2" t="s">
        <v>12</v>
      </c>
      <c r="B11762" s="2" t="str">
        <f>HYPERLINK("http://www.12365auto.com/xcdg/20200205/417742.shtml","福特新一代Mustang将于2022年正式推出")</f>
        <v>福特新一代Mustang将于2022年正式推出</v>
      </c>
      <c r="C11762" s="2" t="s">
        <v>13</v>
      </c>
      <c r="D11762" s="2" t="s">
        <v>12</v>
      </c>
      <c r="E11762" s="2" t="s">
        <v>216</v>
      </c>
      <c r="F11762" s="2" t="str">
        <f>HYPERLINK("http://www.12365auto.com/xcdg/20200205/417742.shtml","http://www.12365auto.com/xcdg/20200205/417742.shtml")</f>
        <v>http://www.12365auto.com/xcdg/20200205/417742.shtml</v>
      </c>
      <c r="G11762" s="2"/>
      <c r="H11762" s="2" t="s">
        <v>15751</v>
      </c>
      <c r="I11762" s="2" t="s">
        <v>15</v>
      </c>
      <c r="J11762" s="2" t="s">
        <v>12</v>
      </c>
      <c r="K11762" s="2" t="s">
        <v>15752</v>
      </c>
      <c r="L11762" s="2">
        <f t="shared" si="183"/>
        <v>150</v>
      </c>
    </row>
    <row r="11763" spans="1:12" ht="25" customHeight="1">
      <c r="A11763" s="2" t="s">
        <v>12</v>
      </c>
      <c r="B11763" s="2" t="str">
        <f>HYPERLINK("http://m.12365auto.com/xcdg/20200205/417742.shtml","福特新一代Mustang将于2022年正式推出")</f>
        <v>福特新一代Mustang将于2022年正式推出</v>
      </c>
      <c r="C11763" s="2" t="s">
        <v>13</v>
      </c>
      <c r="D11763" s="2" t="s">
        <v>12</v>
      </c>
      <c r="E11763" s="2"/>
      <c r="F11763" s="2" t="str">
        <f>HYPERLINK("http://m.12365auto.com/xcdg/20200205/417742.shtml","http://m.12365auto.com/xcdg/20200205/417742.shtml")</f>
        <v>http://m.12365auto.com/xcdg/20200205/417742.shtml</v>
      </c>
      <c r="G11763" s="2"/>
      <c r="H11763" s="2" t="s">
        <v>15753</v>
      </c>
      <c r="I11763" s="2" t="s">
        <v>19</v>
      </c>
      <c r="J11763" s="2" t="s">
        <v>1637</v>
      </c>
      <c r="K11763" s="2" t="s">
        <v>15752</v>
      </c>
      <c r="L11763" s="2">
        <f t="shared" si="183"/>
        <v>150</v>
      </c>
    </row>
    <row r="11764" spans="1:12" ht="25" customHeight="1">
      <c r="A11764" s="2" t="s">
        <v>12</v>
      </c>
      <c r="B11764" s="2" t="str">
        <f>HYPERLINK("http://www.12365auto.com/xcdg/20200205/417741.shtml","或日内瓦车展亮相 全新现代i20谍照曝光")</f>
        <v>或日内瓦车展亮相 全新现代i20谍照曝光</v>
      </c>
      <c r="C11764" s="2" t="s">
        <v>13</v>
      </c>
      <c r="D11764" s="2" t="s">
        <v>12</v>
      </c>
      <c r="E11764" s="2" t="s">
        <v>224</v>
      </c>
      <c r="F11764" s="2" t="str">
        <f>HYPERLINK("http://www.12365auto.com/xcdg/20200205/417741.shtml","http://www.12365auto.com/xcdg/20200205/417741.shtml")</f>
        <v>http://www.12365auto.com/xcdg/20200205/417741.shtml</v>
      </c>
      <c r="G11764" s="2"/>
      <c r="H11764" s="2" t="s">
        <v>15754</v>
      </c>
      <c r="I11764" s="2" t="s">
        <v>15</v>
      </c>
      <c r="J11764" s="2" t="s">
        <v>12</v>
      </c>
      <c r="K11764" s="2" t="s">
        <v>15755</v>
      </c>
      <c r="L11764" s="2">
        <f t="shared" si="183"/>
        <v>150</v>
      </c>
    </row>
    <row r="11765" spans="1:12" ht="25" customHeight="1">
      <c r="A11765" s="2" t="s">
        <v>12</v>
      </c>
      <c r="B11765" s="2" t="str">
        <f>HYPERLINK("http://m.12365auto.com/xcdg/20200205/417741.shtml","或日内瓦车展亮相 全新现代i20谍照曝光")</f>
        <v>或日内瓦车展亮相 全新现代i20谍照曝光</v>
      </c>
      <c r="C11765" s="2" t="s">
        <v>13</v>
      </c>
      <c r="D11765" s="2" t="s">
        <v>12</v>
      </c>
      <c r="E11765" s="2"/>
      <c r="F11765" s="2" t="str">
        <f>HYPERLINK("http://m.12365auto.com/xcdg/20200205/417741.shtml","http://m.12365auto.com/xcdg/20200205/417741.shtml")</f>
        <v>http://m.12365auto.com/xcdg/20200205/417741.shtml</v>
      </c>
      <c r="G11765" s="2"/>
      <c r="H11765" s="2" t="s">
        <v>15756</v>
      </c>
      <c r="I11765" s="2" t="s">
        <v>19</v>
      </c>
      <c r="J11765" s="2" t="s">
        <v>836</v>
      </c>
      <c r="K11765" s="2" t="s">
        <v>15755</v>
      </c>
      <c r="L11765" s="2">
        <f t="shared" si="183"/>
        <v>150</v>
      </c>
    </row>
    <row r="11766" spans="1:12" ht="25" customHeight="1">
      <c r="A11766" s="2" t="s">
        <v>12</v>
      </c>
      <c r="B11766" s="2" t="str">
        <f>HYPERLINK("http://www.12365auto.com/zlts/20200205/446390.shtml","北京现代领动停车后刹车踏板踩不动")</f>
        <v>北京现代领动停车后刹车踏板踩不动</v>
      </c>
      <c r="C11766" s="2" t="s">
        <v>13</v>
      </c>
      <c r="D11766" s="2" t="s">
        <v>12</v>
      </c>
      <c r="E11766" s="2"/>
      <c r="F11766" s="2" t="str">
        <f>HYPERLINK("http://www.12365auto.com/zlts/20200205/446390.shtml","http://www.12365auto.com/zlts/20200205/446390.shtml")</f>
        <v>http://www.12365auto.com/zlts/20200205/446390.shtml</v>
      </c>
      <c r="G11766" s="2"/>
      <c r="H11766" s="2" t="s">
        <v>15758</v>
      </c>
      <c r="I11766" s="2" t="s">
        <v>15</v>
      </c>
      <c r="J11766" s="2" t="s">
        <v>12</v>
      </c>
      <c r="K11766" s="2" t="s">
        <v>15757</v>
      </c>
      <c r="L11766" s="2">
        <f t="shared" si="183"/>
        <v>83</v>
      </c>
    </row>
    <row r="11767" spans="1:12" ht="25" customHeight="1">
      <c r="A11767" s="2" t="s">
        <v>12</v>
      </c>
      <c r="B11767" s="2" t="str">
        <f>HYPERLINK("http://www.12365auto.com/xcdg/20200205/417740.shtml","将于日内瓦车展亮相 新奥迪S3官方谍照")</f>
        <v>将于日内瓦车展亮相 新奥迪S3官方谍照</v>
      </c>
      <c r="C11767" s="2" t="s">
        <v>13</v>
      </c>
      <c r="D11767" s="2" t="s">
        <v>12</v>
      </c>
      <c r="E11767" s="2" t="s">
        <v>224</v>
      </c>
      <c r="F11767" s="2" t="str">
        <f>HYPERLINK("http://www.12365auto.com/xcdg/20200205/417740.shtml","http://www.12365auto.com/xcdg/20200205/417740.shtml")</f>
        <v>http://www.12365auto.com/xcdg/20200205/417740.shtml</v>
      </c>
      <c r="G11767" s="2"/>
      <c r="H11767" s="2" t="s">
        <v>15759</v>
      </c>
      <c r="I11767" s="2" t="s">
        <v>15</v>
      </c>
      <c r="J11767" s="2" t="s">
        <v>12</v>
      </c>
      <c r="K11767" s="2" t="s">
        <v>15760</v>
      </c>
      <c r="L11767" s="2">
        <f t="shared" si="183"/>
        <v>150</v>
      </c>
    </row>
    <row r="11768" spans="1:12" ht="25" customHeight="1">
      <c r="A11768" s="2" t="s">
        <v>12</v>
      </c>
      <c r="B11768" s="2" t="str">
        <f>HYPERLINK("http://m.12365auto.com/xcdg/20200205/417740.shtml","将于日内瓦车展亮相 新奥迪S3官方谍照")</f>
        <v>将于日内瓦车展亮相 新奥迪S3官方谍照</v>
      </c>
      <c r="C11768" s="2" t="s">
        <v>13</v>
      </c>
      <c r="D11768" s="2" t="s">
        <v>12</v>
      </c>
      <c r="E11768" s="2"/>
      <c r="F11768" s="2" t="str">
        <f>HYPERLINK("http://m.12365auto.com/xcdg/20200205/417740.shtml","http://m.12365auto.com/xcdg/20200205/417740.shtml")</f>
        <v>http://m.12365auto.com/xcdg/20200205/417740.shtml</v>
      </c>
      <c r="G11768" s="2"/>
      <c r="H11768" s="2" t="s">
        <v>15761</v>
      </c>
      <c r="I11768" s="2" t="s">
        <v>19</v>
      </c>
      <c r="J11768" s="2" t="s">
        <v>317</v>
      </c>
      <c r="K11768" s="2" t="s">
        <v>15760</v>
      </c>
      <c r="L11768" s="2">
        <f t="shared" si="183"/>
        <v>150</v>
      </c>
    </row>
    <row r="11769" spans="1:12" ht="25" customHeight="1">
      <c r="A11769" s="2" t="s">
        <v>12</v>
      </c>
      <c r="B11769" s="2" t="str">
        <f>HYPERLINK("http://www.12365auto.com/news/20200205/417739.shtml","国家统计局：汽车制造业利润下滑15.9%")</f>
        <v>国家统计局：汽车制造业利润下滑15.9%</v>
      </c>
      <c r="C11769" s="2" t="s">
        <v>13</v>
      </c>
      <c r="D11769" s="2" t="s">
        <v>12</v>
      </c>
      <c r="E11769" s="2" t="s">
        <v>276</v>
      </c>
      <c r="F11769" s="2" t="str">
        <f>HYPERLINK("http://www.12365auto.com/news/20200205/417739.shtml","http://www.12365auto.com/news/20200205/417739.shtml")</f>
        <v>http://www.12365auto.com/news/20200205/417739.shtml</v>
      </c>
      <c r="G11769" s="2"/>
      <c r="H11769" s="2" t="s">
        <v>15762</v>
      </c>
      <c r="I11769" s="2" t="s">
        <v>15</v>
      </c>
      <c r="J11769" s="2" t="s">
        <v>12</v>
      </c>
      <c r="K11769" s="2" t="s">
        <v>15763</v>
      </c>
      <c r="L11769" s="2">
        <f t="shared" si="183"/>
        <v>150</v>
      </c>
    </row>
    <row r="11770" spans="1:12" ht="25" customHeight="1">
      <c r="A11770" s="2" t="s">
        <v>12</v>
      </c>
      <c r="B11770" s="2" t="str">
        <f>HYPERLINK("http://m.12365auto.com/news/20200205/417739.shtml","国家统计局：汽车制造业利润下滑15.9%")</f>
        <v>国家统计局：汽车制造业利润下滑15.9%</v>
      </c>
      <c r="C11770" s="2" t="s">
        <v>13</v>
      </c>
      <c r="D11770" s="2" t="s">
        <v>12</v>
      </c>
      <c r="E11770" s="2"/>
      <c r="F11770" s="2" t="str">
        <f>HYPERLINK("http://m.12365auto.com/news/20200205/417739.shtml","http://m.12365auto.com/news/20200205/417739.shtml")</f>
        <v>http://m.12365auto.com/news/20200205/417739.shtml</v>
      </c>
      <c r="G11770" s="2"/>
      <c r="H11770" s="2" t="s">
        <v>15764</v>
      </c>
      <c r="I11770" s="2" t="s">
        <v>19</v>
      </c>
      <c r="J11770" s="2" t="s">
        <v>1170</v>
      </c>
      <c r="K11770" s="2" t="s">
        <v>15763</v>
      </c>
      <c r="L11770" s="2">
        <f t="shared" si="183"/>
        <v>150</v>
      </c>
    </row>
    <row r="11771" spans="1:12" ht="25" customHeight="1">
      <c r="A11771" s="2" t="s">
        <v>12</v>
      </c>
      <c r="B11771" s="2" t="str">
        <f>HYPERLINK("http://m.12365auto.com/xcdg/20200205/417738.shtml","或迎插电混动版 曝新款现代胜达谍照")</f>
        <v>或迎插电混动版 曝新款现代胜达谍照</v>
      </c>
      <c r="C11771" s="2" t="s">
        <v>13</v>
      </c>
      <c r="D11771" s="2" t="s">
        <v>12</v>
      </c>
      <c r="E11771" s="2"/>
      <c r="F11771" s="2" t="str">
        <f>HYPERLINK("http://m.12365auto.com/xcdg/20200205/417738.shtml","http://m.12365auto.com/xcdg/20200205/417738.shtml")</f>
        <v>http://m.12365auto.com/xcdg/20200205/417738.shtml</v>
      </c>
      <c r="G11771" s="2"/>
      <c r="H11771" s="2" t="s">
        <v>15765</v>
      </c>
      <c r="I11771" s="2" t="s">
        <v>19</v>
      </c>
      <c r="J11771" s="2" t="s">
        <v>855</v>
      </c>
      <c r="K11771" s="2" t="s">
        <v>15766</v>
      </c>
      <c r="L11771" s="2">
        <f t="shared" si="183"/>
        <v>150</v>
      </c>
    </row>
    <row r="11772" spans="1:12" ht="25" customHeight="1">
      <c r="A11772" s="2" t="s">
        <v>12</v>
      </c>
      <c r="B11772" s="2" t="str">
        <f>HYPERLINK("http://www.12365auto.com/xcdg/20200205/417738.shtml","或迎插电混动版 曝新款现代胜达谍照")</f>
        <v>或迎插电混动版 曝新款现代胜达谍照</v>
      </c>
      <c r="C11772" s="2" t="s">
        <v>13</v>
      </c>
      <c r="D11772" s="2" t="s">
        <v>12</v>
      </c>
      <c r="E11772" s="2" t="s">
        <v>224</v>
      </c>
      <c r="F11772" s="2" t="str">
        <f>HYPERLINK("http://www.12365auto.com/xcdg/20200205/417738.shtml","http://www.12365auto.com/xcdg/20200205/417738.shtml")</f>
        <v>http://www.12365auto.com/xcdg/20200205/417738.shtml</v>
      </c>
      <c r="G11772" s="2"/>
      <c r="H11772" s="2" t="s">
        <v>15767</v>
      </c>
      <c r="I11772" s="2" t="s">
        <v>15</v>
      </c>
      <c r="J11772" s="2" t="s">
        <v>12</v>
      </c>
      <c r="K11772" s="2" t="s">
        <v>15766</v>
      </c>
      <c r="L11772" s="2">
        <f t="shared" si="183"/>
        <v>150</v>
      </c>
    </row>
    <row r="11773" spans="1:12" ht="25" customHeight="1">
      <c r="A11773" s="2" t="s">
        <v>12</v>
      </c>
      <c r="B11773" s="2" t="str">
        <f>HYPERLINK("http://www.12365auto.com/zlts/20200205/446394.shtml","广汽本田飞度发动机冷启动抖动 有打齿声")</f>
        <v>广汽本田飞度发动机冷启动抖动 有打齿声</v>
      </c>
      <c r="C11773" s="2" t="s">
        <v>13</v>
      </c>
      <c r="D11773" s="2" t="s">
        <v>12</v>
      </c>
      <c r="E11773" s="2" t="s">
        <v>17</v>
      </c>
      <c r="F11773" s="2" t="str">
        <f>HYPERLINK("http://www.12365auto.com/zlts/20200205/446394.shtml","http://www.12365auto.com/zlts/20200205/446394.shtml")</f>
        <v>http://www.12365auto.com/zlts/20200205/446394.shtml</v>
      </c>
      <c r="G11773" s="2"/>
      <c r="H11773" s="2" t="s">
        <v>15768</v>
      </c>
      <c r="I11773" s="2" t="s">
        <v>15</v>
      </c>
      <c r="J11773" s="2" t="s">
        <v>12</v>
      </c>
      <c r="K11773" s="2" t="s">
        <v>15769</v>
      </c>
      <c r="L11773" s="2">
        <f t="shared" si="183"/>
        <v>150</v>
      </c>
    </row>
    <row r="11774" spans="1:12" ht="25" customHeight="1">
      <c r="A11774" s="2" t="s">
        <v>12</v>
      </c>
      <c r="B11774" s="2" t="str">
        <f>HYPERLINK("http://m.12365auto.com/news/20200205/417737.shtml","自动驾驶先行 雷诺推出电动/自动化战略")</f>
        <v>自动驾驶先行 雷诺推出电动/自动化战略</v>
      </c>
      <c r="C11774" s="2" t="s">
        <v>13</v>
      </c>
      <c r="D11774" s="2" t="s">
        <v>12</v>
      </c>
      <c r="E11774" s="2"/>
      <c r="F11774" s="2" t="str">
        <f>HYPERLINK("http://m.12365auto.com/news/20200205/417737.shtml","http://m.12365auto.com/news/20200205/417737.shtml")</f>
        <v>http://m.12365auto.com/news/20200205/417737.shtml</v>
      </c>
      <c r="G11774" s="2"/>
      <c r="H11774" s="2" t="s">
        <v>15770</v>
      </c>
      <c r="I11774" s="2" t="s">
        <v>19</v>
      </c>
      <c r="J11774" s="2" t="s">
        <v>1543</v>
      </c>
      <c r="K11774" s="2" t="s">
        <v>15769</v>
      </c>
      <c r="L11774" s="2">
        <f t="shared" si="183"/>
        <v>150</v>
      </c>
    </row>
    <row r="11775" spans="1:12" ht="25" customHeight="1">
      <c r="A11775" s="2" t="s">
        <v>12</v>
      </c>
      <c r="B11775" s="2" t="str">
        <f>HYPERLINK("http://www.12365auto.com/news/20200205/417737.shtml","自动驾驶先行 雷诺推出电动/自动化战略")</f>
        <v>自动驾驶先行 雷诺推出电动/自动化战略</v>
      </c>
      <c r="C11775" s="2" t="s">
        <v>13</v>
      </c>
      <c r="D11775" s="2" t="s">
        <v>12</v>
      </c>
      <c r="E11775" s="2" t="s">
        <v>276</v>
      </c>
      <c r="F11775" s="2" t="str">
        <f>HYPERLINK("http://www.12365auto.com/news/20200205/417737.shtml","http://www.12365auto.com/news/20200205/417737.shtml")</f>
        <v>http://www.12365auto.com/news/20200205/417737.shtml</v>
      </c>
      <c r="G11775" s="2"/>
      <c r="H11775" s="2" t="s">
        <v>15771</v>
      </c>
      <c r="I11775" s="2" t="s">
        <v>15</v>
      </c>
      <c r="J11775" s="2" t="s">
        <v>12</v>
      </c>
      <c r="K11775" s="2" t="s">
        <v>15769</v>
      </c>
      <c r="L11775" s="2">
        <f t="shared" si="183"/>
        <v>150</v>
      </c>
    </row>
    <row r="11776" spans="1:12" ht="25" customHeight="1">
      <c r="A11776" s="2" t="s">
        <v>12</v>
      </c>
      <c r="B11776" s="2" t="str">
        <f>HYPERLINK("http://www.12365auto.com/news/20200205/417736.shtml","零部件断供 现代韩国工厂因疫情将停工")</f>
        <v>零部件断供 现代韩国工厂因疫情将停工</v>
      </c>
      <c r="C11776" s="2" t="s">
        <v>13</v>
      </c>
      <c r="D11776" s="2" t="s">
        <v>12</v>
      </c>
      <c r="E11776" s="2" t="s">
        <v>276</v>
      </c>
      <c r="F11776" s="2" t="str">
        <f>HYPERLINK("http://www.12365auto.com/news/20200205/417736.shtml","http://www.12365auto.com/news/20200205/417736.shtml")</f>
        <v>http://www.12365auto.com/news/20200205/417736.shtml</v>
      </c>
      <c r="G11776" s="2"/>
      <c r="H11776" s="2" t="s">
        <v>15772</v>
      </c>
      <c r="I11776" s="2" t="s">
        <v>15</v>
      </c>
      <c r="J11776" s="2" t="s">
        <v>12</v>
      </c>
      <c r="K11776" s="2" t="s">
        <v>15773</v>
      </c>
      <c r="L11776" s="2">
        <f t="shared" si="183"/>
        <v>150</v>
      </c>
    </row>
    <row r="11777" spans="1:12" ht="25" customHeight="1">
      <c r="A11777" s="2" t="s">
        <v>12</v>
      </c>
      <c r="B11777" s="2" t="str">
        <f>HYPERLINK("http://m.12365auto.com/news/20200205/417736.shtml","零部件断供 现代韩国工厂因疫情将停工")</f>
        <v>零部件断供 现代韩国工厂因疫情将停工</v>
      </c>
      <c r="C11777" s="2" t="s">
        <v>13</v>
      </c>
      <c r="D11777" s="2" t="s">
        <v>12</v>
      </c>
      <c r="E11777" s="2"/>
      <c r="F11777" s="2" t="str">
        <f>HYPERLINK("http://m.12365auto.com/news/20200205/417736.shtml","http://m.12365auto.com/news/20200205/417736.shtml")</f>
        <v>http://m.12365auto.com/news/20200205/417736.shtml</v>
      </c>
      <c r="G11777" s="2"/>
      <c r="H11777" s="2" t="s">
        <v>15774</v>
      </c>
      <c r="I11777" s="2" t="s">
        <v>19</v>
      </c>
      <c r="J11777" s="2" t="s">
        <v>1543</v>
      </c>
      <c r="K11777" s="2" t="s">
        <v>15773</v>
      </c>
      <c r="L11777" s="2">
        <f t="shared" si="183"/>
        <v>150</v>
      </c>
    </row>
    <row r="11778" spans="1:12" ht="25" customHeight="1">
      <c r="A11778" s="2" t="s">
        <v>12</v>
      </c>
      <c r="B11778" s="2" t="str">
        <f>HYPERLINK("http://m.12365auto.com/bbs/postcontent.aspx?tID=193375","上汽大众朗逸颠簸路减震器异响")</f>
        <v>上汽大众朗逸颠簸路减震器异响</v>
      </c>
      <c r="C11778" s="2" t="s">
        <v>13</v>
      </c>
      <c r="D11778" s="2" t="s">
        <v>23</v>
      </c>
      <c r="E11778" s="2"/>
      <c r="F11778" s="2" t="str">
        <f>HYPERLINK("http://m.12365auto.com/bbs/postcontent.aspx?tID=193375","http://m.12365auto.com/bbs/postcontent.aspx?tID=193375")</f>
        <v>http://m.12365auto.com/bbs/postcontent.aspx?tID=193375</v>
      </c>
      <c r="G11778" s="2"/>
      <c r="H11778" s="2" t="s">
        <v>15775</v>
      </c>
      <c r="I11778" s="2" t="s">
        <v>15</v>
      </c>
      <c r="J11778" s="2" t="s">
        <v>14413</v>
      </c>
      <c r="K11778" s="2" t="s">
        <v>15776</v>
      </c>
      <c r="L11778" s="2">
        <f t="shared" si="183"/>
        <v>146</v>
      </c>
    </row>
    <row r="11779" spans="1:12" ht="25" customHeight="1">
      <c r="A11779" s="2" t="s">
        <v>12</v>
      </c>
      <c r="B11779" s="2" t="str">
        <f>HYPERLINK("http://bbs.12365auto.com/postcontent.aspx?tID=193375","上汽大众朗逸颠簸路减震器异响")</f>
        <v>上汽大众朗逸颠簸路减震器异响</v>
      </c>
      <c r="C11779" s="2" t="s">
        <v>13</v>
      </c>
      <c r="D11779" s="2" t="s">
        <v>12</v>
      </c>
      <c r="E11779" s="2" t="s">
        <v>67</v>
      </c>
      <c r="F11779" s="2" t="str">
        <f>HYPERLINK("http://bbs.12365auto.com/postcontent.aspx?tID=193375","http://bbs.12365auto.com/postcontent.aspx?tID=193375")</f>
        <v>http://bbs.12365auto.com/postcontent.aspx?tID=193375</v>
      </c>
      <c r="G11779" s="2"/>
      <c r="H11779" s="2" t="s">
        <v>15777</v>
      </c>
      <c r="I11779" s="2" t="s">
        <v>15</v>
      </c>
      <c r="J11779" s="2" t="s">
        <v>14413</v>
      </c>
      <c r="K11779" s="2" t="s">
        <v>15776</v>
      </c>
      <c r="L11779" s="2">
        <f t="shared" ref="L11779:L11842" si="184">LEN(H11779)</f>
        <v>150</v>
      </c>
    </row>
    <row r="11780" spans="1:12" ht="25" customHeight="1">
      <c r="A11780" s="2" t="s">
        <v>12</v>
      </c>
      <c r="B11780" s="2" t="str">
        <f>HYPERLINK("http://bbs.12365auto.com/postcontent.aspx?tId=193375","上汽大众朗逸颠簸路减震器异响")</f>
        <v>上汽大众朗逸颠簸路减震器异响</v>
      </c>
      <c r="C11780" s="2" t="s">
        <v>13</v>
      </c>
      <c r="D11780" s="2" t="s">
        <v>12</v>
      </c>
      <c r="E11780" s="2" t="s">
        <v>66</v>
      </c>
      <c r="F11780" s="2" t="str">
        <f>HYPERLINK("http://bbs.12365auto.com/postcontent.aspx?tId=193375","http://bbs.12365auto.com/postcontent.aspx?tId=193375")</f>
        <v>http://bbs.12365auto.com/postcontent.aspx?tId=193375</v>
      </c>
      <c r="G11780" s="2"/>
      <c r="H11780" s="2" t="s">
        <v>15775</v>
      </c>
      <c r="I11780" s="2" t="s">
        <v>15</v>
      </c>
      <c r="J11780" s="2" t="s">
        <v>14413</v>
      </c>
      <c r="K11780" s="2" t="s">
        <v>15776</v>
      </c>
      <c r="L11780" s="2">
        <f t="shared" si="184"/>
        <v>146</v>
      </c>
    </row>
    <row r="11781" spans="1:12" ht="25" customHeight="1">
      <c r="A11781" s="2" t="s">
        <v>12</v>
      </c>
      <c r="B11781" s="2" t="str">
        <f>HYPERLINK("http://m.12365auto.com/news/20200205/417735.shtml","进军共享出行 特斯拉将上线拼车应用")</f>
        <v>进军共享出行 特斯拉将上线拼车应用</v>
      </c>
      <c r="C11781" s="2" t="s">
        <v>13</v>
      </c>
      <c r="D11781" s="2" t="s">
        <v>12</v>
      </c>
      <c r="E11781" s="2"/>
      <c r="F11781" s="2" t="str">
        <f>HYPERLINK("http://m.12365auto.com/news/20200205/417735.shtml","http://m.12365auto.com/news/20200205/417735.shtml")</f>
        <v>http://m.12365auto.com/news/20200205/417735.shtml</v>
      </c>
      <c r="G11781" s="2"/>
      <c r="H11781" s="2" t="s">
        <v>15778</v>
      </c>
      <c r="I11781" s="2" t="s">
        <v>19</v>
      </c>
      <c r="J11781" s="2" t="s">
        <v>1968</v>
      </c>
      <c r="K11781" s="2" t="s">
        <v>15779</v>
      </c>
      <c r="L11781" s="2">
        <f t="shared" si="184"/>
        <v>150</v>
      </c>
    </row>
    <row r="11782" spans="1:12" ht="25" customHeight="1">
      <c r="A11782" s="2" t="s">
        <v>12</v>
      </c>
      <c r="B11782" s="2" t="str">
        <f>HYPERLINK("http://www.12365auto.com/zlts/20200205/446391.shtml","东风标致207通过颠跛路段右后车轮抖动")</f>
        <v>东风标致207通过颠跛路段右后车轮抖动</v>
      </c>
      <c r="C11782" s="2" t="s">
        <v>13</v>
      </c>
      <c r="D11782" s="2" t="s">
        <v>12</v>
      </c>
      <c r="E11782" s="2" t="s">
        <v>17</v>
      </c>
      <c r="F11782" s="2" t="str">
        <f>HYPERLINK("http://www.12365auto.com/zlts/20200205/446391.shtml","http://www.12365auto.com/zlts/20200205/446391.shtml")</f>
        <v>http://www.12365auto.com/zlts/20200205/446391.shtml</v>
      </c>
      <c r="G11782" s="2"/>
      <c r="H11782" s="2" t="s">
        <v>15780</v>
      </c>
      <c r="I11782" s="2" t="s">
        <v>15</v>
      </c>
      <c r="J11782" s="2" t="s">
        <v>12</v>
      </c>
      <c r="K11782" s="2" t="s">
        <v>15779</v>
      </c>
      <c r="L11782" s="2">
        <f t="shared" si="184"/>
        <v>150</v>
      </c>
    </row>
    <row r="11783" spans="1:12" ht="25" customHeight="1">
      <c r="A11783" s="2" t="s">
        <v>12</v>
      </c>
      <c r="B11783" s="2" t="str">
        <f>HYPERLINK("http://bbs.12365auto.com/postcontent.aspx?tID=193374","起亚KX4发动机怠速抖动")</f>
        <v>起亚KX4发动机怠速抖动</v>
      </c>
      <c r="C11783" s="2" t="s">
        <v>13</v>
      </c>
      <c r="D11783" s="2" t="s">
        <v>12</v>
      </c>
      <c r="E11783" s="2" t="s">
        <v>67</v>
      </c>
      <c r="F11783" s="2" t="str">
        <f>HYPERLINK("http://bbs.12365auto.com/postcontent.aspx?tID=193374","http://bbs.12365auto.com/postcontent.aspx?tID=193374")</f>
        <v>http://bbs.12365auto.com/postcontent.aspx?tID=193374</v>
      </c>
      <c r="G11783" s="2"/>
      <c r="H11783" s="2" t="s">
        <v>15781</v>
      </c>
      <c r="I11783" s="2" t="s">
        <v>15</v>
      </c>
      <c r="J11783" s="2" t="s">
        <v>14433</v>
      </c>
      <c r="K11783" s="2" t="s">
        <v>15779</v>
      </c>
      <c r="L11783" s="2">
        <f t="shared" si="184"/>
        <v>150</v>
      </c>
    </row>
    <row r="11784" spans="1:12" ht="25" customHeight="1">
      <c r="A11784" s="2" t="s">
        <v>12</v>
      </c>
      <c r="B11784" s="2" t="str">
        <f>HYPERLINK("http://m.12365auto.com/bbs/postcontent.aspx?tID=193374","起亚KX4发动机怠速抖动")</f>
        <v>起亚KX4发动机怠速抖动</v>
      </c>
      <c r="C11784" s="2" t="s">
        <v>13</v>
      </c>
      <c r="D11784" s="2" t="s">
        <v>23</v>
      </c>
      <c r="E11784" s="2"/>
      <c r="F11784" s="2" t="str">
        <f>HYPERLINK("http://m.12365auto.com/bbs/postcontent.aspx?tID=193374","http://m.12365auto.com/bbs/postcontent.aspx?tID=193374")</f>
        <v>http://m.12365auto.com/bbs/postcontent.aspx?tID=193374</v>
      </c>
      <c r="G11784" s="2"/>
      <c r="H11784" s="2" t="s">
        <v>15782</v>
      </c>
      <c r="I11784" s="2" t="s">
        <v>15</v>
      </c>
      <c r="J11784" s="2" t="s">
        <v>14433</v>
      </c>
      <c r="K11784" s="2" t="s">
        <v>15779</v>
      </c>
      <c r="L11784" s="2">
        <f t="shared" si="184"/>
        <v>150</v>
      </c>
    </row>
    <row r="11785" spans="1:12" ht="25" customHeight="1">
      <c r="A11785" s="2" t="s">
        <v>12</v>
      </c>
      <c r="B11785" s="2" t="str">
        <f>HYPERLINK("http://bbs.12365auto.com/postcontent.aspx?tId=193374","起亚KX4发动机怠速抖动")</f>
        <v>起亚KX4发动机怠速抖动</v>
      </c>
      <c r="C11785" s="2" t="s">
        <v>13</v>
      </c>
      <c r="D11785" s="2" t="s">
        <v>12</v>
      </c>
      <c r="E11785" s="2" t="s">
        <v>66</v>
      </c>
      <c r="F11785" s="2" t="str">
        <f>HYPERLINK("http://bbs.12365auto.com/postcontent.aspx?tId=193374","http://bbs.12365auto.com/postcontent.aspx?tId=193374")</f>
        <v>http://bbs.12365auto.com/postcontent.aspx?tId=193374</v>
      </c>
      <c r="G11785" s="2"/>
      <c r="H11785" s="2" t="s">
        <v>15782</v>
      </c>
      <c r="I11785" s="2" t="s">
        <v>15</v>
      </c>
      <c r="J11785" s="2" t="s">
        <v>14433</v>
      </c>
      <c r="K11785" s="2" t="s">
        <v>15779</v>
      </c>
      <c r="L11785" s="2">
        <f t="shared" si="184"/>
        <v>150</v>
      </c>
    </row>
    <row r="11786" spans="1:12" ht="25" customHeight="1">
      <c r="A11786" s="2" t="s">
        <v>12</v>
      </c>
      <c r="B11786" s="2" t="str">
        <f>HYPERLINK("http://www.12365auto.com/news/20200205/417735.shtml","进军共享出行 特斯拉将上线拼车应用")</f>
        <v>进军共享出行 特斯拉将上线拼车应用</v>
      </c>
      <c r="C11786" s="2" t="s">
        <v>13</v>
      </c>
      <c r="D11786" s="2" t="s">
        <v>12</v>
      </c>
      <c r="E11786" s="2" t="s">
        <v>276</v>
      </c>
      <c r="F11786" s="2" t="str">
        <f>HYPERLINK("http://www.12365auto.com/news/20200205/417735.shtml","http://www.12365auto.com/news/20200205/417735.shtml")</f>
        <v>http://www.12365auto.com/news/20200205/417735.shtml</v>
      </c>
      <c r="G11786" s="2"/>
      <c r="H11786" s="2" t="s">
        <v>15783</v>
      </c>
      <c r="I11786" s="2" t="s">
        <v>15</v>
      </c>
      <c r="J11786" s="2" t="s">
        <v>12</v>
      </c>
      <c r="K11786" s="2" t="s">
        <v>15779</v>
      </c>
      <c r="L11786" s="2">
        <f t="shared" si="184"/>
        <v>150</v>
      </c>
    </row>
    <row r="11787" spans="1:12" ht="25" customHeight="1">
      <c r="A11787" s="2" t="s">
        <v>12</v>
      </c>
      <c r="B11787" s="2" t="str">
        <f>HYPERLINK("http://bbs.12365auto.com/postcontent.aspx?tId=193373","上汽大众途观转向沉转向异响")</f>
        <v>上汽大众途观转向沉转向异响</v>
      </c>
      <c r="C11787" s="2" t="s">
        <v>13</v>
      </c>
      <c r="D11787" s="2" t="s">
        <v>12</v>
      </c>
      <c r="E11787" s="2" t="s">
        <v>66</v>
      </c>
      <c r="F11787" s="2" t="str">
        <f>HYPERLINK("http://bbs.12365auto.com/postcontent.aspx?tId=193373","http://bbs.12365auto.com/postcontent.aspx?tId=193373")</f>
        <v>http://bbs.12365auto.com/postcontent.aspx?tId=193373</v>
      </c>
      <c r="G11787" s="2"/>
      <c r="H11787" s="2" t="s">
        <v>15784</v>
      </c>
      <c r="I11787" s="2" t="s">
        <v>15</v>
      </c>
      <c r="J11787" s="2" t="s">
        <v>14429</v>
      </c>
      <c r="K11787" s="2" t="s">
        <v>15785</v>
      </c>
      <c r="L11787" s="2">
        <f t="shared" si="184"/>
        <v>150</v>
      </c>
    </row>
    <row r="11788" spans="1:12" ht="25" customHeight="1">
      <c r="A11788" s="2" t="s">
        <v>12</v>
      </c>
      <c r="B11788" s="2" t="str">
        <f>HYPERLINK("http://m.12365auto.com/bbs/postcontent.aspx?tID=193373","上汽大众途观转向沉转向异响")</f>
        <v>上汽大众途观转向沉转向异响</v>
      </c>
      <c r="C11788" s="2" t="s">
        <v>13</v>
      </c>
      <c r="D11788" s="2" t="s">
        <v>23</v>
      </c>
      <c r="E11788" s="2"/>
      <c r="F11788" s="2" t="str">
        <f>HYPERLINK("http://m.12365auto.com/bbs/postcontent.aspx?tID=193373","http://m.12365auto.com/bbs/postcontent.aspx?tID=193373")</f>
        <v>http://m.12365auto.com/bbs/postcontent.aspx?tID=193373</v>
      </c>
      <c r="G11788" s="2"/>
      <c r="H11788" s="2" t="s">
        <v>15784</v>
      </c>
      <c r="I11788" s="2" t="s">
        <v>15</v>
      </c>
      <c r="J11788" s="2" t="s">
        <v>14429</v>
      </c>
      <c r="K11788" s="2" t="s">
        <v>15785</v>
      </c>
      <c r="L11788" s="2">
        <f t="shared" si="184"/>
        <v>150</v>
      </c>
    </row>
    <row r="11789" spans="1:12" ht="25" customHeight="1">
      <c r="A11789" s="2" t="s">
        <v>12</v>
      </c>
      <c r="B11789" s="2" t="str">
        <f>HYPERLINK("http://bbs.12365auto.com/postcontent.aspx?tID=193373","上汽大众途观转向沉转向异响")</f>
        <v>上汽大众途观转向沉转向异响</v>
      </c>
      <c r="C11789" s="2" t="s">
        <v>13</v>
      </c>
      <c r="D11789" s="2" t="s">
        <v>12</v>
      </c>
      <c r="E11789" s="2" t="s">
        <v>67</v>
      </c>
      <c r="F11789" s="2" t="str">
        <f>HYPERLINK("http://bbs.12365auto.com/postcontent.aspx?tID=193373","http://bbs.12365auto.com/postcontent.aspx?tID=193373")</f>
        <v>http://bbs.12365auto.com/postcontent.aspx?tID=193373</v>
      </c>
      <c r="G11789" s="2"/>
      <c r="H11789" s="2" t="s">
        <v>15786</v>
      </c>
      <c r="I11789" s="2" t="s">
        <v>15</v>
      </c>
      <c r="J11789" s="2" t="s">
        <v>14429</v>
      </c>
      <c r="K11789" s="2" t="s">
        <v>15785</v>
      </c>
      <c r="L11789" s="2">
        <f t="shared" si="184"/>
        <v>150</v>
      </c>
    </row>
    <row r="11790" spans="1:12" ht="25" customHeight="1">
      <c r="A11790" s="2" t="s">
        <v>12</v>
      </c>
      <c r="B11790" s="2" t="str">
        <f>HYPERLINK("http://bbs.12365auto.com/postcontent.aspx?tId=193372","奇瑞艾瑞泽5发动机故障灯亮怠速抖动")</f>
        <v>奇瑞艾瑞泽5发动机故障灯亮怠速抖动</v>
      </c>
      <c r="C11790" s="2" t="s">
        <v>13</v>
      </c>
      <c r="D11790" s="2" t="s">
        <v>12</v>
      </c>
      <c r="E11790" s="2" t="s">
        <v>66</v>
      </c>
      <c r="F11790" s="2" t="str">
        <f>HYPERLINK("http://bbs.12365auto.com/postcontent.aspx?tId=193372","http://bbs.12365auto.com/postcontent.aspx?tId=193372")</f>
        <v>http://bbs.12365auto.com/postcontent.aspx?tId=193372</v>
      </c>
      <c r="G11790" s="2"/>
      <c r="H11790" s="2" t="s">
        <v>15787</v>
      </c>
      <c r="I11790" s="2" t="s">
        <v>15</v>
      </c>
      <c r="J11790" s="2" t="s">
        <v>14425</v>
      </c>
      <c r="K11790" s="2" t="s">
        <v>15788</v>
      </c>
      <c r="L11790" s="2">
        <f t="shared" si="184"/>
        <v>56</v>
      </c>
    </row>
    <row r="11791" spans="1:12" ht="25" customHeight="1">
      <c r="A11791" s="2" t="s">
        <v>12</v>
      </c>
      <c r="B11791" s="2" t="str">
        <f>HYPERLINK("http://m.12365auto.com/bbs/postcontent.aspx?tID=193372","奇瑞艾瑞泽5发动机故障灯亮怠速抖动")</f>
        <v>奇瑞艾瑞泽5发动机故障灯亮怠速抖动</v>
      </c>
      <c r="C11791" s="2" t="s">
        <v>13</v>
      </c>
      <c r="D11791" s="2" t="s">
        <v>23</v>
      </c>
      <c r="E11791" s="2"/>
      <c r="F11791" s="2" t="str">
        <f>HYPERLINK("http://m.12365auto.com/bbs/postcontent.aspx?tID=193372","http://m.12365auto.com/bbs/postcontent.aspx?tID=193372")</f>
        <v>http://m.12365auto.com/bbs/postcontent.aspx?tID=193372</v>
      </c>
      <c r="G11791" s="2"/>
      <c r="H11791" s="2" t="s">
        <v>15787</v>
      </c>
      <c r="I11791" s="2" t="s">
        <v>15</v>
      </c>
      <c r="J11791" s="2" t="s">
        <v>14425</v>
      </c>
      <c r="K11791" s="2" t="s">
        <v>15788</v>
      </c>
      <c r="L11791" s="2">
        <f t="shared" si="184"/>
        <v>56</v>
      </c>
    </row>
    <row r="11792" spans="1:12" ht="25" customHeight="1">
      <c r="A11792" s="2" t="s">
        <v>12</v>
      </c>
      <c r="B11792" s="2" t="str">
        <f>HYPERLINK("http://bbs.12365auto.com/postcontent.aspx?tID=193372","奇瑞艾瑞泽5发动机故障灯亮怠速抖动")</f>
        <v>奇瑞艾瑞泽5发动机故障灯亮怠速抖动</v>
      </c>
      <c r="C11792" s="2" t="s">
        <v>13</v>
      </c>
      <c r="D11792" s="2" t="s">
        <v>12</v>
      </c>
      <c r="E11792" s="2" t="s">
        <v>67</v>
      </c>
      <c r="F11792" s="2" t="str">
        <f>HYPERLINK("http://bbs.12365auto.com/postcontent.aspx?tID=193372","http://bbs.12365auto.com/postcontent.aspx?tID=193372")</f>
        <v>http://bbs.12365auto.com/postcontent.aspx?tID=193372</v>
      </c>
      <c r="G11792" s="2"/>
      <c r="H11792" s="2" t="s">
        <v>15789</v>
      </c>
      <c r="I11792" s="2" t="s">
        <v>15</v>
      </c>
      <c r="J11792" s="2" t="s">
        <v>14425</v>
      </c>
      <c r="K11792" s="2" t="s">
        <v>15788</v>
      </c>
      <c r="L11792" s="2">
        <f t="shared" si="184"/>
        <v>73</v>
      </c>
    </row>
    <row r="11793" spans="1:12" ht="25" customHeight="1">
      <c r="A11793" s="2" t="s">
        <v>12</v>
      </c>
      <c r="B11793" s="2" t="str">
        <f>HYPERLINK("http://m.12365auto.com/xcdg/20200205/417734.shtml","北京BJ40 PLUS将换装长城2.0T发动机")</f>
        <v>北京BJ40 PLUS将换装长城2.0T发动机</v>
      </c>
      <c r="C11793" s="2" t="s">
        <v>13</v>
      </c>
      <c r="D11793" s="2" t="s">
        <v>12</v>
      </c>
      <c r="E11793" s="2"/>
      <c r="F11793" s="2" t="str">
        <f>HYPERLINK("http://m.12365auto.com/xcdg/20200205/417734.shtml","http://m.12365auto.com/xcdg/20200205/417734.shtml")</f>
        <v>http://m.12365auto.com/xcdg/20200205/417734.shtml</v>
      </c>
      <c r="G11793" s="2"/>
      <c r="H11793" s="2" t="s">
        <v>15790</v>
      </c>
      <c r="I11793" s="2" t="s">
        <v>19</v>
      </c>
      <c r="J11793" s="2" t="s">
        <v>1197</v>
      </c>
      <c r="K11793" s="2" t="s">
        <v>15791</v>
      </c>
      <c r="L11793" s="2">
        <f t="shared" si="184"/>
        <v>150</v>
      </c>
    </row>
    <row r="11794" spans="1:12" ht="25" customHeight="1">
      <c r="A11794" s="2" t="s">
        <v>12</v>
      </c>
      <c r="B11794" s="2" t="str">
        <f>HYPERLINK("http://bbs.12365auto.com/postcontent.aspx?tId=193371","东风雪铁龙C4L发动机烧机油")</f>
        <v>东风雪铁龙C4L发动机烧机油</v>
      </c>
      <c r="C11794" s="2" t="s">
        <v>13</v>
      </c>
      <c r="D11794" s="2" t="s">
        <v>12</v>
      </c>
      <c r="E11794" s="2" t="s">
        <v>66</v>
      </c>
      <c r="F11794" s="2" t="str">
        <f>HYPERLINK("http://bbs.12365auto.com/postcontent.aspx?tId=193371","http://bbs.12365auto.com/postcontent.aspx?tId=193371")</f>
        <v>http://bbs.12365auto.com/postcontent.aspx?tId=193371</v>
      </c>
      <c r="G11794" s="2"/>
      <c r="H11794" s="2" t="s">
        <v>15792</v>
      </c>
      <c r="I11794" s="2" t="s">
        <v>15</v>
      </c>
      <c r="J11794" s="2" t="s">
        <v>14409</v>
      </c>
      <c r="K11794" s="2" t="s">
        <v>15791</v>
      </c>
      <c r="L11794" s="2">
        <f t="shared" si="184"/>
        <v>150</v>
      </c>
    </row>
    <row r="11795" spans="1:12" ht="25" customHeight="1">
      <c r="A11795" s="2" t="s">
        <v>12</v>
      </c>
      <c r="B11795" s="2" t="str">
        <f>HYPERLINK("http://m.12365auto.com/bbs/postcontent.aspx?tID=193371","东风雪铁龙C4L发动机烧机油")</f>
        <v>东风雪铁龙C4L发动机烧机油</v>
      </c>
      <c r="C11795" s="2" t="s">
        <v>13</v>
      </c>
      <c r="D11795" s="2" t="s">
        <v>23</v>
      </c>
      <c r="E11795" s="2"/>
      <c r="F11795" s="2" t="str">
        <f>HYPERLINK("http://m.12365auto.com/bbs/postcontent.aspx?tID=193371","http://m.12365auto.com/bbs/postcontent.aspx?tID=193371")</f>
        <v>http://m.12365auto.com/bbs/postcontent.aspx?tID=193371</v>
      </c>
      <c r="G11795" s="2"/>
      <c r="H11795" s="2" t="s">
        <v>15792</v>
      </c>
      <c r="I11795" s="2" t="s">
        <v>15</v>
      </c>
      <c r="J11795" s="2" t="s">
        <v>14409</v>
      </c>
      <c r="K11795" s="2" t="s">
        <v>15791</v>
      </c>
      <c r="L11795" s="2">
        <f t="shared" si="184"/>
        <v>150</v>
      </c>
    </row>
    <row r="11796" spans="1:12" ht="25" customHeight="1">
      <c r="A11796" s="2" t="s">
        <v>12</v>
      </c>
      <c r="B11796" s="2" t="str">
        <f>HYPERLINK("http://bbs.12365auto.com/postcontent.aspx?tID=193371","东风雪铁龙C4L发动机烧机油")</f>
        <v>东风雪铁龙C4L发动机烧机油</v>
      </c>
      <c r="C11796" s="2" t="s">
        <v>13</v>
      </c>
      <c r="D11796" s="2" t="s">
        <v>12</v>
      </c>
      <c r="E11796" s="2" t="s">
        <v>67</v>
      </c>
      <c r="F11796" s="2" t="str">
        <f>HYPERLINK("http://bbs.12365auto.com/postcontent.aspx?tID=193371","http://bbs.12365auto.com/postcontent.aspx?tID=193371")</f>
        <v>http://bbs.12365auto.com/postcontent.aspx?tID=193371</v>
      </c>
      <c r="G11796" s="2"/>
      <c r="H11796" s="2" t="s">
        <v>15793</v>
      </c>
      <c r="I11796" s="2" t="s">
        <v>15</v>
      </c>
      <c r="J11796" s="2" t="s">
        <v>14409</v>
      </c>
      <c r="K11796" s="2" t="s">
        <v>15791</v>
      </c>
      <c r="L11796" s="2">
        <f t="shared" si="184"/>
        <v>150</v>
      </c>
    </row>
    <row r="11797" spans="1:12" ht="25" customHeight="1">
      <c r="A11797" s="2" t="s">
        <v>12</v>
      </c>
      <c r="B11797" s="2" t="str">
        <f>HYPERLINK("http://www.12365auto.com/xcdg/20200205/417734.shtml","北京BJ40 PLUS将换装长城2.0T发动机")</f>
        <v>北京BJ40 PLUS将换装长城2.0T发动机</v>
      </c>
      <c r="C11797" s="2" t="s">
        <v>13</v>
      </c>
      <c r="D11797" s="2" t="s">
        <v>12</v>
      </c>
      <c r="E11797" s="2" t="s">
        <v>216</v>
      </c>
      <c r="F11797" s="2" t="str">
        <f>HYPERLINK("http://www.12365auto.com/xcdg/20200205/417734.shtml","http://www.12365auto.com/xcdg/20200205/417734.shtml")</f>
        <v>http://www.12365auto.com/xcdg/20200205/417734.shtml</v>
      </c>
      <c r="G11797" s="2"/>
      <c r="H11797" s="2" t="s">
        <v>15794</v>
      </c>
      <c r="I11797" s="2" t="s">
        <v>15</v>
      </c>
      <c r="J11797" s="2" t="s">
        <v>12</v>
      </c>
      <c r="K11797" s="2" t="s">
        <v>15791</v>
      </c>
      <c r="L11797" s="2">
        <f t="shared" si="184"/>
        <v>150</v>
      </c>
    </row>
    <row r="11798" spans="1:12" ht="25" customHeight="1">
      <c r="A11798" s="2" t="s">
        <v>12</v>
      </c>
      <c r="B11798" s="2" t="str">
        <f>HYPERLINK("http://m.12365auto.com/news/20200205/417733.shtml","雷诺延长武汉工厂关闭时间 至2月13日")</f>
        <v>雷诺延长武汉工厂关闭时间 至2月13日</v>
      </c>
      <c r="C11798" s="2" t="s">
        <v>13</v>
      </c>
      <c r="D11798" s="2" t="s">
        <v>12</v>
      </c>
      <c r="E11798" s="2"/>
      <c r="F11798" s="2" t="str">
        <f>HYPERLINK("http://m.12365auto.com/news/20200205/417733.shtml","http://m.12365auto.com/news/20200205/417733.shtml")</f>
        <v>http://m.12365auto.com/news/20200205/417733.shtml</v>
      </c>
      <c r="G11798" s="2"/>
      <c r="H11798" s="2" t="s">
        <v>15795</v>
      </c>
      <c r="I11798" s="2" t="s">
        <v>19</v>
      </c>
      <c r="J11798" s="2" t="s">
        <v>6010</v>
      </c>
      <c r="K11798" s="2" t="s">
        <v>15796</v>
      </c>
      <c r="L11798" s="2">
        <f t="shared" si="184"/>
        <v>150</v>
      </c>
    </row>
    <row r="11799" spans="1:12" ht="25" customHeight="1">
      <c r="A11799" s="2" t="s">
        <v>12</v>
      </c>
      <c r="B11799" s="2" t="str">
        <f>HYPERLINK("http://bbs.12365auto.com/postcontent.aspx?tId=193370","东风标致4008中控屏死机倒车影像故障")</f>
        <v>东风标致4008中控屏死机倒车影像故障</v>
      </c>
      <c r="C11799" s="2" t="s">
        <v>13</v>
      </c>
      <c r="D11799" s="2" t="s">
        <v>12</v>
      </c>
      <c r="E11799" s="2" t="s">
        <v>66</v>
      </c>
      <c r="F11799" s="2" t="str">
        <f>HYPERLINK("http://bbs.12365auto.com/postcontent.aspx?tId=193370","http://bbs.12365auto.com/postcontent.aspx?tId=193370")</f>
        <v>http://bbs.12365auto.com/postcontent.aspx?tId=193370</v>
      </c>
      <c r="G11799" s="2"/>
      <c r="H11799" s="2" t="s">
        <v>15797</v>
      </c>
      <c r="I11799" s="2" t="s">
        <v>15</v>
      </c>
      <c r="J11799" s="2" t="s">
        <v>14417</v>
      </c>
      <c r="K11799" s="2" t="s">
        <v>15796</v>
      </c>
      <c r="L11799" s="2">
        <f t="shared" si="184"/>
        <v>92</v>
      </c>
    </row>
    <row r="11800" spans="1:12" ht="25" customHeight="1">
      <c r="A11800" s="2" t="s">
        <v>12</v>
      </c>
      <c r="B11800" s="2" t="str">
        <f>HYPERLINK("http://m.12365auto.com/bbs/postcontent.aspx?tID=193370","东风标致4008中控屏死机倒车影像故障")</f>
        <v>东风标致4008中控屏死机倒车影像故障</v>
      </c>
      <c r="C11800" s="2" t="s">
        <v>13</v>
      </c>
      <c r="D11800" s="2" t="s">
        <v>23</v>
      </c>
      <c r="E11800" s="2"/>
      <c r="F11800" s="2" t="str">
        <f>HYPERLINK("http://m.12365auto.com/bbs/postcontent.aspx?tID=193370","http://m.12365auto.com/bbs/postcontent.aspx?tID=193370")</f>
        <v>http://m.12365auto.com/bbs/postcontent.aspx?tID=193370</v>
      </c>
      <c r="G11800" s="2"/>
      <c r="H11800" s="2" t="s">
        <v>15797</v>
      </c>
      <c r="I11800" s="2" t="s">
        <v>15</v>
      </c>
      <c r="J11800" s="2" t="s">
        <v>14417</v>
      </c>
      <c r="K11800" s="2" t="s">
        <v>15796</v>
      </c>
      <c r="L11800" s="2">
        <f t="shared" si="184"/>
        <v>92</v>
      </c>
    </row>
    <row r="11801" spans="1:12" ht="25" customHeight="1">
      <c r="A11801" s="2" t="s">
        <v>12</v>
      </c>
      <c r="B11801" s="2" t="str">
        <f>HYPERLINK("http://bbs.12365auto.com/postcontent.aspx?tID=193370","东风标致4008中控屏死机倒车影像故障")</f>
        <v>东风标致4008中控屏死机倒车影像故障</v>
      </c>
      <c r="C11801" s="2" t="s">
        <v>13</v>
      </c>
      <c r="D11801" s="2" t="s">
        <v>12</v>
      </c>
      <c r="E11801" s="2" t="s">
        <v>67</v>
      </c>
      <c r="F11801" s="2" t="str">
        <f>HYPERLINK("http://bbs.12365auto.com/postcontent.aspx?tID=193370","http://bbs.12365auto.com/postcontent.aspx?tID=193370")</f>
        <v>http://bbs.12365auto.com/postcontent.aspx?tID=193370</v>
      </c>
      <c r="G11801" s="2"/>
      <c r="H11801" s="2" t="s">
        <v>15798</v>
      </c>
      <c r="I11801" s="2" t="s">
        <v>15</v>
      </c>
      <c r="J11801" s="2" t="s">
        <v>14417</v>
      </c>
      <c r="K11801" s="2" t="s">
        <v>15796</v>
      </c>
      <c r="L11801" s="2">
        <f t="shared" si="184"/>
        <v>111</v>
      </c>
    </row>
    <row r="11802" spans="1:12" ht="25" customHeight="1">
      <c r="A11802" s="2" t="s">
        <v>12</v>
      </c>
      <c r="B11802" s="2" t="str">
        <f>HYPERLINK("http://www.12365auto.com/news/20200205/417733.shtml","雷诺延长武汉工厂关闭时间 至2月13日")</f>
        <v>雷诺延长武汉工厂关闭时间 至2月13日</v>
      </c>
      <c r="C11802" s="2" t="s">
        <v>13</v>
      </c>
      <c r="D11802" s="2" t="s">
        <v>12</v>
      </c>
      <c r="E11802" s="2" t="s">
        <v>276</v>
      </c>
      <c r="F11802" s="2" t="str">
        <f>HYPERLINK("http://www.12365auto.com/news/20200205/417733.shtml","http://www.12365auto.com/news/20200205/417733.shtml")</f>
        <v>http://www.12365auto.com/news/20200205/417733.shtml</v>
      </c>
      <c r="G11802" s="2"/>
      <c r="H11802" s="2" t="s">
        <v>15799</v>
      </c>
      <c r="I11802" s="2" t="s">
        <v>15</v>
      </c>
      <c r="J11802" s="2" t="s">
        <v>12</v>
      </c>
      <c r="K11802" s="2" t="s">
        <v>15796</v>
      </c>
      <c r="L11802" s="2">
        <f t="shared" si="184"/>
        <v>150</v>
      </c>
    </row>
    <row r="11803" spans="1:12" ht="25" customHeight="1">
      <c r="A11803" s="2" t="s">
        <v>12</v>
      </c>
      <c r="B11803" s="2" t="str">
        <f>HYPERLINK("http://m.12365auto.com/news/20200205/417732.shtml","英菲尼迪抗击战疫在行动 推四项无忧服务")</f>
        <v>英菲尼迪抗击战疫在行动 推四项无忧服务</v>
      </c>
      <c r="C11803" s="2" t="s">
        <v>13</v>
      </c>
      <c r="D11803" s="2" t="s">
        <v>12</v>
      </c>
      <c r="E11803" s="2"/>
      <c r="F11803" s="2" t="str">
        <f>HYPERLINK("http://m.12365auto.com/news/20200205/417732.shtml","http://m.12365auto.com/news/20200205/417732.shtml")</f>
        <v>http://m.12365auto.com/news/20200205/417732.shtml</v>
      </c>
      <c r="G11803" s="2"/>
      <c r="H11803" s="2" t="s">
        <v>15800</v>
      </c>
      <c r="I11803" s="2" t="s">
        <v>19</v>
      </c>
      <c r="J11803" s="2" t="s">
        <v>6010</v>
      </c>
      <c r="K11803" s="2" t="s">
        <v>15801</v>
      </c>
      <c r="L11803" s="2">
        <f t="shared" si="184"/>
        <v>150</v>
      </c>
    </row>
    <row r="11804" spans="1:12" ht="25" customHeight="1">
      <c r="A11804" s="2" t="s">
        <v>12</v>
      </c>
      <c r="B11804" s="2" t="str">
        <f>HYPERLINK("http://www.12365auto.com/news/20200205/417732.shtml","英菲尼迪抗击战疫在行动 推四项无忧服务")</f>
        <v>英菲尼迪抗击战疫在行动 推四项无忧服务</v>
      </c>
      <c r="C11804" s="2" t="s">
        <v>13</v>
      </c>
      <c r="D11804" s="2" t="s">
        <v>12</v>
      </c>
      <c r="E11804" s="2" t="s">
        <v>276</v>
      </c>
      <c r="F11804" s="2" t="str">
        <f>HYPERLINK("http://www.12365auto.com/news/20200205/417732.shtml","http://www.12365auto.com/news/20200205/417732.shtml")</f>
        <v>http://www.12365auto.com/news/20200205/417732.shtml</v>
      </c>
      <c r="G11804" s="2"/>
      <c r="H11804" s="2" t="s">
        <v>15802</v>
      </c>
      <c r="I11804" s="2" t="s">
        <v>15</v>
      </c>
      <c r="J11804" s="2" t="s">
        <v>12</v>
      </c>
      <c r="K11804" s="2" t="s">
        <v>15801</v>
      </c>
      <c r="L11804" s="2">
        <f t="shared" si="184"/>
        <v>150</v>
      </c>
    </row>
    <row r="11805" spans="1:12" ht="25" customHeight="1">
      <c r="A11805" s="2" t="s">
        <v>12</v>
      </c>
      <c r="B11805" s="2" t="str">
        <f>HYPERLINK("http://bbs.12365auto.com/postcontent.aspx?tId=193369","东风日产奇骏中控屏死机冷启动冒黑烟")</f>
        <v>东风日产奇骏中控屏死机冷启动冒黑烟</v>
      </c>
      <c r="C11805" s="2" t="s">
        <v>13</v>
      </c>
      <c r="D11805" s="2" t="s">
        <v>12</v>
      </c>
      <c r="E11805" s="2" t="s">
        <v>66</v>
      </c>
      <c r="F11805" s="2" t="str">
        <f>HYPERLINK("http://bbs.12365auto.com/postcontent.aspx?tId=193369","http://bbs.12365auto.com/postcontent.aspx?tId=193369")</f>
        <v>http://bbs.12365auto.com/postcontent.aspx?tId=193369</v>
      </c>
      <c r="G11805" s="2"/>
      <c r="H11805" s="2" t="s">
        <v>15803</v>
      </c>
      <c r="I11805" s="2" t="s">
        <v>15</v>
      </c>
      <c r="J11805" s="2" t="s">
        <v>14437</v>
      </c>
      <c r="K11805" s="2" t="s">
        <v>15804</v>
      </c>
      <c r="L11805" s="2">
        <f t="shared" si="184"/>
        <v>87</v>
      </c>
    </row>
    <row r="11806" spans="1:12" ht="25" customHeight="1">
      <c r="A11806" s="2" t="s">
        <v>12</v>
      </c>
      <c r="B11806" s="2" t="str">
        <f>HYPERLINK("http://m.12365auto.com/bbs/postcontent.aspx?tID=193369","东风日产奇骏中控屏死机冷启动冒黑烟")</f>
        <v>东风日产奇骏中控屏死机冷启动冒黑烟</v>
      </c>
      <c r="C11806" s="2" t="s">
        <v>13</v>
      </c>
      <c r="D11806" s="2" t="s">
        <v>23</v>
      </c>
      <c r="E11806" s="2"/>
      <c r="F11806" s="2" t="str">
        <f>HYPERLINK("http://m.12365auto.com/bbs/postcontent.aspx?tID=193369","http://m.12365auto.com/bbs/postcontent.aspx?tID=193369")</f>
        <v>http://m.12365auto.com/bbs/postcontent.aspx?tID=193369</v>
      </c>
      <c r="G11806" s="2"/>
      <c r="H11806" s="2" t="s">
        <v>15803</v>
      </c>
      <c r="I11806" s="2" t="s">
        <v>15</v>
      </c>
      <c r="J11806" s="2" t="s">
        <v>14437</v>
      </c>
      <c r="K11806" s="2" t="s">
        <v>15804</v>
      </c>
      <c r="L11806" s="2">
        <f t="shared" si="184"/>
        <v>87</v>
      </c>
    </row>
    <row r="11807" spans="1:12" ht="25" customHeight="1">
      <c r="A11807" s="2" t="s">
        <v>12</v>
      </c>
      <c r="B11807" s="2" t="str">
        <f>HYPERLINK("http://bbs.12365auto.com/postcontent.aspx?tID=193369","东风日产奇骏中控屏死机冷启动冒黑烟")</f>
        <v>东风日产奇骏中控屏死机冷启动冒黑烟</v>
      </c>
      <c r="C11807" s="2" t="s">
        <v>13</v>
      </c>
      <c r="D11807" s="2" t="s">
        <v>12</v>
      </c>
      <c r="E11807" s="2" t="s">
        <v>67</v>
      </c>
      <c r="F11807" s="2" t="str">
        <f>HYPERLINK("http://bbs.12365auto.com/postcontent.aspx?tID=193369","http://bbs.12365auto.com/postcontent.aspx?tID=193369")</f>
        <v>http://bbs.12365auto.com/postcontent.aspx?tID=193369</v>
      </c>
      <c r="G11807" s="2"/>
      <c r="H11807" s="2" t="s">
        <v>15805</v>
      </c>
      <c r="I11807" s="2" t="s">
        <v>15</v>
      </c>
      <c r="J11807" s="2" t="s">
        <v>14437</v>
      </c>
      <c r="K11807" s="2" t="s">
        <v>15804</v>
      </c>
      <c r="L11807" s="2">
        <f t="shared" si="184"/>
        <v>104</v>
      </c>
    </row>
    <row r="11808" spans="1:12" ht="25" customHeight="1">
      <c r="A11808" s="2" t="s">
        <v>12</v>
      </c>
      <c r="B11808" s="2" t="str">
        <f>HYPERLINK("http://m.12365auto.com/news/20200205/417731.shtml","2019年雷克萨斯全球销量超76万辆 同比增10%")</f>
        <v>2019年雷克萨斯全球销量超76万辆 同比增10%</v>
      </c>
      <c r="C11808" s="2" t="s">
        <v>13</v>
      </c>
      <c r="D11808" s="2" t="s">
        <v>12</v>
      </c>
      <c r="E11808" s="2"/>
      <c r="F11808" s="2" t="str">
        <f>HYPERLINK("http://m.12365auto.com/news/20200205/417731.shtml","http://m.12365auto.com/news/20200205/417731.shtml")</f>
        <v>http://m.12365auto.com/news/20200205/417731.shtml</v>
      </c>
      <c r="G11808" s="2"/>
      <c r="H11808" s="2" t="s">
        <v>15806</v>
      </c>
      <c r="I11808" s="2" t="s">
        <v>19</v>
      </c>
      <c r="J11808" s="2" t="s">
        <v>12</v>
      </c>
      <c r="K11808" s="2" t="s">
        <v>15807</v>
      </c>
      <c r="L11808" s="2">
        <f t="shared" si="184"/>
        <v>150</v>
      </c>
    </row>
    <row r="11809" spans="1:12" ht="25" customHeight="1">
      <c r="A11809" s="2" t="s">
        <v>12</v>
      </c>
      <c r="B11809" s="2" t="str">
        <f>HYPERLINK("http://www.12365auto.com/news/20200205/417731.shtml","2019年雷克萨斯全球销量超76万辆 同比增10%")</f>
        <v>2019年雷克萨斯全球销量超76万辆 同比增10%</v>
      </c>
      <c r="C11809" s="2" t="s">
        <v>13</v>
      </c>
      <c r="D11809" s="2" t="s">
        <v>12</v>
      </c>
      <c r="E11809" s="2" t="s">
        <v>276</v>
      </c>
      <c r="F11809" s="2" t="str">
        <f>HYPERLINK("http://www.12365auto.com/news/20200205/417731.shtml","http://www.12365auto.com/news/20200205/417731.shtml")</f>
        <v>http://www.12365auto.com/news/20200205/417731.shtml</v>
      </c>
      <c r="G11809" s="2"/>
      <c r="H11809" s="2" t="s">
        <v>15808</v>
      </c>
      <c r="I11809" s="2" t="s">
        <v>15</v>
      </c>
      <c r="J11809" s="2" t="s">
        <v>12</v>
      </c>
      <c r="K11809" s="2" t="s">
        <v>15807</v>
      </c>
      <c r="L11809" s="2">
        <f t="shared" si="184"/>
        <v>150</v>
      </c>
    </row>
    <row r="11810" spans="1:12" ht="25" customHeight="1">
      <c r="A11810" s="2" t="s">
        <v>12</v>
      </c>
      <c r="B11810" s="2" t="str">
        <f>HYPERLINK("http://bbs.12365auto.com/postcontent.aspx?tId=193368","一汽大众探岳新车邓禄普轮胎有鼓包")</f>
        <v>一汽大众探岳新车邓禄普轮胎有鼓包</v>
      </c>
      <c r="C11810" s="2" t="s">
        <v>13</v>
      </c>
      <c r="D11810" s="2" t="s">
        <v>12</v>
      </c>
      <c r="E11810" s="2" t="s">
        <v>66</v>
      </c>
      <c r="F11810" s="2" t="str">
        <f>HYPERLINK("http://bbs.12365auto.com/postcontent.aspx?tId=193368","http://bbs.12365auto.com/postcontent.aspx?tId=193368")</f>
        <v>http://bbs.12365auto.com/postcontent.aspx?tId=193368</v>
      </c>
      <c r="G11810" s="2"/>
      <c r="H11810" s="2" t="s">
        <v>15809</v>
      </c>
      <c r="I11810" s="2" t="s">
        <v>15</v>
      </c>
      <c r="J11810" s="2" t="s">
        <v>14421</v>
      </c>
      <c r="K11810" s="2" t="s">
        <v>15810</v>
      </c>
      <c r="L11810" s="2">
        <f t="shared" si="184"/>
        <v>150</v>
      </c>
    </row>
    <row r="11811" spans="1:12" ht="25" customHeight="1">
      <c r="A11811" s="2" t="s">
        <v>12</v>
      </c>
      <c r="B11811" s="2" t="str">
        <f>HYPERLINK("http://m.12365auto.com/bbs/postcontent.aspx?tID=193368","一汽大众探岳新车邓禄普轮胎有鼓包")</f>
        <v>一汽大众探岳新车邓禄普轮胎有鼓包</v>
      </c>
      <c r="C11811" s="2" t="s">
        <v>13</v>
      </c>
      <c r="D11811" s="2" t="s">
        <v>23</v>
      </c>
      <c r="E11811" s="2"/>
      <c r="F11811" s="2" t="str">
        <f>HYPERLINK("http://m.12365auto.com/bbs/postcontent.aspx?tID=193368","http://m.12365auto.com/bbs/postcontent.aspx?tID=193368")</f>
        <v>http://m.12365auto.com/bbs/postcontent.aspx?tID=193368</v>
      </c>
      <c r="G11811" s="2"/>
      <c r="H11811" s="2" t="s">
        <v>15809</v>
      </c>
      <c r="I11811" s="2" t="s">
        <v>15</v>
      </c>
      <c r="J11811" s="2" t="s">
        <v>14421</v>
      </c>
      <c r="K11811" s="2" t="s">
        <v>15810</v>
      </c>
      <c r="L11811" s="2">
        <f t="shared" si="184"/>
        <v>150</v>
      </c>
    </row>
    <row r="11812" spans="1:12" ht="25" customHeight="1">
      <c r="A11812" s="2" t="s">
        <v>12</v>
      </c>
      <c r="B11812" s="2" t="str">
        <f>HYPERLINK("http://bbs.12365auto.com/postcontent.aspx?tID=193368","一汽大众探岳新车邓禄普轮胎有鼓包")</f>
        <v>一汽大众探岳新车邓禄普轮胎有鼓包</v>
      </c>
      <c r="C11812" s="2" t="s">
        <v>13</v>
      </c>
      <c r="D11812" s="2" t="s">
        <v>12</v>
      </c>
      <c r="E11812" s="2" t="s">
        <v>67</v>
      </c>
      <c r="F11812" s="2" t="str">
        <f>HYPERLINK("http://bbs.12365auto.com/postcontent.aspx?tID=193368","http://bbs.12365auto.com/postcontent.aspx?tID=193368")</f>
        <v>http://bbs.12365auto.com/postcontent.aspx?tID=193368</v>
      </c>
      <c r="G11812" s="2"/>
      <c r="H11812" s="2" t="s">
        <v>15811</v>
      </c>
      <c r="I11812" s="2" t="s">
        <v>15</v>
      </c>
      <c r="J11812" s="2" t="s">
        <v>14421</v>
      </c>
      <c r="K11812" s="2" t="s">
        <v>15810</v>
      </c>
      <c r="L11812" s="2">
        <f t="shared" si="184"/>
        <v>150</v>
      </c>
    </row>
    <row r="11813" spans="1:12" ht="25" customHeight="1">
      <c r="A11813" s="2" t="s">
        <v>12</v>
      </c>
      <c r="B11813" s="2" t="str">
        <f>HYPERLINK("http://www.12365auto.com/zlts/20200205/446389.shtml","哈弗H2喷漆工艺缺陷引擎盖车漆脱落")</f>
        <v>哈弗H2喷漆工艺缺陷引擎盖车漆脱落</v>
      </c>
      <c r="C11813" s="2" t="s">
        <v>13</v>
      </c>
      <c r="D11813" s="2" t="s">
        <v>12</v>
      </c>
      <c r="E11813" s="2" t="s">
        <v>17</v>
      </c>
      <c r="F11813" s="2" t="str">
        <f>HYPERLINK("http://www.12365auto.com/zlts/20200205/446389.shtml","http://www.12365auto.com/zlts/20200205/446389.shtml")</f>
        <v>http://www.12365auto.com/zlts/20200205/446389.shtml</v>
      </c>
      <c r="G11813" s="2"/>
      <c r="H11813" s="2" t="s">
        <v>15812</v>
      </c>
      <c r="I11813" s="2" t="s">
        <v>19</v>
      </c>
      <c r="J11813" s="2" t="s">
        <v>12</v>
      </c>
      <c r="K11813" s="2" t="s">
        <v>15813</v>
      </c>
      <c r="L11813" s="2">
        <f t="shared" si="184"/>
        <v>150</v>
      </c>
    </row>
    <row r="11814" spans="1:12" ht="25" customHeight="1">
      <c r="A11814" s="2" t="s">
        <v>12</v>
      </c>
      <c r="B11814" s="2" t="str">
        <f>HYPERLINK("http://m.12365auto.com/xcdg/20200205/417730.shtml","价廉物美 高端大气 这些国潮SUV值得期待")</f>
        <v>价廉物美 高端大气 这些国潮SUV值得期待</v>
      </c>
      <c r="C11814" s="2" t="s">
        <v>13</v>
      </c>
      <c r="D11814" s="2" t="s">
        <v>12</v>
      </c>
      <c r="E11814" s="2"/>
      <c r="F11814" s="2" t="str">
        <f>HYPERLINK("http://m.12365auto.com/xcdg/20200205/417730.shtml","http://m.12365auto.com/xcdg/20200205/417730.shtml")</f>
        <v>http://m.12365auto.com/xcdg/20200205/417730.shtml</v>
      </c>
      <c r="G11814" s="2"/>
      <c r="H11814" s="2" t="s">
        <v>15814</v>
      </c>
      <c r="I11814" s="2" t="s">
        <v>19</v>
      </c>
      <c r="J11814" s="2" t="s">
        <v>8604</v>
      </c>
      <c r="K11814" s="2" t="s">
        <v>15815</v>
      </c>
      <c r="L11814" s="2">
        <f t="shared" si="184"/>
        <v>150</v>
      </c>
    </row>
    <row r="11815" spans="1:12" ht="25" customHeight="1">
      <c r="A11815" s="2" t="s">
        <v>12</v>
      </c>
      <c r="B11815" s="2" t="str">
        <f>HYPERLINK("http://bbs.12365auto.com/postcontent.aspx?tId=193367","华晨宝马3系方向盘不正转向时卡滞")</f>
        <v>华晨宝马3系方向盘不正转向时卡滞</v>
      </c>
      <c r="C11815" s="2" t="s">
        <v>13</v>
      </c>
      <c r="D11815" s="2" t="s">
        <v>12</v>
      </c>
      <c r="E11815" s="2" t="s">
        <v>66</v>
      </c>
      <c r="F11815" s="2" t="str">
        <f>HYPERLINK("http://bbs.12365auto.com/postcontent.aspx?tId=193367","http://bbs.12365auto.com/postcontent.aspx?tId=193367")</f>
        <v>http://bbs.12365auto.com/postcontent.aspx?tId=193367</v>
      </c>
      <c r="G11815" s="2"/>
      <c r="H11815" s="2" t="s">
        <v>15816</v>
      </c>
      <c r="I11815" s="2" t="s">
        <v>15</v>
      </c>
      <c r="J11815" s="2" t="s">
        <v>14441</v>
      </c>
      <c r="K11815" s="2" t="s">
        <v>15815</v>
      </c>
      <c r="L11815" s="2">
        <f t="shared" si="184"/>
        <v>150</v>
      </c>
    </row>
    <row r="11816" spans="1:12" ht="25" customHeight="1">
      <c r="A11816" s="2" t="s">
        <v>12</v>
      </c>
      <c r="B11816" s="2" t="str">
        <f>HYPERLINK("http://m.12365auto.com/bbs/postcontent.aspx?tID=193367","华晨宝马3系方向盘不正转向时卡滞")</f>
        <v>华晨宝马3系方向盘不正转向时卡滞</v>
      </c>
      <c r="C11816" s="2" t="s">
        <v>13</v>
      </c>
      <c r="D11816" s="2" t="s">
        <v>23</v>
      </c>
      <c r="E11816" s="2"/>
      <c r="F11816" s="2" t="str">
        <f>HYPERLINK("http://m.12365auto.com/bbs/postcontent.aspx?tID=193367","http://m.12365auto.com/bbs/postcontent.aspx?tID=193367")</f>
        <v>http://m.12365auto.com/bbs/postcontent.aspx?tID=193367</v>
      </c>
      <c r="G11816" s="2"/>
      <c r="H11816" s="2" t="s">
        <v>15816</v>
      </c>
      <c r="I11816" s="2" t="s">
        <v>15</v>
      </c>
      <c r="J11816" s="2" t="s">
        <v>14441</v>
      </c>
      <c r="K11816" s="2" t="s">
        <v>15815</v>
      </c>
      <c r="L11816" s="2">
        <f t="shared" si="184"/>
        <v>150</v>
      </c>
    </row>
    <row r="11817" spans="1:12" ht="25" customHeight="1">
      <c r="A11817" s="2" t="s">
        <v>12</v>
      </c>
      <c r="B11817" s="2" t="str">
        <f>HYPERLINK("http://bbs.12365auto.com/postcontent.aspx?tID=193367","华晨宝马3系方向盘不正转向时卡滞")</f>
        <v>华晨宝马3系方向盘不正转向时卡滞</v>
      </c>
      <c r="C11817" s="2" t="s">
        <v>13</v>
      </c>
      <c r="D11817" s="2" t="s">
        <v>12</v>
      </c>
      <c r="E11817" s="2" t="s">
        <v>67</v>
      </c>
      <c r="F11817" s="2" t="str">
        <f>HYPERLINK("http://bbs.12365auto.com/postcontent.aspx?tID=193367","http://bbs.12365auto.com/postcontent.aspx?tID=193367")</f>
        <v>http://bbs.12365auto.com/postcontent.aspx?tID=193367</v>
      </c>
      <c r="G11817" s="2"/>
      <c r="H11817" s="2" t="s">
        <v>15817</v>
      </c>
      <c r="I11817" s="2" t="s">
        <v>15</v>
      </c>
      <c r="J11817" s="2" t="s">
        <v>14441</v>
      </c>
      <c r="K11817" s="2" t="s">
        <v>15815</v>
      </c>
      <c r="L11817" s="2">
        <f t="shared" si="184"/>
        <v>150</v>
      </c>
    </row>
    <row r="11818" spans="1:12" ht="25" customHeight="1">
      <c r="A11818" s="2" t="s">
        <v>12</v>
      </c>
      <c r="B11818" s="2" t="str">
        <f>HYPERLINK("http://bbs.12365auto.com/postcontent.aspx?tId=193366","江铃福特领界变速箱故障存在质量问题")</f>
        <v>江铃福特领界变速箱故障存在质量问题</v>
      </c>
      <c r="C11818" s="2" t="s">
        <v>13</v>
      </c>
      <c r="D11818" s="2" t="s">
        <v>12</v>
      </c>
      <c r="E11818" s="2" t="s">
        <v>66</v>
      </c>
      <c r="F11818" s="2" t="str">
        <f>HYPERLINK("http://bbs.12365auto.com/postcontent.aspx?tId=193366","http://bbs.12365auto.com/postcontent.aspx?tId=193366")</f>
        <v>http://bbs.12365auto.com/postcontent.aspx?tId=193366</v>
      </c>
      <c r="G11818" s="2"/>
      <c r="H11818" s="2" t="s">
        <v>15818</v>
      </c>
      <c r="I11818" s="2" t="s">
        <v>15</v>
      </c>
      <c r="J11818" s="2" t="s">
        <v>14445</v>
      </c>
      <c r="K11818" s="2" t="s">
        <v>15819</v>
      </c>
      <c r="L11818" s="2">
        <f t="shared" si="184"/>
        <v>150</v>
      </c>
    </row>
    <row r="11819" spans="1:12" ht="25" customHeight="1">
      <c r="A11819" s="2" t="s">
        <v>12</v>
      </c>
      <c r="B11819" s="2" t="str">
        <f>HYPERLINK("http://m.12365auto.com/bbs/postcontent.aspx?tID=193366","江铃福特领界变速箱故障存在质量问题")</f>
        <v>江铃福特领界变速箱故障存在质量问题</v>
      </c>
      <c r="C11819" s="2" t="s">
        <v>13</v>
      </c>
      <c r="D11819" s="2" t="s">
        <v>23</v>
      </c>
      <c r="E11819" s="2"/>
      <c r="F11819" s="2" t="str">
        <f>HYPERLINK("http://m.12365auto.com/bbs/postcontent.aspx?tID=193366","http://m.12365auto.com/bbs/postcontent.aspx?tID=193366")</f>
        <v>http://m.12365auto.com/bbs/postcontent.aspx?tID=193366</v>
      </c>
      <c r="G11819" s="2"/>
      <c r="H11819" s="2" t="s">
        <v>15818</v>
      </c>
      <c r="I11819" s="2" t="s">
        <v>15</v>
      </c>
      <c r="J11819" s="2" t="s">
        <v>14445</v>
      </c>
      <c r="K11819" s="2" t="s">
        <v>15819</v>
      </c>
      <c r="L11819" s="2">
        <f t="shared" si="184"/>
        <v>150</v>
      </c>
    </row>
    <row r="11820" spans="1:12" ht="25" customHeight="1">
      <c r="A11820" s="2" t="s">
        <v>12</v>
      </c>
      <c r="B11820" s="2" t="str">
        <f>HYPERLINK("http://bbs.12365auto.com/postcontent.aspx?tID=193366","江铃福特领界变速箱故障存在质量问题")</f>
        <v>江铃福特领界变速箱故障存在质量问题</v>
      </c>
      <c r="C11820" s="2" t="s">
        <v>13</v>
      </c>
      <c r="D11820" s="2" t="s">
        <v>12</v>
      </c>
      <c r="E11820" s="2" t="s">
        <v>67</v>
      </c>
      <c r="F11820" s="2" t="str">
        <f>HYPERLINK("http://bbs.12365auto.com/postcontent.aspx?tID=193366","http://bbs.12365auto.com/postcontent.aspx?tID=193366")</f>
        <v>http://bbs.12365auto.com/postcontent.aspx?tID=193366</v>
      </c>
      <c r="G11820" s="2"/>
      <c r="H11820" s="2" t="s">
        <v>15820</v>
      </c>
      <c r="I11820" s="2" t="s">
        <v>15</v>
      </c>
      <c r="J11820" s="2" t="s">
        <v>14445</v>
      </c>
      <c r="K11820" s="2" t="s">
        <v>15819</v>
      </c>
      <c r="L11820" s="2">
        <f t="shared" si="184"/>
        <v>150</v>
      </c>
    </row>
    <row r="11821" spans="1:12" ht="25" customHeight="1">
      <c r="A11821" s="2" t="s">
        <v>12</v>
      </c>
      <c r="B11821" s="2" t="str">
        <f>HYPERLINK("http://www.12365auto.com/xcdg/20200205/417729.shtml","官图详解本田e 详细参数已曝光")</f>
        <v>官图详解本田e 详细参数已曝光</v>
      </c>
      <c r="C11821" s="2" t="s">
        <v>13</v>
      </c>
      <c r="D11821" s="2" t="s">
        <v>12</v>
      </c>
      <c r="E11821" s="2" t="s">
        <v>216</v>
      </c>
      <c r="F11821" s="2" t="str">
        <f>HYPERLINK("http://www.12365auto.com/xcdg/20200205/417729.shtml","http://www.12365auto.com/xcdg/20200205/417729.shtml")</f>
        <v>http://www.12365auto.com/xcdg/20200205/417729.shtml</v>
      </c>
      <c r="G11821" s="2"/>
      <c r="H11821" s="2" t="s">
        <v>15821</v>
      </c>
      <c r="I11821" s="2" t="s">
        <v>15</v>
      </c>
      <c r="J11821" s="2" t="s">
        <v>12</v>
      </c>
      <c r="K11821" s="2" t="s">
        <v>15822</v>
      </c>
      <c r="L11821" s="2">
        <f t="shared" si="184"/>
        <v>150</v>
      </c>
    </row>
    <row r="11822" spans="1:12" ht="25" customHeight="1">
      <c r="A11822" s="2" t="s">
        <v>12</v>
      </c>
      <c r="B11822" s="2" t="str">
        <f>HYPERLINK("http://m.12365auto.com/xcdg/20200205/417729.shtml","官图详解本田e 详细参数已曝光")</f>
        <v>官图详解本田e 详细参数已曝光</v>
      </c>
      <c r="C11822" s="2" t="s">
        <v>13</v>
      </c>
      <c r="D11822" s="2" t="s">
        <v>12</v>
      </c>
      <c r="E11822" s="2"/>
      <c r="F11822" s="2" t="str">
        <f>HYPERLINK("http://m.12365auto.com/xcdg/20200205/417729.shtml","http://m.12365auto.com/xcdg/20200205/417729.shtml")</f>
        <v>http://m.12365auto.com/xcdg/20200205/417729.shtml</v>
      </c>
      <c r="G11822" s="2"/>
      <c r="H11822" s="2" t="s">
        <v>15823</v>
      </c>
      <c r="I11822" s="2" t="s">
        <v>19</v>
      </c>
      <c r="J11822" s="2" t="s">
        <v>12</v>
      </c>
      <c r="K11822" s="2" t="s">
        <v>15822</v>
      </c>
      <c r="L11822" s="2">
        <f t="shared" si="184"/>
        <v>150</v>
      </c>
    </row>
    <row r="11823" spans="1:12" ht="25" customHeight="1">
      <c r="A11823" s="2" t="s">
        <v>12</v>
      </c>
      <c r="B11823" s="2" t="str">
        <f>HYPERLINK("http://www.12365auto.com/zlts/20200205/446388.shtml","轮毂腐蚀严重；排气管锈蚀严重；安全气囊故障灯亮")</f>
        <v>轮毂腐蚀严重；排气管锈蚀严重；安全气囊故障灯亮</v>
      </c>
      <c r="C11823" s="2" t="s">
        <v>13</v>
      </c>
      <c r="D11823" s="2" t="s">
        <v>12</v>
      </c>
      <c r="E11823" s="2"/>
      <c r="F11823" s="2" t="str">
        <f>HYPERLINK("http://www.12365auto.com/zlts/20200205/446388.shtml","http://www.12365auto.com/zlts/20200205/446388.shtml")</f>
        <v>http://www.12365auto.com/zlts/20200205/446388.shtml</v>
      </c>
      <c r="G11823" s="2"/>
      <c r="H11823" s="2" t="s">
        <v>15825</v>
      </c>
      <c r="I11823" s="2" t="s">
        <v>15</v>
      </c>
      <c r="J11823" s="2" t="s">
        <v>12</v>
      </c>
      <c r="K11823" s="2" t="s">
        <v>15824</v>
      </c>
      <c r="L11823" s="2">
        <f t="shared" si="184"/>
        <v>92</v>
      </c>
    </row>
    <row r="11824" spans="1:12" ht="25" customHeight="1">
      <c r="A11824" s="2" t="s">
        <v>12</v>
      </c>
      <c r="B11824" s="2" t="str">
        <f>HYPERLINK("http://bbs.12365auto.com/postcontent.aspx?tId=193365","一汽大众高尔夫·嘉旅发动机怠速异响")</f>
        <v>一汽大众高尔夫·嘉旅发动机怠速异响</v>
      </c>
      <c r="C11824" s="2" t="s">
        <v>13</v>
      </c>
      <c r="D11824" s="2" t="s">
        <v>12</v>
      </c>
      <c r="E11824" s="2" t="s">
        <v>66</v>
      </c>
      <c r="F11824" s="2" t="str">
        <f>HYPERLINK("http://bbs.12365auto.com/postcontent.aspx?tId=193365","http://bbs.12365auto.com/postcontent.aspx?tId=193365")</f>
        <v>http://bbs.12365auto.com/postcontent.aspx?tId=193365</v>
      </c>
      <c r="G11824" s="2"/>
      <c r="H11824" s="2" t="s">
        <v>15826</v>
      </c>
      <c r="I11824" s="2" t="s">
        <v>15</v>
      </c>
      <c r="J11824" s="2" t="s">
        <v>15244</v>
      </c>
      <c r="K11824" s="2" t="s">
        <v>15827</v>
      </c>
      <c r="L11824" s="2">
        <f t="shared" si="184"/>
        <v>55</v>
      </c>
    </row>
    <row r="11825" spans="1:12" ht="25" customHeight="1">
      <c r="A11825" s="2" t="s">
        <v>12</v>
      </c>
      <c r="B11825" s="2" t="str">
        <f>HYPERLINK("http://m.12365auto.com/bbs/postcontent.aspx?tID=193365","一汽大众高尔夫·嘉旅发动机怠速异响")</f>
        <v>一汽大众高尔夫·嘉旅发动机怠速异响</v>
      </c>
      <c r="C11825" s="2" t="s">
        <v>13</v>
      </c>
      <c r="D11825" s="2" t="s">
        <v>23</v>
      </c>
      <c r="E11825" s="2"/>
      <c r="F11825" s="2" t="str">
        <f>HYPERLINK("http://m.12365auto.com/bbs/postcontent.aspx?tID=193365","http://m.12365auto.com/bbs/postcontent.aspx?tID=193365")</f>
        <v>http://m.12365auto.com/bbs/postcontent.aspx?tID=193365</v>
      </c>
      <c r="G11825" s="2"/>
      <c r="H11825" s="2" t="s">
        <v>15826</v>
      </c>
      <c r="I11825" s="2" t="s">
        <v>15</v>
      </c>
      <c r="J11825" s="2" t="s">
        <v>15244</v>
      </c>
      <c r="K11825" s="2" t="s">
        <v>15827</v>
      </c>
      <c r="L11825" s="2">
        <f t="shared" si="184"/>
        <v>55</v>
      </c>
    </row>
    <row r="11826" spans="1:12" ht="25" customHeight="1">
      <c r="A11826" s="2" t="s">
        <v>12</v>
      </c>
      <c r="B11826" s="2" t="str">
        <f>HYPERLINK("http://m.12365auto.com/xcdg/20200205/417728.shtml","最便宜的纯电动大众e-up 英国售价公布")</f>
        <v>最便宜的纯电动大众e-up 英国售价公布</v>
      </c>
      <c r="C11826" s="2" t="s">
        <v>13</v>
      </c>
      <c r="D11826" s="2" t="s">
        <v>12</v>
      </c>
      <c r="E11826" s="2"/>
      <c r="F11826" s="2" t="str">
        <f>HYPERLINK("http://m.12365auto.com/xcdg/20200205/417728.shtml","http://m.12365auto.com/xcdg/20200205/417728.shtml")</f>
        <v>http://m.12365auto.com/xcdg/20200205/417728.shtml</v>
      </c>
      <c r="G11826" s="2"/>
      <c r="H11826" s="2" t="s">
        <v>15828</v>
      </c>
      <c r="I11826" s="2" t="s">
        <v>19</v>
      </c>
      <c r="J11826" s="2" t="s">
        <v>1923</v>
      </c>
      <c r="K11826" s="2" t="s">
        <v>15827</v>
      </c>
      <c r="L11826" s="2">
        <f t="shared" si="184"/>
        <v>150</v>
      </c>
    </row>
    <row r="11827" spans="1:12" ht="25" customHeight="1">
      <c r="A11827" s="2" t="s">
        <v>12</v>
      </c>
      <c r="B11827" s="2" t="str">
        <f>HYPERLINK("http://www.12365auto.com/xcdg/20200205/417728.shtml","最便宜的纯电动大众e-up 英国售价公布")</f>
        <v>最便宜的纯电动大众e-up 英国售价公布</v>
      </c>
      <c r="C11827" s="2" t="s">
        <v>13</v>
      </c>
      <c r="D11827" s="2" t="s">
        <v>12</v>
      </c>
      <c r="E11827" s="2" t="s">
        <v>216</v>
      </c>
      <c r="F11827" s="2" t="str">
        <f>HYPERLINK("http://www.12365auto.com/xcdg/20200205/417728.shtml","http://www.12365auto.com/xcdg/20200205/417728.shtml")</f>
        <v>http://www.12365auto.com/xcdg/20200205/417728.shtml</v>
      </c>
      <c r="G11827" s="2"/>
      <c r="H11827" s="2" t="s">
        <v>15829</v>
      </c>
      <c r="I11827" s="2" t="s">
        <v>15</v>
      </c>
      <c r="J11827" s="2" t="s">
        <v>12</v>
      </c>
      <c r="K11827" s="2" t="s">
        <v>15827</v>
      </c>
      <c r="L11827" s="2">
        <f t="shared" si="184"/>
        <v>150</v>
      </c>
    </row>
    <row r="11828" spans="1:12" ht="25" customHeight="1">
      <c r="A11828" s="2" t="s">
        <v>12</v>
      </c>
      <c r="B11828" s="2" t="str">
        <f>HYPERLINK("http://bbs.12365auto.com/postcontent.aspx?tID=193365","一汽大众高尔夫·嘉旅发动机怠速异响")</f>
        <v>一汽大众高尔夫·嘉旅发动机怠速异响</v>
      </c>
      <c r="C11828" s="2" t="s">
        <v>13</v>
      </c>
      <c r="D11828" s="2" t="s">
        <v>12</v>
      </c>
      <c r="E11828" s="2" t="s">
        <v>67</v>
      </c>
      <c r="F11828" s="2" t="str">
        <f>HYPERLINK("http://bbs.12365auto.com/postcontent.aspx?tID=193365","http://bbs.12365auto.com/postcontent.aspx?tID=193365")</f>
        <v>http://bbs.12365auto.com/postcontent.aspx?tID=193365</v>
      </c>
      <c r="G11828" s="2"/>
      <c r="H11828" s="2" t="s">
        <v>15830</v>
      </c>
      <c r="I11828" s="2" t="s">
        <v>15</v>
      </c>
      <c r="J11828" s="2" t="s">
        <v>15244</v>
      </c>
      <c r="K11828" s="2" t="s">
        <v>15827</v>
      </c>
      <c r="L11828" s="2">
        <f t="shared" si="184"/>
        <v>72</v>
      </c>
    </row>
    <row r="11829" spans="1:12" ht="25" customHeight="1">
      <c r="A11829" s="2" t="s">
        <v>12</v>
      </c>
      <c r="B11829" s="2" t="str">
        <f>HYPERLINK("http://bbs.12365auto.com/postcontent.aspx?tId=193364","东风日产轩逸发动机漏油")</f>
        <v>东风日产轩逸发动机漏油</v>
      </c>
      <c r="C11829" s="2" t="s">
        <v>13</v>
      </c>
      <c r="D11829" s="2" t="s">
        <v>12</v>
      </c>
      <c r="E11829" s="2" t="s">
        <v>66</v>
      </c>
      <c r="F11829" s="2" t="str">
        <f>HYPERLINK("http://bbs.12365auto.com/postcontent.aspx?tId=193364","http://bbs.12365auto.com/postcontent.aspx?tId=193364")</f>
        <v>http://bbs.12365auto.com/postcontent.aspx?tId=193364</v>
      </c>
      <c r="G11829" s="2"/>
      <c r="H11829" s="2" t="s">
        <v>15831</v>
      </c>
      <c r="I11829" s="2" t="s">
        <v>15</v>
      </c>
      <c r="J11829" s="2" t="s">
        <v>15250</v>
      </c>
      <c r="K11829" s="2" t="s">
        <v>15832</v>
      </c>
      <c r="L11829" s="2">
        <f t="shared" si="184"/>
        <v>150</v>
      </c>
    </row>
    <row r="11830" spans="1:12" ht="25" customHeight="1">
      <c r="A11830" s="2" t="s">
        <v>12</v>
      </c>
      <c r="B11830" s="2" t="str">
        <f>HYPERLINK("http://m.12365auto.com/bbs/postcontent.aspx?tID=193364","东风日产轩逸发动机漏油")</f>
        <v>东风日产轩逸发动机漏油</v>
      </c>
      <c r="C11830" s="2" t="s">
        <v>13</v>
      </c>
      <c r="D11830" s="2" t="s">
        <v>23</v>
      </c>
      <c r="E11830" s="2"/>
      <c r="F11830" s="2" t="str">
        <f>HYPERLINK("http://m.12365auto.com/bbs/postcontent.aspx?tID=193364","http://m.12365auto.com/bbs/postcontent.aspx?tID=193364")</f>
        <v>http://m.12365auto.com/bbs/postcontent.aspx?tID=193364</v>
      </c>
      <c r="G11830" s="2"/>
      <c r="H11830" s="2" t="s">
        <v>15831</v>
      </c>
      <c r="I11830" s="2" t="s">
        <v>15</v>
      </c>
      <c r="J11830" s="2" t="s">
        <v>15250</v>
      </c>
      <c r="K11830" s="2" t="s">
        <v>15832</v>
      </c>
      <c r="L11830" s="2">
        <f t="shared" si="184"/>
        <v>150</v>
      </c>
    </row>
    <row r="11831" spans="1:12" ht="25" customHeight="1">
      <c r="A11831" s="2" t="s">
        <v>12</v>
      </c>
      <c r="B11831" s="2" t="str">
        <f>HYPERLINK("http://bbs.12365auto.com/postcontent.aspx?tID=193364","东风日产轩逸发动机漏油")</f>
        <v>东风日产轩逸发动机漏油</v>
      </c>
      <c r="C11831" s="2" t="s">
        <v>13</v>
      </c>
      <c r="D11831" s="2" t="s">
        <v>12</v>
      </c>
      <c r="E11831" s="2" t="s">
        <v>67</v>
      </c>
      <c r="F11831" s="2" t="str">
        <f>HYPERLINK("http://bbs.12365auto.com/postcontent.aspx?tID=193364","http://bbs.12365auto.com/postcontent.aspx?tID=193364")</f>
        <v>http://bbs.12365auto.com/postcontent.aspx?tID=193364</v>
      </c>
      <c r="G11831" s="2"/>
      <c r="H11831" s="2" t="s">
        <v>15833</v>
      </c>
      <c r="I11831" s="2" t="s">
        <v>15</v>
      </c>
      <c r="J11831" s="2" t="s">
        <v>15250</v>
      </c>
      <c r="K11831" s="2" t="s">
        <v>15832</v>
      </c>
      <c r="L11831" s="2">
        <f t="shared" si="184"/>
        <v>150</v>
      </c>
    </row>
    <row r="11832" spans="1:12" ht="25" customHeight="1">
      <c r="A11832" s="2" t="s">
        <v>12</v>
      </c>
      <c r="B11832" s="2" t="str">
        <f>HYPERLINK("http://bbs.12365auto.com/postcontent.aspx?tId=193363","长安CS75车身脱漆生锈顶棚异响刹车漏油")</f>
        <v>长安CS75车身脱漆生锈顶棚异响刹车漏油</v>
      </c>
      <c r="C11832" s="2" t="s">
        <v>13</v>
      </c>
      <c r="D11832" s="2" t="s">
        <v>12</v>
      </c>
      <c r="E11832" s="2" t="s">
        <v>66</v>
      </c>
      <c r="F11832" s="2" t="str">
        <f>HYPERLINK("http://bbs.12365auto.com/postcontent.aspx?tId=193363","http://bbs.12365auto.com/postcontent.aspx?tId=193363")</f>
        <v>http://bbs.12365auto.com/postcontent.aspx?tId=193363</v>
      </c>
      <c r="G11832" s="2"/>
      <c r="H11832" s="2" t="s">
        <v>15834</v>
      </c>
      <c r="I11832" s="2" t="s">
        <v>15</v>
      </c>
      <c r="J11832" s="2" t="s">
        <v>15835</v>
      </c>
      <c r="K11832" s="2" t="s">
        <v>15836</v>
      </c>
      <c r="L11832" s="2">
        <f t="shared" si="184"/>
        <v>150</v>
      </c>
    </row>
    <row r="11833" spans="1:12" ht="25" customHeight="1">
      <c r="A11833" s="2" t="s">
        <v>12</v>
      </c>
      <c r="B11833" s="2" t="str">
        <f>HYPERLINK("http://m.12365auto.com/bbs/postcontent.aspx?tID=193363","长安CS75车身脱漆生锈顶棚异响刹车漏油")</f>
        <v>长安CS75车身脱漆生锈顶棚异响刹车漏油</v>
      </c>
      <c r="C11833" s="2" t="s">
        <v>13</v>
      </c>
      <c r="D11833" s="2" t="s">
        <v>23</v>
      </c>
      <c r="E11833" s="2"/>
      <c r="F11833" s="2" t="str">
        <f>HYPERLINK("http://m.12365auto.com/bbs/postcontent.aspx?tID=193363","http://m.12365auto.com/bbs/postcontent.aspx?tID=193363")</f>
        <v>http://m.12365auto.com/bbs/postcontent.aspx?tID=193363</v>
      </c>
      <c r="G11833" s="2"/>
      <c r="H11833" s="2" t="s">
        <v>15834</v>
      </c>
      <c r="I11833" s="2" t="s">
        <v>15</v>
      </c>
      <c r="J11833" s="2" t="s">
        <v>15835</v>
      </c>
      <c r="K11833" s="2" t="s">
        <v>15836</v>
      </c>
      <c r="L11833" s="2">
        <f t="shared" si="184"/>
        <v>150</v>
      </c>
    </row>
    <row r="11834" spans="1:12" ht="25" customHeight="1">
      <c r="A11834" s="2" t="s">
        <v>12</v>
      </c>
      <c r="B11834" s="2" t="str">
        <f>HYPERLINK("http://www.12365auto.com/xcdg/20200205/417727.shtml","电池或由富士康代工 菲亚特500EV谍照曝光")</f>
        <v>电池或由富士康代工 菲亚特500EV谍照曝光</v>
      </c>
      <c r="C11834" s="2" t="s">
        <v>13</v>
      </c>
      <c r="D11834" s="2" t="s">
        <v>12</v>
      </c>
      <c r="E11834" s="2" t="s">
        <v>224</v>
      </c>
      <c r="F11834" s="2" t="str">
        <f>HYPERLINK("http://www.12365auto.com/xcdg/20200205/417727.shtml","http://www.12365auto.com/xcdg/20200205/417727.shtml")</f>
        <v>http://www.12365auto.com/xcdg/20200205/417727.shtml</v>
      </c>
      <c r="G11834" s="2"/>
      <c r="H11834" s="2" t="s">
        <v>15837</v>
      </c>
      <c r="I11834" s="2" t="s">
        <v>15</v>
      </c>
      <c r="J11834" s="2" t="s">
        <v>12</v>
      </c>
      <c r="K11834" s="2" t="s">
        <v>15836</v>
      </c>
      <c r="L11834" s="2">
        <f t="shared" si="184"/>
        <v>150</v>
      </c>
    </row>
    <row r="11835" spans="1:12" ht="25" customHeight="1">
      <c r="A11835" s="2" t="s">
        <v>12</v>
      </c>
      <c r="B11835" s="2" t="str">
        <f>HYPERLINK("http://m.12365auto.com/xcdg/20200205/417727.shtml","电池或由富士康代工 菲亚特500EV谍照曝光")</f>
        <v>电池或由富士康代工 菲亚特500EV谍照曝光</v>
      </c>
      <c r="C11835" s="2" t="s">
        <v>13</v>
      </c>
      <c r="D11835" s="2" t="s">
        <v>12</v>
      </c>
      <c r="E11835" s="2"/>
      <c r="F11835" s="2" t="str">
        <f>HYPERLINK("http://m.12365auto.com/xcdg/20200205/417727.shtml","http://m.12365auto.com/xcdg/20200205/417727.shtml")</f>
        <v>http://m.12365auto.com/xcdg/20200205/417727.shtml</v>
      </c>
      <c r="G11835" s="2"/>
      <c r="H11835" s="2" t="s">
        <v>15838</v>
      </c>
      <c r="I11835" s="2" t="s">
        <v>19</v>
      </c>
      <c r="J11835" s="2" t="s">
        <v>1558</v>
      </c>
      <c r="K11835" s="2" t="s">
        <v>15836</v>
      </c>
      <c r="L11835" s="2">
        <f t="shared" si="184"/>
        <v>150</v>
      </c>
    </row>
    <row r="11836" spans="1:12" ht="25" customHeight="1">
      <c r="A11836" s="2" t="s">
        <v>12</v>
      </c>
      <c r="B11836" s="2" t="str">
        <f>HYPERLINK("http://bbs.12365auto.com/postcontent.aspx?tID=193363","长安CS75车身脱漆生锈顶棚异响刹车漏油")</f>
        <v>长安CS75车身脱漆生锈顶棚异响刹车漏油</v>
      </c>
      <c r="C11836" s="2" t="s">
        <v>13</v>
      </c>
      <c r="D11836" s="2" t="s">
        <v>12</v>
      </c>
      <c r="E11836" s="2" t="s">
        <v>67</v>
      </c>
      <c r="F11836" s="2" t="str">
        <f>HYPERLINK("http://bbs.12365auto.com/postcontent.aspx?tID=193363","http://bbs.12365auto.com/postcontent.aspx?tID=193363")</f>
        <v>http://bbs.12365auto.com/postcontent.aspx?tID=193363</v>
      </c>
      <c r="G11836" s="2"/>
      <c r="H11836" s="2" t="s">
        <v>15839</v>
      </c>
      <c r="I11836" s="2" t="s">
        <v>15</v>
      </c>
      <c r="J11836" s="2" t="s">
        <v>15835</v>
      </c>
      <c r="K11836" s="2" t="s">
        <v>15836</v>
      </c>
      <c r="L11836" s="2">
        <f t="shared" si="184"/>
        <v>150</v>
      </c>
    </row>
    <row r="11837" spans="1:12" ht="25" customHeight="1">
      <c r="A11837" s="2" t="s">
        <v>12</v>
      </c>
      <c r="B11837" s="2" t="str">
        <f>HYPERLINK("http://m.12365auto.com/xcdg/20200205/417726.shtml","四月量产/三厢版加长 国产全新奥迪A3消息")</f>
        <v>四月量产/三厢版加长 国产全新奥迪A3消息</v>
      </c>
      <c r="C11837" s="2" t="s">
        <v>13</v>
      </c>
      <c r="D11837" s="2" t="s">
        <v>12</v>
      </c>
      <c r="E11837" s="2"/>
      <c r="F11837" s="2" t="str">
        <f>HYPERLINK("http://m.12365auto.com/xcdg/20200205/417726.shtml","http://m.12365auto.com/xcdg/20200205/417726.shtml")</f>
        <v>http://m.12365auto.com/xcdg/20200205/417726.shtml</v>
      </c>
      <c r="G11837" s="2"/>
      <c r="H11837" s="2" t="s">
        <v>15840</v>
      </c>
      <c r="I11837" s="2" t="s">
        <v>19</v>
      </c>
      <c r="J11837" s="2" t="s">
        <v>4467</v>
      </c>
      <c r="K11837" s="2" t="s">
        <v>15841</v>
      </c>
      <c r="L11837" s="2">
        <f t="shared" si="184"/>
        <v>150</v>
      </c>
    </row>
    <row r="11838" spans="1:12" ht="25" customHeight="1">
      <c r="A11838" s="2" t="s">
        <v>12</v>
      </c>
      <c r="B11838" s="2" t="str">
        <f>HYPERLINK("http://www.12365auto.com/xcdg/20200205/417726.shtml","四月量产/三厢版加长 国产全新奥迪A3消息")</f>
        <v>四月量产/三厢版加长 国产全新奥迪A3消息</v>
      </c>
      <c r="C11838" s="2" t="s">
        <v>13</v>
      </c>
      <c r="D11838" s="2" t="s">
        <v>12</v>
      </c>
      <c r="E11838" s="2" t="s">
        <v>216</v>
      </c>
      <c r="F11838" s="2" t="str">
        <f>HYPERLINK("http://www.12365auto.com/xcdg/20200205/417726.shtml","http://www.12365auto.com/xcdg/20200205/417726.shtml")</f>
        <v>http://www.12365auto.com/xcdg/20200205/417726.shtml</v>
      </c>
      <c r="G11838" s="2"/>
      <c r="H11838" s="2" t="s">
        <v>15842</v>
      </c>
      <c r="I11838" s="2" t="s">
        <v>15</v>
      </c>
      <c r="J11838" s="2" t="s">
        <v>12</v>
      </c>
      <c r="K11838" s="2" t="s">
        <v>15841</v>
      </c>
      <c r="L11838" s="2">
        <f t="shared" si="184"/>
        <v>150</v>
      </c>
    </row>
    <row r="11839" spans="1:12" ht="25" customHeight="1">
      <c r="A11839" s="2" t="s">
        <v>12</v>
      </c>
      <c r="B11839" s="2" t="str">
        <f>HYPERLINK("http://m.12365auto.com/xcdg/20200205/417725.shtml","和假想图无异 第八代GTI无伪装谍照曝光")</f>
        <v>和假想图无异 第八代GTI无伪装谍照曝光</v>
      </c>
      <c r="C11839" s="2" t="s">
        <v>13</v>
      </c>
      <c r="D11839" s="2" t="s">
        <v>12</v>
      </c>
      <c r="E11839" s="2"/>
      <c r="F11839" s="2" t="str">
        <f>HYPERLINK("http://m.12365auto.com/xcdg/20200205/417725.shtml","http://m.12365auto.com/xcdg/20200205/417725.shtml")</f>
        <v>http://m.12365auto.com/xcdg/20200205/417725.shtml</v>
      </c>
      <c r="G11839" s="2"/>
      <c r="H11839" s="2" t="s">
        <v>15843</v>
      </c>
      <c r="I11839" s="2" t="s">
        <v>19</v>
      </c>
      <c r="J11839" s="2" t="s">
        <v>1558</v>
      </c>
      <c r="K11839" s="2" t="s">
        <v>15844</v>
      </c>
      <c r="L11839" s="2">
        <f t="shared" si="184"/>
        <v>150</v>
      </c>
    </row>
    <row r="11840" spans="1:12" ht="25" customHeight="1">
      <c r="A11840" s="2" t="s">
        <v>12</v>
      </c>
      <c r="B11840" s="2" t="str">
        <f>HYPERLINK("http://www.12365auto.com/xcdg/20200205/417725.shtml","和假想图无异 第八代GTI无伪装谍照曝光")</f>
        <v>和假想图无异 第八代GTI无伪装谍照曝光</v>
      </c>
      <c r="C11840" s="2" t="s">
        <v>13</v>
      </c>
      <c r="D11840" s="2" t="s">
        <v>12</v>
      </c>
      <c r="E11840" s="2" t="s">
        <v>224</v>
      </c>
      <c r="F11840" s="2" t="str">
        <f>HYPERLINK("http://www.12365auto.com/xcdg/20200205/417725.shtml","http://www.12365auto.com/xcdg/20200205/417725.shtml")</f>
        <v>http://www.12365auto.com/xcdg/20200205/417725.shtml</v>
      </c>
      <c r="G11840" s="2"/>
      <c r="H11840" s="2" t="s">
        <v>15845</v>
      </c>
      <c r="I11840" s="2" t="s">
        <v>15</v>
      </c>
      <c r="J11840" s="2" t="s">
        <v>12</v>
      </c>
      <c r="K11840" s="2" t="s">
        <v>15844</v>
      </c>
      <c r="L11840" s="2">
        <f t="shared" si="184"/>
        <v>150</v>
      </c>
    </row>
    <row r="11841" spans="1:12" ht="25" customHeight="1">
      <c r="A11841" s="2" t="s">
        <v>12</v>
      </c>
      <c r="B11841" s="2" t="str">
        <f>HYPERLINK("http://m.12365auto.com/zjdy/20200205/121033.shtml","荣威750发动机故障灯亮无法启动为什么？")</f>
        <v>荣威750发动机故障灯亮无法启动为什么？</v>
      </c>
      <c r="C11841" s="2" t="s">
        <v>13</v>
      </c>
      <c r="D11841" s="2" t="s">
        <v>12</v>
      </c>
      <c r="E11841" s="2"/>
      <c r="F11841" s="2" t="str">
        <f>HYPERLINK("http://m.12365auto.com/zjdy/20200205/121033.shtml","http://m.12365auto.com/zjdy/20200205/121033.shtml")</f>
        <v>http://m.12365auto.com/zjdy/20200205/121033.shtml</v>
      </c>
      <c r="G11841" s="2"/>
      <c r="H11841" s="2" t="s">
        <v>15846</v>
      </c>
      <c r="I11841" s="2" t="s">
        <v>19</v>
      </c>
      <c r="J11841" s="2" t="s">
        <v>12</v>
      </c>
      <c r="K11841" s="2" t="s">
        <v>15847</v>
      </c>
      <c r="L11841" s="2">
        <f t="shared" si="184"/>
        <v>22</v>
      </c>
    </row>
    <row r="11842" spans="1:12" ht="25" customHeight="1">
      <c r="A11842" s="2" t="s">
        <v>12</v>
      </c>
      <c r="B11842" s="2" t="str">
        <f>HYPERLINK("http://m.12365auto.com/xcdg/20200205/417724.shtml","先期推3.0T版本 新款奥迪Q7将于2月底上市")</f>
        <v>先期推3.0T版本 新款奥迪Q7将于2月底上市</v>
      </c>
      <c r="C11842" s="2" t="s">
        <v>13</v>
      </c>
      <c r="D11842" s="2" t="s">
        <v>12</v>
      </c>
      <c r="E11842" s="2"/>
      <c r="F11842" s="2" t="str">
        <f>HYPERLINK("http://m.12365auto.com/xcdg/20200205/417724.shtml","http://m.12365auto.com/xcdg/20200205/417724.shtml")</f>
        <v>http://m.12365auto.com/xcdg/20200205/417724.shtml</v>
      </c>
      <c r="G11842" s="2"/>
      <c r="H11842" s="2" t="s">
        <v>15848</v>
      </c>
      <c r="I11842" s="2" t="s">
        <v>19</v>
      </c>
      <c r="J11842" s="2" t="s">
        <v>4467</v>
      </c>
      <c r="K11842" s="2" t="s">
        <v>15849</v>
      </c>
      <c r="L11842" s="2">
        <f t="shared" si="184"/>
        <v>150</v>
      </c>
    </row>
    <row r="11843" spans="1:12" ht="25" customHeight="1">
      <c r="A11843" s="2" t="s">
        <v>12</v>
      </c>
      <c r="B11843" s="2" t="str">
        <f>HYPERLINK("http://bbs.12365auto.com/postcontent.aspx?tId=193362","一汽大众探岳大灯不亮安全带未系不报警")</f>
        <v>一汽大众探岳大灯不亮安全带未系不报警</v>
      </c>
      <c r="C11843" s="2" t="s">
        <v>13</v>
      </c>
      <c r="D11843" s="2" t="s">
        <v>12</v>
      </c>
      <c r="E11843" s="2" t="s">
        <v>66</v>
      </c>
      <c r="F11843" s="2" t="str">
        <f>HYPERLINK("http://bbs.12365auto.com/postcontent.aspx?tId=193362","http://bbs.12365auto.com/postcontent.aspx?tId=193362")</f>
        <v>http://bbs.12365auto.com/postcontent.aspx?tId=193362</v>
      </c>
      <c r="G11843" s="2"/>
      <c r="H11843" s="2" t="s">
        <v>15850</v>
      </c>
      <c r="I11843" s="2" t="s">
        <v>15</v>
      </c>
      <c r="J11843" s="2" t="s">
        <v>15851</v>
      </c>
      <c r="K11843" s="2" t="s">
        <v>15849</v>
      </c>
      <c r="L11843" s="2">
        <f t="shared" ref="L11843:L11906" si="185">LEN(H11843)</f>
        <v>150</v>
      </c>
    </row>
    <row r="11844" spans="1:12" ht="25" customHeight="1">
      <c r="A11844" s="2" t="s">
        <v>12</v>
      </c>
      <c r="B11844" s="2" t="str">
        <f>HYPERLINK("http://bbs.12365auto.com/postcontent.aspx?tID=193362","一汽大众探岳大灯不亮安全带未系不报警")</f>
        <v>一汽大众探岳大灯不亮安全带未系不报警</v>
      </c>
      <c r="C11844" s="2" t="s">
        <v>13</v>
      </c>
      <c r="D11844" s="2" t="s">
        <v>12</v>
      </c>
      <c r="E11844" s="2" t="s">
        <v>67</v>
      </c>
      <c r="F11844" s="2" t="str">
        <f>HYPERLINK("http://bbs.12365auto.com/postcontent.aspx?tID=193362","http://bbs.12365auto.com/postcontent.aspx?tID=193362")</f>
        <v>http://bbs.12365auto.com/postcontent.aspx?tID=193362</v>
      </c>
      <c r="G11844" s="2"/>
      <c r="H11844" s="2" t="s">
        <v>15852</v>
      </c>
      <c r="I11844" s="2" t="s">
        <v>15</v>
      </c>
      <c r="J11844" s="2" t="s">
        <v>15851</v>
      </c>
      <c r="K11844" s="2" t="s">
        <v>15849</v>
      </c>
      <c r="L11844" s="2">
        <f t="shared" si="185"/>
        <v>150</v>
      </c>
    </row>
    <row r="11845" spans="1:12" ht="25" customHeight="1">
      <c r="A11845" s="2" t="s">
        <v>12</v>
      </c>
      <c r="B11845" s="2" t="str">
        <f>HYPERLINK("http://m.12365auto.com/bbs/postcontent.aspx?tID=193362","一汽大众探岳大灯不亮安全带未系不报警")</f>
        <v>一汽大众探岳大灯不亮安全带未系不报警</v>
      </c>
      <c r="C11845" s="2" t="s">
        <v>13</v>
      </c>
      <c r="D11845" s="2" t="s">
        <v>23</v>
      </c>
      <c r="E11845" s="2"/>
      <c r="F11845" s="2" t="str">
        <f>HYPERLINK("http://m.12365auto.com/bbs/postcontent.aspx?tID=193362","http://m.12365auto.com/bbs/postcontent.aspx?tID=193362")</f>
        <v>http://m.12365auto.com/bbs/postcontent.aspx?tID=193362</v>
      </c>
      <c r="G11845" s="2"/>
      <c r="H11845" s="2" t="s">
        <v>15850</v>
      </c>
      <c r="I11845" s="2" t="s">
        <v>15</v>
      </c>
      <c r="J11845" s="2" t="s">
        <v>15851</v>
      </c>
      <c r="K11845" s="2" t="s">
        <v>15849</v>
      </c>
      <c r="L11845" s="2">
        <f t="shared" si="185"/>
        <v>150</v>
      </c>
    </row>
    <row r="11846" spans="1:12" ht="25" customHeight="1">
      <c r="A11846" s="2" t="s">
        <v>12</v>
      </c>
      <c r="B11846" s="2" t="str">
        <f>HYPERLINK("http://www.12365auto.com/xcdg/20200205/417724.shtml","先期推3.0T版本 新款奥迪Q7将于2月底上市")</f>
        <v>先期推3.0T版本 新款奥迪Q7将于2月底上市</v>
      </c>
      <c r="C11846" s="2" t="s">
        <v>13</v>
      </c>
      <c r="D11846" s="2" t="s">
        <v>12</v>
      </c>
      <c r="E11846" s="2" t="s">
        <v>216</v>
      </c>
      <c r="F11846" s="2" t="str">
        <f>HYPERLINK("http://www.12365auto.com/xcdg/20200205/417724.shtml","http://www.12365auto.com/xcdg/20200205/417724.shtml")</f>
        <v>http://www.12365auto.com/xcdg/20200205/417724.shtml</v>
      </c>
      <c r="G11846" s="2"/>
      <c r="H11846" s="2" t="s">
        <v>15853</v>
      </c>
      <c r="I11846" s="2" t="s">
        <v>15</v>
      </c>
      <c r="J11846" s="2" t="s">
        <v>12</v>
      </c>
      <c r="K11846" s="2" t="s">
        <v>15849</v>
      </c>
      <c r="L11846" s="2">
        <f t="shared" si="185"/>
        <v>150</v>
      </c>
    </row>
    <row r="11847" spans="1:12" ht="25" customHeight="1">
      <c r="A11847" s="2" t="s">
        <v>12</v>
      </c>
      <c r="B11847" s="2" t="str">
        <f>HYPERLINK("http://m.12365auto.com/xcdg/20200205/417723.shtml","Aurus旗下首款SUV车 Komendant谍照曝光")</f>
        <v>Aurus旗下首款SUV车 Komendant谍照曝光</v>
      </c>
      <c r="C11847" s="2" t="s">
        <v>13</v>
      </c>
      <c r="D11847" s="2" t="s">
        <v>12</v>
      </c>
      <c r="E11847" s="2"/>
      <c r="F11847" s="2" t="str">
        <f>HYPERLINK("http://m.12365auto.com/xcdg/20200205/417723.shtml","http://m.12365auto.com/xcdg/20200205/417723.shtml")</f>
        <v>http://m.12365auto.com/xcdg/20200205/417723.shtml</v>
      </c>
      <c r="G11847" s="2"/>
      <c r="H11847" s="2" t="s">
        <v>15854</v>
      </c>
      <c r="I11847" s="2" t="s">
        <v>19</v>
      </c>
      <c r="J11847" s="2" t="s">
        <v>1562</v>
      </c>
      <c r="K11847" s="2" t="s">
        <v>15855</v>
      </c>
      <c r="L11847" s="2">
        <f t="shared" si="185"/>
        <v>150</v>
      </c>
    </row>
    <row r="11848" spans="1:12" ht="25" customHeight="1">
      <c r="A11848" s="2" t="s">
        <v>12</v>
      </c>
      <c r="B11848" s="2" t="str">
        <f>HYPERLINK("http://www.12365auto.com/xcdg/20200205/417723.shtml","Aurus旗下首款SUV车 Komendant谍照曝光")</f>
        <v>Aurus旗下首款SUV车 Komendant谍照曝光</v>
      </c>
      <c r="C11848" s="2" t="s">
        <v>13</v>
      </c>
      <c r="D11848" s="2" t="s">
        <v>12</v>
      </c>
      <c r="E11848" s="2" t="s">
        <v>224</v>
      </c>
      <c r="F11848" s="2" t="str">
        <f>HYPERLINK("http://www.12365auto.com/xcdg/20200205/417723.shtml","http://www.12365auto.com/xcdg/20200205/417723.shtml")</f>
        <v>http://www.12365auto.com/xcdg/20200205/417723.shtml</v>
      </c>
      <c r="G11848" s="2"/>
      <c r="H11848" s="2" t="s">
        <v>15856</v>
      </c>
      <c r="I11848" s="2" t="s">
        <v>15</v>
      </c>
      <c r="J11848" s="2" t="s">
        <v>12</v>
      </c>
      <c r="K11848" s="2" t="s">
        <v>15855</v>
      </c>
      <c r="L11848" s="2">
        <f t="shared" si="185"/>
        <v>150</v>
      </c>
    </row>
    <row r="11849" spans="1:12" ht="25" customHeight="1">
      <c r="A11849" s="2" t="s">
        <v>12</v>
      </c>
      <c r="B11849" s="2" t="str">
        <f>HYPERLINK("http://m.12365auto.com/xcdg/20200205/417722.shtml","没有V8但有混动 全新兰德酷路泽将8月发布")</f>
        <v>没有V8但有混动 全新兰德酷路泽将8月发布</v>
      </c>
      <c r="C11849" s="2" t="s">
        <v>13</v>
      </c>
      <c r="D11849" s="2" t="s">
        <v>12</v>
      </c>
      <c r="E11849" s="2"/>
      <c r="F11849" s="2" t="str">
        <f>HYPERLINK("http://m.12365auto.com/xcdg/20200205/417722.shtml","http://m.12365auto.com/xcdg/20200205/417722.shtml")</f>
        <v>http://m.12365auto.com/xcdg/20200205/417722.shtml</v>
      </c>
      <c r="G11849" s="2"/>
      <c r="H11849" s="2" t="s">
        <v>15857</v>
      </c>
      <c r="I11849" s="2" t="s">
        <v>19</v>
      </c>
      <c r="J11849" s="2" t="s">
        <v>1558</v>
      </c>
      <c r="K11849" s="2" t="s">
        <v>15858</v>
      </c>
      <c r="L11849" s="2">
        <f t="shared" si="185"/>
        <v>150</v>
      </c>
    </row>
    <row r="11850" spans="1:12" ht="25" customHeight="1">
      <c r="A11850" s="2" t="s">
        <v>12</v>
      </c>
      <c r="B11850" s="2" t="str">
        <f>HYPERLINK("http://bbs.12365auto.com/postcontent.aspx?tId=193361","为什么有些人开车不晕车坐车就会晕车呢")</f>
        <v>为什么有些人开车不晕车坐车就会晕车呢</v>
      </c>
      <c r="C11850" s="2" t="s">
        <v>13</v>
      </c>
      <c r="D11850" s="2" t="s">
        <v>12</v>
      </c>
      <c r="E11850" s="2" t="s">
        <v>27</v>
      </c>
      <c r="F11850" s="2" t="str">
        <f>HYPERLINK("http://bbs.12365auto.com/postcontent.aspx?tId=193361","http://bbs.12365auto.com/postcontent.aspx?tId=193361")</f>
        <v>http://bbs.12365auto.com/postcontent.aspx?tId=193361</v>
      </c>
      <c r="G11850" s="2"/>
      <c r="H11850" s="2" t="s">
        <v>15859</v>
      </c>
      <c r="I11850" s="2" t="s">
        <v>15</v>
      </c>
      <c r="J11850" s="2" t="s">
        <v>9055</v>
      </c>
      <c r="K11850" s="2" t="s">
        <v>15858</v>
      </c>
      <c r="L11850" s="2">
        <f t="shared" si="185"/>
        <v>150</v>
      </c>
    </row>
    <row r="11851" spans="1:12" ht="25" customHeight="1">
      <c r="A11851" s="2" t="s">
        <v>12</v>
      </c>
      <c r="B11851" s="2" t="str">
        <f>HYPERLINK("http://bbs.12365auto.com/postcontent.aspx?tID=193361","为什么有些人开车不晕车坐车就会晕车呢")</f>
        <v>为什么有些人开车不晕车坐车就会晕车呢</v>
      </c>
      <c r="C11851" s="2" t="s">
        <v>13</v>
      </c>
      <c r="D11851" s="2" t="s">
        <v>12</v>
      </c>
      <c r="E11851" s="2" t="s">
        <v>28</v>
      </c>
      <c r="F11851" s="2" t="str">
        <f>HYPERLINK("http://bbs.12365auto.com/postcontent.aspx?tID=193361","http://bbs.12365auto.com/postcontent.aspx?tID=193361")</f>
        <v>http://bbs.12365auto.com/postcontent.aspx?tID=193361</v>
      </c>
      <c r="G11851" s="2"/>
      <c r="H11851" s="2" t="s">
        <v>15860</v>
      </c>
      <c r="I11851" s="2" t="s">
        <v>15</v>
      </c>
      <c r="J11851" s="2" t="s">
        <v>9055</v>
      </c>
      <c r="K11851" s="2" t="s">
        <v>15858</v>
      </c>
      <c r="L11851" s="2">
        <f t="shared" si="185"/>
        <v>150</v>
      </c>
    </row>
    <row r="11852" spans="1:12" ht="25" customHeight="1">
      <c r="A11852" s="2" t="s">
        <v>12</v>
      </c>
      <c r="B11852" s="2" t="str">
        <f>HYPERLINK("http://m.12365auto.com/bbs/postcontent.aspx?tID=193361","为什么有些人开车不晕车坐车就会晕车呢")</f>
        <v>为什么有些人开车不晕车坐车就会晕车呢</v>
      </c>
      <c r="C11852" s="2" t="s">
        <v>13</v>
      </c>
      <c r="D11852" s="2" t="s">
        <v>23</v>
      </c>
      <c r="E11852" s="2"/>
      <c r="F11852" s="2" t="str">
        <f>HYPERLINK("http://m.12365auto.com/bbs/postcontent.aspx?tID=193361","http://m.12365auto.com/bbs/postcontent.aspx?tID=193361")</f>
        <v>http://m.12365auto.com/bbs/postcontent.aspx?tID=193361</v>
      </c>
      <c r="G11852" s="2"/>
      <c r="H11852" s="2" t="s">
        <v>15859</v>
      </c>
      <c r="I11852" s="2" t="s">
        <v>15</v>
      </c>
      <c r="J11852" s="2" t="s">
        <v>9055</v>
      </c>
      <c r="K11852" s="2" t="s">
        <v>15858</v>
      </c>
      <c r="L11852" s="2">
        <f t="shared" si="185"/>
        <v>150</v>
      </c>
    </row>
    <row r="11853" spans="1:12" ht="25" customHeight="1">
      <c r="A11853" s="2" t="s">
        <v>12</v>
      </c>
      <c r="B11853" s="2" t="str">
        <f>HYPERLINK("http://www.12365auto.com/xcdg/20200205/417722.shtml","没有V8但有混动 全新兰德酷路泽将8月发布")</f>
        <v>没有V8但有混动 全新兰德酷路泽将8月发布</v>
      </c>
      <c r="C11853" s="2" t="s">
        <v>13</v>
      </c>
      <c r="D11853" s="2" t="s">
        <v>12</v>
      </c>
      <c r="E11853" s="2" t="s">
        <v>216</v>
      </c>
      <c r="F11853" s="2" t="str">
        <f>HYPERLINK("http://www.12365auto.com/xcdg/20200205/417722.shtml","http://www.12365auto.com/xcdg/20200205/417722.shtml")</f>
        <v>http://www.12365auto.com/xcdg/20200205/417722.shtml</v>
      </c>
      <c r="G11853" s="2"/>
      <c r="H11853" s="2" t="s">
        <v>15861</v>
      </c>
      <c r="I11853" s="2" t="s">
        <v>15</v>
      </c>
      <c r="J11853" s="2" t="s">
        <v>12</v>
      </c>
      <c r="K11853" s="2" t="s">
        <v>15858</v>
      </c>
      <c r="L11853" s="2">
        <f t="shared" si="185"/>
        <v>150</v>
      </c>
    </row>
    <row r="11854" spans="1:12" ht="25" customHeight="1">
      <c r="A11854" s="2" t="s">
        <v>12</v>
      </c>
      <c r="B11854" s="2" t="str">
        <f>HYPERLINK("http://m.12365auto.com/zjdy/20200205/121032.shtml","汽车长期放置不开电瓶会没有电吗？")</f>
        <v>汽车长期放置不开电瓶会没有电吗？</v>
      </c>
      <c r="C11854" s="2" t="s">
        <v>13</v>
      </c>
      <c r="D11854" s="2" t="s">
        <v>12</v>
      </c>
      <c r="E11854" s="2"/>
      <c r="F11854" s="2" t="str">
        <f>HYPERLINK("http://m.12365auto.com/zjdy/20200205/121032.shtml","http://m.12365auto.com/zjdy/20200205/121032.shtml")</f>
        <v>http://m.12365auto.com/zjdy/20200205/121032.shtml</v>
      </c>
      <c r="G11854" s="2"/>
      <c r="H11854" s="2" t="s">
        <v>15862</v>
      </c>
      <c r="I11854" s="2" t="s">
        <v>19</v>
      </c>
      <c r="J11854" s="2" t="s">
        <v>12</v>
      </c>
      <c r="K11854" s="2" t="s">
        <v>15863</v>
      </c>
      <c r="L11854" s="2">
        <f t="shared" si="185"/>
        <v>42</v>
      </c>
    </row>
    <row r="11855" spans="1:12" ht="25" customHeight="1">
      <c r="A11855" s="2" t="s">
        <v>12</v>
      </c>
      <c r="B11855" s="2" t="str">
        <f>HYPERLINK("http://bbs.12365auto.com/postcontent.aspx?tId=193359","现在的汽车还存在磨合期吗 多久才过磨合期")</f>
        <v>现在的汽车还存在磨合期吗 多久才过磨合期</v>
      </c>
      <c r="C11855" s="2" t="s">
        <v>13</v>
      </c>
      <c r="D11855" s="2" t="s">
        <v>12</v>
      </c>
      <c r="E11855" s="2" t="s">
        <v>27</v>
      </c>
      <c r="F11855" s="2" t="str">
        <f>HYPERLINK("http://bbs.12365auto.com/postcontent.aspx?tId=193359","http://bbs.12365auto.com/postcontent.aspx?tId=193359")</f>
        <v>http://bbs.12365auto.com/postcontent.aspx?tId=193359</v>
      </c>
      <c r="G11855" s="2"/>
      <c r="H11855" s="2" t="s">
        <v>15864</v>
      </c>
      <c r="I11855" s="2" t="s">
        <v>15</v>
      </c>
      <c r="J11855" s="2" t="s">
        <v>9055</v>
      </c>
      <c r="K11855" s="2" t="s">
        <v>15865</v>
      </c>
      <c r="L11855" s="2">
        <f t="shared" si="185"/>
        <v>150</v>
      </c>
    </row>
    <row r="11856" spans="1:12" ht="25" customHeight="1">
      <c r="A11856" s="2" t="s">
        <v>12</v>
      </c>
      <c r="B11856" s="2" t="str">
        <f>HYPERLINK("http://bbs.12365auto.com/postcontent.aspx?tId=193360","为什么老司机不建议买小排量涡轮增压双离合")</f>
        <v>为什么老司机不建议买小排量涡轮增压双离合</v>
      </c>
      <c r="C11856" s="2" t="s">
        <v>13</v>
      </c>
      <c r="D11856" s="2" t="s">
        <v>12</v>
      </c>
      <c r="E11856" s="2" t="s">
        <v>27</v>
      </c>
      <c r="F11856" s="2" t="str">
        <f>HYPERLINK("http://bbs.12365auto.com/postcontent.aspx?tId=193360","http://bbs.12365auto.com/postcontent.aspx?tId=193360")</f>
        <v>http://bbs.12365auto.com/postcontent.aspx?tId=193360</v>
      </c>
      <c r="G11856" s="2"/>
      <c r="H11856" s="2" t="s">
        <v>15866</v>
      </c>
      <c r="I11856" s="2" t="s">
        <v>15</v>
      </c>
      <c r="J11856" s="2" t="s">
        <v>9055</v>
      </c>
      <c r="K11856" s="2" t="s">
        <v>15865</v>
      </c>
      <c r="L11856" s="2">
        <f t="shared" si="185"/>
        <v>150</v>
      </c>
    </row>
    <row r="11857" spans="1:12" ht="25" customHeight="1">
      <c r="A11857" s="2" t="s">
        <v>12</v>
      </c>
      <c r="B11857" s="2" t="str">
        <f>HYPERLINK("http://bbs.12365auto.com/postcontent.aspx?tID=193359","现在的汽车还存在磨合期吗 多久才过磨合期")</f>
        <v>现在的汽车还存在磨合期吗 多久才过磨合期</v>
      </c>
      <c r="C11857" s="2" t="s">
        <v>13</v>
      </c>
      <c r="D11857" s="2" t="s">
        <v>12</v>
      </c>
      <c r="E11857" s="2" t="s">
        <v>28</v>
      </c>
      <c r="F11857" s="2" t="str">
        <f>HYPERLINK("http://bbs.12365auto.com/postcontent.aspx?tID=193359","http://bbs.12365auto.com/postcontent.aspx?tID=193359")</f>
        <v>http://bbs.12365auto.com/postcontent.aspx?tID=193359</v>
      </c>
      <c r="G11857" s="2"/>
      <c r="H11857" s="2" t="s">
        <v>15867</v>
      </c>
      <c r="I11857" s="2" t="s">
        <v>15</v>
      </c>
      <c r="J11857" s="2" t="s">
        <v>9055</v>
      </c>
      <c r="K11857" s="2" t="s">
        <v>15865</v>
      </c>
      <c r="L11857" s="2">
        <f t="shared" si="185"/>
        <v>150</v>
      </c>
    </row>
    <row r="11858" spans="1:12" ht="25" customHeight="1">
      <c r="A11858" s="2" t="s">
        <v>12</v>
      </c>
      <c r="B11858" s="2" t="str">
        <f>HYPERLINK("http://bbs.12365auto.com/postcontent.aspx?tID=193360","为什么老司机不建议买小排量涡轮增压双离合")</f>
        <v>为什么老司机不建议买小排量涡轮增压双离合</v>
      </c>
      <c r="C11858" s="2" t="s">
        <v>13</v>
      </c>
      <c r="D11858" s="2" t="s">
        <v>12</v>
      </c>
      <c r="E11858" s="2" t="s">
        <v>28</v>
      </c>
      <c r="F11858" s="2" t="str">
        <f>HYPERLINK("http://bbs.12365auto.com/postcontent.aspx?tID=193360","http://bbs.12365auto.com/postcontent.aspx?tID=193360")</f>
        <v>http://bbs.12365auto.com/postcontent.aspx?tID=193360</v>
      </c>
      <c r="G11858" s="2"/>
      <c r="H11858" s="2" t="s">
        <v>15868</v>
      </c>
      <c r="I11858" s="2" t="s">
        <v>15</v>
      </c>
      <c r="J11858" s="2" t="s">
        <v>9055</v>
      </c>
      <c r="K11858" s="2" t="s">
        <v>15865</v>
      </c>
      <c r="L11858" s="2">
        <f t="shared" si="185"/>
        <v>150</v>
      </c>
    </row>
    <row r="11859" spans="1:12" ht="25" customHeight="1">
      <c r="A11859" s="2" t="s">
        <v>12</v>
      </c>
      <c r="B11859" s="2" t="str">
        <f>HYPERLINK("http://m.12365auto.com/bbs/postcontent.aspx?tID=193359","现在的汽车还存在磨合期吗 多久才过磨合期")</f>
        <v>现在的汽车还存在磨合期吗 多久才过磨合期</v>
      </c>
      <c r="C11859" s="2" t="s">
        <v>13</v>
      </c>
      <c r="D11859" s="2" t="s">
        <v>23</v>
      </c>
      <c r="E11859" s="2"/>
      <c r="F11859" s="2" t="str">
        <f>HYPERLINK("http://m.12365auto.com/bbs/postcontent.aspx?tID=193359","http://m.12365auto.com/bbs/postcontent.aspx?tID=193359")</f>
        <v>http://m.12365auto.com/bbs/postcontent.aspx?tID=193359</v>
      </c>
      <c r="G11859" s="2"/>
      <c r="H11859" s="2" t="s">
        <v>15864</v>
      </c>
      <c r="I11859" s="2" t="s">
        <v>15</v>
      </c>
      <c r="J11859" s="2" t="s">
        <v>9055</v>
      </c>
      <c r="K11859" s="2" t="s">
        <v>15865</v>
      </c>
      <c r="L11859" s="2">
        <f t="shared" si="185"/>
        <v>150</v>
      </c>
    </row>
    <row r="11860" spans="1:12" ht="25" customHeight="1">
      <c r="A11860" s="2" t="s">
        <v>12</v>
      </c>
      <c r="B11860" s="2" t="str">
        <f>HYPERLINK("http://m.12365auto.com/bbs/postcontent.aspx?tID=193360","为什么老司机不建议买小排量涡轮增压双离合")</f>
        <v>为什么老司机不建议买小排量涡轮增压双离合</v>
      </c>
      <c r="C11860" s="2" t="s">
        <v>13</v>
      </c>
      <c r="D11860" s="2" t="s">
        <v>23</v>
      </c>
      <c r="E11860" s="2"/>
      <c r="F11860" s="2" t="str">
        <f>HYPERLINK("http://m.12365auto.com/bbs/postcontent.aspx?tID=193360","http://m.12365auto.com/bbs/postcontent.aspx?tID=193360")</f>
        <v>http://m.12365auto.com/bbs/postcontent.aspx?tID=193360</v>
      </c>
      <c r="G11860" s="2"/>
      <c r="H11860" s="2" t="s">
        <v>15866</v>
      </c>
      <c r="I11860" s="2" t="s">
        <v>15</v>
      </c>
      <c r="J11860" s="2" t="s">
        <v>9055</v>
      </c>
      <c r="K11860" s="2" t="s">
        <v>15865</v>
      </c>
      <c r="L11860" s="2">
        <f t="shared" si="185"/>
        <v>150</v>
      </c>
    </row>
    <row r="11861" spans="1:12" ht="25" customHeight="1">
      <c r="A11861" s="2" t="s">
        <v>12</v>
      </c>
      <c r="B11861" s="2" t="str">
        <f>HYPERLINK("http://bbs.12365auto.com/postcontent.aspx?tID=193356","发动机核心技术到底掌握在哪些国家手里")</f>
        <v>发动机核心技术到底掌握在哪些国家手里</v>
      </c>
      <c r="C11861" s="2" t="s">
        <v>13</v>
      </c>
      <c r="D11861" s="2" t="s">
        <v>12</v>
      </c>
      <c r="E11861" s="2" t="s">
        <v>28</v>
      </c>
      <c r="F11861" s="2" t="str">
        <f>HYPERLINK("http://bbs.12365auto.com/postcontent.aspx?tID=193356","http://bbs.12365auto.com/postcontent.aspx?tID=193356")</f>
        <v>http://bbs.12365auto.com/postcontent.aspx?tID=193356</v>
      </c>
      <c r="G11861" s="2"/>
      <c r="H11861" s="2" t="s">
        <v>15869</v>
      </c>
      <c r="I11861" s="2" t="s">
        <v>15</v>
      </c>
      <c r="J11861" s="2" t="s">
        <v>9055</v>
      </c>
      <c r="K11861" s="2" t="s">
        <v>15870</v>
      </c>
      <c r="L11861" s="2">
        <f t="shared" si="185"/>
        <v>150</v>
      </c>
    </row>
    <row r="11862" spans="1:12" ht="25" customHeight="1">
      <c r="A11862" s="2" t="s">
        <v>12</v>
      </c>
      <c r="B11862" s="2" t="str">
        <f>HYPERLINK("http://bbs.12365auto.com/postcontent.aspx?tID=193357","SUV比轿车安全吗 为什么")</f>
        <v>SUV比轿车安全吗 为什么</v>
      </c>
      <c r="C11862" s="2" t="s">
        <v>13</v>
      </c>
      <c r="D11862" s="2" t="s">
        <v>12</v>
      </c>
      <c r="E11862" s="2" t="s">
        <v>28</v>
      </c>
      <c r="F11862" s="2" t="str">
        <f>HYPERLINK("http://bbs.12365auto.com/postcontent.aspx?tID=193357","http://bbs.12365auto.com/postcontent.aspx?tID=193357")</f>
        <v>http://bbs.12365auto.com/postcontent.aspx?tID=193357</v>
      </c>
      <c r="G11862" s="2"/>
      <c r="H11862" s="2" t="s">
        <v>15871</v>
      </c>
      <c r="I11862" s="2" t="s">
        <v>15</v>
      </c>
      <c r="J11862" s="2" t="s">
        <v>9055</v>
      </c>
      <c r="K11862" s="2" t="s">
        <v>15870</v>
      </c>
      <c r="L11862" s="2">
        <f t="shared" si="185"/>
        <v>150</v>
      </c>
    </row>
    <row r="11863" spans="1:12" ht="25" customHeight="1">
      <c r="A11863" s="2" t="s">
        <v>12</v>
      </c>
      <c r="B11863" s="2" t="str">
        <f>HYPERLINK("http://www.12365auto.com/zlts/20200205/446387.shtml","一汽大众奥迪Q3天窗漏水严重希望处理")</f>
        <v>一汽大众奥迪Q3天窗漏水严重希望处理</v>
      </c>
      <c r="C11863" s="2" t="s">
        <v>13</v>
      </c>
      <c r="D11863" s="2" t="s">
        <v>12</v>
      </c>
      <c r="E11863" s="2" t="s">
        <v>17</v>
      </c>
      <c r="F11863" s="2" t="str">
        <f>HYPERLINK("http://www.12365auto.com/zlts/20200205/446387.shtml","http://www.12365auto.com/zlts/20200205/446387.shtml")</f>
        <v>http://www.12365auto.com/zlts/20200205/446387.shtml</v>
      </c>
      <c r="G11863" s="2"/>
      <c r="H11863" s="2" t="s">
        <v>15872</v>
      </c>
      <c r="I11863" s="2" t="s">
        <v>15</v>
      </c>
      <c r="J11863" s="2" t="s">
        <v>12</v>
      </c>
      <c r="K11863" s="2" t="s">
        <v>15870</v>
      </c>
      <c r="L11863" s="2">
        <f t="shared" si="185"/>
        <v>150</v>
      </c>
    </row>
    <row r="11864" spans="1:12" ht="25" customHeight="1">
      <c r="A11864" s="2" t="s">
        <v>12</v>
      </c>
      <c r="B11864" s="2" t="str">
        <f>HYPERLINK("http://bbs.12365auto.com/postcontent.aspx?tId=193358","长安福特蒙迪欧发动机抖动动力不足油耗高")</f>
        <v>长安福特蒙迪欧发动机抖动动力不足油耗高</v>
      </c>
      <c r="C11864" s="2" t="s">
        <v>13</v>
      </c>
      <c r="D11864" s="2" t="s">
        <v>12</v>
      </c>
      <c r="E11864" s="2" t="s">
        <v>66</v>
      </c>
      <c r="F11864" s="2" t="str">
        <f>HYPERLINK("http://bbs.12365auto.com/postcontent.aspx?tId=193358","http://bbs.12365auto.com/postcontent.aspx?tId=193358")</f>
        <v>http://bbs.12365auto.com/postcontent.aspx?tId=193358</v>
      </c>
      <c r="G11864" s="2"/>
      <c r="H11864" s="2" t="s">
        <v>15873</v>
      </c>
      <c r="I11864" s="2" t="s">
        <v>15</v>
      </c>
      <c r="J11864" s="2" t="s">
        <v>15254</v>
      </c>
      <c r="K11864" s="2" t="s">
        <v>15870</v>
      </c>
      <c r="L11864" s="2">
        <f t="shared" si="185"/>
        <v>82</v>
      </c>
    </row>
    <row r="11865" spans="1:12" ht="25" customHeight="1">
      <c r="A11865" s="2" t="s">
        <v>12</v>
      </c>
      <c r="B11865" s="2" t="str">
        <f>HYPERLINK("http://bbs.12365auto.com/postcontent.aspx?tId=193357","SUV比轿车安全吗 为什么")</f>
        <v>SUV比轿车安全吗 为什么</v>
      </c>
      <c r="C11865" s="2" t="s">
        <v>13</v>
      </c>
      <c r="D11865" s="2" t="s">
        <v>12</v>
      </c>
      <c r="E11865" s="2" t="s">
        <v>27</v>
      </c>
      <c r="F11865" s="2" t="str">
        <f>HYPERLINK("http://bbs.12365auto.com/postcontent.aspx?tId=193357","http://bbs.12365auto.com/postcontent.aspx?tId=193357")</f>
        <v>http://bbs.12365auto.com/postcontent.aspx?tId=193357</v>
      </c>
      <c r="G11865" s="2"/>
      <c r="H11865" s="2" t="s">
        <v>15874</v>
      </c>
      <c r="I11865" s="2" t="s">
        <v>15</v>
      </c>
      <c r="J11865" s="2" t="s">
        <v>9055</v>
      </c>
      <c r="K11865" s="2" t="s">
        <v>15870</v>
      </c>
      <c r="L11865" s="2">
        <f t="shared" si="185"/>
        <v>150</v>
      </c>
    </row>
    <row r="11866" spans="1:12" ht="25" customHeight="1">
      <c r="A11866" s="2" t="s">
        <v>12</v>
      </c>
      <c r="B11866" s="2" t="str">
        <f>HYPERLINK("http://bbs.12365auto.com/postcontent.aspx?tId=193356","发动机核心技术到底掌握在哪些国家手里")</f>
        <v>发动机核心技术到底掌握在哪些国家手里</v>
      </c>
      <c r="C11866" s="2" t="s">
        <v>13</v>
      </c>
      <c r="D11866" s="2" t="s">
        <v>12</v>
      </c>
      <c r="E11866" s="2" t="s">
        <v>27</v>
      </c>
      <c r="F11866" s="2" t="str">
        <f>HYPERLINK("http://bbs.12365auto.com/postcontent.aspx?tId=193356","http://bbs.12365auto.com/postcontent.aspx?tId=193356")</f>
        <v>http://bbs.12365auto.com/postcontent.aspx?tId=193356</v>
      </c>
      <c r="G11866" s="2"/>
      <c r="H11866" s="2" t="s">
        <v>15875</v>
      </c>
      <c r="I11866" s="2" t="s">
        <v>15</v>
      </c>
      <c r="J11866" s="2" t="s">
        <v>9055</v>
      </c>
      <c r="K11866" s="2" t="s">
        <v>15870</v>
      </c>
      <c r="L11866" s="2">
        <f t="shared" si="185"/>
        <v>150</v>
      </c>
    </row>
    <row r="11867" spans="1:12" ht="25" customHeight="1">
      <c r="A11867" s="2" t="s">
        <v>12</v>
      </c>
      <c r="B11867" s="2" t="str">
        <f>HYPERLINK("http://bbs.12365auto.com/postcontent.aspx?tID=193358","长安福特蒙迪欧发动机抖动动力不足油耗高")</f>
        <v>长安福特蒙迪欧发动机抖动动力不足油耗高</v>
      </c>
      <c r="C11867" s="2" t="s">
        <v>13</v>
      </c>
      <c r="D11867" s="2" t="s">
        <v>12</v>
      </c>
      <c r="E11867" s="2" t="s">
        <v>67</v>
      </c>
      <c r="F11867" s="2" t="str">
        <f>HYPERLINK("http://bbs.12365auto.com/postcontent.aspx?tID=193358","http://bbs.12365auto.com/postcontent.aspx?tID=193358")</f>
        <v>http://bbs.12365auto.com/postcontent.aspx?tID=193358</v>
      </c>
      <c r="G11867" s="2"/>
      <c r="H11867" s="2" t="s">
        <v>15876</v>
      </c>
      <c r="I11867" s="2" t="s">
        <v>15</v>
      </c>
      <c r="J11867" s="2" t="s">
        <v>15254</v>
      </c>
      <c r="K11867" s="2" t="s">
        <v>15870</v>
      </c>
      <c r="L11867" s="2">
        <f t="shared" si="185"/>
        <v>101</v>
      </c>
    </row>
    <row r="11868" spans="1:12" ht="25" customHeight="1">
      <c r="A11868" s="2" t="s">
        <v>12</v>
      </c>
      <c r="B11868" s="2" t="str">
        <f>HYPERLINK("http://m.12365auto.com/bbs/postcontent.aspx?tID=193356","发动机核心技术到底掌握在哪些国家手里")</f>
        <v>发动机核心技术到底掌握在哪些国家手里</v>
      </c>
      <c r="C11868" s="2" t="s">
        <v>13</v>
      </c>
      <c r="D11868" s="2" t="s">
        <v>23</v>
      </c>
      <c r="E11868" s="2"/>
      <c r="F11868" s="2" t="str">
        <f>HYPERLINK("http://m.12365auto.com/bbs/postcontent.aspx?tID=193356","http://m.12365auto.com/bbs/postcontent.aspx?tID=193356")</f>
        <v>http://m.12365auto.com/bbs/postcontent.aspx?tID=193356</v>
      </c>
      <c r="G11868" s="2"/>
      <c r="H11868" s="2" t="s">
        <v>15875</v>
      </c>
      <c r="I11868" s="2" t="s">
        <v>15</v>
      </c>
      <c r="J11868" s="2" t="s">
        <v>9055</v>
      </c>
      <c r="K11868" s="2" t="s">
        <v>15870</v>
      </c>
      <c r="L11868" s="2">
        <f t="shared" si="185"/>
        <v>150</v>
      </c>
    </row>
    <row r="11869" spans="1:12" ht="25" customHeight="1">
      <c r="A11869" s="2" t="s">
        <v>12</v>
      </c>
      <c r="B11869" s="2" t="str">
        <f>HYPERLINK("http://m.12365auto.com/bbs/postcontent.aspx?tID=193357","SUV比轿车安全吗 为什么")</f>
        <v>SUV比轿车安全吗 为什么</v>
      </c>
      <c r="C11869" s="2" t="s">
        <v>13</v>
      </c>
      <c r="D11869" s="2" t="s">
        <v>23</v>
      </c>
      <c r="E11869" s="2"/>
      <c r="F11869" s="2" t="str">
        <f>HYPERLINK("http://m.12365auto.com/bbs/postcontent.aspx?tID=193357","http://m.12365auto.com/bbs/postcontent.aspx?tID=193357")</f>
        <v>http://m.12365auto.com/bbs/postcontent.aspx?tID=193357</v>
      </c>
      <c r="G11869" s="2"/>
      <c r="H11869" s="2" t="s">
        <v>15874</v>
      </c>
      <c r="I11869" s="2" t="s">
        <v>15</v>
      </c>
      <c r="J11869" s="2" t="s">
        <v>9055</v>
      </c>
      <c r="K11869" s="2" t="s">
        <v>15870</v>
      </c>
      <c r="L11869" s="2">
        <f t="shared" si="185"/>
        <v>150</v>
      </c>
    </row>
    <row r="11870" spans="1:12" ht="25" customHeight="1">
      <c r="A11870" s="2" t="s">
        <v>12</v>
      </c>
      <c r="B11870" s="2" t="str">
        <f>HYPERLINK("http://m.12365auto.com/bbs/postcontent.aspx?tID=193358","长安福特蒙迪欧发动机抖动动力不足油耗高")</f>
        <v>长安福特蒙迪欧发动机抖动动力不足油耗高</v>
      </c>
      <c r="C11870" s="2" t="s">
        <v>13</v>
      </c>
      <c r="D11870" s="2" t="s">
        <v>23</v>
      </c>
      <c r="E11870" s="2"/>
      <c r="F11870" s="2" t="str">
        <f>HYPERLINK("http://m.12365auto.com/bbs/postcontent.aspx?tID=193358","http://m.12365auto.com/bbs/postcontent.aspx?tID=193358")</f>
        <v>http://m.12365auto.com/bbs/postcontent.aspx?tID=193358</v>
      </c>
      <c r="G11870" s="2"/>
      <c r="H11870" s="2" t="s">
        <v>15873</v>
      </c>
      <c r="I11870" s="2" t="s">
        <v>15</v>
      </c>
      <c r="J11870" s="2" t="s">
        <v>15254</v>
      </c>
      <c r="K11870" s="2" t="s">
        <v>15870</v>
      </c>
      <c r="L11870" s="2">
        <f t="shared" si="185"/>
        <v>82</v>
      </c>
    </row>
    <row r="11871" spans="1:12" ht="25" customHeight="1">
      <c r="A11871" s="2" t="s">
        <v>12</v>
      </c>
      <c r="B11871" s="2" t="str">
        <f>HYPERLINK("http://m.12365auto.com/news/20200205/417721.shtml","过完年就上新 广汽传祺公布新车规划")</f>
        <v>过完年就上新 广汽传祺公布新车规划</v>
      </c>
      <c r="C11871" s="2" t="s">
        <v>13</v>
      </c>
      <c r="D11871" s="2" t="s">
        <v>12</v>
      </c>
      <c r="E11871" s="2"/>
      <c r="F11871" s="2" t="str">
        <f>HYPERLINK("http://m.12365auto.com/news/20200205/417721.shtml","http://m.12365auto.com/news/20200205/417721.shtml")</f>
        <v>http://m.12365auto.com/news/20200205/417721.shtml</v>
      </c>
      <c r="G11871" s="2"/>
      <c r="H11871" s="2" t="s">
        <v>15877</v>
      </c>
      <c r="I11871" s="2" t="s">
        <v>19</v>
      </c>
      <c r="J11871" s="2" t="s">
        <v>7937</v>
      </c>
      <c r="K11871" s="2" t="s">
        <v>15878</v>
      </c>
      <c r="L11871" s="2">
        <f t="shared" si="185"/>
        <v>150</v>
      </c>
    </row>
    <row r="11872" spans="1:12" ht="25" customHeight="1">
      <c r="A11872" s="2" t="s">
        <v>12</v>
      </c>
      <c r="B11872" s="2" t="str">
        <f>HYPERLINK("http://bbs.12365auto.com/postcontent.aspx?tID=193355","揭秘三大品牌的独门绝技")</f>
        <v>揭秘三大品牌的独门绝技</v>
      </c>
      <c r="C11872" s="2" t="s">
        <v>13</v>
      </c>
      <c r="D11872" s="2" t="s">
        <v>12</v>
      </c>
      <c r="E11872" s="2" t="s">
        <v>28</v>
      </c>
      <c r="F11872" s="2" t="str">
        <f>HYPERLINK("http://bbs.12365auto.com/postcontent.aspx?tID=193355","http://bbs.12365auto.com/postcontent.aspx?tID=193355")</f>
        <v>http://bbs.12365auto.com/postcontent.aspx?tID=193355</v>
      </c>
      <c r="G11872" s="2"/>
      <c r="H11872" s="2" t="s">
        <v>15879</v>
      </c>
      <c r="I11872" s="2" t="s">
        <v>15</v>
      </c>
      <c r="J11872" s="2" t="s">
        <v>9055</v>
      </c>
      <c r="K11872" s="2" t="s">
        <v>15878</v>
      </c>
      <c r="L11872" s="2">
        <f t="shared" si="185"/>
        <v>150</v>
      </c>
    </row>
    <row r="11873" spans="1:12" ht="25" customHeight="1">
      <c r="A11873" s="2" t="s">
        <v>12</v>
      </c>
      <c r="B11873" s="2" t="str">
        <f>HYPERLINK("http://bbs.12365auto.com/postcontent.aspx?tID=193354","什么时候才有国产四驱系统")</f>
        <v>什么时候才有国产四驱系统</v>
      </c>
      <c r="C11873" s="2" t="s">
        <v>13</v>
      </c>
      <c r="D11873" s="2" t="s">
        <v>12</v>
      </c>
      <c r="E11873" s="2" t="s">
        <v>28</v>
      </c>
      <c r="F11873" s="2" t="str">
        <f>HYPERLINK("http://bbs.12365auto.com/postcontent.aspx?tID=193354","http://bbs.12365auto.com/postcontent.aspx?tID=193354")</f>
        <v>http://bbs.12365auto.com/postcontent.aspx?tID=193354</v>
      </c>
      <c r="G11873" s="2"/>
      <c r="H11873" s="2" t="s">
        <v>15880</v>
      </c>
      <c r="I11873" s="2" t="s">
        <v>15</v>
      </c>
      <c r="J11873" s="2" t="s">
        <v>9055</v>
      </c>
      <c r="K11873" s="2" t="s">
        <v>15878</v>
      </c>
      <c r="L11873" s="2">
        <f t="shared" si="185"/>
        <v>150</v>
      </c>
    </row>
    <row r="11874" spans="1:12" ht="25" customHeight="1">
      <c r="A11874" s="2" t="s">
        <v>12</v>
      </c>
      <c r="B11874" s="2" t="str">
        <f>HYPERLINK("http://bbs.12365auto.com/postcontent.aspx?tId=193355","揭秘三大品牌的独门绝技")</f>
        <v>揭秘三大品牌的独门绝技</v>
      </c>
      <c r="C11874" s="2" t="s">
        <v>13</v>
      </c>
      <c r="D11874" s="2" t="s">
        <v>12</v>
      </c>
      <c r="E11874" s="2" t="s">
        <v>27</v>
      </c>
      <c r="F11874" s="2" t="str">
        <f>HYPERLINK("http://bbs.12365auto.com/postcontent.aspx?tId=193355","http://bbs.12365auto.com/postcontent.aspx?tId=193355")</f>
        <v>http://bbs.12365auto.com/postcontent.aspx?tId=193355</v>
      </c>
      <c r="G11874" s="2"/>
      <c r="H11874" s="2" t="s">
        <v>15881</v>
      </c>
      <c r="I11874" s="2" t="s">
        <v>15</v>
      </c>
      <c r="J11874" s="2" t="s">
        <v>9055</v>
      </c>
      <c r="K11874" s="2" t="s">
        <v>15878</v>
      </c>
      <c r="L11874" s="2">
        <f t="shared" si="185"/>
        <v>150</v>
      </c>
    </row>
    <row r="11875" spans="1:12" ht="25" customHeight="1">
      <c r="A11875" s="2" t="s">
        <v>12</v>
      </c>
      <c r="B11875" s="2" t="str">
        <f>HYPERLINK("http://bbs.12365auto.com/postcontent.aspx?tId=193354","什么时候才有国产四驱系统")</f>
        <v>什么时候才有国产四驱系统</v>
      </c>
      <c r="C11875" s="2" t="s">
        <v>13</v>
      </c>
      <c r="D11875" s="2" t="s">
        <v>12</v>
      </c>
      <c r="E11875" s="2" t="s">
        <v>27</v>
      </c>
      <c r="F11875" s="2" t="str">
        <f>HYPERLINK("http://bbs.12365auto.com/postcontent.aspx?tId=193354","http://bbs.12365auto.com/postcontent.aspx?tId=193354")</f>
        <v>http://bbs.12365auto.com/postcontent.aspx?tId=193354</v>
      </c>
      <c r="G11875" s="2"/>
      <c r="H11875" s="2" t="s">
        <v>15882</v>
      </c>
      <c r="I11875" s="2" t="s">
        <v>15</v>
      </c>
      <c r="J11875" s="2" t="s">
        <v>9055</v>
      </c>
      <c r="K11875" s="2" t="s">
        <v>15878</v>
      </c>
      <c r="L11875" s="2">
        <f t="shared" si="185"/>
        <v>150</v>
      </c>
    </row>
    <row r="11876" spans="1:12" ht="25" customHeight="1">
      <c r="A11876" s="2" t="s">
        <v>12</v>
      </c>
      <c r="B11876" s="2" t="str">
        <f>HYPERLINK("http://m.12365auto.com/bbs/postcontent.aspx?tID=193355","揭秘三大品牌的独门绝技")</f>
        <v>揭秘三大品牌的独门绝技</v>
      </c>
      <c r="C11876" s="2" t="s">
        <v>13</v>
      </c>
      <c r="D11876" s="2" t="s">
        <v>23</v>
      </c>
      <c r="E11876" s="2"/>
      <c r="F11876" s="2" t="str">
        <f>HYPERLINK("http://m.12365auto.com/bbs/postcontent.aspx?tID=193355","http://m.12365auto.com/bbs/postcontent.aspx?tID=193355")</f>
        <v>http://m.12365auto.com/bbs/postcontent.aspx?tID=193355</v>
      </c>
      <c r="G11876" s="2"/>
      <c r="H11876" s="2" t="s">
        <v>15881</v>
      </c>
      <c r="I11876" s="2" t="s">
        <v>15</v>
      </c>
      <c r="J11876" s="2" t="s">
        <v>9055</v>
      </c>
      <c r="K11876" s="2" t="s">
        <v>15878</v>
      </c>
      <c r="L11876" s="2">
        <f t="shared" si="185"/>
        <v>150</v>
      </c>
    </row>
    <row r="11877" spans="1:12" ht="25" customHeight="1">
      <c r="A11877" s="2" t="s">
        <v>12</v>
      </c>
      <c r="B11877" s="2" t="str">
        <f>HYPERLINK("http://m.12365auto.com/bbs/postcontent.aspx?tID=193354","什么时候才有国产四驱系统")</f>
        <v>什么时候才有国产四驱系统</v>
      </c>
      <c r="C11877" s="2" t="s">
        <v>13</v>
      </c>
      <c r="D11877" s="2" t="s">
        <v>23</v>
      </c>
      <c r="E11877" s="2"/>
      <c r="F11877" s="2" t="str">
        <f>HYPERLINK("http://m.12365auto.com/bbs/postcontent.aspx?tID=193354","http://m.12365auto.com/bbs/postcontent.aspx?tID=193354")</f>
        <v>http://m.12365auto.com/bbs/postcontent.aspx?tID=193354</v>
      </c>
      <c r="G11877" s="2"/>
      <c r="H11877" s="2" t="s">
        <v>15882</v>
      </c>
      <c r="I11877" s="2" t="s">
        <v>15</v>
      </c>
      <c r="J11877" s="2" t="s">
        <v>9055</v>
      </c>
      <c r="K11877" s="2" t="s">
        <v>15878</v>
      </c>
      <c r="L11877" s="2">
        <f t="shared" si="185"/>
        <v>150</v>
      </c>
    </row>
    <row r="11878" spans="1:12" ht="25" customHeight="1">
      <c r="A11878" s="2" t="s">
        <v>12</v>
      </c>
      <c r="B11878" s="2" t="str">
        <f>HYPERLINK("http://www.12365auto.com/news/20200205/417721.shtml","过完年就上新 广汽传祺公布新车规划")</f>
        <v>过完年就上新 广汽传祺公布新车规划</v>
      </c>
      <c r="C11878" s="2" t="s">
        <v>13</v>
      </c>
      <c r="D11878" s="2" t="s">
        <v>12</v>
      </c>
      <c r="E11878" s="2" t="s">
        <v>276</v>
      </c>
      <c r="F11878" s="2" t="str">
        <f>HYPERLINK("http://www.12365auto.com/news/20200205/417721.shtml","http://www.12365auto.com/news/20200205/417721.shtml")</f>
        <v>http://www.12365auto.com/news/20200205/417721.shtml</v>
      </c>
      <c r="G11878" s="2"/>
      <c r="H11878" s="2" t="s">
        <v>15883</v>
      </c>
      <c r="I11878" s="2" t="s">
        <v>15</v>
      </c>
      <c r="J11878" s="2" t="s">
        <v>12</v>
      </c>
      <c r="K11878" s="2" t="s">
        <v>15878</v>
      </c>
      <c r="L11878" s="2">
        <f t="shared" si="185"/>
        <v>150</v>
      </c>
    </row>
    <row r="11879" spans="1:12" ht="25" customHeight="1">
      <c r="A11879" s="2" t="s">
        <v>12</v>
      </c>
      <c r="B11879" s="2" t="str">
        <f>HYPERLINK("http://www.12365auto.com/zlts/20200205/446382.shtml","转向柱异响")</f>
        <v>转向柱异响</v>
      </c>
      <c r="C11879" s="2" t="s">
        <v>13</v>
      </c>
      <c r="D11879" s="2" t="s">
        <v>12</v>
      </c>
      <c r="E11879" s="2"/>
      <c r="F11879" s="2" t="str">
        <f>HYPERLINK("http://www.12365auto.com/zlts/20200205/446382.shtml","http://www.12365auto.com/zlts/20200205/446382.shtml")</f>
        <v>http://www.12365auto.com/zlts/20200205/446382.shtml</v>
      </c>
      <c r="G11879" s="2"/>
      <c r="H11879" s="2" t="s">
        <v>15885</v>
      </c>
      <c r="I11879" s="2" t="s">
        <v>15</v>
      </c>
      <c r="J11879" s="2" t="s">
        <v>12</v>
      </c>
      <c r="K11879" s="2" t="s">
        <v>15884</v>
      </c>
      <c r="L11879" s="2">
        <f t="shared" si="185"/>
        <v>85</v>
      </c>
    </row>
    <row r="11880" spans="1:12" ht="25" customHeight="1">
      <c r="A11880" s="2" t="s">
        <v>12</v>
      </c>
      <c r="B11880" s="2" t="str">
        <f>HYPERLINK("http://bbs.12365auto.com/postcontent.aspx?tId=193353","荣威RX5转向灯复位时大灯自动关闭")</f>
        <v>荣威RX5转向灯复位时大灯自动关闭</v>
      </c>
      <c r="C11880" s="2" t="s">
        <v>13</v>
      </c>
      <c r="D11880" s="2" t="s">
        <v>12</v>
      </c>
      <c r="E11880" s="2" t="s">
        <v>66</v>
      </c>
      <c r="F11880" s="2" t="str">
        <f>HYPERLINK("http://bbs.12365auto.com/postcontent.aspx?tId=193353","http://bbs.12365auto.com/postcontent.aspx?tId=193353")</f>
        <v>http://bbs.12365auto.com/postcontent.aspx?tId=193353</v>
      </c>
      <c r="G11880" s="2"/>
      <c r="H11880" s="2" t="s">
        <v>15886</v>
      </c>
      <c r="I11880" s="2" t="s">
        <v>15</v>
      </c>
      <c r="J11880" s="2" t="s">
        <v>15260</v>
      </c>
      <c r="K11880" s="2" t="s">
        <v>15887</v>
      </c>
      <c r="L11880" s="2">
        <f t="shared" si="185"/>
        <v>148</v>
      </c>
    </row>
    <row r="11881" spans="1:12" ht="25" customHeight="1">
      <c r="A11881" s="2" t="s">
        <v>12</v>
      </c>
      <c r="B11881" s="2" t="str">
        <f>HYPERLINK("http://m.12365auto.com/bbs/postcontent.aspx?tID=193353","荣威RX5转向灯复位时大灯自动关闭")</f>
        <v>荣威RX5转向灯复位时大灯自动关闭</v>
      </c>
      <c r="C11881" s="2" t="s">
        <v>13</v>
      </c>
      <c r="D11881" s="2" t="s">
        <v>23</v>
      </c>
      <c r="E11881" s="2"/>
      <c r="F11881" s="2" t="str">
        <f>HYPERLINK("http://m.12365auto.com/bbs/postcontent.aspx?tID=193353","http://m.12365auto.com/bbs/postcontent.aspx?tID=193353")</f>
        <v>http://m.12365auto.com/bbs/postcontent.aspx?tID=193353</v>
      </c>
      <c r="G11881" s="2"/>
      <c r="H11881" s="2" t="s">
        <v>15886</v>
      </c>
      <c r="I11881" s="2" t="s">
        <v>15</v>
      </c>
      <c r="J11881" s="2" t="s">
        <v>15260</v>
      </c>
      <c r="K11881" s="2" t="s">
        <v>15887</v>
      </c>
      <c r="L11881" s="2">
        <f t="shared" si="185"/>
        <v>148</v>
      </c>
    </row>
    <row r="11882" spans="1:12" ht="25" customHeight="1">
      <c r="A11882" s="2" t="s">
        <v>12</v>
      </c>
      <c r="B11882" s="2" t="str">
        <f>HYPERLINK("http://bbs.12365auto.com/postcontent.aspx?tID=193353","荣威RX5转向灯复位时大灯自动关闭")</f>
        <v>荣威RX5转向灯复位时大灯自动关闭</v>
      </c>
      <c r="C11882" s="2" t="s">
        <v>13</v>
      </c>
      <c r="D11882" s="2" t="s">
        <v>12</v>
      </c>
      <c r="E11882" s="2" t="s">
        <v>67</v>
      </c>
      <c r="F11882" s="2" t="str">
        <f>HYPERLINK("http://bbs.12365auto.com/postcontent.aspx?tID=193353","http://bbs.12365auto.com/postcontent.aspx?tID=193353")</f>
        <v>http://bbs.12365auto.com/postcontent.aspx?tID=193353</v>
      </c>
      <c r="G11882" s="2"/>
      <c r="H11882" s="2" t="s">
        <v>15888</v>
      </c>
      <c r="I11882" s="2" t="s">
        <v>15</v>
      </c>
      <c r="J11882" s="2" t="s">
        <v>15260</v>
      </c>
      <c r="K11882" s="2" t="s">
        <v>15887</v>
      </c>
      <c r="L11882" s="2">
        <f t="shared" si="185"/>
        <v>150</v>
      </c>
    </row>
    <row r="11883" spans="1:12" ht="25" customHeight="1">
      <c r="A11883" s="2" t="s">
        <v>12</v>
      </c>
      <c r="B11883" s="2" t="str">
        <f>HYPERLINK("http://bbs.12365auto.com/postcontent.aspx?tId=193352","一汽大众迈腾减震器异响刹车异响尾灯开裂")</f>
        <v>一汽大众迈腾减震器异响刹车异响尾灯开裂</v>
      </c>
      <c r="C11883" s="2" t="s">
        <v>13</v>
      </c>
      <c r="D11883" s="2" t="s">
        <v>12</v>
      </c>
      <c r="E11883" s="2" t="s">
        <v>66</v>
      </c>
      <c r="F11883" s="2" t="str">
        <f>HYPERLINK("http://bbs.12365auto.com/postcontent.aspx?tId=193352","http://bbs.12365auto.com/postcontent.aspx?tId=193352")</f>
        <v>http://bbs.12365auto.com/postcontent.aspx?tId=193352</v>
      </c>
      <c r="G11883" s="2"/>
      <c r="H11883" s="2" t="s">
        <v>15889</v>
      </c>
      <c r="I11883" s="2" t="s">
        <v>15</v>
      </c>
      <c r="J11883" s="2" t="s">
        <v>15890</v>
      </c>
      <c r="K11883" s="2" t="s">
        <v>15891</v>
      </c>
      <c r="L11883" s="2">
        <f t="shared" si="185"/>
        <v>73</v>
      </c>
    </row>
    <row r="11884" spans="1:12" ht="25" customHeight="1">
      <c r="A11884" s="2" t="s">
        <v>12</v>
      </c>
      <c r="B11884" s="2" t="str">
        <f>HYPERLINK("http://m.12365auto.com/bbs/postcontent.aspx?tID=193352","一汽大众迈腾减震器异响刹车异响尾灯开裂")</f>
        <v>一汽大众迈腾减震器异响刹车异响尾灯开裂</v>
      </c>
      <c r="C11884" s="2" t="s">
        <v>13</v>
      </c>
      <c r="D11884" s="2" t="s">
        <v>23</v>
      </c>
      <c r="E11884" s="2"/>
      <c r="F11884" s="2" t="str">
        <f>HYPERLINK("http://m.12365auto.com/bbs/postcontent.aspx?tID=193352","http://m.12365auto.com/bbs/postcontent.aspx?tID=193352")</f>
        <v>http://m.12365auto.com/bbs/postcontent.aspx?tID=193352</v>
      </c>
      <c r="G11884" s="2"/>
      <c r="H11884" s="2" t="s">
        <v>15889</v>
      </c>
      <c r="I11884" s="2" t="s">
        <v>15</v>
      </c>
      <c r="J11884" s="2" t="s">
        <v>15890</v>
      </c>
      <c r="K11884" s="2" t="s">
        <v>15891</v>
      </c>
      <c r="L11884" s="2">
        <f t="shared" si="185"/>
        <v>73</v>
      </c>
    </row>
    <row r="11885" spans="1:12" ht="25" customHeight="1">
      <c r="A11885" s="2" t="s">
        <v>12</v>
      </c>
      <c r="B11885" s="2" t="str">
        <f>HYPERLINK("http://bbs.12365auto.com/postcontent.aspx?tID=193352","一汽大众迈腾减震器异响刹车异响尾灯开裂")</f>
        <v>一汽大众迈腾减震器异响刹车异响尾灯开裂</v>
      </c>
      <c r="C11885" s="2" t="s">
        <v>13</v>
      </c>
      <c r="D11885" s="2" t="s">
        <v>12</v>
      </c>
      <c r="E11885" s="2" t="s">
        <v>67</v>
      </c>
      <c r="F11885" s="2" t="str">
        <f>HYPERLINK("http://bbs.12365auto.com/postcontent.aspx?tID=193352","http://bbs.12365auto.com/postcontent.aspx?tID=193352")</f>
        <v>http://bbs.12365auto.com/postcontent.aspx?tID=193352</v>
      </c>
      <c r="G11885" s="2"/>
      <c r="H11885" s="2" t="s">
        <v>15892</v>
      </c>
      <c r="I11885" s="2" t="s">
        <v>15</v>
      </c>
      <c r="J11885" s="2" t="s">
        <v>15890</v>
      </c>
      <c r="K11885" s="2" t="s">
        <v>15891</v>
      </c>
      <c r="L11885" s="2">
        <f t="shared" si="185"/>
        <v>92</v>
      </c>
    </row>
    <row r="11886" spans="1:12" ht="25" customHeight="1">
      <c r="A11886" s="2" t="s">
        <v>12</v>
      </c>
      <c r="B11886" s="2" t="str">
        <f>HYPERLINK("http://www.12365auto.com/zlts/20200205/446386.shtml","长安CS75 PLUS电瓶亏电打不着火")</f>
        <v>长安CS75 PLUS电瓶亏电打不着火</v>
      </c>
      <c r="C11886" s="2" t="s">
        <v>13</v>
      </c>
      <c r="D11886" s="2" t="s">
        <v>12</v>
      </c>
      <c r="E11886" s="2" t="s">
        <v>17</v>
      </c>
      <c r="F11886" s="2" t="str">
        <f>HYPERLINK("http://www.12365auto.com/zlts/20200205/446386.shtml","http://www.12365auto.com/zlts/20200205/446386.shtml")</f>
        <v>http://www.12365auto.com/zlts/20200205/446386.shtml</v>
      </c>
      <c r="G11886" s="2"/>
      <c r="H11886" s="2" t="s">
        <v>15893</v>
      </c>
      <c r="I11886" s="2" t="s">
        <v>15</v>
      </c>
      <c r="J11886" s="2" t="s">
        <v>12</v>
      </c>
      <c r="K11886" s="2" t="s">
        <v>15894</v>
      </c>
      <c r="L11886" s="2">
        <f t="shared" si="185"/>
        <v>150</v>
      </c>
    </row>
    <row r="11887" spans="1:12" ht="25" customHeight="1">
      <c r="A11887" s="2" t="s">
        <v>12</v>
      </c>
      <c r="B11887" s="2" t="str">
        <f>HYPERLINK("http://www.12365auto.com/xcdg/20200205/417720.shtml","宝马M235i Gran Coupe上市 售价约27万起")</f>
        <v>宝马M235i Gran Coupe上市 售价约27万起</v>
      </c>
      <c r="C11887" s="2" t="s">
        <v>13</v>
      </c>
      <c r="D11887" s="2" t="s">
        <v>12</v>
      </c>
      <c r="E11887" s="2" t="s">
        <v>245</v>
      </c>
      <c r="F11887" s="2" t="str">
        <f>HYPERLINK("http://www.12365auto.com/xcdg/20200205/417720.shtml","http://www.12365auto.com/xcdg/20200205/417720.shtml")</f>
        <v>http://www.12365auto.com/xcdg/20200205/417720.shtml</v>
      </c>
      <c r="G11887" s="2"/>
      <c r="H11887" s="2" t="s">
        <v>15895</v>
      </c>
      <c r="I11887" s="2" t="s">
        <v>19</v>
      </c>
      <c r="J11887" s="2" t="s">
        <v>12</v>
      </c>
      <c r="K11887" s="2" t="s">
        <v>15896</v>
      </c>
      <c r="L11887" s="2">
        <f t="shared" si="185"/>
        <v>150</v>
      </c>
    </row>
    <row r="11888" spans="1:12" ht="25" customHeight="1">
      <c r="A11888" s="2" t="s">
        <v>12</v>
      </c>
      <c r="B11888" s="2" t="str">
        <f>HYPERLINK("http://m.12365auto.com/xcdg/20200205/417720.shtml","宝马M235i Gran Coupe上市 售价约27万起")</f>
        <v>宝马M235i Gran Coupe上市 售价约27万起</v>
      </c>
      <c r="C11888" s="2" t="s">
        <v>13</v>
      </c>
      <c r="D11888" s="2" t="s">
        <v>12</v>
      </c>
      <c r="E11888" s="2"/>
      <c r="F11888" s="2" t="str">
        <f>HYPERLINK("http://m.12365auto.com/xcdg/20200205/417720.shtml","http://m.12365auto.com/xcdg/20200205/417720.shtml")</f>
        <v>http://m.12365auto.com/xcdg/20200205/417720.shtml</v>
      </c>
      <c r="G11888" s="2"/>
      <c r="H11888" s="2" t="s">
        <v>15897</v>
      </c>
      <c r="I11888" s="2" t="s">
        <v>19</v>
      </c>
      <c r="J11888" s="2" t="s">
        <v>4514</v>
      </c>
      <c r="K11888" s="2" t="s">
        <v>15896</v>
      </c>
      <c r="L11888" s="2">
        <f t="shared" si="185"/>
        <v>150</v>
      </c>
    </row>
    <row r="11889" spans="1:12" ht="25" customHeight="1">
      <c r="A11889" s="2" t="s">
        <v>12</v>
      </c>
      <c r="B11889" s="2" t="str">
        <f>HYPERLINK("http://bbs.12365auto.com/postcontent.aspx?tID=193351","全铝车身轻油耗低为什么市场占有率不高")</f>
        <v>全铝车身轻油耗低为什么市场占有率不高</v>
      </c>
      <c r="C11889" s="2" t="s">
        <v>13</v>
      </c>
      <c r="D11889" s="2" t="s">
        <v>12</v>
      </c>
      <c r="E11889" s="2" t="s">
        <v>28</v>
      </c>
      <c r="F11889" s="2" t="str">
        <f>HYPERLINK("http://bbs.12365auto.com/postcontent.aspx?tID=193351","http://bbs.12365auto.com/postcontent.aspx?tID=193351")</f>
        <v>http://bbs.12365auto.com/postcontent.aspx?tID=193351</v>
      </c>
      <c r="G11889" s="2"/>
      <c r="H11889" s="2" t="s">
        <v>15898</v>
      </c>
      <c r="I11889" s="2" t="s">
        <v>15</v>
      </c>
      <c r="J11889" s="2" t="s">
        <v>9055</v>
      </c>
      <c r="K11889" s="2" t="s">
        <v>15899</v>
      </c>
      <c r="L11889" s="2">
        <f t="shared" si="185"/>
        <v>150</v>
      </c>
    </row>
    <row r="11890" spans="1:12" ht="25" customHeight="1">
      <c r="A11890" s="2" t="s">
        <v>12</v>
      </c>
      <c r="B11890" s="2" t="str">
        <f>HYPERLINK("http://bbs.12365auto.com/postcontent.aspx?tId=193351","全铝车身轻油耗低为什么市场占有率不高")</f>
        <v>全铝车身轻油耗低为什么市场占有率不高</v>
      </c>
      <c r="C11890" s="2" t="s">
        <v>13</v>
      </c>
      <c r="D11890" s="2" t="s">
        <v>12</v>
      </c>
      <c r="E11890" s="2" t="s">
        <v>27</v>
      </c>
      <c r="F11890" s="2" t="str">
        <f>HYPERLINK("http://bbs.12365auto.com/postcontent.aspx?tId=193351","http://bbs.12365auto.com/postcontent.aspx?tId=193351")</f>
        <v>http://bbs.12365auto.com/postcontent.aspx?tId=193351</v>
      </c>
      <c r="G11890" s="2"/>
      <c r="H11890" s="2" t="s">
        <v>15900</v>
      </c>
      <c r="I11890" s="2" t="s">
        <v>15</v>
      </c>
      <c r="J11890" s="2" t="s">
        <v>9055</v>
      </c>
      <c r="K11890" s="2" t="s">
        <v>15899</v>
      </c>
      <c r="L11890" s="2">
        <f t="shared" si="185"/>
        <v>150</v>
      </c>
    </row>
    <row r="11891" spans="1:12" ht="25" customHeight="1">
      <c r="A11891" s="2" t="s">
        <v>12</v>
      </c>
      <c r="B11891" s="2" t="str">
        <f>HYPERLINK("http://www.12365auto.com/zlts/20200205/446385.shtml","江淮和悦车身大面积生锈部分位置已经锈穿")</f>
        <v>江淮和悦车身大面积生锈部分位置已经锈穿</v>
      </c>
      <c r="C11891" s="2" t="s">
        <v>13</v>
      </c>
      <c r="D11891" s="2" t="s">
        <v>12</v>
      </c>
      <c r="E11891" s="2" t="s">
        <v>17</v>
      </c>
      <c r="F11891" s="2" t="str">
        <f>HYPERLINK("http://www.12365auto.com/zlts/20200205/446385.shtml","http://www.12365auto.com/zlts/20200205/446385.shtml")</f>
        <v>http://www.12365auto.com/zlts/20200205/446385.shtml</v>
      </c>
      <c r="G11891" s="2"/>
      <c r="H11891" s="2" t="s">
        <v>15901</v>
      </c>
      <c r="I11891" s="2" t="s">
        <v>19</v>
      </c>
      <c r="J11891" s="2" t="s">
        <v>12</v>
      </c>
      <c r="K11891" s="2" t="s">
        <v>15902</v>
      </c>
      <c r="L11891" s="2">
        <f t="shared" si="185"/>
        <v>150</v>
      </c>
    </row>
    <row r="11892" spans="1:12" ht="25" customHeight="1">
      <c r="A11892" s="2" t="s">
        <v>12</v>
      </c>
      <c r="B11892" s="2" t="str">
        <f>HYPERLINK("http://bbs.12365auto.com/postcontent.aspx?tID=193349","电池容量和BMS技术哪一个对续航影响更大")</f>
        <v>电池容量和BMS技术哪一个对续航影响更大</v>
      </c>
      <c r="C11892" s="2" t="s">
        <v>13</v>
      </c>
      <c r="D11892" s="2" t="s">
        <v>12</v>
      </c>
      <c r="E11892" s="2" t="s">
        <v>28</v>
      </c>
      <c r="F11892" s="2" t="str">
        <f>HYPERLINK("http://bbs.12365auto.com/postcontent.aspx?tID=193349","http://bbs.12365auto.com/postcontent.aspx?tID=193349")</f>
        <v>http://bbs.12365auto.com/postcontent.aspx?tID=193349</v>
      </c>
      <c r="G11892" s="2"/>
      <c r="H11892" s="2" t="s">
        <v>15903</v>
      </c>
      <c r="I11892" s="2" t="s">
        <v>15</v>
      </c>
      <c r="J11892" s="2" t="s">
        <v>9055</v>
      </c>
      <c r="K11892" s="2" t="s">
        <v>15904</v>
      </c>
      <c r="L11892" s="2">
        <f t="shared" si="185"/>
        <v>150</v>
      </c>
    </row>
    <row r="11893" spans="1:12" ht="25" customHeight="1">
      <c r="A11893" s="2" t="s">
        <v>12</v>
      </c>
      <c r="B11893" s="2" t="str">
        <f>HYPERLINK("http://bbs.12365auto.com/postcontent.aspx?tID=193350","卤素、氙气、LED三种光源哪个好")</f>
        <v>卤素、氙气、LED三种光源哪个好</v>
      </c>
      <c r="C11893" s="2" t="s">
        <v>13</v>
      </c>
      <c r="D11893" s="2" t="s">
        <v>12</v>
      </c>
      <c r="E11893" s="2" t="s">
        <v>28</v>
      </c>
      <c r="F11893" s="2" t="str">
        <f>HYPERLINK("http://bbs.12365auto.com/postcontent.aspx?tID=193350","http://bbs.12365auto.com/postcontent.aspx?tID=193350")</f>
        <v>http://bbs.12365auto.com/postcontent.aspx?tID=193350</v>
      </c>
      <c r="G11893" s="2"/>
      <c r="H11893" s="2" t="s">
        <v>15905</v>
      </c>
      <c r="I11893" s="2" t="s">
        <v>15</v>
      </c>
      <c r="J11893" s="2" t="s">
        <v>9055</v>
      </c>
      <c r="K11893" s="2" t="s">
        <v>15904</v>
      </c>
      <c r="L11893" s="2">
        <f t="shared" si="185"/>
        <v>150</v>
      </c>
    </row>
    <row r="11894" spans="1:12" ht="25" customHeight="1">
      <c r="A11894" s="2" t="s">
        <v>12</v>
      </c>
      <c r="B11894" s="2" t="str">
        <f>HYPERLINK("http://m.12365auto.com/xcdg/20200205/417719.shtml","保时捷新款Panamera Sport Turismo谍照")</f>
        <v>保时捷新款Panamera Sport Turismo谍照</v>
      </c>
      <c r="C11894" s="2" t="s">
        <v>13</v>
      </c>
      <c r="D11894" s="2" t="s">
        <v>12</v>
      </c>
      <c r="E11894" s="2"/>
      <c r="F11894" s="2" t="str">
        <f>HYPERLINK("http://m.12365auto.com/xcdg/20200205/417719.shtml","http://m.12365auto.com/xcdg/20200205/417719.shtml")</f>
        <v>http://m.12365auto.com/xcdg/20200205/417719.shtml</v>
      </c>
      <c r="G11894" s="2"/>
      <c r="H11894" s="2" t="s">
        <v>15906</v>
      </c>
      <c r="I11894" s="2" t="s">
        <v>19</v>
      </c>
      <c r="J11894" s="2" t="s">
        <v>992</v>
      </c>
      <c r="K11894" s="2" t="s">
        <v>15904</v>
      </c>
      <c r="L11894" s="2">
        <f t="shared" si="185"/>
        <v>150</v>
      </c>
    </row>
    <row r="11895" spans="1:12" ht="25" customHeight="1">
      <c r="A11895" s="2" t="s">
        <v>12</v>
      </c>
      <c r="B11895" s="2" t="str">
        <f>HYPERLINK("http://www.12365auto.com/xcdg/20200205/417719.shtml","保时捷新款Panamera Sport Turismo谍照")</f>
        <v>保时捷新款Panamera Sport Turismo谍照</v>
      </c>
      <c r="C11895" s="2" t="s">
        <v>13</v>
      </c>
      <c r="D11895" s="2" t="s">
        <v>12</v>
      </c>
      <c r="E11895" s="2" t="s">
        <v>224</v>
      </c>
      <c r="F11895" s="2" t="str">
        <f>HYPERLINK("http://www.12365auto.com/xcdg/20200205/417719.shtml","http://www.12365auto.com/xcdg/20200205/417719.shtml")</f>
        <v>http://www.12365auto.com/xcdg/20200205/417719.shtml</v>
      </c>
      <c r="G11895" s="2"/>
      <c r="H11895" s="2" t="s">
        <v>15907</v>
      </c>
      <c r="I11895" s="2" t="s">
        <v>15</v>
      </c>
      <c r="J11895" s="2" t="s">
        <v>12</v>
      </c>
      <c r="K11895" s="2" t="s">
        <v>15904</v>
      </c>
      <c r="L11895" s="2">
        <f t="shared" si="185"/>
        <v>150</v>
      </c>
    </row>
    <row r="11896" spans="1:12" ht="25" customHeight="1">
      <c r="A11896" s="2" t="s">
        <v>12</v>
      </c>
      <c r="B11896" s="2" t="str">
        <f>HYPERLINK("http://bbs.12365auto.com/postcontent.aspx?tId=193350","卤素、氙气、LED三种光源哪个好")</f>
        <v>卤素、氙气、LED三种光源哪个好</v>
      </c>
      <c r="C11896" s="2" t="s">
        <v>13</v>
      </c>
      <c r="D11896" s="2" t="s">
        <v>12</v>
      </c>
      <c r="E11896" s="2" t="s">
        <v>27</v>
      </c>
      <c r="F11896" s="2" t="str">
        <f>HYPERLINK("http://bbs.12365auto.com/postcontent.aspx?tId=193350","http://bbs.12365auto.com/postcontent.aspx?tId=193350")</f>
        <v>http://bbs.12365auto.com/postcontent.aspx?tId=193350</v>
      </c>
      <c r="G11896" s="2"/>
      <c r="H11896" s="2" t="s">
        <v>15908</v>
      </c>
      <c r="I11896" s="2" t="s">
        <v>15</v>
      </c>
      <c r="J11896" s="2" t="s">
        <v>9055</v>
      </c>
      <c r="K11896" s="2" t="s">
        <v>15904</v>
      </c>
      <c r="L11896" s="2">
        <f t="shared" si="185"/>
        <v>150</v>
      </c>
    </row>
    <row r="11897" spans="1:12" ht="25" customHeight="1">
      <c r="A11897" s="2" t="s">
        <v>12</v>
      </c>
      <c r="B11897" s="2" t="str">
        <f>HYPERLINK("http://bbs.12365auto.com/postcontent.aspx?tId=193349","电池容量和BMS技术哪一个对续航影响更大")</f>
        <v>电池容量和BMS技术哪一个对续航影响更大</v>
      </c>
      <c r="C11897" s="2" t="s">
        <v>13</v>
      </c>
      <c r="D11897" s="2" t="s">
        <v>12</v>
      </c>
      <c r="E11897" s="2" t="s">
        <v>27</v>
      </c>
      <c r="F11897" s="2" t="str">
        <f>HYPERLINK("http://bbs.12365auto.com/postcontent.aspx?tId=193349","http://bbs.12365auto.com/postcontent.aspx?tId=193349")</f>
        <v>http://bbs.12365auto.com/postcontent.aspx?tId=193349</v>
      </c>
      <c r="G11897" s="2"/>
      <c r="H11897" s="2" t="s">
        <v>15909</v>
      </c>
      <c r="I11897" s="2" t="s">
        <v>15</v>
      </c>
      <c r="J11897" s="2" t="s">
        <v>9055</v>
      </c>
      <c r="K11897" s="2" t="s">
        <v>15904</v>
      </c>
      <c r="L11897" s="2">
        <f t="shared" si="185"/>
        <v>150</v>
      </c>
    </row>
    <row r="11898" spans="1:12" ht="25" customHeight="1">
      <c r="A11898" s="2" t="s">
        <v>12</v>
      </c>
      <c r="B11898" s="2" t="str">
        <f>HYPERLINK("http://m.12365auto.com/xcdg/20200205/417718.shtml","新款沃尔沃S90谍照曝光 外观小升级")</f>
        <v>新款沃尔沃S90谍照曝光 外观小升级</v>
      </c>
      <c r="C11898" s="2" t="s">
        <v>13</v>
      </c>
      <c r="D11898" s="2" t="s">
        <v>12</v>
      </c>
      <c r="E11898" s="2"/>
      <c r="F11898" s="2" t="str">
        <f>HYPERLINK("http://m.12365auto.com/xcdg/20200205/417718.shtml","http://m.12365auto.com/xcdg/20200205/417718.shtml")</f>
        <v>http://m.12365auto.com/xcdg/20200205/417718.shtml</v>
      </c>
      <c r="G11898" s="2"/>
      <c r="H11898" s="2" t="s">
        <v>15910</v>
      </c>
      <c r="I11898" s="2" t="s">
        <v>19</v>
      </c>
      <c r="J11898" s="2" t="s">
        <v>992</v>
      </c>
      <c r="K11898" s="2" t="s">
        <v>15911</v>
      </c>
      <c r="L11898" s="2">
        <f t="shared" si="185"/>
        <v>150</v>
      </c>
    </row>
    <row r="11899" spans="1:12" ht="25" customHeight="1">
      <c r="A11899" s="2" t="s">
        <v>12</v>
      </c>
      <c r="B11899" s="2" t="str">
        <f>HYPERLINK("http://www.12365auto.com/xcdg/20200205/417718.shtml","新款沃尔沃S90谍照曝光 外观小升级")</f>
        <v>新款沃尔沃S90谍照曝光 外观小升级</v>
      </c>
      <c r="C11899" s="2" t="s">
        <v>13</v>
      </c>
      <c r="D11899" s="2" t="s">
        <v>12</v>
      </c>
      <c r="E11899" s="2" t="s">
        <v>224</v>
      </c>
      <c r="F11899" s="2" t="str">
        <f>HYPERLINK("http://www.12365auto.com/xcdg/20200205/417718.shtml","http://www.12365auto.com/xcdg/20200205/417718.shtml")</f>
        <v>http://www.12365auto.com/xcdg/20200205/417718.shtml</v>
      </c>
      <c r="G11899" s="2"/>
      <c r="H11899" s="2" t="s">
        <v>15912</v>
      </c>
      <c r="I11899" s="2" t="s">
        <v>15</v>
      </c>
      <c r="J11899" s="2" t="s">
        <v>12</v>
      </c>
      <c r="K11899" s="2" t="s">
        <v>15911</v>
      </c>
      <c r="L11899" s="2">
        <f t="shared" si="185"/>
        <v>150</v>
      </c>
    </row>
    <row r="11900" spans="1:12" ht="25" customHeight="1">
      <c r="A11900" s="2" t="s">
        <v>12</v>
      </c>
      <c r="B11900" s="2" t="str">
        <f>HYPERLINK("http://m.12365auto.com/bbs/postcontent.aspx?tID=193348","奇瑞艾瑞泽5发动机舱生锈")</f>
        <v>奇瑞艾瑞泽5发动机舱生锈</v>
      </c>
      <c r="C11900" s="2" t="s">
        <v>13</v>
      </c>
      <c r="D11900" s="2" t="s">
        <v>23</v>
      </c>
      <c r="E11900" s="2"/>
      <c r="F11900" s="2" t="str">
        <f>HYPERLINK("http://m.12365auto.com/bbs/postcontent.aspx?tID=193348","http://m.12365auto.com/bbs/postcontent.aspx?tID=193348")</f>
        <v>http://m.12365auto.com/bbs/postcontent.aspx?tID=193348</v>
      </c>
      <c r="G11900" s="2"/>
      <c r="H11900" s="2" t="s">
        <v>15913</v>
      </c>
      <c r="I11900" s="2" t="s">
        <v>15</v>
      </c>
      <c r="J11900" s="2" t="s">
        <v>15273</v>
      </c>
      <c r="K11900" s="2" t="s">
        <v>15914</v>
      </c>
      <c r="L11900" s="2">
        <f t="shared" si="185"/>
        <v>86</v>
      </c>
    </row>
    <row r="11901" spans="1:12" ht="25" customHeight="1">
      <c r="A11901" s="2" t="s">
        <v>12</v>
      </c>
      <c r="B11901" s="2" t="str">
        <f>HYPERLINK("http://bbs.12365auto.com/postcontent.aspx?tId=193348","奇瑞艾瑞泽5发动机舱生锈")</f>
        <v>奇瑞艾瑞泽5发动机舱生锈</v>
      </c>
      <c r="C11901" s="2" t="s">
        <v>13</v>
      </c>
      <c r="D11901" s="2" t="s">
        <v>12</v>
      </c>
      <c r="E11901" s="2" t="s">
        <v>66</v>
      </c>
      <c r="F11901" s="2" t="str">
        <f>HYPERLINK("http://bbs.12365auto.com/postcontent.aspx?tId=193348","http://bbs.12365auto.com/postcontent.aspx?tId=193348")</f>
        <v>http://bbs.12365auto.com/postcontent.aspx?tId=193348</v>
      </c>
      <c r="G11901" s="2"/>
      <c r="H11901" s="2" t="s">
        <v>15913</v>
      </c>
      <c r="I11901" s="2" t="s">
        <v>15</v>
      </c>
      <c r="J11901" s="2" t="s">
        <v>15273</v>
      </c>
      <c r="K11901" s="2" t="s">
        <v>15914</v>
      </c>
      <c r="L11901" s="2">
        <f t="shared" si="185"/>
        <v>86</v>
      </c>
    </row>
    <row r="11902" spans="1:12" ht="25" customHeight="1">
      <c r="A11902" s="2" t="s">
        <v>12</v>
      </c>
      <c r="B11902" s="2" t="str">
        <f>HYPERLINK("http://bbs.12365auto.com/postcontent.aspx?tID=193348","奇瑞艾瑞泽5发动机舱生锈")</f>
        <v>奇瑞艾瑞泽5发动机舱生锈</v>
      </c>
      <c r="C11902" s="2" t="s">
        <v>13</v>
      </c>
      <c r="D11902" s="2" t="s">
        <v>12</v>
      </c>
      <c r="E11902" s="2" t="s">
        <v>67</v>
      </c>
      <c r="F11902" s="2" t="str">
        <f>HYPERLINK("http://bbs.12365auto.com/postcontent.aspx?tID=193348","http://bbs.12365auto.com/postcontent.aspx?tID=193348")</f>
        <v>http://bbs.12365auto.com/postcontent.aspx?tID=193348</v>
      </c>
      <c r="G11902" s="2"/>
      <c r="H11902" s="2" t="s">
        <v>15915</v>
      </c>
      <c r="I11902" s="2" t="s">
        <v>15</v>
      </c>
      <c r="J11902" s="2" t="s">
        <v>15273</v>
      </c>
      <c r="K11902" s="2" t="s">
        <v>15914</v>
      </c>
      <c r="L11902" s="2">
        <f t="shared" si="185"/>
        <v>98</v>
      </c>
    </row>
    <row r="11903" spans="1:12" ht="25" customHeight="1">
      <c r="A11903" s="2" t="s">
        <v>12</v>
      </c>
      <c r="B11903" s="2" t="str">
        <f>HYPERLINK("http://www.12365auto.com/xcdg/20200205/417717.shtml","延续拉力基因 Alpine A110 Sports X官图")</f>
        <v>延续拉力基因 Alpine A110 Sports X官图</v>
      </c>
      <c r="C11903" s="2" t="s">
        <v>13</v>
      </c>
      <c r="D11903" s="2" t="s">
        <v>12</v>
      </c>
      <c r="E11903" s="2" t="s">
        <v>245</v>
      </c>
      <c r="F11903" s="2" t="str">
        <f>HYPERLINK("http://www.12365auto.com/xcdg/20200205/417717.shtml","http://www.12365auto.com/xcdg/20200205/417717.shtml")</f>
        <v>http://www.12365auto.com/xcdg/20200205/417717.shtml</v>
      </c>
      <c r="G11903" s="2"/>
      <c r="H11903" s="2" t="s">
        <v>15916</v>
      </c>
      <c r="I11903" s="2" t="s">
        <v>19</v>
      </c>
      <c r="J11903" s="2" t="s">
        <v>12</v>
      </c>
      <c r="K11903" s="2" t="s">
        <v>15917</v>
      </c>
      <c r="L11903" s="2">
        <f t="shared" si="185"/>
        <v>150</v>
      </c>
    </row>
    <row r="11904" spans="1:12" ht="25" customHeight="1">
      <c r="A11904" s="2" t="s">
        <v>12</v>
      </c>
      <c r="B11904" s="2" t="str">
        <f>HYPERLINK("http://m.12365auto.com/xcdg/20200205/417717.shtml","延续拉力基因 Alpine A110 Sports X官图")</f>
        <v>延续拉力基因 Alpine A110 Sports X官图</v>
      </c>
      <c r="C11904" s="2" t="s">
        <v>13</v>
      </c>
      <c r="D11904" s="2" t="s">
        <v>12</v>
      </c>
      <c r="E11904" s="2"/>
      <c r="F11904" s="2" t="str">
        <f>HYPERLINK("http://m.12365auto.com/xcdg/20200205/417717.shtml","http://m.12365auto.com/xcdg/20200205/417717.shtml")</f>
        <v>http://m.12365auto.com/xcdg/20200205/417717.shtml</v>
      </c>
      <c r="G11904" s="2"/>
      <c r="H11904" s="2" t="s">
        <v>15918</v>
      </c>
      <c r="I11904" s="2" t="s">
        <v>19</v>
      </c>
      <c r="J11904" s="2" t="s">
        <v>1710</v>
      </c>
      <c r="K11904" s="2" t="s">
        <v>15917</v>
      </c>
      <c r="L11904" s="2">
        <f t="shared" si="185"/>
        <v>150</v>
      </c>
    </row>
    <row r="11905" spans="1:12" ht="25" customHeight="1">
      <c r="A11905" s="2" t="s">
        <v>12</v>
      </c>
      <c r="B11905" s="2" t="str">
        <f>HYPERLINK("http://bbs.12365auto.com/postcontent.aspx?tId=193347","一汽丰田威驰普利司通轮胎开裂")</f>
        <v>一汽丰田威驰普利司通轮胎开裂</v>
      </c>
      <c r="C11905" s="2" t="s">
        <v>13</v>
      </c>
      <c r="D11905" s="2" t="s">
        <v>12</v>
      </c>
      <c r="E11905" s="2" t="s">
        <v>66</v>
      </c>
      <c r="F11905" s="2" t="str">
        <f>HYPERLINK("http://bbs.12365auto.com/postcontent.aspx?tId=193347","http://bbs.12365auto.com/postcontent.aspx?tId=193347")</f>
        <v>http://bbs.12365auto.com/postcontent.aspx?tId=193347</v>
      </c>
      <c r="G11905" s="2"/>
      <c r="H11905" s="2" t="s">
        <v>15919</v>
      </c>
      <c r="I11905" s="2" t="s">
        <v>15</v>
      </c>
      <c r="J11905" s="2" t="s">
        <v>15301</v>
      </c>
      <c r="K11905" s="2" t="s">
        <v>15920</v>
      </c>
      <c r="L11905" s="2">
        <f t="shared" si="185"/>
        <v>55</v>
      </c>
    </row>
    <row r="11906" spans="1:12" ht="25" customHeight="1">
      <c r="A11906" s="2" t="s">
        <v>12</v>
      </c>
      <c r="B11906" s="2" t="str">
        <f>HYPERLINK("http://m.12365auto.com/bbs/postcontent.aspx?tID=193347","一汽丰田威驰普利司通轮胎开裂")</f>
        <v>一汽丰田威驰普利司通轮胎开裂</v>
      </c>
      <c r="C11906" s="2" t="s">
        <v>13</v>
      </c>
      <c r="D11906" s="2" t="s">
        <v>23</v>
      </c>
      <c r="E11906" s="2"/>
      <c r="F11906" s="2" t="str">
        <f>HYPERLINK("http://m.12365auto.com/bbs/postcontent.aspx?tID=193347","http://m.12365auto.com/bbs/postcontent.aspx?tID=193347")</f>
        <v>http://m.12365auto.com/bbs/postcontent.aspx?tID=193347</v>
      </c>
      <c r="G11906" s="2"/>
      <c r="H11906" s="2" t="s">
        <v>15919</v>
      </c>
      <c r="I11906" s="2" t="s">
        <v>15</v>
      </c>
      <c r="J11906" s="2" t="s">
        <v>15301</v>
      </c>
      <c r="K11906" s="2" t="s">
        <v>15920</v>
      </c>
      <c r="L11906" s="2">
        <f t="shared" si="185"/>
        <v>55</v>
      </c>
    </row>
    <row r="11907" spans="1:12" ht="25" customHeight="1">
      <c r="A11907" s="2" t="s">
        <v>12</v>
      </c>
      <c r="B11907" s="2" t="str">
        <f>HYPERLINK("http://bbs.12365auto.com/postcontent.aspx?tID=193347","一汽丰田威驰普利司通轮胎开裂")</f>
        <v>一汽丰田威驰普利司通轮胎开裂</v>
      </c>
      <c r="C11907" s="2" t="s">
        <v>13</v>
      </c>
      <c r="D11907" s="2" t="s">
        <v>12</v>
      </c>
      <c r="E11907" s="2" t="s">
        <v>67</v>
      </c>
      <c r="F11907" s="2" t="str">
        <f>HYPERLINK("http://bbs.12365auto.com/postcontent.aspx?tID=193347","http://bbs.12365auto.com/postcontent.aspx?tID=193347")</f>
        <v>http://bbs.12365auto.com/postcontent.aspx?tID=193347</v>
      </c>
      <c r="G11907" s="2"/>
      <c r="H11907" s="2" t="s">
        <v>15921</v>
      </c>
      <c r="I11907" s="2" t="s">
        <v>15</v>
      </c>
      <c r="J11907" s="2" t="s">
        <v>15301</v>
      </c>
      <c r="K11907" s="2" t="s">
        <v>15920</v>
      </c>
      <c r="L11907" s="2">
        <f t="shared" ref="L11907:L11970" si="186">LEN(H11907)</f>
        <v>69</v>
      </c>
    </row>
    <row r="11908" spans="1:12" ht="25" customHeight="1">
      <c r="A11908" s="2" t="s">
        <v>12</v>
      </c>
      <c r="B11908" s="2" t="str">
        <f>HYPERLINK("http://m.12365auto.com/xcdg/20200205/417716.shtml","大众全新开迪谍照曝光 将于2月底发布")</f>
        <v>大众全新开迪谍照曝光 将于2月底发布</v>
      </c>
      <c r="C11908" s="2" t="s">
        <v>13</v>
      </c>
      <c r="D11908" s="2" t="s">
        <v>12</v>
      </c>
      <c r="E11908" s="2"/>
      <c r="F11908" s="2" t="str">
        <f>HYPERLINK("http://m.12365auto.com/xcdg/20200205/417716.shtml","http://m.12365auto.com/xcdg/20200205/417716.shtml")</f>
        <v>http://m.12365auto.com/xcdg/20200205/417716.shtml</v>
      </c>
      <c r="G11908" s="2"/>
      <c r="H11908" s="2" t="s">
        <v>15922</v>
      </c>
      <c r="I11908" s="2" t="s">
        <v>19</v>
      </c>
      <c r="J11908" s="2" t="s">
        <v>1701</v>
      </c>
      <c r="K11908" s="2" t="s">
        <v>15920</v>
      </c>
      <c r="L11908" s="2">
        <f t="shared" si="186"/>
        <v>150</v>
      </c>
    </row>
    <row r="11909" spans="1:12" ht="25" customHeight="1">
      <c r="A11909" s="2" t="s">
        <v>12</v>
      </c>
      <c r="B11909" s="2" t="str">
        <f>HYPERLINK("http://www.12365auto.com/xcdg/20200205/417716.shtml","大众全新开迪谍照曝光 将于2月底发布")</f>
        <v>大众全新开迪谍照曝光 将于2月底发布</v>
      </c>
      <c r="C11909" s="2" t="s">
        <v>13</v>
      </c>
      <c r="D11909" s="2" t="s">
        <v>12</v>
      </c>
      <c r="E11909" s="2" t="s">
        <v>224</v>
      </c>
      <c r="F11909" s="2" t="str">
        <f>HYPERLINK("http://www.12365auto.com/xcdg/20200205/417716.shtml","http://www.12365auto.com/xcdg/20200205/417716.shtml")</f>
        <v>http://www.12365auto.com/xcdg/20200205/417716.shtml</v>
      </c>
      <c r="G11909" s="2"/>
      <c r="H11909" s="2" t="s">
        <v>15923</v>
      </c>
      <c r="I11909" s="2" t="s">
        <v>15</v>
      </c>
      <c r="J11909" s="2" t="s">
        <v>12</v>
      </c>
      <c r="K11909" s="2" t="s">
        <v>15920</v>
      </c>
      <c r="L11909" s="2">
        <f t="shared" si="186"/>
        <v>150</v>
      </c>
    </row>
    <row r="11910" spans="1:12" ht="25" customHeight="1">
      <c r="A11910" s="2" t="s">
        <v>12</v>
      </c>
      <c r="B11910" s="2" t="str">
        <f>HYPERLINK("http://bbs.12365auto.com/postcontent.aspx?tID=193346","东风雪铁龙天逸C5 AIRCROSS发动机故障灯亮")</f>
        <v>东风雪铁龙天逸C5 AIRCROSS发动机故障灯亮</v>
      </c>
      <c r="C11910" s="2" t="s">
        <v>13</v>
      </c>
      <c r="D11910" s="2" t="s">
        <v>12</v>
      </c>
      <c r="E11910" s="2" t="s">
        <v>67</v>
      </c>
      <c r="F11910" s="2" t="str">
        <f>HYPERLINK("http://bbs.12365auto.com/postcontent.aspx?tID=193346","http://bbs.12365auto.com/postcontent.aspx?tID=193346")</f>
        <v>http://bbs.12365auto.com/postcontent.aspx?tID=193346</v>
      </c>
      <c r="G11910" s="2"/>
      <c r="H11910" s="2" t="s">
        <v>15924</v>
      </c>
      <c r="I11910" s="2" t="s">
        <v>15</v>
      </c>
      <c r="J11910" s="2" t="s">
        <v>15282</v>
      </c>
      <c r="K11910" s="2" t="s">
        <v>15925</v>
      </c>
      <c r="L11910" s="2">
        <f t="shared" si="186"/>
        <v>150</v>
      </c>
    </row>
    <row r="11911" spans="1:12" ht="25" customHeight="1">
      <c r="A11911" s="2" t="s">
        <v>12</v>
      </c>
      <c r="B11911" s="2" t="str">
        <f>HYPERLINK("http://bbs.12365auto.com/postcontent.aspx?tId=193346","东风雪铁龙天逸C5 AIRCROSS发动机故障灯亮")</f>
        <v>东风雪铁龙天逸C5 AIRCROSS发动机故障灯亮</v>
      </c>
      <c r="C11911" s="2" t="s">
        <v>13</v>
      </c>
      <c r="D11911" s="2" t="s">
        <v>12</v>
      </c>
      <c r="E11911" s="2" t="s">
        <v>66</v>
      </c>
      <c r="F11911" s="2" t="str">
        <f>HYPERLINK("http://bbs.12365auto.com/postcontent.aspx?tId=193346","http://bbs.12365auto.com/postcontent.aspx?tId=193346")</f>
        <v>http://bbs.12365auto.com/postcontent.aspx?tId=193346</v>
      </c>
      <c r="G11911" s="2"/>
      <c r="H11911" s="2" t="s">
        <v>15926</v>
      </c>
      <c r="I11911" s="2" t="s">
        <v>15</v>
      </c>
      <c r="J11911" s="2" t="s">
        <v>15282</v>
      </c>
      <c r="K11911" s="2" t="s">
        <v>15925</v>
      </c>
      <c r="L11911" s="2">
        <f t="shared" si="186"/>
        <v>150</v>
      </c>
    </row>
    <row r="11912" spans="1:12" ht="25" customHeight="1">
      <c r="A11912" s="2" t="s">
        <v>12</v>
      </c>
      <c r="B11912" s="2" t="str">
        <f>HYPERLINK("http://m.12365auto.com/bbs/postcontent.aspx?tID=193346","东风雪铁龙天逸C5 AIRCROSS发动机故障灯亮")</f>
        <v>东风雪铁龙天逸C5 AIRCROSS发动机故障灯亮</v>
      </c>
      <c r="C11912" s="2" t="s">
        <v>13</v>
      </c>
      <c r="D11912" s="2" t="s">
        <v>23</v>
      </c>
      <c r="E11912" s="2"/>
      <c r="F11912" s="2" t="str">
        <f>HYPERLINK("http://m.12365auto.com/bbs/postcontent.aspx?tID=193346","http://m.12365auto.com/bbs/postcontent.aspx?tID=193346")</f>
        <v>http://m.12365auto.com/bbs/postcontent.aspx?tID=193346</v>
      </c>
      <c r="G11912" s="2"/>
      <c r="H11912" s="2" t="s">
        <v>15926</v>
      </c>
      <c r="I11912" s="2" t="s">
        <v>15</v>
      </c>
      <c r="J11912" s="2" t="s">
        <v>15282</v>
      </c>
      <c r="K11912" s="2" t="s">
        <v>15925</v>
      </c>
      <c r="L11912" s="2">
        <f t="shared" si="186"/>
        <v>150</v>
      </c>
    </row>
    <row r="11913" spans="1:12" ht="25" customHeight="1">
      <c r="A11913" s="2" t="s">
        <v>12</v>
      </c>
      <c r="B11913" s="2" t="str">
        <f>HYPERLINK("http://m.12365auto.com/bbs/postcontent.aspx?tID=193345","东风日产轩逸车辆线束烧焦存在安全隐患")</f>
        <v>东风日产轩逸车辆线束烧焦存在安全隐患</v>
      </c>
      <c r="C11913" s="2" t="s">
        <v>13</v>
      </c>
      <c r="D11913" s="2" t="s">
        <v>23</v>
      </c>
      <c r="E11913" s="2"/>
      <c r="F11913" s="2" t="str">
        <f>HYPERLINK("http://m.12365auto.com/bbs/postcontent.aspx?tID=193345","http://m.12365auto.com/bbs/postcontent.aspx?tID=193345")</f>
        <v>http://m.12365auto.com/bbs/postcontent.aspx?tID=193345</v>
      </c>
      <c r="G11913" s="2"/>
      <c r="H11913" s="2" t="s">
        <v>15927</v>
      </c>
      <c r="I11913" s="2" t="s">
        <v>15</v>
      </c>
      <c r="J11913" s="2" t="s">
        <v>15928</v>
      </c>
      <c r="K11913" s="2" t="s">
        <v>15929</v>
      </c>
      <c r="L11913" s="2">
        <f t="shared" si="186"/>
        <v>150</v>
      </c>
    </row>
    <row r="11914" spans="1:12" ht="25" customHeight="1">
      <c r="A11914" s="2" t="s">
        <v>12</v>
      </c>
      <c r="B11914" s="2" t="str">
        <f>HYPERLINK("http://bbs.12365auto.com/postcontent.aspx?tId=193345","东风日产轩逸车辆线束烧焦存在安全隐患")</f>
        <v>东风日产轩逸车辆线束烧焦存在安全隐患</v>
      </c>
      <c r="C11914" s="2" t="s">
        <v>13</v>
      </c>
      <c r="D11914" s="2" t="s">
        <v>12</v>
      </c>
      <c r="E11914" s="2" t="s">
        <v>66</v>
      </c>
      <c r="F11914" s="2" t="str">
        <f>HYPERLINK("http://bbs.12365auto.com/postcontent.aspx?tId=193345","http://bbs.12365auto.com/postcontent.aspx?tId=193345")</f>
        <v>http://bbs.12365auto.com/postcontent.aspx?tId=193345</v>
      </c>
      <c r="G11914" s="2"/>
      <c r="H11914" s="2" t="s">
        <v>15927</v>
      </c>
      <c r="I11914" s="2" t="s">
        <v>15</v>
      </c>
      <c r="J11914" s="2" t="s">
        <v>15928</v>
      </c>
      <c r="K11914" s="2" t="s">
        <v>15929</v>
      </c>
      <c r="L11914" s="2">
        <f t="shared" si="186"/>
        <v>150</v>
      </c>
    </row>
    <row r="11915" spans="1:12" ht="25" customHeight="1">
      <c r="A11915" s="2" t="s">
        <v>12</v>
      </c>
      <c r="B11915" s="2" t="str">
        <f>HYPERLINK("http://bbs.12365auto.com/postcontent.aspx?tID=193345","东风日产轩逸车辆线束烧焦存在安全隐患")</f>
        <v>东风日产轩逸车辆线束烧焦存在安全隐患</v>
      </c>
      <c r="C11915" s="2" t="s">
        <v>13</v>
      </c>
      <c r="D11915" s="2" t="s">
        <v>12</v>
      </c>
      <c r="E11915" s="2" t="s">
        <v>67</v>
      </c>
      <c r="F11915" s="2" t="str">
        <f>HYPERLINK("http://bbs.12365auto.com/postcontent.aspx?tID=193345","http://bbs.12365auto.com/postcontent.aspx?tID=193345")</f>
        <v>http://bbs.12365auto.com/postcontent.aspx?tID=193345</v>
      </c>
      <c r="G11915" s="2"/>
      <c r="H11915" s="2" t="s">
        <v>15930</v>
      </c>
      <c r="I11915" s="2" t="s">
        <v>15</v>
      </c>
      <c r="J11915" s="2" t="s">
        <v>15928</v>
      </c>
      <c r="K11915" s="2" t="s">
        <v>15929</v>
      </c>
      <c r="L11915" s="2">
        <f t="shared" si="186"/>
        <v>150</v>
      </c>
    </row>
    <row r="11916" spans="1:12" ht="25" customHeight="1">
      <c r="A11916" s="2" t="s">
        <v>12</v>
      </c>
      <c r="B11916" s="2" t="str">
        <f>HYPERLINK("http://m.12365auto.com/bbs/postcontent.aspx?tID=193344","奇瑞艾瑞泽5换挡松离合时异响")</f>
        <v>奇瑞艾瑞泽5换挡松离合时异响</v>
      </c>
      <c r="C11916" s="2" t="s">
        <v>13</v>
      </c>
      <c r="D11916" s="2" t="s">
        <v>23</v>
      </c>
      <c r="E11916" s="2"/>
      <c r="F11916" s="2" t="str">
        <f>HYPERLINK("http://m.12365auto.com/bbs/postcontent.aspx?tID=193344","http://m.12365auto.com/bbs/postcontent.aspx?tID=193344")</f>
        <v>http://m.12365auto.com/bbs/postcontent.aspx?tID=193344</v>
      </c>
      <c r="G11916" s="2"/>
      <c r="H11916" s="2" t="s">
        <v>15931</v>
      </c>
      <c r="I11916" s="2" t="s">
        <v>15</v>
      </c>
      <c r="J11916" s="2" t="s">
        <v>15932</v>
      </c>
      <c r="K11916" s="2" t="s">
        <v>15933</v>
      </c>
      <c r="L11916" s="2">
        <f t="shared" si="186"/>
        <v>150</v>
      </c>
    </row>
    <row r="11917" spans="1:12" ht="25" customHeight="1">
      <c r="A11917" s="2" t="s">
        <v>12</v>
      </c>
      <c r="B11917" s="2" t="str">
        <f>HYPERLINK("http://bbs.12365auto.com/postcontent.aspx?tID=193344","奇瑞艾瑞泽5换挡松离合时异响")</f>
        <v>奇瑞艾瑞泽5换挡松离合时异响</v>
      </c>
      <c r="C11917" s="2" t="s">
        <v>13</v>
      </c>
      <c r="D11917" s="2" t="s">
        <v>12</v>
      </c>
      <c r="E11917" s="2" t="s">
        <v>67</v>
      </c>
      <c r="F11917" s="2" t="str">
        <f>HYPERLINK("http://bbs.12365auto.com/postcontent.aspx?tID=193344","http://bbs.12365auto.com/postcontent.aspx?tID=193344")</f>
        <v>http://bbs.12365auto.com/postcontent.aspx?tID=193344</v>
      </c>
      <c r="G11917" s="2"/>
      <c r="H11917" s="2" t="s">
        <v>15934</v>
      </c>
      <c r="I11917" s="2" t="s">
        <v>15</v>
      </c>
      <c r="J11917" s="2" t="s">
        <v>15932</v>
      </c>
      <c r="K11917" s="2" t="s">
        <v>15933</v>
      </c>
      <c r="L11917" s="2">
        <f t="shared" si="186"/>
        <v>150</v>
      </c>
    </row>
    <row r="11918" spans="1:12" ht="25" customHeight="1">
      <c r="A11918" s="2" t="s">
        <v>12</v>
      </c>
      <c r="B11918" s="2" t="str">
        <f>HYPERLINK("http://bbs.12365auto.com/postcontent.aspx?tId=193344","奇瑞艾瑞泽5换挡松离合时异响")</f>
        <v>奇瑞艾瑞泽5换挡松离合时异响</v>
      </c>
      <c r="C11918" s="2" t="s">
        <v>13</v>
      </c>
      <c r="D11918" s="2" t="s">
        <v>12</v>
      </c>
      <c r="E11918" s="2" t="s">
        <v>66</v>
      </c>
      <c r="F11918" s="2" t="str">
        <f>HYPERLINK("http://bbs.12365auto.com/postcontent.aspx?tId=193344","http://bbs.12365auto.com/postcontent.aspx?tId=193344")</f>
        <v>http://bbs.12365auto.com/postcontent.aspx?tId=193344</v>
      </c>
      <c r="G11918" s="2"/>
      <c r="H11918" s="2" t="s">
        <v>15931</v>
      </c>
      <c r="I11918" s="2" t="s">
        <v>15</v>
      </c>
      <c r="J11918" s="2" t="s">
        <v>15932</v>
      </c>
      <c r="K11918" s="2" t="s">
        <v>15933</v>
      </c>
      <c r="L11918" s="2">
        <f t="shared" si="186"/>
        <v>150</v>
      </c>
    </row>
    <row r="11919" spans="1:12" ht="25" customHeight="1">
      <c r="A11919" s="2" t="s">
        <v>12</v>
      </c>
      <c r="B11919" s="2" t="str">
        <f>HYPERLINK("http://www.12365auto.com/zlts/20200205/446384.shtml","奇瑞艾瑞泽EX车内异响严重希望处理")</f>
        <v>奇瑞艾瑞泽EX车内异响严重希望处理</v>
      </c>
      <c r="C11919" s="2" t="s">
        <v>13</v>
      </c>
      <c r="D11919" s="2" t="s">
        <v>12</v>
      </c>
      <c r="E11919" s="2" t="s">
        <v>17</v>
      </c>
      <c r="F11919" s="2" t="str">
        <f>HYPERLINK("http://www.12365auto.com/zlts/20200205/446384.shtml","http://www.12365auto.com/zlts/20200205/446384.shtml")</f>
        <v>http://www.12365auto.com/zlts/20200205/446384.shtml</v>
      </c>
      <c r="G11919" s="2"/>
      <c r="H11919" s="2" t="s">
        <v>15935</v>
      </c>
      <c r="I11919" s="2" t="s">
        <v>15</v>
      </c>
      <c r="J11919" s="2" t="s">
        <v>12</v>
      </c>
      <c r="K11919" s="2" t="s">
        <v>15936</v>
      </c>
      <c r="L11919" s="2">
        <f t="shared" si="186"/>
        <v>150</v>
      </c>
    </row>
    <row r="11920" spans="1:12" ht="25" customHeight="1">
      <c r="A11920" s="2" t="s">
        <v>12</v>
      </c>
      <c r="B11920" s="2" t="str">
        <f>HYPERLINK("http://m.12365auto.com/bbs/postcontent.aspx?tID=193343","广汽传祺GA6右后轮轮胎吃胎")</f>
        <v>广汽传祺GA6右后轮轮胎吃胎</v>
      </c>
      <c r="C11920" s="2" t="s">
        <v>13</v>
      </c>
      <c r="D11920" s="2" t="s">
        <v>23</v>
      </c>
      <c r="E11920" s="2"/>
      <c r="F11920" s="2" t="str">
        <f>HYPERLINK("http://m.12365auto.com/bbs/postcontent.aspx?tID=193343","http://m.12365auto.com/bbs/postcontent.aspx?tID=193343")</f>
        <v>http://m.12365auto.com/bbs/postcontent.aspx?tID=193343</v>
      </c>
      <c r="G11920" s="2"/>
      <c r="H11920" s="2" t="s">
        <v>15937</v>
      </c>
      <c r="I11920" s="2" t="s">
        <v>15</v>
      </c>
      <c r="J11920" s="2" t="s">
        <v>15287</v>
      </c>
      <c r="K11920" s="2" t="s">
        <v>15938</v>
      </c>
      <c r="L11920" s="2">
        <f t="shared" si="186"/>
        <v>55</v>
      </c>
    </row>
    <row r="11921" spans="1:12" ht="25" customHeight="1">
      <c r="A11921" s="2" t="s">
        <v>12</v>
      </c>
      <c r="B11921" s="2" t="str">
        <f>HYPERLINK("http://bbs.12365auto.com/postcontent.aspx?tId=193343","广汽传祺GA6右后轮轮胎吃胎")</f>
        <v>广汽传祺GA6右后轮轮胎吃胎</v>
      </c>
      <c r="C11921" s="2" t="s">
        <v>13</v>
      </c>
      <c r="D11921" s="2" t="s">
        <v>12</v>
      </c>
      <c r="E11921" s="2" t="s">
        <v>66</v>
      </c>
      <c r="F11921" s="2" t="str">
        <f>HYPERLINK("http://bbs.12365auto.com/postcontent.aspx?tId=193343","http://bbs.12365auto.com/postcontent.aspx?tId=193343")</f>
        <v>http://bbs.12365auto.com/postcontent.aspx?tId=193343</v>
      </c>
      <c r="G11921" s="2"/>
      <c r="H11921" s="2" t="s">
        <v>15937</v>
      </c>
      <c r="I11921" s="2" t="s">
        <v>15</v>
      </c>
      <c r="J11921" s="2" t="s">
        <v>15287</v>
      </c>
      <c r="K11921" s="2" t="s">
        <v>15938</v>
      </c>
      <c r="L11921" s="2">
        <f t="shared" si="186"/>
        <v>55</v>
      </c>
    </row>
    <row r="11922" spans="1:12" ht="25" customHeight="1">
      <c r="A11922" s="2" t="s">
        <v>12</v>
      </c>
      <c r="B11922" s="2" t="str">
        <f>HYPERLINK("http://bbs.12365auto.com/postcontent.aspx?tID=193343","广汽传祺GA6右后轮轮胎吃胎")</f>
        <v>广汽传祺GA6右后轮轮胎吃胎</v>
      </c>
      <c r="C11922" s="2" t="s">
        <v>13</v>
      </c>
      <c r="D11922" s="2" t="s">
        <v>12</v>
      </c>
      <c r="E11922" s="2" t="s">
        <v>67</v>
      </c>
      <c r="F11922" s="2" t="str">
        <f>HYPERLINK("http://bbs.12365auto.com/postcontent.aspx?tID=193343","http://bbs.12365auto.com/postcontent.aspx?tID=193343")</f>
        <v>http://bbs.12365auto.com/postcontent.aspx?tID=193343</v>
      </c>
      <c r="G11922" s="2"/>
      <c r="H11922" s="2" t="s">
        <v>15939</v>
      </c>
      <c r="I11922" s="2" t="s">
        <v>15</v>
      </c>
      <c r="J11922" s="2" t="s">
        <v>15287</v>
      </c>
      <c r="K11922" s="2" t="s">
        <v>15938</v>
      </c>
      <c r="L11922" s="2">
        <f t="shared" si="186"/>
        <v>69</v>
      </c>
    </row>
    <row r="11923" spans="1:12" ht="25" customHeight="1">
      <c r="A11923" s="2" t="s">
        <v>12</v>
      </c>
      <c r="B11923" s="2" t="str">
        <f>HYPERLINK("http://bbs.12365auto.com/postcontent.aspx?tId=193342","一汽大众高尔夫变速箱控制单元故障")</f>
        <v>一汽大众高尔夫变速箱控制单元故障</v>
      </c>
      <c r="C11923" s="2" t="s">
        <v>13</v>
      </c>
      <c r="D11923" s="2" t="s">
        <v>12</v>
      </c>
      <c r="E11923" s="2" t="s">
        <v>66</v>
      </c>
      <c r="F11923" s="2" t="str">
        <f>HYPERLINK("http://bbs.12365auto.com/postcontent.aspx?tId=193342","http://bbs.12365auto.com/postcontent.aspx?tId=193342")</f>
        <v>http://bbs.12365auto.com/postcontent.aspx?tId=193342</v>
      </c>
      <c r="G11923" s="2"/>
      <c r="H11923" s="2" t="s">
        <v>15940</v>
      </c>
      <c r="I11923" s="2" t="s">
        <v>15</v>
      </c>
      <c r="J11923" s="2" t="s">
        <v>15941</v>
      </c>
      <c r="K11923" s="2" t="s">
        <v>15942</v>
      </c>
      <c r="L11923" s="2">
        <f t="shared" si="186"/>
        <v>89</v>
      </c>
    </row>
    <row r="11924" spans="1:12" ht="25" customHeight="1">
      <c r="A11924" s="2" t="s">
        <v>12</v>
      </c>
      <c r="B11924" s="2" t="str">
        <f>HYPERLINK("http://m.12365auto.com/bbs/postcontent.aspx?tID=193342","一汽大众高尔夫变速箱控制单元故障")</f>
        <v>一汽大众高尔夫变速箱控制单元故障</v>
      </c>
      <c r="C11924" s="2" t="s">
        <v>13</v>
      </c>
      <c r="D11924" s="2" t="s">
        <v>23</v>
      </c>
      <c r="E11924" s="2"/>
      <c r="F11924" s="2" t="str">
        <f>HYPERLINK("http://m.12365auto.com/bbs/postcontent.aspx?tID=193342","http://m.12365auto.com/bbs/postcontent.aspx?tID=193342")</f>
        <v>http://m.12365auto.com/bbs/postcontent.aspx?tID=193342</v>
      </c>
      <c r="G11924" s="2"/>
      <c r="H11924" s="2" t="s">
        <v>15940</v>
      </c>
      <c r="I11924" s="2" t="s">
        <v>15</v>
      </c>
      <c r="J11924" s="2" t="s">
        <v>15941</v>
      </c>
      <c r="K11924" s="2" t="s">
        <v>15942</v>
      </c>
      <c r="L11924" s="2">
        <f t="shared" si="186"/>
        <v>89</v>
      </c>
    </row>
    <row r="11925" spans="1:12" ht="25" customHeight="1">
      <c r="A11925" s="2" t="s">
        <v>12</v>
      </c>
      <c r="B11925" s="2" t="str">
        <f>HYPERLINK("http://bbs.12365auto.com/postcontent.aspx?tID=193342","一汽大众高尔夫变速箱控制单元故障")</f>
        <v>一汽大众高尔夫变速箱控制单元故障</v>
      </c>
      <c r="C11925" s="2" t="s">
        <v>13</v>
      </c>
      <c r="D11925" s="2" t="s">
        <v>12</v>
      </c>
      <c r="E11925" s="2" t="s">
        <v>67</v>
      </c>
      <c r="F11925" s="2" t="str">
        <f>HYPERLINK("http://bbs.12365auto.com/postcontent.aspx?tID=193342","http://bbs.12365auto.com/postcontent.aspx?tID=193342")</f>
        <v>http://bbs.12365auto.com/postcontent.aspx?tID=193342</v>
      </c>
      <c r="G11925" s="2"/>
      <c r="H11925" s="2" t="s">
        <v>15943</v>
      </c>
      <c r="I11925" s="2" t="s">
        <v>15</v>
      </c>
      <c r="J11925" s="2" t="s">
        <v>15941</v>
      </c>
      <c r="K11925" s="2" t="s">
        <v>15942</v>
      </c>
      <c r="L11925" s="2">
        <f t="shared" si="186"/>
        <v>105</v>
      </c>
    </row>
    <row r="11926" spans="1:12" ht="25" customHeight="1">
      <c r="A11926" s="2" t="s">
        <v>12</v>
      </c>
      <c r="B11926" s="2" t="str">
        <f>HYPERLINK("http://bbs.12365auto.com/postcontent.aspx?tId=193340","东风本田INSPIRE高速转向系统卡滞")</f>
        <v>东风本田INSPIRE高速转向系统卡滞</v>
      </c>
      <c r="C11926" s="2" t="s">
        <v>13</v>
      </c>
      <c r="D11926" s="2" t="s">
        <v>12</v>
      </c>
      <c r="E11926" s="2" t="s">
        <v>66</v>
      </c>
      <c r="F11926" s="2" t="str">
        <f>HYPERLINK("http://bbs.12365auto.com/postcontent.aspx?tId=193340","http://bbs.12365auto.com/postcontent.aspx?tId=193340")</f>
        <v>http://bbs.12365auto.com/postcontent.aspx?tId=193340</v>
      </c>
      <c r="G11926" s="2"/>
      <c r="H11926" s="2" t="s">
        <v>15944</v>
      </c>
      <c r="I11926" s="2" t="s">
        <v>15</v>
      </c>
      <c r="J11926" s="2" t="s">
        <v>15945</v>
      </c>
      <c r="K11926" s="2" t="s">
        <v>15946</v>
      </c>
      <c r="L11926" s="2">
        <f t="shared" si="186"/>
        <v>75</v>
      </c>
    </row>
    <row r="11927" spans="1:12" ht="25" customHeight="1">
      <c r="A11927" s="2" t="s">
        <v>12</v>
      </c>
      <c r="B11927" s="2" t="str">
        <f>HYPERLINK("http://bbs.12365auto.com/postcontent.aspx?tID=193340","东风本田INSPIRE高速转向系统卡滞")</f>
        <v>东风本田INSPIRE高速转向系统卡滞</v>
      </c>
      <c r="C11927" s="2" t="s">
        <v>13</v>
      </c>
      <c r="D11927" s="2" t="s">
        <v>12</v>
      </c>
      <c r="E11927" s="2" t="s">
        <v>67</v>
      </c>
      <c r="F11927" s="2" t="str">
        <f>HYPERLINK("http://bbs.12365auto.com/postcontent.aspx?tID=193340","http://bbs.12365auto.com/postcontent.aspx?tID=193340")</f>
        <v>http://bbs.12365auto.com/postcontent.aspx?tID=193340</v>
      </c>
      <c r="G11927" s="2"/>
      <c r="H11927" s="2" t="s">
        <v>15947</v>
      </c>
      <c r="I11927" s="2" t="s">
        <v>15</v>
      </c>
      <c r="J11927" s="2" t="s">
        <v>15945</v>
      </c>
      <c r="K11927" s="2" t="s">
        <v>15946</v>
      </c>
      <c r="L11927" s="2">
        <f t="shared" si="186"/>
        <v>94</v>
      </c>
    </row>
    <row r="11928" spans="1:12" ht="25" customHeight="1">
      <c r="A11928" s="2" t="s">
        <v>12</v>
      </c>
      <c r="B11928" s="2" t="str">
        <f>HYPERLINK("http://m.12365auto.com/bbs/postcontent.aspx?tID=193340","东风本田INSPIRE高速转向系统卡滞")</f>
        <v>东风本田INSPIRE高速转向系统卡滞</v>
      </c>
      <c r="C11928" s="2" t="s">
        <v>13</v>
      </c>
      <c r="D11928" s="2" t="s">
        <v>23</v>
      </c>
      <c r="E11928" s="2"/>
      <c r="F11928" s="2" t="str">
        <f>HYPERLINK("http://m.12365auto.com/bbs/postcontent.aspx?tID=193340","http://m.12365auto.com/bbs/postcontent.aspx?tID=193340")</f>
        <v>http://m.12365auto.com/bbs/postcontent.aspx?tID=193340</v>
      </c>
      <c r="G11928" s="2"/>
      <c r="H11928" s="2" t="s">
        <v>15944</v>
      </c>
      <c r="I11928" s="2" t="s">
        <v>15</v>
      </c>
      <c r="J11928" s="2" t="s">
        <v>15945</v>
      </c>
      <c r="K11928" s="2" t="s">
        <v>15946</v>
      </c>
      <c r="L11928" s="2">
        <f t="shared" si="186"/>
        <v>75</v>
      </c>
    </row>
    <row r="11929" spans="1:12" ht="25" customHeight="1">
      <c r="A11929" s="2" t="s">
        <v>12</v>
      </c>
      <c r="B11929" s="2" t="str">
        <f>HYPERLINK("http://m.12365auto.com/bbs/postcontent.aspx?tID=193339","华晨宝马3系中控屏故障刹车异响")</f>
        <v>华晨宝马3系中控屏故障刹车异响</v>
      </c>
      <c r="C11929" s="2" t="s">
        <v>13</v>
      </c>
      <c r="D11929" s="2" t="s">
        <v>23</v>
      </c>
      <c r="E11929" s="2"/>
      <c r="F11929" s="2" t="str">
        <f>HYPERLINK("http://m.12365auto.com/bbs/postcontent.aspx?tID=193339","http://m.12365auto.com/bbs/postcontent.aspx?tID=193339")</f>
        <v>http://m.12365auto.com/bbs/postcontent.aspx?tID=193339</v>
      </c>
      <c r="G11929" s="2"/>
      <c r="H11929" s="2" t="s">
        <v>15948</v>
      </c>
      <c r="I11929" s="2" t="s">
        <v>15</v>
      </c>
      <c r="J11929" s="2" t="s">
        <v>15293</v>
      </c>
      <c r="K11929" s="2" t="s">
        <v>15949</v>
      </c>
      <c r="L11929" s="2">
        <f t="shared" si="186"/>
        <v>150</v>
      </c>
    </row>
    <row r="11930" spans="1:12" ht="25" customHeight="1">
      <c r="A11930" s="2" t="s">
        <v>12</v>
      </c>
      <c r="B11930" s="2" t="str">
        <f>HYPERLINK("http://bbs.12365auto.com/postcontent.aspx?tId=193339","华晨宝马3系中控屏故障刹车异响")</f>
        <v>华晨宝马3系中控屏故障刹车异响</v>
      </c>
      <c r="C11930" s="2" t="s">
        <v>13</v>
      </c>
      <c r="D11930" s="2" t="s">
        <v>12</v>
      </c>
      <c r="E11930" s="2" t="s">
        <v>66</v>
      </c>
      <c r="F11930" s="2" t="str">
        <f>HYPERLINK("http://bbs.12365auto.com/postcontent.aspx?tId=193339","http://bbs.12365auto.com/postcontent.aspx?tId=193339")</f>
        <v>http://bbs.12365auto.com/postcontent.aspx?tId=193339</v>
      </c>
      <c r="G11930" s="2"/>
      <c r="H11930" s="2" t="s">
        <v>15948</v>
      </c>
      <c r="I11930" s="2" t="s">
        <v>15</v>
      </c>
      <c r="J11930" s="2" t="s">
        <v>15293</v>
      </c>
      <c r="K11930" s="2" t="s">
        <v>15949</v>
      </c>
      <c r="L11930" s="2">
        <f t="shared" si="186"/>
        <v>150</v>
      </c>
    </row>
    <row r="11931" spans="1:12" ht="25" customHeight="1">
      <c r="A11931" s="2" t="s">
        <v>12</v>
      </c>
      <c r="B11931" s="2" t="str">
        <f>HYPERLINK("http://bbs.12365auto.com/postcontent.aspx?tID=193339","华晨宝马3系中控屏故障刹车异响")</f>
        <v>华晨宝马3系中控屏故障刹车异响</v>
      </c>
      <c r="C11931" s="2" t="s">
        <v>13</v>
      </c>
      <c r="D11931" s="2" t="s">
        <v>12</v>
      </c>
      <c r="E11931" s="2" t="s">
        <v>67</v>
      </c>
      <c r="F11931" s="2" t="str">
        <f>HYPERLINK("http://bbs.12365auto.com/postcontent.aspx?tID=193339","http://bbs.12365auto.com/postcontent.aspx?tID=193339")</f>
        <v>http://bbs.12365auto.com/postcontent.aspx?tID=193339</v>
      </c>
      <c r="G11931" s="2"/>
      <c r="H11931" s="2" t="s">
        <v>15950</v>
      </c>
      <c r="I11931" s="2" t="s">
        <v>15</v>
      </c>
      <c r="J11931" s="2" t="s">
        <v>15293</v>
      </c>
      <c r="K11931" s="2" t="s">
        <v>15949</v>
      </c>
      <c r="L11931" s="2">
        <f t="shared" si="186"/>
        <v>150</v>
      </c>
    </row>
    <row r="11932" spans="1:12" ht="25" customHeight="1">
      <c r="A11932" s="2" t="s">
        <v>12</v>
      </c>
      <c r="B11932" s="2" t="str">
        <f>HYPERLINK("http://bbs.12365auto.com/postcontent.aspx?tId=193338","东风标致408发动机严重故障烧机油")</f>
        <v>东风标致408发动机严重故障烧机油</v>
      </c>
      <c r="C11932" s="2" t="s">
        <v>13</v>
      </c>
      <c r="D11932" s="2" t="s">
        <v>12</v>
      </c>
      <c r="E11932" s="2" t="s">
        <v>66</v>
      </c>
      <c r="F11932" s="2" t="str">
        <f>HYPERLINK("http://bbs.12365auto.com/postcontent.aspx?tId=193338","http://bbs.12365auto.com/postcontent.aspx?tId=193338")</f>
        <v>http://bbs.12365auto.com/postcontent.aspx?tId=193338</v>
      </c>
      <c r="G11932" s="2"/>
      <c r="H11932" s="2" t="s">
        <v>15951</v>
      </c>
      <c r="I11932" s="2" t="s">
        <v>15</v>
      </c>
      <c r="J11932" s="2" t="s">
        <v>15952</v>
      </c>
      <c r="K11932" s="2" t="s">
        <v>15953</v>
      </c>
      <c r="L11932" s="2">
        <f t="shared" si="186"/>
        <v>87</v>
      </c>
    </row>
    <row r="11933" spans="1:12" ht="25" customHeight="1">
      <c r="A11933" s="2" t="s">
        <v>12</v>
      </c>
      <c r="B11933" s="2" t="str">
        <f>HYPERLINK("http://m.12365auto.com/bbs/postcontent.aspx?tID=193338","东风标致408发动机严重故障烧机油")</f>
        <v>东风标致408发动机严重故障烧机油</v>
      </c>
      <c r="C11933" s="2" t="s">
        <v>13</v>
      </c>
      <c r="D11933" s="2" t="s">
        <v>23</v>
      </c>
      <c r="E11933" s="2"/>
      <c r="F11933" s="2" t="str">
        <f>HYPERLINK("http://m.12365auto.com/bbs/postcontent.aspx?tID=193338","http://m.12365auto.com/bbs/postcontent.aspx?tID=193338")</f>
        <v>http://m.12365auto.com/bbs/postcontent.aspx?tID=193338</v>
      </c>
      <c r="G11933" s="2"/>
      <c r="H11933" s="2" t="s">
        <v>15951</v>
      </c>
      <c r="I11933" s="2" t="s">
        <v>15</v>
      </c>
      <c r="J11933" s="2" t="s">
        <v>15952</v>
      </c>
      <c r="K11933" s="2" t="s">
        <v>15953</v>
      </c>
      <c r="L11933" s="2">
        <f t="shared" si="186"/>
        <v>87</v>
      </c>
    </row>
    <row r="11934" spans="1:12" ht="25" customHeight="1">
      <c r="A11934" s="2" t="s">
        <v>12</v>
      </c>
      <c r="B11934" s="2" t="str">
        <f>HYPERLINK("http://bbs.12365auto.com/postcontent.aspx?tID=193338","东风标致408发动机严重故障烧机油")</f>
        <v>东风标致408发动机严重故障烧机油</v>
      </c>
      <c r="C11934" s="2" t="s">
        <v>13</v>
      </c>
      <c r="D11934" s="2" t="s">
        <v>12</v>
      </c>
      <c r="E11934" s="2" t="s">
        <v>67</v>
      </c>
      <c r="F11934" s="2" t="str">
        <f>HYPERLINK("http://bbs.12365auto.com/postcontent.aspx?tID=193338","http://bbs.12365auto.com/postcontent.aspx?tID=193338")</f>
        <v>http://bbs.12365auto.com/postcontent.aspx?tID=193338</v>
      </c>
      <c r="G11934" s="2"/>
      <c r="H11934" s="2" t="s">
        <v>15954</v>
      </c>
      <c r="I11934" s="2" t="s">
        <v>15</v>
      </c>
      <c r="J11934" s="2" t="s">
        <v>15952</v>
      </c>
      <c r="K11934" s="2" t="s">
        <v>15953</v>
      </c>
      <c r="L11934" s="2">
        <f t="shared" si="186"/>
        <v>104</v>
      </c>
    </row>
    <row r="11935" spans="1:12" ht="25" customHeight="1">
      <c r="A11935" s="2" t="s">
        <v>12</v>
      </c>
      <c r="B11935" s="2" t="str">
        <f>HYPERLINK("http://www.12365auto.com/zlts/20200205/446381.shtml","变速箱偶尔异响严重，车身抖动！导航辣鸡！")</f>
        <v>变速箱偶尔异响严重，车身抖动！导航辣鸡！</v>
      </c>
      <c r="C11935" s="2" t="s">
        <v>13</v>
      </c>
      <c r="D11935" s="2" t="s">
        <v>12</v>
      </c>
      <c r="E11935" s="2"/>
      <c r="F11935" s="2" t="str">
        <f>HYPERLINK("http://www.12365auto.com/zlts/20200205/446381.shtml","http://www.12365auto.com/zlts/20200205/446381.shtml")</f>
        <v>http://www.12365auto.com/zlts/20200205/446381.shtml</v>
      </c>
      <c r="G11935" s="2"/>
      <c r="H11935" s="2" t="s">
        <v>15956</v>
      </c>
      <c r="I11935" s="2" t="s">
        <v>15</v>
      </c>
      <c r="J11935" s="2" t="s">
        <v>12</v>
      </c>
      <c r="K11935" s="2" t="s">
        <v>15955</v>
      </c>
      <c r="L11935" s="2">
        <f t="shared" si="186"/>
        <v>81</v>
      </c>
    </row>
    <row r="11936" spans="1:12" ht="25" customHeight="1">
      <c r="A11936" s="2" t="s">
        <v>12</v>
      </c>
      <c r="B11936" s="2" t="str">
        <f>HYPERLINK("http://www.12365auto.com/zlts/20200205/446383.shtml","一汽丰田威驰经销商疑似出售问题车")</f>
        <v>一汽丰田威驰经销商疑似出售问题车</v>
      </c>
      <c r="C11936" s="2" t="s">
        <v>13</v>
      </c>
      <c r="D11936" s="2" t="s">
        <v>12</v>
      </c>
      <c r="E11936" s="2" t="s">
        <v>17</v>
      </c>
      <c r="F11936" s="2" t="str">
        <f>HYPERLINK("http://www.12365auto.com/zlts/20200205/446383.shtml","http://www.12365auto.com/zlts/20200205/446383.shtml")</f>
        <v>http://www.12365auto.com/zlts/20200205/446383.shtml</v>
      </c>
      <c r="G11936" s="2"/>
      <c r="H11936" s="2" t="s">
        <v>15957</v>
      </c>
      <c r="I11936" s="2" t="s">
        <v>15</v>
      </c>
      <c r="J11936" s="2" t="s">
        <v>12</v>
      </c>
      <c r="K11936" s="2" t="s">
        <v>15958</v>
      </c>
      <c r="L11936" s="2">
        <f t="shared" si="186"/>
        <v>150</v>
      </c>
    </row>
    <row r="11937" spans="1:12" ht="25" customHeight="1">
      <c r="A11937" s="2" t="s">
        <v>12</v>
      </c>
      <c r="B11937" s="2" t="str">
        <f>HYPERLINK("http://bbs.12365auto.com/postcontent.aspx?tId=193337","奇瑞E5车身严重生锈产品质量太让人失望")</f>
        <v>奇瑞E5车身严重生锈产品质量太让人失望</v>
      </c>
      <c r="C11937" s="2" t="s">
        <v>13</v>
      </c>
      <c r="D11937" s="2" t="s">
        <v>12</v>
      </c>
      <c r="E11937" s="2" t="s">
        <v>66</v>
      </c>
      <c r="F11937" s="2" t="str">
        <f>HYPERLINK("http://bbs.12365auto.com/postcontent.aspx?tId=193337","http://bbs.12365auto.com/postcontent.aspx?tId=193337")</f>
        <v>http://bbs.12365auto.com/postcontent.aspx?tId=193337</v>
      </c>
      <c r="G11937" s="2"/>
      <c r="H11937" s="2" t="s">
        <v>15959</v>
      </c>
      <c r="I11937" s="2" t="s">
        <v>15</v>
      </c>
      <c r="J11937" s="2" t="s">
        <v>15960</v>
      </c>
      <c r="K11937" s="2" t="s">
        <v>15961</v>
      </c>
      <c r="L11937" s="2">
        <f t="shared" si="186"/>
        <v>62</v>
      </c>
    </row>
    <row r="11938" spans="1:12" ht="25" customHeight="1">
      <c r="A11938" s="2" t="s">
        <v>12</v>
      </c>
      <c r="B11938" s="2" t="str">
        <f>HYPERLINK("http://bbs.12365auto.com/postcontent.aspx?tID=193337","奇瑞E5车身严重生锈产品质量太让人失望")</f>
        <v>奇瑞E5车身严重生锈产品质量太让人失望</v>
      </c>
      <c r="C11938" s="2" t="s">
        <v>13</v>
      </c>
      <c r="D11938" s="2" t="s">
        <v>12</v>
      </c>
      <c r="E11938" s="2" t="s">
        <v>67</v>
      </c>
      <c r="F11938" s="2" t="str">
        <f>HYPERLINK("http://bbs.12365auto.com/postcontent.aspx?tID=193337","http://bbs.12365auto.com/postcontent.aspx?tID=193337")</f>
        <v>http://bbs.12365auto.com/postcontent.aspx?tID=193337</v>
      </c>
      <c r="G11938" s="2"/>
      <c r="H11938" s="2" t="s">
        <v>15962</v>
      </c>
      <c r="I11938" s="2" t="s">
        <v>15</v>
      </c>
      <c r="J11938" s="2" t="s">
        <v>15960</v>
      </c>
      <c r="K11938" s="2" t="s">
        <v>15961</v>
      </c>
      <c r="L11938" s="2">
        <f t="shared" si="186"/>
        <v>81</v>
      </c>
    </row>
    <row r="11939" spans="1:12" ht="25" customHeight="1">
      <c r="A11939" s="2" t="s">
        <v>12</v>
      </c>
      <c r="B11939" s="2" t="str">
        <f>HYPERLINK("http://m.12365auto.com/bbs/postcontent.aspx?tID=193337","奇瑞E5车身严重生锈产品质量太让人失望")</f>
        <v>奇瑞E5车身严重生锈产品质量太让人失望</v>
      </c>
      <c r="C11939" s="2" t="s">
        <v>13</v>
      </c>
      <c r="D11939" s="2" t="s">
        <v>23</v>
      </c>
      <c r="E11939" s="2"/>
      <c r="F11939" s="2" t="str">
        <f>HYPERLINK("http://m.12365auto.com/bbs/postcontent.aspx?tID=193337","http://m.12365auto.com/bbs/postcontent.aspx?tID=193337")</f>
        <v>http://m.12365auto.com/bbs/postcontent.aspx?tID=193337</v>
      </c>
      <c r="G11939" s="2"/>
      <c r="H11939" s="2" t="s">
        <v>15959</v>
      </c>
      <c r="I11939" s="2" t="s">
        <v>15</v>
      </c>
      <c r="J11939" s="2" t="s">
        <v>15960</v>
      </c>
      <c r="K11939" s="2" t="s">
        <v>15961</v>
      </c>
      <c r="L11939" s="2">
        <f t="shared" si="186"/>
        <v>62</v>
      </c>
    </row>
    <row r="11940" spans="1:12" ht="25" customHeight="1">
      <c r="A11940" s="2" t="s">
        <v>12</v>
      </c>
      <c r="B11940" s="2" t="str">
        <f>HYPERLINK("http://bbs.12365auto.com/postcontent.aspx?tID=193336","进口的宝马3系GT前轮刹车软管漏油")</f>
        <v>进口的宝马3系GT前轮刹车软管漏油</v>
      </c>
      <c r="C11940" s="2" t="s">
        <v>13</v>
      </c>
      <c r="D11940" s="2" t="s">
        <v>12</v>
      </c>
      <c r="E11940" s="2" t="s">
        <v>67</v>
      </c>
      <c r="F11940" s="2" t="str">
        <f>HYPERLINK("http://bbs.12365auto.com/postcontent.aspx?tID=193336","http://bbs.12365auto.com/postcontent.aspx?tID=193336")</f>
        <v>http://bbs.12365auto.com/postcontent.aspx?tID=193336</v>
      </c>
      <c r="G11940" s="2"/>
      <c r="H11940" s="2" t="s">
        <v>15963</v>
      </c>
      <c r="I11940" s="2" t="s">
        <v>15</v>
      </c>
      <c r="J11940" s="2" t="s">
        <v>15297</v>
      </c>
      <c r="K11940" s="2" t="s">
        <v>15964</v>
      </c>
      <c r="L11940" s="2">
        <f t="shared" si="186"/>
        <v>85</v>
      </c>
    </row>
    <row r="11941" spans="1:12" ht="25" customHeight="1">
      <c r="A11941" s="2" t="s">
        <v>12</v>
      </c>
      <c r="B11941" s="2" t="str">
        <f>HYPERLINK("http://bbs.12365auto.com/postcontent.aspx?tId=193336","进口的宝马3系GT前轮刹车软管漏油")</f>
        <v>进口的宝马3系GT前轮刹车软管漏油</v>
      </c>
      <c r="C11941" s="2" t="s">
        <v>13</v>
      </c>
      <c r="D11941" s="2" t="s">
        <v>12</v>
      </c>
      <c r="E11941" s="2" t="s">
        <v>66</v>
      </c>
      <c r="F11941" s="2" t="str">
        <f>HYPERLINK("http://bbs.12365auto.com/postcontent.aspx?tId=193336","http://bbs.12365auto.com/postcontent.aspx?tId=193336")</f>
        <v>http://bbs.12365auto.com/postcontent.aspx?tId=193336</v>
      </c>
      <c r="G11941" s="2"/>
      <c r="H11941" s="2" t="s">
        <v>15965</v>
      </c>
      <c r="I11941" s="2" t="s">
        <v>15</v>
      </c>
      <c r="J11941" s="2" t="s">
        <v>15297</v>
      </c>
      <c r="K11941" s="2" t="s">
        <v>15964</v>
      </c>
      <c r="L11941" s="2">
        <f t="shared" si="186"/>
        <v>68</v>
      </c>
    </row>
    <row r="11942" spans="1:12" ht="25" customHeight="1">
      <c r="A11942" s="2" t="s">
        <v>12</v>
      </c>
      <c r="B11942" s="2" t="str">
        <f>HYPERLINK("http://m.12365auto.com/bbs/postcontent.aspx?tID=193336","进口的宝马3系GT前轮刹车软管漏油")</f>
        <v>进口的宝马3系GT前轮刹车软管漏油</v>
      </c>
      <c r="C11942" s="2" t="s">
        <v>13</v>
      </c>
      <c r="D11942" s="2" t="s">
        <v>23</v>
      </c>
      <c r="E11942" s="2"/>
      <c r="F11942" s="2" t="str">
        <f>HYPERLINK("http://m.12365auto.com/bbs/postcontent.aspx?tID=193336","http://m.12365auto.com/bbs/postcontent.aspx?tID=193336")</f>
        <v>http://m.12365auto.com/bbs/postcontent.aspx?tID=193336</v>
      </c>
      <c r="G11942" s="2"/>
      <c r="H11942" s="2" t="s">
        <v>15965</v>
      </c>
      <c r="I11942" s="2" t="s">
        <v>15</v>
      </c>
      <c r="J11942" s="2" t="s">
        <v>15297</v>
      </c>
      <c r="K11942" s="2" t="s">
        <v>15964</v>
      </c>
      <c r="L11942" s="2">
        <f t="shared" si="186"/>
        <v>68</v>
      </c>
    </row>
    <row r="11943" spans="1:12" ht="25" customHeight="1">
      <c r="A11943" s="2" t="s">
        <v>12</v>
      </c>
      <c r="B11943" s="2" t="str">
        <f>HYPERLINK("http://www.12365auto.com/zlts/20200205/446379.shtml","一汽大众宝来变速箱半轴油封多次漏油")</f>
        <v>一汽大众宝来变速箱半轴油封多次漏油</v>
      </c>
      <c r="C11943" s="2" t="s">
        <v>13</v>
      </c>
      <c r="D11943" s="2" t="s">
        <v>12</v>
      </c>
      <c r="E11943" s="2" t="s">
        <v>17</v>
      </c>
      <c r="F11943" s="2" t="str">
        <f>HYPERLINK("http://www.12365auto.com/zlts/20200205/446379.shtml","http://www.12365auto.com/zlts/20200205/446379.shtml")</f>
        <v>http://www.12365auto.com/zlts/20200205/446379.shtml</v>
      </c>
      <c r="G11943" s="2"/>
      <c r="H11943" s="2" t="s">
        <v>15966</v>
      </c>
      <c r="I11943" s="2" t="s">
        <v>19</v>
      </c>
      <c r="J11943" s="2" t="s">
        <v>12</v>
      </c>
      <c r="K11943" s="2" t="s">
        <v>15967</v>
      </c>
      <c r="L11943" s="2">
        <f t="shared" si="186"/>
        <v>150</v>
      </c>
    </row>
    <row r="11944" spans="1:12" ht="25" customHeight="1">
      <c r="A11944" s="2" t="s">
        <v>12</v>
      </c>
      <c r="B11944" s="2" t="str">
        <f>HYPERLINK("http://m.12365auto.com/xcdg/20200205/417715.shtml","值得信赖的纯电小型SUV 理念VE-1竞争力分析")</f>
        <v>值得信赖的纯电小型SUV 理念VE-1竞争力分析</v>
      </c>
      <c r="C11944" s="2" t="s">
        <v>13</v>
      </c>
      <c r="D11944" s="2" t="s">
        <v>12</v>
      </c>
      <c r="E11944" s="2"/>
      <c r="F11944" s="2" t="str">
        <f>HYPERLINK("http://m.12365auto.com/xcdg/20200205/417715.shtml","http://m.12365auto.com/xcdg/20200205/417715.shtml")</f>
        <v>http://m.12365auto.com/xcdg/20200205/417715.shtml</v>
      </c>
      <c r="G11944" s="2"/>
      <c r="H11944" s="2" t="s">
        <v>15968</v>
      </c>
      <c r="I11944" s="2" t="s">
        <v>19</v>
      </c>
      <c r="J11944" s="2" t="s">
        <v>768</v>
      </c>
      <c r="K11944" s="2" t="s">
        <v>15969</v>
      </c>
      <c r="L11944" s="2">
        <f t="shared" si="186"/>
        <v>150</v>
      </c>
    </row>
    <row r="11945" spans="1:12" ht="25" customHeight="1">
      <c r="A11945" s="2" t="s">
        <v>12</v>
      </c>
      <c r="B11945" s="2" t="str">
        <f>HYPERLINK("http://bbs.12365auto.com/postcontent.aspx?tId=193334","多大岁数我们就不可以开车了呢")</f>
        <v>多大岁数我们就不可以开车了呢</v>
      </c>
      <c r="C11945" s="2" t="s">
        <v>13</v>
      </c>
      <c r="D11945" s="2" t="s">
        <v>12</v>
      </c>
      <c r="E11945" s="2" t="s">
        <v>27</v>
      </c>
      <c r="F11945" s="2" t="str">
        <f>HYPERLINK("http://bbs.12365auto.com/postcontent.aspx?tId=193334","http://bbs.12365auto.com/postcontent.aspx?tId=193334")</f>
        <v>http://bbs.12365auto.com/postcontent.aspx?tId=193334</v>
      </c>
      <c r="G11945" s="2"/>
      <c r="H11945" s="2" t="s">
        <v>15970</v>
      </c>
      <c r="I11945" s="2" t="s">
        <v>15</v>
      </c>
      <c r="J11945" s="2" t="s">
        <v>1113</v>
      </c>
      <c r="K11945" s="2" t="s">
        <v>15971</v>
      </c>
      <c r="L11945" s="2">
        <f t="shared" si="186"/>
        <v>150</v>
      </c>
    </row>
    <row r="11946" spans="1:12" ht="25" customHeight="1">
      <c r="A11946" s="2" t="s">
        <v>12</v>
      </c>
      <c r="B11946" s="2" t="str">
        <f>HYPERLINK("http://bbs.12365auto.com/postcontent.aspx?tId=193335","车内灰尘多别用毛巾擦")</f>
        <v>车内灰尘多别用毛巾擦</v>
      </c>
      <c r="C11946" s="2" t="s">
        <v>13</v>
      </c>
      <c r="D11946" s="2" t="s">
        <v>12</v>
      </c>
      <c r="E11946" s="2" t="s">
        <v>27</v>
      </c>
      <c r="F11946" s="2" t="str">
        <f>HYPERLINK("http://bbs.12365auto.com/postcontent.aspx?tId=193335","http://bbs.12365auto.com/postcontent.aspx?tId=193335")</f>
        <v>http://bbs.12365auto.com/postcontent.aspx?tId=193335</v>
      </c>
      <c r="G11946" s="2"/>
      <c r="H11946" s="2" t="s">
        <v>15972</v>
      </c>
      <c r="I11946" s="2" t="s">
        <v>15</v>
      </c>
      <c r="J11946" s="2" t="s">
        <v>1113</v>
      </c>
      <c r="K11946" s="2" t="s">
        <v>15971</v>
      </c>
      <c r="L11946" s="2">
        <f t="shared" si="186"/>
        <v>150</v>
      </c>
    </row>
    <row r="11947" spans="1:12" ht="25" customHeight="1">
      <c r="A11947" s="2" t="s">
        <v>12</v>
      </c>
      <c r="B11947" s="2" t="str">
        <f>HYPERLINK("http://m.12365auto.com/bbs/postcontent.aspx?tID=193335","车内灰尘多别用毛巾擦")</f>
        <v>车内灰尘多别用毛巾擦</v>
      </c>
      <c r="C11947" s="2" t="s">
        <v>13</v>
      </c>
      <c r="D11947" s="2" t="s">
        <v>23</v>
      </c>
      <c r="E11947" s="2"/>
      <c r="F11947" s="2" t="str">
        <f>HYPERLINK("http://m.12365auto.com/bbs/postcontent.aspx?tID=193335","http://m.12365auto.com/bbs/postcontent.aspx?tID=193335")</f>
        <v>http://m.12365auto.com/bbs/postcontent.aspx?tID=193335</v>
      </c>
      <c r="G11947" s="2"/>
      <c r="H11947" s="2" t="s">
        <v>15972</v>
      </c>
      <c r="I11947" s="2" t="s">
        <v>15</v>
      </c>
      <c r="J11947" s="2" t="s">
        <v>1113</v>
      </c>
      <c r="K11947" s="2" t="s">
        <v>15971</v>
      </c>
      <c r="L11947" s="2">
        <f t="shared" si="186"/>
        <v>150</v>
      </c>
    </row>
    <row r="11948" spans="1:12" ht="25" customHeight="1">
      <c r="A11948" s="2" t="s">
        <v>12</v>
      </c>
      <c r="B11948" s="2" t="str">
        <f>HYPERLINK("http://m.12365auto.com/bbs/postcontent.aspx?tID=193334","多大岁数我们就不可以开车了呢")</f>
        <v>多大岁数我们就不可以开车了呢</v>
      </c>
      <c r="C11948" s="2" t="s">
        <v>13</v>
      </c>
      <c r="D11948" s="2" t="s">
        <v>23</v>
      </c>
      <c r="E11948" s="2"/>
      <c r="F11948" s="2" t="str">
        <f>HYPERLINK("http://m.12365auto.com/bbs/postcontent.aspx?tID=193334","http://m.12365auto.com/bbs/postcontent.aspx?tID=193334")</f>
        <v>http://m.12365auto.com/bbs/postcontent.aspx?tID=193334</v>
      </c>
      <c r="G11948" s="2"/>
      <c r="H11948" s="2" t="s">
        <v>15970</v>
      </c>
      <c r="I11948" s="2" t="s">
        <v>15</v>
      </c>
      <c r="J11948" s="2" t="s">
        <v>1113</v>
      </c>
      <c r="K11948" s="2" t="s">
        <v>15971</v>
      </c>
      <c r="L11948" s="2">
        <f t="shared" si="186"/>
        <v>150</v>
      </c>
    </row>
    <row r="11949" spans="1:12" ht="25" customHeight="1">
      <c r="A11949" s="2" t="s">
        <v>12</v>
      </c>
      <c r="B11949" s="2" t="str">
        <f>HYPERLINK("http://bbs.12365auto.com/postcontent.aspx?tID=193335","车内灰尘多别用毛巾擦")</f>
        <v>车内灰尘多别用毛巾擦</v>
      </c>
      <c r="C11949" s="2" t="s">
        <v>13</v>
      </c>
      <c r="D11949" s="2" t="s">
        <v>12</v>
      </c>
      <c r="E11949" s="2" t="s">
        <v>28</v>
      </c>
      <c r="F11949" s="2" t="str">
        <f>HYPERLINK("http://bbs.12365auto.com/postcontent.aspx?tID=193335","http://bbs.12365auto.com/postcontent.aspx?tID=193335")</f>
        <v>http://bbs.12365auto.com/postcontent.aspx?tID=193335</v>
      </c>
      <c r="G11949" s="2"/>
      <c r="H11949" s="2" t="s">
        <v>15973</v>
      </c>
      <c r="I11949" s="2" t="s">
        <v>15</v>
      </c>
      <c r="J11949" s="2" t="s">
        <v>1113</v>
      </c>
      <c r="K11949" s="2" t="s">
        <v>15971</v>
      </c>
      <c r="L11949" s="2">
        <f t="shared" si="186"/>
        <v>150</v>
      </c>
    </row>
    <row r="11950" spans="1:12" ht="25" customHeight="1">
      <c r="A11950" s="2" t="s">
        <v>12</v>
      </c>
      <c r="B11950" s="2" t="str">
        <f>HYPERLINK("http://bbs.12365auto.com/postcontent.aspx?tID=193334","多大岁数我们就不可以开车了呢")</f>
        <v>多大岁数我们就不可以开车了呢</v>
      </c>
      <c r="C11950" s="2" t="s">
        <v>13</v>
      </c>
      <c r="D11950" s="2" t="s">
        <v>12</v>
      </c>
      <c r="E11950" s="2" t="s">
        <v>28</v>
      </c>
      <c r="F11950" s="2" t="str">
        <f>HYPERLINK("http://bbs.12365auto.com/postcontent.aspx?tID=193334","http://bbs.12365auto.com/postcontent.aspx?tID=193334")</f>
        <v>http://bbs.12365auto.com/postcontent.aspx?tID=193334</v>
      </c>
      <c r="G11950" s="2"/>
      <c r="H11950" s="2" t="s">
        <v>15974</v>
      </c>
      <c r="I11950" s="2" t="s">
        <v>15</v>
      </c>
      <c r="J11950" s="2" t="s">
        <v>1113</v>
      </c>
      <c r="K11950" s="2" t="s">
        <v>15971</v>
      </c>
      <c r="L11950" s="2">
        <f t="shared" si="186"/>
        <v>150</v>
      </c>
    </row>
    <row r="11951" spans="1:12" ht="25" customHeight="1">
      <c r="A11951" s="2" t="s">
        <v>12</v>
      </c>
      <c r="B11951" s="2" t="str">
        <f>HYPERLINK("http://m.12365auto.com/news/20200205/417714.shtml","广汽本田公布四大计划 推上门取送车服务")</f>
        <v>广汽本田公布四大计划 推上门取送车服务</v>
      </c>
      <c r="C11951" s="2" t="s">
        <v>13</v>
      </c>
      <c r="D11951" s="2" t="s">
        <v>12</v>
      </c>
      <c r="E11951" s="2"/>
      <c r="F11951" s="2" t="str">
        <f>HYPERLINK("http://m.12365auto.com/news/20200205/417714.shtml","http://m.12365auto.com/news/20200205/417714.shtml")</f>
        <v>http://m.12365auto.com/news/20200205/417714.shtml</v>
      </c>
      <c r="G11951" s="2"/>
      <c r="H11951" s="2" t="s">
        <v>15975</v>
      </c>
      <c r="I11951" s="2" t="s">
        <v>19</v>
      </c>
      <c r="J11951" s="2" t="s">
        <v>8277</v>
      </c>
      <c r="K11951" s="2" t="s">
        <v>15971</v>
      </c>
      <c r="L11951" s="2">
        <f t="shared" si="186"/>
        <v>150</v>
      </c>
    </row>
    <row r="11952" spans="1:12" ht="25" customHeight="1">
      <c r="A11952" s="2" t="s">
        <v>12</v>
      </c>
      <c r="B11952" s="2" t="str">
        <f>HYPERLINK("http://www.12365auto.com/news/20200205/417714.shtml","广汽本田公布四大计划 推上门取送车服务")</f>
        <v>广汽本田公布四大计划 推上门取送车服务</v>
      </c>
      <c r="C11952" s="2" t="s">
        <v>13</v>
      </c>
      <c r="D11952" s="2" t="s">
        <v>12</v>
      </c>
      <c r="E11952" s="2" t="s">
        <v>276</v>
      </c>
      <c r="F11952" s="2" t="str">
        <f>HYPERLINK("http://www.12365auto.com/news/20200205/417714.shtml","http://www.12365auto.com/news/20200205/417714.shtml")</f>
        <v>http://www.12365auto.com/news/20200205/417714.shtml</v>
      </c>
      <c r="G11952" s="2"/>
      <c r="H11952" s="2" t="s">
        <v>15976</v>
      </c>
      <c r="I11952" s="2" t="s">
        <v>15</v>
      </c>
      <c r="J11952" s="2" t="s">
        <v>12</v>
      </c>
      <c r="K11952" s="2" t="s">
        <v>15971</v>
      </c>
      <c r="L11952" s="2">
        <f t="shared" si="186"/>
        <v>150</v>
      </c>
    </row>
    <row r="11953" spans="1:12" ht="25" customHeight="1">
      <c r="A11953" s="2" t="s">
        <v>12</v>
      </c>
      <c r="B11953" s="2" t="str">
        <f>HYPERLINK("http://bbs.12365auto.com/postcontent.aspx?tId=193333","如何判断男人开车技术好坏")</f>
        <v>如何判断男人开车技术好坏</v>
      </c>
      <c r="C11953" s="2" t="s">
        <v>13</v>
      </c>
      <c r="D11953" s="2" t="s">
        <v>12</v>
      </c>
      <c r="E11953" s="2" t="s">
        <v>27</v>
      </c>
      <c r="F11953" s="2" t="str">
        <f>HYPERLINK("http://bbs.12365auto.com/postcontent.aspx?tId=193333","http://bbs.12365auto.com/postcontent.aspx?tId=193333")</f>
        <v>http://bbs.12365auto.com/postcontent.aspx?tId=193333</v>
      </c>
      <c r="G11953" s="2"/>
      <c r="H11953" s="2" t="s">
        <v>15977</v>
      </c>
      <c r="I11953" s="2" t="s">
        <v>15</v>
      </c>
      <c r="J11953" s="2" t="s">
        <v>1113</v>
      </c>
      <c r="K11953" s="2" t="s">
        <v>15978</v>
      </c>
      <c r="L11953" s="2">
        <f t="shared" si="186"/>
        <v>150</v>
      </c>
    </row>
    <row r="11954" spans="1:12" ht="25" customHeight="1">
      <c r="A11954" s="2" t="s">
        <v>12</v>
      </c>
      <c r="B11954" s="2" t="str">
        <f>HYPERLINK("http://bbs.12365auto.com/postcontent.aspx?tId=193332","最危险的一段间距")</f>
        <v>最危险的一段间距</v>
      </c>
      <c r="C11954" s="2" t="s">
        <v>13</v>
      </c>
      <c r="D11954" s="2" t="s">
        <v>12</v>
      </c>
      <c r="E11954" s="2" t="s">
        <v>27</v>
      </c>
      <c r="F11954" s="2" t="str">
        <f>HYPERLINK("http://bbs.12365auto.com/postcontent.aspx?tId=193332","http://bbs.12365auto.com/postcontent.aspx?tId=193332")</f>
        <v>http://bbs.12365auto.com/postcontent.aspx?tId=193332</v>
      </c>
      <c r="G11954" s="2"/>
      <c r="H11954" s="2" t="s">
        <v>15979</v>
      </c>
      <c r="I11954" s="2" t="s">
        <v>15</v>
      </c>
      <c r="J11954" s="2" t="s">
        <v>1113</v>
      </c>
      <c r="K11954" s="2" t="s">
        <v>15978</v>
      </c>
      <c r="L11954" s="2">
        <f t="shared" si="186"/>
        <v>84</v>
      </c>
    </row>
    <row r="11955" spans="1:12" ht="25" customHeight="1">
      <c r="A11955" s="2" t="s">
        <v>12</v>
      </c>
      <c r="B11955" s="2" t="str">
        <f>HYPERLINK("http://m.12365auto.com/bbs/postcontent.aspx?tID=193333","如何判断男人开车技术好坏")</f>
        <v>如何判断男人开车技术好坏</v>
      </c>
      <c r="C11955" s="2" t="s">
        <v>13</v>
      </c>
      <c r="D11955" s="2" t="s">
        <v>23</v>
      </c>
      <c r="E11955" s="2"/>
      <c r="F11955" s="2" t="str">
        <f>HYPERLINK("http://m.12365auto.com/bbs/postcontent.aspx?tID=193333","http://m.12365auto.com/bbs/postcontent.aspx?tID=193333")</f>
        <v>http://m.12365auto.com/bbs/postcontent.aspx?tID=193333</v>
      </c>
      <c r="G11955" s="2"/>
      <c r="H11955" s="2" t="s">
        <v>15977</v>
      </c>
      <c r="I11955" s="2" t="s">
        <v>15</v>
      </c>
      <c r="J11955" s="2" t="s">
        <v>1113</v>
      </c>
      <c r="K11955" s="2" t="s">
        <v>15978</v>
      </c>
      <c r="L11955" s="2">
        <f t="shared" si="186"/>
        <v>150</v>
      </c>
    </row>
    <row r="11956" spans="1:12" ht="25" customHeight="1">
      <c r="A11956" s="2" t="s">
        <v>12</v>
      </c>
      <c r="B11956" s="2" t="str">
        <f>HYPERLINK("http://m.12365auto.com/bbs/postcontent.aspx?tID=193332","最危险的一段间距")</f>
        <v>最危险的一段间距</v>
      </c>
      <c r="C11956" s="2" t="s">
        <v>13</v>
      </c>
      <c r="D11956" s="2" t="s">
        <v>23</v>
      </c>
      <c r="E11956" s="2"/>
      <c r="F11956" s="2" t="str">
        <f>HYPERLINK("http://m.12365auto.com/bbs/postcontent.aspx?tID=193332","http://m.12365auto.com/bbs/postcontent.aspx?tID=193332")</f>
        <v>http://m.12365auto.com/bbs/postcontent.aspx?tID=193332</v>
      </c>
      <c r="G11956" s="2"/>
      <c r="H11956" s="2" t="s">
        <v>15979</v>
      </c>
      <c r="I11956" s="2" t="s">
        <v>15</v>
      </c>
      <c r="J11956" s="2" t="s">
        <v>1113</v>
      </c>
      <c r="K11956" s="2" t="s">
        <v>15978</v>
      </c>
      <c r="L11956" s="2">
        <f t="shared" si="186"/>
        <v>84</v>
      </c>
    </row>
    <row r="11957" spans="1:12" ht="25" customHeight="1">
      <c r="A11957" s="2" t="s">
        <v>12</v>
      </c>
      <c r="B11957" s="2" t="str">
        <f>HYPERLINK("http://bbs.12365auto.com/postcontent.aspx?tID=193332","最危险的一段间距")</f>
        <v>最危险的一段间距</v>
      </c>
      <c r="C11957" s="2" t="s">
        <v>13</v>
      </c>
      <c r="D11957" s="2" t="s">
        <v>12</v>
      </c>
      <c r="E11957" s="2" t="s">
        <v>28</v>
      </c>
      <c r="F11957" s="2" t="str">
        <f>HYPERLINK("http://bbs.12365auto.com/postcontent.aspx?tID=193332","http://bbs.12365auto.com/postcontent.aspx?tID=193332")</f>
        <v>http://bbs.12365auto.com/postcontent.aspx?tID=193332</v>
      </c>
      <c r="G11957" s="2"/>
      <c r="H11957" s="2" t="s">
        <v>15980</v>
      </c>
      <c r="I11957" s="2" t="s">
        <v>15</v>
      </c>
      <c r="J11957" s="2" t="s">
        <v>1113</v>
      </c>
      <c r="K11957" s="2" t="s">
        <v>15978</v>
      </c>
      <c r="L11957" s="2">
        <f t="shared" si="186"/>
        <v>92</v>
      </c>
    </row>
    <row r="11958" spans="1:12" ht="25" customHeight="1">
      <c r="A11958" s="2" t="s">
        <v>12</v>
      </c>
      <c r="B11958" s="2" t="str">
        <f>HYPERLINK("http://bbs.12365auto.com/postcontent.aspx?tID=193333","如何判断男人开车技术好坏")</f>
        <v>如何判断男人开车技术好坏</v>
      </c>
      <c r="C11958" s="2" t="s">
        <v>13</v>
      </c>
      <c r="D11958" s="2" t="s">
        <v>12</v>
      </c>
      <c r="E11958" s="2" t="s">
        <v>28</v>
      </c>
      <c r="F11958" s="2" t="str">
        <f>HYPERLINK("http://bbs.12365auto.com/postcontent.aspx?tID=193333","http://bbs.12365auto.com/postcontent.aspx?tID=193333")</f>
        <v>http://bbs.12365auto.com/postcontent.aspx?tID=193333</v>
      </c>
      <c r="G11958" s="2"/>
      <c r="H11958" s="2" t="s">
        <v>15981</v>
      </c>
      <c r="I11958" s="2" t="s">
        <v>15</v>
      </c>
      <c r="J11958" s="2" t="s">
        <v>1113</v>
      </c>
      <c r="K11958" s="2" t="s">
        <v>15978</v>
      </c>
      <c r="L11958" s="2">
        <f t="shared" si="186"/>
        <v>150</v>
      </c>
    </row>
    <row r="11959" spans="1:12" ht="25" customHeight="1">
      <c r="A11959" s="2" t="s">
        <v>12</v>
      </c>
      <c r="B11959" s="2" t="str">
        <f>HYPERLINK("http://bbs.12365auto.com/postcontent.aspx?tId=193330","小心被“剃头”！躺着也“中枪”")</f>
        <v>小心被“剃头”！躺着也“中枪”</v>
      </c>
      <c r="C11959" s="2" t="s">
        <v>13</v>
      </c>
      <c r="D11959" s="2" t="s">
        <v>12</v>
      </c>
      <c r="E11959" s="2" t="s">
        <v>27</v>
      </c>
      <c r="F11959" s="2" t="str">
        <f>HYPERLINK("http://bbs.12365auto.com/postcontent.aspx?tId=193330","http://bbs.12365auto.com/postcontent.aspx?tId=193330")</f>
        <v>http://bbs.12365auto.com/postcontent.aspx?tId=193330</v>
      </c>
      <c r="G11959" s="2"/>
      <c r="H11959" s="2" t="s">
        <v>15982</v>
      </c>
      <c r="I11959" s="2" t="s">
        <v>15</v>
      </c>
      <c r="J11959" s="2" t="s">
        <v>1113</v>
      </c>
      <c r="K11959" s="2" t="s">
        <v>15983</v>
      </c>
      <c r="L11959" s="2">
        <f t="shared" si="186"/>
        <v>84</v>
      </c>
    </row>
    <row r="11960" spans="1:12" ht="25" customHeight="1">
      <c r="A11960" s="2" t="s">
        <v>12</v>
      </c>
      <c r="B11960" s="2" t="str">
        <f>HYPERLINK("http://bbs.12365auto.com/postcontent.aspx?tId=193331","有需要的老司机看过来 C1驾照可以升级为B2驾照")</f>
        <v>有需要的老司机看过来 C1驾照可以升级为B2驾照</v>
      </c>
      <c r="C11960" s="2" t="s">
        <v>13</v>
      </c>
      <c r="D11960" s="2" t="s">
        <v>12</v>
      </c>
      <c r="E11960" s="2" t="s">
        <v>27</v>
      </c>
      <c r="F11960" s="2" t="str">
        <f>HYPERLINK("http://bbs.12365auto.com/postcontent.aspx?tId=193331","http://bbs.12365auto.com/postcontent.aspx?tId=193331")</f>
        <v>http://bbs.12365auto.com/postcontent.aspx?tId=193331</v>
      </c>
      <c r="G11960" s="2"/>
      <c r="H11960" s="2" t="s">
        <v>13274</v>
      </c>
      <c r="I11960" s="2" t="s">
        <v>15</v>
      </c>
      <c r="J11960" s="2" t="s">
        <v>1113</v>
      </c>
      <c r="K11960" s="2" t="s">
        <v>15983</v>
      </c>
      <c r="L11960" s="2">
        <f t="shared" si="186"/>
        <v>150</v>
      </c>
    </row>
    <row r="11961" spans="1:12" ht="25" customHeight="1">
      <c r="A11961" s="2" t="s">
        <v>12</v>
      </c>
      <c r="B11961" s="2" t="str">
        <f>HYPERLINK("http://m.12365auto.com/bbs/postcontent.aspx?tID=193331","有需要的老司机看过来 C1驾照可以升级为B2驾照")</f>
        <v>有需要的老司机看过来 C1驾照可以升级为B2驾照</v>
      </c>
      <c r="C11961" s="2" t="s">
        <v>13</v>
      </c>
      <c r="D11961" s="2" t="s">
        <v>23</v>
      </c>
      <c r="E11961" s="2"/>
      <c r="F11961" s="2" t="str">
        <f>HYPERLINK("http://m.12365auto.com/bbs/postcontent.aspx?tID=193331","http://m.12365auto.com/bbs/postcontent.aspx?tID=193331")</f>
        <v>http://m.12365auto.com/bbs/postcontent.aspx?tID=193331</v>
      </c>
      <c r="G11961" s="2"/>
      <c r="H11961" s="2" t="s">
        <v>13274</v>
      </c>
      <c r="I11961" s="2" t="s">
        <v>15</v>
      </c>
      <c r="J11961" s="2" t="s">
        <v>1113</v>
      </c>
      <c r="K11961" s="2" t="s">
        <v>15983</v>
      </c>
      <c r="L11961" s="2">
        <f t="shared" si="186"/>
        <v>150</v>
      </c>
    </row>
    <row r="11962" spans="1:12" ht="25" customHeight="1">
      <c r="A11962" s="2" t="s">
        <v>12</v>
      </c>
      <c r="B11962" s="2" t="str">
        <f>HYPERLINK("http://m.12365auto.com/bbs/postcontent.aspx?tID=193330","小心被“剃头”！躺着也“中枪”")</f>
        <v>小心被“剃头”！躺着也“中枪”</v>
      </c>
      <c r="C11962" s="2" t="s">
        <v>13</v>
      </c>
      <c r="D11962" s="2" t="s">
        <v>23</v>
      </c>
      <c r="E11962" s="2"/>
      <c r="F11962" s="2" t="str">
        <f>HYPERLINK("http://m.12365auto.com/bbs/postcontent.aspx?tID=193330","http://m.12365auto.com/bbs/postcontent.aspx?tID=193330")</f>
        <v>http://m.12365auto.com/bbs/postcontent.aspx?tID=193330</v>
      </c>
      <c r="G11962" s="2"/>
      <c r="H11962" s="2" t="s">
        <v>15982</v>
      </c>
      <c r="I11962" s="2" t="s">
        <v>15</v>
      </c>
      <c r="J11962" s="2" t="s">
        <v>1113</v>
      </c>
      <c r="K11962" s="2" t="s">
        <v>15983</v>
      </c>
      <c r="L11962" s="2">
        <f t="shared" si="186"/>
        <v>84</v>
      </c>
    </row>
    <row r="11963" spans="1:12" ht="25" customHeight="1">
      <c r="A11963" s="2" t="s">
        <v>12</v>
      </c>
      <c r="B11963" s="2" t="str">
        <f>HYPERLINK("http://bbs.12365auto.com/postcontent.aspx?tID=193331","有需要的老司机看过来 C1驾照可以升级为B2驾照")</f>
        <v>有需要的老司机看过来 C1驾照可以升级为B2驾照</v>
      </c>
      <c r="C11963" s="2" t="s">
        <v>13</v>
      </c>
      <c r="D11963" s="2" t="s">
        <v>12</v>
      </c>
      <c r="E11963" s="2" t="s">
        <v>28</v>
      </c>
      <c r="F11963" s="2" t="str">
        <f>HYPERLINK("http://bbs.12365auto.com/postcontent.aspx?tID=193331","http://bbs.12365auto.com/postcontent.aspx?tID=193331")</f>
        <v>http://bbs.12365auto.com/postcontent.aspx?tID=193331</v>
      </c>
      <c r="G11963" s="2"/>
      <c r="H11963" s="2" t="s">
        <v>15984</v>
      </c>
      <c r="I11963" s="2" t="s">
        <v>15</v>
      </c>
      <c r="J11963" s="2" t="s">
        <v>1113</v>
      </c>
      <c r="K11963" s="2" t="s">
        <v>15983</v>
      </c>
      <c r="L11963" s="2">
        <f t="shared" si="186"/>
        <v>150</v>
      </c>
    </row>
    <row r="11964" spans="1:12" ht="25" customHeight="1">
      <c r="A11964" s="2" t="s">
        <v>12</v>
      </c>
      <c r="B11964" s="2" t="str">
        <f>HYPERLINK("http://bbs.12365auto.com/postcontent.aspx?tID=193330","小心被“剃头”！躺着也“中枪”")</f>
        <v>小心被“剃头”！躺着也“中枪”</v>
      </c>
      <c r="C11964" s="2" t="s">
        <v>13</v>
      </c>
      <c r="D11964" s="2" t="s">
        <v>12</v>
      </c>
      <c r="E11964" s="2" t="s">
        <v>28</v>
      </c>
      <c r="F11964" s="2" t="str">
        <f>HYPERLINK("http://bbs.12365auto.com/postcontent.aspx?tID=193330","http://bbs.12365auto.com/postcontent.aspx?tID=193330")</f>
        <v>http://bbs.12365auto.com/postcontent.aspx?tID=193330</v>
      </c>
      <c r="G11964" s="2"/>
      <c r="H11964" s="2" t="s">
        <v>15985</v>
      </c>
      <c r="I11964" s="2" t="s">
        <v>15</v>
      </c>
      <c r="J11964" s="2" t="s">
        <v>1113</v>
      </c>
      <c r="K11964" s="2" t="s">
        <v>15983</v>
      </c>
      <c r="L11964" s="2">
        <f t="shared" si="186"/>
        <v>99</v>
      </c>
    </row>
    <row r="11965" spans="1:12" ht="25" customHeight="1">
      <c r="A11965" s="2" t="s">
        <v>12</v>
      </c>
      <c r="B11965" s="2" t="str">
        <f>HYPERLINK("http://m.12365auto.com/xcdg/20200205/417713.shtml","凯迪拉克智能驾驶系统升级 CT5/CT4率先搭载")</f>
        <v>凯迪拉克智能驾驶系统升级 CT5/CT4率先搭载</v>
      </c>
      <c r="C11965" s="2" t="s">
        <v>13</v>
      </c>
      <c r="D11965" s="2" t="s">
        <v>12</v>
      </c>
      <c r="E11965" s="2"/>
      <c r="F11965" s="2" t="str">
        <f>HYPERLINK("http://m.12365auto.com/xcdg/20200205/417713.shtml","http://m.12365auto.com/xcdg/20200205/417713.shtml")</f>
        <v>http://m.12365auto.com/xcdg/20200205/417713.shtml</v>
      </c>
      <c r="G11965" s="2"/>
      <c r="H11965" s="2" t="s">
        <v>15986</v>
      </c>
      <c r="I11965" s="2" t="s">
        <v>19</v>
      </c>
      <c r="J11965" s="2" t="s">
        <v>2660</v>
      </c>
      <c r="K11965" s="2" t="s">
        <v>15983</v>
      </c>
      <c r="L11965" s="2">
        <f t="shared" si="186"/>
        <v>150</v>
      </c>
    </row>
    <row r="11966" spans="1:12" ht="25" customHeight="1">
      <c r="A11966" s="2" t="s">
        <v>12</v>
      </c>
      <c r="B11966" s="2" t="str">
        <f>HYPERLINK("http://www.12365auto.com/xcdg/20200205/417713.shtml","凯迪拉克智能驾驶系统升级 CT5/CT4率先搭载")</f>
        <v>凯迪拉克智能驾驶系统升级 CT5/CT4率先搭载</v>
      </c>
      <c r="C11966" s="2" t="s">
        <v>13</v>
      </c>
      <c r="D11966" s="2" t="s">
        <v>12</v>
      </c>
      <c r="E11966" s="2" t="s">
        <v>216</v>
      </c>
      <c r="F11966" s="2" t="str">
        <f>HYPERLINK("http://www.12365auto.com/xcdg/20200205/417713.shtml","http://www.12365auto.com/xcdg/20200205/417713.shtml")</f>
        <v>http://www.12365auto.com/xcdg/20200205/417713.shtml</v>
      </c>
      <c r="G11966" s="2"/>
      <c r="H11966" s="2" t="s">
        <v>15987</v>
      </c>
      <c r="I11966" s="2" t="s">
        <v>15</v>
      </c>
      <c r="J11966" s="2" t="s">
        <v>12</v>
      </c>
      <c r="K11966" s="2" t="s">
        <v>15983</v>
      </c>
      <c r="L11966" s="2">
        <f t="shared" si="186"/>
        <v>150</v>
      </c>
    </row>
    <row r="11967" spans="1:12" ht="25" customHeight="1">
      <c r="A11967" s="2" t="s">
        <v>12</v>
      </c>
      <c r="B11967" s="2" t="str">
        <f>HYPERLINK("http://bbs.12365auto.com/postcontent.aspx?tId=193328","夏天停车是门技术活")</f>
        <v>夏天停车是门技术活</v>
      </c>
      <c r="C11967" s="2" t="s">
        <v>13</v>
      </c>
      <c r="D11967" s="2" t="s">
        <v>12</v>
      </c>
      <c r="E11967" s="2" t="s">
        <v>27</v>
      </c>
      <c r="F11967" s="2" t="str">
        <f>HYPERLINK("http://bbs.12365auto.com/postcontent.aspx?tId=193328","http://bbs.12365auto.com/postcontent.aspx?tId=193328")</f>
        <v>http://bbs.12365auto.com/postcontent.aspx?tId=193328</v>
      </c>
      <c r="G11967" s="2"/>
      <c r="H11967" s="2" t="s">
        <v>15988</v>
      </c>
      <c r="I11967" s="2" t="s">
        <v>15</v>
      </c>
      <c r="J11967" s="2" t="s">
        <v>1113</v>
      </c>
      <c r="K11967" s="2" t="s">
        <v>15989</v>
      </c>
      <c r="L11967" s="2">
        <f t="shared" si="186"/>
        <v>150</v>
      </c>
    </row>
    <row r="11968" spans="1:12" ht="25" customHeight="1">
      <c r="A11968" s="2" t="s">
        <v>12</v>
      </c>
      <c r="B11968" s="2" t="str">
        <f>HYPERLINK("http://bbs.12365auto.com/postcontent.aspx?tId=193329","汽车上每个零件你都叫得出名字吗")</f>
        <v>汽车上每个零件你都叫得出名字吗</v>
      </c>
      <c r="C11968" s="2" t="s">
        <v>13</v>
      </c>
      <c r="D11968" s="2" t="s">
        <v>12</v>
      </c>
      <c r="E11968" s="2" t="s">
        <v>27</v>
      </c>
      <c r="F11968" s="2" t="str">
        <f>HYPERLINK("http://bbs.12365auto.com/postcontent.aspx?tId=193329","http://bbs.12365auto.com/postcontent.aspx?tId=193329")</f>
        <v>http://bbs.12365auto.com/postcontent.aspx?tId=193329</v>
      </c>
      <c r="G11968" s="2"/>
      <c r="H11968" s="2" t="s">
        <v>15990</v>
      </c>
      <c r="I11968" s="2" t="s">
        <v>15</v>
      </c>
      <c r="J11968" s="2" t="s">
        <v>1113</v>
      </c>
      <c r="K11968" s="2" t="s">
        <v>15989</v>
      </c>
      <c r="L11968" s="2">
        <f t="shared" si="186"/>
        <v>116</v>
      </c>
    </row>
    <row r="11969" spans="1:12" ht="25" customHeight="1">
      <c r="A11969" s="2" t="s">
        <v>12</v>
      </c>
      <c r="B11969" s="2" t="str">
        <f>HYPERLINK("http://bbs.12365auto.com/postcontent.aspx?tId=193327","能过滤PM2.5的车，是不是也可以防病毒？")</f>
        <v>能过滤PM2.5的车，是不是也可以防病毒？</v>
      </c>
      <c r="C11969" s="2" t="s">
        <v>13</v>
      </c>
      <c r="D11969" s="2" t="s">
        <v>12</v>
      </c>
      <c r="E11969" s="2" t="s">
        <v>27</v>
      </c>
      <c r="F11969" s="2" t="str">
        <f>HYPERLINK("http://bbs.12365auto.com/postcontent.aspx?tId=193327","http://bbs.12365auto.com/postcontent.aspx?tId=193327")</f>
        <v>http://bbs.12365auto.com/postcontent.aspx?tId=193327</v>
      </c>
      <c r="G11969" s="2"/>
      <c r="H11969" s="2" t="s">
        <v>15991</v>
      </c>
      <c r="I11969" s="2" t="s">
        <v>15</v>
      </c>
      <c r="J11969" s="2" t="s">
        <v>1113</v>
      </c>
      <c r="K11969" s="2" t="s">
        <v>15989</v>
      </c>
      <c r="L11969" s="2">
        <f t="shared" si="186"/>
        <v>150</v>
      </c>
    </row>
    <row r="11970" spans="1:12" ht="25" customHeight="1">
      <c r="A11970" s="2" t="s">
        <v>12</v>
      </c>
      <c r="B11970" s="2" t="str">
        <f>HYPERLINK("http://m.12365auto.com/bbs/postcontent.aspx?tID=193328","夏天停车是门技术活")</f>
        <v>夏天停车是门技术活</v>
      </c>
      <c r="C11970" s="2" t="s">
        <v>13</v>
      </c>
      <c r="D11970" s="2" t="s">
        <v>23</v>
      </c>
      <c r="E11970" s="2"/>
      <c r="F11970" s="2" t="str">
        <f>HYPERLINK("http://m.12365auto.com/bbs/postcontent.aspx?tID=193328","http://m.12365auto.com/bbs/postcontent.aspx?tID=193328")</f>
        <v>http://m.12365auto.com/bbs/postcontent.aspx?tID=193328</v>
      </c>
      <c r="G11970" s="2"/>
      <c r="H11970" s="2" t="s">
        <v>15988</v>
      </c>
      <c r="I11970" s="2" t="s">
        <v>15</v>
      </c>
      <c r="J11970" s="2" t="s">
        <v>1113</v>
      </c>
      <c r="K11970" s="2" t="s">
        <v>15989</v>
      </c>
      <c r="L11970" s="2">
        <f t="shared" si="186"/>
        <v>150</v>
      </c>
    </row>
    <row r="11971" spans="1:12" ht="25" customHeight="1">
      <c r="A11971" s="2" t="s">
        <v>12</v>
      </c>
      <c r="B11971" s="2" t="str">
        <f>HYPERLINK("http://m.12365auto.com/bbs/postcontent.aspx?tID=193329","汽车上每个零件你都叫得出名字吗")</f>
        <v>汽车上每个零件你都叫得出名字吗</v>
      </c>
      <c r="C11971" s="2" t="s">
        <v>13</v>
      </c>
      <c r="D11971" s="2" t="s">
        <v>23</v>
      </c>
      <c r="E11971" s="2"/>
      <c r="F11971" s="2" t="str">
        <f>HYPERLINK("http://m.12365auto.com/bbs/postcontent.aspx?tID=193329","http://m.12365auto.com/bbs/postcontent.aspx?tID=193329")</f>
        <v>http://m.12365auto.com/bbs/postcontent.aspx?tID=193329</v>
      </c>
      <c r="G11971" s="2"/>
      <c r="H11971" s="2" t="s">
        <v>15990</v>
      </c>
      <c r="I11971" s="2" t="s">
        <v>15</v>
      </c>
      <c r="J11971" s="2" t="s">
        <v>1113</v>
      </c>
      <c r="K11971" s="2" t="s">
        <v>15989</v>
      </c>
      <c r="L11971" s="2">
        <f t="shared" ref="L11971:L12034" si="187">LEN(H11971)</f>
        <v>116</v>
      </c>
    </row>
    <row r="11972" spans="1:12" ht="25" customHeight="1">
      <c r="A11972" s="2" t="s">
        <v>12</v>
      </c>
      <c r="B11972" s="2" t="str">
        <f>HYPERLINK("http://m.12365auto.com/bbs/postcontent.aspx?tID=193327","能过滤PM2.5的车，是不是也可以防病毒？")</f>
        <v>能过滤PM2.5的车，是不是也可以防病毒？</v>
      </c>
      <c r="C11972" s="2" t="s">
        <v>13</v>
      </c>
      <c r="D11972" s="2" t="s">
        <v>23</v>
      </c>
      <c r="E11972" s="2"/>
      <c r="F11972" s="2" t="str">
        <f>HYPERLINK("http://m.12365auto.com/bbs/postcontent.aspx?tID=193327","http://m.12365auto.com/bbs/postcontent.aspx?tID=193327")</f>
        <v>http://m.12365auto.com/bbs/postcontent.aspx?tID=193327</v>
      </c>
      <c r="G11972" s="2"/>
      <c r="H11972" s="2" t="s">
        <v>15991</v>
      </c>
      <c r="I11972" s="2" t="s">
        <v>15</v>
      </c>
      <c r="J11972" s="2" t="s">
        <v>1113</v>
      </c>
      <c r="K11972" s="2" t="s">
        <v>15989</v>
      </c>
      <c r="L11972" s="2">
        <f t="shared" si="187"/>
        <v>150</v>
      </c>
    </row>
    <row r="11973" spans="1:12" ht="25" customHeight="1">
      <c r="A11973" s="2" t="s">
        <v>12</v>
      </c>
      <c r="B11973" s="2" t="str">
        <f>HYPERLINK("http://bbs.12365auto.com/postcontent.aspx?tID=193328","夏天停车是门技术活")</f>
        <v>夏天停车是门技术活</v>
      </c>
      <c r="C11973" s="2" t="s">
        <v>13</v>
      </c>
      <c r="D11973" s="2" t="s">
        <v>12</v>
      </c>
      <c r="E11973" s="2" t="s">
        <v>28</v>
      </c>
      <c r="F11973" s="2" t="str">
        <f>HYPERLINK("http://bbs.12365auto.com/postcontent.aspx?tID=193328","http://bbs.12365auto.com/postcontent.aspx?tID=193328")</f>
        <v>http://bbs.12365auto.com/postcontent.aspx?tID=193328</v>
      </c>
      <c r="G11973" s="2"/>
      <c r="H11973" s="2" t="s">
        <v>15992</v>
      </c>
      <c r="I11973" s="2" t="s">
        <v>15</v>
      </c>
      <c r="J11973" s="2" t="s">
        <v>1113</v>
      </c>
      <c r="K11973" s="2" t="s">
        <v>15989</v>
      </c>
      <c r="L11973" s="2">
        <f t="shared" si="187"/>
        <v>150</v>
      </c>
    </row>
    <row r="11974" spans="1:12" ht="25" customHeight="1">
      <c r="A11974" s="2" t="s">
        <v>12</v>
      </c>
      <c r="B11974" s="2" t="str">
        <f>HYPERLINK("http://bbs.12365auto.com/postcontent.aspx?tID=193329","汽车上每个零件你都叫得出名字吗")</f>
        <v>汽车上每个零件你都叫得出名字吗</v>
      </c>
      <c r="C11974" s="2" t="s">
        <v>13</v>
      </c>
      <c r="D11974" s="2" t="s">
        <v>12</v>
      </c>
      <c r="E11974" s="2" t="s">
        <v>28</v>
      </c>
      <c r="F11974" s="2" t="str">
        <f>HYPERLINK("http://bbs.12365auto.com/postcontent.aspx?tID=193329","http://bbs.12365auto.com/postcontent.aspx?tID=193329")</f>
        <v>http://bbs.12365auto.com/postcontent.aspx?tID=193329</v>
      </c>
      <c r="G11974" s="2"/>
      <c r="H11974" s="2" t="s">
        <v>15993</v>
      </c>
      <c r="I11974" s="2" t="s">
        <v>15</v>
      </c>
      <c r="J11974" s="2" t="s">
        <v>1113</v>
      </c>
      <c r="K11974" s="2" t="s">
        <v>15989</v>
      </c>
      <c r="L11974" s="2">
        <f t="shared" si="187"/>
        <v>131</v>
      </c>
    </row>
    <row r="11975" spans="1:12" ht="25" customHeight="1">
      <c r="A11975" s="2" t="s">
        <v>12</v>
      </c>
      <c r="B11975" s="2" t="str">
        <f>HYPERLINK("http://bbs.12365auto.com/postcontent.aspx?tID=193327","能过滤PM2.5的车，是不是也可以防病毒？")</f>
        <v>能过滤PM2.5的车，是不是也可以防病毒？</v>
      </c>
      <c r="C11975" s="2" t="s">
        <v>13</v>
      </c>
      <c r="D11975" s="2" t="s">
        <v>12</v>
      </c>
      <c r="E11975" s="2" t="s">
        <v>28</v>
      </c>
      <c r="F11975" s="2" t="str">
        <f>HYPERLINK("http://bbs.12365auto.com/postcontent.aspx?tID=193327","http://bbs.12365auto.com/postcontent.aspx?tID=193327")</f>
        <v>http://bbs.12365auto.com/postcontent.aspx?tID=193327</v>
      </c>
      <c r="G11975" s="2"/>
      <c r="H11975" s="2" t="s">
        <v>15994</v>
      </c>
      <c r="I11975" s="2" t="s">
        <v>15</v>
      </c>
      <c r="J11975" s="2" t="s">
        <v>1113</v>
      </c>
      <c r="K11975" s="2" t="s">
        <v>15989</v>
      </c>
      <c r="L11975" s="2">
        <f t="shared" si="187"/>
        <v>150</v>
      </c>
    </row>
    <row r="11976" spans="1:12" ht="25" customHeight="1">
      <c r="A11976" s="2" t="s">
        <v>12</v>
      </c>
      <c r="B11976" s="2" t="str">
        <f>HYPERLINK("http://bbs.12365auto.com/postcontent.aspx?tId=193326","特殊时期特别关爱 牛车实验室教您科学消毒爱车")</f>
        <v>特殊时期特别关爱 牛车实验室教您科学消毒爱车</v>
      </c>
      <c r="C11976" s="2" t="s">
        <v>13</v>
      </c>
      <c r="D11976" s="2" t="s">
        <v>12</v>
      </c>
      <c r="E11976" s="2" t="s">
        <v>27</v>
      </c>
      <c r="F11976" s="2" t="str">
        <f>HYPERLINK("http://bbs.12365auto.com/postcontent.aspx?tId=193326","http://bbs.12365auto.com/postcontent.aspx?tId=193326")</f>
        <v>http://bbs.12365auto.com/postcontent.aspx?tId=193326</v>
      </c>
      <c r="G11976" s="2"/>
      <c r="H11976" s="2" t="s">
        <v>15995</v>
      </c>
      <c r="I11976" s="2" t="s">
        <v>15</v>
      </c>
      <c r="J11976" s="2" t="s">
        <v>1113</v>
      </c>
      <c r="K11976" s="2" t="s">
        <v>15996</v>
      </c>
      <c r="L11976" s="2">
        <f t="shared" si="187"/>
        <v>150</v>
      </c>
    </row>
    <row r="11977" spans="1:12" ht="25" customHeight="1">
      <c r="A11977" s="2" t="s">
        <v>12</v>
      </c>
      <c r="B11977" s="2" t="str">
        <f>HYPERLINK("http://m.12365auto.com/bbs/postcontent.aspx?tID=193326","特殊时期特别关爱 牛车实验室教您科学消毒爱车")</f>
        <v>特殊时期特别关爱 牛车实验室教您科学消毒爱车</v>
      </c>
      <c r="C11977" s="2" t="s">
        <v>13</v>
      </c>
      <c r="D11977" s="2" t="s">
        <v>23</v>
      </c>
      <c r="E11977" s="2"/>
      <c r="F11977" s="2" t="str">
        <f>HYPERLINK("http://m.12365auto.com/bbs/postcontent.aspx?tID=193326","http://m.12365auto.com/bbs/postcontent.aspx?tID=193326")</f>
        <v>http://m.12365auto.com/bbs/postcontent.aspx?tID=193326</v>
      </c>
      <c r="G11977" s="2"/>
      <c r="H11977" s="2" t="s">
        <v>15995</v>
      </c>
      <c r="I11977" s="2" t="s">
        <v>15</v>
      </c>
      <c r="J11977" s="2" t="s">
        <v>1113</v>
      </c>
      <c r="K11977" s="2" t="s">
        <v>15996</v>
      </c>
      <c r="L11977" s="2">
        <f t="shared" si="187"/>
        <v>150</v>
      </c>
    </row>
    <row r="11978" spans="1:12" ht="25" customHeight="1">
      <c r="A11978" s="2" t="s">
        <v>12</v>
      </c>
      <c r="B11978" s="2" t="str">
        <f>HYPERLINK("http://bbs.12365auto.com/postcontent.aspx?tID=193326","特殊时期特别关爱 牛车实验室教您科学消毒爱车")</f>
        <v>特殊时期特别关爱 牛车实验室教您科学消毒爱车</v>
      </c>
      <c r="C11978" s="2" t="s">
        <v>13</v>
      </c>
      <c r="D11978" s="2" t="s">
        <v>12</v>
      </c>
      <c r="E11978" s="2" t="s">
        <v>28</v>
      </c>
      <c r="F11978" s="2" t="str">
        <f>HYPERLINK("http://bbs.12365auto.com/postcontent.aspx?tID=193326","http://bbs.12365auto.com/postcontent.aspx?tID=193326")</f>
        <v>http://bbs.12365auto.com/postcontent.aspx?tID=193326</v>
      </c>
      <c r="G11978" s="2"/>
      <c r="H11978" s="2" t="s">
        <v>15997</v>
      </c>
      <c r="I11978" s="2" t="s">
        <v>15</v>
      </c>
      <c r="J11978" s="2" t="s">
        <v>1113</v>
      </c>
      <c r="K11978" s="2" t="s">
        <v>15996</v>
      </c>
      <c r="L11978" s="2">
        <f t="shared" si="187"/>
        <v>150</v>
      </c>
    </row>
    <row r="11979" spans="1:12" ht="25" customHeight="1">
      <c r="A11979" s="2" t="s">
        <v>12</v>
      </c>
      <c r="B11979" s="2" t="str">
        <f>HYPERLINK("http://bbs.12365auto.com/postcontent.aspx?tId=193325","用84消毒液与酒精怎样给汽车消毒")</f>
        <v>用84消毒液与酒精怎样给汽车消毒</v>
      </c>
      <c r="C11979" s="2" t="s">
        <v>13</v>
      </c>
      <c r="D11979" s="2" t="s">
        <v>12</v>
      </c>
      <c r="E11979" s="2" t="s">
        <v>27</v>
      </c>
      <c r="F11979" s="2" t="str">
        <f>HYPERLINK("http://bbs.12365auto.com/postcontent.aspx?tId=193325","http://bbs.12365auto.com/postcontent.aspx?tId=193325")</f>
        <v>http://bbs.12365auto.com/postcontent.aspx?tId=193325</v>
      </c>
      <c r="G11979" s="2"/>
      <c r="H11979" s="2" t="s">
        <v>15998</v>
      </c>
      <c r="I11979" s="2" t="s">
        <v>15</v>
      </c>
      <c r="J11979" s="2" t="s">
        <v>1113</v>
      </c>
      <c r="K11979" s="2" t="s">
        <v>15999</v>
      </c>
      <c r="L11979" s="2">
        <f t="shared" si="187"/>
        <v>150</v>
      </c>
    </row>
    <row r="11980" spans="1:12" ht="25" customHeight="1">
      <c r="A11980" s="2" t="s">
        <v>12</v>
      </c>
      <c r="B11980" s="2" t="str">
        <f>HYPERLINK("http://bbs.12365auto.com/postcontent.aspx?tId=193324","喝酒后，要过多长时间才能开车")</f>
        <v>喝酒后，要过多长时间才能开车</v>
      </c>
      <c r="C11980" s="2" t="s">
        <v>13</v>
      </c>
      <c r="D11980" s="2" t="s">
        <v>12</v>
      </c>
      <c r="E11980" s="2" t="s">
        <v>27</v>
      </c>
      <c r="F11980" s="2" t="str">
        <f>HYPERLINK("http://bbs.12365auto.com/postcontent.aspx?tId=193324","http://bbs.12365auto.com/postcontent.aspx?tId=193324")</f>
        <v>http://bbs.12365auto.com/postcontent.aspx?tId=193324</v>
      </c>
      <c r="G11980" s="2"/>
      <c r="H11980" s="2" t="s">
        <v>4546</v>
      </c>
      <c r="I11980" s="2" t="s">
        <v>15</v>
      </c>
      <c r="J11980" s="2" t="s">
        <v>1113</v>
      </c>
      <c r="K11980" s="2" t="s">
        <v>15999</v>
      </c>
      <c r="L11980" s="2">
        <f t="shared" si="187"/>
        <v>150</v>
      </c>
    </row>
    <row r="11981" spans="1:12" ht="25" customHeight="1">
      <c r="A11981" s="2" t="s">
        <v>12</v>
      </c>
      <c r="B11981" s="2" t="str">
        <f>HYPERLINK("http://bbs.12365auto.com/postcontent.aspx?tID=193325","用84消毒液与酒精怎样给汽车消毒")</f>
        <v>用84消毒液与酒精怎样给汽车消毒</v>
      </c>
      <c r="C11981" s="2" t="s">
        <v>13</v>
      </c>
      <c r="D11981" s="2" t="s">
        <v>12</v>
      </c>
      <c r="E11981" s="2" t="s">
        <v>28</v>
      </c>
      <c r="F11981" s="2" t="str">
        <f>HYPERLINK("http://bbs.12365auto.com/postcontent.aspx?tID=193325","http://bbs.12365auto.com/postcontent.aspx?tID=193325")</f>
        <v>http://bbs.12365auto.com/postcontent.aspx?tID=193325</v>
      </c>
      <c r="G11981" s="2"/>
      <c r="H11981" s="2" t="s">
        <v>16000</v>
      </c>
      <c r="I11981" s="2" t="s">
        <v>15</v>
      </c>
      <c r="J11981" s="2" t="s">
        <v>1113</v>
      </c>
      <c r="K11981" s="2" t="s">
        <v>15999</v>
      </c>
      <c r="L11981" s="2">
        <f t="shared" si="187"/>
        <v>150</v>
      </c>
    </row>
    <row r="11982" spans="1:12" ht="25" customHeight="1">
      <c r="A11982" s="2" t="s">
        <v>12</v>
      </c>
      <c r="B11982" s="2" t="str">
        <f>HYPERLINK("http://www.12365auto.com/news/20200205/417712.shtml","雷克萨斯ES正式国产 只是跟我们关系不大")</f>
        <v>雷克萨斯ES正式国产 只是跟我们关系不大</v>
      </c>
      <c r="C11982" s="2" t="s">
        <v>13</v>
      </c>
      <c r="D11982" s="2" t="s">
        <v>12</v>
      </c>
      <c r="E11982" s="2" t="s">
        <v>276</v>
      </c>
      <c r="F11982" s="2" t="str">
        <f>HYPERLINK("http://www.12365auto.com/news/20200205/417712.shtml","http://www.12365auto.com/news/20200205/417712.shtml")</f>
        <v>http://www.12365auto.com/news/20200205/417712.shtml</v>
      </c>
      <c r="G11982" s="2"/>
      <c r="H11982" s="2" t="s">
        <v>16001</v>
      </c>
      <c r="I11982" s="2" t="s">
        <v>15</v>
      </c>
      <c r="J11982" s="2" t="s">
        <v>12</v>
      </c>
      <c r="K11982" s="2" t="s">
        <v>15999</v>
      </c>
      <c r="L11982" s="2">
        <f t="shared" si="187"/>
        <v>150</v>
      </c>
    </row>
    <row r="11983" spans="1:12" ht="25" customHeight="1">
      <c r="A11983" s="2" t="s">
        <v>12</v>
      </c>
      <c r="B11983" s="2" t="str">
        <f>HYPERLINK("http://bbs.12365auto.com/postcontent.aspx?tID=193324","喝酒后，要过多长时间才能开车")</f>
        <v>喝酒后，要过多长时间才能开车</v>
      </c>
      <c r="C11983" s="2" t="s">
        <v>13</v>
      </c>
      <c r="D11983" s="2" t="s">
        <v>12</v>
      </c>
      <c r="E11983" s="2" t="s">
        <v>28</v>
      </c>
      <c r="F11983" s="2" t="str">
        <f>HYPERLINK("http://bbs.12365auto.com/postcontent.aspx?tID=193324","http://bbs.12365auto.com/postcontent.aspx?tID=193324")</f>
        <v>http://bbs.12365auto.com/postcontent.aspx?tID=193324</v>
      </c>
      <c r="G11983" s="2"/>
      <c r="H11983" s="2" t="s">
        <v>16002</v>
      </c>
      <c r="I11983" s="2" t="s">
        <v>15</v>
      </c>
      <c r="J11983" s="2" t="s">
        <v>1113</v>
      </c>
      <c r="K11983" s="2" t="s">
        <v>15999</v>
      </c>
      <c r="L11983" s="2">
        <f t="shared" si="187"/>
        <v>150</v>
      </c>
    </row>
    <row r="11984" spans="1:12" ht="25" customHeight="1">
      <c r="A11984" s="2" t="s">
        <v>12</v>
      </c>
      <c r="B11984" s="2" t="str">
        <f>HYPERLINK("http://m.12365auto.com/news/20200205/417712.shtml","雷克萨斯ES正式国产 只是跟我们关系不大")</f>
        <v>雷克萨斯ES正式国产 只是跟我们关系不大</v>
      </c>
      <c r="C11984" s="2" t="s">
        <v>13</v>
      </c>
      <c r="D11984" s="2" t="s">
        <v>12</v>
      </c>
      <c r="E11984" s="2"/>
      <c r="F11984" s="2" t="str">
        <f>HYPERLINK("http://m.12365auto.com/news/20200205/417712.shtml","http://m.12365auto.com/news/20200205/417712.shtml")</f>
        <v>http://m.12365auto.com/news/20200205/417712.shtml</v>
      </c>
      <c r="G11984" s="2"/>
      <c r="H11984" s="2" t="s">
        <v>16003</v>
      </c>
      <c r="I11984" s="2" t="s">
        <v>19</v>
      </c>
      <c r="J11984" s="2" t="s">
        <v>760</v>
      </c>
      <c r="K11984" s="2" t="s">
        <v>15999</v>
      </c>
      <c r="L11984" s="2">
        <f t="shared" si="187"/>
        <v>150</v>
      </c>
    </row>
    <row r="11985" spans="1:12" ht="25" customHeight="1">
      <c r="A11985" s="2" t="s">
        <v>12</v>
      </c>
      <c r="B11985" s="2" t="str">
        <f>HYPERLINK("http://bbs.12365auto.com/postcontent.aspx?tId=193323","莫恐慌，疫情期间如何保证开私家车更安全")</f>
        <v>莫恐慌，疫情期间如何保证开私家车更安全</v>
      </c>
      <c r="C11985" s="2" t="s">
        <v>13</v>
      </c>
      <c r="D11985" s="2" t="s">
        <v>12</v>
      </c>
      <c r="E11985" s="2" t="s">
        <v>27</v>
      </c>
      <c r="F11985" s="2" t="str">
        <f>HYPERLINK("http://bbs.12365auto.com/postcontent.aspx?tId=193323","http://bbs.12365auto.com/postcontent.aspx?tId=193323")</f>
        <v>http://bbs.12365auto.com/postcontent.aspx?tId=193323</v>
      </c>
      <c r="G11985" s="2"/>
      <c r="H11985" s="2" t="s">
        <v>16004</v>
      </c>
      <c r="I11985" s="2" t="s">
        <v>15</v>
      </c>
      <c r="J11985" s="2" t="s">
        <v>1113</v>
      </c>
      <c r="K11985" s="2" t="s">
        <v>16005</v>
      </c>
      <c r="L11985" s="2">
        <f t="shared" si="187"/>
        <v>150</v>
      </c>
    </row>
    <row r="11986" spans="1:12" ht="25" customHeight="1">
      <c r="A11986" s="2" t="s">
        <v>12</v>
      </c>
      <c r="B11986" s="2" t="str">
        <f>HYPERLINK("http://bbs.12365auto.com/postcontent.aspx?tID=193323","莫恐慌，疫情期间如何保证开私家车更安全")</f>
        <v>莫恐慌，疫情期间如何保证开私家车更安全</v>
      </c>
      <c r="C11986" s="2" t="s">
        <v>13</v>
      </c>
      <c r="D11986" s="2" t="s">
        <v>12</v>
      </c>
      <c r="E11986" s="2" t="s">
        <v>28</v>
      </c>
      <c r="F11986" s="2" t="str">
        <f>HYPERLINK("http://bbs.12365auto.com/postcontent.aspx?tID=193323","http://bbs.12365auto.com/postcontent.aspx?tID=193323")</f>
        <v>http://bbs.12365auto.com/postcontent.aspx?tID=193323</v>
      </c>
      <c r="G11986" s="2"/>
      <c r="H11986" s="2" t="s">
        <v>16006</v>
      </c>
      <c r="I11986" s="2" t="s">
        <v>15</v>
      </c>
      <c r="J11986" s="2" t="s">
        <v>1113</v>
      </c>
      <c r="K11986" s="2" t="s">
        <v>16005</v>
      </c>
      <c r="L11986" s="2">
        <f t="shared" si="187"/>
        <v>150</v>
      </c>
    </row>
    <row r="11987" spans="1:12" ht="25" customHeight="1">
      <c r="A11987" s="2" t="s">
        <v>12</v>
      </c>
      <c r="B11987" s="2" t="str">
        <f>HYPERLINK("http://www.12365auto.com/news/20200205/417711.shtml","共同应对疫情 长安欧尚推出全时在线服务")</f>
        <v>共同应对疫情 长安欧尚推出全时在线服务</v>
      </c>
      <c r="C11987" s="2" t="s">
        <v>13</v>
      </c>
      <c r="D11987" s="2" t="s">
        <v>12</v>
      </c>
      <c r="E11987" s="2" t="s">
        <v>276</v>
      </c>
      <c r="F11987" s="2" t="str">
        <f>HYPERLINK("http://www.12365auto.com/news/20200205/417711.shtml","http://www.12365auto.com/news/20200205/417711.shtml")</f>
        <v>http://www.12365auto.com/news/20200205/417711.shtml</v>
      </c>
      <c r="G11987" s="2"/>
      <c r="H11987" s="2" t="s">
        <v>16007</v>
      </c>
      <c r="I11987" s="2" t="s">
        <v>15</v>
      </c>
      <c r="J11987" s="2" t="s">
        <v>12</v>
      </c>
      <c r="K11987" s="2" t="s">
        <v>16008</v>
      </c>
      <c r="L11987" s="2">
        <f t="shared" si="187"/>
        <v>150</v>
      </c>
    </row>
    <row r="11988" spans="1:12" ht="25" customHeight="1">
      <c r="A11988" s="2" t="s">
        <v>12</v>
      </c>
      <c r="B11988" s="2" t="str">
        <f>HYPERLINK("http://m.12365auto.com/news/20200205/417711.shtml","共同应对疫情 长安欧尚推出全时在线服务")</f>
        <v>共同应对疫情 长安欧尚推出全时在线服务</v>
      </c>
      <c r="C11988" s="2" t="s">
        <v>13</v>
      </c>
      <c r="D11988" s="2" t="s">
        <v>12</v>
      </c>
      <c r="E11988" s="2"/>
      <c r="F11988" s="2" t="str">
        <f>HYPERLINK("http://m.12365auto.com/news/20200205/417711.shtml","http://m.12365auto.com/news/20200205/417711.shtml")</f>
        <v>http://m.12365auto.com/news/20200205/417711.shtml</v>
      </c>
      <c r="G11988" s="2"/>
      <c r="H11988" s="2" t="s">
        <v>16009</v>
      </c>
      <c r="I11988" s="2" t="s">
        <v>19</v>
      </c>
      <c r="J11988" s="2" t="s">
        <v>2589</v>
      </c>
      <c r="K11988" s="2" t="s">
        <v>16008</v>
      </c>
      <c r="L11988" s="2">
        <f t="shared" si="187"/>
        <v>150</v>
      </c>
    </row>
    <row r="11989" spans="1:12" ht="25" customHeight="1">
      <c r="A11989" s="2" t="s">
        <v>12</v>
      </c>
      <c r="B11989" s="2" t="str">
        <f>HYPERLINK("http://www.12365auto.com/zlts/20200205/446376.shtml","东风本田CR-V机油增多 发动机噪音大")</f>
        <v>东风本田CR-V机油增多 发动机噪音大</v>
      </c>
      <c r="C11989" s="2" t="s">
        <v>13</v>
      </c>
      <c r="D11989" s="2" t="s">
        <v>12</v>
      </c>
      <c r="E11989" s="2" t="s">
        <v>17</v>
      </c>
      <c r="F11989" s="2" t="str">
        <f>HYPERLINK("http://www.12365auto.com/zlts/20200205/446376.shtml","http://www.12365auto.com/zlts/20200205/446376.shtml")</f>
        <v>http://www.12365auto.com/zlts/20200205/446376.shtml</v>
      </c>
      <c r="G11989" s="2"/>
      <c r="H11989" s="2" t="s">
        <v>16010</v>
      </c>
      <c r="I11989" s="2" t="s">
        <v>19</v>
      </c>
      <c r="J11989" s="2" t="s">
        <v>12</v>
      </c>
      <c r="K11989" s="2" t="s">
        <v>16011</v>
      </c>
      <c r="L11989" s="2">
        <f t="shared" si="187"/>
        <v>150</v>
      </c>
    </row>
    <row r="11990" spans="1:12" ht="25" customHeight="1">
      <c r="A11990" s="2" t="s">
        <v>12</v>
      </c>
      <c r="B11990" s="2" t="str">
        <f>HYPERLINK("http://m.12365auto.com/xcdg/20200205/417710.shtml","累计销量超300万辆 起亚发布新索兰托预告图")</f>
        <v>累计销量超300万辆 起亚发布新索兰托预告图</v>
      </c>
      <c r="C11990" s="2" t="s">
        <v>13</v>
      </c>
      <c r="D11990" s="2" t="s">
        <v>12</v>
      </c>
      <c r="E11990" s="2"/>
      <c r="F11990" s="2" t="str">
        <f>HYPERLINK("http://m.12365auto.com/xcdg/20200205/417710.shtml","http://m.12365auto.com/xcdg/20200205/417710.shtml")</f>
        <v>http://m.12365auto.com/xcdg/20200205/417710.shtml</v>
      </c>
      <c r="G11990" s="2"/>
      <c r="H11990" s="2" t="s">
        <v>16012</v>
      </c>
      <c r="I11990" s="2" t="s">
        <v>19</v>
      </c>
      <c r="J11990" s="2" t="s">
        <v>236</v>
      </c>
      <c r="K11990" s="2" t="s">
        <v>16013</v>
      </c>
      <c r="L11990" s="2">
        <f t="shared" si="187"/>
        <v>150</v>
      </c>
    </row>
    <row r="11991" spans="1:12" ht="25" customHeight="1">
      <c r="A11991" s="2" t="s">
        <v>12</v>
      </c>
      <c r="B11991" s="2" t="str">
        <f>HYPERLINK("http://www.12365auto.com/xcdg/20200205/417710.shtml","累计销量超300万辆 起亚发布新索兰托预告图")</f>
        <v>累计销量超300万辆 起亚发布新索兰托预告图</v>
      </c>
      <c r="C11991" s="2" t="s">
        <v>13</v>
      </c>
      <c r="D11991" s="2" t="s">
        <v>12</v>
      </c>
      <c r="E11991" s="2" t="s">
        <v>216</v>
      </c>
      <c r="F11991" s="2" t="str">
        <f>HYPERLINK("http://www.12365auto.com/xcdg/20200205/417710.shtml","http://www.12365auto.com/xcdg/20200205/417710.shtml")</f>
        <v>http://www.12365auto.com/xcdg/20200205/417710.shtml</v>
      </c>
      <c r="G11991" s="2"/>
      <c r="H11991" s="2" t="s">
        <v>16014</v>
      </c>
      <c r="I11991" s="2" t="s">
        <v>15</v>
      </c>
      <c r="J11991" s="2" t="s">
        <v>12</v>
      </c>
      <c r="K11991" s="2" t="s">
        <v>16013</v>
      </c>
      <c r="L11991" s="2">
        <f t="shared" si="187"/>
        <v>150</v>
      </c>
    </row>
    <row r="11992" spans="1:12" ht="25" customHeight="1">
      <c r="A11992" s="2" t="s">
        <v>12</v>
      </c>
      <c r="B11992" s="2" t="str">
        <f>HYPERLINK("http://m.12365auto.com/xcdg/20200205/417709.shtml","宝马基于M2 CS打造入门赛车 后续将推升级版")</f>
        <v>宝马基于M2 CS打造入门赛车 后续将推升级版</v>
      </c>
      <c r="C11992" s="2" t="s">
        <v>13</v>
      </c>
      <c r="D11992" s="2" t="s">
        <v>12</v>
      </c>
      <c r="E11992" s="2"/>
      <c r="F11992" s="2" t="str">
        <f>HYPERLINK("http://m.12365auto.com/xcdg/20200205/417709.shtml","http://m.12365auto.com/xcdg/20200205/417709.shtml")</f>
        <v>http://m.12365auto.com/xcdg/20200205/417709.shtml</v>
      </c>
      <c r="G11992" s="2"/>
      <c r="H11992" s="2" t="s">
        <v>16015</v>
      </c>
      <c r="I11992" s="2" t="s">
        <v>19</v>
      </c>
      <c r="J11992" s="2" t="s">
        <v>1105</v>
      </c>
      <c r="K11992" s="2" t="s">
        <v>16016</v>
      </c>
      <c r="L11992" s="2">
        <f t="shared" si="187"/>
        <v>150</v>
      </c>
    </row>
    <row r="11993" spans="1:12" ht="25" customHeight="1">
      <c r="A11993" s="2" t="s">
        <v>12</v>
      </c>
      <c r="B11993" s="2" t="str">
        <f>HYPERLINK("http://www.12365auto.com/xcdg/20200205/417709.shtml","宝马基于M2 CS打造入门赛车 后续将推升级版")</f>
        <v>宝马基于M2 CS打造入门赛车 后续将推升级版</v>
      </c>
      <c r="C11993" s="2" t="s">
        <v>13</v>
      </c>
      <c r="D11993" s="2" t="s">
        <v>12</v>
      </c>
      <c r="E11993" s="2" t="s">
        <v>216</v>
      </c>
      <c r="F11993" s="2" t="str">
        <f>HYPERLINK("http://www.12365auto.com/xcdg/20200205/417709.shtml","http://www.12365auto.com/xcdg/20200205/417709.shtml")</f>
        <v>http://www.12365auto.com/xcdg/20200205/417709.shtml</v>
      </c>
      <c r="G11993" s="2"/>
      <c r="H11993" s="2" t="s">
        <v>16017</v>
      </c>
      <c r="I11993" s="2" t="s">
        <v>15</v>
      </c>
      <c r="J11993" s="2" t="s">
        <v>12</v>
      </c>
      <c r="K11993" s="2" t="s">
        <v>16016</v>
      </c>
      <c r="L11993" s="2">
        <f t="shared" si="187"/>
        <v>150</v>
      </c>
    </row>
    <row r="11994" spans="1:12" ht="25" customHeight="1">
      <c r="A11994" s="2" t="s">
        <v>12</v>
      </c>
      <c r="B11994" s="2" t="str">
        <f>HYPERLINK("http://m.12365auto.com/bbs/postcontent.aspx?tID=193322","福特专业级越野SUV曝光")</f>
        <v>福特专业级越野SUV曝光</v>
      </c>
      <c r="C11994" s="2" t="s">
        <v>13</v>
      </c>
      <c r="D11994" s="2" t="s">
        <v>23</v>
      </c>
      <c r="E11994" s="2"/>
      <c r="F11994" s="2" t="str">
        <f>HYPERLINK("http://m.12365auto.com/bbs/postcontent.aspx?tID=193322","http://m.12365auto.com/bbs/postcontent.aspx?tID=193322")</f>
        <v>http://m.12365auto.com/bbs/postcontent.aspx?tID=193322</v>
      </c>
      <c r="G11994" s="2"/>
      <c r="H11994" s="2" t="s">
        <v>16018</v>
      </c>
      <c r="I11994" s="2" t="s">
        <v>15</v>
      </c>
      <c r="J11994" s="2" t="s">
        <v>616</v>
      </c>
      <c r="K11994" s="2" t="s">
        <v>16019</v>
      </c>
      <c r="L11994" s="2">
        <f t="shared" si="187"/>
        <v>150</v>
      </c>
    </row>
    <row r="11995" spans="1:12" ht="25" customHeight="1">
      <c r="A11995" s="2" t="s">
        <v>12</v>
      </c>
      <c r="B11995" s="2" t="str">
        <f>HYPERLINK("http://bbs.12365auto.com/postcontent.aspx?tId=193322","福特专业级越野SUV曝光")</f>
        <v>福特专业级越野SUV曝光</v>
      </c>
      <c r="C11995" s="2" t="s">
        <v>13</v>
      </c>
      <c r="D11995" s="2" t="s">
        <v>12</v>
      </c>
      <c r="E11995" s="2" t="s">
        <v>27</v>
      </c>
      <c r="F11995" s="2" t="str">
        <f>HYPERLINK("http://bbs.12365auto.com/postcontent.aspx?tId=193322","http://bbs.12365auto.com/postcontent.aspx?tId=193322")</f>
        <v>http://bbs.12365auto.com/postcontent.aspx?tId=193322</v>
      </c>
      <c r="G11995" s="2"/>
      <c r="H11995" s="2" t="s">
        <v>16018</v>
      </c>
      <c r="I11995" s="2" t="s">
        <v>15</v>
      </c>
      <c r="J11995" s="2" t="s">
        <v>616</v>
      </c>
      <c r="K11995" s="2" t="s">
        <v>16019</v>
      </c>
      <c r="L11995" s="2">
        <f t="shared" si="187"/>
        <v>150</v>
      </c>
    </row>
    <row r="11996" spans="1:12" ht="25" customHeight="1">
      <c r="A11996" s="2" t="s">
        <v>12</v>
      </c>
      <c r="B11996" s="2" t="str">
        <f>HYPERLINK("http://bbs.12365auto.com/postcontent.aspx?tID=193322","福特专业级越野SUV曝光")</f>
        <v>福特专业级越野SUV曝光</v>
      </c>
      <c r="C11996" s="2" t="s">
        <v>13</v>
      </c>
      <c r="D11996" s="2" t="s">
        <v>12</v>
      </c>
      <c r="E11996" s="2" t="s">
        <v>28</v>
      </c>
      <c r="F11996" s="2" t="str">
        <f>HYPERLINK("http://bbs.12365auto.com/postcontent.aspx?tID=193322","http://bbs.12365auto.com/postcontent.aspx?tID=193322")</f>
        <v>http://bbs.12365auto.com/postcontent.aspx?tID=193322</v>
      </c>
      <c r="G11996" s="2"/>
      <c r="H11996" s="2" t="s">
        <v>16020</v>
      </c>
      <c r="I11996" s="2" t="s">
        <v>15</v>
      </c>
      <c r="J11996" s="2" t="s">
        <v>616</v>
      </c>
      <c r="K11996" s="2" t="s">
        <v>16019</v>
      </c>
      <c r="L11996" s="2">
        <f t="shared" si="187"/>
        <v>150</v>
      </c>
    </row>
    <row r="11997" spans="1:12" ht="25" customHeight="1">
      <c r="A11997" s="2" t="s">
        <v>12</v>
      </c>
      <c r="B11997" s="2" t="str">
        <f>HYPERLINK("http://m.12365auto.com/bbs/postcontent.aspx?tID=193321","能否撼动GL8的地位 丰田Sienna塞纳将国产")</f>
        <v>能否撼动GL8的地位 丰田Sienna塞纳将国产</v>
      </c>
      <c r="C11997" s="2" t="s">
        <v>13</v>
      </c>
      <c r="D11997" s="2" t="s">
        <v>23</v>
      </c>
      <c r="E11997" s="2"/>
      <c r="F11997" s="2" t="str">
        <f>HYPERLINK("http://m.12365auto.com/bbs/postcontent.aspx?tID=193321","http://m.12365auto.com/bbs/postcontent.aspx?tID=193321")</f>
        <v>http://m.12365auto.com/bbs/postcontent.aspx?tID=193321</v>
      </c>
      <c r="G11997" s="2"/>
      <c r="H11997" s="2" t="s">
        <v>16021</v>
      </c>
      <c r="I11997" s="2" t="s">
        <v>15</v>
      </c>
      <c r="J11997" s="2" t="s">
        <v>616</v>
      </c>
      <c r="K11997" s="2" t="s">
        <v>16022</v>
      </c>
      <c r="L11997" s="2">
        <f t="shared" si="187"/>
        <v>150</v>
      </c>
    </row>
    <row r="11998" spans="1:12" ht="25" customHeight="1">
      <c r="A11998" s="2" t="s">
        <v>12</v>
      </c>
      <c r="B11998" s="2" t="str">
        <f>HYPERLINK("http://bbs.12365auto.com/postcontent.aspx?tId=193321","能否撼动GL8的地位 丰田Sienna塞纳将国产")</f>
        <v>能否撼动GL8的地位 丰田Sienna塞纳将国产</v>
      </c>
      <c r="C11998" s="2" t="s">
        <v>13</v>
      </c>
      <c r="D11998" s="2" t="s">
        <v>12</v>
      </c>
      <c r="E11998" s="2" t="s">
        <v>27</v>
      </c>
      <c r="F11998" s="2" t="str">
        <f>HYPERLINK("http://bbs.12365auto.com/postcontent.aspx?tId=193321","http://bbs.12365auto.com/postcontent.aspx?tId=193321")</f>
        <v>http://bbs.12365auto.com/postcontent.aspx?tId=193321</v>
      </c>
      <c r="G11998" s="2"/>
      <c r="H11998" s="2" t="s">
        <v>16021</v>
      </c>
      <c r="I11998" s="2" t="s">
        <v>15</v>
      </c>
      <c r="J11998" s="2" t="s">
        <v>616</v>
      </c>
      <c r="K11998" s="2" t="s">
        <v>16022</v>
      </c>
      <c r="L11998" s="2">
        <f t="shared" si="187"/>
        <v>150</v>
      </c>
    </row>
    <row r="11999" spans="1:12" ht="25" customHeight="1">
      <c r="A11999" s="2" t="s">
        <v>12</v>
      </c>
      <c r="B11999" s="2" t="str">
        <f>HYPERLINK("http://www.12365auto.com/zlts/20200205/446375.shtml","一汽大众速腾4S店乱收费 不提供发票")</f>
        <v>一汽大众速腾4S店乱收费 不提供发票</v>
      </c>
      <c r="C11999" s="2" t="s">
        <v>13</v>
      </c>
      <c r="D11999" s="2" t="s">
        <v>12</v>
      </c>
      <c r="E11999" s="2" t="s">
        <v>17</v>
      </c>
      <c r="F11999" s="2" t="str">
        <f>HYPERLINK("http://www.12365auto.com/zlts/20200205/446375.shtml","http://www.12365auto.com/zlts/20200205/446375.shtml")</f>
        <v>http://www.12365auto.com/zlts/20200205/446375.shtml</v>
      </c>
      <c r="G11999" s="2"/>
      <c r="H11999" s="2" t="s">
        <v>16023</v>
      </c>
      <c r="I11999" s="2" t="s">
        <v>19</v>
      </c>
      <c r="J11999" s="2" t="s">
        <v>12</v>
      </c>
      <c r="K11999" s="2" t="s">
        <v>16022</v>
      </c>
      <c r="L11999" s="2">
        <f t="shared" si="187"/>
        <v>150</v>
      </c>
    </row>
    <row r="12000" spans="1:12" ht="25" customHeight="1">
      <c r="A12000" s="2" t="s">
        <v>12</v>
      </c>
      <c r="B12000" s="2" t="str">
        <f>HYPERLINK("http://bbs.12365auto.com/postcontent.aspx?tID=193321","能否撼动GL8的地位 丰田Sienna塞纳将国产")</f>
        <v>能否撼动GL8的地位 丰田Sienna塞纳将国产</v>
      </c>
      <c r="C12000" s="2" t="s">
        <v>13</v>
      </c>
      <c r="D12000" s="2" t="s">
        <v>12</v>
      </c>
      <c r="E12000" s="2" t="s">
        <v>28</v>
      </c>
      <c r="F12000" s="2" t="str">
        <f>HYPERLINK("http://bbs.12365auto.com/postcontent.aspx?tID=193321","http://bbs.12365auto.com/postcontent.aspx?tID=193321")</f>
        <v>http://bbs.12365auto.com/postcontent.aspx?tID=193321</v>
      </c>
      <c r="G12000" s="2"/>
      <c r="H12000" s="2" t="s">
        <v>16024</v>
      </c>
      <c r="I12000" s="2" t="s">
        <v>15</v>
      </c>
      <c r="J12000" s="2" t="s">
        <v>616</v>
      </c>
      <c r="K12000" s="2" t="s">
        <v>16022</v>
      </c>
      <c r="L12000" s="2">
        <f t="shared" si="187"/>
        <v>150</v>
      </c>
    </row>
    <row r="12001" spans="1:12" ht="25" customHeight="1">
      <c r="A12001" s="2" t="s">
        <v>12</v>
      </c>
      <c r="B12001" s="2" t="str">
        <f>HYPERLINK("http://m.12365auto.com/bbs/postcontent.aspx?tID=193320","2021款E63渲染图出炉")</f>
        <v>2021款E63渲染图出炉</v>
      </c>
      <c r="C12001" s="2" t="s">
        <v>13</v>
      </c>
      <c r="D12001" s="2" t="s">
        <v>23</v>
      </c>
      <c r="E12001" s="2"/>
      <c r="F12001" s="2" t="str">
        <f>HYPERLINK("http://m.12365auto.com/bbs/postcontent.aspx?tID=193320","http://m.12365auto.com/bbs/postcontent.aspx?tID=193320")</f>
        <v>http://m.12365auto.com/bbs/postcontent.aspx?tID=193320</v>
      </c>
      <c r="G12001" s="2"/>
      <c r="H12001" s="2" t="s">
        <v>16025</v>
      </c>
      <c r="I12001" s="2" t="s">
        <v>15</v>
      </c>
      <c r="J12001" s="2" t="s">
        <v>616</v>
      </c>
      <c r="K12001" s="2" t="s">
        <v>16026</v>
      </c>
      <c r="L12001" s="2">
        <f t="shared" si="187"/>
        <v>150</v>
      </c>
    </row>
    <row r="12002" spans="1:12" ht="25" customHeight="1">
      <c r="A12002" s="2" t="s">
        <v>12</v>
      </c>
      <c r="B12002" s="2" t="str">
        <f>HYPERLINK("http://bbs.12365auto.com/postcontent.aspx?tId=193320","2021款E63渲染图出炉")</f>
        <v>2021款E63渲染图出炉</v>
      </c>
      <c r="C12002" s="2" t="s">
        <v>13</v>
      </c>
      <c r="D12002" s="2" t="s">
        <v>12</v>
      </c>
      <c r="E12002" s="2" t="s">
        <v>27</v>
      </c>
      <c r="F12002" s="2" t="str">
        <f>HYPERLINK("http://bbs.12365auto.com/postcontent.aspx?tId=193320","http://bbs.12365auto.com/postcontent.aspx?tId=193320")</f>
        <v>http://bbs.12365auto.com/postcontent.aspx?tId=193320</v>
      </c>
      <c r="G12002" s="2"/>
      <c r="H12002" s="2" t="s">
        <v>16025</v>
      </c>
      <c r="I12002" s="2" t="s">
        <v>15</v>
      </c>
      <c r="J12002" s="2" t="s">
        <v>616</v>
      </c>
      <c r="K12002" s="2" t="s">
        <v>16026</v>
      </c>
      <c r="L12002" s="2">
        <f t="shared" si="187"/>
        <v>150</v>
      </c>
    </row>
    <row r="12003" spans="1:12" ht="25" customHeight="1">
      <c r="A12003" s="2" t="s">
        <v>12</v>
      </c>
      <c r="B12003" s="2" t="str">
        <f>HYPERLINK("http://bbs.12365auto.com/postcontent.aspx?tID=193320","2021款E63渲染图出炉")</f>
        <v>2021款E63渲染图出炉</v>
      </c>
      <c r="C12003" s="2" t="s">
        <v>13</v>
      </c>
      <c r="D12003" s="2" t="s">
        <v>12</v>
      </c>
      <c r="E12003" s="2" t="s">
        <v>28</v>
      </c>
      <c r="F12003" s="2" t="str">
        <f>HYPERLINK("http://bbs.12365auto.com/postcontent.aspx?tID=193320","http://bbs.12365auto.com/postcontent.aspx?tID=193320")</f>
        <v>http://bbs.12365auto.com/postcontent.aspx?tID=193320</v>
      </c>
      <c r="G12003" s="2"/>
      <c r="H12003" s="2" t="s">
        <v>16027</v>
      </c>
      <c r="I12003" s="2" t="s">
        <v>15</v>
      </c>
      <c r="J12003" s="2" t="s">
        <v>616</v>
      </c>
      <c r="K12003" s="2" t="s">
        <v>16026</v>
      </c>
      <c r="L12003" s="2">
        <f t="shared" si="187"/>
        <v>150</v>
      </c>
    </row>
    <row r="12004" spans="1:12" ht="25" customHeight="1">
      <c r="A12004" s="2" t="s">
        <v>12</v>
      </c>
      <c r="B12004" s="2" t="str">
        <f>HYPERLINK("http://bbs.12365auto.com/postcontent.aspx?tId=193319","全新路虎揽胜极光 仿造的成本都很高")</f>
        <v>全新路虎揽胜极光 仿造的成本都很高</v>
      </c>
      <c r="C12004" s="2" t="s">
        <v>13</v>
      </c>
      <c r="D12004" s="2" t="s">
        <v>12</v>
      </c>
      <c r="E12004" s="2" t="s">
        <v>27</v>
      </c>
      <c r="F12004" s="2" t="str">
        <f>HYPERLINK("http://bbs.12365auto.com/postcontent.aspx?tId=193319","http://bbs.12365auto.com/postcontent.aspx?tId=193319")</f>
        <v>http://bbs.12365auto.com/postcontent.aspx?tId=193319</v>
      </c>
      <c r="G12004" s="2"/>
      <c r="H12004" s="2" t="s">
        <v>16028</v>
      </c>
      <c r="I12004" s="2" t="s">
        <v>15</v>
      </c>
      <c r="J12004" s="2" t="s">
        <v>616</v>
      </c>
      <c r="K12004" s="2" t="s">
        <v>16029</v>
      </c>
      <c r="L12004" s="2">
        <f t="shared" si="187"/>
        <v>150</v>
      </c>
    </row>
    <row r="12005" spans="1:12" ht="25" customHeight="1">
      <c r="A12005" s="2" t="s">
        <v>12</v>
      </c>
      <c r="B12005" s="2" t="str">
        <f>HYPERLINK("http://m.12365auto.com/bbs/postcontent.aspx?tID=193319","全新路虎揽胜极光 仿造的成本都很高")</f>
        <v>全新路虎揽胜极光 仿造的成本都很高</v>
      </c>
      <c r="C12005" s="2" t="s">
        <v>13</v>
      </c>
      <c r="D12005" s="2" t="s">
        <v>23</v>
      </c>
      <c r="E12005" s="2"/>
      <c r="F12005" s="2" t="str">
        <f>HYPERLINK("http://m.12365auto.com/bbs/postcontent.aspx?tID=193319","http://m.12365auto.com/bbs/postcontent.aspx?tID=193319")</f>
        <v>http://m.12365auto.com/bbs/postcontent.aspx?tID=193319</v>
      </c>
      <c r="G12005" s="2"/>
      <c r="H12005" s="2" t="s">
        <v>16028</v>
      </c>
      <c r="I12005" s="2" t="s">
        <v>15</v>
      </c>
      <c r="J12005" s="2" t="s">
        <v>616</v>
      </c>
      <c r="K12005" s="2" t="s">
        <v>16029</v>
      </c>
      <c r="L12005" s="2">
        <f t="shared" si="187"/>
        <v>150</v>
      </c>
    </row>
    <row r="12006" spans="1:12" ht="25" customHeight="1">
      <c r="A12006" s="2" t="s">
        <v>12</v>
      </c>
      <c r="B12006" s="2" t="str">
        <f>HYPERLINK("http://bbs.12365auto.com/postcontent.aspx?tID=193319","全新路虎揽胜极光 仿造的成本都很高")</f>
        <v>全新路虎揽胜极光 仿造的成本都很高</v>
      </c>
      <c r="C12006" s="2" t="s">
        <v>13</v>
      </c>
      <c r="D12006" s="2" t="s">
        <v>12</v>
      </c>
      <c r="E12006" s="2" t="s">
        <v>28</v>
      </c>
      <c r="F12006" s="2" t="str">
        <f>HYPERLINK("http://bbs.12365auto.com/postcontent.aspx?tID=193319","http://bbs.12365auto.com/postcontent.aspx?tID=193319")</f>
        <v>http://bbs.12365auto.com/postcontent.aspx?tID=193319</v>
      </c>
      <c r="G12006" s="2"/>
      <c r="H12006" s="2" t="s">
        <v>16030</v>
      </c>
      <c r="I12006" s="2" t="s">
        <v>15</v>
      </c>
      <c r="J12006" s="2" t="s">
        <v>616</v>
      </c>
      <c r="K12006" s="2" t="s">
        <v>16029</v>
      </c>
      <c r="L12006" s="2">
        <f t="shared" si="187"/>
        <v>150</v>
      </c>
    </row>
    <row r="12007" spans="1:12" ht="25" customHeight="1">
      <c r="A12007" s="2" t="s">
        <v>12</v>
      </c>
      <c r="B12007" s="2" t="str">
        <f>HYPERLINK("http://bbs.12365auto.com/postcontent.aspx?tId=193318","2020 Proton X70 CKD 或将在2月12日发布")</f>
        <v>2020 Proton X70 CKD 或将在2月12日发布</v>
      </c>
      <c r="C12007" s="2" t="s">
        <v>13</v>
      </c>
      <c r="D12007" s="2" t="s">
        <v>12</v>
      </c>
      <c r="E12007" s="2" t="s">
        <v>27</v>
      </c>
      <c r="F12007" s="2" t="str">
        <f>HYPERLINK("http://bbs.12365auto.com/postcontent.aspx?tId=193318","http://bbs.12365auto.com/postcontent.aspx?tId=193318")</f>
        <v>http://bbs.12365auto.com/postcontent.aspx?tId=193318</v>
      </c>
      <c r="G12007" s="2"/>
      <c r="H12007" s="2" t="s">
        <v>16031</v>
      </c>
      <c r="I12007" s="2" t="s">
        <v>15</v>
      </c>
      <c r="J12007" s="2" t="s">
        <v>616</v>
      </c>
      <c r="K12007" s="2" t="s">
        <v>16032</v>
      </c>
      <c r="L12007" s="2">
        <f t="shared" si="187"/>
        <v>150</v>
      </c>
    </row>
    <row r="12008" spans="1:12" ht="25" customHeight="1">
      <c r="A12008" s="2" t="s">
        <v>12</v>
      </c>
      <c r="B12008" s="2" t="str">
        <f>HYPERLINK("http://m.12365auto.com/xcdg/20200205/417708.shtml","据说小三十万一台 解读华晨金杯负压救护车")</f>
        <v>据说小三十万一台 解读华晨金杯负压救护车</v>
      </c>
      <c r="C12008" s="2" t="s">
        <v>13</v>
      </c>
      <c r="D12008" s="2" t="s">
        <v>12</v>
      </c>
      <c r="E12008" s="2"/>
      <c r="F12008" s="2" t="str">
        <f>HYPERLINK("http://m.12365auto.com/xcdg/20200205/417708.shtml","http://m.12365auto.com/xcdg/20200205/417708.shtml")</f>
        <v>http://m.12365auto.com/xcdg/20200205/417708.shtml</v>
      </c>
      <c r="G12008" s="2"/>
      <c r="H12008" s="2" t="s">
        <v>16033</v>
      </c>
      <c r="I12008" s="2" t="s">
        <v>19</v>
      </c>
      <c r="J12008" s="2" t="s">
        <v>16034</v>
      </c>
      <c r="K12008" s="2" t="s">
        <v>16032</v>
      </c>
      <c r="L12008" s="2">
        <f t="shared" si="187"/>
        <v>150</v>
      </c>
    </row>
    <row r="12009" spans="1:12" ht="25" customHeight="1">
      <c r="A12009" s="2" t="s">
        <v>12</v>
      </c>
      <c r="B12009" s="2" t="str">
        <f>HYPERLINK("http://m.12365auto.com/bbs/postcontent.aspx?tID=193318","2020 Proton X70 CKD 或将在2月12日发布")</f>
        <v>2020 Proton X70 CKD 或将在2月12日发布</v>
      </c>
      <c r="C12009" s="2" t="s">
        <v>13</v>
      </c>
      <c r="D12009" s="2" t="s">
        <v>23</v>
      </c>
      <c r="E12009" s="2"/>
      <c r="F12009" s="2" t="str">
        <f>HYPERLINK("http://m.12365auto.com/bbs/postcontent.aspx?tID=193318","http://m.12365auto.com/bbs/postcontent.aspx?tID=193318")</f>
        <v>http://m.12365auto.com/bbs/postcontent.aspx?tID=193318</v>
      </c>
      <c r="G12009" s="2"/>
      <c r="H12009" s="2" t="s">
        <v>16031</v>
      </c>
      <c r="I12009" s="2" t="s">
        <v>15</v>
      </c>
      <c r="J12009" s="2" t="s">
        <v>616</v>
      </c>
      <c r="K12009" s="2" t="s">
        <v>16032</v>
      </c>
      <c r="L12009" s="2">
        <f t="shared" si="187"/>
        <v>150</v>
      </c>
    </row>
    <row r="12010" spans="1:12" ht="25" customHeight="1">
      <c r="A12010" s="2" t="s">
        <v>12</v>
      </c>
      <c r="B12010" s="2" t="str">
        <f>HYPERLINK("http://bbs.12365auto.com/postcontent.aspx?tID=193318","2020 Proton X70 CKD 或将在2月12日发布")</f>
        <v>2020 Proton X70 CKD 或将在2月12日发布</v>
      </c>
      <c r="C12010" s="2" t="s">
        <v>13</v>
      </c>
      <c r="D12010" s="2" t="s">
        <v>12</v>
      </c>
      <c r="E12010" s="2" t="s">
        <v>28</v>
      </c>
      <c r="F12010" s="2" t="str">
        <f>HYPERLINK("http://bbs.12365auto.com/postcontent.aspx?tID=193318","http://bbs.12365auto.com/postcontent.aspx?tID=193318")</f>
        <v>http://bbs.12365auto.com/postcontent.aspx?tID=193318</v>
      </c>
      <c r="G12010" s="2"/>
      <c r="H12010" s="2" t="s">
        <v>16035</v>
      </c>
      <c r="I12010" s="2" t="s">
        <v>15</v>
      </c>
      <c r="J12010" s="2" t="s">
        <v>616</v>
      </c>
      <c r="K12010" s="2" t="s">
        <v>16032</v>
      </c>
      <c r="L12010" s="2">
        <f t="shared" si="187"/>
        <v>150</v>
      </c>
    </row>
    <row r="12011" spans="1:12" ht="25" customHeight="1">
      <c r="A12011" s="2" t="s">
        <v>12</v>
      </c>
      <c r="B12011" s="2" t="str">
        <f>HYPERLINK("http://bbs.12365auto.com/postcontent.aspx?tId=193317","斯巴鲁公布未来电气化计划")</f>
        <v>斯巴鲁公布未来电气化计划</v>
      </c>
      <c r="C12011" s="2" t="s">
        <v>13</v>
      </c>
      <c r="D12011" s="2" t="s">
        <v>12</v>
      </c>
      <c r="E12011" s="2" t="s">
        <v>27</v>
      </c>
      <c r="F12011" s="2" t="str">
        <f>HYPERLINK("http://bbs.12365auto.com/postcontent.aspx?tId=193317","http://bbs.12365auto.com/postcontent.aspx?tId=193317")</f>
        <v>http://bbs.12365auto.com/postcontent.aspx?tId=193317</v>
      </c>
      <c r="G12011" s="2"/>
      <c r="H12011" s="2" t="s">
        <v>16036</v>
      </c>
      <c r="I12011" s="2" t="s">
        <v>15</v>
      </c>
      <c r="J12011" s="2" t="s">
        <v>616</v>
      </c>
      <c r="K12011" s="2" t="s">
        <v>16037</v>
      </c>
      <c r="L12011" s="2">
        <f t="shared" si="187"/>
        <v>150</v>
      </c>
    </row>
    <row r="12012" spans="1:12" ht="25" customHeight="1">
      <c r="A12012" s="2" t="s">
        <v>12</v>
      </c>
      <c r="B12012" s="2" t="str">
        <f>HYPERLINK("http://m.12365auto.com/news/20200205/417707.shtml","长城汽车出资2000万 推10项用车保障")</f>
        <v>长城汽车出资2000万 推10项用车保障</v>
      </c>
      <c r="C12012" s="2" t="s">
        <v>13</v>
      </c>
      <c r="D12012" s="2" t="s">
        <v>12</v>
      </c>
      <c r="E12012" s="2"/>
      <c r="F12012" s="2" t="str">
        <f>HYPERLINK("http://m.12365auto.com/news/20200205/417707.shtml","http://m.12365auto.com/news/20200205/417707.shtml")</f>
        <v>http://m.12365auto.com/news/20200205/417707.shtml</v>
      </c>
      <c r="G12012" s="2"/>
      <c r="H12012" s="2" t="s">
        <v>16038</v>
      </c>
      <c r="I12012" s="2" t="s">
        <v>19</v>
      </c>
      <c r="J12012" s="2" t="s">
        <v>3053</v>
      </c>
      <c r="K12012" s="2" t="s">
        <v>16037</v>
      </c>
      <c r="L12012" s="2">
        <f t="shared" si="187"/>
        <v>150</v>
      </c>
    </row>
    <row r="12013" spans="1:12" ht="25" customHeight="1">
      <c r="A12013" s="2" t="s">
        <v>12</v>
      </c>
      <c r="B12013" s="2" t="str">
        <f>HYPERLINK("http://m.12365auto.com/bbs/postcontent.aspx?tID=193317","斯巴鲁公布未来电气化计划")</f>
        <v>斯巴鲁公布未来电气化计划</v>
      </c>
      <c r="C12013" s="2" t="s">
        <v>13</v>
      </c>
      <c r="D12013" s="2" t="s">
        <v>23</v>
      </c>
      <c r="E12013" s="2"/>
      <c r="F12013" s="2" t="str">
        <f>HYPERLINK("http://m.12365auto.com/bbs/postcontent.aspx?tID=193317","http://m.12365auto.com/bbs/postcontent.aspx?tID=193317")</f>
        <v>http://m.12365auto.com/bbs/postcontent.aspx?tID=193317</v>
      </c>
      <c r="G12013" s="2"/>
      <c r="H12013" s="2" t="s">
        <v>16036</v>
      </c>
      <c r="I12013" s="2" t="s">
        <v>15</v>
      </c>
      <c r="J12013" s="2" t="s">
        <v>616</v>
      </c>
      <c r="K12013" s="2" t="s">
        <v>16037</v>
      </c>
      <c r="L12013" s="2">
        <f t="shared" si="187"/>
        <v>150</v>
      </c>
    </row>
    <row r="12014" spans="1:12" ht="25" customHeight="1">
      <c r="A12014" s="2" t="s">
        <v>12</v>
      </c>
      <c r="B12014" s="2" t="str">
        <f>HYPERLINK("http://bbs.12365auto.com/postcontent.aspx?tID=193317","斯巴鲁公布未来电气化计划")</f>
        <v>斯巴鲁公布未来电气化计划</v>
      </c>
      <c r="C12014" s="2" t="s">
        <v>13</v>
      </c>
      <c r="D12014" s="2" t="s">
        <v>12</v>
      </c>
      <c r="E12014" s="2" t="s">
        <v>28</v>
      </c>
      <c r="F12014" s="2" t="str">
        <f>HYPERLINK("http://bbs.12365auto.com/postcontent.aspx?tID=193317","http://bbs.12365auto.com/postcontent.aspx?tID=193317")</f>
        <v>http://bbs.12365auto.com/postcontent.aspx?tID=193317</v>
      </c>
      <c r="G12014" s="2"/>
      <c r="H12014" s="2" t="s">
        <v>16039</v>
      </c>
      <c r="I12014" s="2" t="s">
        <v>15</v>
      </c>
      <c r="J12014" s="2" t="s">
        <v>616</v>
      </c>
      <c r="K12014" s="2" t="s">
        <v>16037</v>
      </c>
      <c r="L12014" s="2">
        <f t="shared" si="187"/>
        <v>150</v>
      </c>
    </row>
    <row r="12015" spans="1:12" ht="25" customHeight="1">
      <c r="A12015" s="2" t="s">
        <v>12</v>
      </c>
      <c r="B12015" s="2" t="str">
        <f>HYPERLINK("http://www.12365auto.com/news/20200205/417707.shtml","长城汽车出资2000万 推10项用车保障")</f>
        <v>长城汽车出资2000万 推10项用车保障</v>
      </c>
      <c r="C12015" s="2" t="s">
        <v>13</v>
      </c>
      <c r="D12015" s="2" t="s">
        <v>12</v>
      </c>
      <c r="E12015" s="2" t="s">
        <v>276</v>
      </c>
      <c r="F12015" s="2" t="str">
        <f>HYPERLINK("http://www.12365auto.com/news/20200205/417707.shtml","http://www.12365auto.com/news/20200205/417707.shtml")</f>
        <v>http://www.12365auto.com/news/20200205/417707.shtml</v>
      </c>
      <c r="G12015" s="2"/>
      <c r="H12015" s="2" t="s">
        <v>16040</v>
      </c>
      <c r="I12015" s="2" t="s">
        <v>15</v>
      </c>
      <c r="J12015" s="2" t="s">
        <v>12</v>
      </c>
      <c r="K12015" s="2" t="s">
        <v>16037</v>
      </c>
      <c r="L12015" s="2">
        <f t="shared" si="187"/>
        <v>150</v>
      </c>
    </row>
    <row r="12016" spans="1:12" ht="25" customHeight="1">
      <c r="A12016" s="2" t="s">
        <v>12</v>
      </c>
      <c r="B12016" s="2" t="str">
        <f>HYPERLINK("http://www.12365auto.com/zlts/20200205/446374.shtml","低速行驶共振，头晕耳鸣")</f>
        <v>低速行驶共振，头晕耳鸣</v>
      </c>
      <c r="C12016" s="2" t="s">
        <v>13</v>
      </c>
      <c r="D12016" s="2" t="s">
        <v>12</v>
      </c>
      <c r="E12016" s="2"/>
      <c r="F12016" s="2" t="str">
        <f>HYPERLINK("http://www.12365auto.com/zlts/20200205/446374.shtml","http://www.12365auto.com/zlts/20200205/446374.shtml")</f>
        <v>http://www.12365auto.com/zlts/20200205/446374.shtml</v>
      </c>
      <c r="G12016" s="2"/>
      <c r="H12016" s="2" t="s">
        <v>16042</v>
      </c>
      <c r="I12016" s="2" t="s">
        <v>15</v>
      </c>
      <c r="J12016" s="2" t="s">
        <v>12</v>
      </c>
      <c r="K12016" s="2" t="s">
        <v>16041</v>
      </c>
      <c r="L12016" s="2">
        <f t="shared" si="187"/>
        <v>80</v>
      </c>
    </row>
    <row r="12017" spans="1:12" ht="25" customHeight="1">
      <c r="A12017" s="2" t="s">
        <v>12</v>
      </c>
      <c r="B12017" s="2" t="str">
        <f>HYPERLINK("http://m.12365auto.com/xcdg/20200205/417706.shtml","造车新势力3款纯电动车下月上 最低15万")</f>
        <v>造车新势力3款纯电动车下月上 最低15万</v>
      </c>
      <c r="C12017" s="2" t="s">
        <v>13</v>
      </c>
      <c r="D12017" s="2" t="s">
        <v>12</v>
      </c>
      <c r="E12017" s="2"/>
      <c r="F12017" s="2" t="str">
        <f>HYPERLINK("http://m.12365auto.com/xcdg/20200205/417706.shtml","http://m.12365auto.com/xcdg/20200205/417706.shtml")</f>
        <v>http://m.12365auto.com/xcdg/20200205/417706.shtml</v>
      </c>
      <c r="G12017" s="2"/>
      <c r="H12017" s="2" t="s">
        <v>16043</v>
      </c>
      <c r="I12017" s="2" t="s">
        <v>19</v>
      </c>
      <c r="J12017" s="2" t="s">
        <v>257</v>
      </c>
      <c r="K12017" s="2" t="s">
        <v>16044</v>
      </c>
      <c r="L12017" s="2">
        <f t="shared" si="187"/>
        <v>150</v>
      </c>
    </row>
    <row r="12018" spans="1:12" ht="25" customHeight="1">
      <c r="A12018" s="2" t="s">
        <v>12</v>
      </c>
      <c r="B12018" s="2" t="str">
        <f>HYPERLINK("http://m.12365auto.com/bbs/postcontent.aspx?tID=193316","看看哪些车在美国卖最火")</f>
        <v>看看哪些车在美国卖最火</v>
      </c>
      <c r="C12018" s="2" t="s">
        <v>13</v>
      </c>
      <c r="D12018" s="2" t="s">
        <v>23</v>
      </c>
      <c r="E12018" s="2"/>
      <c r="F12018" s="2" t="str">
        <f>HYPERLINK("http://m.12365auto.com/bbs/postcontent.aspx?tID=193316","http://m.12365auto.com/bbs/postcontent.aspx?tID=193316")</f>
        <v>http://m.12365auto.com/bbs/postcontent.aspx?tID=193316</v>
      </c>
      <c r="G12018" s="2"/>
      <c r="H12018" s="2" t="s">
        <v>16045</v>
      </c>
      <c r="I12018" s="2" t="s">
        <v>15</v>
      </c>
      <c r="J12018" s="2" t="s">
        <v>616</v>
      </c>
      <c r="K12018" s="2" t="s">
        <v>16044</v>
      </c>
      <c r="L12018" s="2">
        <f t="shared" si="187"/>
        <v>150</v>
      </c>
    </row>
    <row r="12019" spans="1:12" ht="25" customHeight="1">
      <c r="A12019" s="2" t="s">
        <v>12</v>
      </c>
      <c r="B12019" s="2" t="str">
        <f>HYPERLINK("http://bbs.12365auto.com/postcontent.aspx?tID=193316","看看哪些车在美国卖最火")</f>
        <v>看看哪些车在美国卖最火</v>
      </c>
      <c r="C12019" s="2" t="s">
        <v>13</v>
      </c>
      <c r="D12019" s="2" t="s">
        <v>12</v>
      </c>
      <c r="E12019" s="2" t="s">
        <v>28</v>
      </c>
      <c r="F12019" s="2" t="str">
        <f>HYPERLINK("http://bbs.12365auto.com/postcontent.aspx?tID=193316","http://bbs.12365auto.com/postcontent.aspx?tID=193316")</f>
        <v>http://bbs.12365auto.com/postcontent.aspx?tID=193316</v>
      </c>
      <c r="G12019" s="2"/>
      <c r="H12019" s="2" t="s">
        <v>16046</v>
      </c>
      <c r="I12019" s="2" t="s">
        <v>15</v>
      </c>
      <c r="J12019" s="2" t="s">
        <v>616</v>
      </c>
      <c r="K12019" s="2" t="s">
        <v>16044</v>
      </c>
      <c r="L12019" s="2">
        <f t="shared" si="187"/>
        <v>150</v>
      </c>
    </row>
    <row r="12020" spans="1:12" ht="25" customHeight="1">
      <c r="A12020" s="2" t="s">
        <v>12</v>
      </c>
      <c r="B12020" s="2" t="str">
        <f>HYPERLINK("http://www.12365auto.com/xcdg/20200205/417706.shtml","造车新势力3款纯电动车下月上 最低15万")</f>
        <v>造车新势力3款纯电动车下月上 最低15万</v>
      </c>
      <c r="C12020" s="2" t="s">
        <v>13</v>
      </c>
      <c r="D12020" s="2" t="s">
        <v>12</v>
      </c>
      <c r="E12020" s="2" t="s">
        <v>216</v>
      </c>
      <c r="F12020" s="2" t="str">
        <f>HYPERLINK("http://www.12365auto.com/xcdg/20200205/417706.shtml","http://www.12365auto.com/xcdg/20200205/417706.shtml")</f>
        <v>http://www.12365auto.com/xcdg/20200205/417706.shtml</v>
      </c>
      <c r="G12020" s="2"/>
      <c r="H12020" s="2" t="s">
        <v>16047</v>
      </c>
      <c r="I12020" s="2" t="s">
        <v>15</v>
      </c>
      <c r="J12020" s="2" t="s">
        <v>12</v>
      </c>
      <c r="K12020" s="2" t="s">
        <v>16044</v>
      </c>
      <c r="L12020" s="2">
        <f t="shared" si="187"/>
        <v>150</v>
      </c>
    </row>
    <row r="12021" spans="1:12" ht="25" customHeight="1">
      <c r="A12021" s="2" t="s">
        <v>12</v>
      </c>
      <c r="B12021" s="2" t="str">
        <f>HYPERLINK("http://bbs.12365auto.com/postcontent.aspx?tId=193316","看看哪些车在美国卖最火")</f>
        <v>看看哪些车在美国卖最火</v>
      </c>
      <c r="C12021" s="2" t="s">
        <v>13</v>
      </c>
      <c r="D12021" s="2" t="s">
        <v>12</v>
      </c>
      <c r="E12021" s="2" t="s">
        <v>27</v>
      </c>
      <c r="F12021" s="2" t="str">
        <f>HYPERLINK("http://bbs.12365auto.com/postcontent.aspx?tId=193316","http://bbs.12365auto.com/postcontent.aspx?tId=193316")</f>
        <v>http://bbs.12365auto.com/postcontent.aspx?tId=193316</v>
      </c>
      <c r="G12021" s="2"/>
      <c r="H12021" s="2" t="s">
        <v>16045</v>
      </c>
      <c r="I12021" s="2" t="s">
        <v>15</v>
      </c>
      <c r="J12021" s="2" t="s">
        <v>616</v>
      </c>
      <c r="K12021" s="2" t="s">
        <v>16044</v>
      </c>
      <c r="L12021" s="2">
        <f t="shared" si="187"/>
        <v>150</v>
      </c>
    </row>
    <row r="12022" spans="1:12" ht="25" customHeight="1">
      <c r="A12022" s="2" t="s">
        <v>12</v>
      </c>
      <c r="B12022" s="2" t="str">
        <f>HYPERLINK("http://m.12365auto.com/bbs/postcontent.aspx?tID=193315","2019年全年国产紧凑型轿车销量排名")</f>
        <v>2019年全年国产紧凑型轿车销量排名</v>
      </c>
      <c r="C12022" s="2" t="s">
        <v>13</v>
      </c>
      <c r="D12022" s="2" t="s">
        <v>23</v>
      </c>
      <c r="E12022" s="2"/>
      <c r="F12022" s="2" t="str">
        <f>HYPERLINK("http://m.12365auto.com/bbs/postcontent.aspx?tID=193315","http://m.12365auto.com/bbs/postcontent.aspx?tID=193315")</f>
        <v>http://m.12365auto.com/bbs/postcontent.aspx?tID=193315</v>
      </c>
      <c r="G12022" s="2"/>
      <c r="H12022" s="2" t="s">
        <v>16048</v>
      </c>
      <c r="I12022" s="2" t="s">
        <v>15</v>
      </c>
      <c r="J12022" s="2" t="s">
        <v>616</v>
      </c>
      <c r="K12022" s="2" t="s">
        <v>16049</v>
      </c>
      <c r="L12022" s="2">
        <f t="shared" si="187"/>
        <v>150</v>
      </c>
    </row>
    <row r="12023" spans="1:12" ht="25" customHeight="1">
      <c r="A12023" s="2" t="s">
        <v>12</v>
      </c>
      <c r="B12023" s="2" t="str">
        <f>HYPERLINK("http://bbs.12365auto.com/postcontent.aspx?tID=193315","2019年全年国产紧凑型轿车销量排名")</f>
        <v>2019年全年国产紧凑型轿车销量排名</v>
      </c>
      <c r="C12023" s="2" t="s">
        <v>13</v>
      </c>
      <c r="D12023" s="2" t="s">
        <v>12</v>
      </c>
      <c r="E12023" s="2" t="s">
        <v>28</v>
      </c>
      <c r="F12023" s="2" t="str">
        <f>HYPERLINK("http://bbs.12365auto.com/postcontent.aspx?tID=193315","http://bbs.12365auto.com/postcontent.aspx?tID=193315")</f>
        <v>http://bbs.12365auto.com/postcontent.aspx?tID=193315</v>
      </c>
      <c r="G12023" s="2"/>
      <c r="H12023" s="2" t="s">
        <v>16050</v>
      </c>
      <c r="I12023" s="2" t="s">
        <v>15</v>
      </c>
      <c r="J12023" s="2" t="s">
        <v>616</v>
      </c>
      <c r="K12023" s="2" t="s">
        <v>16049</v>
      </c>
      <c r="L12023" s="2">
        <f t="shared" si="187"/>
        <v>150</v>
      </c>
    </row>
    <row r="12024" spans="1:12" ht="25" customHeight="1">
      <c r="A12024" s="2" t="s">
        <v>12</v>
      </c>
      <c r="B12024" s="2" t="str">
        <f>HYPERLINK("http://bbs.12365auto.com/postcontent.aspx?tId=193315","2019年全年国产紧凑型轿车销量排名")</f>
        <v>2019年全年国产紧凑型轿车销量排名</v>
      </c>
      <c r="C12024" s="2" t="s">
        <v>13</v>
      </c>
      <c r="D12024" s="2" t="s">
        <v>12</v>
      </c>
      <c r="E12024" s="2" t="s">
        <v>27</v>
      </c>
      <c r="F12024" s="2" t="str">
        <f>HYPERLINK("http://bbs.12365auto.com/postcontent.aspx?tId=193315","http://bbs.12365auto.com/postcontent.aspx?tId=193315")</f>
        <v>http://bbs.12365auto.com/postcontent.aspx?tId=193315</v>
      </c>
      <c r="G12024" s="2"/>
      <c r="H12024" s="2" t="s">
        <v>16048</v>
      </c>
      <c r="I12024" s="2" t="s">
        <v>15</v>
      </c>
      <c r="J12024" s="2" t="s">
        <v>616</v>
      </c>
      <c r="K12024" s="2" t="s">
        <v>16049</v>
      </c>
      <c r="L12024" s="2">
        <f t="shared" si="187"/>
        <v>150</v>
      </c>
    </row>
    <row r="12025" spans="1:12" ht="25" customHeight="1">
      <c r="A12025" s="2" t="s">
        <v>12</v>
      </c>
      <c r="B12025" s="2" t="str">
        <f>HYPERLINK("http://m.12365auto.com/bbs/postcontent.aspx?tID=193314","大众又推新车 内饰堪称惊艳 15万内无敌了")</f>
        <v>大众又推新车 内饰堪称惊艳 15万内无敌了</v>
      </c>
      <c r="C12025" s="2" t="s">
        <v>13</v>
      </c>
      <c r="D12025" s="2" t="s">
        <v>23</v>
      </c>
      <c r="E12025" s="2"/>
      <c r="F12025" s="2" t="str">
        <f>HYPERLINK("http://m.12365auto.com/bbs/postcontent.aspx?tID=193314","http://m.12365auto.com/bbs/postcontent.aspx?tID=193314")</f>
        <v>http://m.12365auto.com/bbs/postcontent.aspx?tID=193314</v>
      </c>
      <c r="G12025" s="2"/>
      <c r="H12025" s="2" t="s">
        <v>16051</v>
      </c>
      <c r="I12025" s="2" t="s">
        <v>15</v>
      </c>
      <c r="J12025" s="2" t="s">
        <v>616</v>
      </c>
      <c r="K12025" s="2" t="s">
        <v>16052</v>
      </c>
      <c r="L12025" s="2">
        <f t="shared" si="187"/>
        <v>150</v>
      </c>
    </row>
    <row r="12026" spans="1:12" ht="25" customHeight="1">
      <c r="A12026" s="2" t="s">
        <v>12</v>
      </c>
      <c r="B12026" s="2" t="str">
        <f>HYPERLINK("http://bbs.12365auto.com/postcontent.aspx?tId=193314","大众又推新车 内饰堪称惊艳 15万内无敌了")</f>
        <v>大众又推新车 内饰堪称惊艳 15万内无敌了</v>
      </c>
      <c r="C12026" s="2" t="s">
        <v>13</v>
      </c>
      <c r="D12026" s="2" t="s">
        <v>12</v>
      </c>
      <c r="E12026" s="2" t="s">
        <v>27</v>
      </c>
      <c r="F12026" s="2" t="str">
        <f>HYPERLINK("http://bbs.12365auto.com/postcontent.aspx?tId=193314","http://bbs.12365auto.com/postcontent.aspx?tId=193314")</f>
        <v>http://bbs.12365auto.com/postcontent.aspx?tId=193314</v>
      </c>
      <c r="G12026" s="2"/>
      <c r="H12026" s="2" t="s">
        <v>16051</v>
      </c>
      <c r="I12026" s="2" t="s">
        <v>15</v>
      </c>
      <c r="J12026" s="2" t="s">
        <v>616</v>
      </c>
      <c r="K12026" s="2" t="s">
        <v>16052</v>
      </c>
      <c r="L12026" s="2">
        <f t="shared" si="187"/>
        <v>150</v>
      </c>
    </row>
    <row r="12027" spans="1:12" ht="25" customHeight="1">
      <c r="A12027" s="2" t="s">
        <v>12</v>
      </c>
      <c r="B12027" s="2" t="str">
        <f>HYPERLINK("http://bbs.12365auto.com/postcontent.aspx?tID=193314","大众又推新车 内饰堪称惊艳 15万内无敌了")</f>
        <v>大众又推新车 内饰堪称惊艳 15万内无敌了</v>
      </c>
      <c r="C12027" s="2" t="s">
        <v>13</v>
      </c>
      <c r="D12027" s="2" t="s">
        <v>12</v>
      </c>
      <c r="E12027" s="2" t="s">
        <v>28</v>
      </c>
      <c r="F12027" s="2" t="str">
        <f>HYPERLINK("http://bbs.12365auto.com/postcontent.aspx?tID=193314","http://bbs.12365auto.com/postcontent.aspx?tID=193314")</f>
        <v>http://bbs.12365auto.com/postcontent.aspx?tID=193314</v>
      </c>
      <c r="G12027" s="2"/>
      <c r="H12027" s="2" t="s">
        <v>16053</v>
      </c>
      <c r="I12027" s="2" t="s">
        <v>15</v>
      </c>
      <c r="J12027" s="2" t="s">
        <v>616</v>
      </c>
      <c r="K12027" s="2" t="s">
        <v>16052</v>
      </c>
      <c r="L12027" s="2">
        <f t="shared" si="187"/>
        <v>150</v>
      </c>
    </row>
    <row r="12028" spans="1:12" ht="25" customHeight="1">
      <c r="A12028" s="2" t="s">
        <v>12</v>
      </c>
      <c r="B12028" s="2" t="str">
        <f>HYPERLINK("http://www.12365auto.com/xcdg/20200205/417705.shtml","标致雪铁龙6款新车将上市 2008领衔")</f>
        <v>标致雪铁龙6款新车将上市 2008领衔</v>
      </c>
      <c r="C12028" s="2" t="s">
        <v>13</v>
      </c>
      <c r="D12028" s="2" t="s">
        <v>12</v>
      </c>
      <c r="E12028" s="2" t="s">
        <v>216</v>
      </c>
      <c r="F12028" s="2" t="str">
        <f>HYPERLINK("http://www.12365auto.com/xcdg/20200205/417705.shtml","http://www.12365auto.com/xcdg/20200205/417705.shtml")</f>
        <v>http://www.12365auto.com/xcdg/20200205/417705.shtml</v>
      </c>
      <c r="G12028" s="2"/>
      <c r="H12028" s="2" t="s">
        <v>16054</v>
      </c>
      <c r="I12028" s="2" t="s">
        <v>15</v>
      </c>
      <c r="J12028" s="2" t="s">
        <v>12</v>
      </c>
      <c r="K12028" s="2" t="s">
        <v>16055</v>
      </c>
      <c r="L12028" s="2">
        <f t="shared" si="187"/>
        <v>150</v>
      </c>
    </row>
    <row r="12029" spans="1:12" ht="25" customHeight="1">
      <c r="A12029" s="2" t="s">
        <v>12</v>
      </c>
      <c r="B12029" s="2" t="str">
        <f>HYPERLINK("http://m.12365auto.com/xcdg/20200205/417705.shtml","标致雪铁龙6款新车将上市 2008领衔")</f>
        <v>标致雪铁龙6款新车将上市 2008领衔</v>
      </c>
      <c r="C12029" s="2" t="s">
        <v>13</v>
      </c>
      <c r="D12029" s="2" t="s">
        <v>12</v>
      </c>
      <c r="E12029" s="2"/>
      <c r="F12029" s="2" t="str">
        <f>HYPERLINK("http://m.12365auto.com/xcdg/20200205/417705.shtml","http://m.12365auto.com/xcdg/20200205/417705.shtml")</f>
        <v>http://m.12365auto.com/xcdg/20200205/417705.shtml</v>
      </c>
      <c r="G12029" s="2"/>
      <c r="H12029" s="2" t="s">
        <v>16056</v>
      </c>
      <c r="I12029" s="2" t="s">
        <v>19</v>
      </c>
      <c r="J12029" s="2" t="s">
        <v>2603</v>
      </c>
      <c r="K12029" s="2" t="s">
        <v>16055</v>
      </c>
      <c r="L12029" s="2">
        <f t="shared" si="187"/>
        <v>150</v>
      </c>
    </row>
    <row r="12030" spans="1:12" ht="25" customHeight="1">
      <c r="A12030" s="2" t="s">
        <v>12</v>
      </c>
      <c r="B12030" s="2" t="str">
        <f>HYPERLINK("http://m.12365auto.com/bbs/postcontent.aspx?tID=193313","5万不到的城市通勤利器 不依赖充电桩上班族也可以随便买")</f>
        <v>5万不到的城市通勤利器 不依赖充电桩上班族也可以随便买</v>
      </c>
      <c r="C12030" s="2" t="s">
        <v>13</v>
      </c>
      <c r="D12030" s="2" t="s">
        <v>23</v>
      </c>
      <c r="E12030" s="2"/>
      <c r="F12030" s="2" t="str">
        <f>HYPERLINK("http://m.12365auto.com/bbs/postcontent.aspx?tID=193313","http://m.12365auto.com/bbs/postcontent.aspx?tID=193313")</f>
        <v>http://m.12365auto.com/bbs/postcontent.aspx?tID=193313</v>
      </c>
      <c r="G12030" s="2"/>
      <c r="H12030" s="2" t="s">
        <v>16057</v>
      </c>
      <c r="I12030" s="2" t="s">
        <v>15</v>
      </c>
      <c r="J12030" s="2" t="s">
        <v>616</v>
      </c>
      <c r="K12030" s="2" t="s">
        <v>16058</v>
      </c>
      <c r="L12030" s="2">
        <f t="shared" si="187"/>
        <v>150</v>
      </c>
    </row>
    <row r="12031" spans="1:12" ht="25" customHeight="1">
      <c r="A12031" s="2" t="s">
        <v>12</v>
      </c>
      <c r="B12031" s="2" t="str">
        <f>HYPERLINK("http://bbs.12365auto.com/postcontent.aspx?tId=193313","5万不到的城市通勤利器 不依赖充电桩上班族也可以随便买")</f>
        <v>5万不到的城市通勤利器 不依赖充电桩上班族也可以随便买</v>
      </c>
      <c r="C12031" s="2" t="s">
        <v>13</v>
      </c>
      <c r="D12031" s="2" t="s">
        <v>12</v>
      </c>
      <c r="E12031" s="2" t="s">
        <v>27</v>
      </c>
      <c r="F12031" s="2" t="str">
        <f>HYPERLINK("http://bbs.12365auto.com/postcontent.aspx?tId=193313","http://bbs.12365auto.com/postcontent.aspx?tId=193313")</f>
        <v>http://bbs.12365auto.com/postcontent.aspx?tId=193313</v>
      </c>
      <c r="G12031" s="2"/>
      <c r="H12031" s="2" t="s">
        <v>16057</v>
      </c>
      <c r="I12031" s="2" t="s">
        <v>15</v>
      </c>
      <c r="J12031" s="2" t="s">
        <v>616</v>
      </c>
      <c r="K12031" s="2" t="s">
        <v>16058</v>
      </c>
      <c r="L12031" s="2">
        <f t="shared" si="187"/>
        <v>150</v>
      </c>
    </row>
    <row r="12032" spans="1:12" ht="25" customHeight="1">
      <c r="A12032" s="2" t="s">
        <v>12</v>
      </c>
      <c r="B12032" s="2" t="str">
        <f>HYPERLINK("http://bbs.12365auto.com/postcontent.aspx?tID=193313","5万不到的城市通勤利器 不依赖充电桩上班族也可以随便买")</f>
        <v>5万不到的城市通勤利器 不依赖充电桩上班族也可以随便买</v>
      </c>
      <c r="C12032" s="2" t="s">
        <v>13</v>
      </c>
      <c r="D12032" s="2" t="s">
        <v>12</v>
      </c>
      <c r="E12032" s="2" t="s">
        <v>28</v>
      </c>
      <c r="F12032" s="2" t="str">
        <f>HYPERLINK("http://bbs.12365auto.com/postcontent.aspx?tID=193313","http://bbs.12365auto.com/postcontent.aspx?tID=193313")</f>
        <v>http://bbs.12365auto.com/postcontent.aspx?tID=193313</v>
      </c>
      <c r="G12032" s="2"/>
      <c r="H12032" s="2" t="s">
        <v>16059</v>
      </c>
      <c r="I12032" s="2" t="s">
        <v>15</v>
      </c>
      <c r="J12032" s="2" t="s">
        <v>616</v>
      </c>
      <c r="K12032" s="2" t="s">
        <v>16058</v>
      </c>
      <c r="L12032" s="2">
        <f t="shared" si="187"/>
        <v>150</v>
      </c>
    </row>
    <row r="12033" spans="1:12" ht="25" customHeight="1">
      <c r="A12033" s="2" t="s">
        <v>12</v>
      </c>
      <c r="B12033" s="2" t="str">
        <f>HYPERLINK("http://www.12365auto.com/xcdg/20200205/417704.shtml","丰田2020年新车规划 威兰达等4款新车将上市")</f>
        <v>丰田2020年新车规划 威兰达等4款新车将上市</v>
      </c>
      <c r="C12033" s="2" t="s">
        <v>13</v>
      </c>
      <c r="D12033" s="2" t="s">
        <v>12</v>
      </c>
      <c r="E12033" s="2" t="s">
        <v>216</v>
      </c>
      <c r="F12033" s="2" t="str">
        <f>HYPERLINK("http://www.12365auto.com/xcdg/20200205/417704.shtml","http://www.12365auto.com/xcdg/20200205/417704.shtml")</f>
        <v>http://www.12365auto.com/xcdg/20200205/417704.shtml</v>
      </c>
      <c r="G12033" s="2"/>
      <c r="H12033" s="2" t="s">
        <v>16060</v>
      </c>
      <c r="I12033" s="2" t="s">
        <v>15</v>
      </c>
      <c r="J12033" s="2" t="s">
        <v>12</v>
      </c>
      <c r="K12033" s="2" t="s">
        <v>16061</v>
      </c>
      <c r="L12033" s="2">
        <f t="shared" si="187"/>
        <v>150</v>
      </c>
    </row>
    <row r="12034" spans="1:12" ht="25" customHeight="1">
      <c r="A12034" s="2" t="s">
        <v>12</v>
      </c>
      <c r="B12034" s="2" t="str">
        <f>HYPERLINK("http://m.12365auto.com/xcdg/20200205/417704.shtml","丰田2020年新车规划 威兰达等4款新车将上市")</f>
        <v>丰田2020年新车规划 威兰达等4款新车将上市</v>
      </c>
      <c r="C12034" s="2" t="s">
        <v>13</v>
      </c>
      <c r="D12034" s="2" t="s">
        <v>12</v>
      </c>
      <c r="E12034" s="2"/>
      <c r="F12034" s="2" t="str">
        <f>HYPERLINK("http://m.12365auto.com/xcdg/20200205/417704.shtml","http://m.12365auto.com/xcdg/20200205/417704.shtml")</f>
        <v>http://m.12365auto.com/xcdg/20200205/417704.shtml</v>
      </c>
      <c r="G12034" s="2"/>
      <c r="H12034" s="2" t="s">
        <v>16062</v>
      </c>
      <c r="I12034" s="2" t="s">
        <v>19</v>
      </c>
      <c r="J12034" s="2" t="s">
        <v>265</v>
      </c>
      <c r="K12034" s="2" t="s">
        <v>16061</v>
      </c>
      <c r="L12034" s="2">
        <f t="shared" si="187"/>
        <v>150</v>
      </c>
    </row>
    <row r="12035" spans="1:12" ht="25" customHeight="1">
      <c r="A12035" s="2" t="s">
        <v>12</v>
      </c>
      <c r="B12035" s="2" t="str">
        <f>HYPERLINK("http://www.12365auto.com/xcdg/20200205/417703.shtml","长安逸动PLUS三月17日上市 预计7.8万起售")</f>
        <v>长安逸动PLUS三月17日上市 预计7.8万起售</v>
      </c>
      <c r="C12035" s="2" t="s">
        <v>13</v>
      </c>
      <c r="D12035" s="2" t="s">
        <v>12</v>
      </c>
      <c r="E12035" s="2" t="s">
        <v>245</v>
      </c>
      <c r="F12035" s="2" t="str">
        <f>HYPERLINK("http://www.12365auto.com/xcdg/20200205/417703.shtml","http://www.12365auto.com/xcdg/20200205/417703.shtml")</f>
        <v>http://www.12365auto.com/xcdg/20200205/417703.shtml</v>
      </c>
      <c r="G12035" s="2"/>
      <c r="H12035" s="2" t="s">
        <v>16063</v>
      </c>
      <c r="I12035" s="2" t="s">
        <v>19</v>
      </c>
      <c r="J12035" s="2" t="s">
        <v>12</v>
      </c>
      <c r="K12035" s="2" t="s">
        <v>16064</v>
      </c>
      <c r="L12035" s="2">
        <f t="shared" ref="L12035:L12098" si="188">LEN(H12035)</f>
        <v>150</v>
      </c>
    </row>
    <row r="12036" spans="1:12" ht="25" customHeight="1">
      <c r="A12036" s="2" t="s">
        <v>12</v>
      </c>
      <c r="B12036" s="2" t="str">
        <f>HYPERLINK("http://m.12365auto.com/xcdg/20200205/417703.shtml","长安逸动PLUS三月17日上市 预计7.8万起售")</f>
        <v>长安逸动PLUS三月17日上市 预计7.8万起售</v>
      </c>
      <c r="C12036" s="2" t="s">
        <v>13</v>
      </c>
      <c r="D12036" s="2" t="s">
        <v>12</v>
      </c>
      <c r="E12036" s="2"/>
      <c r="F12036" s="2" t="str">
        <f>HYPERLINK("http://m.12365auto.com/xcdg/20200205/417703.shtml","http://m.12365auto.com/xcdg/20200205/417703.shtml")</f>
        <v>http://m.12365auto.com/xcdg/20200205/417703.shtml</v>
      </c>
      <c r="G12036" s="2"/>
      <c r="H12036" s="2" t="s">
        <v>16065</v>
      </c>
      <c r="I12036" s="2" t="s">
        <v>19</v>
      </c>
      <c r="J12036" s="2" t="s">
        <v>12</v>
      </c>
      <c r="K12036" s="2" t="s">
        <v>16064</v>
      </c>
      <c r="L12036" s="2">
        <f t="shared" si="188"/>
        <v>150</v>
      </c>
    </row>
    <row r="12037" spans="1:12" ht="25" customHeight="1">
      <c r="A12037" s="2" t="s">
        <v>12</v>
      </c>
      <c r="B12037" s="2" t="str">
        <f>HYPERLINK("http://www.12365auto.com/xcdg/20200205/417702.shtml","梅赛德斯-AMG全新C63曝光 换搭四缸混动引擎")</f>
        <v>梅赛德斯-AMG全新C63曝光 换搭四缸混动引擎</v>
      </c>
      <c r="C12037" s="2" t="s">
        <v>13</v>
      </c>
      <c r="D12037" s="2" t="s">
        <v>12</v>
      </c>
      <c r="E12037" s="2" t="s">
        <v>216</v>
      </c>
      <c r="F12037" s="2" t="str">
        <f>HYPERLINK("http://www.12365auto.com/xcdg/20200205/417702.shtml","http://www.12365auto.com/xcdg/20200205/417702.shtml")</f>
        <v>http://www.12365auto.com/xcdg/20200205/417702.shtml</v>
      </c>
      <c r="G12037" s="2"/>
      <c r="H12037" s="2" t="s">
        <v>16066</v>
      </c>
      <c r="I12037" s="2" t="s">
        <v>15</v>
      </c>
      <c r="J12037" s="2" t="s">
        <v>12</v>
      </c>
      <c r="K12037" s="2" t="s">
        <v>16067</v>
      </c>
      <c r="L12037" s="2">
        <f t="shared" si="188"/>
        <v>150</v>
      </c>
    </row>
    <row r="12038" spans="1:12" ht="25" customHeight="1">
      <c r="A12038" s="2" t="s">
        <v>12</v>
      </c>
      <c r="B12038" s="2" t="str">
        <f>HYPERLINK("http://www.12365auto.com/xcdg/20200205/417701.shtml","红旗将推4款新车 豪华旗舰H9不到30万就能买")</f>
        <v>红旗将推4款新车 豪华旗舰H9不到30万就能买</v>
      </c>
      <c r="C12038" s="2" t="s">
        <v>13</v>
      </c>
      <c r="D12038" s="2" t="s">
        <v>12</v>
      </c>
      <c r="E12038" s="2" t="s">
        <v>216</v>
      </c>
      <c r="F12038" s="2" t="str">
        <f>HYPERLINK("http://www.12365auto.com/xcdg/20200205/417701.shtml","http://www.12365auto.com/xcdg/20200205/417701.shtml")</f>
        <v>http://www.12365auto.com/xcdg/20200205/417701.shtml</v>
      </c>
      <c r="G12038" s="2"/>
      <c r="H12038" s="2" t="s">
        <v>16068</v>
      </c>
      <c r="I12038" s="2" t="s">
        <v>15</v>
      </c>
      <c r="J12038" s="2" t="s">
        <v>12</v>
      </c>
      <c r="K12038" s="2" t="s">
        <v>16067</v>
      </c>
      <c r="L12038" s="2">
        <f t="shared" si="188"/>
        <v>150</v>
      </c>
    </row>
    <row r="12039" spans="1:12" ht="25" customHeight="1">
      <c r="A12039" s="2" t="s">
        <v>12</v>
      </c>
      <c r="B12039" s="2" t="str">
        <f>HYPERLINK("http://m.12365auto.com/xcdg/20200205/417702.shtml","梅赛德斯-AMG全新C63曝光 换搭四缸混动引擎")</f>
        <v>梅赛德斯-AMG全新C63曝光 换搭四缸混动引擎</v>
      </c>
      <c r="C12039" s="2" t="s">
        <v>13</v>
      </c>
      <c r="D12039" s="2" t="s">
        <v>12</v>
      </c>
      <c r="E12039" s="2"/>
      <c r="F12039" s="2" t="str">
        <f>HYPERLINK("http://m.12365auto.com/xcdg/20200205/417702.shtml","http://m.12365auto.com/xcdg/20200205/417702.shtml")</f>
        <v>http://m.12365auto.com/xcdg/20200205/417702.shtml</v>
      </c>
      <c r="G12039" s="2"/>
      <c r="H12039" s="2" t="s">
        <v>16069</v>
      </c>
      <c r="I12039" s="2" t="s">
        <v>19</v>
      </c>
      <c r="J12039" s="2" t="s">
        <v>220</v>
      </c>
      <c r="K12039" s="2" t="s">
        <v>16067</v>
      </c>
      <c r="L12039" s="2">
        <f t="shared" si="188"/>
        <v>150</v>
      </c>
    </row>
    <row r="12040" spans="1:12" ht="25" customHeight="1">
      <c r="A12040" s="2" t="s">
        <v>12</v>
      </c>
      <c r="B12040" s="2" t="str">
        <f>HYPERLINK("http://m.12365auto.com/xcdg/20200205/417701.shtml","红旗将推4款新车 豪华旗舰H9不到30万就能买")</f>
        <v>红旗将推4款新车 豪华旗舰H9不到30万就能买</v>
      </c>
      <c r="C12040" s="2" t="s">
        <v>13</v>
      </c>
      <c r="D12040" s="2" t="s">
        <v>12</v>
      </c>
      <c r="E12040" s="2"/>
      <c r="F12040" s="2" t="str">
        <f>HYPERLINK("http://m.12365auto.com/xcdg/20200205/417701.shtml","http://m.12365auto.com/xcdg/20200205/417701.shtml")</f>
        <v>http://m.12365auto.com/xcdg/20200205/417701.shtml</v>
      </c>
      <c r="G12040" s="2"/>
      <c r="H12040" s="2" t="s">
        <v>16070</v>
      </c>
      <c r="I12040" s="2" t="s">
        <v>19</v>
      </c>
      <c r="J12040" s="2" t="s">
        <v>3053</v>
      </c>
      <c r="K12040" s="2" t="s">
        <v>16067</v>
      </c>
      <c r="L12040" s="2">
        <f t="shared" si="188"/>
        <v>150</v>
      </c>
    </row>
    <row r="12041" spans="1:12" ht="25" customHeight="1">
      <c r="A12041" s="2" t="s">
        <v>12</v>
      </c>
      <c r="B12041" s="2" t="str">
        <f>HYPERLINK("http://m.12365auto.com/xcdg/20200205/417700.shtml","领克2020年将推两款全新SUV  最低预售11万")</f>
        <v>领克2020年将推两款全新SUV  最低预售11万</v>
      </c>
      <c r="C12041" s="2" t="s">
        <v>13</v>
      </c>
      <c r="D12041" s="2" t="s">
        <v>12</v>
      </c>
      <c r="E12041" s="2"/>
      <c r="F12041" s="2" t="str">
        <f>HYPERLINK("http://m.12365auto.com/xcdg/20200205/417700.shtml","http://m.12365auto.com/xcdg/20200205/417700.shtml")</f>
        <v>http://m.12365auto.com/xcdg/20200205/417700.shtml</v>
      </c>
      <c r="G12041" s="2"/>
      <c r="H12041" s="2" t="s">
        <v>16071</v>
      </c>
      <c r="I12041" s="2" t="s">
        <v>19</v>
      </c>
      <c r="J12041" s="2" t="s">
        <v>6086</v>
      </c>
      <c r="K12041" s="2" t="s">
        <v>16072</v>
      </c>
      <c r="L12041" s="2">
        <f t="shared" si="188"/>
        <v>150</v>
      </c>
    </row>
    <row r="12042" spans="1:12" ht="25" customHeight="1">
      <c r="A12042" s="2" t="s">
        <v>12</v>
      </c>
      <c r="B12042" s="2" t="str">
        <f>HYPERLINK("http://www.12365auto.com/xcdg/20200205/417700.shtml","领克2020年将推两款全新SUV  最低预售11万")</f>
        <v>领克2020年将推两款全新SUV  最低预售11万</v>
      </c>
      <c r="C12042" s="2" t="s">
        <v>13</v>
      </c>
      <c r="D12042" s="2" t="s">
        <v>12</v>
      </c>
      <c r="E12042" s="2" t="s">
        <v>245</v>
      </c>
      <c r="F12042" s="2" t="str">
        <f>HYPERLINK("http://www.12365auto.com/xcdg/20200205/417700.shtml","http://www.12365auto.com/xcdg/20200205/417700.shtml")</f>
        <v>http://www.12365auto.com/xcdg/20200205/417700.shtml</v>
      </c>
      <c r="G12042" s="2"/>
      <c r="H12042" s="2" t="s">
        <v>16073</v>
      </c>
      <c r="I12042" s="2" t="s">
        <v>19</v>
      </c>
      <c r="J12042" s="2" t="s">
        <v>12</v>
      </c>
      <c r="K12042" s="2" t="s">
        <v>16072</v>
      </c>
      <c r="L12042" s="2">
        <f t="shared" si="188"/>
        <v>150</v>
      </c>
    </row>
    <row r="12043" spans="1:12" ht="25" customHeight="1">
      <c r="A12043" s="2" t="s">
        <v>12</v>
      </c>
      <c r="B12043" s="2" t="str">
        <f>HYPERLINK("http://m.12365auto.com/xcdg/20200205/417699.shtml","宝马新款M8Gran Coupe上市 搭4.4T引擎")</f>
        <v>宝马新款M8Gran Coupe上市 搭4.4T引擎</v>
      </c>
      <c r="C12043" s="2" t="s">
        <v>13</v>
      </c>
      <c r="D12043" s="2" t="s">
        <v>12</v>
      </c>
      <c r="E12043" s="2"/>
      <c r="F12043" s="2" t="str">
        <f>HYPERLINK("http://m.12365auto.com/xcdg/20200205/417699.shtml","http://m.12365auto.com/xcdg/20200205/417699.shtml")</f>
        <v>http://m.12365auto.com/xcdg/20200205/417699.shtml</v>
      </c>
      <c r="G12043" s="2"/>
      <c r="H12043" s="2" t="s">
        <v>16074</v>
      </c>
      <c r="I12043" s="2" t="s">
        <v>19</v>
      </c>
      <c r="J12043" s="2" t="s">
        <v>13601</v>
      </c>
      <c r="K12043" s="2" t="s">
        <v>16075</v>
      </c>
      <c r="L12043" s="2">
        <f t="shared" si="188"/>
        <v>150</v>
      </c>
    </row>
    <row r="12044" spans="1:12" ht="25" customHeight="1">
      <c r="A12044" s="2" t="s">
        <v>12</v>
      </c>
      <c r="B12044" s="2" t="str">
        <f>HYPERLINK("http://www.12365auto.com/xcdg/20200205/417699.shtml","宝马新款M8Gran Coupe上市 搭4.4T引擎")</f>
        <v>宝马新款M8Gran Coupe上市 搭4.4T引擎</v>
      </c>
      <c r="C12044" s="2" t="s">
        <v>13</v>
      </c>
      <c r="D12044" s="2" t="s">
        <v>12</v>
      </c>
      <c r="E12044" s="2" t="s">
        <v>245</v>
      </c>
      <c r="F12044" s="2" t="str">
        <f>HYPERLINK("http://www.12365auto.com/xcdg/20200205/417699.shtml","http://www.12365auto.com/xcdg/20200205/417699.shtml")</f>
        <v>http://www.12365auto.com/xcdg/20200205/417699.shtml</v>
      </c>
      <c r="G12044" s="2"/>
      <c r="H12044" s="2" t="s">
        <v>16076</v>
      </c>
      <c r="I12044" s="2" t="s">
        <v>19</v>
      </c>
      <c r="J12044" s="2" t="s">
        <v>12</v>
      </c>
      <c r="K12044" s="2" t="s">
        <v>16075</v>
      </c>
      <c r="L12044" s="2">
        <f t="shared" si="188"/>
        <v>150</v>
      </c>
    </row>
    <row r="12045" spans="1:12" ht="25" customHeight="1">
      <c r="A12045" s="2" t="s">
        <v>12</v>
      </c>
      <c r="B12045" s="2" t="str">
        <f>HYPERLINK("http://m.12365auto.com/xcdg/20200205/417698.shtml","中兴领主G9大皮卡曝光 搭2.5T/2.4T两种动力")</f>
        <v>中兴领主G9大皮卡曝光 搭2.5T/2.4T两种动力</v>
      </c>
      <c r="C12045" s="2" t="s">
        <v>13</v>
      </c>
      <c r="D12045" s="2" t="s">
        <v>12</v>
      </c>
      <c r="E12045" s="2"/>
      <c r="F12045" s="2" t="str">
        <f>HYPERLINK("http://m.12365auto.com/xcdg/20200205/417698.shtml","http://m.12365auto.com/xcdg/20200205/417698.shtml")</f>
        <v>http://m.12365auto.com/xcdg/20200205/417698.shtml</v>
      </c>
      <c r="G12045" s="2"/>
      <c r="H12045" s="2" t="s">
        <v>16077</v>
      </c>
      <c r="I12045" s="2" t="s">
        <v>19</v>
      </c>
      <c r="J12045" s="2" t="s">
        <v>12</v>
      </c>
      <c r="K12045" s="2" t="s">
        <v>16078</v>
      </c>
      <c r="L12045" s="2">
        <f t="shared" si="188"/>
        <v>150</v>
      </c>
    </row>
    <row r="12046" spans="1:12" ht="25" customHeight="1">
      <c r="A12046" s="2" t="s">
        <v>12</v>
      </c>
      <c r="B12046" s="2" t="str">
        <f>HYPERLINK("http://www.12365auto.com/xcdg/20200205/417698.shtml","中兴领主G9大皮卡曝光 搭2.5T/2.4T两种动力")</f>
        <v>中兴领主G9大皮卡曝光 搭2.5T/2.4T两种动力</v>
      </c>
      <c r="C12046" s="2" t="s">
        <v>13</v>
      </c>
      <c r="D12046" s="2" t="s">
        <v>12</v>
      </c>
      <c r="E12046" s="2" t="s">
        <v>245</v>
      </c>
      <c r="F12046" s="2" t="str">
        <f>HYPERLINK("http://www.12365auto.com/xcdg/20200205/417698.shtml","http://www.12365auto.com/xcdg/20200205/417698.shtml")</f>
        <v>http://www.12365auto.com/xcdg/20200205/417698.shtml</v>
      </c>
      <c r="G12046" s="2"/>
      <c r="H12046" s="2" t="s">
        <v>16079</v>
      </c>
      <c r="I12046" s="2" t="s">
        <v>19</v>
      </c>
      <c r="J12046" s="2" t="s">
        <v>12</v>
      </c>
      <c r="K12046" s="2" t="s">
        <v>16078</v>
      </c>
      <c r="L12046" s="2">
        <f t="shared" si="188"/>
        <v>150</v>
      </c>
    </row>
    <row r="12047" spans="1:12" ht="25" customHeight="1">
      <c r="A12047" s="2" t="s">
        <v>12</v>
      </c>
      <c r="B12047" s="2" t="str">
        <f>HYPERLINK("http://www.12365auto.com/zlts/20200205/446373.shtml","吉利星越4S店购车后置换补贴不兑现")</f>
        <v>吉利星越4S店购车后置换补贴不兑现</v>
      </c>
      <c r="C12047" s="2" t="s">
        <v>13</v>
      </c>
      <c r="D12047" s="2" t="s">
        <v>12</v>
      </c>
      <c r="E12047" s="2" t="s">
        <v>17</v>
      </c>
      <c r="F12047" s="2" t="str">
        <f>HYPERLINK("http://www.12365auto.com/zlts/20200205/446373.shtml","http://www.12365auto.com/zlts/20200205/446373.shtml")</f>
        <v>http://www.12365auto.com/zlts/20200205/446373.shtml</v>
      </c>
      <c r="G12047" s="2"/>
      <c r="H12047" s="2" t="s">
        <v>16080</v>
      </c>
      <c r="I12047" s="2" t="s">
        <v>19</v>
      </c>
      <c r="J12047" s="2" t="s">
        <v>12</v>
      </c>
      <c r="K12047" s="2" t="s">
        <v>16081</v>
      </c>
      <c r="L12047" s="2">
        <f t="shared" si="188"/>
        <v>150</v>
      </c>
    </row>
    <row r="12048" spans="1:12" ht="25" customHeight="1">
      <c r="A12048" s="2" t="s">
        <v>12</v>
      </c>
      <c r="B12048" s="2" t="str">
        <f>HYPERLINK("http://m.12365auto.com/news/20200205/417697.shtml","疫情防控进行时 皮卡车企将走进新零售模式")</f>
        <v>疫情防控进行时 皮卡车企将走进新零售模式</v>
      </c>
      <c r="C12048" s="2" t="s">
        <v>13</v>
      </c>
      <c r="D12048" s="2" t="s">
        <v>12</v>
      </c>
      <c r="E12048" s="2"/>
      <c r="F12048" s="2" t="str">
        <f>HYPERLINK("http://m.12365auto.com/news/20200205/417697.shtml","http://m.12365auto.com/news/20200205/417697.shtml")</f>
        <v>http://m.12365auto.com/news/20200205/417697.shtml</v>
      </c>
      <c r="G12048" s="2"/>
      <c r="H12048" s="2" t="s">
        <v>16082</v>
      </c>
      <c r="I12048" s="2" t="s">
        <v>19</v>
      </c>
      <c r="J12048" s="2" t="s">
        <v>1933</v>
      </c>
      <c r="K12048" s="2" t="s">
        <v>16081</v>
      </c>
      <c r="L12048" s="2">
        <f t="shared" si="188"/>
        <v>150</v>
      </c>
    </row>
    <row r="12049" spans="1:12" ht="25" customHeight="1">
      <c r="A12049" s="2" t="s">
        <v>12</v>
      </c>
      <c r="B12049" s="2" t="str">
        <f>HYPERLINK("http://www.12365auto.com/news/20200205/417697.shtml","疫情防控进行时 皮卡车企将走进新零售模式")</f>
        <v>疫情防控进行时 皮卡车企将走进新零售模式</v>
      </c>
      <c r="C12049" s="2" t="s">
        <v>13</v>
      </c>
      <c r="D12049" s="2" t="s">
        <v>12</v>
      </c>
      <c r="E12049" s="2" t="s">
        <v>282</v>
      </c>
      <c r="F12049" s="2" t="str">
        <f>HYPERLINK("http://www.12365auto.com/news/20200205/417697.shtml","http://www.12365auto.com/news/20200205/417697.shtml")</f>
        <v>http://www.12365auto.com/news/20200205/417697.shtml</v>
      </c>
      <c r="G12049" s="2"/>
      <c r="H12049" s="2" t="s">
        <v>16083</v>
      </c>
      <c r="I12049" s="2" t="s">
        <v>19</v>
      </c>
      <c r="J12049" s="2" t="s">
        <v>12</v>
      </c>
      <c r="K12049" s="2" t="s">
        <v>16081</v>
      </c>
      <c r="L12049" s="2">
        <f t="shared" si="188"/>
        <v>150</v>
      </c>
    </row>
    <row r="12050" spans="1:12" ht="25" customHeight="1">
      <c r="A12050" s="2" t="s">
        <v>12</v>
      </c>
      <c r="B12050" s="2" t="str">
        <f>HYPERLINK("http://m.12365auto.com/news/20200205/417696.shtml","在家就能保养？奇瑞新能源车主抗“疫”妙招")</f>
        <v>在家就能保养？奇瑞新能源车主抗“疫”妙招</v>
      </c>
      <c r="C12050" s="2" t="s">
        <v>13</v>
      </c>
      <c r="D12050" s="2" t="s">
        <v>12</v>
      </c>
      <c r="E12050" s="2"/>
      <c r="F12050" s="2" t="str">
        <f>HYPERLINK("http://m.12365auto.com/news/20200205/417696.shtml","http://m.12365auto.com/news/20200205/417696.shtml")</f>
        <v>http://m.12365auto.com/news/20200205/417696.shtml</v>
      </c>
      <c r="G12050" s="2"/>
      <c r="H12050" s="2" t="s">
        <v>16084</v>
      </c>
      <c r="I12050" s="2" t="s">
        <v>19</v>
      </c>
      <c r="J12050" s="2" t="s">
        <v>257</v>
      </c>
      <c r="K12050" s="2" t="s">
        <v>16085</v>
      </c>
      <c r="L12050" s="2">
        <f t="shared" si="188"/>
        <v>150</v>
      </c>
    </row>
    <row r="12051" spans="1:12" ht="25" customHeight="1">
      <c r="A12051" s="2" t="s">
        <v>12</v>
      </c>
      <c r="B12051" s="2" t="str">
        <f>HYPERLINK("http://www.12365auto.com/news/20200205/417696.shtml","在家就能保养？奇瑞新能源车主抗“疫”妙招")</f>
        <v>在家就能保养？奇瑞新能源车主抗“疫”妙招</v>
      </c>
      <c r="C12051" s="2" t="s">
        <v>13</v>
      </c>
      <c r="D12051" s="2" t="s">
        <v>12</v>
      </c>
      <c r="E12051" s="2" t="s">
        <v>372</v>
      </c>
      <c r="F12051" s="2" t="str">
        <f>HYPERLINK("http://www.12365auto.com/news/20200205/417696.shtml","http://www.12365auto.com/news/20200205/417696.shtml")</f>
        <v>http://www.12365auto.com/news/20200205/417696.shtml</v>
      </c>
      <c r="G12051" s="2"/>
      <c r="H12051" s="2" t="s">
        <v>16086</v>
      </c>
      <c r="I12051" s="2" t="s">
        <v>15</v>
      </c>
      <c r="J12051" s="2" t="s">
        <v>12</v>
      </c>
      <c r="K12051" s="2" t="s">
        <v>16085</v>
      </c>
      <c r="L12051" s="2">
        <f t="shared" si="188"/>
        <v>150</v>
      </c>
    </row>
    <row r="12052" spans="1:12" ht="25" customHeight="1">
      <c r="A12052" s="2" t="s">
        <v>12</v>
      </c>
      <c r="B12052" s="2" t="str">
        <f>HYPERLINK("http://m.12365auto.com/zjdy/20200205/121031.shtml","在二级店买的车出现问题现在不承认怎么办？")</f>
        <v>在二级店买的车出现问题现在不承认怎么办？</v>
      </c>
      <c r="C12052" s="2" t="s">
        <v>13</v>
      </c>
      <c r="D12052" s="2" t="s">
        <v>12</v>
      </c>
      <c r="E12052" s="2"/>
      <c r="F12052" s="2" t="str">
        <f>HYPERLINK("http://m.12365auto.com/zjdy/20200205/121031.shtml","http://m.12365auto.com/zjdy/20200205/121031.shtml")</f>
        <v>http://m.12365auto.com/zjdy/20200205/121031.shtml</v>
      </c>
      <c r="G12052" s="2"/>
      <c r="H12052" s="2" t="s">
        <v>16087</v>
      </c>
      <c r="I12052" s="2" t="s">
        <v>19</v>
      </c>
      <c r="J12052" s="2" t="s">
        <v>12</v>
      </c>
      <c r="K12052" s="2" t="s">
        <v>16088</v>
      </c>
      <c r="L12052" s="2">
        <f t="shared" si="188"/>
        <v>59</v>
      </c>
    </row>
    <row r="12053" spans="1:12" ht="25" customHeight="1">
      <c r="A12053" s="2" t="s">
        <v>12</v>
      </c>
      <c r="B12053" s="2" t="str">
        <f>HYPERLINK("http://m.12365auto.com/xcdg/20200205/417695.shtml","奥迪新款A8车型实拍 售价公布/搭3.0T引擎")</f>
        <v>奥迪新款A8车型实拍 售价公布/搭3.0T引擎</v>
      </c>
      <c r="C12053" s="2" t="s">
        <v>13</v>
      </c>
      <c r="D12053" s="2" t="s">
        <v>12</v>
      </c>
      <c r="E12053" s="2"/>
      <c r="F12053" s="2" t="str">
        <f>HYPERLINK("http://m.12365auto.com/xcdg/20200205/417695.shtml","http://m.12365auto.com/xcdg/20200205/417695.shtml")</f>
        <v>http://m.12365auto.com/xcdg/20200205/417695.shtml</v>
      </c>
      <c r="G12053" s="2"/>
      <c r="H12053" s="2" t="s">
        <v>16089</v>
      </c>
      <c r="I12053" s="2" t="s">
        <v>19</v>
      </c>
      <c r="J12053" s="2" t="s">
        <v>13601</v>
      </c>
      <c r="K12053" s="2" t="s">
        <v>16090</v>
      </c>
      <c r="L12053" s="2">
        <f t="shared" si="188"/>
        <v>150</v>
      </c>
    </row>
    <row r="12054" spans="1:12" ht="25" customHeight="1">
      <c r="A12054" s="2" t="s">
        <v>12</v>
      </c>
      <c r="B12054" s="2" t="str">
        <f>HYPERLINK("http://www.12365auto.com/xcdg/20200205/417695.shtml","奥迪新款A8车型实拍 售价公布/搭3.0T引擎")</f>
        <v>奥迪新款A8车型实拍 售价公布/搭3.0T引擎</v>
      </c>
      <c r="C12054" s="2" t="s">
        <v>13</v>
      </c>
      <c r="D12054" s="2" t="s">
        <v>12</v>
      </c>
      <c r="E12054" s="2" t="s">
        <v>245</v>
      </c>
      <c r="F12054" s="2" t="str">
        <f>HYPERLINK("http://www.12365auto.com/xcdg/20200205/417695.shtml","http://www.12365auto.com/xcdg/20200205/417695.shtml")</f>
        <v>http://www.12365auto.com/xcdg/20200205/417695.shtml</v>
      </c>
      <c r="G12054" s="2"/>
      <c r="H12054" s="2" t="s">
        <v>16091</v>
      </c>
      <c r="I12054" s="2" t="s">
        <v>19</v>
      </c>
      <c r="J12054" s="2" t="s">
        <v>12</v>
      </c>
      <c r="K12054" s="2" t="s">
        <v>16090</v>
      </c>
      <c r="L12054" s="2">
        <f t="shared" si="188"/>
        <v>150</v>
      </c>
    </row>
    <row r="12055" spans="1:12" ht="25" customHeight="1">
      <c r="A12055" s="2" t="s">
        <v>12</v>
      </c>
      <c r="B12055" s="2" t="str">
        <f>HYPERLINK("http://m.12365auto.com/xcdg/20200205/417694.shtml","奥迪新Q5混动版谍照曝光 首搭48伏轻混技术")</f>
        <v>奥迪新Q5混动版谍照曝光 首搭48伏轻混技术</v>
      </c>
      <c r="C12055" s="2" t="s">
        <v>13</v>
      </c>
      <c r="D12055" s="2" t="s">
        <v>12</v>
      </c>
      <c r="E12055" s="2"/>
      <c r="F12055" s="2" t="str">
        <f>HYPERLINK("http://m.12365auto.com/xcdg/20200205/417694.shtml","http://m.12365auto.com/xcdg/20200205/417694.shtml")</f>
        <v>http://m.12365auto.com/xcdg/20200205/417694.shtml</v>
      </c>
      <c r="G12055" s="2"/>
      <c r="H12055" s="2" t="s">
        <v>16092</v>
      </c>
      <c r="I12055" s="2" t="s">
        <v>19</v>
      </c>
      <c r="J12055" s="2" t="s">
        <v>220</v>
      </c>
      <c r="K12055" s="2" t="s">
        <v>16093</v>
      </c>
      <c r="L12055" s="2">
        <f t="shared" si="188"/>
        <v>150</v>
      </c>
    </row>
    <row r="12056" spans="1:12" ht="25" customHeight="1">
      <c r="A12056" s="2" t="s">
        <v>12</v>
      </c>
      <c r="B12056" s="2" t="str">
        <f>HYPERLINK("http://www.12365auto.com/xcdg/20200205/417694.shtml","奥迪新Q5混动版谍照曝光 首搭48伏轻混技术")</f>
        <v>奥迪新Q5混动版谍照曝光 首搭48伏轻混技术</v>
      </c>
      <c r="C12056" s="2" t="s">
        <v>13</v>
      </c>
      <c r="D12056" s="2" t="s">
        <v>12</v>
      </c>
      <c r="E12056" s="2" t="s">
        <v>224</v>
      </c>
      <c r="F12056" s="2" t="str">
        <f>HYPERLINK("http://www.12365auto.com/xcdg/20200205/417694.shtml","http://www.12365auto.com/xcdg/20200205/417694.shtml")</f>
        <v>http://www.12365auto.com/xcdg/20200205/417694.shtml</v>
      </c>
      <c r="G12056" s="2"/>
      <c r="H12056" s="2" t="s">
        <v>16094</v>
      </c>
      <c r="I12056" s="2" t="s">
        <v>15</v>
      </c>
      <c r="J12056" s="2" t="s">
        <v>12</v>
      </c>
      <c r="K12056" s="2" t="s">
        <v>16093</v>
      </c>
      <c r="L12056" s="2">
        <f t="shared" si="188"/>
        <v>150</v>
      </c>
    </row>
    <row r="12057" spans="1:12" ht="25" customHeight="1">
      <c r="A12057" s="2" t="s">
        <v>12</v>
      </c>
      <c r="B12057" s="2" t="str">
        <f>HYPERLINK("http://m.12365auto.com/xcdg/20200205/417693.shtml","东风本田5款新车将开卖 思域两厢领衔")</f>
        <v>东风本田5款新车将开卖 思域两厢领衔</v>
      </c>
      <c r="C12057" s="2" t="s">
        <v>13</v>
      </c>
      <c r="D12057" s="2" t="s">
        <v>12</v>
      </c>
      <c r="E12057" s="2"/>
      <c r="F12057" s="2" t="str">
        <f>HYPERLINK("http://m.12365auto.com/xcdg/20200205/417693.shtml","http://m.12365auto.com/xcdg/20200205/417693.shtml")</f>
        <v>http://m.12365auto.com/xcdg/20200205/417693.shtml</v>
      </c>
      <c r="G12057" s="2"/>
      <c r="H12057" s="2" t="s">
        <v>16095</v>
      </c>
      <c r="I12057" s="2" t="s">
        <v>19</v>
      </c>
      <c r="J12057" s="2" t="s">
        <v>2603</v>
      </c>
      <c r="K12057" s="2" t="s">
        <v>16096</v>
      </c>
      <c r="L12057" s="2">
        <f t="shared" si="188"/>
        <v>150</v>
      </c>
    </row>
    <row r="12058" spans="1:12" ht="25" customHeight="1">
      <c r="A12058" s="2" t="s">
        <v>12</v>
      </c>
      <c r="B12058" s="2" t="str">
        <f>HYPERLINK("http://www.12365auto.com/xcdg/20200205/417693.shtml","东风本田5款新车将开卖 思域两厢领衔")</f>
        <v>东风本田5款新车将开卖 思域两厢领衔</v>
      </c>
      <c r="C12058" s="2" t="s">
        <v>13</v>
      </c>
      <c r="D12058" s="2" t="s">
        <v>12</v>
      </c>
      <c r="E12058" s="2" t="s">
        <v>216</v>
      </c>
      <c r="F12058" s="2" t="str">
        <f>HYPERLINK("http://www.12365auto.com/xcdg/20200205/417693.shtml","http://www.12365auto.com/xcdg/20200205/417693.shtml")</f>
        <v>http://www.12365auto.com/xcdg/20200205/417693.shtml</v>
      </c>
      <c r="G12058" s="2"/>
      <c r="H12058" s="2" t="s">
        <v>16097</v>
      </c>
      <c r="I12058" s="2" t="s">
        <v>15</v>
      </c>
      <c r="J12058" s="2" t="s">
        <v>12</v>
      </c>
      <c r="K12058" s="2" t="s">
        <v>16096</v>
      </c>
      <c r="L12058" s="2">
        <f t="shared" si="188"/>
        <v>150</v>
      </c>
    </row>
    <row r="12059" spans="1:12" ht="25" customHeight="1">
      <c r="A12059" s="2" t="s">
        <v>12</v>
      </c>
      <c r="B12059" s="2" t="str">
        <f>HYPERLINK("http://m.12365auto.com/xcdg/20200205/417692.shtml","大众全新迈特威插混版曝光 搭1.4T/年内亮相")</f>
        <v>大众全新迈特威插混版曝光 搭1.4T/年内亮相</v>
      </c>
      <c r="C12059" s="2" t="s">
        <v>13</v>
      </c>
      <c r="D12059" s="2" t="s">
        <v>12</v>
      </c>
      <c r="E12059" s="2"/>
      <c r="F12059" s="2" t="str">
        <f>HYPERLINK("http://m.12365auto.com/xcdg/20200205/417692.shtml","http://m.12365auto.com/xcdg/20200205/417692.shtml")</f>
        <v>http://m.12365auto.com/xcdg/20200205/417692.shtml</v>
      </c>
      <c r="G12059" s="2"/>
      <c r="H12059" s="2" t="s">
        <v>16098</v>
      </c>
      <c r="I12059" s="2" t="s">
        <v>19</v>
      </c>
      <c r="J12059" s="2" t="s">
        <v>220</v>
      </c>
      <c r="K12059" s="2" t="s">
        <v>16099</v>
      </c>
      <c r="L12059" s="2">
        <f t="shared" si="188"/>
        <v>150</v>
      </c>
    </row>
    <row r="12060" spans="1:12" ht="25" customHeight="1">
      <c r="A12060" s="2" t="s">
        <v>12</v>
      </c>
      <c r="B12060" s="2" t="str">
        <f>HYPERLINK("http://www.12365auto.com/xcdg/20200205/417692.shtml","大众全新迈特威插混版曝光 搭1.4T/年内亮相")</f>
        <v>大众全新迈特威插混版曝光 搭1.4T/年内亮相</v>
      </c>
      <c r="C12060" s="2" t="s">
        <v>13</v>
      </c>
      <c r="D12060" s="2" t="s">
        <v>12</v>
      </c>
      <c r="E12060" s="2" t="s">
        <v>224</v>
      </c>
      <c r="F12060" s="2" t="str">
        <f>HYPERLINK("http://www.12365auto.com/xcdg/20200205/417692.shtml","http://www.12365auto.com/xcdg/20200205/417692.shtml")</f>
        <v>http://www.12365auto.com/xcdg/20200205/417692.shtml</v>
      </c>
      <c r="G12060" s="2"/>
      <c r="H12060" s="2" t="s">
        <v>16100</v>
      </c>
      <c r="I12060" s="2" t="s">
        <v>15</v>
      </c>
      <c r="J12060" s="2" t="s">
        <v>12</v>
      </c>
      <c r="K12060" s="2" t="s">
        <v>16099</v>
      </c>
      <c r="L12060" s="2">
        <f t="shared" si="188"/>
        <v>150</v>
      </c>
    </row>
    <row r="12061" spans="1:12" ht="25" customHeight="1">
      <c r="A12061" s="2" t="s">
        <v>12</v>
      </c>
      <c r="B12061" s="2" t="str">
        <f>HYPERLINK("http://m.12365auto.com/news/20200205/417691.shtml","起亚将于2021年推出新电动车 将2025年发布")</f>
        <v>起亚将于2021年推出新电动车 将2025年发布</v>
      </c>
      <c r="C12061" s="2" t="s">
        <v>13</v>
      </c>
      <c r="D12061" s="2" t="s">
        <v>12</v>
      </c>
      <c r="E12061" s="2"/>
      <c r="F12061" s="2" t="str">
        <f>HYPERLINK("http://m.12365auto.com/news/20200205/417691.shtml","http://m.12365auto.com/news/20200205/417691.shtml")</f>
        <v>http://m.12365auto.com/news/20200205/417691.shtml</v>
      </c>
      <c r="G12061" s="2"/>
      <c r="H12061" s="2" t="s">
        <v>16101</v>
      </c>
      <c r="I12061" s="2" t="s">
        <v>19</v>
      </c>
      <c r="J12061" s="2" t="s">
        <v>4775</v>
      </c>
      <c r="K12061" s="2" t="s">
        <v>16102</v>
      </c>
      <c r="L12061" s="2">
        <f t="shared" si="188"/>
        <v>150</v>
      </c>
    </row>
    <row r="12062" spans="1:12" ht="25" customHeight="1">
      <c r="A12062" s="2" t="s">
        <v>12</v>
      </c>
      <c r="B12062" s="2" t="str">
        <f>HYPERLINK("http://www.12365auto.com/news/20200205/417691.shtml","起亚将于2021年推出新电动车 将2025年发布")</f>
        <v>起亚将于2021年推出新电动车 将2025年发布</v>
      </c>
      <c r="C12062" s="2" t="s">
        <v>13</v>
      </c>
      <c r="D12062" s="2" t="s">
        <v>12</v>
      </c>
      <c r="E12062" s="2" t="s">
        <v>276</v>
      </c>
      <c r="F12062" s="2" t="str">
        <f>HYPERLINK("http://www.12365auto.com/news/20200205/417691.shtml","http://www.12365auto.com/news/20200205/417691.shtml")</f>
        <v>http://www.12365auto.com/news/20200205/417691.shtml</v>
      </c>
      <c r="G12062" s="2"/>
      <c r="H12062" s="2" t="s">
        <v>16103</v>
      </c>
      <c r="I12062" s="2" t="s">
        <v>15</v>
      </c>
      <c r="J12062" s="2" t="s">
        <v>12</v>
      </c>
      <c r="K12062" s="2" t="s">
        <v>16102</v>
      </c>
      <c r="L12062" s="2">
        <f t="shared" si="188"/>
        <v>150</v>
      </c>
    </row>
    <row r="12063" spans="1:12" ht="25" customHeight="1">
      <c r="A12063" s="2" t="s">
        <v>12</v>
      </c>
      <c r="B12063" s="2" t="str">
        <f>HYPERLINK("http://m.12365auto.com/news/20200205/417690.shtml","特斯拉强势登顶 19年全球新能源车销量排行")</f>
        <v>特斯拉强势登顶 19年全球新能源车销量排行</v>
      </c>
      <c r="C12063" s="2" t="s">
        <v>13</v>
      </c>
      <c r="D12063" s="2" t="s">
        <v>12</v>
      </c>
      <c r="E12063" s="2"/>
      <c r="F12063" s="2" t="str">
        <f>HYPERLINK("http://m.12365auto.com/news/20200205/417690.shtml","http://m.12365auto.com/news/20200205/417690.shtml")</f>
        <v>http://m.12365auto.com/news/20200205/417690.shtml</v>
      </c>
      <c r="G12063" s="2"/>
      <c r="H12063" s="2" t="s">
        <v>16104</v>
      </c>
      <c r="I12063" s="2" t="s">
        <v>19</v>
      </c>
      <c r="J12063" s="2" t="s">
        <v>10441</v>
      </c>
      <c r="K12063" s="2" t="s">
        <v>16105</v>
      </c>
      <c r="L12063" s="2">
        <f t="shared" si="188"/>
        <v>150</v>
      </c>
    </row>
    <row r="12064" spans="1:12" ht="25" customHeight="1">
      <c r="A12064" s="2" t="s">
        <v>12</v>
      </c>
      <c r="B12064" s="2" t="str">
        <f>HYPERLINK("http://www.12365auto.com/news/20200205/417690.shtml","特斯拉强势登顶 19年全球新能源车销量排行")</f>
        <v>特斯拉强势登顶 19年全球新能源车销量排行</v>
      </c>
      <c r="C12064" s="2" t="s">
        <v>13</v>
      </c>
      <c r="D12064" s="2" t="s">
        <v>12</v>
      </c>
      <c r="E12064" s="2" t="s">
        <v>276</v>
      </c>
      <c r="F12064" s="2" t="str">
        <f>HYPERLINK("http://www.12365auto.com/news/20200205/417690.shtml","http://www.12365auto.com/news/20200205/417690.shtml")</f>
        <v>http://www.12365auto.com/news/20200205/417690.shtml</v>
      </c>
      <c r="G12064" s="2"/>
      <c r="H12064" s="2" t="s">
        <v>16106</v>
      </c>
      <c r="I12064" s="2" t="s">
        <v>15</v>
      </c>
      <c r="J12064" s="2" t="s">
        <v>12</v>
      </c>
      <c r="K12064" s="2" t="s">
        <v>16105</v>
      </c>
      <c r="L12064" s="2">
        <f t="shared" si="188"/>
        <v>150</v>
      </c>
    </row>
    <row r="12065" spans="1:12" ht="25" customHeight="1">
      <c r="A12065" s="2" t="s">
        <v>12</v>
      </c>
      <c r="B12065" s="2" t="str">
        <f>HYPERLINK("http://www.12365auto.com/news/20200205/417689.shtml","保养延期3个月 红旗推三项客户服务政策")</f>
        <v>保养延期3个月 红旗推三项客户服务政策</v>
      </c>
      <c r="C12065" s="2" t="s">
        <v>13</v>
      </c>
      <c r="D12065" s="2" t="s">
        <v>12</v>
      </c>
      <c r="E12065" s="2" t="s">
        <v>276</v>
      </c>
      <c r="F12065" s="2" t="str">
        <f>HYPERLINK("http://www.12365auto.com/news/20200205/417689.shtml","http://www.12365auto.com/news/20200205/417689.shtml")</f>
        <v>http://www.12365auto.com/news/20200205/417689.shtml</v>
      </c>
      <c r="G12065" s="2"/>
      <c r="H12065" s="2" t="s">
        <v>16107</v>
      </c>
      <c r="I12065" s="2" t="s">
        <v>15</v>
      </c>
      <c r="J12065" s="2" t="s">
        <v>12</v>
      </c>
      <c r="K12065" s="2" t="s">
        <v>16108</v>
      </c>
      <c r="L12065" s="2">
        <f t="shared" si="188"/>
        <v>150</v>
      </c>
    </row>
    <row r="12066" spans="1:12" ht="25" customHeight="1">
      <c r="A12066" s="2" t="s">
        <v>12</v>
      </c>
      <c r="B12066" s="2" t="str">
        <f>HYPERLINK("http://m.12365auto.com/news/20200205/417689.shtml","保养延期3个月 红旗推三项客户服务政策")</f>
        <v>保养延期3个月 红旗推三项客户服务政策</v>
      </c>
      <c r="C12066" s="2" t="s">
        <v>13</v>
      </c>
      <c r="D12066" s="2" t="s">
        <v>12</v>
      </c>
      <c r="E12066" s="2"/>
      <c r="F12066" s="2" t="str">
        <f>HYPERLINK("http://m.12365auto.com/news/20200205/417689.shtml","http://m.12365auto.com/news/20200205/417689.shtml")</f>
        <v>http://m.12365auto.com/news/20200205/417689.shtml</v>
      </c>
      <c r="G12066" s="2"/>
      <c r="H12066" s="2" t="s">
        <v>16109</v>
      </c>
      <c r="I12066" s="2" t="s">
        <v>19</v>
      </c>
      <c r="J12066" s="2" t="s">
        <v>1218</v>
      </c>
      <c r="K12066" s="2" t="s">
        <v>16108</v>
      </c>
      <c r="L12066" s="2">
        <f t="shared" si="188"/>
        <v>150</v>
      </c>
    </row>
    <row r="12067" spans="1:12" ht="25" customHeight="1">
      <c r="A12067" s="2" t="s">
        <v>12</v>
      </c>
      <c r="B12067" s="2" t="str">
        <f>HYPERLINK("http://www.12365auto.com/zlts/20200205/446370.shtml","奇瑞艾瑞泽5车门内把手金属开裂划手")</f>
        <v>奇瑞艾瑞泽5车门内把手金属开裂划手</v>
      </c>
      <c r="C12067" s="2" t="s">
        <v>13</v>
      </c>
      <c r="D12067" s="2" t="s">
        <v>12</v>
      </c>
      <c r="E12067" s="2" t="s">
        <v>17</v>
      </c>
      <c r="F12067" s="2" t="str">
        <f>HYPERLINK("http://www.12365auto.com/zlts/20200205/446370.shtml","http://www.12365auto.com/zlts/20200205/446370.shtml")</f>
        <v>http://www.12365auto.com/zlts/20200205/446370.shtml</v>
      </c>
      <c r="G12067" s="2"/>
      <c r="H12067" s="2" t="s">
        <v>16110</v>
      </c>
      <c r="I12067" s="2" t="s">
        <v>19</v>
      </c>
      <c r="J12067" s="2" t="s">
        <v>12</v>
      </c>
      <c r="K12067" s="2" t="s">
        <v>16111</v>
      </c>
      <c r="L12067" s="2">
        <f t="shared" si="188"/>
        <v>150</v>
      </c>
    </row>
    <row r="12068" spans="1:12" ht="25" customHeight="1">
      <c r="A12068" s="2" t="s">
        <v>12</v>
      </c>
      <c r="B12068" s="2" t="str">
        <f>HYPERLINK("http://www.12365auto.com/xcdg/20200205/417688.shtml","全新现代索纳塔混动版将亮相芝加哥车展")</f>
        <v>全新现代索纳塔混动版将亮相芝加哥车展</v>
      </c>
      <c r="C12068" s="2" t="s">
        <v>13</v>
      </c>
      <c r="D12068" s="2" t="s">
        <v>12</v>
      </c>
      <c r="E12068" s="2" t="s">
        <v>216</v>
      </c>
      <c r="F12068" s="2" t="str">
        <f>HYPERLINK("http://www.12365auto.com/xcdg/20200205/417688.shtml","http://www.12365auto.com/xcdg/20200205/417688.shtml")</f>
        <v>http://www.12365auto.com/xcdg/20200205/417688.shtml</v>
      </c>
      <c r="G12068" s="2"/>
      <c r="H12068" s="2" t="s">
        <v>16112</v>
      </c>
      <c r="I12068" s="2" t="s">
        <v>15</v>
      </c>
      <c r="J12068" s="2" t="s">
        <v>12</v>
      </c>
      <c r="K12068" s="2" t="s">
        <v>16113</v>
      </c>
      <c r="L12068" s="2">
        <f t="shared" si="188"/>
        <v>150</v>
      </c>
    </row>
    <row r="12069" spans="1:12" ht="25" customHeight="1">
      <c r="A12069" s="2" t="s">
        <v>12</v>
      </c>
      <c r="B12069" s="2" t="str">
        <f>HYPERLINK("http://m.12365auto.com/xcdg/20200205/417688.shtml","全新现代索纳塔混动版将亮相芝加哥车展")</f>
        <v>全新现代索纳塔混动版将亮相芝加哥车展</v>
      </c>
      <c r="C12069" s="2" t="s">
        <v>13</v>
      </c>
      <c r="D12069" s="2" t="s">
        <v>12</v>
      </c>
      <c r="E12069" s="2"/>
      <c r="F12069" s="2" t="str">
        <f>HYPERLINK("http://m.12365auto.com/xcdg/20200205/417688.shtml","http://m.12365auto.com/xcdg/20200205/417688.shtml")</f>
        <v>http://m.12365auto.com/xcdg/20200205/417688.shtml</v>
      </c>
      <c r="G12069" s="2"/>
      <c r="H12069" s="2" t="s">
        <v>16114</v>
      </c>
      <c r="I12069" s="2" t="s">
        <v>19</v>
      </c>
      <c r="J12069" s="2" t="s">
        <v>1657</v>
      </c>
      <c r="K12069" s="2" t="s">
        <v>16113</v>
      </c>
      <c r="L12069" s="2">
        <f t="shared" si="188"/>
        <v>150</v>
      </c>
    </row>
    <row r="12070" spans="1:12" ht="25" customHeight="1">
      <c r="A12070" s="2" t="s">
        <v>12</v>
      </c>
      <c r="B12070" s="2" t="str">
        <f>HYPERLINK("http://www.12365auto.com/news/20200205/417687.shtml","全面智能化 揭秘奔驰新款E级技术特点")</f>
        <v>全面智能化 揭秘奔驰新款E级技术特点</v>
      </c>
      <c r="C12070" s="2" t="s">
        <v>13</v>
      </c>
      <c r="D12070" s="2" t="s">
        <v>12</v>
      </c>
      <c r="E12070" s="2" t="s">
        <v>282</v>
      </c>
      <c r="F12070" s="2" t="str">
        <f>HYPERLINK("http://www.12365auto.com/news/20200205/417687.shtml","http://www.12365auto.com/news/20200205/417687.shtml")</f>
        <v>http://www.12365auto.com/news/20200205/417687.shtml</v>
      </c>
      <c r="G12070" s="2"/>
      <c r="H12070" s="2" t="s">
        <v>16115</v>
      </c>
      <c r="I12070" s="2" t="s">
        <v>19</v>
      </c>
      <c r="J12070" s="2" t="s">
        <v>12</v>
      </c>
      <c r="K12070" s="2" t="s">
        <v>16116</v>
      </c>
      <c r="L12070" s="2">
        <f t="shared" si="188"/>
        <v>150</v>
      </c>
    </row>
    <row r="12071" spans="1:12" ht="25" customHeight="1">
      <c r="A12071" s="2" t="s">
        <v>12</v>
      </c>
      <c r="B12071" s="2" t="str">
        <f>HYPERLINK("http://www.12365auto.com/xcdg/20200205/417687.shtml","全面智能化 揭秘奔驰新款E级技术特点")</f>
        <v>全面智能化 揭秘奔驰新款E级技术特点</v>
      </c>
      <c r="C12071" s="2" t="s">
        <v>13</v>
      </c>
      <c r="D12071" s="2" t="s">
        <v>12</v>
      </c>
      <c r="E12071" s="2" t="s">
        <v>216</v>
      </c>
      <c r="F12071" s="2" t="str">
        <f>HYPERLINK("http://www.12365auto.com/xcdg/20200205/417687.shtml","http://www.12365auto.com/xcdg/20200205/417687.shtml")</f>
        <v>http://www.12365auto.com/xcdg/20200205/417687.shtml</v>
      </c>
      <c r="G12071" s="2"/>
      <c r="H12071" s="2" t="s">
        <v>16115</v>
      </c>
      <c r="I12071" s="2" t="s">
        <v>15</v>
      </c>
      <c r="J12071" s="2" t="s">
        <v>12</v>
      </c>
      <c r="K12071" s="2" t="s">
        <v>16116</v>
      </c>
      <c r="L12071" s="2">
        <f t="shared" si="188"/>
        <v>150</v>
      </c>
    </row>
    <row r="12072" spans="1:12" ht="25" customHeight="1">
      <c r="A12072" s="2" t="s">
        <v>12</v>
      </c>
      <c r="B12072" s="2" t="str">
        <f>HYPERLINK("http://m.12365auto.com/xcdg/20200205/417687.shtml","全面智能化 揭秘奔驰新款E级技术特点")</f>
        <v>全面智能化 揭秘奔驰新款E级技术特点</v>
      </c>
      <c r="C12072" s="2" t="s">
        <v>13</v>
      </c>
      <c r="D12072" s="2" t="s">
        <v>12</v>
      </c>
      <c r="E12072" s="2"/>
      <c r="F12072" s="2" t="str">
        <f>HYPERLINK("http://m.12365auto.com/xcdg/20200205/417687.shtml","http://m.12365auto.com/xcdg/20200205/417687.shtml")</f>
        <v>http://m.12365auto.com/xcdg/20200205/417687.shtml</v>
      </c>
      <c r="G12072" s="2"/>
      <c r="H12072" s="2" t="s">
        <v>16117</v>
      </c>
      <c r="I12072" s="2" t="s">
        <v>19</v>
      </c>
      <c r="J12072" s="2" t="s">
        <v>16118</v>
      </c>
      <c r="K12072" s="2" t="s">
        <v>16116</v>
      </c>
      <c r="L12072" s="2">
        <f t="shared" si="188"/>
        <v>150</v>
      </c>
    </row>
    <row r="12073" spans="1:12" ht="25" customHeight="1">
      <c r="A12073" s="2" t="s">
        <v>12</v>
      </c>
      <c r="B12073" s="2" t="str">
        <f>HYPERLINK("http://www.12365auto.com/xcdg/20200205/417686.shtml","解读低配车 沃尔沃XC40 T3智行时尚版")</f>
        <v>解读低配车 沃尔沃XC40 T3智行时尚版</v>
      </c>
      <c r="C12073" s="2" t="s">
        <v>13</v>
      </c>
      <c r="D12073" s="2" t="s">
        <v>12</v>
      </c>
      <c r="E12073" s="2" t="s">
        <v>245</v>
      </c>
      <c r="F12073" s="2" t="str">
        <f>HYPERLINK("http://www.12365auto.com/xcdg/20200205/417686.shtml","http://www.12365auto.com/xcdg/20200205/417686.shtml")</f>
        <v>http://www.12365auto.com/xcdg/20200205/417686.shtml</v>
      </c>
      <c r="G12073" s="2"/>
      <c r="H12073" s="2" t="s">
        <v>16119</v>
      </c>
      <c r="I12073" s="2" t="s">
        <v>19</v>
      </c>
      <c r="J12073" s="2" t="s">
        <v>12</v>
      </c>
      <c r="K12073" s="2" t="s">
        <v>16120</v>
      </c>
      <c r="L12073" s="2">
        <f t="shared" si="188"/>
        <v>150</v>
      </c>
    </row>
    <row r="12074" spans="1:12" ht="25" customHeight="1">
      <c r="A12074" s="2" t="s">
        <v>12</v>
      </c>
      <c r="B12074" s="2" t="str">
        <f>HYPERLINK("http://m.12365auto.com/xcdg/20200205/417686.shtml","解读低配车 沃尔沃XC40 T3智行时尚版")</f>
        <v>解读低配车 沃尔沃XC40 T3智行时尚版</v>
      </c>
      <c r="C12074" s="2" t="s">
        <v>13</v>
      </c>
      <c r="D12074" s="2" t="s">
        <v>12</v>
      </c>
      <c r="E12074" s="2"/>
      <c r="F12074" s="2" t="str">
        <f>HYPERLINK("http://m.12365auto.com/xcdg/20200205/417686.shtml","http://m.12365auto.com/xcdg/20200205/417686.shtml")</f>
        <v>http://m.12365auto.com/xcdg/20200205/417686.shtml</v>
      </c>
      <c r="G12074" s="2"/>
      <c r="H12074" s="2" t="s">
        <v>16121</v>
      </c>
      <c r="I12074" s="2" t="s">
        <v>19</v>
      </c>
      <c r="J12074" s="2" t="s">
        <v>16122</v>
      </c>
      <c r="K12074" s="2" t="s">
        <v>16120</v>
      </c>
      <c r="L12074" s="2">
        <f t="shared" si="188"/>
        <v>150</v>
      </c>
    </row>
    <row r="12075" spans="1:12" ht="25" customHeight="1">
      <c r="A12075" s="2" t="s">
        <v>12</v>
      </c>
      <c r="B12075" s="2" t="str">
        <f>HYPERLINK("http://m.12365auto.com/bbs/postcontent.aspx?tID=193311","广汽菲亚特菲翔蓝牙控制模块故障无法连接")</f>
        <v>广汽菲亚特菲翔蓝牙控制模块故障无法连接</v>
      </c>
      <c r="C12075" s="2" t="s">
        <v>13</v>
      </c>
      <c r="D12075" s="2" t="s">
        <v>23</v>
      </c>
      <c r="E12075" s="2"/>
      <c r="F12075" s="2" t="str">
        <f>HYPERLINK("http://m.12365auto.com/bbs/postcontent.aspx?tID=193311","http://m.12365auto.com/bbs/postcontent.aspx?tID=193311")</f>
        <v>http://m.12365auto.com/bbs/postcontent.aspx?tID=193311</v>
      </c>
      <c r="G12075" s="2"/>
      <c r="H12075" s="2" t="s">
        <v>16123</v>
      </c>
      <c r="I12075" s="2" t="s">
        <v>15</v>
      </c>
      <c r="J12075" s="2" t="s">
        <v>2412</v>
      </c>
      <c r="K12075" s="2" t="s">
        <v>16124</v>
      </c>
      <c r="L12075" s="2">
        <f t="shared" si="188"/>
        <v>40</v>
      </c>
    </row>
    <row r="12076" spans="1:12" ht="25" customHeight="1">
      <c r="A12076" s="2" t="s">
        <v>12</v>
      </c>
      <c r="B12076" s="2" t="str">
        <f>HYPERLINK("http://bbs.12365auto.com/postcontent.aspx?tID=193312","一汽大众探岳大灯雾化严重影响照明")</f>
        <v>一汽大众探岳大灯雾化严重影响照明</v>
      </c>
      <c r="C12076" s="2" t="s">
        <v>13</v>
      </c>
      <c r="D12076" s="2" t="s">
        <v>12</v>
      </c>
      <c r="E12076" s="2" t="s">
        <v>67</v>
      </c>
      <c r="F12076" s="2" t="str">
        <f>HYPERLINK("http://bbs.12365auto.com/postcontent.aspx?tID=193312","http://bbs.12365auto.com/postcontent.aspx?tID=193312")</f>
        <v>http://bbs.12365auto.com/postcontent.aspx?tID=193312</v>
      </c>
      <c r="G12076" s="2"/>
      <c r="H12076" s="2" t="s">
        <v>16125</v>
      </c>
      <c r="I12076" s="2" t="s">
        <v>15</v>
      </c>
      <c r="J12076" s="2" t="s">
        <v>2408</v>
      </c>
      <c r="K12076" s="2" t="s">
        <v>16124</v>
      </c>
      <c r="L12076" s="2">
        <f t="shared" si="188"/>
        <v>96</v>
      </c>
    </row>
    <row r="12077" spans="1:12" ht="25" customHeight="1">
      <c r="A12077" s="2" t="s">
        <v>12</v>
      </c>
      <c r="B12077" s="2" t="str">
        <f>HYPERLINK("http://bbs.12365auto.com/postcontent.aspx?tID=193311","广汽菲亚特菲翔蓝牙控制模块故障无法连接")</f>
        <v>广汽菲亚特菲翔蓝牙控制模块故障无法连接</v>
      </c>
      <c r="C12077" s="2" t="s">
        <v>13</v>
      </c>
      <c r="D12077" s="2" t="s">
        <v>12</v>
      </c>
      <c r="E12077" s="2" t="s">
        <v>67</v>
      </c>
      <c r="F12077" s="2" t="str">
        <f>HYPERLINK("http://bbs.12365auto.com/postcontent.aspx?tID=193311","http://bbs.12365auto.com/postcontent.aspx?tID=193311")</f>
        <v>http://bbs.12365auto.com/postcontent.aspx?tID=193311</v>
      </c>
      <c r="G12077" s="2"/>
      <c r="H12077" s="2" t="s">
        <v>16126</v>
      </c>
      <c r="I12077" s="2" t="s">
        <v>15</v>
      </c>
      <c r="J12077" s="2" t="s">
        <v>2412</v>
      </c>
      <c r="K12077" s="2" t="s">
        <v>16124</v>
      </c>
      <c r="L12077" s="2">
        <f t="shared" si="188"/>
        <v>59</v>
      </c>
    </row>
    <row r="12078" spans="1:12" ht="25" customHeight="1">
      <c r="A12078" s="2" t="s">
        <v>12</v>
      </c>
      <c r="B12078" s="2" t="str">
        <f>HYPERLINK("http://bbs.12365auto.com/postcontent.aspx?tId=193312","一汽大众探岳大灯雾化严重影响照明")</f>
        <v>一汽大众探岳大灯雾化严重影响照明</v>
      </c>
      <c r="C12078" s="2" t="s">
        <v>13</v>
      </c>
      <c r="D12078" s="2" t="s">
        <v>12</v>
      </c>
      <c r="E12078" s="2" t="s">
        <v>66</v>
      </c>
      <c r="F12078" s="2" t="str">
        <f>HYPERLINK("http://bbs.12365auto.com/postcontent.aspx?tId=193312","http://bbs.12365auto.com/postcontent.aspx?tId=193312")</f>
        <v>http://bbs.12365auto.com/postcontent.aspx?tId=193312</v>
      </c>
      <c r="G12078" s="2"/>
      <c r="H12078" s="2" t="s">
        <v>16127</v>
      </c>
      <c r="I12078" s="2" t="s">
        <v>15</v>
      </c>
      <c r="J12078" s="2" t="s">
        <v>2408</v>
      </c>
      <c r="K12078" s="2" t="s">
        <v>16124</v>
      </c>
      <c r="L12078" s="2">
        <f t="shared" si="188"/>
        <v>80</v>
      </c>
    </row>
    <row r="12079" spans="1:12" ht="25" customHeight="1">
      <c r="A12079" s="2" t="s">
        <v>12</v>
      </c>
      <c r="B12079" s="2" t="str">
        <f>HYPERLINK("http://bbs.12365auto.com/postcontent.aspx?tId=193311","广汽菲亚特菲翔蓝牙控制模块故障无法连接")</f>
        <v>广汽菲亚特菲翔蓝牙控制模块故障无法连接</v>
      </c>
      <c r="C12079" s="2" t="s">
        <v>13</v>
      </c>
      <c r="D12079" s="2" t="s">
        <v>12</v>
      </c>
      <c r="E12079" s="2" t="s">
        <v>66</v>
      </c>
      <c r="F12079" s="2" t="str">
        <f>HYPERLINK("http://bbs.12365auto.com/postcontent.aspx?tId=193311","http://bbs.12365auto.com/postcontent.aspx?tId=193311")</f>
        <v>http://bbs.12365auto.com/postcontent.aspx?tId=193311</v>
      </c>
      <c r="G12079" s="2"/>
      <c r="H12079" s="2" t="s">
        <v>16123</v>
      </c>
      <c r="I12079" s="2" t="s">
        <v>15</v>
      </c>
      <c r="J12079" s="2" t="s">
        <v>2412</v>
      </c>
      <c r="K12079" s="2" t="s">
        <v>16124</v>
      </c>
      <c r="L12079" s="2">
        <f t="shared" si="188"/>
        <v>40</v>
      </c>
    </row>
    <row r="12080" spans="1:12" ht="25" customHeight="1">
      <c r="A12080" s="2" t="s">
        <v>12</v>
      </c>
      <c r="B12080" s="2" t="str">
        <f>HYPERLINK("http://m.12365auto.com/bbs/postcontent.aspx?tID=193312","一汽大众探岳大灯雾化严重影响照明")</f>
        <v>一汽大众探岳大灯雾化严重影响照明</v>
      </c>
      <c r="C12080" s="2" t="s">
        <v>13</v>
      </c>
      <c r="D12080" s="2" t="s">
        <v>23</v>
      </c>
      <c r="E12080" s="2"/>
      <c r="F12080" s="2" t="str">
        <f>HYPERLINK("http://m.12365auto.com/bbs/postcontent.aspx?tID=193312","http://m.12365auto.com/bbs/postcontent.aspx?tID=193312")</f>
        <v>http://m.12365auto.com/bbs/postcontent.aspx?tID=193312</v>
      </c>
      <c r="G12080" s="2"/>
      <c r="H12080" s="2" t="s">
        <v>16127</v>
      </c>
      <c r="I12080" s="2" t="s">
        <v>15</v>
      </c>
      <c r="J12080" s="2" t="s">
        <v>2408</v>
      </c>
      <c r="K12080" s="2" t="s">
        <v>16124</v>
      </c>
      <c r="L12080" s="2">
        <f t="shared" si="188"/>
        <v>80</v>
      </c>
    </row>
    <row r="12081" spans="1:12" ht="25" customHeight="1">
      <c r="A12081" s="2" t="s">
        <v>12</v>
      </c>
      <c r="B12081" s="2" t="str">
        <f>HYPERLINK("http://m.12365auto.com/bbs/postcontent.aspx?tID=193309","奇瑞艾瑞泽7e显示屏出现动力系统故障")</f>
        <v>奇瑞艾瑞泽7e显示屏出现动力系统故障</v>
      </c>
      <c r="C12081" s="2" t="s">
        <v>13</v>
      </c>
      <c r="D12081" s="2" t="s">
        <v>23</v>
      </c>
      <c r="E12081" s="2"/>
      <c r="F12081" s="2" t="str">
        <f>HYPERLINK("http://m.12365auto.com/bbs/postcontent.aspx?tID=193309","http://m.12365auto.com/bbs/postcontent.aspx?tID=193309")</f>
        <v>http://m.12365auto.com/bbs/postcontent.aspx?tID=193309</v>
      </c>
      <c r="G12081" s="2"/>
      <c r="H12081" s="2" t="s">
        <v>16128</v>
      </c>
      <c r="I12081" s="2" t="s">
        <v>15</v>
      </c>
      <c r="J12081" s="2" t="s">
        <v>2415</v>
      </c>
      <c r="K12081" s="2" t="s">
        <v>16129</v>
      </c>
      <c r="L12081" s="2">
        <f t="shared" si="188"/>
        <v>150</v>
      </c>
    </row>
    <row r="12082" spans="1:12" ht="25" customHeight="1">
      <c r="A12082" s="2" t="s">
        <v>12</v>
      </c>
      <c r="B12082" s="2" t="str">
        <f>HYPERLINK("http://bbs.12365auto.com/postcontent.aspx?tID=193309","奇瑞艾瑞泽7e显示屏出现动力系统故障")</f>
        <v>奇瑞艾瑞泽7e显示屏出现动力系统故障</v>
      </c>
      <c r="C12082" s="2" t="s">
        <v>13</v>
      </c>
      <c r="D12082" s="2" t="s">
        <v>12</v>
      </c>
      <c r="E12082" s="2" t="s">
        <v>67</v>
      </c>
      <c r="F12082" s="2" t="str">
        <f>HYPERLINK("http://bbs.12365auto.com/postcontent.aspx?tID=193309","http://bbs.12365auto.com/postcontent.aspx?tID=193309")</f>
        <v>http://bbs.12365auto.com/postcontent.aspx?tID=193309</v>
      </c>
      <c r="G12082" s="2"/>
      <c r="H12082" s="2" t="s">
        <v>16130</v>
      </c>
      <c r="I12082" s="2" t="s">
        <v>15</v>
      </c>
      <c r="J12082" s="2" t="s">
        <v>2415</v>
      </c>
      <c r="K12082" s="2" t="s">
        <v>16129</v>
      </c>
      <c r="L12082" s="2">
        <f t="shared" si="188"/>
        <v>150</v>
      </c>
    </row>
    <row r="12083" spans="1:12" ht="25" customHeight="1">
      <c r="A12083" s="2" t="s">
        <v>12</v>
      </c>
      <c r="B12083" s="2" t="str">
        <f>HYPERLINK("http://bbs.12365auto.com/postcontent.aspx?tID=193310","猎豹CS10车门生锈影响使用但是不解决")</f>
        <v>猎豹CS10车门生锈影响使用但是不解决</v>
      </c>
      <c r="C12083" s="2" t="s">
        <v>13</v>
      </c>
      <c r="D12083" s="2" t="s">
        <v>12</v>
      </c>
      <c r="E12083" s="2" t="s">
        <v>67</v>
      </c>
      <c r="F12083" s="2" t="str">
        <f>HYPERLINK("http://bbs.12365auto.com/postcontent.aspx?tID=193310","http://bbs.12365auto.com/postcontent.aspx?tID=193310")</f>
        <v>http://bbs.12365auto.com/postcontent.aspx?tID=193310</v>
      </c>
      <c r="G12083" s="2"/>
      <c r="H12083" s="2" t="s">
        <v>16131</v>
      </c>
      <c r="I12083" s="2" t="s">
        <v>15</v>
      </c>
      <c r="J12083" s="2" t="s">
        <v>16132</v>
      </c>
      <c r="K12083" s="2" t="s">
        <v>16129</v>
      </c>
      <c r="L12083" s="2">
        <f t="shared" si="188"/>
        <v>55</v>
      </c>
    </row>
    <row r="12084" spans="1:12" ht="25" customHeight="1">
      <c r="A12084" s="2" t="s">
        <v>12</v>
      </c>
      <c r="B12084" s="2" t="str">
        <f>HYPERLINK("http://www.12365auto.com/xcdg/20200205/417685.shtml","外观再进化 FE Gen2 EVO赛车官图发布")</f>
        <v>外观再进化 FE Gen2 EVO赛车官图发布</v>
      </c>
      <c r="C12084" s="2" t="s">
        <v>13</v>
      </c>
      <c r="D12084" s="2" t="s">
        <v>12</v>
      </c>
      <c r="E12084" s="2" t="s">
        <v>216</v>
      </c>
      <c r="F12084" s="2" t="str">
        <f>HYPERLINK("http://www.12365auto.com/xcdg/20200205/417685.shtml","http://www.12365auto.com/xcdg/20200205/417685.shtml")</f>
        <v>http://www.12365auto.com/xcdg/20200205/417685.shtml</v>
      </c>
      <c r="G12084" s="2"/>
      <c r="H12084" s="2" t="s">
        <v>16133</v>
      </c>
      <c r="I12084" s="2" t="s">
        <v>15</v>
      </c>
      <c r="J12084" s="2" t="s">
        <v>12</v>
      </c>
      <c r="K12084" s="2" t="s">
        <v>16129</v>
      </c>
      <c r="L12084" s="2">
        <f t="shared" si="188"/>
        <v>150</v>
      </c>
    </row>
    <row r="12085" spans="1:12" ht="25" customHeight="1">
      <c r="A12085" s="2" t="s">
        <v>12</v>
      </c>
      <c r="B12085" s="2" t="str">
        <f>HYPERLINK("http://m.12365auto.com/xcdg/20200205/417685.shtml","外观再进化 FE Gen2 EVO赛车官图发布")</f>
        <v>外观再进化 FE Gen2 EVO赛车官图发布</v>
      </c>
      <c r="C12085" s="2" t="s">
        <v>13</v>
      </c>
      <c r="D12085" s="2" t="s">
        <v>12</v>
      </c>
      <c r="E12085" s="2"/>
      <c r="F12085" s="2" t="str">
        <f>HYPERLINK("http://m.12365auto.com/xcdg/20200205/417685.shtml","http://m.12365auto.com/xcdg/20200205/417685.shtml")</f>
        <v>http://m.12365auto.com/xcdg/20200205/417685.shtml</v>
      </c>
      <c r="G12085" s="2"/>
      <c r="H12085" s="2" t="s">
        <v>16134</v>
      </c>
      <c r="I12085" s="2" t="s">
        <v>19</v>
      </c>
      <c r="J12085" s="2" t="s">
        <v>16122</v>
      </c>
      <c r="K12085" s="2" t="s">
        <v>16129</v>
      </c>
      <c r="L12085" s="2">
        <f t="shared" si="188"/>
        <v>150</v>
      </c>
    </row>
    <row r="12086" spans="1:12" ht="25" customHeight="1">
      <c r="A12086" s="2" t="s">
        <v>12</v>
      </c>
      <c r="B12086" s="2" t="str">
        <f>HYPERLINK("http://bbs.12365auto.com/postcontent.aspx?tId=193309","奇瑞艾瑞泽7e显示屏出现动力系统故障")</f>
        <v>奇瑞艾瑞泽7e显示屏出现动力系统故障</v>
      </c>
      <c r="C12086" s="2" t="s">
        <v>13</v>
      </c>
      <c r="D12086" s="2" t="s">
        <v>12</v>
      </c>
      <c r="E12086" s="2" t="s">
        <v>66</v>
      </c>
      <c r="F12086" s="2" t="str">
        <f>HYPERLINK("http://bbs.12365auto.com/postcontent.aspx?tId=193309","http://bbs.12365auto.com/postcontent.aspx?tId=193309")</f>
        <v>http://bbs.12365auto.com/postcontent.aspx?tId=193309</v>
      </c>
      <c r="G12086" s="2"/>
      <c r="H12086" s="2" t="s">
        <v>16128</v>
      </c>
      <c r="I12086" s="2" t="s">
        <v>15</v>
      </c>
      <c r="J12086" s="2" t="s">
        <v>2415</v>
      </c>
      <c r="K12086" s="2" t="s">
        <v>16129</v>
      </c>
      <c r="L12086" s="2">
        <f t="shared" si="188"/>
        <v>150</v>
      </c>
    </row>
    <row r="12087" spans="1:12" ht="25" customHeight="1">
      <c r="A12087" s="2" t="s">
        <v>12</v>
      </c>
      <c r="B12087" s="2" t="str">
        <f>HYPERLINK("http://bbs.12365auto.com/postcontent.aspx?tId=193310","猎豹CS10车门生锈影响使用但是不解决")</f>
        <v>猎豹CS10车门生锈影响使用但是不解决</v>
      </c>
      <c r="C12087" s="2" t="s">
        <v>13</v>
      </c>
      <c r="D12087" s="2" t="s">
        <v>12</v>
      </c>
      <c r="E12087" s="2" t="s">
        <v>66</v>
      </c>
      <c r="F12087" s="2" t="str">
        <f>HYPERLINK("http://bbs.12365auto.com/postcontent.aspx?tId=193310","http://bbs.12365auto.com/postcontent.aspx?tId=193310")</f>
        <v>http://bbs.12365auto.com/postcontent.aspx?tId=193310</v>
      </c>
      <c r="G12087" s="2"/>
      <c r="H12087" s="2" t="s">
        <v>16135</v>
      </c>
      <c r="I12087" s="2" t="s">
        <v>15</v>
      </c>
      <c r="J12087" s="2" t="s">
        <v>16132</v>
      </c>
      <c r="K12087" s="2" t="s">
        <v>16129</v>
      </c>
      <c r="L12087" s="2">
        <f t="shared" si="188"/>
        <v>36</v>
      </c>
    </row>
    <row r="12088" spans="1:12" ht="25" customHeight="1">
      <c r="A12088" s="2" t="s">
        <v>12</v>
      </c>
      <c r="B12088" s="2" t="str">
        <f>HYPERLINK("http://m.12365auto.com/bbs/postcontent.aspx?tID=193310","猎豹CS10车门生锈影响使用但是不解决")</f>
        <v>猎豹CS10车门生锈影响使用但是不解决</v>
      </c>
      <c r="C12088" s="2" t="s">
        <v>13</v>
      </c>
      <c r="D12088" s="2" t="s">
        <v>23</v>
      </c>
      <c r="E12088" s="2"/>
      <c r="F12088" s="2" t="str">
        <f>HYPERLINK("http://m.12365auto.com/bbs/postcontent.aspx?tID=193310","http://m.12365auto.com/bbs/postcontent.aspx?tID=193310")</f>
        <v>http://m.12365auto.com/bbs/postcontent.aspx?tID=193310</v>
      </c>
      <c r="G12088" s="2"/>
      <c r="H12088" s="2" t="s">
        <v>16135</v>
      </c>
      <c r="I12088" s="2" t="s">
        <v>15</v>
      </c>
      <c r="J12088" s="2" t="s">
        <v>16132</v>
      </c>
      <c r="K12088" s="2" t="s">
        <v>16129</v>
      </c>
      <c r="L12088" s="2">
        <f t="shared" si="188"/>
        <v>36</v>
      </c>
    </row>
    <row r="12089" spans="1:12" ht="25" customHeight="1">
      <c r="A12089" s="2" t="s">
        <v>12</v>
      </c>
      <c r="B12089" s="2" t="str">
        <f>HYPERLINK("http://m.12365auto.com/bbs/postcontent.aspx?tID=193308","上汽名爵6离合器压盘异响太烦人了")</f>
        <v>上汽名爵6离合器压盘异响太烦人了</v>
      </c>
      <c r="C12089" s="2" t="s">
        <v>13</v>
      </c>
      <c r="D12089" s="2" t="s">
        <v>23</v>
      </c>
      <c r="E12089" s="2"/>
      <c r="F12089" s="2" t="str">
        <f>HYPERLINK("http://m.12365auto.com/bbs/postcontent.aspx?tID=193308","http://m.12365auto.com/bbs/postcontent.aspx?tID=193308")</f>
        <v>http://m.12365auto.com/bbs/postcontent.aspx?tID=193308</v>
      </c>
      <c r="G12089" s="2"/>
      <c r="H12089" s="2" t="s">
        <v>16136</v>
      </c>
      <c r="I12089" s="2" t="s">
        <v>15</v>
      </c>
      <c r="J12089" s="2" t="s">
        <v>2421</v>
      </c>
      <c r="K12089" s="2" t="s">
        <v>16137</v>
      </c>
      <c r="L12089" s="2">
        <f t="shared" si="188"/>
        <v>142</v>
      </c>
    </row>
    <row r="12090" spans="1:12" ht="25" customHeight="1">
      <c r="A12090" s="2" t="s">
        <v>12</v>
      </c>
      <c r="B12090" s="2" t="str">
        <f>HYPERLINK("http://m.12365auto.com/bbs/postcontent.aspx?tID=193307","广汽三菱奕歌电瓶亏电导致无法启动")</f>
        <v>广汽三菱奕歌电瓶亏电导致无法启动</v>
      </c>
      <c r="C12090" s="2" t="s">
        <v>13</v>
      </c>
      <c r="D12090" s="2" t="s">
        <v>23</v>
      </c>
      <c r="E12090" s="2"/>
      <c r="F12090" s="2" t="str">
        <f>HYPERLINK("http://m.12365auto.com/bbs/postcontent.aspx?tID=193307","http://m.12365auto.com/bbs/postcontent.aspx?tID=193307")</f>
        <v>http://m.12365auto.com/bbs/postcontent.aspx?tID=193307</v>
      </c>
      <c r="G12090" s="2"/>
      <c r="H12090" s="2" t="s">
        <v>16138</v>
      </c>
      <c r="I12090" s="2" t="s">
        <v>15</v>
      </c>
      <c r="J12090" s="2" t="s">
        <v>2424</v>
      </c>
      <c r="K12090" s="2" t="s">
        <v>16137</v>
      </c>
      <c r="L12090" s="2">
        <f t="shared" si="188"/>
        <v>26</v>
      </c>
    </row>
    <row r="12091" spans="1:12" ht="25" customHeight="1">
      <c r="A12091" s="2" t="s">
        <v>12</v>
      </c>
      <c r="B12091" s="2" t="str">
        <f>HYPERLINK("http://bbs.12365auto.com/postcontent.aspx?tID=193308","上汽名爵6离合器压盘异响太烦人了")</f>
        <v>上汽名爵6离合器压盘异响太烦人了</v>
      </c>
      <c r="C12091" s="2" t="s">
        <v>13</v>
      </c>
      <c r="D12091" s="2" t="s">
        <v>12</v>
      </c>
      <c r="E12091" s="2" t="s">
        <v>67</v>
      </c>
      <c r="F12091" s="2" t="str">
        <f>HYPERLINK("http://bbs.12365auto.com/postcontent.aspx?tID=193308","http://bbs.12365auto.com/postcontent.aspx?tID=193308")</f>
        <v>http://bbs.12365auto.com/postcontent.aspx?tID=193308</v>
      </c>
      <c r="G12091" s="2"/>
      <c r="H12091" s="2" t="s">
        <v>16139</v>
      </c>
      <c r="I12091" s="2" t="s">
        <v>15</v>
      </c>
      <c r="J12091" s="2" t="s">
        <v>2421</v>
      </c>
      <c r="K12091" s="2" t="s">
        <v>16137</v>
      </c>
      <c r="L12091" s="2">
        <f t="shared" si="188"/>
        <v>150</v>
      </c>
    </row>
    <row r="12092" spans="1:12" ht="25" customHeight="1">
      <c r="A12092" s="2" t="s">
        <v>12</v>
      </c>
      <c r="B12092" s="2" t="str">
        <f>HYPERLINK("http://bbs.12365auto.com/postcontent.aspx?tID=193307","广汽三菱奕歌电瓶亏电导致无法启动")</f>
        <v>广汽三菱奕歌电瓶亏电导致无法启动</v>
      </c>
      <c r="C12092" s="2" t="s">
        <v>13</v>
      </c>
      <c r="D12092" s="2" t="s">
        <v>12</v>
      </c>
      <c r="E12092" s="2" t="s">
        <v>67</v>
      </c>
      <c r="F12092" s="2" t="str">
        <f>HYPERLINK("http://bbs.12365auto.com/postcontent.aspx?tID=193307","http://bbs.12365auto.com/postcontent.aspx?tID=193307")</f>
        <v>http://bbs.12365auto.com/postcontent.aspx?tID=193307</v>
      </c>
      <c r="G12092" s="2"/>
      <c r="H12092" s="2" t="s">
        <v>16140</v>
      </c>
      <c r="I12092" s="2" t="s">
        <v>15</v>
      </c>
      <c r="J12092" s="2" t="s">
        <v>2424</v>
      </c>
      <c r="K12092" s="2" t="s">
        <v>16137</v>
      </c>
      <c r="L12092" s="2">
        <f t="shared" si="188"/>
        <v>48</v>
      </c>
    </row>
    <row r="12093" spans="1:12" ht="25" customHeight="1">
      <c r="A12093" s="2" t="s">
        <v>12</v>
      </c>
      <c r="B12093" s="2" t="str">
        <f>HYPERLINK("http://bbs.12365auto.com/postcontent.aspx?tId=193308","上汽名爵6离合器压盘异响太烦人了")</f>
        <v>上汽名爵6离合器压盘异响太烦人了</v>
      </c>
      <c r="C12093" s="2" t="s">
        <v>13</v>
      </c>
      <c r="D12093" s="2" t="s">
        <v>12</v>
      </c>
      <c r="E12093" s="2" t="s">
        <v>66</v>
      </c>
      <c r="F12093" s="2" t="str">
        <f>HYPERLINK("http://bbs.12365auto.com/postcontent.aspx?tId=193308","http://bbs.12365auto.com/postcontent.aspx?tId=193308")</f>
        <v>http://bbs.12365auto.com/postcontent.aspx?tId=193308</v>
      </c>
      <c r="G12093" s="2"/>
      <c r="H12093" s="2" t="s">
        <v>16136</v>
      </c>
      <c r="I12093" s="2" t="s">
        <v>15</v>
      </c>
      <c r="J12093" s="2" t="s">
        <v>2421</v>
      </c>
      <c r="K12093" s="2" t="s">
        <v>16137</v>
      </c>
      <c r="L12093" s="2">
        <f t="shared" si="188"/>
        <v>142</v>
      </c>
    </row>
    <row r="12094" spans="1:12" ht="25" customHeight="1">
      <c r="A12094" s="2" t="s">
        <v>12</v>
      </c>
      <c r="B12094" s="2" t="str">
        <f>HYPERLINK("http://bbs.12365auto.com/postcontent.aspx?tId=193307","广汽三菱奕歌电瓶亏电导致无法启动")</f>
        <v>广汽三菱奕歌电瓶亏电导致无法启动</v>
      </c>
      <c r="C12094" s="2" t="s">
        <v>13</v>
      </c>
      <c r="D12094" s="2" t="s">
        <v>12</v>
      </c>
      <c r="E12094" s="2" t="s">
        <v>66</v>
      </c>
      <c r="F12094" s="2" t="str">
        <f>HYPERLINK("http://bbs.12365auto.com/postcontent.aspx?tId=193307","http://bbs.12365auto.com/postcontent.aspx?tId=193307")</f>
        <v>http://bbs.12365auto.com/postcontent.aspx?tId=193307</v>
      </c>
      <c r="G12094" s="2"/>
      <c r="H12094" s="2" t="s">
        <v>16138</v>
      </c>
      <c r="I12094" s="2" t="s">
        <v>15</v>
      </c>
      <c r="J12094" s="2" t="s">
        <v>2424</v>
      </c>
      <c r="K12094" s="2" t="s">
        <v>16137</v>
      </c>
      <c r="L12094" s="2">
        <f t="shared" si="188"/>
        <v>26</v>
      </c>
    </row>
    <row r="12095" spans="1:12" ht="25" customHeight="1">
      <c r="A12095" s="2" t="s">
        <v>12</v>
      </c>
      <c r="B12095" s="2" t="str">
        <f>HYPERLINK("http://m.12365auto.com/bbs/postcontent.aspx?tID=193306","东风风神AX7转向系统与发动机故障灯报警")</f>
        <v>东风风神AX7转向系统与发动机故障灯报警</v>
      </c>
      <c r="C12095" s="2" t="s">
        <v>13</v>
      </c>
      <c r="D12095" s="2" t="s">
        <v>23</v>
      </c>
      <c r="E12095" s="2"/>
      <c r="F12095" s="2" t="str">
        <f>HYPERLINK("http://m.12365auto.com/bbs/postcontent.aspx?tID=193306","http://m.12365auto.com/bbs/postcontent.aspx?tID=193306")</f>
        <v>http://m.12365auto.com/bbs/postcontent.aspx?tID=193306</v>
      </c>
      <c r="G12095" s="2"/>
      <c r="H12095" s="2" t="s">
        <v>16141</v>
      </c>
      <c r="I12095" s="2" t="s">
        <v>15</v>
      </c>
      <c r="J12095" s="2" t="s">
        <v>16142</v>
      </c>
      <c r="K12095" s="2" t="s">
        <v>16143</v>
      </c>
      <c r="L12095" s="2">
        <f t="shared" si="188"/>
        <v>104</v>
      </c>
    </row>
    <row r="12096" spans="1:12" ht="25" customHeight="1">
      <c r="A12096" s="2" t="s">
        <v>12</v>
      </c>
      <c r="B12096" s="2" t="str">
        <f>HYPERLINK("http://m.12365auto.com/bbs/postcontent.aspx?tID=193305","斯巴鲁森林人保养的时候发现变速箱漏油了")</f>
        <v>斯巴鲁森林人保养的时候发现变速箱漏油了</v>
      </c>
      <c r="C12096" s="2" t="s">
        <v>13</v>
      </c>
      <c r="D12096" s="2" t="s">
        <v>23</v>
      </c>
      <c r="E12096" s="2"/>
      <c r="F12096" s="2" t="str">
        <f>HYPERLINK("http://m.12365auto.com/bbs/postcontent.aspx?tID=193305","http://m.12365auto.com/bbs/postcontent.aspx?tID=193305")</f>
        <v>http://m.12365auto.com/bbs/postcontent.aspx?tID=193305</v>
      </c>
      <c r="G12096" s="2"/>
      <c r="H12096" s="2" t="s">
        <v>16144</v>
      </c>
      <c r="I12096" s="2" t="s">
        <v>15</v>
      </c>
      <c r="J12096" s="2" t="s">
        <v>2428</v>
      </c>
      <c r="K12096" s="2" t="s">
        <v>16143</v>
      </c>
      <c r="L12096" s="2">
        <f t="shared" si="188"/>
        <v>100</v>
      </c>
    </row>
    <row r="12097" spans="1:12" ht="25" customHeight="1">
      <c r="A12097" s="2" t="s">
        <v>12</v>
      </c>
      <c r="B12097" s="2" t="str">
        <f>HYPERLINK("http://m.12365auto.com/bbs/postcontent.aspx?tID=193304","奇瑞艾瑞泽5变速箱油管破损怎么办")</f>
        <v>奇瑞艾瑞泽5变速箱油管破损怎么办</v>
      </c>
      <c r="C12097" s="2" t="s">
        <v>13</v>
      </c>
      <c r="D12097" s="2" t="s">
        <v>23</v>
      </c>
      <c r="E12097" s="2"/>
      <c r="F12097" s="2" t="str">
        <f>HYPERLINK("http://m.12365auto.com/bbs/postcontent.aspx?tID=193304","http://m.12365auto.com/bbs/postcontent.aspx?tID=193304")</f>
        <v>http://m.12365auto.com/bbs/postcontent.aspx?tID=193304</v>
      </c>
      <c r="G12097" s="2"/>
      <c r="H12097" s="2" t="s">
        <v>16145</v>
      </c>
      <c r="I12097" s="2" t="s">
        <v>15</v>
      </c>
      <c r="J12097" s="2" t="s">
        <v>16146</v>
      </c>
      <c r="K12097" s="2" t="s">
        <v>16143</v>
      </c>
      <c r="L12097" s="2">
        <f t="shared" si="188"/>
        <v>150</v>
      </c>
    </row>
    <row r="12098" spans="1:12" ht="25" customHeight="1">
      <c r="A12098" s="2" t="s">
        <v>12</v>
      </c>
      <c r="B12098" s="2" t="str">
        <f>HYPERLINK("http://bbs.12365auto.com/postcontent.aspx?tID=193306","东风风神AX7转向系统与发动机故障灯报警")</f>
        <v>东风风神AX7转向系统与发动机故障灯报警</v>
      </c>
      <c r="C12098" s="2" t="s">
        <v>13</v>
      </c>
      <c r="D12098" s="2" t="s">
        <v>12</v>
      </c>
      <c r="E12098" s="2" t="s">
        <v>67</v>
      </c>
      <c r="F12098" s="2" t="str">
        <f>HYPERLINK("http://bbs.12365auto.com/postcontent.aspx?tID=193306","http://bbs.12365auto.com/postcontent.aspx?tID=193306")</f>
        <v>http://bbs.12365auto.com/postcontent.aspx?tID=193306</v>
      </c>
      <c r="G12098" s="2"/>
      <c r="H12098" s="2" t="s">
        <v>16147</v>
      </c>
      <c r="I12098" s="2" t="s">
        <v>15</v>
      </c>
      <c r="J12098" s="2" t="s">
        <v>16142</v>
      </c>
      <c r="K12098" s="2" t="s">
        <v>16143</v>
      </c>
      <c r="L12098" s="2">
        <f t="shared" si="188"/>
        <v>124</v>
      </c>
    </row>
    <row r="12099" spans="1:12" ht="25" customHeight="1">
      <c r="A12099" s="2" t="s">
        <v>12</v>
      </c>
      <c r="B12099" s="2" t="str">
        <f>HYPERLINK("http://bbs.12365auto.com/postcontent.aspx?tID=193304","奇瑞艾瑞泽5变速箱油管破损怎么办")</f>
        <v>奇瑞艾瑞泽5变速箱油管破损怎么办</v>
      </c>
      <c r="C12099" s="2" t="s">
        <v>13</v>
      </c>
      <c r="D12099" s="2" t="s">
        <v>12</v>
      </c>
      <c r="E12099" s="2" t="s">
        <v>67</v>
      </c>
      <c r="F12099" s="2" t="str">
        <f>HYPERLINK("http://bbs.12365auto.com/postcontent.aspx?tID=193304","http://bbs.12365auto.com/postcontent.aspx?tID=193304")</f>
        <v>http://bbs.12365auto.com/postcontent.aspx?tID=193304</v>
      </c>
      <c r="G12099" s="2"/>
      <c r="H12099" s="2" t="s">
        <v>16148</v>
      </c>
      <c r="I12099" s="2" t="s">
        <v>15</v>
      </c>
      <c r="J12099" s="2" t="s">
        <v>16146</v>
      </c>
      <c r="K12099" s="2" t="s">
        <v>16143</v>
      </c>
      <c r="L12099" s="2">
        <f t="shared" ref="L12099:L12162" si="189">LEN(H12099)</f>
        <v>150</v>
      </c>
    </row>
    <row r="12100" spans="1:12" ht="25" customHeight="1">
      <c r="A12100" s="2" t="s">
        <v>12</v>
      </c>
      <c r="B12100" s="2" t="str">
        <f>HYPERLINK("http://bbs.12365auto.com/postcontent.aspx?tID=193305","斯巴鲁森林人保养的时候发现变速箱漏油了")</f>
        <v>斯巴鲁森林人保养的时候发现变速箱漏油了</v>
      </c>
      <c r="C12100" s="2" t="s">
        <v>13</v>
      </c>
      <c r="D12100" s="2" t="s">
        <v>12</v>
      </c>
      <c r="E12100" s="2" t="s">
        <v>67</v>
      </c>
      <c r="F12100" s="2" t="str">
        <f>HYPERLINK("http://bbs.12365auto.com/postcontent.aspx?tID=193305","http://bbs.12365auto.com/postcontent.aspx?tID=193305")</f>
        <v>http://bbs.12365auto.com/postcontent.aspx?tID=193305</v>
      </c>
      <c r="G12100" s="2"/>
      <c r="H12100" s="2" t="s">
        <v>16149</v>
      </c>
      <c r="I12100" s="2" t="s">
        <v>15</v>
      </c>
      <c r="J12100" s="2" t="s">
        <v>2428</v>
      </c>
      <c r="K12100" s="2" t="s">
        <v>16143</v>
      </c>
      <c r="L12100" s="2">
        <f t="shared" si="189"/>
        <v>119</v>
      </c>
    </row>
    <row r="12101" spans="1:12" ht="25" customHeight="1">
      <c r="A12101" s="2" t="s">
        <v>12</v>
      </c>
      <c r="B12101" s="2" t="str">
        <f>HYPERLINK("http://bbs.12365auto.com/postcontent.aspx?tId=193306","东风风神AX7转向系统与发动机故障灯报警")</f>
        <v>东风风神AX7转向系统与发动机故障灯报警</v>
      </c>
      <c r="C12101" s="2" t="s">
        <v>13</v>
      </c>
      <c r="D12101" s="2" t="s">
        <v>12</v>
      </c>
      <c r="E12101" s="2" t="s">
        <v>66</v>
      </c>
      <c r="F12101" s="2" t="str">
        <f>HYPERLINK("http://bbs.12365auto.com/postcontent.aspx?tId=193306","http://bbs.12365auto.com/postcontent.aspx?tId=193306")</f>
        <v>http://bbs.12365auto.com/postcontent.aspx?tId=193306</v>
      </c>
      <c r="G12101" s="2"/>
      <c r="H12101" s="2" t="s">
        <v>16141</v>
      </c>
      <c r="I12101" s="2" t="s">
        <v>15</v>
      </c>
      <c r="J12101" s="2" t="s">
        <v>16142</v>
      </c>
      <c r="K12101" s="2" t="s">
        <v>16143</v>
      </c>
      <c r="L12101" s="2">
        <f t="shared" si="189"/>
        <v>104</v>
      </c>
    </row>
    <row r="12102" spans="1:12" ht="25" customHeight="1">
      <c r="A12102" s="2" t="s">
        <v>12</v>
      </c>
      <c r="B12102" s="2" t="str">
        <f>HYPERLINK("http://bbs.12365auto.com/postcontent.aspx?tId=193305","斯巴鲁森林人保养的时候发现变速箱漏油了")</f>
        <v>斯巴鲁森林人保养的时候发现变速箱漏油了</v>
      </c>
      <c r="C12102" s="2" t="s">
        <v>13</v>
      </c>
      <c r="D12102" s="2" t="s">
        <v>12</v>
      </c>
      <c r="E12102" s="2" t="s">
        <v>66</v>
      </c>
      <c r="F12102" s="2" t="str">
        <f>HYPERLINK("http://bbs.12365auto.com/postcontent.aspx?tId=193305","http://bbs.12365auto.com/postcontent.aspx?tId=193305")</f>
        <v>http://bbs.12365auto.com/postcontent.aspx?tId=193305</v>
      </c>
      <c r="G12102" s="2"/>
      <c r="H12102" s="2" t="s">
        <v>16144</v>
      </c>
      <c r="I12102" s="2" t="s">
        <v>15</v>
      </c>
      <c r="J12102" s="2" t="s">
        <v>2428</v>
      </c>
      <c r="K12102" s="2" t="s">
        <v>16143</v>
      </c>
      <c r="L12102" s="2">
        <f t="shared" si="189"/>
        <v>100</v>
      </c>
    </row>
    <row r="12103" spans="1:12" ht="25" customHeight="1">
      <c r="A12103" s="2" t="s">
        <v>12</v>
      </c>
      <c r="B12103" s="2" t="str">
        <f>HYPERLINK("http://bbs.12365auto.com/postcontent.aspx?tId=193304","奇瑞艾瑞泽5变速箱油管破损怎么办")</f>
        <v>奇瑞艾瑞泽5变速箱油管破损怎么办</v>
      </c>
      <c r="C12103" s="2" t="s">
        <v>13</v>
      </c>
      <c r="D12103" s="2" t="s">
        <v>12</v>
      </c>
      <c r="E12103" s="2" t="s">
        <v>66</v>
      </c>
      <c r="F12103" s="2" t="str">
        <f>HYPERLINK("http://bbs.12365auto.com/postcontent.aspx?tId=193304","http://bbs.12365auto.com/postcontent.aspx?tId=193304")</f>
        <v>http://bbs.12365auto.com/postcontent.aspx?tId=193304</v>
      </c>
      <c r="G12103" s="2"/>
      <c r="H12103" s="2" t="s">
        <v>16145</v>
      </c>
      <c r="I12103" s="2" t="s">
        <v>15</v>
      </c>
      <c r="J12103" s="2" t="s">
        <v>16146</v>
      </c>
      <c r="K12103" s="2" t="s">
        <v>16143</v>
      </c>
      <c r="L12103" s="2">
        <f t="shared" si="189"/>
        <v>150</v>
      </c>
    </row>
    <row r="12104" spans="1:12" ht="25" customHeight="1">
      <c r="A12104" s="2" t="s">
        <v>12</v>
      </c>
      <c r="B12104" s="2" t="str">
        <f>HYPERLINK("http://www.12365auto.com/news/20200205/417684.shtml","超过7GWh 蜂巢能源获欧洲车企采购定点")</f>
        <v>超过7GWh 蜂巢能源获欧洲车企采购定点</v>
      </c>
      <c r="C12104" s="2" t="s">
        <v>13</v>
      </c>
      <c r="D12104" s="2" t="s">
        <v>12</v>
      </c>
      <c r="E12104" s="2" t="s">
        <v>276</v>
      </c>
      <c r="F12104" s="2" t="str">
        <f>HYPERLINK("http://www.12365auto.com/news/20200205/417684.shtml","http://www.12365auto.com/news/20200205/417684.shtml")</f>
        <v>http://www.12365auto.com/news/20200205/417684.shtml</v>
      </c>
      <c r="G12104" s="2"/>
      <c r="H12104" s="2" t="s">
        <v>16150</v>
      </c>
      <c r="I12104" s="2" t="s">
        <v>15</v>
      </c>
      <c r="J12104" s="2" t="s">
        <v>12</v>
      </c>
      <c r="K12104" s="2" t="s">
        <v>16151</v>
      </c>
      <c r="L12104" s="2">
        <f t="shared" si="189"/>
        <v>150</v>
      </c>
    </row>
    <row r="12105" spans="1:12" ht="25" customHeight="1">
      <c r="A12105" s="2" t="s">
        <v>12</v>
      </c>
      <c r="B12105" s="2" t="str">
        <f>HYPERLINK("http://m.12365auto.com/news/20200205/417684.shtml","超过7GWh 蜂巢能源获欧洲车企采购定点")</f>
        <v>超过7GWh 蜂巢能源获欧洲车企采购定点</v>
      </c>
      <c r="C12105" s="2" t="s">
        <v>13</v>
      </c>
      <c r="D12105" s="2" t="s">
        <v>12</v>
      </c>
      <c r="E12105" s="2"/>
      <c r="F12105" s="2" t="str">
        <f>HYPERLINK("http://m.12365auto.com/news/20200205/417684.shtml","http://m.12365auto.com/news/20200205/417684.shtml")</f>
        <v>http://m.12365auto.com/news/20200205/417684.shtml</v>
      </c>
      <c r="G12105" s="2"/>
      <c r="H12105" s="2" t="s">
        <v>16152</v>
      </c>
      <c r="I12105" s="2" t="s">
        <v>19</v>
      </c>
      <c r="J12105" s="2" t="s">
        <v>1643</v>
      </c>
      <c r="K12105" s="2" t="s">
        <v>16151</v>
      </c>
      <c r="L12105" s="2">
        <f t="shared" si="189"/>
        <v>150</v>
      </c>
    </row>
    <row r="12106" spans="1:12" ht="25" customHeight="1">
      <c r="A12106" s="2" t="s">
        <v>12</v>
      </c>
      <c r="B12106" s="2" t="str">
        <f>HYPERLINK("http://m.12365auto.com/bbs/postcontent.aspx?tID=193303","一汽大众宝来将短发动机代替发动机总成")</f>
        <v>一汽大众宝来将短发动机代替发动机总成</v>
      </c>
      <c r="C12106" s="2" t="s">
        <v>13</v>
      </c>
      <c r="D12106" s="2" t="s">
        <v>23</v>
      </c>
      <c r="E12106" s="2"/>
      <c r="F12106" s="2" t="str">
        <f>HYPERLINK("http://m.12365auto.com/bbs/postcontent.aspx?tID=193303","http://m.12365auto.com/bbs/postcontent.aspx?tID=193303")</f>
        <v>http://m.12365auto.com/bbs/postcontent.aspx?tID=193303</v>
      </c>
      <c r="G12106" s="2"/>
      <c r="H12106" s="2" t="s">
        <v>16153</v>
      </c>
      <c r="I12106" s="2" t="s">
        <v>15</v>
      </c>
      <c r="J12106" s="2" t="s">
        <v>574</v>
      </c>
      <c r="K12106" s="2" t="s">
        <v>16154</v>
      </c>
      <c r="L12106" s="2">
        <f t="shared" si="189"/>
        <v>150</v>
      </c>
    </row>
    <row r="12107" spans="1:12" ht="25" customHeight="1">
      <c r="A12107" s="2" t="s">
        <v>12</v>
      </c>
      <c r="B12107" s="2" t="str">
        <f>HYPERLINK("http://bbs.12365auto.com/postcontent.aspx?tID=193303","一汽大众宝来将短发动机代替发动机总成")</f>
        <v>一汽大众宝来将短发动机代替发动机总成</v>
      </c>
      <c r="C12107" s="2" t="s">
        <v>13</v>
      </c>
      <c r="D12107" s="2" t="s">
        <v>12</v>
      </c>
      <c r="E12107" s="2" t="s">
        <v>67</v>
      </c>
      <c r="F12107" s="2" t="str">
        <f>HYPERLINK("http://bbs.12365auto.com/postcontent.aspx?tID=193303","http://bbs.12365auto.com/postcontent.aspx?tID=193303")</f>
        <v>http://bbs.12365auto.com/postcontent.aspx?tID=193303</v>
      </c>
      <c r="G12107" s="2"/>
      <c r="H12107" s="2" t="s">
        <v>16155</v>
      </c>
      <c r="I12107" s="2" t="s">
        <v>15</v>
      </c>
      <c r="J12107" s="2" t="s">
        <v>574</v>
      </c>
      <c r="K12107" s="2" t="s">
        <v>16154</v>
      </c>
      <c r="L12107" s="2">
        <f t="shared" si="189"/>
        <v>150</v>
      </c>
    </row>
    <row r="12108" spans="1:12" ht="25" customHeight="1">
      <c r="A12108" s="2" t="s">
        <v>12</v>
      </c>
      <c r="B12108" s="2" t="str">
        <f>HYPERLINK("http://bbs.12365auto.com/postcontent.aspx?tId=193303","一汽大众宝来将短发动机代替发动机总成")</f>
        <v>一汽大众宝来将短发动机代替发动机总成</v>
      </c>
      <c r="C12108" s="2" t="s">
        <v>13</v>
      </c>
      <c r="D12108" s="2" t="s">
        <v>12</v>
      </c>
      <c r="E12108" s="2" t="s">
        <v>66</v>
      </c>
      <c r="F12108" s="2" t="str">
        <f>HYPERLINK("http://bbs.12365auto.com/postcontent.aspx?tId=193303","http://bbs.12365auto.com/postcontent.aspx?tId=193303")</f>
        <v>http://bbs.12365auto.com/postcontent.aspx?tId=193303</v>
      </c>
      <c r="G12108" s="2"/>
      <c r="H12108" s="2" t="s">
        <v>16153</v>
      </c>
      <c r="I12108" s="2" t="s">
        <v>15</v>
      </c>
      <c r="J12108" s="2" t="s">
        <v>574</v>
      </c>
      <c r="K12108" s="2" t="s">
        <v>16154</v>
      </c>
      <c r="L12108" s="2">
        <f t="shared" si="189"/>
        <v>150</v>
      </c>
    </row>
    <row r="12109" spans="1:12" ht="25" customHeight="1">
      <c r="A12109" s="2" t="s">
        <v>12</v>
      </c>
      <c r="B12109" s="2" t="str">
        <f>HYPERLINK("http://m.12365auto.com/news/20200205/417683.shtml","避免分神 捷尼赛思GV80推主动降噪技术")</f>
        <v>避免分神 捷尼赛思GV80推主动降噪技术</v>
      </c>
      <c r="C12109" s="2" t="s">
        <v>13</v>
      </c>
      <c r="D12109" s="2" t="s">
        <v>12</v>
      </c>
      <c r="E12109" s="2"/>
      <c r="F12109" s="2" t="str">
        <f>HYPERLINK("http://m.12365auto.com/news/20200205/417683.shtml","http://m.12365auto.com/news/20200205/417683.shtml")</f>
        <v>http://m.12365auto.com/news/20200205/417683.shtml</v>
      </c>
      <c r="G12109" s="2"/>
      <c r="H12109" s="2" t="s">
        <v>16156</v>
      </c>
      <c r="I12109" s="2" t="s">
        <v>19</v>
      </c>
      <c r="J12109" s="2" t="s">
        <v>1543</v>
      </c>
      <c r="K12109" s="2" t="s">
        <v>16157</v>
      </c>
      <c r="L12109" s="2">
        <f t="shared" si="189"/>
        <v>150</v>
      </c>
    </row>
    <row r="12110" spans="1:12" ht="25" customHeight="1">
      <c r="A12110" s="2" t="s">
        <v>12</v>
      </c>
      <c r="B12110" s="2" t="str">
        <f>HYPERLINK("http://www.12365auto.com/news/20200205/417683.shtml","避免分神 捷尼赛思GV80推主动降噪技术")</f>
        <v>避免分神 捷尼赛思GV80推主动降噪技术</v>
      </c>
      <c r="C12110" s="2" t="s">
        <v>13</v>
      </c>
      <c r="D12110" s="2" t="s">
        <v>12</v>
      </c>
      <c r="E12110" s="2" t="s">
        <v>276</v>
      </c>
      <c r="F12110" s="2" t="str">
        <f>HYPERLINK("http://www.12365auto.com/news/20200205/417683.shtml","http://www.12365auto.com/news/20200205/417683.shtml")</f>
        <v>http://www.12365auto.com/news/20200205/417683.shtml</v>
      </c>
      <c r="G12110" s="2"/>
      <c r="H12110" s="2" t="s">
        <v>16158</v>
      </c>
      <c r="I12110" s="2" t="s">
        <v>15</v>
      </c>
      <c r="J12110" s="2" t="s">
        <v>12</v>
      </c>
      <c r="K12110" s="2" t="s">
        <v>16157</v>
      </c>
      <c r="L12110" s="2">
        <f t="shared" si="189"/>
        <v>150</v>
      </c>
    </row>
    <row r="12111" spans="1:12" ht="25" customHeight="1">
      <c r="A12111" s="2" t="s">
        <v>12</v>
      </c>
      <c r="B12111" s="2" t="str">
        <f>HYPERLINK("http://m.12365auto.com/xcdg/20200205/417682.shtml","道奇Durango SRT Hellcat 4月8日将发布")</f>
        <v>道奇Durango SRT Hellcat 4月8日将发布</v>
      </c>
      <c r="C12111" s="2" t="s">
        <v>13</v>
      </c>
      <c r="D12111" s="2" t="s">
        <v>12</v>
      </c>
      <c r="E12111" s="2"/>
      <c r="F12111" s="2" t="str">
        <f>HYPERLINK("http://m.12365auto.com/xcdg/20200205/417682.shtml","http://m.12365auto.com/xcdg/20200205/417682.shtml")</f>
        <v>http://m.12365auto.com/xcdg/20200205/417682.shtml</v>
      </c>
      <c r="G12111" s="2"/>
      <c r="H12111" s="2" t="s">
        <v>16159</v>
      </c>
      <c r="I12111" s="2" t="s">
        <v>19</v>
      </c>
      <c r="J12111" s="2" t="s">
        <v>1197</v>
      </c>
      <c r="K12111" s="2" t="s">
        <v>16160</v>
      </c>
      <c r="L12111" s="2">
        <f t="shared" si="189"/>
        <v>150</v>
      </c>
    </row>
    <row r="12112" spans="1:12" ht="25" customHeight="1">
      <c r="A12112" s="2" t="s">
        <v>12</v>
      </c>
      <c r="B12112" s="2" t="str">
        <f>HYPERLINK("http://www.12365auto.com/xcdg/20200205/417682.shtml","道奇Durango SRT Hellcat 4月8日将发布")</f>
        <v>道奇Durango SRT Hellcat 4月8日将发布</v>
      </c>
      <c r="C12112" s="2" t="s">
        <v>13</v>
      </c>
      <c r="D12112" s="2" t="s">
        <v>12</v>
      </c>
      <c r="E12112" s="2" t="s">
        <v>216</v>
      </c>
      <c r="F12112" s="2" t="str">
        <f>HYPERLINK("http://www.12365auto.com/xcdg/20200205/417682.shtml","http://www.12365auto.com/xcdg/20200205/417682.shtml")</f>
        <v>http://www.12365auto.com/xcdg/20200205/417682.shtml</v>
      </c>
      <c r="G12112" s="2"/>
      <c r="H12112" s="2" t="s">
        <v>16161</v>
      </c>
      <c r="I12112" s="2" t="s">
        <v>15</v>
      </c>
      <c r="J12112" s="2" t="s">
        <v>12</v>
      </c>
      <c r="K12112" s="2" t="s">
        <v>16160</v>
      </c>
      <c r="L12112" s="2">
        <f t="shared" si="189"/>
        <v>150</v>
      </c>
    </row>
    <row r="12113" spans="1:12" ht="25" customHeight="1">
      <c r="A12113" s="2" t="s">
        <v>12</v>
      </c>
      <c r="B12113" s="2" t="str">
        <f>HYPERLINK("http://m.12365auto.com/news/20200205/417681.shtml","为经销商减压 捷豹路虎提出应急政策")</f>
        <v>为经销商减压 捷豹路虎提出应急政策</v>
      </c>
      <c r="C12113" s="2" t="s">
        <v>13</v>
      </c>
      <c r="D12113" s="2" t="s">
        <v>12</v>
      </c>
      <c r="E12113" s="2"/>
      <c r="F12113" s="2" t="str">
        <f>HYPERLINK("http://m.12365auto.com/news/20200205/417681.shtml","http://m.12365auto.com/news/20200205/417681.shtml")</f>
        <v>http://m.12365auto.com/news/20200205/417681.shtml</v>
      </c>
      <c r="G12113" s="2"/>
      <c r="H12113" s="2" t="s">
        <v>16162</v>
      </c>
      <c r="I12113" s="2" t="s">
        <v>19</v>
      </c>
      <c r="J12113" s="2" t="s">
        <v>1170</v>
      </c>
      <c r="K12113" s="2" t="s">
        <v>16163</v>
      </c>
      <c r="L12113" s="2">
        <f t="shared" si="189"/>
        <v>150</v>
      </c>
    </row>
    <row r="12114" spans="1:12" ht="25" customHeight="1">
      <c r="A12114" s="2" t="s">
        <v>12</v>
      </c>
      <c r="B12114" s="2" t="str">
        <f>HYPERLINK("http://www.12365auto.com/news/20200205/417681.shtml","为经销商减压 捷豹路虎提出应急政策")</f>
        <v>为经销商减压 捷豹路虎提出应急政策</v>
      </c>
      <c r="C12114" s="2" t="s">
        <v>13</v>
      </c>
      <c r="D12114" s="2" t="s">
        <v>12</v>
      </c>
      <c r="E12114" s="2" t="s">
        <v>276</v>
      </c>
      <c r="F12114" s="2" t="str">
        <f>HYPERLINK("http://www.12365auto.com/news/20200205/417681.shtml","http://www.12365auto.com/news/20200205/417681.shtml")</f>
        <v>http://www.12365auto.com/news/20200205/417681.shtml</v>
      </c>
      <c r="G12114" s="2"/>
      <c r="H12114" s="2" t="s">
        <v>16164</v>
      </c>
      <c r="I12114" s="2" t="s">
        <v>15</v>
      </c>
      <c r="J12114" s="2" t="s">
        <v>12</v>
      </c>
      <c r="K12114" s="2" t="s">
        <v>16163</v>
      </c>
      <c r="L12114" s="2">
        <f t="shared" si="189"/>
        <v>150</v>
      </c>
    </row>
    <row r="12115" spans="1:12" ht="25" customHeight="1">
      <c r="A12115" s="2" t="s">
        <v>12</v>
      </c>
      <c r="B12115" s="2" t="str">
        <f>HYPERLINK("http://m.12365auto.com/xcdg/20200205/417680.shtml","只推出轿车版本 曝全新奔驰S级最新消息")</f>
        <v>只推出轿车版本 曝全新奔驰S级最新消息</v>
      </c>
      <c r="C12115" s="2" t="s">
        <v>13</v>
      </c>
      <c r="D12115" s="2" t="s">
        <v>12</v>
      </c>
      <c r="E12115" s="2"/>
      <c r="F12115" s="2" t="str">
        <f>HYPERLINK("http://m.12365auto.com/xcdg/20200205/417680.shtml","http://m.12365auto.com/xcdg/20200205/417680.shtml")</f>
        <v>http://m.12365auto.com/xcdg/20200205/417680.shtml</v>
      </c>
      <c r="G12115" s="2"/>
      <c r="H12115" s="2" t="s">
        <v>16165</v>
      </c>
      <c r="I12115" s="2" t="s">
        <v>19</v>
      </c>
      <c r="J12115" s="2" t="s">
        <v>1637</v>
      </c>
      <c r="K12115" s="2" t="s">
        <v>16166</v>
      </c>
      <c r="L12115" s="2">
        <f t="shared" si="189"/>
        <v>150</v>
      </c>
    </row>
    <row r="12116" spans="1:12" ht="25" customHeight="1">
      <c r="A12116" s="2" t="s">
        <v>12</v>
      </c>
      <c r="B12116" s="2" t="str">
        <f>HYPERLINK("http://www.12365auto.com/xcdg/20200205/417680.shtml","只推出轿车版本 曝全新奔驰S级最新消息")</f>
        <v>只推出轿车版本 曝全新奔驰S级最新消息</v>
      </c>
      <c r="C12116" s="2" t="s">
        <v>13</v>
      </c>
      <c r="D12116" s="2" t="s">
        <v>12</v>
      </c>
      <c r="E12116" s="2" t="s">
        <v>216</v>
      </c>
      <c r="F12116" s="2" t="str">
        <f>HYPERLINK("http://www.12365auto.com/xcdg/20200205/417680.shtml","http://www.12365auto.com/xcdg/20200205/417680.shtml")</f>
        <v>http://www.12365auto.com/xcdg/20200205/417680.shtml</v>
      </c>
      <c r="G12116" s="2"/>
      <c r="H12116" s="2" t="s">
        <v>16167</v>
      </c>
      <c r="I12116" s="2" t="s">
        <v>15</v>
      </c>
      <c r="J12116" s="2" t="s">
        <v>12</v>
      </c>
      <c r="K12116" s="2" t="s">
        <v>16166</v>
      </c>
      <c r="L12116" s="2">
        <f t="shared" si="189"/>
        <v>150</v>
      </c>
    </row>
    <row r="12117" spans="1:12" ht="25" customHeight="1">
      <c r="A12117" s="2" t="s">
        <v>12</v>
      </c>
      <c r="B12117" s="2" t="str">
        <f>HYPERLINK("http://m.12365auto.com/bbs/postcontent.aspx?tID=193302","雪铁龙C4L三元催化器老化 发动机烧机油")</f>
        <v>雪铁龙C4L三元催化器老化 发动机烧机油</v>
      </c>
      <c r="C12117" s="2" t="s">
        <v>13</v>
      </c>
      <c r="D12117" s="2" t="s">
        <v>23</v>
      </c>
      <c r="E12117" s="2"/>
      <c r="F12117" s="2" t="str">
        <f>HYPERLINK("http://m.12365auto.com/bbs/postcontent.aspx?tID=193302","http://m.12365auto.com/bbs/postcontent.aspx?tID=193302")</f>
        <v>http://m.12365auto.com/bbs/postcontent.aspx?tID=193302</v>
      </c>
      <c r="G12117" s="2"/>
      <c r="H12117" s="2" t="s">
        <v>16168</v>
      </c>
      <c r="I12117" s="2" t="s">
        <v>15</v>
      </c>
      <c r="J12117" s="2" t="s">
        <v>6153</v>
      </c>
      <c r="K12117" s="2" t="s">
        <v>16169</v>
      </c>
      <c r="L12117" s="2">
        <f t="shared" si="189"/>
        <v>150</v>
      </c>
    </row>
    <row r="12118" spans="1:12" ht="25" customHeight="1">
      <c r="A12118" s="2" t="s">
        <v>12</v>
      </c>
      <c r="B12118" s="2" t="str">
        <f>HYPERLINK("http://bbs.12365auto.com/postcontent.aspx?tId=193302","雪铁龙C4L三元催化器老化 发动机烧机油")</f>
        <v>雪铁龙C4L三元催化器老化 发动机烧机油</v>
      </c>
      <c r="C12118" s="2" t="s">
        <v>13</v>
      </c>
      <c r="D12118" s="2" t="s">
        <v>12</v>
      </c>
      <c r="E12118" s="2" t="s">
        <v>66</v>
      </c>
      <c r="F12118" s="2" t="str">
        <f>HYPERLINK("http://bbs.12365auto.com/postcontent.aspx?tId=193302","http://bbs.12365auto.com/postcontent.aspx?tId=193302")</f>
        <v>http://bbs.12365auto.com/postcontent.aspx?tId=193302</v>
      </c>
      <c r="G12118" s="2"/>
      <c r="H12118" s="2" t="s">
        <v>16168</v>
      </c>
      <c r="I12118" s="2" t="s">
        <v>15</v>
      </c>
      <c r="J12118" s="2" t="s">
        <v>6153</v>
      </c>
      <c r="K12118" s="2" t="s">
        <v>16169</v>
      </c>
      <c r="L12118" s="2">
        <f t="shared" si="189"/>
        <v>150</v>
      </c>
    </row>
    <row r="12119" spans="1:12" ht="25" customHeight="1">
      <c r="A12119" s="2" t="s">
        <v>12</v>
      </c>
      <c r="B12119" s="2" t="str">
        <f>HYPERLINK("http://bbs.12365auto.com/postcontent.aspx?tID=193302","雪铁龙C4L三元催化器老化 发动机烧机油")</f>
        <v>雪铁龙C4L三元催化器老化 发动机烧机油</v>
      </c>
      <c r="C12119" s="2" t="s">
        <v>13</v>
      </c>
      <c r="D12119" s="2" t="s">
        <v>12</v>
      </c>
      <c r="E12119" s="2" t="s">
        <v>67</v>
      </c>
      <c r="F12119" s="2" t="str">
        <f>HYPERLINK("http://bbs.12365auto.com/postcontent.aspx?tID=193302","http://bbs.12365auto.com/postcontent.aspx?tID=193302")</f>
        <v>http://bbs.12365auto.com/postcontent.aspx?tID=193302</v>
      </c>
      <c r="G12119" s="2"/>
      <c r="H12119" s="2" t="s">
        <v>16170</v>
      </c>
      <c r="I12119" s="2" t="s">
        <v>15</v>
      </c>
      <c r="J12119" s="2" t="s">
        <v>6153</v>
      </c>
      <c r="K12119" s="2" t="s">
        <v>16169</v>
      </c>
      <c r="L12119" s="2">
        <f t="shared" si="189"/>
        <v>150</v>
      </c>
    </row>
    <row r="12120" spans="1:12" ht="25" customHeight="1">
      <c r="A12120" s="2" t="s">
        <v>12</v>
      </c>
      <c r="B12120" s="2" t="str">
        <f>HYPERLINK("http://m.12365auto.com/xcdg/20200205/417679.shtml","2021年量产 现代Santa Cruz谍照曝光")</f>
        <v>2021年量产 现代Santa Cruz谍照曝光</v>
      </c>
      <c r="C12120" s="2" t="s">
        <v>13</v>
      </c>
      <c r="D12120" s="2" t="s">
        <v>12</v>
      </c>
      <c r="E12120" s="2"/>
      <c r="F12120" s="2" t="str">
        <f>HYPERLINK("http://m.12365auto.com/xcdg/20200205/417679.shtml","http://m.12365auto.com/xcdg/20200205/417679.shtml")</f>
        <v>http://m.12365auto.com/xcdg/20200205/417679.shtml</v>
      </c>
      <c r="G12120" s="2"/>
      <c r="H12120" s="2" t="s">
        <v>16171</v>
      </c>
      <c r="I12120" s="2" t="s">
        <v>19</v>
      </c>
      <c r="J12120" s="2" t="s">
        <v>5997</v>
      </c>
      <c r="K12120" s="2" t="s">
        <v>16172</v>
      </c>
      <c r="L12120" s="2">
        <f t="shared" si="189"/>
        <v>150</v>
      </c>
    </row>
    <row r="12121" spans="1:12" ht="25" customHeight="1">
      <c r="A12121" s="2" t="s">
        <v>12</v>
      </c>
      <c r="B12121" s="2" t="str">
        <f>HYPERLINK("http://m.12365auto.com/bbs/postcontent.aspx?tID=193301","一汽丰田奕泽频繁出现转向故障提示")</f>
        <v>一汽丰田奕泽频繁出现转向故障提示</v>
      </c>
      <c r="C12121" s="2" t="s">
        <v>13</v>
      </c>
      <c r="D12121" s="2" t="s">
        <v>23</v>
      </c>
      <c r="E12121" s="2"/>
      <c r="F12121" s="2" t="str">
        <f>HYPERLINK("http://m.12365auto.com/bbs/postcontent.aspx?tID=193301","http://m.12365auto.com/bbs/postcontent.aspx?tID=193301")</f>
        <v>http://m.12365auto.com/bbs/postcontent.aspx?tID=193301</v>
      </c>
      <c r="G12121" s="2"/>
      <c r="H12121" s="2" t="s">
        <v>16173</v>
      </c>
      <c r="I12121" s="2" t="s">
        <v>15</v>
      </c>
      <c r="J12121" s="2" t="s">
        <v>6161</v>
      </c>
      <c r="K12121" s="2" t="s">
        <v>16172</v>
      </c>
      <c r="L12121" s="2">
        <f t="shared" si="189"/>
        <v>36</v>
      </c>
    </row>
    <row r="12122" spans="1:12" ht="25" customHeight="1">
      <c r="A12122" s="2" t="s">
        <v>12</v>
      </c>
      <c r="B12122" s="2" t="str">
        <f>HYPERLINK("http://m.12365auto.com/bbs/postcontent.aspx?tID=193300","新特SITECH DEV 1刹车系统异常 电池没电")</f>
        <v>新特SITECH DEV 1刹车系统异常 电池没电</v>
      </c>
      <c r="C12122" s="2" t="s">
        <v>13</v>
      </c>
      <c r="D12122" s="2" t="s">
        <v>23</v>
      </c>
      <c r="E12122" s="2"/>
      <c r="F12122" s="2" t="str">
        <f>HYPERLINK("http://m.12365auto.com/bbs/postcontent.aspx?tID=193300","http://m.12365auto.com/bbs/postcontent.aspx?tID=193300")</f>
        <v>http://m.12365auto.com/bbs/postcontent.aspx?tID=193300</v>
      </c>
      <c r="G12122" s="2"/>
      <c r="H12122" s="2" t="s">
        <v>16174</v>
      </c>
      <c r="I12122" s="2" t="s">
        <v>15</v>
      </c>
      <c r="J12122" s="2" t="s">
        <v>6159</v>
      </c>
      <c r="K12122" s="2" t="s">
        <v>16172</v>
      </c>
      <c r="L12122" s="2">
        <f t="shared" si="189"/>
        <v>122</v>
      </c>
    </row>
    <row r="12123" spans="1:12" ht="25" customHeight="1">
      <c r="A12123" s="2" t="s">
        <v>12</v>
      </c>
      <c r="B12123" s="2" t="str">
        <f>HYPERLINK("http://bbs.12365auto.com/postcontent.aspx?tId=193301","一汽丰田奕泽频繁出现转向故障提示")</f>
        <v>一汽丰田奕泽频繁出现转向故障提示</v>
      </c>
      <c r="C12123" s="2" t="s">
        <v>13</v>
      </c>
      <c r="D12123" s="2" t="s">
        <v>12</v>
      </c>
      <c r="E12123" s="2" t="s">
        <v>66</v>
      </c>
      <c r="F12123" s="2" t="str">
        <f>HYPERLINK("http://bbs.12365auto.com/postcontent.aspx?tId=193301","http://bbs.12365auto.com/postcontent.aspx?tId=193301")</f>
        <v>http://bbs.12365auto.com/postcontent.aspx?tId=193301</v>
      </c>
      <c r="G12123" s="2"/>
      <c r="H12123" s="2" t="s">
        <v>16173</v>
      </c>
      <c r="I12123" s="2" t="s">
        <v>15</v>
      </c>
      <c r="J12123" s="2" t="s">
        <v>6161</v>
      </c>
      <c r="K12123" s="2" t="s">
        <v>16172</v>
      </c>
      <c r="L12123" s="2">
        <f t="shared" si="189"/>
        <v>36</v>
      </c>
    </row>
    <row r="12124" spans="1:12" ht="25" customHeight="1">
      <c r="A12124" s="2" t="s">
        <v>12</v>
      </c>
      <c r="B12124" s="2" t="str">
        <f>HYPERLINK("http://bbs.12365auto.com/postcontent.aspx?tID=193301","一汽丰田奕泽频繁出现转向故障提示")</f>
        <v>一汽丰田奕泽频繁出现转向故障提示</v>
      </c>
      <c r="C12124" s="2" t="s">
        <v>13</v>
      </c>
      <c r="D12124" s="2" t="s">
        <v>12</v>
      </c>
      <c r="E12124" s="2" t="s">
        <v>67</v>
      </c>
      <c r="F12124" s="2" t="str">
        <f>HYPERLINK("http://bbs.12365auto.com/postcontent.aspx?tID=193301","http://bbs.12365auto.com/postcontent.aspx?tID=193301")</f>
        <v>http://bbs.12365auto.com/postcontent.aspx?tID=193301</v>
      </c>
      <c r="G12124" s="2"/>
      <c r="H12124" s="2" t="s">
        <v>16175</v>
      </c>
      <c r="I12124" s="2" t="s">
        <v>15</v>
      </c>
      <c r="J12124" s="2" t="s">
        <v>6161</v>
      </c>
      <c r="K12124" s="2" t="s">
        <v>16172</v>
      </c>
      <c r="L12124" s="2">
        <f t="shared" si="189"/>
        <v>52</v>
      </c>
    </row>
    <row r="12125" spans="1:12" ht="25" customHeight="1">
      <c r="A12125" s="2" t="s">
        <v>12</v>
      </c>
      <c r="B12125" s="2" t="str">
        <f>HYPERLINK("http://bbs.12365auto.com/postcontent.aspx?tID=193300","新特SITECH DEV 1刹车系统异常 电池没电")</f>
        <v>新特SITECH DEV 1刹车系统异常 电池没电</v>
      </c>
      <c r="C12125" s="2" t="s">
        <v>13</v>
      </c>
      <c r="D12125" s="2" t="s">
        <v>12</v>
      </c>
      <c r="E12125" s="2" t="s">
        <v>67</v>
      </c>
      <c r="F12125" s="2" t="str">
        <f>HYPERLINK("http://bbs.12365auto.com/postcontent.aspx?tID=193300","http://bbs.12365auto.com/postcontent.aspx?tID=193300")</f>
        <v>http://bbs.12365auto.com/postcontent.aspx?tID=193300</v>
      </c>
      <c r="G12125" s="2"/>
      <c r="H12125" s="2" t="s">
        <v>16176</v>
      </c>
      <c r="I12125" s="2" t="s">
        <v>15</v>
      </c>
      <c r="J12125" s="2" t="s">
        <v>6159</v>
      </c>
      <c r="K12125" s="2" t="s">
        <v>16172</v>
      </c>
      <c r="L12125" s="2">
        <f t="shared" si="189"/>
        <v>147</v>
      </c>
    </row>
    <row r="12126" spans="1:12" ht="25" customHeight="1">
      <c r="A12126" s="2" t="s">
        <v>12</v>
      </c>
      <c r="B12126" s="2" t="str">
        <f>HYPERLINK("http://bbs.12365auto.com/postcontent.aspx?tId=193300","新特SITECH DEV 1刹车系统异常 电池没电")</f>
        <v>新特SITECH DEV 1刹车系统异常 电池没电</v>
      </c>
      <c r="C12126" s="2" t="s">
        <v>13</v>
      </c>
      <c r="D12126" s="2" t="s">
        <v>12</v>
      </c>
      <c r="E12126" s="2" t="s">
        <v>66</v>
      </c>
      <c r="F12126" s="2" t="str">
        <f>HYPERLINK("http://bbs.12365auto.com/postcontent.aspx?tId=193300","http://bbs.12365auto.com/postcontent.aspx?tId=193300")</f>
        <v>http://bbs.12365auto.com/postcontent.aspx?tId=193300</v>
      </c>
      <c r="G12126" s="2"/>
      <c r="H12126" s="2" t="s">
        <v>16174</v>
      </c>
      <c r="I12126" s="2" t="s">
        <v>15</v>
      </c>
      <c r="J12126" s="2" t="s">
        <v>6159</v>
      </c>
      <c r="K12126" s="2" t="s">
        <v>16172</v>
      </c>
      <c r="L12126" s="2">
        <f t="shared" si="189"/>
        <v>122</v>
      </c>
    </row>
    <row r="12127" spans="1:12" ht="25" customHeight="1">
      <c r="A12127" s="2" t="s">
        <v>12</v>
      </c>
      <c r="B12127" s="2" t="str">
        <f>HYPERLINK("http://www.12365auto.com/xcdg/20200205/417679.shtml","2021年量产 现代Santa Cruz谍照曝光")</f>
        <v>2021年量产 现代Santa Cruz谍照曝光</v>
      </c>
      <c r="C12127" s="2" t="s">
        <v>13</v>
      </c>
      <c r="D12127" s="2" t="s">
        <v>12</v>
      </c>
      <c r="E12127" s="2" t="s">
        <v>224</v>
      </c>
      <c r="F12127" s="2" t="str">
        <f>HYPERLINK("http://www.12365auto.com/xcdg/20200205/417679.shtml","http://www.12365auto.com/xcdg/20200205/417679.shtml")</f>
        <v>http://www.12365auto.com/xcdg/20200205/417679.shtml</v>
      </c>
      <c r="G12127" s="2"/>
      <c r="H12127" s="2" t="s">
        <v>16177</v>
      </c>
      <c r="I12127" s="2" t="s">
        <v>15</v>
      </c>
      <c r="J12127" s="2" t="s">
        <v>12</v>
      </c>
      <c r="K12127" s="2" t="s">
        <v>16172</v>
      </c>
      <c r="L12127" s="2">
        <f t="shared" si="189"/>
        <v>150</v>
      </c>
    </row>
    <row r="12128" spans="1:12" ht="25" customHeight="1">
      <c r="A12128" s="2" t="s">
        <v>12</v>
      </c>
      <c r="B12128" s="2" t="str">
        <f>HYPERLINK("http://m.12365auto.com/bbs/postcontent.aspx?tID=193299","大众探歌邓禄普轮胎出现裂缝")</f>
        <v>大众探歌邓禄普轮胎出现裂缝</v>
      </c>
      <c r="C12128" s="2" t="s">
        <v>13</v>
      </c>
      <c r="D12128" s="2" t="s">
        <v>23</v>
      </c>
      <c r="E12128" s="2"/>
      <c r="F12128" s="2" t="str">
        <f>HYPERLINK("http://m.12365auto.com/bbs/postcontent.aspx?tID=193299","http://m.12365auto.com/bbs/postcontent.aspx?tID=193299")</f>
        <v>http://m.12365auto.com/bbs/postcontent.aspx?tID=193299</v>
      </c>
      <c r="G12128" s="2"/>
      <c r="H12128" s="2" t="s">
        <v>16178</v>
      </c>
      <c r="I12128" s="2" t="s">
        <v>15</v>
      </c>
      <c r="J12128" s="2" t="s">
        <v>6168</v>
      </c>
      <c r="K12128" s="2" t="s">
        <v>16179</v>
      </c>
      <c r="L12128" s="2">
        <f t="shared" si="189"/>
        <v>94</v>
      </c>
    </row>
    <row r="12129" spans="1:12" ht="25" customHeight="1">
      <c r="A12129" s="2" t="s">
        <v>12</v>
      </c>
      <c r="B12129" s="2" t="str">
        <f>HYPERLINK("http://bbs.12365auto.com/postcontent.aspx?tId=193299","大众探歌邓禄普轮胎出现裂缝")</f>
        <v>大众探歌邓禄普轮胎出现裂缝</v>
      </c>
      <c r="C12129" s="2" t="s">
        <v>13</v>
      </c>
      <c r="D12129" s="2" t="s">
        <v>12</v>
      </c>
      <c r="E12129" s="2" t="s">
        <v>66</v>
      </c>
      <c r="F12129" s="2" t="str">
        <f>HYPERLINK("http://bbs.12365auto.com/postcontent.aspx?tId=193299","http://bbs.12365auto.com/postcontent.aspx?tId=193299")</f>
        <v>http://bbs.12365auto.com/postcontent.aspx?tId=193299</v>
      </c>
      <c r="G12129" s="2"/>
      <c r="H12129" s="2" t="s">
        <v>16178</v>
      </c>
      <c r="I12129" s="2" t="s">
        <v>15</v>
      </c>
      <c r="J12129" s="2" t="s">
        <v>6168</v>
      </c>
      <c r="K12129" s="2" t="s">
        <v>16179</v>
      </c>
      <c r="L12129" s="2">
        <f t="shared" si="189"/>
        <v>94</v>
      </c>
    </row>
    <row r="12130" spans="1:12" ht="25" customHeight="1">
      <c r="A12130" s="2" t="s">
        <v>12</v>
      </c>
      <c r="B12130" s="2" t="str">
        <f>HYPERLINK("http://bbs.12365auto.com/postcontent.aspx?tID=193299","大众探歌邓禄普轮胎出现裂缝")</f>
        <v>大众探歌邓禄普轮胎出现裂缝</v>
      </c>
      <c r="C12130" s="2" t="s">
        <v>13</v>
      </c>
      <c r="D12130" s="2" t="s">
        <v>12</v>
      </c>
      <c r="E12130" s="2" t="s">
        <v>67</v>
      </c>
      <c r="F12130" s="2" t="str">
        <f>HYPERLINK("http://bbs.12365auto.com/postcontent.aspx?tID=193299","http://bbs.12365auto.com/postcontent.aspx?tID=193299")</f>
        <v>http://bbs.12365auto.com/postcontent.aspx?tID=193299</v>
      </c>
      <c r="G12130" s="2"/>
      <c r="H12130" s="2" t="s">
        <v>16180</v>
      </c>
      <c r="I12130" s="2" t="s">
        <v>15</v>
      </c>
      <c r="J12130" s="2" t="s">
        <v>6168</v>
      </c>
      <c r="K12130" s="2" t="s">
        <v>16179</v>
      </c>
      <c r="L12130" s="2">
        <f t="shared" si="189"/>
        <v>107</v>
      </c>
    </row>
    <row r="12131" spans="1:12" ht="25" customHeight="1">
      <c r="A12131" s="2" t="s">
        <v>12</v>
      </c>
      <c r="B12131" s="2" t="str">
        <f>HYPERLINK("http://m.12365auto.com/news/20200205/417678.shtml","规避踩错油门风险 丰田推应急安全系统")</f>
        <v>规避踩错油门风险 丰田推应急安全系统</v>
      </c>
      <c r="C12131" s="2" t="s">
        <v>13</v>
      </c>
      <c r="D12131" s="2" t="s">
        <v>12</v>
      </c>
      <c r="E12131" s="2"/>
      <c r="F12131" s="2" t="str">
        <f>HYPERLINK("http://m.12365auto.com/news/20200205/417678.shtml","http://m.12365auto.com/news/20200205/417678.shtml")</f>
        <v>http://m.12365auto.com/news/20200205/417678.shtml</v>
      </c>
      <c r="G12131" s="2"/>
      <c r="H12131" s="2" t="s">
        <v>16181</v>
      </c>
      <c r="I12131" s="2" t="s">
        <v>19</v>
      </c>
      <c r="J12131" s="2" t="s">
        <v>1543</v>
      </c>
      <c r="K12131" s="2" t="s">
        <v>16182</v>
      </c>
      <c r="L12131" s="2">
        <f t="shared" si="189"/>
        <v>150</v>
      </c>
    </row>
    <row r="12132" spans="1:12" ht="25" customHeight="1">
      <c r="A12132" s="2" t="s">
        <v>12</v>
      </c>
      <c r="B12132" s="2" t="str">
        <f>HYPERLINK("http://www.12365auto.com/news/20200205/417678.shtml","规避踩错油门风险 丰田推应急安全系统")</f>
        <v>规避踩错油门风险 丰田推应急安全系统</v>
      </c>
      <c r="C12132" s="2" t="s">
        <v>13</v>
      </c>
      <c r="D12132" s="2" t="s">
        <v>12</v>
      </c>
      <c r="E12132" s="2" t="s">
        <v>282</v>
      </c>
      <c r="F12132" s="2" t="str">
        <f>HYPERLINK("http://www.12365auto.com/news/20200205/417678.shtml","http://www.12365auto.com/news/20200205/417678.shtml")</f>
        <v>http://www.12365auto.com/news/20200205/417678.shtml</v>
      </c>
      <c r="G12132" s="2"/>
      <c r="H12132" s="2" t="s">
        <v>16183</v>
      </c>
      <c r="I12132" s="2" t="s">
        <v>19</v>
      </c>
      <c r="J12132" s="2" t="s">
        <v>12</v>
      </c>
      <c r="K12132" s="2" t="s">
        <v>16182</v>
      </c>
      <c r="L12132" s="2">
        <f t="shared" si="189"/>
        <v>150</v>
      </c>
    </row>
    <row r="12133" spans="1:12" ht="25" customHeight="1">
      <c r="A12133" s="2" t="s">
        <v>12</v>
      </c>
      <c r="B12133" s="2" t="str">
        <f>HYPERLINK("http://m.12365auto.com/bbs/postcontent.aspx?tID=193297","奇瑞瑞虎7后备箱尾门生锈")</f>
        <v>奇瑞瑞虎7后备箱尾门生锈</v>
      </c>
      <c r="C12133" s="2" t="s">
        <v>13</v>
      </c>
      <c r="D12133" s="2" t="s">
        <v>23</v>
      </c>
      <c r="E12133" s="2"/>
      <c r="F12133" s="2" t="str">
        <f>HYPERLINK("http://m.12365auto.com/bbs/postcontent.aspx?tID=193297","http://m.12365auto.com/bbs/postcontent.aspx?tID=193297")</f>
        <v>http://m.12365auto.com/bbs/postcontent.aspx?tID=193297</v>
      </c>
      <c r="G12133" s="2"/>
      <c r="H12133" s="2" t="s">
        <v>16184</v>
      </c>
      <c r="I12133" s="2" t="s">
        <v>15</v>
      </c>
      <c r="J12133" s="2" t="s">
        <v>6176</v>
      </c>
      <c r="K12133" s="2" t="s">
        <v>16182</v>
      </c>
      <c r="L12133" s="2">
        <f t="shared" si="189"/>
        <v>25</v>
      </c>
    </row>
    <row r="12134" spans="1:12" ht="25" customHeight="1">
      <c r="A12134" s="2" t="s">
        <v>12</v>
      </c>
      <c r="B12134" s="2" t="str">
        <f>HYPERLINK("http://bbs.12365auto.com/postcontent.aspx?tId=193297","奇瑞瑞虎7后备箱尾门生锈")</f>
        <v>奇瑞瑞虎7后备箱尾门生锈</v>
      </c>
      <c r="C12134" s="2" t="s">
        <v>13</v>
      </c>
      <c r="D12134" s="2" t="s">
        <v>12</v>
      </c>
      <c r="E12134" s="2" t="s">
        <v>66</v>
      </c>
      <c r="F12134" s="2" t="str">
        <f>HYPERLINK("http://bbs.12365auto.com/postcontent.aspx?tId=193297","http://bbs.12365auto.com/postcontent.aspx?tId=193297")</f>
        <v>http://bbs.12365auto.com/postcontent.aspx?tId=193297</v>
      </c>
      <c r="G12134" s="2"/>
      <c r="H12134" s="2" t="s">
        <v>16184</v>
      </c>
      <c r="I12134" s="2" t="s">
        <v>15</v>
      </c>
      <c r="J12134" s="2" t="s">
        <v>6176</v>
      </c>
      <c r="K12134" s="2" t="s">
        <v>16182</v>
      </c>
      <c r="L12134" s="2">
        <f t="shared" si="189"/>
        <v>25</v>
      </c>
    </row>
    <row r="12135" spans="1:12" ht="25" customHeight="1">
      <c r="A12135" s="2" t="s">
        <v>12</v>
      </c>
      <c r="B12135" s="2" t="str">
        <f>HYPERLINK("http://bbs.12365auto.com/postcontent.aspx?tID=193297","奇瑞瑞虎7后备箱尾门生锈")</f>
        <v>奇瑞瑞虎7后备箱尾门生锈</v>
      </c>
      <c r="C12135" s="2" t="s">
        <v>13</v>
      </c>
      <c r="D12135" s="2" t="s">
        <v>12</v>
      </c>
      <c r="E12135" s="2" t="s">
        <v>67</v>
      </c>
      <c r="F12135" s="2" t="str">
        <f>HYPERLINK("http://bbs.12365auto.com/postcontent.aspx?tID=193297","http://bbs.12365auto.com/postcontent.aspx?tID=193297")</f>
        <v>http://bbs.12365auto.com/postcontent.aspx?tID=193297</v>
      </c>
      <c r="G12135" s="2"/>
      <c r="H12135" s="2" t="s">
        <v>16185</v>
      </c>
      <c r="I12135" s="2" t="s">
        <v>15</v>
      </c>
      <c r="J12135" s="2" t="s">
        <v>6176</v>
      </c>
      <c r="K12135" s="2" t="s">
        <v>16182</v>
      </c>
      <c r="L12135" s="2">
        <f t="shared" si="189"/>
        <v>37</v>
      </c>
    </row>
    <row r="12136" spans="1:12" ht="25" customHeight="1">
      <c r="A12136" s="2" t="s">
        <v>12</v>
      </c>
      <c r="B12136" s="2" t="str">
        <f>HYPERLINK("http://m.12365auto.com/bbs/postcontent.aspx?tID=193296","一汽丰田卡罗拉引擎盖锁自动开启")</f>
        <v>一汽丰田卡罗拉引擎盖锁自动开启</v>
      </c>
      <c r="C12136" s="2" t="s">
        <v>13</v>
      </c>
      <c r="D12136" s="2" t="s">
        <v>23</v>
      </c>
      <c r="E12136" s="2"/>
      <c r="F12136" s="2" t="str">
        <f>HYPERLINK("http://m.12365auto.com/bbs/postcontent.aspx?tID=193296","http://m.12365auto.com/bbs/postcontent.aspx?tID=193296")</f>
        <v>http://m.12365auto.com/bbs/postcontent.aspx?tID=193296</v>
      </c>
      <c r="G12136" s="2"/>
      <c r="H12136" s="2" t="s">
        <v>16186</v>
      </c>
      <c r="I12136" s="2" t="s">
        <v>15</v>
      </c>
      <c r="J12136" s="2" t="s">
        <v>6184</v>
      </c>
      <c r="K12136" s="2" t="s">
        <v>16187</v>
      </c>
      <c r="L12136" s="2">
        <f t="shared" si="189"/>
        <v>91</v>
      </c>
    </row>
    <row r="12137" spans="1:12" ht="25" customHeight="1">
      <c r="A12137" s="2" t="s">
        <v>12</v>
      </c>
      <c r="B12137" s="2" t="str">
        <f>HYPERLINK("http://bbs.12365auto.com/postcontent.aspx?tId=193296","一汽丰田卡罗拉引擎盖锁自动开启")</f>
        <v>一汽丰田卡罗拉引擎盖锁自动开启</v>
      </c>
      <c r="C12137" s="2" t="s">
        <v>13</v>
      </c>
      <c r="D12137" s="2" t="s">
        <v>12</v>
      </c>
      <c r="E12137" s="2" t="s">
        <v>66</v>
      </c>
      <c r="F12137" s="2" t="str">
        <f>HYPERLINK("http://bbs.12365auto.com/postcontent.aspx?tId=193296","http://bbs.12365auto.com/postcontent.aspx?tId=193296")</f>
        <v>http://bbs.12365auto.com/postcontent.aspx?tId=193296</v>
      </c>
      <c r="G12137" s="2"/>
      <c r="H12137" s="2" t="s">
        <v>16186</v>
      </c>
      <c r="I12137" s="2" t="s">
        <v>15</v>
      </c>
      <c r="J12137" s="2" t="s">
        <v>6184</v>
      </c>
      <c r="K12137" s="2" t="s">
        <v>16187</v>
      </c>
      <c r="L12137" s="2">
        <f t="shared" si="189"/>
        <v>91</v>
      </c>
    </row>
    <row r="12138" spans="1:12" ht="25" customHeight="1">
      <c r="A12138" s="2" t="s">
        <v>12</v>
      </c>
      <c r="B12138" s="2" t="str">
        <f>HYPERLINK("http://bbs.12365auto.com/postcontent.aspx?tID=193296","一汽丰田卡罗拉引擎盖锁自动开启")</f>
        <v>一汽丰田卡罗拉引擎盖锁自动开启</v>
      </c>
      <c r="C12138" s="2" t="s">
        <v>13</v>
      </c>
      <c r="D12138" s="2" t="s">
        <v>12</v>
      </c>
      <c r="E12138" s="2" t="s">
        <v>67</v>
      </c>
      <c r="F12138" s="2" t="str">
        <f>HYPERLINK("http://bbs.12365auto.com/postcontent.aspx?tID=193296","http://bbs.12365auto.com/postcontent.aspx?tID=193296")</f>
        <v>http://bbs.12365auto.com/postcontent.aspx?tID=193296</v>
      </c>
      <c r="G12138" s="2"/>
      <c r="H12138" s="2" t="s">
        <v>16188</v>
      </c>
      <c r="I12138" s="2" t="s">
        <v>15</v>
      </c>
      <c r="J12138" s="2" t="s">
        <v>6184</v>
      </c>
      <c r="K12138" s="2" t="s">
        <v>16187</v>
      </c>
      <c r="L12138" s="2">
        <f t="shared" si="189"/>
        <v>106</v>
      </c>
    </row>
    <row r="12139" spans="1:12" ht="25" customHeight="1">
      <c r="A12139" s="2" t="s">
        <v>12</v>
      </c>
      <c r="B12139" s="2" t="str">
        <f>HYPERLINK("http://m.12365auto.com/news/20200205/417677.shtml","增长10%  2019年全球售新能源车221万辆")</f>
        <v>增长10%  2019年全球售新能源车221万辆</v>
      </c>
      <c r="C12139" s="2" t="s">
        <v>13</v>
      </c>
      <c r="D12139" s="2" t="s">
        <v>12</v>
      </c>
      <c r="E12139" s="2"/>
      <c r="F12139" s="2" t="str">
        <f>HYPERLINK("http://m.12365auto.com/news/20200205/417677.shtml","http://m.12365auto.com/news/20200205/417677.shtml")</f>
        <v>http://m.12365auto.com/news/20200205/417677.shtml</v>
      </c>
      <c r="G12139" s="2"/>
      <c r="H12139" s="2" t="s">
        <v>16189</v>
      </c>
      <c r="I12139" s="2" t="s">
        <v>19</v>
      </c>
      <c r="J12139" s="2" t="s">
        <v>274</v>
      </c>
      <c r="K12139" s="2" t="s">
        <v>16190</v>
      </c>
      <c r="L12139" s="2">
        <f t="shared" si="189"/>
        <v>150</v>
      </c>
    </row>
    <row r="12140" spans="1:12" ht="25" customHeight="1">
      <c r="A12140" s="2" t="s">
        <v>12</v>
      </c>
      <c r="B12140" s="2" t="str">
        <f>HYPERLINK("http://www.12365auto.com/news/20200205/417677.shtml","增长10%  2019年全球售新能源车221万辆")</f>
        <v>增长10%  2019年全球售新能源车221万辆</v>
      </c>
      <c r="C12140" s="2" t="s">
        <v>13</v>
      </c>
      <c r="D12140" s="2" t="s">
        <v>12</v>
      </c>
      <c r="E12140" s="2" t="s">
        <v>282</v>
      </c>
      <c r="F12140" s="2" t="str">
        <f>HYPERLINK("http://www.12365auto.com/news/20200205/417677.shtml","http://www.12365auto.com/news/20200205/417677.shtml")</f>
        <v>http://www.12365auto.com/news/20200205/417677.shtml</v>
      </c>
      <c r="G12140" s="2"/>
      <c r="H12140" s="2" t="s">
        <v>16191</v>
      </c>
      <c r="I12140" s="2" t="s">
        <v>19</v>
      </c>
      <c r="J12140" s="2" t="s">
        <v>12</v>
      </c>
      <c r="K12140" s="2" t="s">
        <v>16190</v>
      </c>
      <c r="L12140" s="2">
        <f t="shared" si="189"/>
        <v>150</v>
      </c>
    </row>
    <row r="12141" spans="1:12" ht="25" customHeight="1">
      <c r="A12141" s="2" t="s">
        <v>12</v>
      </c>
      <c r="B12141" s="2" t="str">
        <f>HYPERLINK("http://m.12365auto.com/bbs/postcontent.aspx?tID=193295","斯柯达Yeti手套箱无法关闭 后雨刮器故障")</f>
        <v>斯柯达Yeti手套箱无法关闭 后雨刮器故障</v>
      </c>
      <c r="C12141" s="2" t="s">
        <v>13</v>
      </c>
      <c r="D12141" s="2" t="s">
        <v>23</v>
      </c>
      <c r="E12141" s="2"/>
      <c r="F12141" s="2" t="str">
        <f>HYPERLINK("http://m.12365auto.com/bbs/postcontent.aspx?tID=193295","http://m.12365auto.com/bbs/postcontent.aspx?tID=193295")</f>
        <v>http://m.12365auto.com/bbs/postcontent.aspx?tID=193295</v>
      </c>
      <c r="G12141" s="2"/>
      <c r="H12141" s="2" t="s">
        <v>16192</v>
      </c>
      <c r="I12141" s="2" t="s">
        <v>15</v>
      </c>
      <c r="J12141" s="2" t="s">
        <v>6194</v>
      </c>
      <c r="K12141" s="2" t="s">
        <v>16190</v>
      </c>
      <c r="L12141" s="2">
        <f t="shared" si="189"/>
        <v>150</v>
      </c>
    </row>
    <row r="12142" spans="1:12" ht="25" customHeight="1">
      <c r="A12142" s="2" t="s">
        <v>12</v>
      </c>
      <c r="B12142" s="2" t="str">
        <f>HYPERLINK("http://m.12365auto.com/bbs/postcontent.aspx?tID=193294","哈弗M6朝阳轮胎缓慢漏气")</f>
        <v>哈弗M6朝阳轮胎缓慢漏气</v>
      </c>
      <c r="C12142" s="2" t="s">
        <v>13</v>
      </c>
      <c r="D12142" s="2" t="s">
        <v>23</v>
      </c>
      <c r="E12142" s="2"/>
      <c r="F12142" s="2" t="str">
        <f>HYPERLINK("http://m.12365auto.com/bbs/postcontent.aspx?tID=193294","http://m.12365auto.com/bbs/postcontent.aspx?tID=193294")</f>
        <v>http://m.12365auto.com/bbs/postcontent.aspx?tID=193294</v>
      </c>
      <c r="G12142" s="2"/>
      <c r="H12142" s="2" t="s">
        <v>16193</v>
      </c>
      <c r="I12142" s="2" t="s">
        <v>15</v>
      </c>
      <c r="J12142" s="2" t="s">
        <v>6205</v>
      </c>
      <c r="K12142" s="2" t="s">
        <v>16190</v>
      </c>
      <c r="L12142" s="2">
        <f t="shared" si="189"/>
        <v>88</v>
      </c>
    </row>
    <row r="12143" spans="1:12" ht="25" customHeight="1">
      <c r="A12143" s="2" t="s">
        <v>12</v>
      </c>
      <c r="B12143" s="2" t="str">
        <f>HYPERLINK("http://bbs.12365auto.com/postcontent.aspx?tId=193295","斯柯达Yeti手套箱无法关闭 后雨刮器故障")</f>
        <v>斯柯达Yeti手套箱无法关闭 后雨刮器故障</v>
      </c>
      <c r="C12143" s="2" t="s">
        <v>13</v>
      </c>
      <c r="D12143" s="2" t="s">
        <v>12</v>
      </c>
      <c r="E12143" s="2" t="s">
        <v>66</v>
      </c>
      <c r="F12143" s="2" t="str">
        <f>HYPERLINK("http://bbs.12365auto.com/postcontent.aspx?tId=193295","http://bbs.12365auto.com/postcontent.aspx?tId=193295")</f>
        <v>http://bbs.12365auto.com/postcontent.aspx?tId=193295</v>
      </c>
      <c r="G12143" s="2"/>
      <c r="H12143" s="2" t="s">
        <v>16192</v>
      </c>
      <c r="I12143" s="2" t="s">
        <v>15</v>
      </c>
      <c r="J12143" s="2" t="s">
        <v>6194</v>
      </c>
      <c r="K12143" s="2" t="s">
        <v>16190</v>
      </c>
      <c r="L12143" s="2">
        <f t="shared" si="189"/>
        <v>150</v>
      </c>
    </row>
    <row r="12144" spans="1:12" ht="25" customHeight="1">
      <c r="A12144" s="2" t="s">
        <v>12</v>
      </c>
      <c r="B12144" s="2" t="str">
        <f>HYPERLINK("http://bbs.12365auto.com/postcontent.aspx?tId=193294","哈弗M6朝阳轮胎缓慢漏气")</f>
        <v>哈弗M6朝阳轮胎缓慢漏气</v>
      </c>
      <c r="C12144" s="2" t="s">
        <v>13</v>
      </c>
      <c r="D12144" s="2" t="s">
        <v>12</v>
      </c>
      <c r="E12144" s="2" t="s">
        <v>66</v>
      </c>
      <c r="F12144" s="2" t="str">
        <f>HYPERLINK("http://bbs.12365auto.com/postcontent.aspx?tId=193294","http://bbs.12365auto.com/postcontent.aspx?tId=193294")</f>
        <v>http://bbs.12365auto.com/postcontent.aspx?tId=193294</v>
      </c>
      <c r="G12144" s="2"/>
      <c r="H12144" s="2" t="s">
        <v>16193</v>
      </c>
      <c r="I12144" s="2" t="s">
        <v>15</v>
      </c>
      <c r="J12144" s="2" t="s">
        <v>6205</v>
      </c>
      <c r="K12144" s="2" t="s">
        <v>16190</v>
      </c>
      <c r="L12144" s="2">
        <f t="shared" si="189"/>
        <v>88</v>
      </c>
    </row>
    <row r="12145" spans="1:12" ht="25" customHeight="1">
      <c r="A12145" s="2" t="s">
        <v>12</v>
      </c>
      <c r="B12145" s="2" t="str">
        <f>HYPERLINK("http://bbs.12365auto.com/postcontent.aspx?tID=193294","哈弗M6朝阳轮胎缓慢漏气")</f>
        <v>哈弗M6朝阳轮胎缓慢漏气</v>
      </c>
      <c r="C12145" s="2" t="s">
        <v>13</v>
      </c>
      <c r="D12145" s="2" t="s">
        <v>12</v>
      </c>
      <c r="E12145" s="2" t="s">
        <v>67</v>
      </c>
      <c r="F12145" s="2" t="str">
        <f>HYPERLINK("http://bbs.12365auto.com/postcontent.aspx?tID=193294","http://bbs.12365auto.com/postcontent.aspx?tID=193294")</f>
        <v>http://bbs.12365auto.com/postcontent.aspx?tID=193294</v>
      </c>
      <c r="G12145" s="2"/>
      <c r="H12145" s="2" t="s">
        <v>16194</v>
      </c>
      <c r="I12145" s="2" t="s">
        <v>15</v>
      </c>
      <c r="J12145" s="2" t="s">
        <v>6205</v>
      </c>
      <c r="K12145" s="2" t="s">
        <v>16190</v>
      </c>
      <c r="L12145" s="2">
        <f t="shared" si="189"/>
        <v>105</v>
      </c>
    </row>
    <row r="12146" spans="1:12" ht="25" customHeight="1">
      <c r="A12146" s="2" t="s">
        <v>12</v>
      </c>
      <c r="B12146" s="2" t="str">
        <f>HYPERLINK("http://bbs.12365auto.com/postcontent.aspx?tID=193295","斯柯达Yeti手套箱无法关闭 后雨刮器故障")</f>
        <v>斯柯达Yeti手套箱无法关闭 后雨刮器故障</v>
      </c>
      <c r="C12146" s="2" t="s">
        <v>13</v>
      </c>
      <c r="D12146" s="2" t="s">
        <v>12</v>
      </c>
      <c r="E12146" s="2" t="s">
        <v>67</v>
      </c>
      <c r="F12146" s="2" t="str">
        <f>HYPERLINK("http://bbs.12365auto.com/postcontent.aspx?tID=193295","http://bbs.12365auto.com/postcontent.aspx?tID=193295")</f>
        <v>http://bbs.12365auto.com/postcontent.aspx?tID=193295</v>
      </c>
      <c r="G12146" s="2"/>
      <c r="H12146" s="2" t="s">
        <v>16195</v>
      </c>
      <c r="I12146" s="2" t="s">
        <v>15</v>
      </c>
      <c r="J12146" s="2" t="s">
        <v>6194</v>
      </c>
      <c r="K12146" s="2" t="s">
        <v>16190</v>
      </c>
      <c r="L12146" s="2">
        <f t="shared" si="189"/>
        <v>150</v>
      </c>
    </row>
    <row r="12147" spans="1:12" ht="25" customHeight="1">
      <c r="A12147" s="2" t="s">
        <v>12</v>
      </c>
      <c r="B12147" s="2" t="str">
        <f>HYPERLINK("http://bbs.12365auto.com/postcontent.aspx?tID=193293","一汽大众探岳大灯亮度不足影响行车安全")</f>
        <v>一汽大众探岳大灯亮度不足影响行车安全</v>
      </c>
      <c r="C12147" s="2" t="s">
        <v>13</v>
      </c>
      <c r="D12147" s="2" t="s">
        <v>12</v>
      </c>
      <c r="E12147" s="2" t="s">
        <v>67</v>
      </c>
      <c r="F12147" s="2" t="str">
        <f>HYPERLINK("http://bbs.12365auto.com/postcontent.aspx?tID=193293","http://bbs.12365auto.com/postcontent.aspx?tID=193293")</f>
        <v>http://bbs.12365auto.com/postcontent.aspx?tID=193293</v>
      </c>
      <c r="G12147" s="2"/>
      <c r="H12147" s="2" t="s">
        <v>16196</v>
      </c>
      <c r="I12147" s="2" t="s">
        <v>15</v>
      </c>
      <c r="J12147" s="2" t="s">
        <v>6205</v>
      </c>
      <c r="K12147" s="2" t="s">
        <v>16197</v>
      </c>
      <c r="L12147" s="2">
        <f t="shared" si="189"/>
        <v>45</v>
      </c>
    </row>
    <row r="12148" spans="1:12" ht="25" customHeight="1">
      <c r="A12148" s="2" t="s">
        <v>12</v>
      </c>
      <c r="B12148" s="2" t="str">
        <f>HYPERLINK("http://m.12365auto.com/bbs/postcontent.aspx?tID=193293","一汽大众探岳大灯亮度不足影响行车安全")</f>
        <v>一汽大众探岳大灯亮度不足影响行车安全</v>
      </c>
      <c r="C12148" s="2" t="s">
        <v>13</v>
      </c>
      <c r="D12148" s="2" t="s">
        <v>23</v>
      </c>
      <c r="E12148" s="2"/>
      <c r="F12148" s="2" t="str">
        <f>HYPERLINK("http://m.12365auto.com/bbs/postcontent.aspx?tID=193293","http://m.12365auto.com/bbs/postcontent.aspx?tID=193293")</f>
        <v>http://m.12365auto.com/bbs/postcontent.aspx?tID=193293</v>
      </c>
      <c r="G12148" s="2"/>
      <c r="H12148" s="2" t="s">
        <v>16198</v>
      </c>
      <c r="I12148" s="2" t="s">
        <v>15</v>
      </c>
      <c r="J12148" s="2" t="s">
        <v>6205</v>
      </c>
      <c r="K12148" s="2" t="s">
        <v>16197</v>
      </c>
      <c r="L12148" s="2">
        <f t="shared" si="189"/>
        <v>27</v>
      </c>
    </row>
    <row r="12149" spans="1:12" ht="25" customHeight="1">
      <c r="A12149" s="2" t="s">
        <v>12</v>
      </c>
      <c r="B12149" s="2" t="str">
        <f>HYPERLINK("http://bbs.12365auto.com/postcontent.aspx?tId=193293","一汽大众探岳大灯亮度不足影响行车安全")</f>
        <v>一汽大众探岳大灯亮度不足影响行车安全</v>
      </c>
      <c r="C12149" s="2" t="s">
        <v>13</v>
      </c>
      <c r="D12149" s="2" t="s">
        <v>12</v>
      </c>
      <c r="E12149" s="2" t="s">
        <v>66</v>
      </c>
      <c r="F12149" s="2" t="str">
        <f>HYPERLINK("http://bbs.12365auto.com/postcontent.aspx?tId=193293","http://bbs.12365auto.com/postcontent.aspx?tId=193293")</f>
        <v>http://bbs.12365auto.com/postcontent.aspx?tId=193293</v>
      </c>
      <c r="G12149" s="2"/>
      <c r="H12149" s="2" t="s">
        <v>16198</v>
      </c>
      <c r="I12149" s="2" t="s">
        <v>15</v>
      </c>
      <c r="J12149" s="2" t="s">
        <v>6205</v>
      </c>
      <c r="K12149" s="2" t="s">
        <v>16197</v>
      </c>
      <c r="L12149" s="2">
        <f t="shared" si="189"/>
        <v>27</v>
      </c>
    </row>
    <row r="12150" spans="1:12" ht="25" customHeight="1">
      <c r="A12150" s="2" t="s">
        <v>12</v>
      </c>
      <c r="B12150" s="2" t="str">
        <f>HYPERLINK("http://bbs.12365auto.com/postcontent.aspx?tID=193292","吉利博越挂入高速挡 踩油门发动机没反应")</f>
        <v>吉利博越挂入高速挡 踩油门发动机没反应</v>
      </c>
      <c r="C12150" s="2" t="s">
        <v>13</v>
      </c>
      <c r="D12150" s="2" t="s">
        <v>12</v>
      </c>
      <c r="E12150" s="2" t="s">
        <v>67</v>
      </c>
      <c r="F12150" s="2" t="str">
        <f>HYPERLINK("http://bbs.12365auto.com/postcontent.aspx?tID=193292","http://bbs.12365auto.com/postcontent.aspx?tID=193292")</f>
        <v>http://bbs.12365auto.com/postcontent.aspx?tID=193292</v>
      </c>
      <c r="G12150" s="2"/>
      <c r="H12150" s="2" t="s">
        <v>16199</v>
      </c>
      <c r="I12150" s="2" t="s">
        <v>15</v>
      </c>
      <c r="J12150" s="2" t="s">
        <v>6207</v>
      </c>
      <c r="K12150" s="2" t="s">
        <v>16200</v>
      </c>
      <c r="L12150" s="2">
        <f t="shared" si="189"/>
        <v>59</v>
      </c>
    </row>
    <row r="12151" spans="1:12" ht="25" customHeight="1">
      <c r="A12151" s="2" t="s">
        <v>12</v>
      </c>
      <c r="B12151" s="2" t="str">
        <f>HYPERLINK("http://bbs.12365auto.com/postcontent.aspx?tId=193292","吉利博越挂入高速挡 踩油门发动机没反应")</f>
        <v>吉利博越挂入高速挡 踩油门发动机没反应</v>
      </c>
      <c r="C12151" s="2" t="s">
        <v>13</v>
      </c>
      <c r="D12151" s="2" t="s">
        <v>12</v>
      </c>
      <c r="E12151" s="2" t="s">
        <v>66</v>
      </c>
      <c r="F12151" s="2" t="str">
        <f>HYPERLINK("http://bbs.12365auto.com/postcontent.aspx?tId=193292","http://bbs.12365auto.com/postcontent.aspx?tId=193292")</f>
        <v>http://bbs.12365auto.com/postcontent.aspx?tId=193292</v>
      </c>
      <c r="G12151" s="2"/>
      <c r="H12151" s="2" t="s">
        <v>16201</v>
      </c>
      <c r="I12151" s="2" t="s">
        <v>15</v>
      </c>
      <c r="J12151" s="2" t="s">
        <v>6207</v>
      </c>
      <c r="K12151" s="2" t="s">
        <v>16200</v>
      </c>
      <c r="L12151" s="2">
        <f t="shared" si="189"/>
        <v>40</v>
      </c>
    </row>
    <row r="12152" spans="1:12" ht="25" customHeight="1">
      <c r="A12152" s="2" t="s">
        <v>12</v>
      </c>
      <c r="B12152" s="2" t="str">
        <f>HYPERLINK("http://m.12365auto.com/news/20200205/417676.shtml","投入210亿元 通用翻新工厂生产无人车")</f>
        <v>投入210亿元 通用翻新工厂生产无人车</v>
      </c>
      <c r="C12152" s="2" t="s">
        <v>13</v>
      </c>
      <c r="D12152" s="2" t="s">
        <v>12</v>
      </c>
      <c r="E12152" s="2"/>
      <c r="F12152" s="2" t="str">
        <f>HYPERLINK("http://m.12365auto.com/news/20200205/417676.shtml","http://m.12365auto.com/news/20200205/417676.shtml")</f>
        <v>http://m.12365auto.com/news/20200205/417676.shtml</v>
      </c>
      <c r="G12152" s="2"/>
      <c r="H12152" s="2" t="s">
        <v>16202</v>
      </c>
      <c r="I12152" s="2" t="s">
        <v>19</v>
      </c>
      <c r="J12152" s="2" t="s">
        <v>1543</v>
      </c>
      <c r="K12152" s="2" t="s">
        <v>16203</v>
      </c>
      <c r="L12152" s="2">
        <f t="shared" si="189"/>
        <v>150</v>
      </c>
    </row>
    <row r="12153" spans="1:12" ht="25" customHeight="1">
      <c r="A12153" s="2" t="s">
        <v>12</v>
      </c>
      <c r="B12153" s="2" t="str">
        <f>HYPERLINK("http://www.12365auto.com/news/20200205/417676.shtml","投入210亿元 通用翻新工厂生产无人车")</f>
        <v>投入210亿元 通用翻新工厂生产无人车</v>
      </c>
      <c r="C12153" s="2" t="s">
        <v>13</v>
      </c>
      <c r="D12153" s="2" t="s">
        <v>12</v>
      </c>
      <c r="E12153" s="2" t="s">
        <v>282</v>
      </c>
      <c r="F12153" s="2" t="str">
        <f>HYPERLINK("http://www.12365auto.com/news/20200205/417676.shtml","http://www.12365auto.com/news/20200205/417676.shtml")</f>
        <v>http://www.12365auto.com/news/20200205/417676.shtml</v>
      </c>
      <c r="G12153" s="2"/>
      <c r="H12153" s="2" t="s">
        <v>16204</v>
      </c>
      <c r="I12153" s="2" t="s">
        <v>19</v>
      </c>
      <c r="J12153" s="2" t="s">
        <v>12</v>
      </c>
      <c r="K12153" s="2" t="s">
        <v>16203</v>
      </c>
      <c r="L12153" s="2">
        <f t="shared" si="189"/>
        <v>150</v>
      </c>
    </row>
    <row r="12154" spans="1:12" ht="25" customHeight="1">
      <c r="A12154" s="2" t="s">
        <v>12</v>
      </c>
      <c r="B12154" s="2" t="str">
        <f>HYPERLINK("http://m.12365auto.com/xcdg/20200205/417675.shtml","安全配置高 实拍解读最低配丰田卡罗拉")</f>
        <v>安全配置高 实拍解读最低配丰田卡罗拉</v>
      </c>
      <c r="C12154" s="2" t="s">
        <v>13</v>
      </c>
      <c r="D12154" s="2" t="s">
        <v>12</v>
      </c>
      <c r="E12154" s="2"/>
      <c r="F12154" s="2" t="str">
        <f>HYPERLINK("http://m.12365auto.com/xcdg/20200205/417675.shtml","http://m.12365auto.com/xcdg/20200205/417675.shtml")</f>
        <v>http://m.12365auto.com/xcdg/20200205/417675.shtml</v>
      </c>
      <c r="G12154" s="2"/>
      <c r="H12154" s="2" t="s">
        <v>16205</v>
      </c>
      <c r="I12154" s="2" t="s">
        <v>19</v>
      </c>
      <c r="J12154" s="2" t="s">
        <v>16206</v>
      </c>
      <c r="K12154" s="2" t="s">
        <v>16207</v>
      </c>
      <c r="L12154" s="2">
        <f t="shared" si="189"/>
        <v>150</v>
      </c>
    </row>
    <row r="12155" spans="1:12" ht="25" customHeight="1">
      <c r="A12155" s="2" t="s">
        <v>12</v>
      </c>
      <c r="B12155" s="2" t="str">
        <f>HYPERLINK("http://bbs.12365auto.com/postcontent.aspx?tID=193291","斯宾特柴油四驱越野底盘搭载一台V6柴油发动机")</f>
        <v>斯宾特柴油四驱越野底盘搭载一台V6柴油发动机</v>
      </c>
      <c r="C12155" s="2" t="s">
        <v>13</v>
      </c>
      <c r="D12155" s="2" t="s">
        <v>12</v>
      </c>
      <c r="E12155" s="2" t="s">
        <v>28</v>
      </c>
      <c r="F12155" s="2" t="str">
        <f>HYPERLINK("http://bbs.12365auto.com/postcontent.aspx?tID=193291","http://bbs.12365auto.com/postcontent.aspx?tID=193291")</f>
        <v>http://bbs.12365auto.com/postcontent.aspx?tID=193291</v>
      </c>
      <c r="G12155" s="2"/>
      <c r="H12155" s="2" t="s">
        <v>16208</v>
      </c>
      <c r="I12155" s="2" t="s">
        <v>15</v>
      </c>
      <c r="J12155" s="2" t="s">
        <v>9041</v>
      </c>
      <c r="K12155" s="2" t="s">
        <v>16207</v>
      </c>
      <c r="L12155" s="2">
        <f t="shared" si="189"/>
        <v>150</v>
      </c>
    </row>
    <row r="12156" spans="1:12" ht="25" customHeight="1">
      <c r="A12156" s="2" t="s">
        <v>12</v>
      </c>
      <c r="B12156" s="2" t="str">
        <f>HYPERLINK("http://m.12365auto.com/zjdy/20200204/121024.shtml","2012款标致307打方向异响是哪里的问题？")</f>
        <v>2012款标致307打方向异响是哪里的问题？</v>
      </c>
      <c r="C12156" s="2" t="s">
        <v>13</v>
      </c>
      <c r="D12156" s="2" t="s">
        <v>12</v>
      </c>
      <c r="E12156" s="2"/>
      <c r="F12156" s="2" t="str">
        <f>HYPERLINK("http://m.12365auto.com/zjdy/20200204/121024.shtml","http://m.12365auto.com/zjdy/20200204/121024.shtml")</f>
        <v>http://m.12365auto.com/zjdy/20200204/121024.shtml</v>
      </c>
      <c r="G12156" s="2"/>
      <c r="H12156" s="2" t="s">
        <v>16209</v>
      </c>
      <c r="I12156" s="2" t="s">
        <v>19</v>
      </c>
      <c r="J12156" s="2" t="s">
        <v>12</v>
      </c>
      <c r="K12156" s="2" t="s">
        <v>16210</v>
      </c>
      <c r="L12156" s="2">
        <f t="shared" si="189"/>
        <v>90</v>
      </c>
    </row>
    <row r="12157" spans="1:12" ht="25" customHeight="1">
      <c r="A12157" s="2" t="s">
        <v>12</v>
      </c>
      <c r="B12157" s="2" t="str">
        <f>HYPERLINK("http://m.12365auto.com/zjdy/20200204/121025.shtml","汽车驾驶室内前挡风玻璃结冰怎么办？")</f>
        <v>汽车驾驶室内前挡风玻璃结冰怎么办？</v>
      </c>
      <c r="C12157" s="2" t="s">
        <v>13</v>
      </c>
      <c r="D12157" s="2" t="s">
        <v>12</v>
      </c>
      <c r="E12157" s="2"/>
      <c r="F12157" s="2" t="str">
        <f>HYPERLINK("http://m.12365auto.com/zjdy/20200204/121025.shtml","http://m.12365auto.com/zjdy/20200204/121025.shtml")</f>
        <v>http://m.12365auto.com/zjdy/20200204/121025.shtml</v>
      </c>
      <c r="G12157" s="2"/>
      <c r="H12157" s="2" t="s">
        <v>16211</v>
      </c>
      <c r="I12157" s="2" t="s">
        <v>19</v>
      </c>
      <c r="J12157" s="2" t="s">
        <v>12</v>
      </c>
      <c r="K12157" s="2" t="s">
        <v>16210</v>
      </c>
      <c r="L12157" s="2">
        <f t="shared" si="189"/>
        <v>23</v>
      </c>
    </row>
    <row r="12158" spans="1:12" ht="25" customHeight="1">
      <c r="A12158" s="2" t="s">
        <v>12</v>
      </c>
      <c r="B12158" s="2" t="str">
        <f>HYPERLINK("http://www.12365auto.com/zlts/20200205/446367.shtml","一汽大众宝来将短发动机代替发动机总成")</f>
        <v>一汽大众宝来将短发动机代替发动机总成</v>
      </c>
      <c r="C12158" s="2" t="s">
        <v>13</v>
      </c>
      <c r="D12158" s="2" t="s">
        <v>12</v>
      </c>
      <c r="E12158" s="2" t="s">
        <v>17</v>
      </c>
      <c r="F12158" s="2" t="str">
        <f>HYPERLINK("http://www.12365auto.com/zlts/20200205/446367.shtml","http://www.12365auto.com/zlts/20200205/446367.shtml")</f>
        <v>http://www.12365auto.com/zlts/20200205/446367.shtml</v>
      </c>
      <c r="G12158" s="2"/>
      <c r="H12158" s="2" t="s">
        <v>16212</v>
      </c>
      <c r="I12158" s="2" t="s">
        <v>19</v>
      </c>
      <c r="J12158" s="2" t="s">
        <v>12</v>
      </c>
      <c r="K12158" s="2" t="s">
        <v>16213</v>
      </c>
      <c r="L12158" s="2">
        <f t="shared" si="189"/>
        <v>150</v>
      </c>
    </row>
    <row r="12159" spans="1:12" ht="25" customHeight="1">
      <c r="A12159" s="2" t="s">
        <v>12</v>
      </c>
      <c r="B12159" s="2" t="str">
        <f>HYPERLINK("http://m.12365auto.com/zjdy/20200204/121028.shtml","发动机故障灯亮喇叭时响时不响怎么办？")</f>
        <v>发动机故障灯亮喇叭时响时不响怎么办？</v>
      </c>
      <c r="C12159" s="2" t="s">
        <v>13</v>
      </c>
      <c r="D12159" s="2" t="s">
        <v>12</v>
      </c>
      <c r="E12159" s="2"/>
      <c r="F12159" s="2" t="str">
        <f>HYPERLINK("http://m.12365auto.com/zjdy/20200204/121028.shtml","http://m.12365auto.com/zjdy/20200204/121028.shtml")</f>
        <v>http://m.12365auto.com/zjdy/20200204/121028.shtml</v>
      </c>
      <c r="G12159" s="2"/>
      <c r="H12159" s="2" t="s">
        <v>16214</v>
      </c>
      <c r="I12159" s="2" t="s">
        <v>19</v>
      </c>
      <c r="J12159" s="2" t="s">
        <v>12</v>
      </c>
      <c r="K12159" s="2" t="s">
        <v>16215</v>
      </c>
      <c r="L12159" s="2">
        <f t="shared" si="189"/>
        <v>35</v>
      </c>
    </row>
    <row r="12160" spans="1:12" ht="25" customHeight="1">
      <c r="A12160" s="2" t="s">
        <v>12</v>
      </c>
      <c r="B12160" s="2" t="str">
        <f>HYPERLINK("http://m.12365auto.com/zjdy/20200205/121029.shtml","吉利帝豪GL中控老有故障是什么原因？")</f>
        <v>吉利帝豪GL中控老有故障是什么原因？</v>
      </c>
      <c r="C12160" s="2" t="s">
        <v>13</v>
      </c>
      <c r="D12160" s="2" t="s">
        <v>12</v>
      </c>
      <c r="E12160" s="2"/>
      <c r="F12160" s="2" t="str">
        <f>HYPERLINK("http://m.12365auto.com/zjdy/20200205/121029.shtml","http://m.12365auto.com/zjdy/20200205/121029.shtml")</f>
        <v>http://m.12365auto.com/zjdy/20200205/121029.shtml</v>
      </c>
      <c r="G12160" s="2"/>
      <c r="H12160" s="2" t="s">
        <v>16216</v>
      </c>
      <c r="I12160" s="2" t="s">
        <v>19</v>
      </c>
      <c r="J12160" s="2" t="s">
        <v>12</v>
      </c>
      <c r="K12160" s="2" t="s">
        <v>16215</v>
      </c>
      <c r="L12160" s="2">
        <f t="shared" si="189"/>
        <v>63</v>
      </c>
    </row>
    <row r="12161" spans="1:12" ht="25" customHeight="1">
      <c r="A12161" s="2" t="s">
        <v>12</v>
      </c>
      <c r="B12161" s="2" t="str">
        <f>HYPERLINK("http://m.12365auto.com/zjdy/20200205/121030.shtml","购置税多收了一个月还可以要求退吗？")</f>
        <v>购置税多收了一个月还可以要求退吗？</v>
      </c>
      <c r="C12161" s="2" t="s">
        <v>13</v>
      </c>
      <c r="D12161" s="2" t="s">
        <v>12</v>
      </c>
      <c r="E12161" s="2"/>
      <c r="F12161" s="2" t="str">
        <f>HYPERLINK("http://m.12365auto.com/zjdy/20200205/121030.shtml","http://m.12365auto.com/zjdy/20200205/121030.shtml")</f>
        <v>http://m.12365auto.com/zjdy/20200205/121030.shtml</v>
      </c>
      <c r="G12161" s="2"/>
      <c r="H12161" s="2" t="s">
        <v>16217</v>
      </c>
      <c r="I12161" s="2" t="s">
        <v>19</v>
      </c>
      <c r="J12161" s="2" t="s">
        <v>12</v>
      </c>
      <c r="K12161" s="2" t="s">
        <v>16218</v>
      </c>
      <c r="L12161" s="2">
        <f t="shared" si="189"/>
        <v>38</v>
      </c>
    </row>
    <row r="12162" spans="1:12" ht="25" customHeight="1">
      <c r="A12162" s="2" t="s">
        <v>12</v>
      </c>
      <c r="B12162" s="2" t="str">
        <f>HYPERLINK("http://m.12365auto.com/zjdy/20200204/121023.shtml","名爵锐腾发动机进气管有机油怎么处理？")</f>
        <v>名爵锐腾发动机进气管有机油怎么处理？</v>
      </c>
      <c r="C12162" s="2" t="s">
        <v>13</v>
      </c>
      <c r="D12162" s="2" t="s">
        <v>12</v>
      </c>
      <c r="E12162" s="2"/>
      <c r="F12162" s="2" t="str">
        <f>HYPERLINK("http://m.12365auto.com/zjdy/20200204/121023.shtml","http://m.12365auto.com/zjdy/20200204/121023.shtml")</f>
        <v>http://m.12365auto.com/zjdy/20200204/121023.shtml</v>
      </c>
      <c r="G12162" s="2"/>
      <c r="H12162" s="2" t="s">
        <v>16219</v>
      </c>
      <c r="I12162" s="2" t="s">
        <v>19</v>
      </c>
      <c r="J12162" s="2" t="s">
        <v>12</v>
      </c>
      <c r="K12162" s="2" t="s">
        <v>16220</v>
      </c>
      <c r="L12162" s="2">
        <f t="shared" si="189"/>
        <v>33</v>
      </c>
    </row>
    <row r="12163" spans="1:12" ht="25" customHeight="1">
      <c r="A12163" s="2" t="s">
        <v>12</v>
      </c>
      <c r="B12163" s="2" t="str">
        <f>HYPERLINK("http://m.12365auto.com/zjdy/20200204/121022.shtml","托底后发动机温度高无暖风为什么？")</f>
        <v>托底后发动机温度高无暖风为什么？</v>
      </c>
      <c r="C12163" s="2" t="s">
        <v>13</v>
      </c>
      <c r="D12163" s="2" t="s">
        <v>12</v>
      </c>
      <c r="E12163" s="2"/>
      <c r="F12163" s="2" t="str">
        <f>HYPERLINK("http://m.12365auto.com/zjdy/20200204/121022.shtml","http://m.12365auto.com/zjdy/20200204/121022.shtml")</f>
        <v>http://m.12365auto.com/zjdy/20200204/121022.shtml</v>
      </c>
      <c r="G12163" s="2"/>
      <c r="H12163" s="2" t="s">
        <v>16221</v>
      </c>
      <c r="I12163" s="2" t="s">
        <v>19</v>
      </c>
      <c r="J12163" s="2" t="s">
        <v>12</v>
      </c>
      <c r="K12163" s="2" t="s">
        <v>16220</v>
      </c>
      <c r="L12163" s="2">
        <f t="shared" ref="L12163:L12226" si="190">LEN(H12163)</f>
        <v>32</v>
      </c>
    </row>
    <row r="12164" spans="1:12" ht="25" customHeight="1">
      <c r="A12164" s="2" t="s">
        <v>12</v>
      </c>
      <c r="B12164" s="2" t="str">
        <f>HYPERLINK("http://m.12365auto.com/zjdy/20200204/121021.shtml","长安逸动变速箱无法挂挡是哪里的故障？")</f>
        <v>长安逸动变速箱无法挂挡是哪里的故障？</v>
      </c>
      <c r="C12164" s="2" t="s">
        <v>13</v>
      </c>
      <c r="D12164" s="2" t="s">
        <v>12</v>
      </c>
      <c r="E12164" s="2"/>
      <c r="F12164" s="2" t="str">
        <f>HYPERLINK("http://m.12365auto.com/zjdy/20200204/121021.shtml","http://m.12365auto.com/zjdy/20200204/121021.shtml")</f>
        <v>http://m.12365auto.com/zjdy/20200204/121021.shtml</v>
      </c>
      <c r="G12164" s="2"/>
      <c r="H12164" s="2" t="s">
        <v>16222</v>
      </c>
      <c r="I12164" s="2" t="s">
        <v>19</v>
      </c>
      <c r="J12164" s="2" t="s">
        <v>12</v>
      </c>
      <c r="K12164" s="2" t="s">
        <v>16220</v>
      </c>
      <c r="L12164" s="2">
        <f t="shared" si="190"/>
        <v>57</v>
      </c>
    </row>
    <row r="12165" spans="1:12" ht="25" customHeight="1">
      <c r="A12165" s="2" t="s">
        <v>12</v>
      </c>
      <c r="B12165" s="2" t="str">
        <f>HYPERLINK("http://m.12365auto.com/zjdy/20200204/121020.shtml","发动机无法启动是什么原因如何维修？")</f>
        <v>发动机无法启动是什么原因如何维修？</v>
      </c>
      <c r="C12165" s="2" t="s">
        <v>13</v>
      </c>
      <c r="D12165" s="2" t="s">
        <v>12</v>
      </c>
      <c r="E12165" s="2"/>
      <c r="F12165" s="2" t="str">
        <f>HYPERLINK("http://m.12365auto.com/zjdy/20200204/121020.shtml","http://m.12365auto.com/zjdy/20200204/121020.shtml")</f>
        <v>http://m.12365auto.com/zjdy/20200204/121020.shtml</v>
      </c>
      <c r="G12165" s="2"/>
      <c r="H12165" s="2" t="s">
        <v>16223</v>
      </c>
      <c r="I12165" s="2" t="s">
        <v>19</v>
      </c>
      <c r="J12165" s="2" t="s">
        <v>12</v>
      </c>
      <c r="K12165" s="2" t="s">
        <v>16224</v>
      </c>
      <c r="L12165" s="2">
        <f t="shared" si="190"/>
        <v>67</v>
      </c>
    </row>
    <row r="12166" spans="1:12" ht="25" customHeight="1">
      <c r="A12166" s="2" t="s">
        <v>12</v>
      </c>
      <c r="B12166" s="2" t="str">
        <f>HYPERLINK("http://m.12365auto.com/zjdy/20200204/121019.shtml","维修换零部件十几次找不到原因能换车吗？")</f>
        <v>维修换零部件十几次找不到原因能换车吗？</v>
      </c>
      <c r="C12166" s="2" t="s">
        <v>13</v>
      </c>
      <c r="D12166" s="2" t="s">
        <v>12</v>
      </c>
      <c r="E12166" s="2"/>
      <c r="F12166" s="2" t="str">
        <f>HYPERLINK("http://m.12365auto.com/zjdy/20200204/121019.shtml","http://m.12365auto.com/zjdy/20200204/121019.shtml")</f>
        <v>http://m.12365auto.com/zjdy/20200204/121019.shtml</v>
      </c>
      <c r="G12166" s="2"/>
      <c r="H12166" s="2" t="s">
        <v>16225</v>
      </c>
      <c r="I12166" s="2" t="s">
        <v>19</v>
      </c>
      <c r="J12166" s="2" t="s">
        <v>12</v>
      </c>
      <c r="K12166" s="2" t="s">
        <v>16226</v>
      </c>
      <c r="L12166" s="2">
        <f t="shared" si="190"/>
        <v>38</v>
      </c>
    </row>
    <row r="12167" spans="1:12" ht="25" customHeight="1">
      <c r="A12167" s="2" t="s">
        <v>12</v>
      </c>
      <c r="B12167" s="2" t="str">
        <f>HYPERLINK("http://m.12365auto.com/zjdy/20200204/121018.shtml","本田雅阁精英版打方向有异响是什么原因？")</f>
        <v>本田雅阁精英版打方向有异响是什么原因？</v>
      </c>
      <c r="C12167" s="2" t="s">
        <v>13</v>
      </c>
      <c r="D12167" s="2" t="s">
        <v>12</v>
      </c>
      <c r="E12167" s="2"/>
      <c r="F12167" s="2" t="str">
        <f>HYPERLINK("http://m.12365auto.com/zjdy/20200204/121018.shtml","http://m.12365auto.com/zjdy/20200204/121018.shtml")</f>
        <v>http://m.12365auto.com/zjdy/20200204/121018.shtml</v>
      </c>
      <c r="G12167" s="2"/>
      <c r="H12167" s="2" t="s">
        <v>16227</v>
      </c>
      <c r="I12167" s="2" t="s">
        <v>19</v>
      </c>
      <c r="J12167" s="2" t="s">
        <v>12</v>
      </c>
      <c r="K12167" s="2" t="s">
        <v>16228</v>
      </c>
      <c r="L12167" s="2">
        <f t="shared" si="190"/>
        <v>37</v>
      </c>
    </row>
    <row r="12168" spans="1:12" ht="25" customHeight="1">
      <c r="A12168" s="2" t="s">
        <v>12</v>
      </c>
      <c r="B12168" s="2" t="str">
        <f>HYPERLINK("http://m.12365auto.com/dcbg/20200205/417674.shtml","2020年1月国内汽车投诉排行及分析报告")</f>
        <v>2020年1月国内汽车投诉排行及分析报告</v>
      </c>
      <c r="C12168" s="2" t="s">
        <v>13</v>
      </c>
      <c r="D12168" s="2" t="s">
        <v>12</v>
      </c>
      <c r="E12168" s="2"/>
      <c r="F12168" s="2" t="str">
        <f>HYPERLINK("http://m.12365auto.com/dcbg/20200205/417674.shtml","http://m.12365auto.com/dcbg/20200205/417674.shtml")</f>
        <v>http://m.12365auto.com/dcbg/20200205/417674.shtml</v>
      </c>
      <c r="G12168" s="2"/>
      <c r="H12168" s="2" t="s">
        <v>16229</v>
      </c>
      <c r="I12168" s="2" t="s">
        <v>19</v>
      </c>
      <c r="J12168" s="2" t="s">
        <v>1322</v>
      </c>
      <c r="K12168" s="2" t="s">
        <v>16230</v>
      </c>
      <c r="L12168" s="2">
        <f t="shared" si="190"/>
        <v>150</v>
      </c>
    </row>
    <row r="12169" spans="1:12" ht="25" customHeight="1">
      <c r="A12169" s="2" t="s">
        <v>12</v>
      </c>
      <c r="B12169" s="2" t="str">
        <f>HYPERLINK("http://www.12365auto.com/dcbg/20200205/417674.shtml","2020年1月国内汽车投诉排行及分析报告")</f>
        <v>2020年1月国内汽车投诉排行及分析报告</v>
      </c>
      <c r="C12169" s="2" t="s">
        <v>13</v>
      </c>
      <c r="D12169" s="2" t="s">
        <v>12</v>
      </c>
      <c r="E12169" s="2" t="s">
        <v>1319</v>
      </c>
      <c r="F12169" s="2" t="str">
        <f>HYPERLINK("http://www.12365auto.com/dcbg/20200205/417674.shtml","http://www.12365auto.com/dcbg/20200205/417674.shtml")</f>
        <v>http://www.12365auto.com/dcbg/20200205/417674.shtml</v>
      </c>
      <c r="G12169" s="2"/>
      <c r="H12169" s="2" t="s">
        <v>16231</v>
      </c>
      <c r="I12169" s="2" t="s">
        <v>15</v>
      </c>
      <c r="J12169" s="2" t="s">
        <v>12</v>
      </c>
      <c r="K12169" s="2" t="s">
        <v>16230</v>
      </c>
      <c r="L12169" s="2">
        <f t="shared" si="190"/>
        <v>150</v>
      </c>
    </row>
    <row r="12170" spans="1:12" ht="25" customHeight="1">
      <c r="A12170" s="2" t="s">
        <v>12</v>
      </c>
      <c r="B12170" s="2" t="str">
        <f>HYPERLINK("http://www.12365auto.com/zlts/20200205/446364.shtml","发动机异响，全景天窗胶条开裂")</f>
        <v>发动机异响，全景天窗胶条开裂</v>
      </c>
      <c r="C12170" s="2" t="s">
        <v>13</v>
      </c>
      <c r="D12170" s="2" t="s">
        <v>12</v>
      </c>
      <c r="E12170" s="2"/>
      <c r="F12170" s="2" t="str">
        <f>HYPERLINK("http://www.12365auto.com/zlts/20200205/446364.shtml","http://www.12365auto.com/zlts/20200205/446364.shtml")</f>
        <v>http://www.12365auto.com/zlts/20200205/446364.shtml</v>
      </c>
      <c r="G12170" s="2"/>
      <c r="H12170" s="2" t="s">
        <v>16233</v>
      </c>
      <c r="I12170" s="2" t="s">
        <v>15</v>
      </c>
      <c r="J12170" s="2" t="s">
        <v>12</v>
      </c>
      <c r="K12170" s="2" t="s">
        <v>16232</v>
      </c>
      <c r="L12170" s="2">
        <f t="shared" si="190"/>
        <v>90</v>
      </c>
    </row>
    <row r="12171" spans="1:12" ht="25" customHeight="1">
      <c r="A12171" s="2" t="s">
        <v>12</v>
      </c>
      <c r="B12171" s="2" t="str">
        <f>HYPERLINK("http://www.12365auto.com/zlts/20200205/446363.shtml","变速箱油管爆了导致变速箱异响后因水箱破裂加重故障")</f>
        <v>变速箱油管爆了导致变速箱异响后因水箱破裂加重故障</v>
      </c>
      <c r="C12171" s="2" t="s">
        <v>13</v>
      </c>
      <c r="D12171" s="2" t="s">
        <v>12</v>
      </c>
      <c r="E12171" s="2"/>
      <c r="F12171" s="2" t="str">
        <f>HYPERLINK("http://www.12365auto.com/zlts/20200205/446363.shtml","http://www.12365auto.com/zlts/20200205/446363.shtml")</f>
        <v>http://www.12365auto.com/zlts/20200205/446363.shtml</v>
      </c>
      <c r="G12171" s="2"/>
      <c r="H12171" s="2" t="s">
        <v>16235</v>
      </c>
      <c r="I12171" s="2" t="s">
        <v>15</v>
      </c>
      <c r="J12171" s="2" t="s">
        <v>12</v>
      </c>
      <c r="K12171" s="2" t="s">
        <v>16234</v>
      </c>
      <c r="L12171" s="2">
        <f t="shared" si="190"/>
        <v>82</v>
      </c>
    </row>
    <row r="12172" spans="1:12" ht="25" customHeight="1">
      <c r="A12172" s="2" t="s">
        <v>12</v>
      </c>
      <c r="B12172" s="2" t="str">
        <f>HYPERLINK("http://www.12365auto.com/zlts/20200205/446362.shtml","保养的时候发现变速箱漏油严重")</f>
        <v>保养的时候发现变速箱漏油严重</v>
      </c>
      <c r="C12172" s="2" t="s">
        <v>13</v>
      </c>
      <c r="D12172" s="2" t="s">
        <v>12</v>
      </c>
      <c r="E12172" s="2"/>
      <c r="F12172" s="2" t="str">
        <f>HYPERLINK("http://www.12365auto.com/zlts/20200205/446362.shtml","http://www.12365auto.com/zlts/20200205/446362.shtml")</f>
        <v>http://www.12365auto.com/zlts/20200205/446362.shtml</v>
      </c>
      <c r="G12172" s="2"/>
      <c r="H12172" s="2" t="s">
        <v>16237</v>
      </c>
      <c r="I12172" s="2" t="s">
        <v>15</v>
      </c>
      <c r="J12172" s="2" t="s">
        <v>12</v>
      </c>
      <c r="K12172" s="2" t="s">
        <v>16236</v>
      </c>
      <c r="L12172" s="2">
        <f t="shared" si="190"/>
        <v>85</v>
      </c>
    </row>
    <row r="12173" spans="1:12" ht="25" customHeight="1">
      <c r="A12173" s="2" t="s">
        <v>12</v>
      </c>
      <c r="B12173" s="2" t="str">
        <f>HYPERLINK("http://www.12365auto.com/zlts/20200204/446360.shtml","电瓶亏电")</f>
        <v>电瓶亏电</v>
      </c>
      <c r="C12173" s="2" t="s">
        <v>13</v>
      </c>
      <c r="D12173" s="2" t="s">
        <v>12</v>
      </c>
      <c r="E12173" s="2"/>
      <c r="F12173" s="2" t="str">
        <f>HYPERLINK("http://www.12365auto.com/zlts/20200204/446360.shtml","http://www.12365auto.com/zlts/20200204/446360.shtml")</f>
        <v>http://www.12365auto.com/zlts/20200204/446360.shtml</v>
      </c>
      <c r="G12173" s="2"/>
      <c r="H12173" s="2" t="s">
        <v>16239</v>
      </c>
      <c r="I12173" s="2" t="s">
        <v>15</v>
      </c>
      <c r="J12173" s="2" t="s">
        <v>12</v>
      </c>
      <c r="K12173" s="2" t="s">
        <v>16238</v>
      </c>
      <c r="L12173" s="2">
        <f t="shared" si="190"/>
        <v>84</v>
      </c>
    </row>
    <row r="12174" spans="1:12" ht="25" customHeight="1">
      <c r="A12174" s="2" t="s">
        <v>12</v>
      </c>
      <c r="B12174" s="2" t="str">
        <f>HYPERLINK("http://www.12365auto.com/zlts/20200204/446361.shtml","东风风神AX7转向系统与发动机故障灯报警")</f>
        <v>东风风神AX7转向系统与发动机故障灯报警</v>
      </c>
      <c r="C12174" s="2" t="s">
        <v>13</v>
      </c>
      <c r="D12174" s="2" t="s">
        <v>12</v>
      </c>
      <c r="E12174" s="2" t="s">
        <v>17</v>
      </c>
      <c r="F12174" s="2" t="str">
        <f>HYPERLINK("http://www.12365auto.com/zlts/20200204/446361.shtml","http://www.12365auto.com/zlts/20200204/446361.shtml")</f>
        <v>http://www.12365auto.com/zlts/20200204/446361.shtml</v>
      </c>
      <c r="G12174" s="2"/>
      <c r="H12174" s="2" t="s">
        <v>16240</v>
      </c>
      <c r="I12174" s="2" t="s">
        <v>19</v>
      </c>
      <c r="J12174" s="2" t="s">
        <v>12</v>
      </c>
      <c r="K12174" s="2" t="s">
        <v>16241</v>
      </c>
      <c r="L12174" s="2">
        <f t="shared" si="190"/>
        <v>150</v>
      </c>
    </row>
    <row r="12175" spans="1:12" ht="25" customHeight="1">
      <c r="A12175" s="2" t="s">
        <v>12</v>
      </c>
      <c r="B12175" s="2" t="str">
        <f>HYPERLINK("http://www.12365auto.com/zlts/20200204/446358.shtml","奇瑞艾瑞泽7e显示屏出现动力系统故障")</f>
        <v>奇瑞艾瑞泽7e显示屏出现动力系统故障</v>
      </c>
      <c r="C12175" s="2" t="s">
        <v>13</v>
      </c>
      <c r="D12175" s="2" t="s">
        <v>12</v>
      </c>
      <c r="E12175" s="2" t="s">
        <v>17</v>
      </c>
      <c r="F12175" s="2" t="str">
        <f>HYPERLINK("http://www.12365auto.com/zlts/20200204/446358.shtml","http://www.12365auto.com/zlts/20200204/446358.shtml")</f>
        <v>http://www.12365auto.com/zlts/20200204/446358.shtml</v>
      </c>
      <c r="G12175" s="2"/>
      <c r="H12175" s="2" t="s">
        <v>16242</v>
      </c>
      <c r="I12175" s="2" t="s">
        <v>19</v>
      </c>
      <c r="J12175" s="2" t="s">
        <v>12</v>
      </c>
      <c r="K12175" s="2" t="s">
        <v>16243</v>
      </c>
      <c r="L12175" s="2">
        <f t="shared" si="190"/>
        <v>150</v>
      </c>
    </row>
    <row r="12176" spans="1:12" ht="25" customHeight="1">
      <c r="A12176" s="2" t="s">
        <v>12</v>
      </c>
      <c r="B12176" s="2" t="str">
        <f>HYPERLINK("http://www.12365auto.com/zlts/20200204/446357.shtml","一汽大众捷达VA3天窗无法打开希望处理")</f>
        <v>一汽大众捷达VA3天窗无法打开希望处理</v>
      </c>
      <c r="C12176" s="2" t="s">
        <v>13</v>
      </c>
      <c r="D12176" s="2" t="s">
        <v>12</v>
      </c>
      <c r="E12176" s="2" t="s">
        <v>17</v>
      </c>
      <c r="F12176" s="2" t="str">
        <f>HYPERLINK("http://www.12365auto.com/zlts/20200204/446357.shtml","http://www.12365auto.com/zlts/20200204/446357.shtml")</f>
        <v>http://www.12365auto.com/zlts/20200204/446357.shtml</v>
      </c>
      <c r="G12176" s="2"/>
      <c r="H12176" s="2" t="s">
        <v>16244</v>
      </c>
      <c r="I12176" s="2" t="s">
        <v>19</v>
      </c>
      <c r="J12176" s="2" t="s">
        <v>12</v>
      </c>
      <c r="K12176" s="2" t="s">
        <v>16243</v>
      </c>
      <c r="L12176" s="2">
        <f t="shared" si="190"/>
        <v>150</v>
      </c>
    </row>
    <row r="12177" spans="1:12" ht="25" customHeight="1">
      <c r="A12177" s="2" t="s">
        <v>12</v>
      </c>
      <c r="B12177" s="2" t="str">
        <f>HYPERLINK("http://www.12365auto.com/zlts/20200204/446351.shtml","变速箱异响挂D档R档不走")</f>
        <v>变速箱异响挂D档R档不走</v>
      </c>
      <c r="C12177" s="2" t="s">
        <v>13</v>
      </c>
      <c r="D12177" s="2" t="s">
        <v>12</v>
      </c>
      <c r="E12177" s="2"/>
      <c r="F12177" s="2" t="str">
        <f>HYPERLINK("http://www.12365auto.com/zlts/20200204/446351.shtml","http://www.12365auto.com/zlts/20200204/446351.shtml")</f>
        <v>http://www.12365auto.com/zlts/20200204/446351.shtml</v>
      </c>
      <c r="G12177" s="2"/>
      <c r="H12177" s="2" t="s">
        <v>16246</v>
      </c>
      <c r="I12177" s="2" t="s">
        <v>15</v>
      </c>
      <c r="J12177" s="2" t="s">
        <v>12</v>
      </c>
      <c r="K12177" s="2" t="s">
        <v>16245</v>
      </c>
      <c r="L12177" s="2">
        <f t="shared" si="190"/>
        <v>85</v>
      </c>
    </row>
    <row r="12178" spans="1:12" ht="25" customHeight="1">
      <c r="A12178" s="2" t="s">
        <v>12</v>
      </c>
      <c r="B12178" s="2" t="str">
        <f>HYPERLINK("http://www.12365auto.com/zlts/20200204/446356.shtml","北京BJ40	发动机舱抖动影响正常使用")</f>
        <v>北京BJ40	发动机舱抖动影响正常使用</v>
      </c>
      <c r="C12178" s="2" t="s">
        <v>13</v>
      </c>
      <c r="D12178" s="2" t="s">
        <v>12</v>
      </c>
      <c r="E12178" s="2" t="s">
        <v>17</v>
      </c>
      <c r="F12178" s="2" t="str">
        <f>HYPERLINK("http://www.12365auto.com/zlts/20200204/446356.shtml","http://www.12365auto.com/zlts/20200204/446356.shtml")</f>
        <v>http://www.12365auto.com/zlts/20200204/446356.shtml</v>
      </c>
      <c r="G12178" s="2"/>
      <c r="H12178" s="2" t="s">
        <v>16247</v>
      </c>
      <c r="I12178" s="2" t="s">
        <v>19</v>
      </c>
      <c r="J12178" s="2" t="s">
        <v>12</v>
      </c>
      <c r="K12178" s="2" t="s">
        <v>16248</v>
      </c>
      <c r="L12178" s="2">
        <f t="shared" si="190"/>
        <v>150</v>
      </c>
    </row>
    <row r="12179" spans="1:12" ht="25" customHeight="1">
      <c r="A12179" s="2" t="s">
        <v>12</v>
      </c>
      <c r="B12179" s="2" t="str">
        <f>HYPERLINK("http://www.12365auto.com/zlts/20200204/446354.shtml","猎豹CS10车门生锈影响使用厂家不解决问题")</f>
        <v>猎豹CS10车门生锈影响使用厂家不解决问题</v>
      </c>
      <c r="C12179" s="2" t="s">
        <v>13</v>
      </c>
      <c r="D12179" s="2" t="s">
        <v>12</v>
      </c>
      <c r="E12179" s="2" t="s">
        <v>17</v>
      </c>
      <c r="F12179" s="2" t="str">
        <f>HYPERLINK("http://www.12365auto.com/zlts/20200204/446354.shtml","http://www.12365auto.com/zlts/20200204/446354.shtml")</f>
        <v>http://www.12365auto.com/zlts/20200204/446354.shtml</v>
      </c>
      <c r="G12179" s="2"/>
      <c r="H12179" s="2" t="s">
        <v>16249</v>
      </c>
      <c r="I12179" s="2" t="s">
        <v>19</v>
      </c>
      <c r="J12179" s="2" t="s">
        <v>12</v>
      </c>
      <c r="K12179" s="2" t="s">
        <v>16250</v>
      </c>
      <c r="L12179" s="2">
        <f t="shared" si="190"/>
        <v>150</v>
      </c>
    </row>
    <row r="12180" spans="1:12" ht="25" customHeight="1">
      <c r="A12180" s="2" t="s">
        <v>12</v>
      </c>
      <c r="B12180" s="2" t="str">
        <f>HYPERLINK("http://m.12365auto.com/bbs/postcontent.aspx?tID=193290","锐腾1.5T手超版进气管出现机油")</f>
        <v>锐腾1.5T手超版进气管出现机油</v>
      </c>
      <c r="C12180" s="2" t="s">
        <v>13</v>
      </c>
      <c r="D12180" s="2" t="s">
        <v>23</v>
      </c>
      <c r="E12180" s="2"/>
      <c r="F12180" s="2" t="str">
        <f>HYPERLINK("http://m.12365auto.com/bbs/postcontent.aspx?tID=193290","http://m.12365auto.com/bbs/postcontent.aspx?tID=193290")</f>
        <v>http://m.12365auto.com/bbs/postcontent.aspx?tID=193290</v>
      </c>
      <c r="G12180" s="2"/>
      <c r="H12180" s="2" t="s">
        <v>16251</v>
      </c>
      <c r="I12180" s="2" t="s">
        <v>15</v>
      </c>
      <c r="J12180" s="2" t="s">
        <v>16252</v>
      </c>
      <c r="K12180" s="2" t="s">
        <v>16253</v>
      </c>
      <c r="L12180" s="2">
        <f t="shared" si="190"/>
        <v>24</v>
      </c>
    </row>
    <row r="12181" spans="1:12" ht="25" customHeight="1">
      <c r="A12181" s="2" t="s">
        <v>12</v>
      </c>
      <c r="B12181" s="2" t="str">
        <f>HYPERLINK("http://bbs.12365auto.com/postcontent.aspx?tId=193290","锐腾1.5T手超版进气管出现机油")</f>
        <v>锐腾1.5T手超版进气管出现机油</v>
      </c>
      <c r="C12181" s="2" t="s">
        <v>13</v>
      </c>
      <c r="D12181" s="2" t="s">
        <v>12</v>
      </c>
      <c r="E12181" s="2" t="s">
        <v>66</v>
      </c>
      <c r="F12181" s="2" t="str">
        <f>HYPERLINK("http://bbs.12365auto.com/postcontent.aspx?tId=193290","http://bbs.12365auto.com/postcontent.aspx?tId=193290")</f>
        <v>http://bbs.12365auto.com/postcontent.aspx?tId=193290</v>
      </c>
      <c r="G12181" s="2"/>
      <c r="H12181" s="2" t="s">
        <v>16251</v>
      </c>
      <c r="I12181" s="2" t="s">
        <v>15</v>
      </c>
      <c r="J12181" s="2" t="s">
        <v>16252</v>
      </c>
      <c r="K12181" s="2" t="s">
        <v>16253</v>
      </c>
      <c r="L12181" s="2">
        <f t="shared" si="190"/>
        <v>24</v>
      </c>
    </row>
    <row r="12182" spans="1:12" ht="25" customHeight="1">
      <c r="A12182" s="2" t="s">
        <v>12</v>
      </c>
      <c r="B12182" s="2" t="str">
        <f>HYPERLINK("http://bbs.12365auto.com/postcontent.aspx?tID=193290","锐腾1.5T手超版进气管出现机油")</f>
        <v>锐腾1.5T手超版进气管出现机油</v>
      </c>
      <c r="C12182" s="2" t="s">
        <v>13</v>
      </c>
      <c r="D12182" s="2" t="s">
        <v>12</v>
      </c>
      <c r="E12182" s="2" t="s">
        <v>67</v>
      </c>
      <c r="F12182" s="2" t="str">
        <f>HYPERLINK("http://bbs.12365auto.com/postcontent.aspx?tID=193290","http://bbs.12365auto.com/postcontent.aspx?tID=193290")</f>
        <v>http://bbs.12365auto.com/postcontent.aspx?tID=193290</v>
      </c>
      <c r="G12182" s="2"/>
      <c r="H12182" s="2" t="s">
        <v>16254</v>
      </c>
      <c r="I12182" s="2" t="s">
        <v>15</v>
      </c>
      <c r="J12182" s="2" t="s">
        <v>16252</v>
      </c>
      <c r="K12182" s="2" t="s">
        <v>16253</v>
      </c>
      <c r="L12182" s="2">
        <f t="shared" si="190"/>
        <v>40</v>
      </c>
    </row>
    <row r="12183" spans="1:12" ht="25" customHeight="1">
      <c r="A12183" s="2" t="s">
        <v>12</v>
      </c>
      <c r="B12183" s="2" t="str">
        <f>HYPERLINK("http://www.12365auto.com/zlts/20200204/446348.shtml","郑州国宏汽车销售公司平顶山分公司销售郭强骂人，")</f>
        <v>郑州国宏汽车销售公司平顶山分公司销售郭强骂人，</v>
      </c>
      <c r="C12183" s="2" t="s">
        <v>13</v>
      </c>
      <c r="D12183" s="2" t="s">
        <v>12</v>
      </c>
      <c r="E12183" s="2"/>
      <c r="F12183" s="2" t="str">
        <f>HYPERLINK("http://www.12365auto.com/zlts/20200204/446348.shtml","http://www.12365auto.com/zlts/20200204/446348.shtml")</f>
        <v>http://www.12365auto.com/zlts/20200204/446348.shtml</v>
      </c>
      <c r="G12183" s="2"/>
      <c r="H12183" s="2" t="s">
        <v>16256</v>
      </c>
      <c r="I12183" s="2" t="s">
        <v>15</v>
      </c>
      <c r="J12183" s="2" t="s">
        <v>12</v>
      </c>
      <c r="K12183" s="2" t="s">
        <v>16255</v>
      </c>
      <c r="L12183" s="2">
        <f t="shared" si="190"/>
        <v>95</v>
      </c>
    </row>
    <row r="12184" spans="1:12" ht="25" customHeight="1">
      <c r="A12184" s="2" t="s">
        <v>12</v>
      </c>
      <c r="B12184" s="2" t="str">
        <f>HYPERLINK("http://www.12365auto.com/zlts/20200204/446350.shtml","吉利博越挂入高速挡 踩油门发动机没反应")</f>
        <v>吉利博越挂入高速挡 踩油门发动机没反应</v>
      </c>
      <c r="C12184" s="2" t="s">
        <v>13</v>
      </c>
      <c r="D12184" s="2" t="s">
        <v>12</v>
      </c>
      <c r="E12184" s="2" t="s">
        <v>17</v>
      </c>
      <c r="F12184" s="2" t="str">
        <f>HYPERLINK("http://www.12365auto.com/zlts/20200204/446350.shtml","http://www.12365auto.com/zlts/20200204/446350.shtml")</f>
        <v>http://www.12365auto.com/zlts/20200204/446350.shtml</v>
      </c>
      <c r="G12184" s="2"/>
      <c r="H12184" s="2" t="s">
        <v>16257</v>
      </c>
      <c r="I12184" s="2" t="s">
        <v>19</v>
      </c>
      <c r="J12184" s="2" t="s">
        <v>12</v>
      </c>
      <c r="K12184" s="2" t="s">
        <v>16258</v>
      </c>
      <c r="L12184" s="2">
        <f t="shared" si="190"/>
        <v>150</v>
      </c>
    </row>
    <row r="12185" spans="1:12" ht="25" customHeight="1">
      <c r="A12185" s="2" t="s">
        <v>12</v>
      </c>
      <c r="B12185" s="2" t="str">
        <f>HYPERLINK("http://www.12365auto.com/zlts/20200204/446345.shtml","一汽大众探岳大灯亮度不足影响行车安全")</f>
        <v>一汽大众探岳大灯亮度不足影响行车安全</v>
      </c>
      <c r="C12185" s="2" t="s">
        <v>13</v>
      </c>
      <c r="D12185" s="2" t="s">
        <v>12</v>
      </c>
      <c r="E12185" s="2" t="s">
        <v>17</v>
      </c>
      <c r="F12185" s="2" t="str">
        <f>HYPERLINK("http://www.12365auto.com/zlts/20200204/446345.shtml","http://www.12365auto.com/zlts/20200204/446345.shtml")</f>
        <v>http://www.12365auto.com/zlts/20200204/446345.shtml</v>
      </c>
      <c r="G12185" s="2"/>
      <c r="H12185" s="2" t="s">
        <v>16259</v>
      </c>
      <c r="I12185" s="2" t="s">
        <v>19</v>
      </c>
      <c r="J12185" s="2" t="s">
        <v>12</v>
      </c>
      <c r="K12185" s="2" t="s">
        <v>16260</v>
      </c>
      <c r="L12185" s="2">
        <f t="shared" si="190"/>
        <v>150</v>
      </c>
    </row>
    <row r="12186" spans="1:12" ht="25" customHeight="1">
      <c r="A12186" s="2" t="s">
        <v>12</v>
      </c>
      <c r="B12186" s="2" t="str">
        <f>HYPERLINK("http://www.12365auto.com/zlts/20200204/446344.shtml","新车刚提车没几天发现右后轮胎缓慢漏气")</f>
        <v>新车刚提车没几天发现右后轮胎缓慢漏气</v>
      </c>
      <c r="C12186" s="2" t="s">
        <v>13</v>
      </c>
      <c r="D12186" s="2" t="s">
        <v>12</v>
      </c>
      <c r="E12186" s="2"/>
      <c r="F12186" s="2" t="str">
        <f>HYPERLINK("http://www.12365auto.com/zlts/20200204/446344.shtml","http://www.12365auto.com/zlts/20200204/446344.shtml")</f>
        <v>http://www.12365auto.com/zlts/20200204/446344.shtml</v>
      </c>
      <c r="G12186" s="2"/>
      <c r="H12186" s="2" t="s">
        <v>16262</v>
      </c>
      <c r="I12186" s="2" t="s">
        <v>15</v>
      </c>
      <c r="J12186" s="2" t="s">
        <v>12</v>
      </c>
      <c r="K12186" s="2" t="s">
        <v>16261</v>
      </c>
      <c r="L12186" s="2">
        <f t="shared" si="190"/>
        <v>90</v>
      </c>
    </row>
    <row r="12187" spans="1:12" ht="25" customHeight="1">
      <c r="A12187" s="2" t="s">
        <v>12</v>
      </c>
      <c r="B12187" s="2" t="str">
        <f>HYPERLINK("http://www.12365auto.com/zlts/20200204/446343.shtml","哈弗F7厂家对油耗及车辆配置进行虚假宣传")</f>
        <v>哈弗F7厂家对油耗及车辆配置进行虚假宣传</v>
      </c>
      <c r="C12187" s="2" t="s">
        <v>13</v>
      </c>
      <c r="D12187" s="2" t="s">
        <v>12</v>
      </c>
      <c r="E12187" s="2"/>
      <c r="F12187" s="2" t="str">
        <f>HYPERLINK("http://www.12365auto.com/zlts/20200204/446343.shtml","http://www.12365auto.com/zlts/20200204/446343.shtml")</f>
        <v>http://www.12365auto.com/zlts/20200204/446343.shtml</v>
      </c>
      <c r="G12187" s="2"/>
      <c r="H12187" s="2" t="s">
        <v>16264</v>
      </c>
      <c r="I12187" s="2" t="s">
        <v>15</v>
      </c>
      <c r="J12187" s="2" t="s">
        <v>12</v>
      </c>
      <c r="K12187" s="2" t="s">
        <v>16263</v>
      </c>
      <c r="L12187" s="2">
        <f t="shared" si="190"/>
        <v>85</v>
      </c>
    </row>
    <row r="12188" spans="1:12" ht="25" customHeight="1">
      <c r="A12188" s="2" t="s">
        <v>12</v>
      </c>
      <c r="B12188" s="2" t="str">
        <f>HYPERLINK("http://www.12365auto.com/zlts/20200204/446337.shtml","比亚迪宋变速箱换挡困难 4S店服务态度差")</f>
        <v>比亚迪宋变速箱换挡困难 4S店服务态度差</v>
      </c>
      <c r="C12188" s="2" t="s">
        <v>13</v>
      </c>
      <c r="D12188" s="2" t="s">
        <v>12</v>
      </c>
      <c r="E12188" s="2"/>
      <c r="F12188" s="2" t="str">
        <f>HYPERLINK("http://www.12365auto.com/zlts/20200204/446337.shtml","http://www.12365auto.com/zlts/20200204/446337.shtml")</f>
        <v>http://www.12365auto.com/zlts/20200204/446337.shtml</v>
      </c>
      <c r="G12188" s="2"/>
      <c r="H12188" s="2" t="s">
        <v>16266</v>
      </c>
      <c r="I12188" s="2" t="s">
        <v>15</v>
      </c>
      <c r="J12188" s="2" t="s">
        <v>12</v>
      </c>
      <c r="K12188" s="2" t="s">
        <v>16265</v>
      </c>
      <c r="L12188" s="2">
        <f t="shared" si="190"/>
        <v>81</v>
      </c>
    </row>
    <row r="12189" spans="1:12" ht="25" customHeight="1">
      <c r="A12189" s="2" t="s">
        <v>12</v>
      </c>
      <c r="B12189" s="2" t="str">
        <f>HYPERLINK("http://www.12365auto.com/zlts/20200204/446342.shtml","手套箱无法关闭，后雨刮器故障")</f>
        <v>手套箱无法关闭，后雨刮器故障</v>
      </c>
      <c r="C12189" s="2" t="s">
        <v>13</v>
      </c>
      <c r="D12189" s="2" t="s">
        <v>12</v>
      </c>
      <c r="E12189" s="2"/>
      <c r="F12189" s="2" t="str">
        <f>HYPERLINK("http://www.12365auto.com/zlts/20200204/446342.shtml","http://www.12365auto.com/zlts/20200204/446342.shtml")</f>
        <v>http://www.12365auto.com/zlts/20200204/446342.shtml</v>
      </c>
      <c r="G12189" s="2"/>
      <c r="H12189" s="2" t="s">
        <v>16268</v>
      </c>
      <c r="I12189" s="2" t="s">
        <v>15</v>
      </c>
      <c r="J12189" s="2" t="s">
        <v>12</v>
      </c>
      <c r="K12189" s="2" t="s">
        <v>16267</v>
      </c>
      <c r="L12189" s="2">
        <f t="shared" si="190"/>
        <v>86</v>
      </c>
    </row>
    <row r="12190" spans="1:12" ht="25" customHeight="1">
      <c r="A12190" s="2" t="s">
        <v>12</v>
      </c>
      <c r="B12190" s="2" t="str">
        <f>HYPERLINK("http://www.12365auto.com/zlts/20200204/446340.shtml","上汽名爵HS变速箱与刹车严重异响")</f>
        <v>上汽名爵HS变速箱与刹车严重异响</v>
      </c>
      <c r="C12190" s="2" t="s">
        <v>13</v>
      </c>
      <c r="D12190" s="2" t="s">
        <v>12</v>
      </c>
      <c r="E12190" s="2" t="s">
        <v>17</v>
      </c>
      <c r="F12190" s="2" t="str">
        <f>HYPERLINK("http://www.12365auto.com/zlts/20200204/446340.shtml","http://www.12365auto.com/zlts/20200204/446340.shtml")</f>
        <v>http://www.12365auto.com/zlts/20200204/446340.shtml</v>
      </c>
      <c r="G12190" s="2"/>
      <c r="H12190" s="2" t="s">
        <v>16269</v>
      </c>
      <c r="I12190" s="2" t="s">
        <v>19</v>
      </c>
      <c r="J12190" s="2" t="s">
        <v>12</v>
      </c>
      <c r="K12190" s="2" t="s">
        <v>16270</v>
      </c>
      <c r="L12190" s="2">
        <f t="shared" si="190"/>
        <v>150</v>
      </c>
    </row>
    <row r="12191" spans="1:12" ht="25" customHeight="1">
      <c r="A12191" s="2" t="s">
        <v>12</v>
      </c>
      <c r="B12191" s="2" t="str">
        <f>HYPERLINK("http://www.12365auto.com/zlts/20200204/446332.shtml","上汽名爵HS电瓶电压过低有时无法启动")</f>
        <v>上汽名爵HS电瓶电压过低有时无法启动</v>
      </c>
      <c r="C12191" s="2" t="s">
        <v>13</v>
      </c>
      <c r="D12191" s="2" t="s">
        <v>12</v>
      </c>
      <c r="E12191" s="2"/>
      <c r="F12191" s="2" t="str">
        <f>HYPERLINK("http://www.12365auto.com/zlts/20200204/446332.shtml","http://www.12365auto.com/zlts/20200204/446332.shtml")</f>
        <v>http://www.12365auto.com/zlts/20200204/446332.shtml</v>
      </c>
      <c r="G12191" s="2"/>
      <c r="H12191" s="2" t="s">
        <v>16272</v>
      </c>
      <c r="I12191" s="2" t="s">
        <v>15</v>
      </c>
      <c r="J12191" s="2" t="s">
        <v>12</v>
      </c>
      <c r="K12191" s="2" t="s">
        <v>16271</v>
      </c>
      <c r="L12191" s="2">
        <f t="shared" si="190"/>
        <v>90</v>
      </c>
    </row>
    <row r="12192" spans="1:12" ht="25" customHeight="1">
      <c r="A12192" s="2" t="s">
        <v>12</v>
      </c>
      <c r="B12192" s="2" t="str">
        <f>HYPERLINK("http://www.12365auto.com/zlts/20200204/446333.shtml","上汽大众途岳两后车窗升降时有异响")</f>
        <v>上汽大众途岳两后车窗升降时有异响</v>
      </c>
      <c r="C12192" s="2" t="s">
        <v>13</v>
      </c>
      <c r="D12192" s="2" t="s">
        <v>12</v>
      </c>
      <c r="E12192" s="2" t="s">
        <v>17</v>
      </c>
      <c r="F12192" s="2" t="str">
        <f>HYPERLINK("http://www.12365auto.com/zlts/20200204/446333.shtml","http://www.12365auto.com/zlts/20200204/446333.shtml")</f>
        <v>http://www.12365auto.com/zlts/20200204/446333.shtml</v>
      </c>
      <c r="G12192" s="2"/>
      <c r="H12192" s="2" t="s">
        <v>16273</v>
      </c>
      <c r="I12192" s="2" t="s">
        <v>15</v>
      </c>
      <c r="J12192" s="2" t="s">
        <v>12</v>
      </c>
      <c r="K12192" s="2" t="s">
        <v>16274</v>
      </c>
      <c r="L12192" s="2">
        <f t="shared" si="190"/>
        <v>150</v>
      </c>
    </row>
    <row r="12193" spans="1:12" ht="25" customHeight="1">
      <c r="A12193" s="2" t="s">
        <v>12</v>
      </c>
      <c r="B12193" s="2" t="str">
        <f>HYPERLINK("http://bbs.12365auto.com/postcontent.aspx?tID=193287","开车瞌睡打盹 神仙也难关照")</f>
        <v>开车瞌睡打盹 神仙也难关照</v>
      </c>
      <c r="C12193" s="2" t="s">
        <v>13</v>
      </c>
      <c r="D12193" s="2" t="s">
        <v>12</v>
      </c>
      <c r="E12193" s="2" t="s">
        <v>28</v>
      </c>
      <c r="F12193" s="2" t="str">
        <f>HYPERLINK("http://bbs.12365auto.com/postcontent.aspx?tID=193287","http://bbs.12365auto.com/postcontent.aspx?tID=193287")</f>
        <v>http://bbs.12365auto.com/postcontent.aspx?tID=193287</v>
      </c>
      <c r="G12193" s="2"/>
      <c r="H12193" s="2" t="s">
        <v>16275</v>
      </c>
      <c r="I12193" s="2" t="s">
        <v>15</v>
      </c>
      <c r="J12193" s="2" t="s">
        <v>10367</v>
      </c>
      <c r="K12193" s="2" t="s">
        <v>16276</v>
      </c>
      <c r="L12193" s="2">
        <f t="shared" si="190"/>
        <v>35</v>
      </c>
    </row>
    <row r="12194" spans="1:12" ht="25" customHeight="1">
      <c r="A12194" s="2" t="s">
        <v>12</v>
      </c>
      <c r="B12194" s="2" t="str">
        <f>HYPERLINK("http://m.12365auto.com/bbs/postcontent.aspx?tID=193287","开车瞌睡打盹 神仙也难关照")</f>
        <v>开车瞌睡打盹 神仙也难关照</v>
      </c>
      <c r="C12194" s="2" t="s">
        <v>13</v>
      </c>
      <c r="D12194" s="2" t="s">
        <v>23</v>
      </c>
      <c r="E12194" s="2"/>
      <c r="F12194" s="2" t="str">
        <f>HYPERLINK("http://m.12365auto.com/bbs/postcontent.aspx?tID=193287","http://m.12365auto.com/bbs/postcontent.aspx?tID=193287")</f>
        <v>http://m.12365auto.com/bbs/postcontent.aspx?tID=193287</v>
      </c>
      <c r="G12194" s="2"/>
      <c r="H12194" s="2" t="s">
        <v>16277</v>
      </c>
      <c r="I12194" s="2" t="s">
        <v>15</v>
      </c>
      <c r="J12194" s="2" t="s">
        <v>10367</v>
      </c>
      <c r="K12194" s="2" t="s">
        <v>16276</v>
      </c>
      <c r="L12194" s="2">
        <f t="shared" si="190"/>
        <v>22</v>
      </c>
    </row>
    <row r="12195" spans="1:12" ht="25" customHeight="1">
      <c r="A12195" s="2" t="s">
        <v>12</v>
      </c>
      <c r="B12195" s="2" t="str">
        <f>HYPERLINK("http://bbs.12365auto.com/postcontent.aspx?tId=193287","开车瞌睡打盹 神仙也难关照")</f>
        <v>开车瞌睡打盹 神仙也难关照</v>
      </c>
      <c r="C12195" s="2" t="s">
        <v>13</v>
      </c>
      <c r="D12195" s="2" t="s">
        <v>12</v>
      </c>
      <c r="E12195" s="2" t="s">
        <v>27</v>
      </c>
      <c r="F12195" s="2" t="str">
        <f>HYPERLINK("http://bbs.12365auto.com/postcontent.aspx?tId=193287","http://bbs.12365auto.com/postcontent.aspx?tId=193287")</f>
        <v>http://bbs.12365auto.com/postcontent.aspx?tId=193287</v>
      </c>
      <c r="G12195" s="2"/>
      <c r="H12195" s="2" t="s">
        <v>16277</v>
      </c>
      <c r="I12195" s="2" t="s">
        <v>15</v>
      </c>
      <c r="J12195" s="2" t="s">
        <v>10367</v>
      </c>
      <c r="K12195" s="2" t="s">
        <v>16276</v>
      </c>
      <c r="L12195" s="2">
        <f t="shared" si="190"/>
        <v>22</v>
      </c>
    </row>
    <row r="12196" spans="1:12" ht="25" customHeight="1">
      <c r="A12196" s="2" t="s">
        <v>12</v>
      </c>
      <c r="B12196" s="2" t="str">
        <f>HYPERLINK("http://m.12365auto.com/zjdy/20200204/121017.shtml","XC90起步时动力不足重启正常什么原因？")</f>
        <v>XC90起步时动力不足重启正常什么原因？</v>
      </c>
      <c r="C12196" s="2" t="s">
        <v>13</v>
      </c>
      <c r="D12196" s="2" t="s">
        <v>12</v>
      </c>
      <c r="E12196" s="2"/>
      <c r="F12196" s="2" t="str">
        <f>HYPERLINK("http://m.12365auto.com/zjdy/20200204/121017.shtml","http://m.12365auto.com/zjdy/20200204/121017.shtml")</f>
        <v>http://m.12365auto.com/zjdy/20200204/121017.shtml</v>
      </c>
      <c r="G12196" s="2"/>
      <c r="H12196" s="2" t="s">
        <v>16278</v>
      </c>
      <c r="I12196" s="2" t="s">
        <v>19</v>
      </c>
      <c r="J12196" s="2" t="s">
        <v>12</v>
      </c>
      <c r="K12196" s="2" t="s">
        <v>16279</v>
      </c>
      <c r="L12196" s="2">
        <f t="shared" si="190"/>
        <v>35</v>
      </c>
    </row>
    <row r="12197" spans="1:12" ht="25" customHeight="1">
      <c r="A12197" s="2" t="s">
        <v>12</v>
      </c>
      <c r="B12197" s="2" t="str">
        <f>HYPERLINK("http://bbs.12365auto.com/postcontent.aspx?tID=193286","为何现在汽车失窃越来越少见")</f>
        <v>为何现在汽车失窃越来越少见</v>
      </c>
      <c r="C12197" s="2" t="s">
        <v>13</v>
      </c>
      <c r="D12197" s="2" t="s">
        <v>12</v>
      </c>
      <c r="E12197" s="2" t="s">
        <v>28</v>
      </c>
      <c r="F12197" s="2" t="str">
        <f>HYPERLINK("http://bbs.12365auto.com/postcontent.aspx?tID=193286","http://bbs.12365auto.com/postcontent.aspx?tID=193286")</f>
        <v>http://bbs.12365auto.com/postcontent.aspx?tID=193286</v>
      </c>
      <c r="G12197" s="2"/>
      <c r="H12197" s="2" t="s">
        <v>16280</v>
      </c>
      <c r="I12197" s="2" t="s">
        <v>15</v>
      </c>
      <c r="J12197" s="2" t="s">
        <v>10367</v>
      </c>
      <c r="K12197" s="2" t="s">
        <v>16281</v>
      </c>
      <c r="L12197" s="2">
        <f t="shared" si="190"/>
        <v>150</v>
      </c>
    </row>
    <row r="12198" spans="1:12" ht="25" customHeight="1">
      <c r="A12198" s="2" t="s">
        <v>12</v>
      </c>
      <c r="B12198" s="2" t="str">
        <f>HYPERLINK("http://bbs.12365auto.com/postcontent.aspx?tID=193285","你不知道的汽车冷知识")</f>
        <v>你不知道的汽车冷知识</v>
      </c>
      <c r="C12198" s="2" t="s">
        <v>13</v>
      </c>
      <c r="D12198" s="2" t="s">
        <v>12</v>
      </c>
      <c r="E12198" s="2" t="s">
        <v>28</v>
      </c>
      <c r="F12198" s="2" t="str">
        <f>HYPERLINK("http://bbs.12365auto.com/postcontent.aspx?tID=193285","http://bbs.12365auto.com/postcontent.aspx?tID=193285")</f>
        <v>http://bbs.12365auto.com/postcontent.aspx?tID=193285</v>
      </c>
      <c r="G12198" s="2"/>
      <c r="H12198" s="2" t="s">
        <v>16282</v>
      </c>
      <c r="I12198" s="2" t="s">
        <v>15</v>
      </c>
      <c r="J12198" s="2" t="s">
        <v>10367</v>
      </c>
      <c r="K12198" s="2" t="s">
        <v>16281</v>
      </c>
      <c r="L12198" s="2">
        <f t="shared" si="190"/>
        <v>150</v>
      </c>
    </row>
    <row r="12199" spans="1:12" ht="25" customHeight="1">
      <c r="A12199" s="2" t="s">
        <v>12</v>
      </c>
      <c r="B12199" s="2" t="str">
        <f>HYPERLINK("http://m.12365auto.com/bbs/postcontent.aspx?tID=193286","为何现在汽车失窃越来越少见")</f>
        <v>为何现在汽车失窃越来越少见</v>
      </c>
      <c r="C12199" s="2" t="s">
        <v>13</v>
      </c>
      <c r="D12199" s="2" t="s">
        <v>23</v>
      </c>
      <c r="E12199" s="2"/>
      <c r="F12199" s="2" t="str">
        <f>HYPERLINK("http://m.12365auto.com/bbs/postcontent.aspx?tID=193286","http://m.12365auto.com/bbs/postcontent.aspx?tID=193286")</f>
        <v>http://m.12365auto.com/bbs/postcontent.aspx?tID=193286</v>
      </c>
      <c r="G12199" s="2"/>
      <c r="H12199" s="2" t="s">
        <v>16283</v>
      </c>
      <c r="I12199" s="2" t="s">
        <v>15</v>
      </c>
      <c r="J12199" s="2" t="s">
        <v>10367</v>
      </c>
      <c r="K12199" s="2" t="s">
        <v>16281</v>
      </c>
      <c r="L12199" s="2">
        <f t="shared" si="190"/>
        <v>150</v>
      </c>
    </row>
    <row r="12200" spans="1:12" ht="25" customHeight="1">
      <c r="A12200" s="2" t="s">
        <v>12</v>
      </c>
      <c r="B12200" s="2" t="str">
        <f>HYPERLINK("http://m.12365auto.com/bbs/postcontent.aspx?tID=193285","你不知道的汽车冷知识")</f>
        <v>你不知道的汽车冷知识</v>
      </c>
      <c r="C12200" s="2" t="s">
        <v>13</v>
      </c>
      <c r="D12200" s="2" t="s">
        <v>23</v>
      </c>
      <c r="E12200" s="2"/>
      <c r="F12200" s="2" t="str">
        <f>HYPERLINK("http://m.12365auto.com/bbs/postcontent.aspx?tID=193285","http://m.12365auto.com/bbs/postcontent.aspx?tID=193285")</f>
        <v>http://m.12365auto.com/bbs/postcontent.aspx?tID=193285</v>
      </c>
      <c r="G12200" s="2"/>
      <c r="H12200" s="2" t="s">
        <v>12169</v>
      </c>
      <c r="I12200" s="2" t="s">
        <v>15</v>
      </c>
      <c r="J12200" s="2" t="s">
        <v>10367</v>
      </c>
      <c r="K12200" s="2" t="s">
        <v>16281</v>
      </c>
      <c r="L12200" s="2">
        <f t="shared" si="190"/>
        <v>150</v>
      </c>
    </row>
    <row r="12201" spans="1:12" ht="25" customHeight="1">
      <c r="A12201" s="2" t="s">
        <v>12</v>
      </c>
      <c r="B12201" s="2" t="str">
        <f>HYPERLINK("http://bbs.12365auto.com/postcontent.aspx?tId=193286","为何现在汽车失窃越来越少见")</f>
        <v>为何现在汽车失窃越来越少见</v>
      </c>
      <c r="C12201" s="2" t="s">
        <v>13</v>
      </c>
      <c r="D12201" s="2" t="s">
        <v>12</v>
      </c>
      <c r="E12201" s="2" t="s">
        <v>27</v>
      </c>
      <c r="F12201" s="2" t="str">
        <f>HYPERLINK("http://bbs.12365auto.com/postcontent.aspx?tId=193286","http://bbs.12365auto.com/postcontent.aspx?tId=193286")</f>
        <v>http://bbs.12365auto.com/postcontent.aspx?tId=193286</v>
      </c>
      <c r="G12201" s="2"/>
      <c r="H12201" s="2" t="s">
        <v>16283</v>
      </c>
      <c r="I12201" s="2" t="s">
        <v>15</v>
      </c>
      <c r="J12201" s="2" t="s">
        <v>10367</v>
      </c>
      <c r="K12201" s="2" t="s">
        <v>16281</v>
      </c>
      <c r="L12201" s="2">
        <f t="shared" si="190"/>
        <v>150</v>
      </c>
    </row>
    <row r="12202" spans="1:12" ht="25" customHeight="1">
      <c r="A12202" s="2" t="s">
        <v>12</v>
      </c>
      <c r="B12202" s="2" t="str">
        <f>HYPERLINK("http://bbs.12365auto.com/postcontent.aspx?tId=193285","你不知道的汽车冷知识")</f>
        <v>你不知道的汽车冷知识</v>
      </c>
      <c r="C12202" s="2" t="s">
        <v>13</v>
      </c>
      <c r="D12202" s="2" t="s">
        <v>12</v>
      </c>
      <c r="E12202" s="2" t="s">
        <v>27</v>
      </c>
      <c r="F12202" s="2" t="str">
        <f>HYPERLINK("http://bbs.12365auto.com/postcontent.aspx?tId=193285","http://bbs.12365auto.com/postcontent.aspx?tId=193285")</f>
        <v>http://bbs.12365auto.com/postcontent.aspx?tId=193285</v>
      </c>
      <c r="G12202" s="2"/>
      <c r="H12202" s="2" t="s">
        <v>12169</v>
      </c>
      <c r="I12202" s="2" t="s">
        <v>15</v>
      </c>
      <c r="J12202" s="2" t="s">
        <v>10367</v>
      </c>
      <c r="K12202" s="2" t="s">
        <v>16281</v>
      </c>
      <c r="L12202" s="2">
        <f t="shared" si="190"/>
        <v>150</v>
      </c>
    </row>
    <row r="12203" spans="1:12" ht="25" customHeight="1">
      <c r="A12203" s="2" t="s">
        <v>12</v>
      </c>
      <c r="B12203" s="2" t="str">
        <f>HYPERLINK("http://bbs.12365auto.com/postcontent.aspx?tID=193283","没车的人考了驾照有啥用")</f>
        <v>没车的人考了驾照有啥用</v>
      </c>
      <c r="C12203" s="2" t="s">
        <v>13</v>
      </c>
      <c r="D12203" s="2" t="s">
        <v>12</v>
      </c>
      <c r="E12203" s="2" t="s">
        <v>28</v>
      </c>
      <c r="F12203" s="2" t="str">
        <f>HYPERLINK("http://bbs.12365auto.com/postcontent.aspx?tID=193283","http://bbs.12365auto.com/postcontent.aspx?tID=193283")</f>
        <v>http://bbs.12365auto.com/postcontent.aspx?tID=193283</v>
      </c>
      <c r="G12203" s="2"/>
      <c r="H12203" s="2" t="s">
        <v>16284</v>
      </c>
      <c r="I12203" s="2" t="s">
        <v>15</v>
      </c>
      <c r="J12203" s="2" t="s">
        <v>10367</v>
      </c>
      <c r="K12203" s="2" t="s">
        <v>16285</v>
      </c>
      <c r="L12203" s="2">
        <f t="shared" si="190"/>
        <v>150</v>
      </c>
    </row>
    <row r="12204" spans="1:12" ht="25" customHeight="1">
      <c r="A12204" s="2" t="s">
        <v>12</v>
      </c>
      <c r="B12204" s="2" t="str">
        <f>HYPERLINK("http://bbs.12365auto.com/postcontent.aspx?tID=193284","“抱着方向盘”是最傻的开车姿势")</f>
        <v>“抱着方向盘”是最傻的开车姿势</v>
      </c>
      <c r="C12204" s="2" t="s">
        <v>13</v>
      </c>
      <c r="D12204" s="2" t="s">
        <v>12</v>
      </c>
      <c r="E12204" s="2" t="s">
        <v>28</v>
      </c>
      <c r="F12204" s="2" t="str">
        <f>HYPERLINK("http://bbs.12365auto.com/postcontent.aspx?tID=193284","http://bbs.12365auto.com/postcontent.aspx?tID=193284")</f>
        <v>http://bbs.12365auto.com/postcontent.aspx?tID=193284</v>
      </c>
      <c r="G12204" s="2"/>
      <c r="H12204" s="2" t="s">
        <v>4565</v>
      </c>
      <c r="I12204" s="2" t="s">
        <v>15</v>
      </c>
      <c r="J12204" s="2" t="s">
        <v>10367</v>
      </c>
      <c r="K12204" s="2" t="s">
        <v>16285</v>
      </c>
      <c r="L12204" s="2">
        <f t="shared" si="190"/>
        <v>150</v>
      </c>
    </row>
    <row r="12205" spans="1:12" ht="25" customHeight="1">
      <c r="A12205" s="2" t="s">
        <v>12</v>
      </c>
      <c r="B12205" s="2" t="str">
        <f>HYPERLINK("http://bbs.12365auto.com/postcontent.aspx?tID=193282","疫情期间开车外出要注意什么")</f>
        <v>疫情期间开车外出要注意什么</v>
      </c>
      <c r="C12205" s="2" t="s">
        <v>13</v>
      </c>
      <c r="D12205" s="2" t="s">
        <v>12</v>
      </c>
      <c r="E12205" s="2" t="s">
        <v>28</v>
      </c>
      <c r="F12205" s="2" t="str">
        <f>HYPERLINK("http://bbs.12365auto.com/postcontent.aspx?tID=193282","http://bbs.12365auto.com/postcontent.aspx?tID=193282")</f>
        <v>http://bbs.12365auto.com/postcontent.aspx?tID=193282</v>
      </c>
      <c r="G12205" s="2"/>
      <c r="H12205" s="2" t="s">
        <v>16286</v>
      </c>
      <c r="I12205" s="2" t="s">
        <v>15</v>
      </c>
      <c r="J12205" s="2" t="s">
        <v>10367</v>
      </c>
      <c r="K12205" s="2" t="s">
        <v>16285</v>
      </c>
      <c r="L12205" s="2">
        <f t="shared" si="190"/>
        <v>150</v>
      </c>
    </row>
    <row r="12206" spans="1:12" ht="25" customHeight="1">
      <c r="A12206" s="2" t="s">
        <v>12</v>
      </c>
      <c r="B12206" s="2" t="str">
        <f>HYPERLINK("http://m.12365auto.com/bbs/postcontent.aspx?tID=193283","没车的人考了驾照有啥用")</f>
        <v>没车的人考了驾照有啥用</v>
      </c>
      <c r="C12206" s="2" t="s">
        <v>13</v>
      </c>
      <c r="D12206" s="2" t="s">
        <v>23</v>
      </c>
      <c r="E12206" s="2"/>
      <c r="F12206" s="2" t="str">
        <f>HYPERLINK("http://m.12365auto.com/bbs/postcontent.aspx?tID=193283","http://m.12365auto.com/bbs/postcontent.aspx?tID=193283")</f>
        <v>http://m.12365auto.com/bbs/postcontent.aspx?tID=193283</v>
      </c>
      <c r="G12206" s="2"/>
      <c r="H12206" s="2" t="s">
        <v>16287</v>
      </c>
      <c r="I12206" s="2" t="s">
        <v>15</v>
      </c>
      <c r="J12206" s="2" t="s">
        <v>10367</v>
      </c>
      <c r="K12206" s="2" t="s">
        <v>16285</v>
      </c>
      <c r="L12206" s="2">
        <f t="shared" si="190"/>
        <v>150</v>
      </c>
    </row>
    <row r="12207" spans="1:12" ht="25" customHeight="1">
      <c r="A12207" s="2" t="s">
        <v>12</v>
      </c>
      <c r="B12207" s="2" t="str">
        <f>HYPERLINK("http://m.12365auto.com/bbs/postcontent.aspx?tID=193282","疫情期间开车外出要注意什么")</f>
        <v>疫情期间开车外出要注意什么</v>
      </c>
      <c r="C12207" s="2" t="s">
        <v>13</v>
      </c>
      <c r="D12207" s="2" t="s">
        <v>23</v>
      </c>
      <c r="E12207" s="2"/>
      <c r="F12207" s="2" t="str">
        <f>HYPERLINK("http://m.12365auto.com/bbs/postcontent.aspx?tID=193282","http://m.12365auto.com/bbs/postcontent.aspx?tID=193282")</f>
        <v>http://m.12365auto.com/bbs/postcontent.aspx?tID=193282</v>
      </c>
      <c r="G12207" s="2"/>
      <c r="H12207" s="2" t="s">
        <v>16288</v>
      </c>
      <c r="I12207" s="2" t="s">
        <v>15</v>
      </c>
      <c r="J12207" s="2" t="s">
        <v>10367</v>
      </c>
      <c r="K12207" s="2" t="s">
        <v>16285</v>
      </c>
      <c r="L12207" s="2">
        <f t="shared" si="190"/>
        <v>150</v>
      </c>
    </row>
    <row r="12208" spans="1:12" ht="25" customHeight="1">
      <c r="A12208" s="2" t="s">
        <v>12</v>
      </c>
      <c r="B12208" s="2" t="str">
        <f>HYPERLINK("http://m.12365auto.com/bbs/postcontent.aspx?tID=193284","“抱着方向盘”是最傻的开车姿势")</f>
        <v>“抱着方向盘”是最傻的开车姿势</v>
      </c>
      <c r="C12208" s="2" t="s">
        <v>13</v>
      </c>
      <c r="D12208" s="2" t="s">
        <v>23</v>
      </c>
      <c r="E12208" s="2"/>
      <c r="F12208" s="2" t="str">
        <f>HYPERLINK("http://m.12365auto.com/bbs/postcontent.aspx?tID=193284","http://m.12365auto.com/bbs/postcontent.aspx?tID=193284")</f>
        <v>http://m.12365auto.com/bbs/postcontent.aspx?tID=193284</v>
      </c>
      <c r="G12208" s="2"/>
      <c r="H12208" s="2" t="s">
        <v>4563</v>
      </c>
      <c r="I12208" s="2" t="s">
        <v>15</v>
      </c>
      <c r="J12208" s="2" t="s">
        <v>10367</v>
      </c>
      <c r="K12208" s="2" t="s">
        <v>16285</v>
      </c>
      <c r="L12208" s="2">
        <f t="shared" si="190"/>
        <v>150</v>
      </c>
    </row>
    <row r="12209" spans="1:12" ht="25" customHeight="1">
      <c r="A12209" s="2" t="s">
        <v>12</v>
      </c>
      <c r="B12209" s="2" t="str">
        <f>HYPERLINK("http://bbs.12365auto.com/postcontent.aspx?tId=193284","“抱着方向盘”是最傻的开车姿势")</f>
        <v>“抱着方向盘”是最傻的开车姿势</v>
      </c>
      <c r="C12209" s="2" t="s">
        <v>13</v>
      </c>
      <c r="D12209" s="2" t="s">
        <v>12</v>
      </c>
      <c r="E12209" s="2" t="s">
        <v>27</v>
      </c>
      <c r="F12209" s="2" t="str">
        <f>HYPERLINK("http://bbs.12365auto.com/postcontent.aspx?tId=193284","http://bbs.12365auto.com/postcontent.aspx?tId=193284")</f>
        <v>http://bbs.12365auto.com/postcontent.aspx?tId=193284</v>
      </c>
      <c r="G12209" s="2"/>
      <c r="H12209" s="2" t="s">
        <v>4563</v>
      </c>
      <c r="I12209" s="2" t="s">
        <v>15</v>
      </c>
      <c r="J12209" s="2" t="s">
        <v>10367</v>
      </c>
      <c r="K12209" s="2" t="s">
        <v>16285</v>
      </c>
      <c r="L12209" s="2">
        <f t="shared" si="190"/>
        <v>150</v>
      </c>
    </row>
    <row r="12210" spans="1:12" ht="25" customHeight="1">
      <c r="A12210" s="2" t="s">
        <v>12</v>
      </c>
      <c r="B12210" s="2" t="str">
        <f>HYPERLINK("http://bbs.12365auto.com/postcontent.aspx?tId=193283","没车的人考了驾照有啥用")</f>
        <v>没车的人考了驾照有啥用</v>
      </c>
      <c r="C12210" s="2" t="s">
        <v>13</v>
      </c>
      <c r="D12210" s="2" t="s">
        <v>12</v>
      </c>
      <c r="E12210" s="2" t="s">
        <v>27</v>
      </c>
      <c r="F12210" s="2" t="str">
        <f>HYPERLINK("http://bbs.12365auto.com/postcontent.aspx?tId=193283","http://bbs.12365auto.com/postcontent.aspx?tId=193283")</f>
        <v>http://bbs.12365auto.com/postcontent.aspx?tId=193283</v>
      </c>
      <c r="G12210" s="2"/>
      <c r="H12210" s="2" t="s">
        <v>16287</v>
      </c>
      <c r="I12210" s="2" t="s">
        <v>15</v>
      </c>
      <c r="J12210" s="2" t="s">
        <v>10367</v>
      </c>
      <c r="K12210" s="2" t="s">
        <v>16285</v>
      </c>
      <c r="L12210" s="2">
        <f t="shared" si="190"/>
        <v>150</v>
      </c>
    </row>
    <row r="12211" spans="1:12" ht="25" customHeight="1">
      <c r="A12211" s="2" t="s">
        <v>12</v>
      </c>
      <c r="B12211" s="2" t="str">
        <f>HYPERLINK("http://bbs.12365auto.com/postcontent.aspx?tId=193282","疫情期间开车外出要注意什么")</f>
        <v>疫情期间开车外出要注意什么</v>
      </c>
      <c r="C12211" s="2" t="s">
        <v>13</v>
      </c>
      <c r="D12211" s="2" t="s">
        <v>12</v>
      </c>
      <c r="E12211" s="2" t="s">
        <v>27</v>
      </c>
      <c r="F12211" s="2" t="str">
        <f>HYPERLINK("http://bbs.12365auto.com/postcontent.aspx?tId=193282","http://bbs.12365auto.com/postcontent.aspx?tId=193282")</f>
        <v>http://bbs.12365auto.com/postcontent.aspx?tId=193282</v>
      </c>
      <c r="G12211" s="2"/>
      <c r="H12211" s="2" t="s">
        <v>16288</v>
      </c>
      <c r="I12211" s="2" t="s">
        <v>15</v>
      </c>
      <c r="J12211" s="2" t="s">
        <v>10367</v>
      </c>
      <c r="K12211" s="2" t="s">
        <v>16285</v>
      </c>
      <c r="L12211" s="2">
        <f t="shared" si="190"/>
        <v>150</v>
      </c>
    </row>
    <row r="12212" spans="1:12" ht="25" customHeight="1">
      <c r="A12212" s="2" t="s">
        <v>12</v>
      </c>
      <c r="B12212" s="2" t="str">
        <f>HYPERLINK("http://bbs.12365auto.com/postcontent.aspx?tID=193280","副驾驶不系安全带怎么处罚")</f>
        <v>副驾驶不系安全带怎么处罚</v>
      </c>
      <c r="C12212" s="2" t="s">
        <v>13</v>
      </c>
      <c r="D12212" s="2" t="s">
        <v>12</v>
      </c>
      <c r="E12212" s="2" t="s">
        <v>28</v>
      </c>
      <c r="F12212" s="2" t="str">
        <f>HYPERLINK("http://bbs.12365auto.com/postcontent.aspx?tID=193280","http://bbs.12365auto.com/postcontent.aspx?tID=193280")</f>
        <v>http://bbs.12365auto.com/postcontent.aspx?tID=193280</v>
      </c>
      <c r="G12212" s="2"/>
      <c r="H12212" s="2" t="s">
        <v>16289</v>
      </c>
      <c r="I12212" s="2" t="s">
        <v>15</v>
      </c>
      <c r="J12212" s="2" t="s">
        <v>10367</v>
      </c>
      <c r="K12212" s="2" t="s">
        <v>16290</v>
      </c>
      <c r="L12212" s="2">
        <f t="shared" si="190"/>
        <v>150</v>
      </c>
    </row>
    <row r="12213" spans="1:12" ht="25" customHeight="1">
      <c r="A12213" s="2" t="s">
        <v>12</v>
      </c>
      <c r="B12213" s="2" t="str">
        <f>HYPERLINK("http://bbs.12365auto.com/postcontent.aspx?tID=193281","15城暂停限号")</f>
        <v>15城暂停限号</v>
      </c>
      <c r="C12213" s="2" t="s">
        <v>13</v>
      </c>
      <c r="D12213" s="2" t="s">
        <v>12</v>
      </c>
      <c r="E12213" s="2" t="s">
        <v>28</v>
      </c>
      <c r="F12213" s="2" t="str">
        <f>HYPERLINK("http://bbs.12365auto.com/postcontent.aspx?tID=193281","http://bbs.12365auto.com/postcontent.aspx?tID=193281")</f>
        <v>http://bbs.12365auto.com/postcontent.aspx?tID=193281</v>
      </c>
      <c r="G12213" s="2"/>
      <c r="H12213" s="2" t="s">
        <v>16291</v>
      </c>
      <c r="I12213" s="2" t="s">
        <v>15</v>
      </c>
      <c r="J12213" s="2" t="s">
        <v>10367</v>
      </c>
      <c r="K12213" s="2" t="s">
        <v>16290</v>
      </c>
      <c r="L12213" s="2">
        <f t="shared" si="190"/>
        <v>150</v>
      </c>
    </row>
    <row r="12214" spans="1:12" ht="25" customHeight="1">
      <c r="A12214" s="2" t="s">
        <v>12</v>
      </c>
      <c r="B12214" s="2" t="str">
        <f>HYPERLINK("http://m.12365auto.com/bbs/postcontent.aspx?tID=193280","副驾驶不系安全带怎么处罚")</f>
        <v>副驾驶不系安全带怎么处罚</v>
      </c>
      <c r="C12214" s="2" t="s">
        <v>13</v>
      </c>
      <c r="D12214" s="2" t="s">
        <v>23</v>
      </c>
      <c r="E12214" s="2"/>
      <c r="F12214" s="2" t="str">
        <f>HYPERLINK("http://m.12365auto.com/bbs/postcontent.aspx?tID=193280","http://m.12365auto.com/bbs/postcontent.aspx?tID=193280")</f>
        <v>http://m.12365auto.com/bbs/postcontent.aspx?tID=193280</v>
      </c>
      <c r="G12214" s="2"/>
      <c r="H12214" s="2" t="s">
        <v>16292</v>
      </c>
      <c r="I12214" s="2" t="s">
        <v>15</v>
      </c>
      <c r="J12214" s="2" t="s">
        <v>10367</v>
      </c>
      <c r="K12214" s="2" t="s">
        <v>16290</v>
      </c>
      <c r="L12214" s="2">
        <f t="shared" si="190"/>
        <v>150</v>
      </c>
    </row>
    <row r="12215" spans="1:12" ht="25" customHeight="1">
      <c r="A12215" s="2" t="s">
        <v>12</v>
      </c>
      <c r="B12215" s="2" t="str">
        <f>HYPERLINK("http://m.12365auto.com/bbs/postcontent.aspx?tID=193281","15城暂停限号")</f>
        <v>15城暂停限号</v>
      </c>
      <c r="C12215" s="2" t="s">
        <v>13</v>
      </c>
      <c r="D12215" s="2" t="s">
        <v>23</v>
      </c>
      <c r="E12215" s="2"/>
      <c r="F12215" s="2" t="str">
        <f>HYPERLINK("http://m.12365auto.com/bbs/postcontent.aspx?tID=193281","http://m.12365auto.com/bbs/postcontent.aspx?tID=193281")</f>
        <v>http://m.12365auto.com/bbs/postcontent.aspx?tID=193281</v>
      </c>
      <c r="G12215" s="2"/>
      <c r="H12215" s="2" t="s">
        <v>16293</v>
      </c>
      <c r="I12215" s="2" t="s">
        <v>15</v>
      </c>
      <c r="J12215" s="2" t="s">
        <v>10367</v>
      </c>
      <c r="K12215" s="2" t="s">
        <v>16290</v>
      </c>
      <c r="L12215" s="2">
        <f t="shared" si="190"/>
        <v>150</v>
      </c>
    </row>
    <row r="12216" spans="1:12" ht="25" customHeight="1">
      <c r="A12216" s="2" t="s">
        <v>12</v>
      </c>
      <c r="B12216" s="2" t="str">
        <f>HYPERLINK("http://bbs.12365auto.com/postcontent.aspx?tId=193281","15城暂停限号")</f>
        <v>15城暂停限号</v>
      </c>
      <c r="C12216" s="2" t="s">
        <v>13</v>
      </c>
      <c r="D12216" s="2" t="s">
        <v>12</v>
      </c>
      <c r="E12216" s="2" t="s">
        <v>27</v>
      </c>
      <c r="F12216" s="2" t="str">
        <f>HYPERLINK("http://bbs.12365auto.com/postcontent.aspx?tId=193281","http://bbs.12365auto.com/postcontent.aspx?tId=193281")</f>
        <v>http://bbs.12365auto.com/postcontent.aspx?tId=193281</v>
      </c>
      <c r="G12216" s="2"/>
      <c r="H12216" s="2" t="s">
        <v>16293</v>
      </c>
      <c r="I12216" s="2" t="s">
        <v>15</v>
      </c>
      <c r="J12216" s="2" t="s">
        <v>10367</v>
      </c>
      <c r="K12216" s="2" t="s">
        <v>16290</v>
      </c>
      <c r="L12216" s="2">
        <f t="shared" si="190"/>
        <v>150</v>
      </c>
    </row>
    <row r="12217" spans="1:12" ht="25" customHeight="1">
      <c r="A12217" s="2" t="s">
        <v>12</v>
      </c>
      <c r="B12217" s="2" t="str">
        <f>HYPERLINK("http://bbs.12365auto.com/postcontent.aspx?tId=193280","副驾驶不系安全带怎么处罚")</f>
        <v>副驾驶不系安全带怎么处罚</v>
      </c>
      <c r="C12217" s="2" t="s">
        <v>13</v>
      </c>
      <c r="D12217" s="2" t="s">
        <v>12</v>
      </c>
      <c r="E12217" s="2" t="s">
        <v>27</v>
      </c>
      <c r="F12217" s="2" t="str">
        <f>HYPERLINK("http://bbs.12365auto.com/postcontent.aspx?tId=193280","http://bbs.12365auto.com/postcontent.aspx?tId=193280")</f>
        <v>http://bbs.12365auto.com/postcontent.aspx?tId=193280</v>
      </c>
      <c r="G12217" s="2"/>
      <c r="H12217" s="2" t="s">
        <v>16292</v>
      </c>
      <c r="I12217" s="2" t="s">
        <v>15</v>
      </c>
      <c r="J12217" s="2" t="s">
        <v>10367</v>
      </c>
      <c r="K12217" s="2" t="s">
        <v>16290</v>
      </c>
      <c r="L12217" s="2">
        <f t="shared" si="190"/>
        <v>150</v>
      </c>
    </row>
    <row r="12218" spans="1:12" ht="25" customHeight="1">
      <c r="A12218" s="2" t="s">
        <v>12</v>
      </c>
      <c r="B12218" s="2" t="str">
        <f>HYPERLINK("http://m.12365auto.com/zjdy/20200204/121016.shtml","欧尚CX70存在设计缺陷不予处理怎么办？")</f>
        <v>欧尚CX70存在设计缺陷不予处理怎么办？</v>
      </c>
      <c r="C12218" s="2" t="s">
        <v>13</v>
      </c>
      <c r="D12218" s="2" t="s">
        <v>12</v>
      </c>
      <c r="E12218" s="2"/>
      <c r="F12218" s="2" t="str">
        <f>HYPERLINK("http://m.12365auto.com/zjdy/20200204/121016.shtml","http://m.12365auto.com/zjdy/20200204/121016.shtml")</f>
        <v>http://m.12365auto.com/zjdy/20200204/121016.shtml</v>
      </c>
      <c r="G12218" s="2"/>
      <c r="H12218" s="2" t="s">
        <v>16294</v>
      </c>
      <c r="I12218" s="2" t="s">
        <v>19</v>
      </c>
      <c r="J12218" s="2" t="s">
        <v>12</v>
      </c>
      <c r="K12218" s="2" t="s">
        <v>16295</v>
      </c>
      <c r="L12218" s="2">
        <f t="shared" si="190"/>
        <v>58</v>
      </c>
    </row>
    <row r="12219" spans="1:12" ht="25" customHeight="1">
      <c r="A12219" s="2" t="s">
        <v>12</v>
      </c>
      <c r="B12219" s="2" t="str">
        <f>HYPERLINK("http://bbs.12365auto.com/postcontent.aspx?tID=193278","交警叔叔教你如何进入可变车道不被扣6分罚200")</f>
        <v>交警叔叔教你如何进入可变车道不被扣6分罚200</v>
      </c>
      <c r="C12219" s="2" t="s">
        <v>13</v>
      </c>
      <c r="D12219" s="2" t="s">
        <v>12</v>
      </c>
      <c r="E12219" s="2" t="s">
        <v>28</v>
      </c>
      <c r="F12219" s="2" t="str">
        <f>HYPERLINK("http://bbs.12365auto.com/postcontent.aspx?tID=193278","http://bbs.12365auto.com/postcontent.aspx?tID=193278")</f>
        <v>http://bbs.12365auto.com/postcontent.aspx?tID=193278</v>
      </c>
      <c r="G12219" s="2"/>
      <c r="H12219" s="2" t="s">
        <v>16296</v>
      </c>
      <c r="I12219" s="2" t="s">
        <v>15</v>
      </c>
      <c r="J12219" s="2" t="s">
        <v>10367</v>
      </c>
      <c r="K12219" s="2" t="s">
        <v>16297</v>
      </c>
      <c r="L12219" s="2">
        <f t="shared" si="190"/>
        <v>150</v>
      </c>
    </row>
    <row r="12220" spans="1:12" ht="25" customHeight="1">
      <c r="A12220" s="2" t="s">
        <v>12</v>
      </c>
      <c r="B12220" s="2" t="str">
        <f>HYPERLINK("http://m.12365auto.com/bbs/postcontent.aspx?tID=193279","疫情期间如何安全用车")</f>
        <v>疫情期间如何安全用车</v>
      </c>
      <c r="C12220" s="2" t="s">
        <v>13</v>
      </c>
      <c r="D12220" s="2" t="s">
        <v>23</v>
      </c>
      <c r="E12220" s="2"/>
      <c r="F12220" s="2" t="str">
        <f>HYPERLINK("http://m.12365auto.com/bbs/postcontent.aspx?tID=193279","http://m.12365auto.com/bbs/postcontent.aspx?tID=193279")</f>
        <v>http://m.12365auto.com/bbs/postcontent.aspx?tID=193279</v>
      </c>
      <c r="G12220" s="2"/>
      <c r="H12220" s="2" t="s">
        <v>16298</v>
      </c>
      <c r="I12220" s="2" t="s">
        <v>15</v>
      </c>
      <c r="J12220" s="2" t="s">
        <v>10367</v>
      </c>
      <c r="K12220" s="2" t="s">
        <v>16297</v>
      </c>
      <c r="L12220" s="2">
        <f t="shared" si="190"/>
        <v>150</v>
      </c>
    </row>
    <row r="12221" spans="1:12" ht="25" customHeight="1">
      <c r="A12221" s="2" t="s">
        <v>12</v>
      </c>
      <c r="B12221" s="2" t="str">
        <f>HYPERLINK("http://m.12365auto.com/bbs/postcontent.aspx?tID=193278","交警叔叔教你如何进入可变车道不被扣6分罚200")</f>
        <v>交警叔叔教你如何进入可变车道不被扣6分罚200</v>
      </c>
      <c r="C12221" s="2" t="s">
        <v>13</v>
      </c>
      <c r="D12221" s="2" t="s">
        <v>23</v>
      </c>
      <c r="E12221" s="2"/>
      <c r="F12221" s="2" t="str">
        <f>HYPERLINK("http://m.12365auto.com/bbs/postcontent.aspx?tID=193278","http://m.12365auto.com/bbs/postcontent.aspx?tID=193278")</f>
        <v>http://m.12365auto.com/bbs/postcontent.aspx?tID=193278</v>
      </c>
      <c r="G12221" s="2"/>
      <c r="H12221" s="2" t="s">
        <v>16299</v>
      </c>
      <c r="I12221" s="2" t="s">
        <v>15</v>
      </c>
      <c r="J12221" s="2" t="s">
        <v>10367</v>
      </c>
      <c r="K12221" s="2" t="s">
        <v>16297</v>
      </c>
      <c r="L12221" s="2">
        <f t="shared" si="190"/>
        <v>150</v>
      </c>
    </row>
    <row r="12222" spans="1:12" ht="25" customHeight="1">
      <c r="A12222" s="2" t="s">
        <v>12</v>
      </c>
      <c r="B12222" s="2" t="str">
        <f>HYPERLINK("http://bbs.12365auto.com/postcontent.aspx?tID=193279","疫情期间如何安全用车")</f>
        <v>疫情期间如何安全用车</v>
      </c>
      <c r="C12222" s="2" t="s">
        <v>13</v>
      </c>
      <c r="D12222" s="2" t="s">
        <v>12</v>
      </c>
      <c r="E12222" s="2" t="s">
        <v>28</v>
      </c>
      <c r="F12222" s="2" t="str">
        <f>HYPERLINK("http://bbs.12365auto.com/postcontent.aspx?tID=193279","http://bbs.12365auto.com/postcontent.aspx?tID=193279")</f>
        <v>http://bbs.12365auto.com/postcontent.aspx?tID=193279</v>
      </c>
      <c r="G12222" s="2"/>
      <c r="H12222" s="2" t="s">
        <v>16300</v>
      </c>
      <c r="I12222" s="2" t="s">
        <v>15</v>
      </c>
      <c r="J12222" s="2" t="s">
        <v>10367</v>
      </c>
      <c r="K12222" s="2" t="s">
        <v>16297</v>
      </c>
      <c r="L12222" s="2">
        <f t="shared" si="190"/>
        <v>150</v>
      </c>
    </row>
    <row r="12223" spans="1:12" ht="25" customHeight="1">
      <c r="A12223" s="2" t="s">
        <v>12</v>
      </c>
      <c r="B12223" s="2" t="str">
        <f>HYPERLINK("http://bbs.12365auto.com/postcontent.aspx?tId=193278","交警叔叔教你如何进入可变车道不被扣6分罚200")</f>
        <v>交警叔叔教你如何进入可变车道不被扣6分罚200</v>
      </c>
      <c r="C12223" s="2" t="s">
        <v>13</v>
      </c>
      <c r="D12223" s="2" t="s">
        <v>12</v>
      </c>
      <c r="E12223" s="2" t="s">
        <v>27</v>
      </c>
      <c r="F12223" s="2" t="str">
        <f>HYPERLINK("http://bbs.12365auto.com/postcontent.aspx?tId=193278","http://bbs.12365auto.com/postcontent.aspx?tId=193278")</f>
        <v>http://bbs.12365auto.com/postcontent.aspx?tId=193278</v>
      </c>
      <c r="G12223" s="2"/>
      <c r="H12223" s="2" t="s">
        <v>16299</v>
      </c>
      <c r="I12223" s="2" t="s">
        <v>15</v>
      </c>
      <c r="J12223" s="2" t="s">
        <v>10367</v>
      </c>
      <c r="K12223" s="2" t="s">
        <v>16297</v>
      </c>
      <c r="L12223" s="2">
        <f t="shared" si="190"/>
        <v>150</v>
      </c>
    </row>
    <row r="12224" spans="1:12" ht="25" customHeight="1">
      <c r="A12224" s="2" t="s">
        <v>12</v>
      </c>
      <c r="B12224" s="2" t="str">
        <f>HYPERLINK("http://bbs.12365auto.com/postcontent.aspx?tId=193279","疫情期间如何安全用车")</f>
        <v>疫情期间如何安全用车</v>
      </c>
      <c r="C12224" s="2" t="s">
        <v>13</v>
      </c>
      <c r="D12224" s="2" t="s">
        <v>12</v>
      </c>
      <c r="E12224" s="2" t="s">
        <v>27</v>
      </c>
      <c r="F12224" s="2" t="str">
        <f>HYPERLINK("http://bbs.12365auto.com/postcontent.aspx?tId=193279","http://bbs.12365auto.com/postcontent.aspx?tId=193279")</f>
        <v>http://bbs.12365auto.com/postcontent.aspx?tId=193279</v>
      </c>
      <c r="G12224" s="2"/>
      <c r="H12224" s="2" t="s">
        <v>16298</v>
      </c>
      <c r="I12224" s="2" t="s">
        <v>15</v>
      </c>
      <c r="J12224" s="2" t="s">
        <v>10367</v>
      </c>
      <c r="K12224" s="2" t="s">
        <v>16297</v>
      </c>
      <c r="L12224" s="2">
        <f t="shared" si="190"/>
        <v>150</v>
      </c>
    </row>
    <row r="12225" spans="1:12" ht="25" customHeight="1">
      <c r="A12225" s="2" t="s">
        <v>12</v>
      </c>
      <c r="B12225" s="2" t="str">
        <f>HYPERLINK("http://www.12365auto.com/zlts/20200204/446328.shtml","吉利远景正常行驶中变速箱无动力输出")</f>
        <v>吉利远景正常行驶中变速箱无动力输出</v>
      </c>
      <c r="C12225" s="2" t="s">
        <v>13</v>
      </c>
      <c r="D12225" s="2" t="s">
        <v>12</v>
      </c>
      <c r="E12225" s="2" t="s">
        <v>17</v>
      </c>
      <c r="F12225" s="2" t="str">
        <f>HYPERLINK("http://www.12365auto.com/zlts/20200204/446328.shtml","http://www.12365auto.com/zlts/20200204/446328.shtml")</f>
        <v>http://www.12365auto.com/zlts/20200204/446328.shtml</v>
      </c>
      <c r="G12225" s="2"/>
      <c r="H12225" s="2" t="s">
        <v>16301</v>
      </c>
      <c r="I12225" s="2" t="s">
        <v>15</v>
      </c>
      <c r="J12225" s="2" t="s">
        <v>12</v>
      </c>
      <c r="K12225" s="2" t="s">
        <v>16302</v>
      </c>
      <c r="L12225" s="2">
        <f t="shared" si="190"/>
        <v>150</v>
      </c>
    </row>
    <row r="12226" spans="1:12" ht="25" customHeight="1">
      <c r="A12226" s="2" t="s">
        <v>12</v>
      </c>
      <c r="B12226" s="2" t="str">
        <f>HYPERLINK("http://www.12365auto.com/zlts/20200204/446327.shtml","众泰T600刹车偏软 厂家不提供配件")</f>
        <v>众泰T600刹车偏软 厂家不提供配件</v>
      </c>
      <c r="C12226" s="2" t="s">
        <v>13</v>
      </c>
      <c r="D12226" s="2" t="s">
        <v>12</v>
      </c>
      <c r="E12226" s="2" t="s">
        <v>17</v>
      </c>
      <c r="F12226" s="2" t="str">
        <f>HYPERLINK("http://www.12365auto.com/zlts/20200204/446327.shtml","http://www.12365auto.com/zlts/20200204/446327.shtml")</f>
        <v>http://www.12365auto.com/zlts/20200204/446327.shtml</v>
      </c>
      <c r="G12226" s="2"/>
      <c r="H12226" s="2" t="s">
        <v>16303</v>
      </c>
      <c r="I12226" s="2" t="s">
        <v>15</v>
      </c>
      <c r="J12226" s="2" t="s">
        <v>12</v>
      </c>
      <c r="K12226" s="2" t="s">
        <v>16304</v>
      </c>
      <c r="L12226" s="2">
        <f t="shared" si="190"/>
        <v>150</v>
      </c>
    </row>
    <row r="12227" spans="1:12" ht="25" customHeight="1">
      <c r="A12227" s="2" t="s">
        <v>12</v>
      </c>
      <c r="B12227" s="2" t="str">
        <f>HYPERLINK("http://www.12365auto.com/zlts/20200204/446323.shtml","上汽大众途观L主驾驶座椅皮革破裂露白")</f>
        <v>上汽大众途观L主驾驶座椅皮革破裂露白</v>
      </c>
      <c r="C12227" s="2" t="s">
        <v>13</v>
      </c>
      <c r="D12227" s="2" t="s">
        <v>12</v>
      </c>
      <c r="E12227" s="2" t="s">
        <v>17</v>
      </c>
      <c r="F12227" s="2" t="str">
        <f>HYPERLINK("http://www.12365auto.com/zlts/20200204/446323.shtml","http://www.12365auto.com/zlts/20200204/446323.shtml")</f>
        <v>http://www.12365auto.com/zlts/20200204/446323.shtml</v>
      </c>
      <c r="G12227" s="2"/>
      <c r="H12227" s="2" t="s">
        <v>16305</v>
      </c>
      <c r="I12227" s="2" t="s">
        <v>15</v>
      </c>
      <c r="J12227" s="2" t="s">
        <v>12</v>
      </c>
      <c r="K12227" s="2" t="s">
        <v>16306</v>
      </c>
      <c r="L12227" s="2">
        <f t="shared" ref="L12227:L12290" si="191">LEN(H12227)</f>
        <v>150</v>
      </c>
    </row>
    <row r="12228" spans="1:12" ht="25" customHeight="1">
      <c r="A12228" s="2" t="s">
        <v>12</v>
      </c>
      <c r="B12228" s="2" t="str">
        <f>HYPERLINK("http://m.12365auto.com/zjdy/20200204/121013.shtml","大众朗逸通电后无法启动是什么原因？")</f>
        <v>大众朗逸通电后无法启动是什么原因？</v>
      </c>
      <c r="C12228" s="2" t="s">
        <v>13</v>
      </c>
      <c r="D12228" s="2" t="s">
        <v>12</v>
      </c>
      <c r="E12228" s="2"/>
      <c r="F12228" s="2" t="str">
        <f>HYPERLINK("http://m.12365auto.com/zjdy/20200204/121013.shtml","http://m.12365auto.com/zjdy/20200204/121013.shtml")</f>
        <v>http://m.12365auto.com/zjdy/20200204/121013.shtml</v>
      </c>
      <c r="G12228" s="2"/>
      <c r="H12228" s="2" t="s">
        <v>16307</v>
      </c>
      <c r="I12228" s="2" t="s">
        <v>19</v>
      </c>
      <c r="J12228" s="2" t="s">
        <v>12</v>
      </c>
      <c r="K12228" s="2" t="s">
        <v>16308</v>
      </c>
      <c r="L12228" s="2">
        <f t="shared" si="191"/>
        <v>17</v>
      </c>
    </row>
    <row r="12229" spans="1:12" ht="25" customHeight="1">
      <c r="A12229" s="2" t="s">
        <v>12</v>
      </c>
      <c r="B12229" s="2" t="str">
        <f>HYPERLINK("http://m.12365auto.com/zjdy/20200204/121014.shtml","东南V6和DX3的发电机是不是同款？")</f>
        <v>东南V6和DX3的发电机是不是同款？</v>
      </c>
      <c r="C12229" s="2" t="s">
        <v>13</v>
      </c>
      <c r="D12229" s="2" t="s">
        <v>12</v>
      </c>
      <c r="E12229" s="2"/>
      <c r="F12229" s="2" t="str">
        <f>HYPERLINK("http://m.12365auto.com/zjdy/20200204/121014.shtml","http://m.12365auto.com/zjdy/20200204/121014.shtml")</f>
        <v>http://m.12365auto.com/zjdy/20200204/121014.shtml</v>
      </c>
      <c r="G12229" s="2"/>
      <c r="H12229" s="2" t="s">
        <v>16309</v>
      </c>
      <c r="I12229" s="2" t="s">
        <v>19</v>
      </c>
      <c r="J12229" s="2" t="s">
        <v>12</v>
      </c>
      <c r="K12229" s="2" t="s">
        <v>16310</v>
      </c>
      <c r="L12229" s="2">
        <f t="shared" si="191"/>
        <v>41</v>
      </c>
    </row>
    <row r="12230" spans="1:12" ht="25" customHeight="1">
      <c r="A12230" s="2" t="s">
        <v>12</v>
      </c>
      <c r="B12230" s="2" t="str">
        <f>HYPERLINK("http://www.12365auto.com/zlts/20200204/446320.shtml","吉利帝豪油耗高 发动机变速箱异响车身异响")</f>
        <v>吉利帝豪油耗高 发动机变速箱异响车身异响</v>
      </c>
      <c r="C12230" s="2" t="s">
        <v>13</v>
      </c>
      <c r="D12230" s="2" t="s">
        <v>12</v>
      </c>
      <c r="E12230" s="2" t="s">
        <v>17</v>
      </c>
      <c r="F12230" s="2" t="str">
        <f>HYPERLINK("http://www.12365auto.com/zlts/20200204/446320.shtml","http://www.12365auto.com/zlts/20200204/446320.shtml")</f>
        <v>http://www.12365auto.com/zlts/20200204/446320.shtml</v>
      </c>
      <c r="G12230" s="2"/>
      <c r="H12230" s="2" t="s">
        <v>16311</v>
      </c>
      <c r="I12230" s="2" t="s">
        <v>15</v>
      </c>
      <c r="J12230" s="2" t="s">
        <v>12</v>
      </c>
      <c r="K12230" s="2" t="s">
        <v>16312</v>
      </c>
      <c r="L12230" s="2">
        <f t="shared" si="191"/>
        <v>150</v>
      </c>
    </row>
    <row r="12231" spans="1:12" ht="25" customHeight="1">
      <c r="A12231" s="2" t="s">
        <v>12</v>
      </c>
      <c r="B12231" s="2" t="str">
        <f>HYPERLINK("http://www.12365auto.com/zlts/20200204/446319.shtml","北京现代途胜变速箱换挡异响发动机故障亮")</f>
        <v>北京现代途胜变速箱换挡异响发动机故障亮</v>
      </c>
      <c r="C12231" s="2" t="s">
        <v>13</v>
      </c>
      <c r="D12231" s="2" t="s">
        <v>12</v>
      </c>
      <c r="E12231" s="2" t="s">
        <v>17</v>
      </c>
      <c r="F12231" s="2" t="str">
        <f>HYPERLINK("http://www.12365auto.com/zlts/20200204/446319.shtml","http://www.12365auto.com/zlts/20200204/446319.shtml")</f>
        <v>http://www.12365auto.com/zlts/20200204/446319.shtml</v>
      </c>
      <c r="G12231" s="2"/>
      <c r="H12231" s="2" t="s">
        <v>16313</v>
      </c>
      <c r="I12231" s="2" t="s">
        <v>19</v>
      </c>
      <c r="J12231" s="2" t="s">
        <v>12</v>
      </c>
      <c r="K12231" s="2" t="s">
        <v>16314</v>
      </c>
      <c r="L12231" s="2">
        <f t="shared" si="191"/>
        <v>150</v>
      </c>
    </row>
    <row r="12232" spans="1:12" ht="25" customHeight="1">
      <c r="A12232" s="2" t="s">
        <v>12</v>
      </c>
      <c r="B12232" s="2" t="str">
        <f>HYPERLINK("http://www.12365auto.com/zlts/20200204/446315.shtml","广汽本田凌派后轮刹车片磨损 油箱有气压")</f>
        <v>广汽本田凌派后轮刹车片磨损 油箱有气压</v>
      </c>
      <c r="C12232" s="2" t="s">
        <v>13</v>
      </c>
      <c r="D12232" s="2" t="s">
        <v>12</v>
      </c>
      <c r="E12232" s="2" t="s">
        <v>17</v>
      </c>
      <c r="F12232" s="2" t="str">
        <f>HYPERLINK("http://www.12365auto.com/zlts/20200204/446315.shtml","http://www.12365auto.com/zlts/20200204/446315.shtml")</f>
        <v>http://www.12365auto.com/zlts/20200204/446315.shtml</v>
      </c>
      <c r="G12232" s="2"/>
      <c r="H12232" s="2" t="s">
        <v>16315</v>
      </c>
      <c r="I12232" s="2" t="s">
        <v>15</v>
      </c>
      <c r="J12232" s="2" t="s">
        <v>12</v>
      </c>
      <c r="K12232" s="2" t="s">
        <v>16316</v>
      </c>
      <c r="L12232" s="2">
        <f t="shared" si="191"/>
        <v>150</v>
      </c>
    </row>
    <row r="12233" spans="1:12" ht="25" customHeight="1">
      <c r="A12233" s="2" t="s">
        <v>12</v>
      </c>
      <c r="B12233" s="2" t="str">
        <f>HYPERLINK("http://www.12365auto.com/zlts/20200204/446310.shtml","上汽大众帕萨特发动机异响 车身抖动")</f>
        <v>上汽大众帕萨特发动机异响 车身抖动</v>
      </c>
      <c r="C12233" s="2" t="s">
        <v>13</v>
      </c>
      <c r="D12233" s="2" t="s">
        <v>12</v>
      </c>
      <c r="E12233" s="2"/>
      <c r="F12233" s="2" t="str">
        <f>HYPERLINK("http://www.12365auto.com/zlts/20200204/446310.shtml","http://www.12365auto.com/zlts/20200204/446310.shtml")</f>
        <v>http://www.12365auto.com/zlts/20200204/446310.shtml</v>
      </c>
      <c r="G12233" s="2"/>
      <c r="H12233" s="2" t="s">
        <v>16318</v>
      </c>
      <c r="I12233" s="2" t="s">
        <v>15</v>
      </c>
      <c r="J12233" s="2" t="s">
        <v>12</v>
      </c>
      <c r="K12233" s="2" t="s">
        <v>16317</v>
      </c>
      <c r="L12233" s="2">
        <f t="shared" si="191"/>
        <v>83</v>
      </c>
    </row>
    <row r="12234" spans="1:12" ht="25" customHeight="1">
      <c r="A12234" s="2" t="s">
        <v>12</v>
      </c>
      <c r="B12234" s="2" t="str">
        <f>HYPERLINK("http://www.12365auto.com/zlts/20200204/446314.shtml","江淮瑞风S3排气管生锈厂家不解决问题")</f>
        <v>江淮瑞风S3排气管生锈厂家不解决问题</v>
      </c>
      <c r="C12234" s="2" t="s">
        <v>13</v>
      </c>
      <c r="D12234" s="2" t="s">
        <v>12</v>
      </c>
      <c r="E12234" s="2" t="s">
        <v>17</v>
      </c>
      <c r="F12234" s="2" t="str">
        <f>HYPERLINK("http://www.12365auto.com/zlts/20200204/446314.shtml","http://www.12365auto.com/zlts/20200204/446314.shtml")</f>
        <v>http://www.12365auto.com/zlts/20200204/446314.shtml</v>
      </c>
      <c r="G12234" s="2"/>
      <c r="H12234" s="2" t="s">
        <v>16319</v>
      </c>
      <c r="I12234" s="2" t="s">
        <v>19</v>
      </c>
      <c r="J12234" s="2" t="s">
        <v>12</v>
      </c>
      <c r="K12234" s="2" t="s">
        <v>16320</v>
      </c>
      <c r="L12234" s="2">
        <f t="shared" si="191"/>
        <v>150</v>
      </c>
    </row>
    <row r="12235" spans="1:12" ht="25" customHeight="1">
      <c r="A12235" s="2" t="s">
        <v>12</v>
      </c>
      <c r="B12235" s="2" t="str">
        <f>HYPERLINK("http://www.12365auto.com/zlts/20200204/446311.shtml","上汽大众凌渡行驶过程中提示变速箱故障")</f>
        <v>上汽大众凌渡行驶过程中提示变速箱故障</v>
      </c>
      <c r="C12235" s="2" t="s">
        <v>13</v>
      </c>
      <c r="D12235" s="2" t="s">
        <v>12</v>
      </c>
      <c r="E12235" s="2" t="s">
        <v>17</v>
      </c>
      <c r="F12235" s="2" t="str">
        <f>HYPERLINK("http://www.12365auto.com/zlts/20200204/446311.shtml","http://www.12365auto.com/zlts/20200204/446311.shtml")</f>
        <v>http://www.12365auto.com/zlts/20200204/446311.shtml</v>
      </c>
      <c r="G12235" s="2"/>
      <c r="H12235" s="2" t="s">
        <v>16321</v>
      </c>
      <c r="I12235" s="2" t="s">
        <v>19</v>
      </c>
      <c r="J12235" s="2" t="s">
        <v>12</v>
      </c>
      <c r="K12235" s="2" t="s">
        <v>16322</v>
      </c>
      <c r="L12235" s="2">
        <f t="shared" si="191"/>
        <v>150</v>
      </c>
    </row>
    <row r="12236" spans="1:12" ht="25" customHeight="1">
      <c r="A12236" s="2" t="s">
        <v>12</v>
      </c>
      <c r="B12236" s="2" t="str">
        <f>HYPERLINK("http://bbs.12365auto.com/postcontent.aspx?tId=193277","雷诺科雷嘉左前门播放音乐时共振明显")</f>
        <v>雷诺科雷嘉左前门播放音乐时共振明显</v>
      </c>
      <c r="C12236" s="2" t="s">
        <v>13</v>
      </c>
      <c r="D12236" s="2" t="s">
        <v>12</v>
      </c>
      <c r="E12236" s="2" t="s">
        <v>66</v>
      </c>
      <c r="F12236" s="2" t="str">
        <f>HYPERLINK("http://bbs.12365auto.com/postcontent.aspx?tId=193277","http://bbs.12365auto.com/postcontent.aspx?tId=193277")</f>
        <v>http://bbs.12365auto.com/postcontent.aspx?tId=193277</v>
      </c>
      <c r="G12236" s="2"/>
      <c r="H12236" s="2" t="s">
        <v>16323</v>
      </c>
      <c r="I12236" s="2" t="s">
        <v>15</v>
      </c>
      <c r="J12236" s="2" t="s">
        <v>7108</v>
      </c>
      <c r="K12236" s="2" t="s">
        <v>16324</v>
      </c>
      <c r="L12236" s="2">
        <f t="shared" si="191"/>
        <v>104</v>
      </c>
    </row>
    <row r="12237" spans="1:12" ht="25" customHeight="1">
      <c r="A12237" s="2" t="s">
        <v>12</v>
      </c>
      <c r="B12237" s="2" t="str">
        <f>HYPERLINK("http://m.12365auto.com/bbs/postcontent.aspx?tID=193277","雷诺科雷嘉左前门播放音乐时共振明显")</f>
        <v>雷诺科雷嘉左前门播放音乐时共振明显</v>
      </c>
      <c r="C12237" s="2" t="s">
        <v>13</v>
      </c>
      <c r="D12237" s="2" t="s">
        <v>23</v>
      </c>
      <c r="E12237" s="2"/>
      <c r="F12237" s="2" t="str">
        <f>HYPERLINK("http://m.12365auto.com/bbs/postcontent.aspx?tID=193277","http://m.12365auto.com/bbs/postcontent.aspx?tID=193277")</f>
        <v>http://m.12365auto.com/bbs/postcontent.aspx?tID=193277</v>
      </c>
      <c r="G12237" s="2"/>
      <c r="H12237" s="2" t="s">
        <v>16323</v>
      </c>
      <c r="I12237" s="2" t="s">
        <v>15</v>
      </c>
      <c r="J12237" s="2" t="s">
        <v>7108</v>
      </c>
      <c r="K12237" s="2" t="s">
        <v>16324</v>
      </c>
      <c r="L12237" s="2">
        <f t="shared" si="191"/>
        <v>104</v>
      </c>
    </row>
    <row r="12238" spans="1:12" ht="25" customHeight="1">
      <c r="A12238" s="2" t="s">
        <v>12</v>
      </c>
      <c r="B12238" s="2" t="str">
        <f>HYPERLINK("http://bbs.12365auto.com/postcontent.aspx?tID=193277","雷诺科雷嘉左前门播放音乐时共振明显")</f>
        <v>雷诺科雷嘉左前门播放音乐时共振明显</v>
      </c>
      <c r="C12238" s="2" t="s">
        <v>13</v>
      </c>
      <c r="D12238" s="2" t="s">
        <v>12</v>
      </c>
      <c r="E12238" s="2" t="s">
        <v>67</v>
      </c>
      <c r="F12238" s="2" t="str">
        <f>HYPERLINK("http://bbs.12365auto.com/postcontent.aspx?tID=193277","http://bbs.12365auto.com/postcontent.aspx?tID=193277")</f>
        <v>http://bbs.12365auto.com/postcontent.aspx?tID=193277</v>
      </c>
      <c r="G12238" s="2"/>
      <c r="H12238" s="2" t="s">
        <v>16325</v>
      </c>
      <c r="I12238" s="2" t="s">
        <v>15</v>
      </c>
      <c r="J12238" s="2" t="s">
        <v>7108</v>
      </c>
      <c r="K12238" s="2" t="s">
        <v>16324</v>
      </c>
      <c r="L12238" s="2">
        <f t="shared" si="191"/>
        <v>121</v>
      </c>
    </row>
    <row r="12239" spans="1:12" ht="25" customHeight="1">
      <c r="A12239" s="2" t="s">
        <v>12</v>
      </c>
      <c r="B12239" s="2" t="str">
        <f>HYPERLINK("http://bbs.12365auto.com/postcontent.aspx?tId=193276","艾瑞泽5电瓶电量不足导致无法启动")</f>
        <v>艾瑞泽5电瓶电量不足导致无法启动</v>
      </c>
      <c r="C12239" s="2" t="s">
        <v>13</v>
      </c>
      <c r="D12239" s="2" t="s">
        <v>12</v>
      </c>
      <c r="E12239" s="2" t="s">
        <v>66</v>
      </c>
      <c r="F12239" s="2" t="str">
        <f>HYPERLINK("http://bbs.12365auto.com/postcontent.aspx?tId=193276","http://bbs.12365auto.com/postcontent.aspx?tId=193276")</f>
        <v>http://bbs.12365auto.com/postcontent.aspx?tId=193276</v>
      </c>
      <c r="G12239" s="2"/>
      <c r="H12239" s="2" t="s">
        <v>16326</v>
      </c>
      <c r="I12239" s="2" t="s">
        <v>15</v>
      </c>
      <c r="J12239" s="2" t="s">
        <v>7115</v>
      </c>
      <c r="K12239" s="2" t="s">
        <v>16327</v>
      </c>
      <c r="L12239" s="2">
        <f t="shared" si="191"/>
        <v>54</v>
      </c>
    </row>
    <row r="12240" spans="1:12" ht="25" customHeight="1">
      <c r="A12240" s="2" t="s">
        <v>12</v>
      </c>
      <c r="B12240" s="2" t="str">
        <f>HYPERLINK("http://bbs.12365auto.com/postcontent.aspx?tID=193276","艾瑞泽5电瓶电量不足导致无法启动")</f>
        <v>艾瑞泽5电瓶电量不足导致无法启动</v>
      </c>
      <c r="C12240" s="2" t="s">
        <v>13</v>
      </c>
      <c r="D12240" s="2" t="s">
        <v>12</v>
      </c>
      <c r="E12240" s="2" t="s">
        <v>67</v>
      </c>
      <c r="F12240" s="2" t="str">
        <f>HYPERLINK("http://bbs.12365auto.com/postcontent.aspx?tID=193276","http://bbs.12365auto.com/postcontent.aspx?tID=193276")</f>
        <v>http://bbs.12365auto.com/postcontent.aspx?tID=193276</v>
      </c>
      <c r="G12240" s="2"/>
      <c r="H12240" s="2" t="s">
        <v>16328</v>
      </c>
      <c r="I12240" s="2" t="s">
        <v>15</v>
      </c>
      <c r="J12240" s="2" t="s">
        <v>7115</v>
      </c>
      <c r="K12240" s="2" t="s">
        <v>16327</v>
      </c>
      <c r="L12240" s="2">
        <f t="shared" si="191"/>
        <v>70</v>
      </c>
    </row>
    <row r="12241" spans="1:12" ht="25" customHeight="1">
      <c r="A12241" s="2" t="s">
        <v>12</v>
      </c>
      <c r="B12241" s="2" t="str">
        <f>HYPERLINK("http://m.12365auto.com/bbs/postcontent.aspx?tID=193276","艾瑞泽5电瓶电量不足导致无法启动")</f>
        <v>艾瑞泽5电瓶电量不足导致无法启动</v>
      </c>
      <c r="C12241" s="2" t="s">
        <v>13</v>
      </c>
      <c r="D12241" s="2" t="s">
        <v>23</v>
      </c>
      <c r="E12241" s="2"/>
      <c r="F12241" s="2" t="str">
        <f>HYPERLINK("http://m.12365auto.com/bbs/postcontent.aspx?tID=193276","http://m.12365auto.com/bbs/postcontent.aspx?tID=193276")</f>
        <v>http://m.12365auto.com/bbs/postcontent.aspx?tID=193276</v>
      </c>
      <c r="G12241" s="2"/>
      <c r="H12241" s="2" t="s">
        <v>16326</v>
      </c>
      <c r="I12241" s="2" t="s">
        <v>15</v>
      </c>
      <c r="J12241" s="2" t="s">
        <v>7115</v>
      </c>
      <c r="K12241" s="2" t="s">
        <v>16327</v>
      </c>
      <c r="L12241" s="2">
        <f t="shared" si="191"/>
        <v>54</v>
      </c>
    </row>
    <row r="12242" spans="1:12" ht="25" customHeight="1">
      <c r="A12242" s="2" t="s">
        <v>12</v>
      </c>
      <c r="B12242" s="2" t="str">
        <f>HYPERLINK("http://bbs.12365auto.com/postcontent.aspx?tId=193275","缤越车机系统无法更新希望尽快处理")</f>
        <v>缤越车机系统无法更新希望尽快处理</v>
      </c>
      <c r="C12242" s="2" t="s">
        <v>13</v>
      </c>
      <c r="D12242" s="2" t="s">
        <v>12</v>
      </c>
      <c r="E12242" s="2" t="s">
        <v>66</v>
      </c>
      <c r="F12242" s="2" t="str">
        <f>HYPERLINK("http://bbs.12365auto.com/postcontent.aspx?tId=193275","http://bbs.12365auto.com/postcontent.aspx?tId=193275")</f>
        <v>http://bbs.12365auto.com/postcontent.aspx?tId=193275</v>
      </c>
      <c r="G12242" s="2"/>
      <c r="H12242" s="2" t="s">
        <v>16329</v>
      </c>
      <c r="I12242" s="2" t="s">
        <v>15</v>
      </c>
      <c r="J12242" s="2" t="s">
        <v>7118</v>
      </c>
      <c r="K12242" s="2" t="s">
        <v>16330</v>
      </c>
      <c r="L12242" s="2">
        <f t="shared" si="191"/>
        <v>29</v>
      </c>
    </row>
    <row r="12243" spans="1:12" ht="25" customHeight="1">
      <c r="A12243" s="2" t="s">
        <v>12</v>
      </c>
      <c r="B12243" s="2" t="str">
        <f>HYPERLINK("http://bbs.12365auto.com/postcontent.aspx?tId=193274","现代领动车身多处车漆出现生锈")</f>
        <v>现代领动车身多处车漆出现生锈</v>
      </c>
      <c r="C12243" s="2" t="s">
        <v>13</v>
      </c>
      <c r="D12243" s="2" t="s">
        <v>12</v>
      </c>
      <c r="E12243" s="2" t="s">
        <v>66</v>
      </c>
      <c r="F12243" s="2" t="str">
        <f>HYPERLINK("http://bbs.12365auto.com/postcontent.aspx?tId=193274","http://bbs.12365auto.com/postcontent.aspx?tId=193274")</f>
        <v>http://bbs.12365auto.com/postcontent.aspx?tId=193274</v>
      </c>
      <c r="G12243" s="2"/>
      <c r="H12243" s="2" t="s">
        <v>16331</v>
      </c>
      <c r="I12243" s="2" t="s">
        <v>15</v>
      </c>
      <c r="J12243" s="2" t="s">
        <v>7126</v>
      </c>
      <c r="K12243" s="2" t="s">
        <v>16330</v>
      </c>
      <c r="L12243" s="2">
        <f t="shared" si="191"/>
        <v>35</v>
      </c>
    </row>
    <row r="12244" spans="1:12" ht="25" customHeight="1">
      <c r="A12244" s="2" t="s">
        <v>12</v>
      </c>
      <c r="B12244" s="2" t="str">
        <f>HYPERLINK("http://bbs.12365auto.com/postcontent.aspx?tID=193275","缤越车机系统无法更新希望尽快处理")</f>
        <v>缤越车机系统无法更新希望尽快处理</v>
      </c>
      <c r="C12244" s="2" t="s">
        <v>13</v>
      </c>
      <c r="D12244" s="2" t="s">
        <v>12</v>
      </c>
      <c r="E12244" s="2" t="s">
        <v>67</v>
      </c>
      <c r="F12244" s="2" t="str">
        <f>HYPERLINK("http://bbs.12365auto.com/postcontent.aspx?tID=193275","http://bbs.12365auto.com/postcontent.aspx?tID=193275")</f>
        <v>http://bbs.12365auto.com/postcontent.aspx?tID=193275</v>
      </c>
      <c r="G12244" s="2"/>
      <c r="H12244" s="2" t="s">
        <v>16332</v>
      </c>
      <c r="I12244" s="2" t="s">
        <v>15</v>
      </c>
      <c r="J12244" s="2" t="s">
        <v>7118</v>
      </c>
      <c r="K12244" s="2" t="s">
        <v>16330</v>
      </c>
      <c r="L12244" s="2">
        <f t="shared" si="191"/>
        <v>45</v>
      </c>
    </row>
    <row r="12245" spans="1:12" ht="25" customHeight="1">
      <c r="A12245" s="2" t="s">
        <v>12</v>
      </c>
      <c r="B12245" s="2" t="str">
        <f>HYPERLINK("http://bbs.12365auto.com/postcontent.aspx?tID=193274","现代领动车身多处车漆出现生锈")</f>
        <v>现代领动车身多处车漆出现生锈</v>
      </c>
      <c r="C12245" s="2" t="s">
        <v>13</v>
      </c>
      <c r="D12245" s="2" t="s">
        <v>12</v>
      </c>
      <c r="E12245" s="2" t="s">
        <v>67</v>
      </c>
      <c r="F12245" s="2" t="str">
        <f>HYPERLINK("http://bbs.12365auto.com/postcontent.aspx?tID=193274","http://bbs.12365auto.com/postcontent.aspx?tID=193274")</f>
        <v>http://bbs.12365auto.com/postcontent.aspx?tID=193274</v>
      </c>
      <c r="G12245" s="2"/>
      <c r="H12245" s="2" t="s">
        <v>16333</v>
      </c>
      <c r="I12245" s="2" t="s">
        <v>15</v>
      </c>
      <c r="J12245" s="2" t="s">
        <v>7126</v>
      </c>
      <c r="K12245" s="2" t="s">
        <v>16330</v>
      </c>
      <c r="L12245" s="2">
        <f t="shared" si="191"/>
        <v>49</v>
      </c>
    </row>
    <row r="12246" spans="1:12" ht="25" customHeight="1">
      <c r="A12246" s="2" t="s">
        <v>12</v>
      </c>
      <c r="B12246" s="2" t="str">
        <f>HYPERLINK("http://m.12365auto.com/bbs/postcontent.aspx?tID=193275","缤越车机系统无法更新希望尽快处理")</f>
        <v>缤越车机系统无法更新希望尽快处理</v>
      </c>
      <c r="C12246" s="2" t="s">
        <v>13</v>
      </c>
      <c r="D12246" s="2" t="s">
        <v>23</v>
      </c>
      <c r="E12246" s="2"/>
      <c r="F12246" s="2" t="str">
        <f>HYPERLINK("http://m.12365auto.com/bbs/postcontent.aspx?tID=193275","http://m.12365auto.com/bbs/postcontent.aspx?tID=193275")</f>
        <v>http://m.12365auto.com/bbs/postcontent.aspx?tID=193275</v>
      </c>
      <c r="G12246" s="2"/>
      <c r="H12246" s="2" t="s">
        <v>16329</v>
      </c>
      <c r="I12246" s="2" t="s">
        <v>15</v>
      </c>
      <c r="J12246" s="2" t="s">
        <v>7118</v>
      </c>
      <c r="K12246" s="2" t="s">
        <v>16330</v>
      </c>
      <c r="L12246" s="2">
        <f t="shared" si="191"/>
        <v>29</v>
      </c>
    </row>
    <row r="12247" spans="1:12" ht="25" customHeight="1">
      <c r="A12247" s="2" t="s">
        <v>12</v>
      </c>
      <c r="B12247" s="2" t="str">
        <f>HYPERLINK("http://m.12365auto.com/bbs/postcontent.aspx?tID=193274","现代领动车身多处车漆出现生锈")</f>
        <v>现代领动车身多处车漆出现生锈</v>
      </c>
      <c r="C12247" s="2" t="s">
        <v>13</v>
      </c>
      <c r="D12247" s="2" t="s">
        <v>23</v>
      </c>
      <c r="E12247" s="2"/>
      <c r="F12247" s="2" t="str">
        <f>HYPERLINK("http://m.12365auto.com/bbs/postcontent.aspx?tID=193274","http://m.12365auto.com/bbs/postcontent.aspx?tID=193274")</f>
        <v>http://m.12365auto.com/bbs/postcontent.aspx?tID=193274</v>
      </c>
      <c r="G12247" s="2"/>
      <c r="H12247" s="2" t="s">
        <v>16331</v>
      </c>
      <c r="I12247" s="2" t="s">
        <v>15</v>
      </c>
      <c r="J12247" s="2" t="s">
        <v>7126</v>
      </c>
      <c r="K12247" s="2" t="s">
        <v>16330</v>
      </c>
      <c r="L12247" s="2">
        <f t="shared" si="191"/>
        <v>35</v>
      </c>
    </row>
    <row r="12248" spans="1:12" ht="25" customHeight="1">
      <c r="A12248" s="2" t="s">
        <v>12</v>
      </c>
      <c r="B12248" s="2" t="str">
        <f>HYPERLINK("http://m.12365auto.com/bbs/postcontent.aspx?tID=193273","中华H3底盘异响前轮异响离合器沉重")</f>
        <v>中华H3底盘异响前轮异响离合器沉重</v>
      </c>
      <c r="C12248" s="2" t="s">
        <v>13</v>
      </c>
      <c r="D12248" s="2" t="s">
        <v>23</v>
      </c>
      <c r="E12248" s="2"/>
      <c r="F12248" s="2" t="str">
        <f>HYPERLINK("http://m.12365auto.com/bbs/postcontent.aspx?tID=193273","http://m.12365auto.com/bbs/postcontent.aspx?tID=193273")</f>
        <v>http://m.12365auto.com/bbs/postcontent.aspx?tID=193273</v>
      </c>
      <c r="G12248" s="2"/>
      <c r="H12248" s="2" t="s">
        <v>16334</v>
      </c>
      <c r="I12248" s="2" t="s">
        <v>15</v>
      </c>
      <c r="J12248" s="2" t="s">
        <v>7131</v>
      </c>
      <c r="K12248" s="2" t="s">
        <v>16335</v>
      </c>
      <c r="L12248" s="2">
        <f t="shared" si="191"/>
        <v>115</v>
      </c>
    </row>
    <row r="12249" spans="1:12" ht="25" customHeight="1">
      <c r="A12249" s="2" t="s">
        <v>12</v>
      </c>
      <c r="B12249" s="2" t="str">
        <f>HYPERLINK("http://bbs.12365auto.com/postcontent.aspx?tId=193273","中华H3底盘异响前轮异响离合器沉重")</f>
        <v>中华H3底盘异响前轮异响离合器沉重</v>
      </c>
      <c r="C12249" s="2" t="s">
        <v>13</v>
      </c>
      <c r="D12249" s="2" t="s">
        <v>12</v>
      </c>
      <c r="E12249" s="2" t="s">
        <v>66</v>
      </c>
      <c r="F12249" s="2" t="str">
        <f>HYPERLINK("http://bbs.12365auto.com/postcontent.aspx?tId=193273","http://bbs.12365auto.com/postcontent.aspx?tId=193273")</f>
        <v>http://bbs.12365auto.com/postcontent.aspx?tId=193273</v>
      </c>
      <c r="G12249" s="2"/>
      <c r="H12249" s="2" t="s">
        <v>16334</v>
      </c>
      <c r="I12249" s="2" t="s">
        <v>15</v>
      </c>
      <c r="J12249" s="2" t="s">
        <v>7131</v>
      </c>
      <c r="K12249" s="2" t="s">
        <v>16335</v>
      </c>
      <c r="L12249" s="2">
        <f t="shared" si="191"/>
        <v>115</v>
      </c>
    </row>
    <row r="12250" spans="1:12" ht="25" customHeight="1">
      <c r="A12250" s="2" t="s">
        <v>12</v>
      </c>
      <c r="B12250" s="2" t="str">
        <f>HYPERLINK("http://bbs.12365auto.com/postcontent.aspx?tID=193273","中华H3底盘异响前轮异响离合器沉重")</f>
        <v>中华H3底盘异响前轮异响离合器沉重</v>
      </c>
      <c r="C12250" s="2" t="s">
        <v>13</v>
      </c>
      <c r="D12250" s="2" t="s">
        <v>12</v>
      </c>
      <c r="E12250" s="2" t="s">
        <v>67</v>
      </c>
      <c r="F12250" s="2" t="str">
        <f>HYPERLINK("http://bbs.12365auto.com/postcontent.aspx?tID=193273","http://bbs.12365auto.com/postcontent.aspx?tID=193273")</f>
        <v>http://bbs.12365auto.com/postcontent.aspx?tID=193273</v>
      </c>
      <c r="G12250" s="2"/>
      <c r="H12250" s="2" t="s">
        <v>16336</v>
      </c>
      <c r="I12250" s="2" t="s">
        <v>15</v>
      </c>
      <c r="J12250" s="2" t="s">
        <v>7131</v>
      </c>
      <c r="K12250" s="2" t="s">
        <v>16335</v>
      </c>
      <c r="L12250" s="2">
        <f t="shared" si="191"/>
        <v>132</v>
      </c>
    </row>
    <row r="12251" spans="1:12" ht="25" customHeight="1">
      <c r="A12251" s="2" t="s">
        <v>12</v>
      </c>
      <c r="B12251" s="2" t="str">
        <f>HYPERLINK("http://m.12365auto.com/bbs/postcontent.aspx?tID=193272","丰田凯美瑞中控台异响变速箱换挡顿挫")</f>
        <v>丰田凯美瑞中控台异响变速箱换挡顿挫</v>
      </c>
      <c r="C12251" s="2" t="s">
        <v>13</v>
      </c>
      <c r="D12251" s="2" t="s">
        <v>23</v>
      </c>
      <c r="E12251" s="2"/>
      <c r="F12251" s="2" t="str">
        <f>HYPERLINK("http://m.12365auto.com/bbs/postcontent.aspx?tID=193272","http://m.12365auto.com/bbs/postcontent.aspx?tID=193272")</f>
        <v>http://m.12365auto.com/bbs/postcontent.aspx?tID=193272</v>
      </c>
      <c r="G12251" s="2"/>
      <c r="H12251" s="2" t="s">
        <v>16337</v>
      </c>
      <c r="I12251" s="2" t="s">
        <v>15</v>
      </c>
      <c r="J12251" s="2" t="s">
        <v>7134</v>
      </c>
      <c r="K12251" s="2" t="s">
        <v>16338</v>
      </c>
      <c r="L12251" s="2">
        <f t="shared" si="191"/>
        <v>57</v>
      </c>
    </row>
    <row r="12252" spans="1:12" ht="25" customHeight="1">
      <c r="A12252" s="2" t="s">
        <v>12</v>
      </c>
      <c r="B12252" s="2" t="str">
        <f>HYPERLINK("http://bbs.12365auto.com/postcontent.aspx?tId=193272","丰田凯美瑞中控台异响变速箱换挡顿挫")</f>
        <v>丰田凯美瑞中控台异响变速箱换挡顿挫</v>
      </c>
      <c r="C12252" s="2" t="s">
        <v>13</v>
      </c>
      <c r="D12252" s="2" t="s">
        <v>12</v>
      </c>
      <c r="E12252" s="2" t="s">
        <v>66</v>
      </c>
      <c r="F12252" s="2" t="str">
        <f>HYPERLINK("http://bbs.12365auto.com/postcontent.aspx?tId=193272","http://bbs.12365auto.com/postcontent.aspx?tId=193272")</f>
        <v>http://bbs.12365auto.com/postcontent.aspx?tId=193272</v>
      </c>
      <c r="G12252" s="2"/>
      <c r="H12252" s="2" t="s">
        <v>16337</v>
      </c>
      <c r="I12252" s="2" t="s">
        <v>15</v>
      </c>
      <c r="J12252" s="2" t="s">
        <v>7134</v>
      </c>
      <c r="K12252" s="2" t="s">
        <v>16338</v>
      </c>
      <c r="L12252" s="2">
        <f t="shared" si="191"/>
        <v>57</v>
      </c>
    </row>
    <row r="12253" spans="1:12" ht="25" customHeight="1">
      <c r="A12253" s="2" t="s">
        <v>12</v>
      </c>
      <c r="B12253" s="2" t="str">
        <f>HYPERLINK("http://bbs.12365auto.com/postcontent.aspx?tID=193272","丰田凯美瑞中控台异响变速箱换挡顿挫")</f>
        <v>丰田凯美瑞中控台异响变速箱换挡顿挫</v>
      </c>
      <c r="C12253" s="2" t="s">
        <v>13</v>
      </c>
      <c r="D12253" s="2" t="s">
        <v>12</v>
      </c>
      <c r="E12253" s="2" t="s">
        <v>67</v>
      </c>
      <c r="F12253" s="2" t="str">
        <f>HYPERLINK("http://bbs.12365auto.com/postcontent.aspx?tID=193272","http://bbs.12365auto.com/postcontent.aspx?tID=193272")</f>
        <v>http://bbs.12365auto.com/postcontent.aspx?tID=193272</v>
      </c>
      <c r="G12253" s="2"/>
      <c r="H12253" s="2" t="s">
        <v>16339</v>
      </c>
      <c r="I12253" s="2" t="s">
        <v>15</v>
      </c>
      <c r="J12253" s="2" t="s">
        <v>7134</v>
      </c>
      <c r="K12253" s="2" t="s">
        <v>16338</v>
      </c>
      <c r="L12253" s="2">
        <f t="shared" si="191"/>
        <v>74</v>
      </c>
    </row>
    <row r="12254" spans="1:12" ht="25" customHeight="1">
      <c r="A12254" s="2" t="s">
        <v>12</v>
      </c>
      <c r="B12254" s="2" t="str">
        <f>HYPERLINK("http://bbs.12365auto.com/postcontent.aspx?tId=193271","日产轩逸车内以及后备箱异味严重")</f>
        <v>日产轩逸车内以及后备箱异味严重</v>
      </c>
      <c r="C12254" s="2" t="s">
        <v>13</v>
      </c>
      <c r="D12254" s="2" t="s">
        <v>12</v>
      </c>
      <c r="E12254" s="2" t="s">
        <v>66</v>
      </c>
      <c r="F12254" s="2" t="str">
        <f>HYPERLINK("http://bbs.12365auto.com/postcontent.aspx?tId=193271","http://bbs.12365auto.com/postcontent.aspx?tId=193271")</f>
        <v>http://bbs.12365auto.com/postcontent.aspx?tId=193271</v>
      </c>
      <c r="G12254" s="2"/>
      <c r="H12254" s="2" t="s">
        <v>16340</v>
      </c>
      <c r="I12254" s="2" t="s">
        <v>15</v>
      </c>
      <c r="J12254" s="2" t="s">
        <v>7138</v>
      </c>
      <c r="K12254" s="2" t="s">
        <v>16341</v>
      </c>
      <c r="L12254" s="2">
        <f t="shared" si="191"/>
        <v>38</v>
      </c>
    </row>
    <row r="12255" spans="1:12" ht="25" customHeight="1">
      <c r="A12255" s="2" t="s">
        <v>12</v>
      </c>
      <c r="B12255" s="2" t="str">
        <f>HYPERLINK("http://m.12365auto.com/bbs/postcontent.aspx?tID=193271","日产轩逸车内以及后备箱异味严重")</f>
        <v>日产轩逸车内以及后备箱异味严重</v>
      </c>
      <c r="C12255" s="2" t="s">
        <v>13</v>
      </c>
      <c r="D12255" s="2" t="s">
        <v>23</v>
      </c>
      <c r="E12255" s="2"/>
      <c r="F12255" s="2" t="str">
        <f>HYPERLINK("http://m.12365auto.com/bbs/postcontent.aspx?tID=193271","http://m.12365auto.com/bbs/postcontent.aspx?tID=193271")</f>
        <v>http://m.12365auto.com/bbs/postcontent.aspx?tID=193271</v>
      </c>
      <c r="G12255" s="2"/>
      <c r="H12255" s="2" t="s">
        <v>16340</v>
      </c>
      <c r="I12255" s="2" t="s">
        <v>15</v>
      </c>
      <c r="J12255" s="2" t="s">
        <v>7138</v>
      </c>
      <c r="K12255" s="2" t="s">
        <v>16341</v>
      </c>
      <c r="L12255" s="2">
        <f t="shared" si="191"/>
        <v>38</v>
      </c>
    </row>
    <row r="12256" spans="1:12" ht="25" customHeight="1">
      <c r="A12256" s="2" t="s">
        <v>12</v>
      </c>
      <c r="B12256" s="2" t="str">
        <f>HYPERLINK("http://bbs.12365auto.com/postcontent.aspx?tID=193271","日产轩逸车内以及后备箱异味严重")</f>
        <v>日产轩逸车内以及后备箱异味严重</v>
      </c>
      <c r="C12256" s="2" t="s">
        <v>13</v>
      </c>
      <c r="D12256" s="2" t="s">
        <v>12</v>
      </c>
      <c r="E12256" s="2" t="s">
        <v>67</v>
      </c>
      <c r="F12256" s="2" t="str">
        <f>HYPERLINK("http://bbs.12365auto.com/postcontent.aspx?tID=193271","http://bbs.12365auto.com/postcontent.aspx?tID=193271")</f>
        <v>http://bbs.12365auto.com/postcontent.aspx?tID=193271</v>
      </c>
      <c r="G12256" s="2"/>
      <c r="H12256" s="2" t="s">
        <v>16342</v>
      </c>
      <c r="I12256" s="2" t="s">
        <v>15</v>
      </c>
      <c r="J12256" s="2" t="s">
        <v>7138</v>
      </c>
      <c r="K12256" s="2" t="s">
        <v>16341</v>
      </c>
      <c r="L12256" s="2">
        <f t="shared" si="191"/>
        <v>53</v>
      </c>
    </row>
    <row r="12257" spans="1:12" ht="25" customHeight="1">
      <c r="A12257" s="2" t="s">
        <v>12</v>
      </c>
      <c r="B12257" s="2" t="str">
        <f>HYPERLINK("http://www.12365auto.com/zlts/20200204/446309.shtml","上汽名爵锐腾挂挡困难车内异味刹车异响")</f>
        <v>上汽名爵锐腾挂挡困难车内异味刹车异响</v>
      </c>
      <c r="C12257" s="2" t="s">
        <v>13</v>
      </c>
      <c r="D12257" s="2" t="s">
        <v>12</v>
      </c>
      <c r="E12257" s="2" t="s">
        <v>17</v>
      </c>
      <c r="F12257" s="2" t="str">
        <f>HYPERLINK("http://www.12365auto.com/zlts/20200204/446309.shtml","http://www.12365auto.com/zlts/20200204/446309.shtml")</f>
        <v>http://www.12365auto.com/zlts/20200204/446309.shtml</v>
      </c>
      <c r="G12257" s="2"/>
      <c r="H12257" s="2" t="s">
        <v>16343</v>
      </c>
      <c r="I12257" s="2" t="s">
        <v>19</v>
      </c>
      <c r="J12257" s="2" t="s">
        <v>12</v>
      </c>
      <c r="K12257" s="2" t="s">
        <v>16344</v>
      </c>
      <c r="L12257" s="2">
        <f t="shared" si="191"/>
        <v>150</v>
      </c>
    </row>
    <row r="12258" spans="1:12" ht="25" customHeight="1">
      <c r="A12258" s="2" t="s">
        <v>12</v>
      </c>
      <c r="B12258" s="2" t="str">
        <f>HYPERLINK("http://bbs.12365auto.com/postcontent.aspx?tId=193270","哈弗F5电瓶亏电 4S店查不到原因")</f>
        <v>哈弗F5电瓶亏电 4S店查不到原因</v>
      </c>
      <c r="C12258" s="2" t="s">
        <v>13</v>
      </c>
      <c r="D12258" s="2" t="s">
        <v>12</v>
      </c>
      <c r="E12258" s="2" t="s">
        <v>66</v>
      </c>
      <c r="F12258" s="2" t="str">
        <f>HYPERLINK("http://bbs.12365auto.com/postcontent.aspx?tId=193270","http://bbs.12365auto.com/postcontent.aspx?tId=193270")</f>
        <v>http://bbs.12365auto.com/postcontent.aspx?tId=193270</v>
      </c>
      <c r="G12258" s="2"/>
      <c r="H12258" s="2" t="s">
        <v>16345</v>
      </c>
      <c r="I12258" s="2" t="s">
        <v>15</v>
      </c>
      <c r="J12258" s="2" t="s">
        <v>7144</v>
      </c>
      <c r="K12258" s="2" t="s">
        <v>16344</v>
      </c>
      <c r="L12258" s="2">
        <f t="shared" si="191"/>
        <v>150</v>
      </c>
    </row>
    <row r="12259" spans="1:12" ht="25" customHeight="1">
      <c r="A12259" s="2" t="s">
        <v>12</v>
      </c>
      <c r="B12259" s="2" t="str">
        <f>HYPERLINK("http://bbs.12365auto.com/postcontent.aspx?tID=193270","哈弗F5电瓶亏电 4S店查不到原因")</f>
        <v>哈弗F5电瓶亏电 4S店查不到原因</v>
      </c>
      <c r="C12259" s="2" t="s">
        <v>13</v>
      </c>
      <c r="D12259" s="2" t="s">
        <v>12</v>
      </c>
      <c r="E12259" s="2" t="s">
        <v>67</v>
      </c>
      <c r="F12259" s="2" t="str">
        <f>HYPERLINK("http://bbs.12365auto.com/postcontent.aspx?tID=193270","http://bbs.12365auto.com/postcontent.aspx?tID=193270")</f>
        <v>http://bbs.12365auto.com/postcontent.aspx?tID=193270</v>
      </c>
      <c r="G12259" s="2"/>
      <c r="H12259" s="2" t="s">
        <v>16346</v>
      </c>
      <c r="I12259" s="2" t="s">
        <v>15</v>
      </c>
      <c r="J12259" s="2" t="s">
        <v>7144</v>
      </c>
      <c r="K12259" s="2" t="s">
        <v>16344</v>
      </c>
      <c r="L12259" s="2">
        <f t="shared" si="191"/>
        <v>150</v>
      </c>
    </row>
    <row r="12260" spans="1:12" ht="25" customHeight="1">
      <c r="A12260" s="2" t="s">
        <v>12</v>
      </c>
      <c r="B12260" s="2" t="str">
        <f>HYPERLINK("http://m.12365auto.com/bbs/postcontent.aspx?tID=193270","哈弗F5电瓶亏电 4S店查不到原因")</f>
        <v>哈弗F5电瓶亏电 4S店查不到原因</v>
      </c>
      <c r="C12260" s="2" t="s">
        <v>13</v>
      </c>
      <c r="D12260" s="2" t="s">
        <v>23</v>
      </c>
      <c r="E12260" s="2"/>
      <c r="F12260" s="2" t="str">
        <f>HYPERLINK("http://m.12365auto.com/bbs/postcontent.aspx?tID=193270","http://m.12365auto.com/bbs/postcontent.aspx?tID=193270")</f>
        <v>http://m.12365auto.com/bbs/postcontent.aspx?tID=193270</v>
      </c>
      <c r="G12260" s="2"/>
      <c r="H12260" s="2" t="s">
        <v>16345</v>
      </c>
      <c r="I12260" s="2" t="s">
        <v>15</v>
      </c>
      <c r="J12260" s="2" t="s">
        <v>7144</v>
      </c>
      <c r="K12260" s="2" t="s">
        <v>16344</v>
      </c>
      <c r="L12260" s="2">
        <f t="shared" si="191"/>
        <v>150</v>
      </c>
    </row>
    <row r="12261" spans="1:12" ht="25" customHeight="1">
      <c r="A12261" s="2" t="s">
        <v>12</v>
      </c>
      <c r="B12261" s="2" t="str">
        <f>HYPERLINK("http://m.12365auto.com/bbs/postcontent.aspx?tID=193269&amp;i=1","哈弗H9发动机烧机油厂家拒绝质保")</f>
        <v>哈弗H9发动机烧机油厂家拒绝质保</v>
      </c>
      <c r="C12261" s="2" t="s">
        <v>13</v>
      </c>
      <c r="D12261" s="2" t="s">
        <v>23</v>
      </c>
      <c r="E12261" s="2"/>
      <c r="F12261" s="2" t="str">
        <f>HYPERLINK("http://m.12365auto.com/bbs/postcontent.aspx?tID=193269&amp;i=1","http://m.12365auto.com/bbs/postcontent.aspx?tID=193269&amp;i=1")</f>
        <v>http://m.12365auto.com/bbs/postcontent.aspx?tID=193269&amp;i=1</v>
      </c>
      <c r="G12261" s="2"/>
      <c r="H12261" s="2" t="s">
        <v>6340</v>
      </c>
      <c r="I12261" s="2" t="s">
        <v>15</v>
      </c>
      <c r="J12261" s="2" t="s">
        <v>7148</v>
      </c>
      <c r="K12261" s="2" t="s">
        <v>16347</v>
      </c>
      <c r="L12261" s="2">
        <f t="shared" si="191"/>
        <v>150</v>
      </c>
    </row>
    <row r="12262" spans="1:12" ht="25" customHeight="1">
      <c r="A12262" s="2" t="s">
        <v>12</v>
      </c>
      <c r="B12262" s="2" t="str">
        <f>HYPERLINK("http://bbs.12365auto.com/postcontent.aspx?tId=193269","哈弗H9发动机烧机油厂家拒绝质保")</f>
        <v>哈弗H9发动机烧机油厂家拒绝质保</v>
      </c>
      <c r="C12262" s="2" t="s">
        <v>13</v>
      </c>
      <c r="D12262" s="2" t="s">
        <v>12</v>
      </c>
      <c r="E12262" s="2" t="s">
        <v>66</v>
      </c>
      <c r="F12262" s="2" t="str">
        <f>HYPERLINK("http://bbs.12365auto.com/postcontent.aspx?tId=193269","http://bbs.12365auto.com/postcontent.aspx?tId=193269")</f>
        <v>http://bbs.12365auto.com/postcontent.aspx?tId=193269</v>
      </c>
      <c r="G12262" s="2"/>
      <c r="H12262" s="2" t="s">
        <v>6340</v>
      </c>
      <c r="I12262" s="2" t="s">
        <v>15</v>
      </c>
      <c r="J12262" s="2" t="s">
        <v>7148</v>
      </c>
      <c r="K12262" s="2" t="s">
        <v>16347</v>
      </c>
      <c r="L12262" s="2">
        <f t="shared" si="191"/>
        <v>150</v>
      </c>
    </row>
    <row r="12263" spans="1:12" ht="25" customHeight="1">
      <c r="A12263" s="2" t="s">
        <v>12</v>
      </c>
      <c r="B12263" s="2" t="str">
        <f>HYPERLINK("http://bbs.12365auto.com/postcontent.aspx?tID=193269","哈弗H9发动机烧机油厂家拒绝质保")</f>
        <v>哈弗H9发动机烧机油厂家拒绝质保</v>
      </c>
      <c r="C12263" s="2" t="s">
        <v>13</v>
      </c>
      <c r="D12263" s="2" t="s">
        <v>12</v>
      </c>
      <c r="E12263" s="2" t="s">
        <v>67</v>
      </c>
      <c r="F12263" s="2" t="str">
        <f>HYPERLINK("http://bbs.12365auto.com/postcontent.aspx?tID=193269","http://bbs.12365auto.com/postcontent.aspx?tID=193269")</f>
        <v>http://bbs.12365auto.com/postcontent.aspx?tID=193269</v>
      </c>
      <c r="G12263" s="2"/>
      <c r="H12263" s="2" t="s">
        <v>11783</v>
      </c>
      <c r="I12263" s="2" t="s">
        <v>15</v>
      </c>
      <c r="J12263" s="2" t="s">
        <v>7148</v>
      </c>
      <c r="K12263" s="2" t="s">
        <v>16347</v>
      </c>
      <c r="L12263" s="2">
        <f t="shared" si="191"/>
        <v>150</v>
      </c>
    </row>
    <row r="12264" spans="1:12" ht="25" customHeight="1">
      <c r="A12264" s="2" t="s">
        <v>12</v>
      </c>
      <c r="B12264" s="2" t="str">
        <f>HYPERLINK("http://m.12365auto.com/bbs/postcontent.aspx?tID=193269","哈弗H9发动机烧机油厂家拒绝质保")</f>
        <v>哈弗H9发动机烧机油厂家拒绝质保</v>
      </c>
      <c r="C12264" s="2" t="s">
        <v>13</v>
      </c>
      <c r="D12264" s="2" t="s">
        <v>23</v>
      </c>
      <c r="E12264" s="2"/>
      <c r="F12264" s="2" t="str">
        <f>HYPERLINK("http://m.12365auto.com/bbs/postcontent.aspx?tID=193269","http://m.12365auto.com/bbs/postcontent.aspx?tID=193269")</f>
        <v>http://m.12365auto.com/bbs/postcontent.aspx?tID=193269</v>
      </c>
      <c r="G12264" s="2"/>
      <c r="H12264" s="2" t="s">
        <v>6340</v>
      </c>
      <c r="I12264" s="2" t="s">
        <v>15</v>
      </c>
      <c r="J12264" s="2" t="s">
        <v>7148</v>
      </c>
      <c r="K12264" s="2" t="s">
        <v>16347</v>
      </c>
      <c r="L12264" s="2">
        <f t="shared" si="191"/>
        <v>150</v>
      </c>
    </row>
    <row r="12265" spans="1:12" ht="25" customHeight="1">
      <c r="A12265" s="2" t="s">
        <v>12</v>
      </c>
      <c r="B12265" s="2" t="str">
        <f>HYPERLINK("http://m.12365auto.com/bbs/postcontent.aspx?tID=193268","帝豪冷启动变速箱故障灯亮无法行驶")</f>
        <v>帝豪冷启动变速箱故障灯亮无法行驶</v>
      </c>
      <c r="C12265" s="2" t="s">
        <v>13</v>
      </c>
      <c r="D12265" s="2" t="s">
        <v>23</v>
      </c>
      <c r="E12265" s="2"/>
      <c r="F12265" s="2" t="str">
        <f>HYPERLINK("http://m.12365auto.com/bbs/postcontent.aspx?tID=193268","http://m.12365auto.com/bbs/postcontent.aspx?tID=193268")</f>
        <v>http://m.12365auto.com/bbs/postcontent.aspx?tID=193268</v>
      </c>
      <c r="G12265" s="2"/>
      <c r="H12265" s="2" t="s">
        <v>16348</v>
      </c>
      <c r="I12265" s="2" t="s">
        <v>15</v>
      </c>
      <c r="J12265" s="2" t="s">
        <v>7152</v>
      </c>
      <c r="K12265" s="2" t="s">
        <v>16349</v>
      </c>
      <c r="L12265" s="2">
        <f t="shared" si="191"/>
        <v>150</v>
      </c>
    </row>
    <row r="12266" spans="1:12" ht="25" customHeight="1">
      <c r="A12266" s="2" t="s">
        <v>12</v>
      </c>
      <c r="B12266" s="2" t="str">
        <f>HYPERLINK("http://bbs.12365auto.com/postcontent.aspx?tId=193268","帝豪冷启动变速箱故障灯亮无法行驶")</f>
        <v>帝豪冷启动变速箱故障灯亮无法行驶</v>
      </c>
      <c r="C12266" s="2" t="s">
        <v>13</v>
      </c>
      <c r="D12266" s="2" t="s">
        <v>12</v>
      </c>
      <c r="E12266" s="2" t="s">
        <v>66</v>
      </c>
      <c r="F12266" s="2" t="str">
        <f>HYPERLINK("http://bbs.12365auto.com/postcontent.aspx?tId=193268","http://bbs.12365auto.com/postcontent.aspx?tId=193268")</f>
        <v>http://bbs.12365auto.com/postcontent.aspx?tId=193268</v>
      </c>
      <c r="G12266" s="2"/>
      <c r="H12266" s="2" t="s">
        <v>16348</v>
      </c>
      <c r="I12266" s="2" t="s">
        <v>15</v>
      </c>
      <c r="J12266" s="2" t="s">
        <v>7152</v>
      </c>
      <c r="K12266" s="2" t="s">
        <v>16349</v>
      </c>
      <c r="L12266" s="2">
        <f t="shared" si="191"/>
        <v>150</v>
      </c>
    </row>
    <row r="12267" spans="1:12" ht="25" customHeight="1">
      <c r="A12267" s="2" t="s">
        <v>12</v>
      </c>
      <c r="B12267" s="2" t="str">
        <f>HYPERLINK("http://bbs.12365auto.com/postcontent.aspx?tID=193268","帝豪冷启动变速箱故障灯亮无法行驶")</f>
        <v>帝豪冷启动变速箱故障灯亮无法行驶</v>
      </c>
      <c r="C12267" s="2" t="s">
        <v>13</v>
      </c>
      <c r="D12267" s="2" t="s">
        <v>12</v>
      </c>
      <c r="E12267" s="2" t="s">
        <v>67</v>
      </c>
      <c r="F12267" s="2" t="str">
        <f>HYPERLINK("http://bbs.12365auto.com/postcontent.aspx?tID=193268","http://bbs.12365auto.com/postcontent.aspx?tID=193268")</f>
        <v>http://bbs.12365auto.com/postcontent.aspx?tID=193268</v>
      </c>
      <c r="G12267" s="2"/>
      <c r="H12267" s="2" t="s">
        <v>16350</v>
      </c>
      <c r="I12267" s="2" t="s">
        <v>15</v>
      </c>
      <c r="J12267" s="2" t="s">
        <v>7152</v>
      </c>
      <c r="K12267" s="2" t="s">
        <v>16349</v>
      </c>
      <c r="L12267" s="2">
        <f t="shared" si="191"/>
        <v>150</v>
      </c>
    </row>
    <row r="12268" spans="1:12" ht="25" customHeight="1">
      <c r="A12268" s="2" t="s">
        <v>12</v>
      </c>
      <c r="B12268" s="2" t="str">
        <f>HYPERLINK("http://www.12365auto.com/zlts/20200204/446306.shtml","哈弗H6行驶中输油管脱落发动机熄火")</f>
        <v>哈弗H6行驶中输油管脱落发动机熄火</v>
      </c>
      <c r="C12268" s="2" t="s">
        <v>13</v>
      </c>
      <c r="D12268" s="2" t="s">
        <v>12</v>
      </c>
      <c r="E12268" s="2"/>
      <c r="F12268" s="2" t="str">
        <f>HYPERLINK("http://www.12365auto.com/zlts/20200204/446306.shtml","http://www.12365auto.com/zlts/20200204/446306.shtml")</f>
        <v>http://www.12365auto.com/zlts/20200204/446306.shtml</v>
      </c>
      <c r="G12268" s="2"/>
      <c r="H12268" s="2" t="s">
        <v>16352</v>
      </c>
      <c r="I12268" s="2" t="s">
        <v>15</v>
      </c>
      <c r="J12268" s="2" t="s">
        <v>12</v>
      </c>
      <c r="K12268" s="2" t="s">
        <v>16351</v>
      </c>
      <c r="L12268" s="2">
        <f t="shared" si="191"/>
        <v>87</v>
      </c>
    </row>
    <row r="12269" spans="1:12" ht="25" customHeight="1">
      <c r="A12269" s="2" t="s">
        <v>12</v>
      </c>
      <c r="B12269" s="2" t="str">
        <f>HYPERLINK("http://m.12365auto.com/zjdy/20200204/121012.shtml","天津地区哪里有汽车质量鉴定部门？")</f>
        <v>天津地区哪里有汽车质量鉴定部门？</v>
      </c>
      <c r="C12269" s="2" t="s">
        <v>13</v>
      </c>
      <c r="D12269" s="2" t="s">
        <v>12</v>
      </c>
      <c r="E12269" s="2"/>
      <c r="F12269" s="2" t="str">
        <f>HYPERLINK("http://m.12365auto.com/zjdy/20200204/121012.shtml","http://m.12365auto.com/zjdy/20200204/121012.shtml")</f>
        <v>http://m.12365auto.com/zjdy/20200204/121012.shtml</v>
      </c>
      <c r="G12269" s="2"/>
      <c r="H12269" s="2" t="s">
        <v>16353</v>
      </c>
      <c r="I12269" s="2" t="s">
        <v>19</v>
      </c>
      <c r="J12269" s="2" t="s">
        <v>12</v>
      </c>
      <c r="K12269" s="2" t="s">
        <v>16354</v>
      </c>
      <c r="L12269" s="2">
        <f t="shared" si="191"/>
        <v>35</v>
      </c>
    </row>
    <row r="12270" spans="1:12" ht="25" customHeight="1">
      <c r="A12270" s="2" t="s">
        <v>12</v>
      </c>
      <c r="B12270" s="2" t="str">
        <f>HYPERLINK("http://m.12365auto.com/zjdy/20200204/121008.shtml","Jeep大指挥官能买吗质量怎么样？")</f>
        <v>Jeep大指挥官能买吗质量怎么样？</v>
      </c>
      <c r="C12270" s="2" t="s">
        <v>13</v>
      </c>
      <c r="D12270" s="2" t="s">
        <v>12</v>
      </c>
      <c r="E12270" s="2"/>
      <c r="F12270" s="2" t="str">
        <f>HYPERLINK("http://m.12365auto.com/zjdy/20200204/121008.shtml","http://m.12365auto.com/zjdy/20200204/121008.shtml")</f>
        <v>http://m.12365auto.com/zjdy/20200204/121008.shtml</v>
      </c>
      <c r="G12270" s="2"/>
      <c r="H12270" s="2" t="s">
        <v>16355</v>
      </c>
      <c r="I12270" s="2" t="s">
        <v>19</v>
      </c>
      <c r="J12270" s="2" t="s">
        <v>12</v>
      </c>
      <c r="K12270" s="2" t="s">
        <v>16354</v>
      </c>
      <c r="L12270" s="2">
        <f t="shared" si="191"/>
        <v>17</v>
      </c>
    </row>
    <row r="12271" spans="1:12" ht="25" customHeight="1">
      <c r="A12271" s="2" t="s">
        <v>12</v>
      </c>
      <c r="B12271" s="2" t="str">
        <f>HYPERLINK("http://www.12365auto.com/zlts/20200204/446305.shtml","吉利帝豪冷启动变速箱故障灯亮无法行驶")</f>
        <v>吉利帝豪冷启动变速箱故障灯亮无法行驶</v>
      </c>
      <c r="C12271" s="2" t="s">
        <v>13</v>
      </c>
      <c r="D12271" s="2" t="s">
        <v>12</v>
      </c>
      <c r="E12271" s="2"/>
      <c r="F12271" s="2" t="str">
        <f>HYPERLINK("http://www.12365auto.com/zlts/20200204/446305.shtml","http://www.12365auto.com/zlts/20200204/446305.shtml")</f>
        <v>http://www.12365auto.com/zlts/20200204/446305.shtml</v>
      </c>
      <c r="G12271" s="2"/>
      <c r="H12271" s="2" t="s">
        <v>16356</v>
      </c>
      <c r="I12271" s="2" t="s">
        <v>15</v>
      </c>
      <c r="J12271" s="2" t="s">
        <v>12</v>
      </c>
      <c r="K12271" s="2" t="s">
        <v>16354</v>
      </c>
      <c r="L12271" s="2">
        <f t="shared" si="191"/>
        <v>84</v>
      </c>
    </row>
    <row r="12272" spans="1:12" ht="25" customHeight="1">
      <c r="A12272" s="2" t="s">
        <v>12</v>
      </c>
      <c r="B12272" s="2" t="str">
        <f>HYPERLINK("http://www.12365auto.com/zlts/20200204/446308.shtml","一汽大众奥迪A4L水泵漏防冻液要求更换")</f>
        <v>一汽大众奥迪A4L水泵漏防冻液要求更换</v>
      </c>
      <c r="C12272" s="2" t="s">
        <v>13</v>
      </c>
      <c r="D12272" s="2" t="s">
        <v>12</v>
      </c>
      <c r="E12272" s="2" t="s">
        <v>17</v>
      </c>
      <c r="F12272" s="2" t="str">
        <f>HYPERLINK("http://www.12365auto.com/zlts/20200204/446308.shtml","http://www.12365auto.com/zlts/20200204/446308.shtml")</f>
        <v>http://www.12365auto.com/zlts/20200204/446308.shtml</v>
      </c>
      <c r="G12272" s="2"/>
      <c r="H12272" s="2" t="s">
        <v>16357</v>
      </c>
      <c r="I12272" s="2" t="s">
        <v>15</v>
      </c>
      <c r="J12272" s="2" t="s">
        <v>12</v>
      </c>
      <c r="K12272" s="2" t="s">
        <v>16358</v>
      </c>
      <c r="L12272" s="2">
        <f t="shared" si="191"/>
        <v>150</v>
      </c>
    </row>
    <row r="12273" spans="1:12" ht="25" customHeight="1">
      <c r="A12273" s="2" t="s">
        <v>12</v>
      </c>
      <c r="B12273" s="2" t="str">
        <f>HYPERLINK("http://m.12365auto.com/news/20200204/417671.shtml","先期投3.7亿 吉利研发防病毒全方位健康汽车")</f>
        <v>先期投3.7亿 吉利研发防病毒全方位健康汽车</v>
      </c>
      <c r="C12273" s="2" t="s">
        <v>13</v>
      </c>
      <c r="D12273" s="2" t="s">
        <v>12</v>
      </c>
      <c r="E12273" s="2"/>
      <c r="F12273" s="2" t="str">
        <f>HYPERLINK("http://m.12365auto.com/news/20200204/417671.shtml","http://m.12365auto.com/news/20200204/417671.shtml")</f>
        <v>http://m.12365auto.com/news/20200204/417671.shtml</v>
      </c>
      <c r="G12273" s="2"/>
      <c r="H12273" s="2" t="s">
        <v>16359</v>
      </c>
      <c r="I12273" s="2" t="s">
        <v>19</v>
      </c>
      <c r="J12273" s="2" t="s">
        <v>12</v>
      </c>
      <c r="K12273" s="2" t="s">
        <v>16360</v>
      </c>
      <c r="L12273" s="2">
        <f t="shared" si="191"/>
        <v>150</v>
      </c>
    </row>
    <row r="12274" spans="1:12" ht="25" customHeight="1">
      <c r="A12274" s="2" t="s">
        <v>12</v>
      </c>
      <c r="B12274" s="2" t="str">
        <f>HYPERLINK("http://www.12365auto.com/zlts/20200204/446304.shtml","广汽传祺GS5发动机内部磨损导致抱死")</f>
        <v>广汽传祺GS5发动机内部磨损导致抱死</v>
      </c>
      <c r="C12274" s="2" t="s">
        <v>13</v>
      </c>
      <c r="D12274" s="2" t="s">
        <v>12</v>
      </c>
      <c r="E12274" s="2" t="s">
        <v>17</v>
      </c>
      <c r="F12274" s="2" t="str">
        <f>HYPERLINK("http://www.12365auto.com/zlts/20200204/446304.shtml","http://www.12365auto.com/zlts/20200204/446304.shtml")</f>
        <v>http://www.12365auto.com/zlts/20200204/446304.shtml</v>
      </c>
      <c r="G12274" s="2"/>
      <c r="H12274" s="2" t="s">
        <v>16361</v>
      </c>
      <c r="I12274" s="2" t="s">
        <v>19</v>
      </c>
      <c r="J12274" s="2" t="s">
        <v>12</v>
      </c>
      <c r="K12274" s="2" t="s">
        <v>16362</v>
      </c>
      <c r="L12274" s="2">
        <f t="shared" si="191"/>
        <v>150</v>
      </c>
    </row>
    <row r="12275" spans="1:12" ht="25" customHeight="1">
      <c r="A12275" s="2" t="s">
        <v>12</v>
      </c>
      <c r="B12275" s="2" t="str">
        <f>HYPERLINK("http://m.12365auto.com/zjdy/20200204/121007.shtml","转向跑偏是什么原因应该如何解决？")</f>
        <v>转向跑偏是什么原因应该如何解决？</v>
      </c>
      <c r="C12275" s="2" t="s">
        <v>13</v>
      </c>
      <c r="D12275" s="2" t="s">
        <v>12</v>
      </c>
      <c r="E12275" s="2"/>
      <c r="F12275" s="2" t="str">
        <f>HYPERLINK("http://m.12365auto.com/zjdy/20200204/121007.shtml","http://m.12365auto.com/zjdy/20200204/121007.shtml")</f>
        <v>http://m.12365auto.com/zjdy/20200204/121007.shtml</v>
      </c>
      <c r="G12275" s="2"/>
      <c r="H12275" s="2" t="s">
        <v>16363</v>
      </c>
      <c r="I12275" s="2" t="s">
        <v>19</v>
      </c>
      <c r="J12275" s="2" t="s">
        <v>12</v>
      </c>
      <c r="K12275" s="2" t="s">
        <v>16364</v>
      </c>
      <c r="L12275" s="2">
        <f t="shared" si="191"/>
        <v>21</v>
      </c>
    </row>
    <row r="12276" spans="1:12" ht="25" customHeight="1">
      <c r="A12276" s="2" t="s">
        <v>12</v>
      </c>
      <c r="B12276" s="2" t="str">
        <f>HYPERLINK("http://www.12365auto.com/zlts/20200204/446301.shtml","北汽新能源EX续航里程降低充电自动停止")</f>
        <v>北汽新能源EX续航里程降低充电自动停止</v>
      </c>
      <c r="C12276" s="2" t="s">
        <v>13</v>
      </c>
      <c r="D12276" s="2" t="s">
        <v>12</v>
      </c>
      <c r="E12276" s="2" t="s">
        <v>17</v>
      </c>
      <c r="F12276" s="2" t="str">
        <f>HYPERLINK("http://www.12365auto.com/zlts/20200204/446301.shtml","http://www.12365auto.com/zlts/20200204/446301.shtml")</f>
        <v>http://www.12365auto.com/zlts/20200204/446301.shtml</v>
      </c>
      <c r="G12276" s="2"/>
      <c r="H12276" s="2" t="s">
        <v>16365</v>
      </c>
      <c r="I12276" s="2" t="s">
        <v>19</v>
      </c>
      <c r="J12276" s="2" t="s">
        <v>12</v>
      </c>
      <c r="K12276" s="2" t="s">
        <v>16366</v>
      </c>
      <c r="L12276" s="2">
        <f t="shared" si="191"/>
        <v>150</v>
      </c>
    </row>
    <row r="12277" spans="1:12" ht="25" customHeight="1">
      <c r="A12277" s="2" t="s">
        <v>12</v>
      </c>
      <c r="B12277" s="2" t="str">
        <f>HYPERLINK("http://bbs.12365auto.com/postcontent.aspx?tId=193267","你会倒车吗？以下4点值得你去看")</f>
        <v>你会倒车吗？以下4点值得你去看</v>
      </c>
      <c r="C12277" s="2" t="s">
        <v>13</v>
      </c>
      <c r="D12277" s="2" t="s">
        <v>12</v>
      </c>
      <c r="E12277" s="2" t="s">
        <v>27</v>
      </c>
      <c r="F12277" s="2" t="str">
        <f>HYPERLINK("http://bbs.12365auto.com/postcontent.aspx?tId=193267","http://bbs.12365auto.com/postcontent.aspx?tId=193267")</f>
        <v>http://bbs.12365auto.com/postcontent.aspx?tId=193267</v>
      </c>
      <c r="G12277" s="2"/>
      <c r="H12277" s="2" t="s">
        <v>16367</v>
      </c>
      <c r="I12277" s="2" t="s">
        <v>15</v>
      </c>
      <c r="J12277" s="2" t="s">
        <v>2459</v>
      </c>
      <c r="K12277" s="2" t="s">
        <v>16366</v>
      </c>
      <c r="L12277" s="2">
        <f t="shared" si="191"/>
        <v>150</v>
      </c>
    </row>
    <row r="12278" spans="1:12" ht="25" customHeight="1">
      <c r="A12278" s="2" t="s">
        <v>12</v>
      </c>
      <c r="B12278" s="2" t="str">
        <f>HYPERLINK("http://bbs.12365auto.com/postcontent.aspx?tID=193267","你会倒车吗？以下4点值得你去看")</f>
        <v>你会倒车吗？以下4点值得你去看</v>
      </c>
      <c r="C12278" s="2" t="s">
        <v>13</v>
      </c>
      <c r="D12278" s="2" t="s">
        <v>12</v>
      </c>
      <c r="E12278" s="2" t="s">
        <v>28</v>
      </c>
      <c r="F12278" s="2" t="str">
        <f>HYPERLINK("http://bbs.12365auto.com/postcontent.aspx?tID=193267","http://bbs.12365auto.com/postcontent.aspx?tID=193267")</f>
        <v>http://bbs.12365auto.com/postcontent.aspx?tID=193267</v>
      </c>
      <c r="G12278" s="2"/>
      <c r="H12278" s="2" t="s">
        <v>16368</v>
      </c>
      <c r="I12278" s="2" t="s">
        <v>15</v>
      </c>
      <c r="J12278" s="2" t="s">
        <v>2459</v>
      </c>
      <c r="K12278" s="2" t="s">
        <v>16366</v>
      </c>
      <c r="L12278" s="2">
        <f t="shared" si="191"/>
        <v>150</v>
      </c>
    </row>
    <row r="12279" spans="1:12" ht="25" customHeight="1">
      <c r="A12279" s="2" t="s">
        <v>12</v>
      </c>
      <c r="B12279" s="2" t="str">
        <f>HYPERLINK("http://m.12365auto.com/bbs/postcontent.aspx?tID=193267","你会倒车吗？以下4点值得你去看")</f>
        <v>你会倒车吗？以下4点值得你去看</v>
      </c>
      <c r="C12279" s="2" t="s">
        <v>13</v>
      </c>
      <c r="D12279" s="2" t="s">
        <v>23</v>
      </c>
      <c r="E12279" s="2"/>
      <c r="F12279" s="2" t="str">
        <f>HYPERLINK("http://m.12365auto.com/bbs/postcontent.aspx?tID=193267","http://m.12365auto.com/bbs/postcontent.aspx?tID=193267")</f>
        <v>http://m.12365auto.com/bbs/postcontent.aspx?tID=193267</v>
      </c>
      <c r="G12279" s="2"/>
      <c r="H12279" s="2" t="s">
        <v>16367</v>
      </c>
      <c r="I12279" s="2" t="s">
        <v>15</v>
      </c>
      <c r="J12279" s="2" t="s">
        <v>2459</v>
      </c>
      <c r="K12279" s="2" t="s">
        <v>16366</v>
      </c>
      <c r="L12279" s="2">
        <f t="shared" si="191"/>
        <v>150</v>
      </c>
    </row>
    <row r="12280" spans="1:12" ht="25" customHeight="1">
      <c r="A12280" s="2" t="s">
        <v>12</v>
      </c>
      <c r="B12280" s="2" t="str">
        <f>HYPERLINK("http://bbs.12365auto.com/postcontent.aspx?tId=193266","手刹该怎么拉？一不小心可能毁车")</f>
        <v>手刹该怎么拉？一不小心可能毁车</v>
      </c>
      <c r="C12280" s="2" t="s">
        <v>13</v>
      </c>
      <c r="D12280" s="2" t="s">
        <v>12</v>
      </c>
      <c r="E12280" s="2" t="s">
        <v>27</v>
      </c>
      <c r="F12280" s="2" t="str">
        <f>HYPERLINK("http://bbs.12365auto.com/postcontent.aspx?tId=193266","http://bbs.12365auto.com/postcontent.aspx?tId=193266")</f>
        <v>http://bbs.12365auto.com/postcontent.aspx?tId=193266</v>
      </c>
      <c r="G12280" s="2"/>
      <c r="H12280" s="2" t="s">
        <v>16369</v>
      </c>
      <c r="I12280" s="2" t="s">
        <v>15</v>
      </c>
      <c r="J12280" s="2" t="s">
        <v>2459</v>
      </c>
      <c r="K12280" s="2" t="s">
        <v>16370</v>
      </c>
      <c r="L12280" s="2">
        <f t="shared" si="191"/>
        <v>150</v>
      </c>
    </row>
    <row r="12281" spans="1:12" ht="25" customHeight="1">
      <c r="A12281" s="2" t="s">
        <v>12</v>
      </c>
      <c r="B12281" s="2" t="str">
        <f>HYPERLINK("http://bbs.12365auto.com/postcontent.aspx?tId=193265","简单几招 轻松判断方向盘是否回正")</f>
        <v>简单几招 轻松判断方向盘是否回正</v>
      </c>
      <c r="C12281" s="2" t="s">
        <v>13</v>
      </c>
      <c r="D12281" s="2" t="s">
        <v>12</v>
      </c>
      <c r="E12281" s="2" t="s">
        <v>27</v>
      </c>
      <c r="F12281" s="2" t="str">
        <f>HYPERLINK("http://bbs.12365auto.com/postcontent.aspx?tId=193265","http://bbs.12365auto.com/postcontent.aspx?tId=193265")</f>
        <v>http://bbs.12365auto.com/postcontent.aspx?tId=193265</v>
      </c>
      <c r="G12281" s="2"/>
      <c r="H12281" s="2" t="s">
        <v>16371</v>
      </c>
      <c r="I12281" s="2" t="s">
        <v>15</v>
      </c>
      <c r="J12281" s="2" t="s">
        <v>2459</v>
      </c>
      <c r="K12281" s="2" t="s">
        <v>16370</v>
      </c>
      <c r="L12281" s="2">
        <f t="shared" si="191"/>
        <v>150</v>
      </c>
    </row>
    <row r="12282" spans="1:12" ht="25" customHeight="1">
      <c r="A12282" s="2" t="s">
        <v>12</v>
      </c>
      <c r="B12282" s="2" t="str">
        <f>HYPERLINK("http://bbs.12365auto.com/postcontent.aspx?tID=193266","手刹该怎么拉？一不小心可能毁车")</f>
        <v>手刹该怎么拉？一不小心可能毁车</v>
      </c>
      <c r="C12282" s="2" t="s">
        <v>13</v>
      </c>
      <c r="D12282" s="2" t="s">
        <v>12</v>
      </c>
      <c r="E12282" s="2" t="s">
        <v>28</v>
      </c>
      <c r="F12282" s="2" t="str">
        <f>HYPERLINK("http://bbs.12365auto.com/postcontent.aspx?tID=193266","http://bbs.12365auto.com/postcontent.aspx?tID=193266")</f>
        <v>http://bbs.12365auto.com/postcontent.aspx?tID=193266</v>
      </c>
      <c r="G12282" s="2"/>
      <c r="H12282" s="2" t="s">
        <v>16372</v>
      </c>
      <c r="I12282" s="2" t="s">
        <v>15</v>
      </c>
      <c r="J12282" s="2" t="s">
        <v>2459</v>
      </c>
      <c r="K12282" s="2" t="s">
        <v>16370</v>
      </c>
      <c r="L12282" s="2">
        <f t="shared" si="191"/>
        <v>150</v>
      </c>
    </row>
    <row r="12283" spans="1:12" ht="25" customHeight="1">
      <c r="A12283" s="2" t="s">
        <v>12</v>
      </c>
      <c r="B12283" s="2" t="str">
        <f>HYPERLINK("http://bbs.12365auto.com/postcontent.aspx?tID=193265","简单几招 轻松判断方向盘是否回正")</f>
        <v>简单几招 轻松判断方向盘是否回正</v>
      </c>
      <c r="C12283" s="2" t="s">
        <v>13</v>
      </c>
      <c r="D12283" s="2" t="s">
        <v>12</v>
      </c>
      <c r="E12283" s="2" t="s">
        <v>28</v>
      </c>
      <c r="F12283" s="2" t="str">
        <f>HYPERLINK("http://bbs.12365auto.com/postcontent.aspx?tID=193265","http://bbs.12365auto.com/postcontent.aspx?tID=193265")</f>
        <v>http://bbs.12365auto.com/postcontent.aspx?tID=193265</v>
      </c>
      <c r="G12283" s="2"/>
      <c r="H12283" s="2" t="s">
        <v>16373</v>
      </c>
      <c r="I12283" s="2" t="s">
        <v>15</v>
      </c>
      <c r="J12283" s="2" t="s">
        <v>2459</v>
      </c>
      <c r="K12283" s="2" t="s">
        <v>16370</v>
      </c>
      <c r="L12283" s="2">
        <f t="shared" si="191"/>
        <v>150</v>
      </c>
    </row>
    <row r="12284" spans="1:12" ht="25" customHeight="1">
      <c r="A12284" s="2" t="s">
        <v>12</v>
      </c>
      <c r="B12284" s="2" t="str">
        <f>HYPERLINK("http://m.12365auto.com/bbs/postcontent.aspx?tID=193265","简单几招 轻松判断方向盘是否回正")</f>
        <v>简单几招 轻松判断方向盘是否回正</v>
      </c>
      <c r="C12284" s="2" t="s">
        <v>13</v>
      </c>
      <c r="D12284" s="2" t="s">
        <v>23</v>
      </c>
      <c r="E12284" s="2"/>
      <c r="F12284" s="2" t="str">
        <f>HYPERLINK("http://m.12365auto.com/bbs/postcontent.aspx?tID=193265","http://m.12365auto.com/bbs/postcontent.aspx?tID=193265")</f>
        <v>http://m.12365auto.com/bbs/postcontent.aspx?tID=193265</v>
      </c>
      <c r="G12284" s="2"/>
      <c r="H12284" s="2" t="s">
        <v>16371</v>
      </c>
      <c r="I12284" s="2" t="s">
        <v>15</v>
      </c>
      <c r="J12284" s="2" t="s">
        <v>2459</v>
      </c>
      <c r="K12284" s="2" t="s">
        <v>16370</v>
      </c>
      <c r="L12284" s="2">
        <f t="shared" si="191"/>
        <v>150</v>
      </c>
    </row>
    <row r="12285" spans="1:12" ht="25" customHeight="1">
      <c r="A12285" s="2" t="s">
        <v>12</v>
      </c>
      <c r="B12285" s="2" t="str">
        <f>HYPERLINK("http://m.12365auto.com/bbs/postcontent.aspx?tID=193266","手刹该怎么拉？一不小心可能毁车")</f>
        <v>手刹该怎么拉？一不小心可能毁车</v>
      </c>
      <c r="C12285" s="2" t="s">
        <v>13</v>
      </c>
      <c r="D12285" s="2" t="s">
        <v>23</v>
      </c>
      <c r="E12285" s="2"/>
      <c r="F12285" s="2" t="str">
        <f>HYPERLINK("http://m.12365auto.com/bbs/postcontent.aspx?tID=193266","http://m.12365auto.com/bbs/postcontent.aspx?tID=193266")</f>
        <v>http://m.12365auto.com/bbs/postcontent.aspx?tID=193266</v>
      </c>
      <c r="G12285" s="2"/>
      <c r="H12285" s="2" t="s">
        <v>16369</v>
      </c>
      <c r="I12285" s="2" t="s">
        <v>15</v>
      </c>
      <c r="J12285" s="2" t="s">
        <v>2459</v>
      </c>
      <c r="K12285" s="2" t="s">
        <v>16370</v>
      </c>
      <c r="L12285" s="2">
        <f t="shared" si="191"/>
        <v>150</v>
      </c>
    </row>
    <row r="12286" spans="1:12" ht="25" customHeight="1">
      <c r="A12286" s="2" t="s">
        <v>12</v>
      </c>
      <c r="B12286" s="2" t="str">
        <f>HYPERLINK("http://bbs.12365auto.com/postcontent.aspx?tID=193263","三招教你过窄道 基本保证不蹭车")</f>
        <v>三招教你过窄道 基本保证不蹭车</v>
      </c>
      <c r="C12286" s="2" t="s">
        <v>13</v>
      </c>
      <c r="D12286" s="2" t="s">
        <v>12</v>
      </c>
      <c r="E12286" s="2" t="s">
        <v>28</v>
      </c>
      <c r="F12286" s="2" t="str">
        <f>HYPERLINK("http://bbs.12365auto.com/postcontent.aspx?tID=193263","http://bbs.12365auto.com/postcontent.aspx?tID=193263")</f>
        <v>http://bbs.12365auto.com/postcontent.aspx?tID=193263</v>
      </c>
      <c r="G12286" s="2"/>
      <c r="H12286" s="2" t="s">
        <v>16374</v>
      </c>
      <c r="I12286" s="2" t="s">
        <v>15</v>
      </c>
      <c r="J12286" s="2" t="s">
        <v>2459</v>
      </c>
      <c r="K12286" s="2" t="s">
        <v>16375</v>
      </c>
      <c r="L12286" s="2">
        <f t="shared" si="191"/>
        <v>150</v>
      </c>
    </row>
    <row r="12287" spans="1:12" ht="25" customHeight="1">
      <c r="A12287" s="2" t="s">
        <v>12</v>
      </c>
      <c r="B12287" s="2" t="str">
        <f>HYPERLINK("http://bbs.12365auto.com/postcontent.aspx?tID=193264","后视镜妙用 除了看车距还能干这些")</f>
        <v>后视镜妙用 除了看车距还能干这些</v>
      </c>
      <c r="C12287" s="2" t="s">
        <v>13</v>
      </c>
      <c r="D12287" s="2" t="s">
        <v>12</v>
      </c>
      <c r="E12287" s="2" t="s">
        <v>28</v>
      </c>
      <c r="F12287" s="2" t="str">
        <f>HYPERLINK("http://bbs.12365auto.com/postcontent.aspx?tID=193264","http://bbs.12365auto.com/postcontent.aspx?tID=193264")</f>
        <v>http://bbs.12365auto.com/postcontent.aspx?tID=193264</v>
      </c>
      <c r="G12287" s="2"/>
      <c r="H12287" s="2" t="s">
        <v>16376</v>
      </c>
      <c r="I12287" s="2" t="s">
        <v>15</v>
      </c>
      <c r="J12287" s="2" t="s">
        <v>2459</v>
      </c>
      <c r="K12287" s="2" t="s">
        <v>16375</v>
      </c>
      <c r="L12287" s="2">
        <f t="shared" si="191"/>
        <v>150</v>
      </c>
    </row>
    <row r="12288" spans="1:12" ht="25" customHeight="1">
      <c r="A12288" s="2" t="s">
        <v>12</v>
      </c>
      <c r="B12288" s="2" t="str">
        <f>HYPERLINK("http://bbs.12365auto.com/postcontent.aspx?tId=193264","后视镜妙用 除了看车距还能干这些")</f>
        <v>后视镜妙用 除了看车距还能干这些</v>
      </c>
      <c r="C12288" s="2" t="s">
        <v>13</v>
      </c>
      <c r="D12288" s="2" t="s">
        <v>12</v>
      </c>
      <c r="E12288" s="2" t="s">
        <v>27</v>
      </c>
      <c r="F12288" s="2" t="str">
        <f>HYPERLINK("http://bbs.12365auto.com/postcontent.aspx?tId=193264","http://bbs.12365auto.com/postcontent.aspx?tId=193264")</f>
        <v>http://bbs.12365auto.com/postcontent.aspx?tId=193264</v>
      </c>
      <c r="G12288" s="2"/>
      <c r="H12288" s="2" t="s">
        <v>16377</v>
      </c>
      <c r="I12288" s="2" t="s">
        <v>15</v>
      </c>
      <c r="J12288" s="2" t="s">
        <v>2459</v>
      </c>
      <c r="K12288" s="2" t="s">
        <v>16375</v>
      </c>
      <c r="L12288" s="2">
        <f t="shared" si="191"/>
        <v>150</v>
      </c>
    </row>
    <row r="12289" spans="1:12" ht="25" customHeight="1">
      <c r="A12289" s="2" t="s">
        <v>12</v>
      </c>
      <c r="B12289" s="2" t="str">
        <f>HYPERLINK("http://bbs.12365auto.com/postcontent.aspx?tId=193263","三招教你过窄道 基本保证不蹭车")</f>
        <v>三招教你过窄道 基本保证不蹭车</v>
      </c>
      <c r="C12289" s="2" t="s">
        <v>13</v>
      </c>
      <c r="D12289" s="2" t="s">
        <v>12</v>
      </c>
      <c r="E12289" s="2" t="s">
        <v>27</v>
      </c>
      <c r="F12289" s="2" t="str">
        <f>HYPERLINK("http://bbs.12365auto.com/postcontent.aspx?tId=193263","http://bbs.12365auto.com/postcontent.aspx?tId=193263")</f>
        <v>http://bbs.12365auto.com/postcontent.aspx?tId=193263</v>
      </c>
      <c r="G12289" s="2"/>
      <c r="H12289" s="2" t="s">
        <v>16378</v>
      </c>
      <c r="I12289" s="2" t="s">
        <v>15</v>
      </c>
      <c r="J12289" s="2" t="s">
        <v>2459</v>
      </c>
      <c r="K12289" s="2" t="s">
        <v>16375</v>
      </c>
      <c r="L12289" s="2">
        <f t="shared" si="191"/>
        <v>150</v>
      </c>
    </row>
    <row r="12290" spans="1:12" ht="25" customHeight="1">
      <c r="A12290" s="2" t="s">
        <v>12</v>
      </c>
      <c r="B12290" s="2" t="str">
        <f>HYPERLINK("http://m.12365auto.com/bbs/postcontent.aspx?tID=193264","后视镜妙用 除了看车距还能干这些")</f>
        <v>后视镜妙用 除了看车距还能干这些</v>
      </c>
      <c r="C12290" s="2" t="s">
        <v>13</v>
      </c>
      <c r="D12290" s="2" t="s">
        <v>23</v>
      </c>
      <c r="E12290" s="2"/>
      <c r="F12290" s="2" t="str">
        <f>HYPERLINK("http://m.12365auto.com/bbs/postcontent.aspx?tID=193264","http://m.12365auto.com/bbs/postcontent.aspx?tID=193264")</f>
        <v>http://m.12365auto.com/bbs/postcontent.aspx?tID=193264</v>
      </c>
      <c r="G12290" s="2"/>
      <c r="H12290" s="2" t="s">
        <v>16377</v>
      </c>
      <c r="I12290" s="2" t="s">
        <v>15</v>
      </c>
      <c r="J12290" s="2" t="s">
        <v>2459</v>
      </c>
      <c r="K12290" s="2" t="s">
        <v>16375</v>
      </c>
      <c r="L12290" s="2">
        <f t="shared" si="191"/>
        <v>150</v>
      </c>
    </row>
    <row r="12291" spans="1:12" ht="25" customHeight="1">
      <c r="A12291" s="2" t="s">
        <v>12</v>
      </c>
      <c r="B12291" s="2" t="str">
        <f>HYPERLINK("http://m.12365auto.com/bbs/postcontent.aspx?tID=193263","三招教你过窄道 基本保证不蹭车")</f>
        <v>三招教你过窄道 基本保证不蹭车</v>
      </c>
      <c r="C12291" s="2" t="s">
        <v>13</v>
      </c>
      <c r="D12291" s="2" t="s">
        <v>23</v>
      </c>
      <c r="E12291" s="2"/>
      <c r="F12291" s="2" t="str">
        <f>HYPERLINK("http://m.12365auto.com/bbs/postcontent.aspx?tID=193263","http://m.12365auto.com/bbs/postcontent.aspx?tID=193263")</f>
        <v>http://m.12365auto.com/bbs/postcontent.aspx?tID=193263</v>
      </c>
      <c r="G12291" s="2"/>
      <c r="H12291" s="2" t="s">
        <v>16378</v>
      </c>
      <c r="I12291" s="2" t="s">
        <v>15</v>
      </c>
      <c r="J12291" s="2" t="s">
        <v>2459</v>
      </c>
      <c r="K12291" s="2" t="s">
        <v>16375</v>
      </c>
      <c r="L12291" s="2">
        <f t="shared" ref="L12291:L12354" si="192">LEN(H12291)</f>
        <v>150</v>
      </c>
    </row>
    <row r="12292" spans="1:12" ht="25" customHeight="1">
      <c r="A12292" s="2" t="s">
        <v>12</v>
      </c>
      <c r="B12292" s="2" t="str">
        <f>HYPERLINK("http://bbs.12365auto.com/postcontent.aspx?tID=193262","手刹天天用 我敢说你一定没用对")</f>
        <v>手刹天天用 我敢说你一定没用对</v>
      </c>
      <c r="C12292" s="2" t="s">
        <v>13</v>
      </c>
      <c r="D12292" s="2" t="s">
        <v>12</v>
      </c>
      <c r="E12292" s="2" t="s">
        <v>28</v>
      </c>
      <c r="F12292" s="2" t="str">
        <f>HYPERLINK("http://bbs.12365auto.com/postcontent.aspx?tID=193262","http://bbs.12365auto.com/postcontent.aspx?tID=193262")</f>
        <v>http://bbs.12365auto.com/postcontent.aspx?tID=193262</v>
      </c>
      <c r="G12292" s="2"/>
      <c r="H12292" s="2" t="s">
        <v>16379</v>
      </c>
      <c r="I12292" s="2" t="s">
        <v>15</v>
      </c>
      <c r="J12292" s="2" t="s">
        <v>2459</v>
      </c>
      <c r="K12292" s="2" t="s">
        <v>16380</v>
      </c>
      <c r="L12292" s="2">
        <f t="shared" si="192"/>
        <v>150</v>
      </c>
    </row>
    <row r="12293" spans="1:12" ht="25" customHeight="1">
      <c r="A12293" s="2" t="s">
        <v>12</v>
      </c>
      <c r="B12293" s="2" t="str">
        <f>HYPERLINK("http://bbs.12365auto.com/postcontent.aspx?tID=193261","行驶中转向助力消失具体是什么原因")</f>
        <v>行驶中转向助力消失具体是什么原因</v>
      </c>
      <c r="C12293" s="2" t="s">
        <v>13</v>
      </c>
      <c r="D12293" s="2" t="s">
        <v>12</v>
      </c>
      <c r="E12293" s="2" t="s">
        <v>67</v>
      </c>
      <c r="F12293" s="2" t="str">
        <f>HYPERLINK("http://bbs.12365auto.com/postcontent.aspx?tID=193261","http://bbs.12365auto.com/postcontent.aspx?tID=193261")</f>
        <v>http://bbs.12365auto.com/postcontent.aspx?tID=193261</v>
      </c>
      <c r="G12293" s="2"/>
      <c r="H12293" s="2" t="s">
        <v>16381</v>
      </c>
      <c r="I12293" s="2" t="s">
        <v>15</v>
      </c>
      <c r="J12293" s="2" t="s">
        <v>2092</v>
      </c>
      <c r="K12293" s="2" t="s">
        <v>16380</v>
      </c>
      <c r="L12293" s="2">
        <f t="shared" si="192"/>
        <v>150</v>
      </c>
    </row>
    <row r="12294" spans="1:12" ht="25" customHeight="1">
      <c r="A12294" s="2" t="s">
        <v>12</v>
      </c>
      <c r="B12294" s="2" t="str">
        <f>HYPERLINK("http://bbs.12365auto.com/postcontent.aspx?tId=193262","手刹天天用 我敢说你一定没用对")</f>
        <v>手刹天天用 我敢说你一定没用对</v>
      </c>
      <c r="C12294" s="2" t="s">
        <v>13</v>
      </c>
      <c r="D12294" s="2" t="s">
        <v>12</v>
      </c>
      <c r="E12294" s="2" t="s">
        <v>27</v>
      </c>
      <c r="F12294" s="2" t="str">
        <f>HYPERLINK("http://bbs.12365auto.com/postcontent.aspx?tId=193262","http://bbs.12365auto.com/postcontent.aspx?tId=193262")</f>
        <v>http://bbs.12365auto.com/postcontent.aspx?tId=193262</v>
      </c>
      <c r="G12294" s="2"/>
      <c r="H12294" s="2" t="s">
        <v>16382</v>
      </c>
      <c r="I12294" s="2" t="s">
        <v>15</v>
      </c>
      <c r="J12294" s="2" t="s">
        <v>2459</v>
      </c>
      <c r="K12294" s="2" t="s">
        <v>16380</v>
      </c>
      <c r="L12294" s="2">
        <f t="shared" si="192"/>
        <v>150</v>
      </c>
    </row>
    <row r="12295" spans="1:12" ht="25" customHeight="1">
      <c r="A12295" s="2" t="s">
        <v>12</v>
      </c>
      <c r="B12295" s="2" t="str">
        <f>HYPERLINK("http://bbs.12365auto.com/postcontent.aspx?tId=193261","行驶中转向助力消失具体是什么原因")</f>
        <v>行驶中转向助力消失具体是什么原因</v>
      </c>
      <c r="C12295" s="2" t="s">
        <v>13</v>
      </c>
      <c r="D12295" s="2" t="s">
        <v>12</v>
      </c>
      <c r="E12295" s="2" t="s">
        <v>66</v>
      </c>
      <c r="F12295" s="2" t="str">
        <f>HYPERLINK("http://bbs.12365auto.com/postcontent.aspx?tId=193261","http://bbs.12365auto.com/postcontent.aspx?tId=193261")</f>
        <v>http://bbs.12365auto.com/postcontent.aspx?tId=193261</v>
      </c>
      <c r="G12295" s="2"/>
      <c r="H12295" s="2" t="s">
        <v>16383</v>
      </c>
      <c r="I12295" s="2" t="s">
        <v>15</v>
      </c>
      <c r="J12295" s="2" t="s">
        <v>2092</v>
      </c>
      <c r="K12295" s="2" t="s">
        <v>16380</v>
      </c>
      <c r="L12295" s="2">
        <f t="shared" si="192"/>
        <v>150</v>
      </c>
    </row>
    <row r="12296" spans="1:12" ht="25" customHeight="1">
      <c r="A12296" s="2" t="s">
        <v>12</v>
      </c>
      <c r="B12296" s="2" t="str">
        <f>HYPERLINK("http://bbs.12365auto.com/postcontent.aspx?tId=193260","液压杆损坏者问题真的是太多了")</f>
        <v>液压杆损坏者问题真的是太多了</v>
      </c>
      <c r="C12296" s="2" t="s">
        <v>13</v>
      </c>
      <c r="D12296" s="2" t="s">
        <v>12</v>
      </c>
      <c r="E12296" s="2" t="s">
        <v>66</v>
      </c>
      <c r="F12296" s="2" t="str">
        <f>HYPERLINK("http://bbs.12365auto.com/postcontent.aspx?tId=193260","http://bbs.12365auto.com/postcontent.aspx?tId=193260")</f>
        <v>http://bbs.12365auto.com/postcontent.aspx?tId=193260</v>
      </c>
      <c r="G12296" s="2"/>
      <c r="H12296" s="2" t="s">
        <v>16384</v>
      </c>
      <c r="I12296" s="2" t="s">
        <v>15</v>
      </c>
      <c r="J12296" s="2" t="s">
        <v>2096</v>
      </c>
      <c r="K12296" s="2" t="s">
        <v>16380</v>
      </c>
      <c r="L12296" s="2">
        <f t="shared" si="192"/>
        <v>150</v>
      </c>
    </row>
    <row r="12297" spans="1:12" ht="25" customHeight="1">
      <c r="A12297" s="2" t="s">
        <v>12</v>
      </c>
      <c r="B12297" s="2" t="str">
        <f>HYPERLINK("http://bbs.12365auto.com/postcontent.aspx?tID=193260","液压杆损坏者问题真的是太多了")</f>
        <v>液压杆损坏者问题真的是太多了</v>
      </c>
      <c r="C12297" s="2" t="s">
        <v>13</v>
      </c>
      <c r="D12297" s="2" t="s">
        <v>12</v>
      </c>
      <c r="E12297" s="2" t="s">
        <v>67</v>
      </c>
      <c r="F12297" s="2" t="str">
        <f>HYPERLINK("http://bbs.12365auto.com/postcontent.aspx?tID=193260","http://bbs.12365auto.com/postcontent.aspx?tID=193260")</f>
        <v>http://bbs.12365auto.com/postcontent.aspx?tID=193260</v>
      </c>
      <c r="G12297" s="2"/>
      <c r="H12297" s="2" t="s">
        <v>16385</v>
      </c>
      <c r="I12297" s="2" t="s">
        <v>15</v>
      </c>
      <c r="J12297" s="2" t="s">
        <v>2096</v>
      </c>
      <c r="K12297" s="2" t="s">
        <v>16380</v>
      </c>
      <c r="L12297" s="2">
        <f t="shared" si="192"/>
        <v>150</v>
      </c>
    </row>
    <row r="12298" spans="1:12" ht="25" customHeight="1">
      <c r="A12298" s="2" t="s">
        <v>12</v>
      </c>
      <c r="B12298" s="2" t="str">
        <f>HYPERLINK("http://m.12365auto.com/bbs/postcontent.aspx?tID=193262","手刹天天用 我敢说你一定没用对")</f>
        <v>手刹天天用 我敢说你一定没用对</v>
      </c>
      <c r="C12298" s="2" t="s">
        <v>13</v>
      </c>
      <c r="D12298" s="2" t="s">
        <v>23</v>
      </c>
      <c r="E12298" s="2"/>
      <c r="F12298" s="2" t="str">
        <f>HYPERLINK("http://m.12365auto.com/bbs/postcontent.aspx?tID=193262","http://m.12365auto.com/bbs/postcontent.aspx?tID=193262")</f>
        <v>http://m.12365auto.com/bbs/postcontent.aspx?tID=193262</v>
      </c>
      <c r="G12298" s="2"/>
      <c r="H12298" s="2" t="s">
        <v>16382</v>
      </c>
      <c r="I12298" s="2" t="s">
        <v>15</v>
      </c>
      <c r="J12298" s="2" t="s">
        <v>2459</v>
      </c>
      <c r="K12298" s="2" t="s">
        <v>16380</v>
      </c>
      <c r="L12298" s="2">
        <f t="shared" si="192"/>
        <v>150</v>
      </c>
    </row>
    <row r="12299" spans="1:12" ht="25" customHeight="1">
      <c r="A12299" s="2" t="s">
        <v>12</v>
      </c>
      <c r="B12299" s="2" t="str">
        <f>HYPERLINK("http://m.12365auto.com/bbs/postcontent.aspx?tID=193261","行驶中转向助力消失具体是什么原因")</f>
        <v>行驶中转向助力消失具体是什么原因</v>
      </c>
      <c r="C12299" s="2" t="s">
        <v>13</v>
      </c>
      <c r="D12299" s="2" t="s">
        <v>23</v>
      </c>
      <c r="E12299" s="2"/>
      <c r="F12299" s="2" t="str">
        <f>HYPERLINK("http://m.12365auto.com/bbs/postcontent.aspx?tID=193261","http://m.12365auto.com/bbs/postcontent.aspx?tID=193261")</f>
        <v>http://m.12365auto.com/bbs/postcontent.aspx?tID=193261</v>
      </c>
      <c r="G12299" s="2"/>
      <c r="H12299" s="2" t="s">
        <v>16383</v>
      </c>
      <c r="I12299" s="2" t="s">
        <v>15</v>
      </c>
      <c r="J12299" s="2" t="s">
        <v>2092</v>
      </c>
      <c r="K12299" s="2" t="s">
        <v>16380</v>
      </c>
      <c r="L12299" s="2">
        <f t="shared" si="192"/>
        <v>150</v>
      </c>
    </row>
    <row r="12300" spans="1:12" ht="25" customHeight="1">
      <c r="A12300" s="2" t="s">
        <v>12</v>
      </c>
      <c r="B12300" s="2" t="str">
        <f>HYPERLINK("http://m.12365auto.com/bbs/postcontent.aspx?tID=193260","液压杆损坏者问题真的是太多了")</f>
        <v>液压杆损坏者问题真的是太多了</v>
      </c>
      <c r="C12300" s="2" t="s">
        <v>13</v>
      </c>
      <c r="D12300" s="2" t="s">
        <v>23</v>
      </c>
      <c r="E12300" s="2"/>
      <c r="F12300" s="2" t="str">
        <f>HYPERLINK("http://m.12365auto.com/bbs/postcontent.aspx?tID=193260","http://m.12365auto.com/bbs/postcontent.aspx?tID=193260")</f>
        <v>http://m.12365auto.com/bbs/postcontent.aspx?tID=193260</v>
      </c>
      <c r="G12300" s="2"/>
      <c r="H12300" s="2" t="s">
        <v>16384</v>
      </c>
      <c r="I12300" s="2" t="s">
        <v>15</v>
      </c>
      <c r="J12300" s="2" t="s">
        <v>2096</v>
      </c>
      <c r="K12300" s="2" t="s">
        <v>16380</v>
      </c>
      <c r="L12300" s="2">
        <f t="shared" si="192"/>
        <v>150</v>
      </c>
    </row>
    <row r="12301" spans="1:12" ht="25" customHeight="1">
      <c r="A12301" s="2" t="s">
        <v>12</v>
      </c>
      <c r="B12301" s="2" t="str">
        <f>HYPERLINK("http://bbs.12365auto.com/postcontent.aspx?tID=193259","球笼套漏油还可以享受质保吗？")</f>
        <v>球笼套漏油还可以享受质保吗？</v>
      </c>
      <c r="C12301" s="2" t="s">
        <v>13</v>
      </c>
      <c r="D12301" s="2" t="s">
        <v>12</v>
      </c>
      <c r="E12301" s="2" t="s">
        <v>67</v>
      </c>
      <c r="F12301" s="2" t="str">
        <f>HYPERLINK("http://bbs.12365auto.com/postcontent.aspx?tID=193259","http://bbs.12365auto.com/postcontent.aspx?tID=193259")</f>
        <v>http://bbs.12365auto.com/postcontent.aspx?tID=193259</v>
      </c>
      <c r="G12301" s="2"/>
      <c r="H12301" s="2" t="s">
        <v>16386</v>
      </c>
      <c r="I12301" s="2" t="s">
        <v>15</v>
      </c>
      <c r="J12301" s="2" t="s">
        <v>2103</v>
      </c>
      <c r="K12301" s="2" t="s">
        <v>16387</v>
      </c>
      <c r="L12301" s="2">
        <f t="shared" si="192"/>
        <v>150</v>
      </c>
    </row>
    <row r="12302" spans="1:12" ht="25" customHeight="1">
      <c r="A12302" s="2" t="s">
        <v>12</v>
      </c>
      <c r="B12302" s="2" t="str">
        <f>HYPERLINK("http://bbs.12365auto.com/postcontent.aspx?tId=193259","球笼套漏油还可以享受质保吗？")</f>
        <v>球笼套漏油还可以享受质保吗？</v>
      </c>
      <c r="C12302" s="2" t="s">
        <v>13</v>
      </c>
      <c r="D12302" s="2" t="s">
        <v>12</v>
      </c>
      <c r="E12302" s="2" t="s">
        <v>66</v>
      </c>
      <c r="F12302" s="2" t="str">
        <f>HYPERLINK("http://bbs.12365auto.com/postcontent.aspx?tId=193259","http://bbs.12365auto.com/postcontent.aspx?tId=193259")</f>
        <v>http://bbs.12365auto.com/postcontent.aspx?tId=193259</v>
      </c>
      <c r="G12302" s="2"/>
      <c r="H12302" s="2" t="s">
        <v>16388</v>
      </c>
      <c r="I12302" s="2" t="s">
        <v>15</v>
      </c>
      <c r="J12302" s="2" t="s">
        <v>2103</v>
      </c>
      <c r="K12302" s="2" t="s">
        <v>16387</v>
      </c>
      <c r="L12302" s="2">
        <f t="shared" si="192"/>
        <v>150</v>
      </c>
    </row>
    <row r="12303" spans="1:12" ht="25" customHeight="1">
      <c r="A12303" s="2" t="s">
        <v>12</v>
      </c>
      <c r="B12303" s="2" t="str">
        <f>HYPERLINK("http://m.12365auto.com/bbs/postcontent.aspx?tID=193259","球笼套漏油还可以享受质保吗？")</f>
        <v>球笼套漏油还可以享受质保吗？</v>
      </c>
      <c r="C12303" s="2" t="s">
        <v>13</v>
      </c>
      <c r="D12303" s="2" t="s">
        <v>23</v>
      </c>
      <c r="E12303" s="2"/>
      <c r="F12303" s="2" t="str">
        <f>HYPERLINK("http://m.12365auto.com/bbs/postcontent.aspx?tID=193259","http://m.12365auto.com/bbs/postcontent.aspx?tID=193259")</f>
        <v>http://m.12365auto.com/bbs/postcontent.aspx?tID=193259</v>
      </c>
      <c r="G12303" s="2"/>
      <c r="H12303" s="2" t="s">
        <v>16388</v>
      </c>
      <c r="I12303" s="2" t="s">
        <v>15</v>
      </c>
      <c r="J12303" s="2" t="s">
        <v>2103</v>
      </c>
      <c r="K12303" s="2" t="s">
        <v>16387</v>
      </c>
      <c r="L12303" s="2">
        <f t="shared" si="192"/>
        <v>150</v>
      </c>
    </row>
    <row r="12304" spans="1:12" ht="25" customHeight="1">
      <c r="A12304" s="2" t="s">
        <v>12</v>
      </c>
      <c r="B12304" s="2" t="str">
        <f>HYPERLINK("http://bbs.12365auto.com/postcontent.aspx?tID=193257","发动机及变速箱漏油怎么处理？")</f>
        <v>发动机及变速箱漏油怎么处理？</v>
      </c>
      <c r="C12304" s="2" t="s">
        <v>13</v>
      </c>
      <c r="D12304" s="2" t="s">
        <v>12</v>
      </c>
      <c r="E12304" s="2" t="s">
        <v>67</v>
      </c>
      <c r="F12304" s="2" t="str">
        <f>HYPERLINK("http://bbs.12365auto.com/postcontent.aspx?tID=193257","http://bbs.12365auto.com/postcontent.aspx?tID=193257")</f>
        <v>http://bbs.12365auto.com/postcontent.aspx?tID=193257</v>
      </c>
      <c r="G12304" s="2"/>
      <c r="H12304" s="2" t="s">
        <v>16389</v>
      </c>
      <c r="I12304" s="2" t="s">
        <v>15</v>
      </c>
      <c r="J12304" s="2" t="s">
        <v>2107</v>
      </c>
      <c r="K12304" s="2" t="s">
        <v>16390</v>
      </c>
      <c r="L12304" s="2">
        <f t="shared" si="192"/>
        <v>150</v>
      </c>
    </row>
    <row r="12305" spans="1:12" ht="25" customHeight="1">
      <c r="A12305" s="2" t="s">
        <v>12</v>
      </c>
      <c r="B12305" s="2" t="str">
        <f>HYPERLINK("http://www.12365auto.com/zlts/20200204/446300.shtml","哈弗H9发动机烧机油厂家拒绝质保")</f>
        <v>哈弗H9发动机烧机油厂家拒绝质保</v>
      </c>
      <c r="C12305" s="2" t="s">
        <v>13</v>
      </c>
      <c r="D12305" s="2" t="s">
        <v>12</v>
      </c>
      <c r="E12305" s="2" t="s">
        <v>17</v>
      </c>
      <c r="F12305" s="2" t="str">
        <f>HYPERLINK("http://www.12365auto.com/zlts/20200204/446300.shtml","http://www.12365auto.com/zlts/20200204/446300.shtml")</f>
        <v>http://www.12365auto.com/zlts/20200204/446300.shtml</v>
      </c>
      <c r="G12305" s="2"/>
      <c r="H12305" s="2" t="s">
        <v>16391</v>
      </c>
      <c r="I12305" s="2" t="s">
        <v>19</v>
      </c>
      <c r="J12305" s="2" t="s">
        <v>12</v>
      </c>
      <c r="K12305" s="2" t="s">
        <v>16390</v>
      </c>
      <c r="L12305" s="2">
        <f t="shared" si="192"/>
        <v>150</v>
      </c>
    </row>
    <row r="12306" spans="1:12" ht="25" customHeight="1">
      <c r="A12306" s="2" t="s">
        <v>12</v>
      </c>
      <c r="B12306" s="2" t="str">
        <f>HYPERLINK("http://bbs.12365auto.com/postcontent.aspx?tID=193258","排气管都冻住了这还怎么使用？")</f>
        <v>排气管都冻住了这还怎么使用？</v>
      </c>
      <c r="C12306" s="2" t="s">
        <v>13</v>
      </c>
      <c r="D12306" s="2" t="s">
        <v>12</v>
      </c>
      <c r="E12306" s="2" t="s">
        <v>67</v>
      </c>
      <c r="F12306" s="2" t="str">
        <f>HYPERLINK("http://bbs.12365auto.com/postcontent.aspx?tID=193258","http://bbs.12365auto.com/postcontent.aspx?tID=193258")</f>
        <v>http://bbs.12365auto.com/postcontent.aspx?tID=193258</v>
      </c>
      <c r="G12306" s="2"/>
      <c r="H12306" s="2" t="s">
        <v>16392</v>
      </c>
      <c r="I12306" s="2" t="s">
        <v>15</v>
      </c>
      <c r="J12306" s="2" t="s">
        <v>2100</v>
      </c>
      <c r="K12306" s="2" t="s">
        <v>16390</v>
      </c>
      <c r="L12306" s="2">
        <f t="shared" si="192"/>
        <v>106</v>
      </c>
    </row>
    <row r="12307" spans="1:12" ht="25" customHeight="1">
      <c r="A12307" s="2" t="s">
        <v>12</v>
      </c>
      <c r="B12307" s="2" t="str">
        <f>HYPERLINK("http://bbs.12365auto.com/postcontent.aspx?tId=193257","发动机及变速箱漏油怎么处理？")</f>
        <v>发动机及变速箱漏油怎么处理？</v>
      </c>
      <c r="C12307" s="2" t="s">
        <v>13</v>
      </c>
      <c r="D12307" s="2" t="s">
        <v>12</v>
      </c>
      <c r="E12307" s="2" t="s">
        <v>66</v>
      </c>
      <c r="F12307" s="2" t="str">
        <f>HYPERLINK("http://bbs.12365auto.com/postcontent.aspx?tId=193257","http://bbs.12365auto.com/postcontent.aspx?tId=193257")</f>
        <v>http://bbs.12365auto.com/postcontent.aspx?tId=193257</v>
      </c>
      <c r="G12307" s="2"/>
      <c r="H12307" s="2" t="s">
        <v>16393</v>
      </c>
      <c r="I12307" s="2" t="s">
        <v>15</v>
      </c>
      <c r="J12307" s="2" t="s">
        <v>2107</v>
      </c>
      <c r="K12307" s="2" t="s">
        <v>16390</v>
      </c>
      <c r="L12307" s="2">
        <f t="shared" si="192"/>
        <v>142</v>
      </c>
    </row>
    <row r="12308" spans="1:12" ht="25" customHeight="1">
      <c r="A12308" s="2" t="s">
        <v>12</v>
      </c>
      <c r="B12308" s="2" t="str">
        <f>HYPERLINK("http://bbs.12365auto.com/postcontent.aspx?tId=193258","排气管都冻住了这还怎么使用？")</f>
        <v>排气管都冻住了这还怎么使用？</v>
      </c>
      <c r="C12308" s="2" t="s">
        <v>13</v>
      </c>
      <c r="D12308" s="2" t="s">
        <v>12</v>
      </c>
      <c r="E12308" s="2" t="s">
        <v>66</v>
      </c>
      <c r="F12308" s="2" t="str">
        <f>HYPERLINK("http://bbs.12365auto.com/postcontent.aspx?tId=193258","http://bbs.12365auto.com/postcontent.aspx?tId=193258")</f>
        <v>http://bbs.12365auto.com/postcontent.aspx?tId=193258</v>
      </c>
      <c r="G12308" s="2"/>
      <c r="H12308" s="2" t="s">
        <v>16394</v>
      </c>
      <c r="I12308" s="2" t="s">
        <v>15</v>
      </c>
      <c r="J12308" s="2" t="s">
        <v>2100</v>
      </c>
      <c r="K12308" s="2" t="s">
        <v>16390</v>
      </c>
      <c r="L12308" s="2">
        <f t="shared" si="192"/>
        <v>92</v>
      </c>
    </row>
    <row r="12309" spans="1:12" ht="25" customHeight="1">
      <c r="A12309" s="2" t="s">
        <v>12</v>
      </c>
      <c r="B12309" s="2" t="str">
        <f>HYPERLINK("http://m.12365auto.com/bbs/postcontent.aspx?tID=193258","排气管都冻住了这还怎么使用？")</f>
        <v>排气管都冻住了这还怎么使用？</v>
      </c>
      <c r="C12309" s="2" t="s">
        <v>13</v>
      </c>
      <c r="D12309" s="2" t="s">
        <v>23</v>
      </c>
      <c r="E12309" s="2"/>
      <c r="F12309" s="2" t="str">
        <f>HYPERLINK("http://m.12365auto.com/bbs/postcontent.aspx?tID=193258","http://m.12365auto.com/bbs/postcontent.aspx?tID=193258")</f>
        <v>http://m.12365auto.com/bbs/postcontent.aspx?tID=193258</v>
      </c>
      <c r="G12309" s="2"/>
      <c r="H12309" s="2" t="s">
        <v>16394</v>
      </c>
      <c r="I12309" s="2" t="s">
        <v>15</v>
      </c>
      <c r="J12309" s="2" t="s">
        <v>2100</v>
      </c>
      <c r="K12309" s="2" t="s">
        <v>16390</v>
      </c>
      <c r="L12309" s="2">
        <f t="shared" si="192"/>
        <v>92</v>
      </c>
    </row>
    <row r="12310" spans="1:12" ht="25" customHeight="1">
      <c r="A12310" s="2" t="s">
        <v>12</v>
      </c>
      <c r="B12310" s="2" t="str">
        <f>HYPERLINK("http://bbs.12365auto.com/postcontent.aspx?tID=193256","荣威的发动机抖动问题应该怎么去解决？")</f>
        <v>荣威的发动机抖动问题应该怎么去解决？</v>
      </c>
      <c r="C12310" s="2" t="s">
        <v>13</v>
      </c>
      <c r="D12310" s="2" t="s">
        <v>12</v>
      </c>
      <c r="E12310" s="2" t="s">
        <v>67</v>
      </c>
      <c r="F12310" s="2" t="str">
        <f>HYPERLINK("http://bbs.12365auto.com/postcontent.aspx?tID=193256","http://bbs.12365auto.com/postcontent.aspx?tID=193256")</f>
        <v>http://bbs.12365auto.com/postcontent.aspx?tID=193256</v>
      </c>
      <c r="G12310" s="2"/>
      <c r="H12310" s="2" t="s">
        <v>16395</v>
      </c>
      <c r="I12310" s="2" t="s">
        <v>15</v>
      </c>
      <c r="J12310" s="2" t="s">
        <v>2113</v>
      </c>
      <c r="K12310" s="2" t="s">
        <v>16396</v>
      </c>
      <c r="L12310" s="2">
        <f t="shared" si="192"/>
        <v>72</v>
      </c>
    </row>
    <row r="12311" spans="1:12" ht="25" customHeight="1">
      <c r="A12311" s="2" t="s">
        <v>12</v>
      </c>
      <c r="B12311" s="2" t="str">
        <f>HYPERLINK("http://bbs.12365auto.com/postcontent.aspx?tId=193256","荣威的发动机抖动问题应该怎么去解决？")</f>
        <v>荣威的发动机抖动问题应该怎么去解决？</v>
      </c>
      <c r="C12311" s="2" t="s">
        <v>13</v>
      </c>
      <c r="D12311" s="2" t="s">
        <v>12</v>
      </c>
      <c r="E12311" s="2" t="s">
        <v>66</v>
      </c>
      <c r="F12311" s="2" t="str">
        <f>HYPERLINK("http://bbs.12365auto.com/postcontent.aspx?tId=193256","http://bbs.12365auto.com/postcontent.aspx?tId=193256")</f>
        <v>http://bbs.12365auto.com/postcontent.aspx?tId=193256</v>
      </c>
      <c r="G12311" s="2"/>
      <c r="H12311" s="2" t="s">
        <v>16397</v>
      </c>
      <c r="I12311" s="2" t="s">
        <v>15</v>
      </c>
      <c r="J12311" s="2" t="s">
        <v>2113</v>
      </c>
      <c r="K12311" s="2" t="s">
        <v>16396</v>
      </c>
      <c r="L12311" s="2">
        <f t="shared" si="192"/>
        <v>54</v>
      </c>
    </row>
    <row r="12312" spans="1:12" ht="25" customHeight="1">
      <c r="A12312" s="2" t="s">
        <v>12</v>
      </c>
      <c r="B12312" s="2" t="str">
        <f>HYPERLINK("http://bbs.12365auto.com/postcontent.aspx?tID=193255","前轮异响问题严重不严重")</f>
        <v>前轮异响问题严重不严重</v>
      </c>
      <c r="C12312" s="2" t="s">
        <v>13</v>
      </c>
      <c r="D12312" s="2" t="s">
        <v>12</v>
      </c>
      <c r="E12312" s="2" t="s">
        <v>67</v>
      </c>
      <c r="F12312" s="2" t="str">
        <f>HYPERLINK("http://bbs.12365auto.com/postcontent.aspx?tID=193255","http://bbs.12365auto.com/postcontent.aspx?tID=193255")</f>
        <v>http://bbs.12365auto.com/postcontent.aspx?tID=193255</v>
      </c>
      <c r="G12312" s="2"/>
      <c r="H12312" s="2" t="s">
        <v>16398</v>
      </c>
      <c r="I12312" s="2" t="s">
        <v>15</v>
      </c>
      <c r="J12312" s="2" t="s">
        <v>2116</v>
      </c>
      <c r="K12312" s="2" t="s">
        <v>16399</v>
      </c>
      <c r="L12312" s="2">
        <f t="shared" si="192"/>
        <v>58</v>
      </c>
    </row>
    <row r="12313" spans="1:12" ht="25" customHeight="1">
      <c r="A12313" s="2" t="s">
        <v>12</v>
      </c>
      <c r="B12313" s="2" t="str">
        <f>HYPERLINK("http://bbs.12365auto.com/postcontent.aspx?tId=193255","前轮异响问题严重不严重")</f>
        <v>前轮异响问题严重不严重</v>
      </c>
      <c r="C12313" s="2" t="s">
        <v>13</v>
      </c>
      <c r="D12313" s="2" t="s">
        <v>12</v>
      </c>
      <c r="E12313" s="2" t="s">
        <v>66</v>
      </c>
      <c r="F12313" s="2" t="str">
        <f>HYPERLINK("http://bbs.12365auto.com/postcontent.aspx?tId=193255","http://bbs.12365auto.com/postcontent.aspx?tId=193255")</f>
        <v>http://bbs.12365auto.com/postcontent.aspx?tId=193255</v>
      </c>
      <c r="G12313" s="2"/>
      <c r="H12313" s="2" t="s">
        <v>16400</v>
      </c>
      <c r="I12313" s="2" t="s">
        <v>15</v>
      </c>
      <c r="J12313" s="2" t="s">
        <v>2116</v>
      </c>
      <c r="K12313" s="2" t="s">
        <v>16399</v>
      </c>
      <c r="L12313" s="2">
        <f t="shared" si="192"/>
        <v>47</v>
      </c>
    </row>
    <row r="12314" spans="1:12" ht="25" customHeight="1">
      <c r="A12314" s="2" t="s">
        <v>12</v>
      </c>
      <c r="B12314" s="2" t="str">
        <f>HYPERLINK("http://bbs.12365auto.com/postcontent.aspx?tID=193254","方向盘松动应该怎么解决？")</f>
        <v>方向盘松动应该怎么解决？</v>
      </c>
      <c r="C12314" s="2" t="s">
        <v>13</v>
      </c>
      <c r="D12314" s="2" t="s">
        <v>12</v>
      </c>
      <c r="E12314" s="2" t="s">
        <v>67</v>
      </c>
      <c r="F12314" s="2" t="str">
        <f>HYPERLINK("http://bbs.12365auto.com/postcontent.aspx?tID=193254","http://bbs.12365auto.com/postcontent.aspx?tID=193254")</f>
        <v>http://bbs.12365auto.com/postcontent.aspx?tID=193254</v>
      </c>
      <c r="G12314" s="2"/>
      <c r="H12314" s="2" t="s">
        <v>16401</v>
      </c>
      <c r="I12314" s="2" t="s">
        <v>15</v>
      </c>
      <c r="J12314" s="2" t="s">
        <v>2120</v>
      </c>
      <c r="K12314" s="2" t="s">
        <v>16402</v>
      </c>
      <c r="L12314" s="2">
        <f t="shared" si="192"/>
        <v>67</v>
      </c>
    </row>
    <row r="12315" spans="1:12" ht="25" customHeight="1">
      <c r="A12315" s="2" t="s">
        <v>12</v>
      </c>
      <c r="B12315" s="2" t="str">
        <f>HYPERLINK("http://bbs.12365auto.com/postcontent.aspx?tId=193254","方向盘松动应该怎么解决？")</f>
        <v>方向盘松动应该怎么解决？</v>
      </c>
      <c r="C12315" s="2" t="s">
        <v>13</v>
      </c>
      <c r="D12315" s="2" t="s">
        <v>12</v>
      </c>
      <c r="E12315" s="2" t="s">
        <v>66</v>
      </c>
      <c r="F12315" s="2" t="str">
        <f>HYPERLINK("http://bbs.12365auto.com/postcontent.aspx?tId=193254","http://bbs.12365auto.com/postcontent.aspx?tId=193254")</f>
        <v>http://bbs.12365auto.com/postcontent.aspx?tId=193254</v>
      </c>
      <c r="G12315" s="2"/>
      <c r="H12315" s="2" t="s">
        <v>16403</v>
      </c>
      <c r="I12315" s="2" t="s">
        <v>15</v>
      </c>
      <c r="J12315" s="2" t="s">
        <v>2120</v>
      </c>
      <c r="K12315" s="2" t="s">
        <v>16402</v>
      </c>
      <c r="L12315" s="2">
        <f t="shared" si="192"/>
        <v>55</v>
      </c>
    </row>
    <row r="12316" spans="1:12" ht="25" customHeight="1">
      <c r="A12316" s="2" t="s">
        <v>12</v>
      </c>
      <c r="B12316" s="2" t="str">
        <f>HYPERLINK("http://bbs.12365auto.com/postcontent.aspx?tID=193253","播放音乐时共振应该如何处理？")</f>
        <v>播放音乐时共振应该如何处理？</v>
      </c>
      <c r="C12316" s="2" t="s">
        <v>13</v>
      </c>
      <c r="D12316" s="2" t="s">
        <v>12</v>
      </c>
      <c r="E12316" s="2" t="s">
        <v>67</v>
      </c>
      <c r="F12316" s="2" t="str">
        <f>HYPERLINK("http://bbs.12365auto.com/postcontent.aspx?tID=193253","http://bbs.12365auto.com/postcontent.aspx?tID=193253")</f>
        <v>http://bbs.12365auto.com/postcontent.aspx?tID=193253</v>
      </c>
      <c r="G12316" s="2"/>
      <c r="H12316" s="2" t="s">
        <v>16404</v>
      </c>
      <c r="I12316" s="2" t="s">
        <v>15</v>
      </c>
      <c r="J12316" s="2" t="s">
        <v>2124</v>
      </c>
      <c r="K12316" s="2" t="s">
        <v>16405</v>
      </c>
      <c r="L12316" s="2">
        <f t="shared" si="192"/>
        <v>118</v>
      </c>
    </row>
    <row r="12317" spans="1:12" ht="25" customHeight="1">
      <c r="A12317" s="2" t="s">
        <v>12</v>
      </c>
      <c r="B12317" s="2" t="str">
        <f>HYPERLINK("http://bbs.12365auto.com/postcontent.aspx?tId=193253","播放音乐时共振应该如何处理？")</f>
        <v>播放音乐时共振应该如何处理？</v>
      </c>
      <c r="C12317" s="2" t="s">
        <v>13</v>
      </c>
      <c r="D12317" s="2" t="s">
        <v>12</v>
      </c>
      <c r="E12317" s="2" t="s">
        <v>66</v>
      </c>
      <c r="F12317" s="2" t="str">
        <f>HYPERLINK("http://bbs.12365auto.com/postcontent.aspx?tId=193253","http://bbs.12365auto.com/postcontent.aspx?tId=193253")</f>
        <v>http://bbs.12365auto.com/postcontent.aspx?tId=193253</v>
      </c>
      <c r="G12317" s="2"/>
      <c r="H12317" s="2" t="s">
        <v>16323</v>
      </c>
      <c r="I12317" s="2" t="s">
        <v>15</v>
      </c>
      <c r="J12317" s="2" t="s">
        <v>2124</v>
      </c>
      <c r="K12317" s="2" t="s">
        <v>16405</v>
      </c>
      <c r="L12317" s="2">
        <f t="shared" si="192"/>
        <v>104</v>
      </c>
    </row>
    <row r="12318" spans="1:12" ht="25" customHeight="1">
      <c r="A12318" s="2" t="s">
        <v>12</v>
      </c>
      <c r="B12318" s="2" t="str">
        <f>HYPERLINK("http://bbs.12365auto.com/postcontent.aspx?tID=193252","电瓶亏电怎么才能解决？")</f>
        <v>电瓶亏电怎么才能解决？</v>
      </c>
      <c r="C12318" s="2" t="s">
        <v>13</v>
      </c>
      <c r="D12318" s="2" t="s">
        <v>12</v>
      </c>
      <c r="E12318" s="2" t="s">
        <v>67</v>
      </c>
      <c r="F12318" s="2" t="str">
        <f>HYPERLINK("http://bbs.12365auto.com/postcontent.aspx?tID=193252","http://bbs.12365auto.com/postcontent.aspx?tID=193252")</f>
        <v>http://bbs.12365auto.com/postcontent.aspx?tID=193252</v>
      </c>
      <c r="G12318" s="2"/>
      <c r="H12318" s="2" t="s">
        <v>16406</v>
      </c>
      <c r="I12318" s="2" t="s">
        <v>15</v>
      </c>
      <c r="J12318" s="2" t="s">
        <v>2128</v>
      </c>
      <c r="K12318" s="2" t="s">
        <v>16407</v>
      </c>
      <c r="L12318" s="2">
        <f t="shared" si="192"/>
        <v>65</v>
      </c>
    </row>
    <row r="12319" spans="1:12" ht="25" customHeight="1">
      <c r="A12319" s="2" t="s">
        <v>12</v>
      </c>
      <c r="B12319" s="2" t="str">
        <f>HYPERLINK("http://bbs.12365auto.com/postcontent.aspx?tId=193252","电瓶亏电怎么才能解决？")</f>
        <v>电瓶亏电怎么才能解决？</v>
      </c>
      <c r="C12319" s="2" t="s">
        <v>13</v>
      </c>
      <c r="D12319" s="2" t="s">
        <v>12</v>
      </c>
      <c r="E12319" s="2" t="s">
        <v>66</v>
      </c>
      <c r="F12319" s="2" t="str">
        <f>HYPERLINK("http://bbs.12365auto.com/postcontent.aspx?tId=193252","http://bbs.12365auto.com/postcontent.aspx?tId=193252")</f>
        <v>http://bbs.12365auto.com/postcontent.aspx?tId=193252</v>
      </c>
      <c r="G12319" s="2"/>
      <c r="H12319" s="2" t="s">
        <v>16326</v>
      </c>
      <c r="I12319" s="2" t="s">
        <v>15</v>
      </c>
      <c r="J12319" s="2" t="s">
        <v>2128</v>
      </c>
      <c r="K12319" s="2" t="s">
        <v>16407</v>
      </c>
      <c r="L12319" s="2">
        <f t="shared" si="192"/>
        <v>54</v>
      </c>
    </row>
    <row r="12320" spans="1:12" ht="25" customHeight="1">
      <c r="A12320" s="2" t="s">
        <v>12</v>
      </c>
      <c r="B12320" s="2" t="str">
        <f>HYPERLINK("http://bbs.12365auto.com/postcontent.aspx?tID=193251&amp;sId=1650&amp;ppage=1&amp;from=s","挂挡后无动力应该如何解决？")</f>
        <v>挂挡后无动力应该如何解决？</v>
      </c>
      <c r="C12320" s="2" t="s">
        <v>13</v>
      </c>
      <c r="D12320" s="2" t="s">
        <v>12</v>
      </c>
      <c r="E12320" s="2" t="s">
        <v>564</v>
      </c>
      <c r="F12320" s="2" t="str">
        <f>HYPERLINK("http://bbs.12365auto.com/postcontent.aspx?tID=193251&amp;sId=1650&amp;ppage=1&amp;from=s","http://bbs.12365auto.com/postcontent.aspx?tID=193251&amp;sId=1650&amp;ppage=1&amp;from=s")</f>
        <v>http://bbs.12365auto.com/postcontent.aspx?tID=193251&amp;sId=1650&amp;ppage=1&amp;from=s</v>
      </c>
      <c r="G12320" s="2"/>
      <c r="H12320" s="2" t="s">
        <v>16408</v>
      </c>
      <c r="I12320" s="2" t="s">
        <v>15</v>
      </c>
      <c r="J12320" s="2" t="s">
        <v>16409</v>
      </c>
      <c r="K12320" s="2" t="s">
        <v>16410</v>
      </c>
      <c r="L12320" s="2">
        <f t="shared" si="192"/>
        <v>150</v>
      </c>
    </row>
    <row r="12321" spans="1:12" ht="25" customHeight="1">
      <c r="A12321" s="2" t="s">
        <v>12</v>
      </c>
      <c r="B12321" s="2" t="str">
        <f>HYPERLINK("http://bbs.12365auto.com/postcontent.aspx?tId=193251","挂挡后无动力应该如何解决？")</f>
        <v>挂挡后无动力应该如何解决？</v>
      </c>
      <c r="C12321" s="2" t="s">
        <v>13</v>
      </c>
      <c r="D12321" s="2" t="s">
        <v>12</v>
      </c>
      <c r="E12321" s="2" t="s">
        <v>66</v>
      </c>
      <c r="F12321" s="2" t="str">
        <f>HYPERLINK("http://bbs.12365auto.com/postcontent.aspx?tId=193251","http://bbs.12365auto.com/postcontent.aspx?tId=193251")</f>
        <v>http://bbs.12365auto.com/postcontent.aspx?tId=193251</v>
      </c>
      <c r="G12321" s="2"/>
      <c r="H12321" s="2" t="s">
        <v>13888</v>
      </c>
      <c r="I12321" s="2" t="s">
        <v>15</v>
      </c>
      <c r="J12321" s="2" t="s">
        <v>7987</v>
      </c>
      <c r="K12321" s="2" t="s">
        <v>16410</v>
      </c>
      <c r="L12321" s="2">
        <f t="shared" si="192"/>
        <v>150</v>
      </c>
    </row>
    <row r="12322" spans="1:12" ht="25" customHeight="1">
      <c r="A12322" s="2" t="s">
        <v>12</v>
      </c>
      <c r="B12322" s="2" t="str">
        <f>HYPERLINK("http://bbs.12365auto.com/postcontent.aspx?tID=193251","挂挡后无动力应该如何解决？")</f>
        <v>挂挡后无动力应该如何解决？</v>
      </c>
      <c r="C12322" s="2" t="s">
        <v>13</v>
      </c>
      <c r="D12322" s="2" t="s">
        <v>12</v>
      </c>
      <c r="E12322" s="2" t="s">
        <v>67</v>
      </c>
      <c r="F12322" s="2" t="str">
        <f>HYPERLINK("http://bbs.12365auto.com/postcontent.aspx?tID=193251","http://bbs.12365auto.com/postcontent.aspx?tID=193251")</f>
        <v>http://bbs.12365auto.com/postcontent.aspx?tID=193251</v>
      </c>
      <c r="G12322" s="2"/>
      <c r="H12322" s="2" t="s">
        <v>16408</v>
      </c>
      <c r="I12322" s="2" t="s">
        <v>15</v>
      </c>
      <c r="J12322" s="2" t="s">
        <v>7987</v>
      </c>
      <c r="K12322" s="2" t="s">
        <v>16410</v>
      </c>
      <c r="L12322" s="2">
        <f t="shared" si="192"/>
        <v>150</v>
      </c>
    </row>
    <row r="12323" spans="1:12" ht="25" customHeight="1">
      <c r="A12323" s="2" t="s">
        <v>12</v>
      </c>
      <c r="B12323" s="2" t="str">
        <f>HYPERLINK("http://www.12365auto.com/zlts/20200204/446299.shtml","哈弗F5电瓶亏电 4S店查不到原因")</f>
        <v>哈弗F5电瓶亏电 4S店查不到原因</v>
      </c>
      <c r="C12323" s="2" t="s">
        <v>13</v>
      </c>
      <c r="D12323" s="2" t="s">
        <v>12</v>
      </c>
      <c r="E12323" s="2" t="s">
        <v>17</v>
      </c>
      <c r="F12323" s="2" t="str">
        <f>HYPERLINK("http://www.12365auto.com/zlts/20200204/446299.shtml","http://www.12365auto.com/zlts/20200204/446299.shtml")</f>
        <v>http://www.12365auto.com/zlts/20200204/446299.shtml</v>
      </c>
      <c r="G12323" s="2"/>
      <c r="H12323" s="2" t="s">
        <v>16411</v>
      </c>
      <c r="I12323" s="2" t="s">
        <v>19</v>
      </c>
      <c r="J12323" s="2" t="s">
        <v>12</v>
      </c>
      <c r="K12323" s="2" t="s">
        <v>16412</v>
      </c>
      <c r="L12323" s="2">
        <f t="shared" si="192"/>
        <v>150</v>
      </c>
    </row>
    <row r="12324" spans="1:12" ht="25" customHeight="1">
      <c r="A12324" s="2" t="s">
        <v>12</v>
      </c>
      <c r="B12324" s="2" t="str">
        <f>HYPERLINK("http://m.12365auto.com/xcdg/20200204/417670.shtml","搭4.0T V8 雷克萨斯LC F有望年内推出")</f>
        <v>搭4.0T V8 雷克萨斯LC F有望年内推出</v>
      </c>
      <c r="C12324" s="2" t="s">
        <v>13</v>
      </c>
      <c r="D12324" s="2" t="s">
        <v>12</v>
      </c>
      <c r="E12324" s="2"/>
      <c r="F12324" s="2" t="str">
        <f>HYPERLINK("http://m.12365auto.com/xcdg/20200204/417670.shtml","http://m.12365auto.com/xcdg/20200204/417670.shtml")</f>
        <v>http://m.12365auto.com/xcdg/20200204/417670.shtml</v>
      </c>
      <c r="G12324" s="2"/>
      <c r="H12324" s="2" t="s">
        <v>16413</v>
      </c>
      <c r="I12324" s="2" t="s">
        <v>19</v>
      </c>
      <c r="J12324" s="2" t="s">
        <v>1074</v>
      </c>
      <c r="K12324" s="2" t="s">
        <v>16414</v>
      </c>
      <c r="L12324" s="2">
        <f t="shared" si="192"/>
        <v>150</v>
      </c>
    </row>
    <row r="12325" spans="1:12" ht="25" customHeight="1">
      <c r="A12325" s="2" t="s">
        <v>12</v>
      </c>
      <c r="B12325" s="2" t="str">
        <f>HYPERLINK("http://www.12365auto.com/xcdg/20200204/417670.shtml","搭4.0T V8 雷克萨斯LC F有望年内推出")</f>
        <v>搭4.0T V8 雷克萨斯LC F有望年内推出</v>
      </c>
      <c r="C12325" s="2" t="s">
        <v>13</v>
      </c>
      <c r="D12325" s="2" t="s">
        <v>12</v>
      </c>
      <c r="E12325" s="2" t="s">
        <v>216</v>
      </c>
      <c r="F12325" s="2" t="str">
        <f>HYPERLINK("http://www.12365auto.com/xcdg/20200204/417670.shtml","http://www.12365auto.com/xcdg/20200204/417670.shtml")</f>
        <v>http://www.12365auto.com/xcdg/20200204/417670.shtml</v>
      </c>
      <c r="G12325" s="2"/>
      <c r="H12325" s="2" t="s">
        <v>16415</v>
      </c>
      <c r="I12325" s="2" t="s">
        <v>15</v>
      </c>
      <c r="J12325" s="2" t="s">
        <v>12</v>
      </c>
      <c r="K12325" s="2" t="s">
        <v>16414</v>
      </c>
      <c r="L12325" s="2">
        <f t="shared" si="192"/>
        <v>150</v>
      </c>
    </row>
    <row r="12326" spans="1:12" ht="25" customHeight="1">
      <c r="A12326" s="2" t="s">
        <v>12</v>
      </c>
      <c r="B12326" s="2" t="str">
        <f>HYPERLINK("http://m.12365auto.com/xcdg/20200204/417669.shtml","林肯开启EV时代 携手Rivian打造EV车型")</f>
        <v>林肯开启EV时代 携手Rivian打造EV车型</v>
      </c>
      <c r="C12326" s="2" t="s">
        <v>13</v>
      </c>
      <c r="D12326" s="2" t="s">
        <v>12</v>
      </c>
      <c r="E12326" s="2"/>
      <c r="F12326" s="2" t="str">
        <f>HYPERLINK("http://m.12365auto.com/xcdg/20200204/417669.shtml","http://m.12365auto.com/xcdg/20200204/417669.shtml")</f>
        <v>http://m.12365auto.com/xcdg/20200204/417669.shtml</v>
      </c>
      <c r="G12326" s="2"/>
      <c r="H12326" s="2" t="s">
        <v>16416</v>
      </c>
      <c r="I12326" s="2" t="s">
        <v>19</v>
      </c>
      <c r="J12326" s="2" t="s">
        <v>9165</v>
      </c>
      <c r="K12326" s="2" t="s">
        <v>16417</v>
      </c>
      <c r="L12326" s="2">
        <f t="shared" si="192"/>
        <v>150</v>
      </c>
    </row>
    <row r="12327" spans="1:12" ht="25" customHeight="1">
      <c r="A12327" s="2" t="s">
        <v>12</v>
      </c>
      <c r="B12327" s="2" t="str">
        <f>HYPERLINK("http://www.12365auto.com/xcdg/20200204/417669.shtml","林肯开启EV时代 携手Rivian打造EV车型")</f>
        <v>林肯开启EV时代 携手Rivian打造EV车型</v>
      </c>
      <c r="C12327" s="2" t="s">
        <v>13</v>
      </c>
      <c r="D12327" s="2" t="s">
        <v>12</v>
      </c>
      <c r="E12327" s="2" t="s">
        <v>216</v>
      </c>
      <c r="F12327" s="2" t="str">
        <f>HYPERLINK("http://www.12365auto.com/xcdg/20200204/417669.shtml","http://www.12365auto.com/xcdg/20200204/417669.shtml")</f>
        <v>http://www.12365auto.com/xcdg/20200204/417669.shtml</v>
      </c>
      <c r="G12327" s="2"/>
      <c r="H12327" s="2" t="s">
        <v>16418</v>
      </c>
      <c r="I12327" s="2" t="s">
        <v>15</v>
      </c>
      <c r="J12327" s="2" t="s">
        <v>12</v>
      </c>
      <c r="K12327" s="2" t="s">
        <v>16417</v>
      </c>
      <c r="L12327" s="2">
        <f t="shared" si="192"/>
        <v>150</v>
      </c>
    </row>
    <row r="12328" spans="1:12" ht="25" customHeight="1">
      <c r="A12328" s="2" t="s">
        <v>12</v>
      </c>
      <c r="B12328" s="2" t="str">
        <f>HYPERLINK("http://www.12365auto.com/news/20200204/417669.shtml","林肯开启EV时代 携手Rivian打造EV车型")</f>
        <v>林肯开启EV时代 携手Rivian打造EV车型</v>
      </c>
      <c r="C12328" s="2" t="s">
        <v>13</v>
      </c>
      <c r="D12328" s="2" t="s">
        <v>12</v>
      </c>
      <c r="E12328" s="2" t="s">
        <v>276</v>
      </c>
      <c r="F12328" s="2" t="str">
        <f>HYPERLINK("http://www.12365auto.com/news/20200204/417669.shtml","http://www.12365auto.com/news/20200204/417669.shtml")</f>
        <v>http://www.12365auto.com/news/20200204/417669.shtml</v>
      </c>
      <c r="G12328" s="2"/>
      <c r="H12328" s="2" t="s">
        <v>16418</v>
      </c>
      <c r="I12328" s="2" t="s">
        <v>15</v>
      </c>
      <c r="J12328" s="2" t="s">
        <v>12</v>
      </c>
      <c r="K12328" s="2" t="s">
        <v>16417</v>
      </c>
      <c r="L12328" s="2">
        <f t="shared" si="192"/>
        <v>150</v>
      </c>
    </row>
    <row r="12329" spans="1:12" ht="25" customHeight="1">
      <c r="A12329" s="2" t="s">
        <v>12</v>
      </c>
      <c r="B12329" s="2" t="str">
        <f>HYPERLINK("http://www.12365auto.com/news/20200204/417668.shtml","全新MINI推迟发布 生产线或完全搬离英国")</f>
        <v>全新MINI推迟发布 生产线或完全搬离英国</v>
      </c>
      <c r="C12329" s="2" t="s">
        <v>13</v>
      </c>
      <c r="D12329" s="2" t="s">
        <v>12</v>
      </c>
      <c r="E12329" s="2" t="s">
        <v>276</v>
      </c>
      <c r="F12329" s="2" t="str">
        <f>HYPERLINK("http://www.12365auto.com/news/20200204/417668.shtml","http://www.12365auto.com/news/20200204/417668.shtml")</f>
        <v>http://www.12365auto.com/news/20200204/417668.shtml</v>
      </c>
      <c r="G12329" s="2"/>
      <c r="H12329" s="2" t="s">
        <v>16419</v>
      </c>
      <c r="I12329" s="2" t="s">
        <v>15</v>
      </c>
      <c r="J12329" s="2" t="s">
        <v>12</v>
      </c>
      <c r="K12329" s="2" t="s">
        <v>16420</v>
      </c>
      <c r="L12329" s="2">
        <f t="shared" si="192"/>
        <v>150</v>
      </c>
    </row>
    <row r="12330" spans="1:12" ht="25" customHeight="1">
      <c r="A12330" s="2" t="s">
        <v>12</v>
      </c>
      <c r="B12330" s="2" t="str">
        <f>HYPERLINK("http://m.12365auto.com/news/20200204/417668.shtml","全新MINI推迟发布 生产线或完全搬离英国")</f>
        <v>全新MINI推迟发布 生产线或完全搬离英国</v>
      </c>
      <c r="C12330" s="2" t="s">
        <v>13</v>
      </c>
      <c r="D12330" s="2" t="s">
        <v>12</v>
      </c>
      <c r="E12330" s="2"/>
      <c r="F12330" s="2" t="str">
        <f>HYPERLINK("http://m.12365auto.com/news/20200204/417668.shtml","http://m.12365auto.com/news/20200204/417668.shtml")</f>
        <v>http://m.12365auto.com/news/20200204/417668.shtml</v>
      </c>
      <c r="G12330" s="2"/>
      <c r="H12330" s="2" t="s">
        <v>16421</v>
      </c>
      <c r="I12330" s="2" t="s">
        <v>19</v>
      </c>
      <c r="J12330" s="2" t="s">
        <v>1076</v>
      </c>
      <c r="K12330" s="2" t="s">
        <v>16420</v>
      </c>
      <c r="L12330" s="2">
        <f t="shared" si="192"/>
        <v>150</v>
      </c>
    </row>
    <row r="12331" spans="1:12" ht="25" customHeight="1">
      <c r="A12331" s="2" t="s">
        <v>12</v>
      </c>
      <c r="B12331" s="2" t="str">
        <f>HYPERLINK("http://m.12365auto.com/news/20200204/417667.shtml","退市倒计时 雷克萨斯GS或今年9月正式停产")</f>
        <v>退市倒计时 雷克萨斯GS或今年9月正式停产</v>
      </c>
      <c r="C12331" s="2" t="s">
        <v>13</v>
      </c>
      <c r="D12331" s="2" t="s">
        <v>12</v>
      </c>
      <c r="E12331" s="2"/>
      <c r="F12331" s="2" t="str">
        <f>HYPERLINK("http://m.12365auto.com/news/20200204/417667.shtml","http://m.12365auto.com/news/20200204/417667.shtml")</f>
        <v>http://m.12365auto.com/news/20200204/417667.shtml</v>
      </c>
      <c r="G12331" s="2"/>
      <c r="H12331" s="2" t="s">
        <v>16422</v>
      </c>
      <c r="I12331" s="2" t="s">
        <v>19</v>
      </c>
      <c r="J12331" s="2" t="s">
        <v>1619</v>
      </c>
      <c r="K12331" s="2" t="s">
        <v>16423</v>
      </c>
      <c r="L12331" s="2">
        <f t="shared" si="192"/>
        <v>150</v>
      </c>
    </row>
    <row r="12332" spans="1:12" ht="25" customHeight="1">
      <c r="A12332" s="2" t="s">
        <v>12</v>
      </c>
      <c r="B12332" s="2" t="str">
        <f>HYPERLINK("http://www.12365auto.com/news/20200204/417667.shtml","退市倒计时 雷克萨斯GS或今年9月正式停产")</f>
        <v>退市倒计时 雷克萨斯GS或今年9月正式停产</v>
      </c>
      <c r="C12332" s="2" t="s">
        <v>13</v>
      </c>
      <c r="D12332" s="2" t="s">
        <v>12</v>
      </c>
      <c r="E12332" s="2" t="s">
        <v>276</v>
      </c>
      <c r="F12332" s="2" t="str">
        <f>HYPERLINK("http://www.12365auto.com/news/20200204/417667.shtml","http://www.12365auto.com/news/20200204/417667.shtml")</f>
        <v>http://www.12365auto.com/news/20200204/417667.shtml</v>
      </c>
      <c r="G12332" s="2"/>
      <c r="H12332" s="2" t="s">
        <v>16424</v>
      </c>
      <c r="I12332" s="2" t="s">
        <v>15</v>
      </c>
      <c r="J12332" s="2" t="s">
        <v>12</v>
      </c>
      <c r="K12332" s="2" t="s">
        <v>16423</v>
      </c>
      <c r="L12332" s="2">
        <f t="shared" si="192"/>
        <v>150</v>
      </c>
    </row>
    <row r="12333" spans="1:12" ht="25" customHeight="1">
      <c r="A12333" s="2" t="s">
        <v>12</v>
      </c>
      <c r="B12333" s="2" t="str">
        <f>HYPERLINK("http://m.12365auto.com/xcdg/20200204/417666.shtml","宝马X5电动版明年发布 搭L3自动驾驶系统")</f>
        <v>宝马X5电动版明年发布 搭L3自动驾驶系统</v>
      </c>
      <c r="C12333" s="2" t="s">
        <v>13</v>
      </c>
      <c r="D12333" s="2" t="s">
        <v>12</v>
      </c>
      <c r="E12333" s="2"/>
      <c r="F12333" s="2" t="str">
        <f>HYPERLINK("http://m.12365auto.com/xcdg/20200204/417666.shtml","http://m.12365auto.com/xcdg/20200204/417666.shtml")</f>
        <v>http://m.12365auto.com/xcdg/20200204/417666.shtml</v>
      </c>
      <c r="G12333" s="2"/>
      <c r="H12333" s="2" t="s">
        <v>16425</v>
      </c>
      <c r="I12333" s="2" t="s">
        <v>19</v>
      </c>
      <c r="J12333" s="2" t="s">
        <v>1105</v>
      </c>
      <c r="K12333" s="2" t="s">
        <v>16426</v>
      </c>
      <c r="L12333" s="2">
        <f t="shared" si="192"/>
        <v>150</v>
      </c>
    </row>
    <row r="12334" spans="1:12" ht="25" customHeight="1">
      <c r="A12334" s="2" t="s">
        <v>12</v>
      </c>
      <c r="B12334" s="2" t="str">
        <f>HYPERLINK("http://www.12365auto.com/xcdg/20200204/417666.shtml","宝马X5电动版明年发布 搭L3自动驾驶系统")</f>
        <v>宝马X5电动版明年发布 搭L3自动驾驶系统</v>
      </c>
      <c r="C12334" s="2" t="s">
        <v>13</v>
      </c>
      <c r="D12334" s="2" t="s">
        <v>12</v>
      </c>
      <c r="E12334" s="2" t="s">
        <v>224</v>
      </c>
      <c r="F12334" s="2" t="str">
        <f>HYPERLINK("http://www.12365auto.com/xcdg/20200204/417666.shtml","http://www.12365auto.com/xcdg/20200204/417666.shtml")</f>
        <v>http://www.12365auto.com/xcdg/20200204/417666.shtml</v>
      </c>
      <c r="G12334" s="2"/>
      <c r="H12334" s="2" t="s">
        <v>16427</v>
      </c>
      <c r="I12334" s="2" t="s">
        <v>15</v>
      </c>
      <c r="J12334" s="2" t="s">
        <v>12</v>
      </c>
      <c r="K12334" s="2" t="s">
        <v>16426</v>
      </c>
      <c r="L12334" s="2">
        <f t="shared" si="192"/>
        <v>150</v>
      </c>
    </row>
    <row r="12335" spans="1:12" ht="25" customHeight="1">
      <c r="A12335" s="2" t="s">
        <v>12</v>
      </c>
      <c r="B12335" s="2" t="str">
        <f>HYPERLINK("http://www.12365auto.com/zlts/20200204/446296.shtml","质量问题没到一年毛病太多")</f>
        <v>质量问题没到一年毛病太多</v>
      </c>
      <c r="C12335" s="2" t="s">
        <v>13</v>
      </c>
      <c r="D12335" s="2" t="s">
        <v>12</v>
      </c>
      <c r="E12335" s="2"/>
      <c r="F12335" s="2" t="str">
        <f>HYPERLINK("http://www.12365auto.com/zlts/20200204/446296.shtml","http://www.12365auto.com/zlts/20200204/446296.shtml")</f>
        <v>http://www.12365auto.com/zlts/20200204/446296.shtml</v>
      </c>
      <c r="G12335" s="2"/>
      <c r="H12335" s="2" t="s">
        <v>16429</v>
      </c>
      <c r="I12335" s="2" t="s">
        <v>15</v>
      </c>
      <c r="J12335" s="2" t="s">
        <v>12</v>
      </c>
      <c r="K12335" s="2" t="s">
        <v>16428</v>
      </c>
      <c r="L12335" s="2">
        <f t="shared" si="192"/>
        <v>81</v>
      </c>
    </row>
    <row r="12336" spans="1:12" ht="25" customHeight="1">
      <c r="A12336" s="2" t="s">
        <v>12</v>
      </c>
      <c r="B12336" s="2" t="str">
        <f>HYPERLINK("http://www.12365auto.com/zlts/20200204/446297.shtml","东风日产轩逸车内以及后备箱异味严重")</f>
        <v>东风日产轩逸车内以及后备箱异味严重</v>
      </c>
      <c r="C12336" s="2" t="s">
        <v>13</v>
      </c>
      <c r="D12336" s="2" t="s">
        <v>12</v>
      </c>
      <c r="E12336" s="2" t="s">
        <v>17</v>
      </c>
      <c r="F12336" s="2" t="str">
        <f>HYPERLINK("http://www.12365auto.com/zlts/20200204/446297.shtml","http://www.12365auto.com/zlts/20200204/446297.shtml")</f>
        <v>http://www.12365auto.com/zlts/20200204/446297.shtml</v>
      </c>
      <c r="G12336" s="2"/>
      <c r="H12336" s="2" t="s">
        <v>16430</v>
      </c>
      <c r="I12336" s="2" t="s">
        <v>19</v>
      </c>
      <c r="J12336" s="2" t="s">
        <v>12</v>
      </c>
      <c r="K12336" s="2" t="s">
        <v>16431</v>
      </c>
      <c r="L12336" s="2">
        <f t="shared" si="192"/>
        <v>150</v>
      </c>
    </row>
    <row r="12337" spans="1:12" ht="25" customHeight="1">
      <c r="A12337" s="2" t="s">
        <v>12</v>
      </c>
      <c r="B12337" s="2" t="str">
        <f>HYPERLINK("http://m.12365auto.com/xcdg/20200204/417665.shtml","采用ID.R电池技术 大众将推出ID.3 R")</f>
        <v>采用ID.R电池技术 大众将推出ID.3 R</v>
      </c>
      <c r="C12337" s="2" t="s">
        <v>13</v>
      </c>
      <c r="D12337" s="2" t="s">
        <v>12</v>
      </c>
      <c r="E12337" s="2"/>
      <c r="F12337" s="2" t="str">
        <f>HYPERLINK("http://m.12365auto.com/xcdg/20200204/417665.shtml","http://m.12365auto.com/xcdg/20200204/417665.shtml")</f>
        <v>http://m.12365auto.com/xcdg/20200204/417665.shtml</v>
      </c>
      <c r="G12337" s="2"/>
      <c r="H12337" s="2" t="s">
        <v>16432</v>
      </c>
      <c r="I12337" s="2" t="s">
        <v>19</v>
      </c>
      <c r="J12337" s="2" t="s">
        <v>297</v>
      </c>
      <c r="K12337" s="2" t="s">
        <v>16433</v>
      </c>
      <c r="L12337" s="2">
        <f t="shared" si="192"/>
        <v>150</v>
      </c>
    </row>
    <row r="12338" spans="1:12" ht="25" customHeight="1">
      <c r="A12338" s="2" t="s">
        <v>12</v>
      </c>
      <c r="B12338" s="2" t="str">
        <f>HYPERLINK("http://www.12365auto.com/xcdg/20200204/417665.shtml","采用ID.R电池技术 大众将推出ID.3 R")</f>
        <v>采用ID.R电池技术 大众将推出ID.3 R</v>
      </c>
      <c r="C12338" s="2" t="s">
        <v>13</v>
      </c>
      <c r="D12338" s="2" t="s">
        <v>12</v>
      </c>
      <c r="E12338" s="2" t="s">
        <v>216</v>
      </c>
      <c r="F12338" s="2" t="str">
        <f>HYPERLINK("http://www.12365auto.com/xcdg/20200204/417665.shtml","http://www.12365auto.com/xcdg/20200204/417665.shtml")</f>
        <v>http://www.12365auto.com/xcdg/20200204/417665.shtml</v>
      </c>
      <c r="G12338" s="2"/>
      <c r="H12338" s="2" t="s">
        <v>16434</v>
      </c>
      <c r="I12338" s="2" t="s">
        <v>15</v>
      </c>
      <c r="J12338" s="2" t="s">
        <v>12</v>
      </c>
      <c r="K12338" s="2" t="s">
        <v>16433</v>
      </c>
      <c r="L12338" s="2">
        <f t="shared" si="192"/>
        <v>150</v>
      </c>
    </row>
    <row r="12339" spans="1:12" ht="25" customHeight="1">
      <c r="A12339" s="2" t="s">
        <v>12</v>
      </c>
      <c r="B12339" s="2" t="str">
        <f>HYPERLINK("http://m.12365auto.com/xcdg/20200204/417664.shtml","造型前卫 斯柯达VISION IN概念车亮相")</f>
        <v>造型前卫 斯柯达VISION IN概念车亮相</v>
      </c>
      <c r="C12339" s="2" t="s">
        <v>13</v>
      </c>
      <c r="D12339" s="2" t="s">
        <v>12</v>
      </c>
      <c r="E12339" s="2"/>
      <c r="F12339" s="2" t="str">
        <f>HYPERLINK("http://m.12365auto.com/xcdg/20200204/417664.shtml","http://m.12365auto.com/xcdg/20200204/417664.shtml")</f>
        <v>http://m.12365auto.com/xcdg/20200204/417664.shtml</v>
      </c>
      <c r="G12339" s="2"/>
      <c r="H12339" s="2" t="s">
        <v>16435</v>
      </c>
      <c r="I12339" s="2" t="s">
        <v>19</v>
      </c>
      <c r="J12339" s="2" t="s">
        <v>303</v>
      </c>
      <c r="K12339" s="2" t="s">
        <v>16436</v>
      </c>
      <c r="L12339" s="2">
        <f t="shared" si="192"/>
        <v>150</v>
      </c>
    </row>
    <row r="12340" spans="1:12" ht="25" customHeight="1">
      <c r="A12340" s="2" t="s">
        <v>12</v>
      </c>
      <c r="B12340" s="2" t="str">
        <f>HYPERLINK("http://www.12365auto.com/xcdg/20200204/417664.shtml","造型前卫 斯柯达VISION IN概念车亮相")</f>
        <v>造型前卫 斯柯达VISION IN概念车亮相</v>
      </c>
      <c r="C12340" s="2" t="s">
        <v>13</v>
      </c>
      <c r="D12340" s="2" t="s">
        <v>12</v>
      </c>
      <c r="E12340" s="2" t="s">
        <v>216</v>
      </c>
      <c r="F12340" s="2" t="str">
        <f>HYPERLINK("http://www.12365auto.com/xcdg/20200204/417664.shtml","http://www.12365auto.com/xcdg/20200204/417664.shtml")</f>
        <v>http://www.12365auto.com/xcdg/20200204/417664.shtml</v>
      </c>
      <c r="G12340" s="2"/>
      <c r="H12340" s="2" t="s">
        <v>16437</v>
      </c>
      <c r="I12340" s="2" t="s">
        <v>15</v>
      </c>
      <c r="J12340" s="2" t="s">
        <v>12</v>
      </c>
      <c r="K12340" s="2" t="s">
        <v>16436</v>
      </c>
      <c r="L12340" s="2">
        <f t="shared" si="192"/>
        <v>150</v>
      </c>
    </row>
    <row r="12341" spans="1:12" ht="25" customHeight="1">
      <c r="A12341" s="2" t="s">
        <v>12</v>
      </c>
      <c r="B12341" s="2" t="str">
        <f>HYPERLINK("http://m.12365auto.com/xcdg/20200204/417663.shtml","近期将交付 雪佛兰新科尔维特量产下线")</f>
        <v>近期将交付 雪佛兰新科尔维特量产下线</v>
      </c>
      <c r="C12341" s="2" t="s">
        <v>13</v>
      </c>
      <c r="D12341" s="2" t="s">
        <v>12</v>
      </c>
      <c r="E12341" s="2"/>
      <c r="F12341" s="2" t="str">
        <f>HYPERLINK("http://m.12365auto.com/xcdg/20200204/417663.shtml","http://m.12365auto.com/xcdg/20200204/417663.shtml")</f>
        <v>http://m.12365auto.com/xcdg/20200204/417663.shtml</v>
      </c>
      <c r="G12341" s="2"/>
      <c r="H12341" s="2" t="s">
        <v>16438</v>
      </c>
      <c r="I12341" s="2" t="s">
        <v>19</v>
      </c>
      <c r="J12341" s="2" t="s">
        <v>2560</v>
      </c>
      <c r="K12341" s="2" t="s">
        <v>16439</v>
      </c>
      <c r="L12341" s="2">
        <f t="shared" si="192"/>
        <v>150</v>
      </c>
    </row>
    <row r="12342" spans="1:12" ht="25" customHeight="1">
      <c r="A12342" s="2" t="s">
        <v>12</v>
      </c>
      <c r="B12342" s="2" t="str">
        <f>HYPERLINK("http://www.12365auto.com/xcdg/20200204/417663.shtml","近期将交付 雪佛兰新科尔维特量产下线")</f>
        <v>近期将交付 雪佛兰新科尔维特量产下线</v>
      </c>
      <c r="C12342" s="2" t="s">
        <v>13</v>
      </c>
      <c r="D12342" s="2" t="s">
        <v>12</v>
      </c>
      <c r="E12342" s="2" t="s">
        <v>245</v>
      </c>
      <c r="F12342" s="2" t="str">
        <f>HYPERLINK("http://www.12365auto.com/xcdg/20200204/417663.shtml","http://www.12365auto.com/xcdg/20200204/417663.shtml")</f>
        <v>http://www.12365auto.com/xcdg/20200204/417663.shtml</v>
      </c>
      <c r="G12342" s="2"/>
      <c r="H12342" s="2" t="s">
        <v>16440</v>
      </c>
      <c r="I12342" s="2" t="s">
        <v>19</v>
      </c>
      <c r="J12342" s="2" t="s">
        <v>12</v>
      </c>
      <c r="K12342" s="2" t="s">
        <v>16439</v>
      </c>
      <c r="L12342" s="2">
        <f t="shared" si="192"/>
        <v>150</v>
      </c>
    </row>
    <row r="12343" spans="1:12" ht="25" customHeight="1">
      <c r="A12343" s="2" t="s">
        <v>12</v>
      </c>
      <c r="B12343" s="2" t="str">
        <f>HYPERLINK("http://www.12365auto.com/xcdg/20200204/417662.shtml","或2020年上市 威马汽车新车专利图曝光")</f>
        <v>或2020年上市 威马汽车新车专利图曝光</v>
      </c>
      <c r="C12343" s="2" t="s">
        <v>13</v>
      </c>
      <c r="D12343" s="2" t="s">
        <v>12</v>
      </c>
      <c r="E12343" s="2" t="s">
        <v>216</v>
      </c>
      <c r="F12343" s="2" t="str">
        <f>HYPERLINK("http://www.12365auto.com/xcdg/20200204/417662.shtml","http://www.12365auto.com/xcdg/20200204/417662.shtml")</f>
        <v>http://www.12365auto.com/xcdg/20200204/417662.shtml</v>
      </c>
      <c r="G12343" s="2"/>
      <c r="H12343" s="2" t="s">
        <v>16441</v>
      </c>
      <c r="I12343" s="2" t="s">
        <v>15</v>
      </c>
      <c r="J12343" s="2" t="s">
        <v>12</v>
      </c>
      <c r="K12343" s="2" t="s">
        <v>16442</v>
      </c>
      <c r="L12343" s="2">
        <f t="shared" si="192"/>
        <v>150</v>
      </c>
    </row>
    <row r="12344" spans="1:12" ht="25" customHeight="1">
      <c r="A12344" s="2" t="s">
        <v>12</v>
      </c>
      <c r="B12344" s="2" t="str">
        <f>HYPERLINK("http://m.12365auto.com/xcdg/20200204/417662.shtml","或2020年上市 威马汽车新车专利图曝光")</f>
        <v>或2020年上市 威马汽车新车专利图曝光</v>
      </c>
      <c r="C12344" s="2" t="s">
        <v>13</v>
      </c>
      <c r="D12344" s="2" t="s">
        <v>12</v>
      </c>
      <c r="E12344" s="2"/>
      <c r="F12344" s="2" t="str">
        <f>HYPERLINK("http://m.12365auto.com/xcdg/20200204/417662.shtml","http://m.12365auto.com/xcdg/20200204/417662.shtml")</f>
        <v>http://m.12365auto.com/xcdg/20200204/417662.shtml</v>
      </c>
      <c r="G12344" s="2"/>
      <c r="H12344" s="2" t="s">
        <v>16443</v>
      </c>
      <c r="I12344" s="2" t="s">
        <v>19</v>
      </c>
      <c r="J12344" s="2" t="s">
        <v>330</v>
      </c>
      <c r="K12344" s="2" t="s">
        <v>16442</v>
      </c>
      <c r="L12344" s="2">
        <f t="shared" si="192"/>
        <v>150</v>
      </c>
    </row>
    <row r="12345" spans="1:12" ht="25" customHeight="1">
      <c r="A12345" s="2" t="s">
        <v>12</v>
      </c>
      <c r="B12345" s="2" t="str">
        <f>HYPERLINK("http://m.12365auto.com/news/20200204/417661.shtml","车企关厂裁员 英国脱欧影响正在显现")</f>
        <v>车企关厂裁员 英国脱欧影响正在显现</v>
      </c>
      <c r="C12345" s="2" t="s">
        <v>13</v>
      </c>
      <c r="D12345" s="2" t="s">
        <v>12</v>
      </c>
      <c r="E12345" s="2"/>
      <c r="F12345" s="2" t="str">
        <f>HYPERLINK("http://m.12365auto.com/news/20200204/417661.shtml","http://m.12365auto.com/news/20200204/417661.shtml")</f>
        <v>http://m.12365auto.com/news/20200204/417661.shtml</v>
      </c>
      <c r="G12345" s="2"/>
      <c r="H12345" s="2" t="s">
        <v>16444</v>
      </c>
      <c r="I12345" s="2" t="s">
        <v>19</v>
      </c>
      <c r="J12345" s="2" t="s">
        <v>1170</v>
      </c>
      <c r="K12345" s="2" t="s">
        <v>16445</v>
      </c>
      <c r="L12345" s="2">
        <f t="shared" si="192"/>
        <v>150</v>
      </c>
    </row>
    <row r="12346" spans="1:12" ht="25" customHeight="1">
      <c r="A12346" s="2" t="s">
        <v>12</v>
      </c>
      <c r="B12346" s="2" t="str">
        <f>HYPERLINK("http://www.12365auto.com/news/20200204/417661.shtml","车企关厂裁员 英国脱欧影响正在显现")</f>
        <v>车企关厂裁员 英国脱欧影响正在显现</v>
      </c>
      <c r="C12346" s="2" t="s">
        <v>13</v>
      </c>
      <c r="D12346" s="2" t="s">
        <v>12</v>
      </c>
      <c r="E12346" s="2" t="s">
        <v>276</v>
      </c>
      <c r="F12346" s="2" t="str">
        <f>HYPERLINK("http://www.12365auto.com/news/20200204/417661.shtml","http://www.12365auto.com/news/20200204/417661.shtml")</f>
        <v>http://www.12365auto.com/news/20200204/417661.shtml</v>
      </c>
      <c r="G12346" s="2"/>
      <c r="H12346" s="2" t="s">
        <v>16446</v>
      </c>
      <c r="I12346" s="2" t="s">
        <v>15</v>
      </c>
      <c r="J12346" s="2" t="s">
        <v>12</v>
      </c>
      <c r="K12346" s="2" t="s">
        <v>16445</v>
      </c>
      <c r="L12346" s="2">
        <f t="shared" si="192"/>
        <v>150</v>
      </c>
    </row>
    <row r="12347" spans="1:12" ht="25" customHeight="1">
      <c r="A12347" s="2" t="s">
        <v>12</v>
      </c>
      <c r="B12347" s="2" t="str">
        <f>HYPERLINK("http://m.12365auto.com/zjdy/20200204/121004.shtml","在汽贸城买车靠谱吗可以购买吗？")</f>
        <v>在汽贸城买车靠谱吗可以购买吗？</v>
      </c>
      <c r="C12347" s="2" t="s">
        <v>13</v>
      </c>
      <c r="D12347" s="2" t="s">
        <v>12</v>
      </c>
      <c r="E12347" s="2"/>
      <c r="F12347" s="2" t="str">
        <f>HYPERLINK("http://m.12365auto.com/zjdy/20200204/121004.shtml","http://m.12365auto.com/zjdy/20200204/121004.shtml")</f>
        <v>http://m.12365auto.com/zjdy/20200204/121004.shtml</v>
      </c>
      <c r="G12347" s="2"/>
      <c r="H12347" s="2" t="s">
        <v>16447</v>
      </c>
      <c r="I12347" s="2" t="s">
        <v>19</v>
      </c>
      <c r="J12347" s="2" t="s">
        <v>12</v>
      </c>
      <c r="K12347" s="2" t="s">
        <v>16448</v>
      </c>
      <c r="L12347" s="2">
        <f t="shared" si="192"/>
        <v>15</v>
      </c>
    </row>
    <row r="12348" spans="1:12" ht="25" customHeight="1">
      <c r="A12348" s="2" t="s">
        <v>12</v>
      </c>
      <c r="B12348" s="2" t="str">
        <f>HYPERLINK("http://m.12365auto.com/zjdy/20200204/121006.shtml","播放音乐时候左前门异响是什么原因？")</f>
        <v>播放音乐时候左前门异响是什么原因？</v>
      </c>
      <c r="C12348" s="2" t="s">
        <v>13</v>
      </c>
      <c r="D12348" s="2" t="s">
        <v>12</v>
      </c>
      <c r="E12348" s="2"/>
      <c r="F12348" s="2" t="str">
        <f>HYPERLINK("http://m.12365auto.com/zjdy/20200204/121006.shtml","http://m.12365auto.com/zjdy/20200204/121006.shtml")</f>
        <v>http://m.12365auto.com/zjdy/20200204/121006.shtml</v>
      </c>
      <c r="G12348" s="2"/>
      <c r="H12348" s="2" t="s">
        <v>16449</v>
      </c>
      <c r="I12348" s="2" t="s">
        <v>19</v>
      </c>
      <c r="J12348" s="2" t="s">
        <v>12</v>
      </c>
      <c r="K12348" s="2" t="s">
        <v>16448</v>
      </c>
      <c r="L12348" s="2">
        <f t="shared" si="192"/>
        <v>89</v>
      </c>
    </row>
    <row r="12349" spans="1:12" ht="25" customHeight="1">
      <c r="A12349" s="2" t="s">
        <v>12</v>
      </c>
      <c r="B12349" s="2" t="str">
        <f>HYPERLINK("http://m.12365auto.com/xcdg/20200204/417660.shtml","现代新ix25渲染图曝光 将上市搭两种动力")</f>
        <v>现代新ix25渲染图曝光 将上市搭两种动力</v>
      </c>
      <c r="C12349" s="2" t="s">
        <v>13</v>
      </c>
      <c r="D12349" s="2" t="s">
        <v>12</v>
      </c>
      <c r="E12349" s="2"/>
      <c r="F12349" s="2" t="str">
        <f>HYPERLINK("http://m.12365auto.com/xcdg/20200204/417660.shtml","http://m.12365auto.com/xcdg/20200204/417660.shtml")</f>
        <v>http://m.12365auto.com/xcdg/20200204/417660.shtml</v>
      </c>
      <c r="G12349" s="2"/>
      <c r="H12349" s="2" t="s">
        <v>16450</v>
      </c>
      <c r="I12349" s="2" t="s">
        <v>19</v>
      </c>
      <c r="J12349" s="2" t="s">
        <v>13601</v>
      </c>
      <c r="K12349" s="2" t="s">
        <v>16451</v>
      </c>
      <c r="L12349" s="2">
        <f t="shared" si="192"/>
        <v>150</v>
      </c>
    </row>
    <row r="12350" spans="1:12" ht="25" customHeight="1">
      <c r="A12350" s="2" t="s">
        <v>12</v>
      </c>
      <c r="B12350" s="2" t="str">
        <f>HYPERLINK("http://www.12365auto.com/xcdg/20200204/417660.shtml","现代新ix25渲染图曝光 将上市搭两种动力")</f>
        <v>现代新ix25渲染图曝光 将上市搭两种动力</v>
      </c>
      <c r="C12350" s="2" t="s">
        <v>13</v>
      </c>
      <c r="D12350" s="2" t="s">
        <v>12</v>
      </c>
      <c r="E12350" s="2" t="s">
        <v>245</v>
      </c>
      <c r="F12350" s="2" t="str">
        <f>HYPERLINK("http://www.12365auto.com/xcdg/20200204/417660.shtml","http://www.12365auto.com/xcdg/20200204/417660.shtml")</f>
        <v>http://www.12365auto.com/xcdg/20200204/417660.shtml</v>
      </c>
      <c r="G12350" s="2"/>
      <c r="H12350" s="2" t="s">
        <v>16452</v>
      </c>
      <c r="I12350" s="2" t="s">
        <v>19</v>
      </c>
      <c r="J12350" s="2" t="s">
        <v>12</v>
      </c>
      <c r="K12350" s="2" t="s">
        <v>16451</v>
      </c>
      <c r="L12350" s="2">
        <f t="shared" si="192"/>
        <v>150</v>
      </c>
    </row>
    <row r="12351" spans="1:12" ht="25" customHeight="1">
      <c r="A12351" s="2" t="s">
        <v>12</v>
      </c>
      <c r="B12351" s="2" t="str">
        <f>HYPERLINK("http://m.12365auto.com/zjdy/20200204/121005.shtml","在汽贸购车出现严重质量问题该怎么维权？")</f>
        <v>在汽贸购车出现严重质量问题该怎么维权？</v>
      </c>
      <c r="C12351" s="2" t="s">
        <v>13</v>
      </c>
      <c r="D12351" s="2" t="s">
        <v>12</v>
      </c>
      <c r="E12351" s="2"/>
      <c r="F12351" s="2" t="str">
        <f>HYPERLINK("http://m.12365auto.com/zjdy/20200204/121005.shtml","http://m.12365auto.com/zjdy/20200204/121005.shtml")</f>
        <v>http://m.12365auto.com/zjdy/20200204/121005.shtml</v>
      </c>
      <c r="G12351" s="2"/>
      <c r="H12351" s="2" t="s">
        <v>16453</v>
      </c>
      <c r="I12351" s="2" t="s">
        <v>19</v>
      </c>
      <c r="J12351" s="2" t="s">
        <v>12</v>
      </c>
      <c r="K12351" s="2" t="s">
        <v>16454</v>
      </c>
      <c r="L12351" s="2">
        <f t="shared" si="192"/>
        <v>21</v>
      </c>
    </row>
    <row r="12352" spans="1:12" ht="25" customHeight="1">
      <c r="A12352" s="2" t="s">
        <v>12</v>
      </c>
      <c r="B12352" s="2" t="str">
        <f>HYPERLINK("http://www.12365auto.com/xcdg/20200204/417659.shtml","Jeep全新大切诺基曝光 搭3.0T/年底亮相")</f>
        <v>Jeep全新大切诺基曝光 搭3.0T/年底亮相</v>
      </c>
      <c r="C12352" s="2" t="s">
        <v>13</v>
      </c>
      <c r="D12352" s="2" t="s">
        <v>12</v>
      </c>
      <c r="E12352" s="2" t="s">
        <v>224</v>
      </c>
      <c r="F12352" s="2" t="str">
        <f>HYPERLINK("http://www.12365auto.com/xcdg/20200204/417659.shtml","http://www.12365auto.com/xcdg/20200204/417659.shtml")</f>
        <v>http://www.12365auto.com/xcdg/20200204/417659.shtml</v>
      </c>
      <c r="G12352" s="2"/>
      <c r="H12352" s="2" t="s">
        <v>16455</v>
      </c>
      <c r="I12352" s="2" t="s">
        <v>15</v>
      </c>
      <c r="J12352" s="2" t="s">
        <v>12</v>
      </c>
      <c r="K12352" s="2" t="s">
        <v>16456</v>
      </c>
      <c r="L12352" s="2">
        <f t="shared" si="192"/>
        <v>150</v>
      </c>
    </row>
    <row r="12353" spans="1:12" ht="25" customHeight="1">
      <c r="A12353" s="2" t="s">
        <v>12</v>
      </c>
      <c r="B12353" s="2" t="str">
        <f>HYPERLINK("http://m.12365auto.com/xcdg/20200204/417659.shtml","Jeep全新大切诺基曝光 搭3.0T/年底亮相")</f>
        <v>Jeep全新大切诺基曝光 搭3.0T/年底亮相</v>
      </c>
      <c r="C12353" s="2" t="s">
        <v>13</v>
      </c>
      <c r="D12353" s="2" t="s">
        <v>12</v>
      </c>
      <c r="E12353" s="2"/>
      <c r="F12353" s="2" t="str">
        <f>HYPERLINK("http://m.12365auto.com/xcdg/20200204/417659.shtml","http://m.12365auto.com/xcdg/20200204/417659.shtml")</f>
        <v>http://m.12365auto.com/xcdg/20200204/417659.shtml</v>
      </c>
      <c r="G12353" s="2"/>
      <c r="H12353" s="2" t="s">
        <v>16457</v>
      </c>
      <c r="I12353" s="2" t="s">
        <v>19</v>
      </c>
      <c r="J12353" s="2" t="s">
        <v>220</v>
      </c>
      <c r="K12353" s="2" t="s">
        <v>16456</v>
      </c>
      <c r="L12353" s="2">
        <f t="shared" si="192"/>
        <v>150</v>
      </c>
    </row>
    <row r="12354" spans="1:12" ht="25" customHeight="1">
      <c r="A12354" s="2" t="s">
        <v>12</v>
      </c>
      <c r="B12354" s="2" t="str">
        <f>HYPERLINK("http://www.12365auto.com/xcdg/20200204/417658.shtml","起亚新嘉华信息曝光 搭2.2T/两个月后首发")</f>
        <v>起亚新嘉华信息曝光 搭2.2T/两个月后首发</v>
      </c>
      <c r="C12354" s="2" t="s">
        <v>13</v>
      </c>
      <c r="D12354" s="2" t="s">
        <v>12</v>
      </c>
      <c r="E12354" s="2" t="s">
        <v>216</v>
      </c>
      <c r="F12354" s="2" t="str">
        <f>HYPERLINK("http://www.12365auto.com/xcdg/20200204/417658.shtml","http://www.12365auto.com/xcdg/20200204/417658.shtml")</f>
        <v>http://www.12365auto.com/xcdg/20200204/417658.shtml</v>
      </c>
      <c r="G12354" s="2"/>
      <c r="H12354" s="2" t="s">
        <v>16458</v>
      </c>
      <c r="I12354" s="2" t="s">
        <v>15</v>
      </c>
      <c r="J12354" s="2" t="s">
        <v>12</v>
      </c>
      <c r="K12354" s="2" t="s">
        <v>16459</v>
      </c>
      <c r="L12354" s="2">
        <f t="shared" si="192"/>
        <v>150</v>
      </c>
    </row>
    <row r="12355" spans="1:12" ht="25" customHeight="1">
      <c r="A12355" s="2" t="s">
        <v>12</v>
      </c>
      <c r="B12355" s="2" t="str">
        <f>HYPERLINK("http://m.12365auto.com/xcdg/20200204/417658.shtml","起亚新嘉华信息曝光 搭2.2T/两个月后首发")</f>
        <v>起亚新嘉华信息曝光 搭2.2T/两个月后首发</v>
      </c>
      <c r="C12355" s="2" t="s">
        <v>13</v>
      </c>
      <c r="D12355" s="2" t="s">
        <v>12</v>
      </c>
      <c r="E12355" s="2"/>
      <c r="F12355" s="2" t="str">
        <f>HYPERLINK("http://m.12365auto.com/xcdg/20200204/417658.shtml","http://m.12365auto.com/xcdg/20200204/417658.shtml")</f>
        <v>http://m.12365auto.com/xcdg/20200204/417658.shtml</v>
      </c>
      <c r="G12355" s="2"/>
      <c r="H12355" s="2" t="s">
        <v>16460</v>
      </c>
      <c r="I12355" s="2" t="s">
        <v>19</v>
      </c>
      <c r="J12355" s="2" t="s">
        <v>13601</v>
      </c>
      <c r="K12355" s="2" t="s">
        <v>16459</v>
      </c>
      <c r="L12355" s="2">
        <f t="shared" ref="L12355:L12418" si="193">LEN(H12355)</f>
        <v>150</v>
      </c>
    </row>
    <row r="12356" spans="1:12" ht="25" customHeight="1">
      <c r="A12356" s="2" t="s">
        <v>12</v>
      </c>
      <c r="B12356" s="2" t="str">
        <f>HYPERLINK("http://www.12365auto.com/xcdg/20200204/417657.shtml","宝马X7 xDrive 50实拍 搭4.4T/内饰更吸睛")</f>
        <v>宝马X7 xDrive 50实拍 搭4.4T/内饰更吸睛</v>
      </c>
      <c r="C12356" s="2" t="s">
        <v>13</v>
      </c>
      <c r="D12356" s="2" t="s">
        <v>12</v>
      </c>
      <c r="E12356" s="2" t="s">
        <v>216</v>
      </c>
      <c r="F12356" s="2" t="str">
        <f>HYPERLINK("http://www.12365auto.com/xcdg/20200204/417657.shtml","http://www.12365auto.com/xcdg/20200204/417657.shtml")</f>
        <v>http://www.12365auto.com/xcdg/20200204/417657.shtml</v>
      </c>
      <c r="G12356" s="2"/>
      <c r="H12356" s="2" t="s">
        <v>16461</v>
      </c>
      <c r="I12356" s="2" t="s">
        <v>15</v>
      </c>
      <c r="J12356" s="2" t="s">
        <v>12</v>
      </c>
      <c r="K12356" s="2" t="s">
        <v>16462</v>
      </c>
      <c r="L12356" s="2">
        <f t="shared" si="193"/>
        <v>150</v>
      </c>
    </row>
    <row r="12357" spans="1:12" ht="25" customHeight="1">
      <c r="A12357" s="2" t="s">
        <v>12</v>
      </c>
      <c r="B12357" s="2" t="str">
        <f>HYPERLINK("http://m.12365auto.com/xcdg/20200204/417657.shtml","宝马X7 xDrive 50实拍 搭4.4T/内饰更吸睛")</f>
        <v>宝马X7 xDrive 50实拍 搭4.4T/内饰更吸睛</v>
      </c>
      <c r="C12357" s="2" t="s">
        <v>13</v>
      </c>
      <c r="D12357" s="2" t="s">
        <v>12</v>
      </c>
      <c r="E12357" s="2"/>
      <c r="F12357" s="2" t="str">
        <f>HYPERLINK("http://m.12365auto.com/xcdg/20200204/417657.shtml","http://m.12365auto.com/xcdg/20200204/417657.shtml")</f>
        <v>http://m.12365auto.com/xcdg/20200204/417657.shtml</v>
      </c>
      <c r="G12357" s="2"/>
      <c r="H12357" s="2" t="s">
        <v>16463</v>
      </c>
      <c r="I12357" s="2" t="s">
        <v>19</v>
      </c>
      <c r="J12357" s="2" t="s">
        <v>220</v>
      </c>
      <c r="K12357" s="2" t="s">
        <v>16462</v>
      </c>
      <c r="L12357" s="2">
        <f t="shared" si="193"/>
        <v>150</v>
      </c>
    </row>
    <row r="12358" spans="1:12" ht="25" customHeight="1">
      <c r="A12358" s="2" t="s">
        <v>12</v>
      </c>
      <c r="B12358" s="2" t="str">
        <f>HYPERLINK("http://m.12365auto.com/xcdg/20200204/417656.shtml","电动F-150渲染图曝光 Mach-E同款前格栅")</f>
        <v>电动F-150渲染图曝光 Mach-E同款前格栅</v>
      </c>
      <c r="C12358" s="2" t="s">
        <v>13</v>
      </c>
      <c r="D12358" s="2" t="s">
        <v>12</v>
      </c>
      <c r="E12358" s="2"/>
      <c r="F12358" s="2" t="str">
        <f>HYPERLINK("http://m.12365auto.com/xcdg/20200204/417656.shtml","http://m.12365auto.com/xcdg/20200204/417656.shtml")</f>
        <v>http://m.12365auto.com/xcdg/20200204/417656.shtml</v>
      </c>
      <c r="G12358" s="2"/>
      <c r="H12358" s="2" t="s">
        <v>16464</v>
      </c>
      <c r="I12358" s="2" t="s">
        <v>19</v>
      </c>
      <c r="J12358" s="2" t="s">
        <v>2612</v>
      </c>
      <c r="K12358" s="2" t="s">
        <v>16465</v>
      </c>
      <c r="L12358" s="2">
        <f t="shared" si="193"/>
        <v>150</v>
      </c>
    </row>
    <row r="12359" spans="1:12" ht="25" customHeight="1">
      <c r="A12359" s="2" t="s">
        <v>12</v>
      </c>
      <c r="B12359" s="2" t="str">
        <f>HYPERLINK("http://www.12365auto.com/xcdg/20200204/417656.shtml","电动F-150渲染图曝光 Mach-E同款前格栅")</f>
        <v>电动F-150渲染图曝光 Mach-E同款前格栅</v>
      </c>
      <c r="C12359" s="2" t="s">
        <v>13</v>
      </c>
      <c r="D12359" s="2" t="s">
        <v>12</v>
      </c>
      <c r="E12359" s="2" t="s">
        <v>216</v>
      </c>
      <c r="F12359" s="2" t="str">
        <f>HYPERLINK("http://www.12365auto.com/xcdg/20200204/417656.shtml","http://www.12365auto.com/xcdg/20200204/417656.shtml")</f>
        <v>http://www.12365auto.com/xcdg/20200204/417656.shtml</v>
      </c>
      <c r="G12359" s="2"/>
      <c r="H12359" s="2" t="s">
        <v>16466</v>
      </c>
      <c r="I12359" s="2" t="s">
        <v>15</v>
      </c>
      <c r="J12359" s="2" t="s">
        <v>12</v>
      </c>
      <c r="K12359" s="2" t="s">
        <v>16465</v>
      </c>
      <c r="L12359" s="2">
        <f t="shared" si="193"/>
        <v>150</v>
      </c>
    </row>
    <row r="12360" spans="1:12" ht="25" customHeight="1">
      <c r="A12360" s="2" t="s">
        <v>12</v>
      </c>
      <c r="B12360" s="2" t="str">
        <f>HYPERLINK("http://www.12365auto.com/zlts/20200204/446295.shtml","广汽丰田凯美瑞中控台异响变速箱换挡顿挫")</f>
        <v>广汽丰田凯美瑞中控台异响变速箱换挡顿挫</v>
      </c>
      <c r="C12360" s="2" t="s">
        <v>13</v>
      </c>
      <c r="D12360" s="2" t="s">
        <v>12</v>
      </c>
      <c r="E12360" s="2" t="s">
        <v>17</v>
      </c>
      <c r="F12360" s="2" t="str">
        <f>HYPERLINK("http://www.12365auto.com/zlts/20200204/446295.shtml","http://www.12365auto.com/zlts/20200204/446295.shtml")</f>
        <v>http://www.12365auto.com/zlts/20200204/446295.shtml</v>
      </c>
      <c r="G12360" s="2"/>
      <c r="H12360" s="2" t="s">
        <v>16467</v>
      </c>
      <c r="I12360" s="2" t="s">
        <v>15</v>
      </c>
      <c r="J12360" s="2" t="s">
        <v>12</v>
      </c>
      <c r="K12360" s="2" t="s">
        <v>16468</v>
      </c>
      <c r="L12360" s="2">
        <f t="shared" si="193"/>
        <v>150</v>
      </c>
    </row>
    <row r="12361" spans="1:12" ht="25" customHeight="1">
      <c r="A12361" s="2" t="s">
        <v>12</v>
      </c>
      <c r="B12361" s="2" t="str">
        <f>HYPERLINK("http://www.12365auto.com/zlts/20200204/446294.shtml","华晨中华H3底盘异响前轮异响离合器沉重")</f>
        <v>华晨中华H3底盘异响前轮异响离合器沉重</v>
      </c>
      <c r="C12361" s="2" t="s">
        <v>13</v>
      </c>
      <c r="D12361" s="2" t="s">
        <v>12</v>
      </c>
      <c r="E12361" s="2" t="s">
        <v>17</v>
      </c>
      <c r="F12361" s="2" t="str">
        <f>HYPERLINK("http://www.12365auto.com/zlts/20200204/446294.shtml","http://www.12365auto.com/zlts/20200204/446294.shtml")</f>
        <v>http://www.12365auto.com/zlts/20200204/446294.shtml</v>
      </c>
      <c r="G12361" s="2"/>
      <c r="H12361" s="2" t="s">
        <v>16469</v>
      </c>
      <c r="I12361" s="2" t="s">
        <v>15</v>
      </c>
      <c r="J12361" s="2" t="s">
        <v>12</v>
      </c>
      <c r="K12361" s="2" t="s">
        <v>16470</v>
      </c>
      <c r="L12361" s="2">
        <f t="shared" si="193"/>
        <v>150</v>
      </c>
    </row>
    <row r="12362" spans="1:12" ht="25" customHeight="1">
      <c r="A12362" s="2" t="s">
        <v>12</v>
      </c>
      <c r="B12362" s="2" t="str">
        <f>HYPERLINK("http://www.12365auto.com/zlts/20200204/446292.shtml","吉利缤越车机系统无法更新希望尽快处理")</f>
        <v>吉利缤越车机系统无法更新希望尽快处理</v>
      </c>
      <c r="C12362" s="2" t="s">
        <v>13</v>
      </c>
      <c r="D12362" s="2" t="s">
        <v>12</v>
      </c>
      <c r="E12362" s="2" t="s">
        <v>17</v>
      </c>
      <c r="F12362" s="2" t="str">
        <f>HYPERLINK("http://www.12365auto.com/zlts/20200204/446292.shtml","http://www.12365auto.com/zlts/20200204/446292.shtml")</f>
        <v>http://www.12365auto.com/zlts/20200204/446292.shtml</v>
      </c>
      <c r="G12362" s="2"/>
      <c r="H12362" s="2" t="s">
        <v>16471</v>
      </c>
      <c r="I12362" s="2" t="s">
        <v>19</v>
      </c>
      <c r="J12362" s="2" t="s">
        <v>12</v>
      </c>
      <c r="K12362" s="2" t="s">
        <v>16472</v>
      </c>
      <c r="L12362" s="2">
        <f t="shared" si="193"/>
        <v>150</v>
      </c>
    </row>
    <row r="12363" spans="1:12" ht="25" customHeight="1">
      <c r="A12363" s="2" t="s">
        <v>12</v>
      </c>
      <c r="B12363" s="2" t="str">
        <f>HYPERLINK("http://m.12365auto.com/zjdy/20200204/121003.shtml","五菱荣光小卡排气管漏水是什么原因？")</f>
        <v>五菱荣光小卡排气管漏水是什么原因？</v>
      </c>
      <c r="C12363" s="2" t="s">
        <v>13</v>
      </c>
      <c r="D12363" s="2" t="s">
        <v>12</v>
      </c>
      <c r="E12363" s="2"/>
      <c r="F12363" s="2" t="str">
        <f>HYPERLINK("http://m.12365auto.com/zjdy/20200204/121003.shtml","http://m.12365auto.com/zjdy/20200204/121003.shtml")</f>
        <v>http://m.12365auto.com/zjdy/20200204/121003.shtml</v>
      </c>
      <c r="G12363" s="2"/>
      <c r="H12363" s="2" t="s">
        <v>16473</v>
      </c>
      <c r="I12363" s="2" t="s">
        <v>19</v>
      </c>
      <c r="J12363" s="2" t="s">
        <v>12</v>
      </c>
      <c r="K12363" s="2" t="s">
        <v>16474</v>
      </c>
      <c r="L12363" s="2">
        <f t="shared" si="193"/>
        <v>69</v>
      </c>
    </row>
    <row r="12364" spans="1:12" ht="25" customHeight="1">
      <c r="A12364" s="2" t="s">
        <v>12</v>
      </c>
      <c r="B12364" s="2" t="str">
        <f>HYPERLINK("http://www.12365auto.com/xcdg/20200204/417655.shtml","奥迪全新RS6 Avant售价 即将上市/搭4.0T")</f>
        <v>奥迪全新RS6 Avant售价 即将上市/搭4.0T</v>
      </c>
      <c r="C12364" s="2" t="s">
        <v>13</v>
      </c>
      <c r="D12364" s="2" t="s">
        <v>12</v>
      </c>
      <c r="E12364" s="2" t="s">
        <v>245</v>
      </c>
      <c r="F12364" s="2" t="str">
        <f>HYPERLINK("http://www.12365auto.com/xcdg/20200204/417655.shtml","http://www.12365auto.com/xcdg/20200204/417655.shtml")</f>
        <v>http://www.12365auto.com/xcdg/20200204/417655.shtml</v>
      </c>
      <c r="G12364" s="2"/>
      <c r="H12364" s="2" t="s">
        <v>16475</v>
      </c>
      <c r="I12364" s="2" t="s">
        <v>19</v>
      </c>
      <c r="J12364" s="2" t="s">
        <v>12</v>
      </c>
      <c r="K12364" s="2" t="s">
        <v>16476</v>
      </c>
      <c r="L12364" s="2">
        <f t="shared" si="193"/>
        <v>150</v>
      </c>
    </row>
    <row r="12365" spans="1:12" ht="25" customHeight="1">
      <c r="A12365" s="2" t="s">
        <v>12</v>
      </c>
      <c r="B12365" s="2" t="str">
        <f>HYPERLINK("http://m.12365auto.com/xcdg/20200204/417655.shtml","奥迪全新RS6 Avant售价 即将上市/搭4.0T")</f>
        <v>奥迪全新RS6 Avant售价 即将上市/搭4.0T</v>
      </c>
      <c r="C12365" s="2" t="s">
        <v>13</v>
      </c>
      <c r="D12365" s="2" t="s">
        <v>12</v>
      </c>
      <c r="E12365" s="2"/>
      <c r="F12365" s="2" t="str">
        <f>HYPERLINK("http://m.12365auto.com/xcdg/20200204/417655.shtml","http://m.12365auto.com/xcdg/20200204/417655.shtml")</f>
        <v>http://m.12365auto.com/xcdg/20200204/417655.shtml</v>
      </c>
      <c r="G12365" s="2"/>
      <c r="H12365" s="2" t="s">
        <v>16477</v>
      </c>
      <c r="I12365" s="2" t="s">
        <v>19</v>
      </c>
      <c r="J12365" s="2" t="s">
        <v>13601</v>
      </c>
      <c r="K12365" s="2" t="s">
        <v>16476</v>
      </c>
      <c r="L12365" s="2">
        <f t="shared" si="193"/>
        <v>150</v>
      </c>
    </row>
    <row r="12366" spans="1:12" ht="25" customHeight="1">
      <c r="A12366" s="2" t="s">
        <v>12</v>
      </c>
      <c r="B12366" s="2" t="str">
        <f>HYPERLINK("http://m.12365auto.com/zjdy/20200204/121002.shtml","宝马X3刹车油泄漏是什么原因？")</f>
        <v>宝马X3刹车油泄漏是什么原因？</v>
      </c>
      <c r="C12366" s="2" t="s">
        <v>13</v>
      </c>
      <c r="D12366" s="2" t="s">
        <v>12</v>
      </c>
      <c r="E12366" s="2"/>
      <c r="F12366" s="2" t="str">
        <f>HYPERLINK("http://m.12365auto.com/zjdy/20200204/121002.shtml","http://m.12365auto.com/zjdy/20200204/121002.shtml")</f>
        <v>http://m.12365auto.com/zjdy/20200204/121002.shtml</v>
      </c>
      <c r="G12366" s="2"/>
      <c r="H12366" s="2" t="s">
        <v>16478</v>
      </c>
      <c r="I12366" s="2" t="s">
        <v>19</v>
      </c>
      <c r="J12366" s="2" t="s">
        <v>12</v>
      </c>
      <c r="K12366" s="2" t="s">
        <v>16479</v>
      </c>
      <c r="L12366" s="2">
        <f t="shared" si="193"/>
        <v>55</v>
      </c>
    </row>
    <row r="12367" spans="1:12" ht="25" customHeight="1">
      <c r="A12367" s="2" t="s">
        <v>12</v>
      </c>
      <c r="B12367" s="2" t="str">
        <f>HYPERLINK("http://www.12365auto.com/news/20200204/417654.shtml","出行有新招 滴滴将共享电动车开到国外")</f>
        <v>出行有新招 滴滴将共享电动车开到国外</v>
      </c>
      <c r="C12367" s="2" t="s">
        <v>13</v>
      </c>
      <c r="D12367" s="2" t="s">
        <v>12</v>
      </c>
      <c r="E12367" s="2" t="s">
        <v>282</v>
      </c>
      <c r="F12367" s="2" t="str">
        <f>HYPERLINK("http://www.12365auto.com/news/20200204/417654.shtml","http://www.12365auto.com/news/20200204/417654.shtml")</f>
        <v>http://www.12365auto.com/news/20200204/417654.shtml</v>
      </c>
      <c r="G12367" s="2"/>
      <c r="H12367" s="2" t="s">
        <v>16480</v>
      </c>
      <c r="I12367" s="2" t="s">
        <v>19</v>
      </c>
      <c r="J12367" s="2" t="s">
        <v>12</v>
      </c>
      <c r="K12367" s="2" t="s">
        <v>16481</v>
      </c>
      <c r="L12367" s="2">
        <f t="shared" si="193"/>
        <v>150</v>
      </c>
    </row>
    <row r="12368" spans="1:12" ht="25" customHeight="1">
      <c r="A12368" s="2" t="s">
        <v>12</v>
      </c>
      <c r="B12368" s="2" t="str">
        <f>HYPERLINK("http://m.12365auto.com/xcdg/20200204/417654.shtml","出行有新招 滴滴将共享电动车开到国外")</f>
        <v>出行有新招 滴滴将共享电动车开到国外</v>
      </c>
      <c r="C12368" s="2" t="s">
        <v>13</v>
      </c>
      <c r="D12368" s="2" t="s">
        <v>12</v>
      </c>
      <c r="E12368" s="2"/>
      <c r="F12368" s="2" t="str">
        <f>HYPERLINK("http://m.12365auto.com/xcdg/20200204/417654.shtml","http://m.12365auto.com/xcdg/20200204/417654.shtml")</f>
        <v>http://m.12365auto.com/xcdg/20200204/417654.shtml</v>
      </c>
      <c r="G12368" s="2"/>
      <c r="H12368" s="2" t="s">
        <v>16482</v>
      </c>
      <c r="I12368" s="2" t="s">
        <v>19</v>
      </c>
      <c r="J12368" s="2" t="s">
        <v>1543</v>
      </c>
      <c r="K12368" s="2" t="s">
        <v>16481</v>
      </c>
      <c r="L12368" s="2">
        <f t="shared" si="193"/>
        <v>150</v>
      </c>
    </row>
    <row r="12369" spans="1:12" ht="25" customHeight="1">
      <c r="A12369" s="2" t="s">
        <v>12</v>
      </c>
      <c r="B12369" s="2" t="str">
        <f>HYPERLINK("http://www.12365auto.com/xcdg/20200204/417654.shtml","出行有新招 滴滴将共享电动车开到国外")</f>
        <v>出行有新招 滴滴将共享电动车开到国外</v>
      </c>
      <c r="C12369" s="2" t="s">
        <v>13</v>
      </c>
      <c r="D12369" s="2" t="s">
        <v>12</v>
      </c>
      <c r="E12369" s="2" t="s">
        <v>245</v>
      </c>
      <c r="F12369" s="2" t="str">
        <f>HYPERLINK("http://www.12365auto.com/xcdg/20200204/417654.shtml","http://www.12365auto.com/xcdg/20200204/417654.shtml")</f>
        <v>http://www.12365auto.com/xcdg/20200204/417654.shtml</v>
      </c>
      <c r="G12369" s="2"/>
      <c r="H12369" s="2" t="s">
        <v>16480</v>
      </c>
      <c r="I12369" s="2" t="s">
        <v>19</v>
      </c>
      <c r="J12369" s="2" t="s">
        <v>12</v>
      </c>
      <c r="K12369" s="2" t="s">
        <v>16481</v>
      </c>
      <c r="L12369" s="2">
        <f t="shared" si="193"/>
        <v>150</v>
      </c>
    </row>
    <row r="12370" spans="1:12" ht="25" customHeight="1">
      <c r="A12370" s="2" t="s">
        <v>12</v>
      </c>
      <c r="B12370" s="2" t="str">
        <f>HYPERLINK("http://www.12365auto.com/xcdg/20200204/417653.shtml","较丰富 曝新款斯柯达昕锐/昕动部分配置")</f>
        <v>较丰富 曝新款斯柯达昕锐/昕动部分配置</v>
      </c>
      <c r="C12370" s="2" t="s">
        <v>13</v>
      </c>
      <c r="D12370" s="2" t="s">
        <v>12</v>
      </c>
      <c r="E12370" s="2" t="s">
        <v>216</v>
      </c>
      <c r="F12370" s="2" t="str">
        <f>HYPERLINK("http://www.12365auto.com/xcdg/20200204/417653.shtml","http://www.12365auto.com/xcdg/20200204/417653.shtml")</f>
        <v>http://www.12365auto.com/xcdg/20200204/417653.shtml</v>
      </c>
      <c r="G12370" s="2"/>
      <c r="H12370" s="2" t="s">
        <v>16483</v>
      </c>
      <c r="I12370" s="2" t="s">
        <v>15</v>
      </c>
      <c r="J12370" s="2" t="s">
        <v>12</v>
      </c>
      <c r="K12370" s="2" t="s">
        <v>16484</v>
      </c>
      <c r="L12370" s="2">
        <f t="shared" si="193"/>
        <v>150</v>
      </c>
    </row>
    <row r="12371" spans="1:12" ht="25" customHeight="1">
      <c r="A12371" s="2" t="s">
        <v>12</v>
      </c>
      <c r="B12371" s="2" t="str">
        <f>HYPERLINK("http://m.12365auto.com/xcdg/20200204/417653.shtml","较丰富 曝新款斯柯达昕锐/昕动部分配置")</f>
        <v>较丰富 曝新款斯柯达昕锐/昕动部分配置</v>
      </c>
      <c r="C12371" s="2" t="s">
        <v>13</v>
      </c>
      <c r="D12371" s="2" t="s">
        <v>12</v>
      </c>
      <c r="E12371" s="2"/>
      <c r="F12371" s="2" t="str">
        <f>HYPERLINK("http://m.12365auto.com/xcdg/20200204/417653.shtml","http://m.12365auto.com/xcdg/20200204/417653.shtml")</f>
        <v>http://m.12365auto.com/xcdg/20200204/417653.shtml</v>
      </c>
      <c r="G12371" s="2"/>
      <c r="H12371" s="2" t="s">
        <v>16485</v>
      </c>
      <c r="I12371" s="2" t="s">
        <v>19</v>
      </c>
      <c r="J12371" s="2" t="s">
        <v>836</v>
      </c>
      <c r="K12371" s="2" t="s">
        <v>16484</v>
      </c>
      <c r="L12371" s="2">
        <f t="shared" si="193"/>
        <v>150</v>
      </c>
    </row>
    <row r="12372" spans="1:12" ht="25" customHeight="1">
      <c r="A12372" s="2" t="s">
        <v>12</v>
      </c>
      <c r="B12372" s="2" t="str">
        <f>HYPERLINK("http://m.12365auto.com/xcdg/20200204/417652.shtml","外观细节变化 全新大众T7最新谍照曝光")</f>
        <v>外观细节变化 全新大众T7最新谍照曝光</v>
      </c>
      <c r="C12372" s="2" t="s">
        <v>13</v>
      </c>
      <c r="D12372" s="2" t="s">
        <v>12</v>
      </c>
      <c r="E12372" s="2"/>
      <c r="F12372" s="2" t="str">
        <f>HYPERLINK("http://m.12365auto.com/xcdg/20200204/417652.shtml","http://m.12365auto.com/xcdg/20200204/417652.shtml")</f>
        <v>http://m.12365auto.com/xcdg/20200204/417652.shtml</v>
      </c>
      <c r="G12372" s="2"/>
      <c r="H12372" s="2" t="s">
        <v>16486</v>
      </c>
      <c r="I12372" s="2" t="s">
        <v>19</v>
      </c>
      <c r="J12372" s="2" t="s">
        <v>836</v>
      </c>
      <c r="K12372" s="2" t="s">
        <v>16487</v>
      </c>
      <c r="L12372" s="2">
        <f t="shared" si="193"/>
        <v>150</v>
      </c>
    </row>
    <row r="12373" spans="1:12" ht="25" customHeight="1">
      <c r="A12373" s="2" t="s">
        <v>12</v>
      </c>
      <c r="B12373" s="2" t="str">
        <f>HYPERLINK("http://www.12365auto.com/xcdg/20200204/417652.shtml","外观细节变化 全新大众T7最新谍照曝光")</f>
        <v>外观细节变化 全新大众T7最新谍照曝光</v>
      </c>
      <c r="C12373" s="2" t="s">
        <v>13</v>
      </c>
      <c r="D12373" s="2" t="s">
        <v>12</v>
      </c>
      <c r="E12373" s="2" t="s">
        <v>224</v>
      </c>
      <c r="F12373" s="2" t="str">
        <f>HYPERLINK("http://www.12365auto.com/xcdg/20200204/417652.shtml","http://www.12365auto.com/xcdg/20200204/417652.shtml")</f>
        <v>http://www.12365auto.com/xcdg/20200204/417652.shtml</v>
      </c>
      <c r="G12373" s="2"/>
      <c r="H12373" s="2" t="s">
        <v>16488</v>
      </c>
      <c r="I12373" s="2" t="s">
        <v>15</v>
      </c>
      <c r="J12373" s="2" t="s">
        <v>12</v>
      </c>
      <c r="K12373" s="2" t="s">
        <v>16487</v>
      </c>
      <c r="L12373" s="2">
        <f t="shared" si="193"/>
        <v>150</v>
      </c>
    </row>
    <row r="12374" spans="1:12" ht="25" customHeight="1">
      <c r="A12374" s="2" t="s">
        <v>12</v>
      </c>
      <c r="B12374" s="2" t="str">
        <f>HYPERLINK("http://m.12365auto.com/news/20200204/417651.shtml","计划提前5年 英国拟2035年禁售燃油车")</f>
        <v>计划提前5年 英国拟2035年禁售燃油车</v>
      </c>
      <c r="C12374" s="2" t="s">
        <v>13</v>
      </c>
      <c r="D12374" s="2" t="s">
        <v>12</v>
      </c>
      <c r="E12374" s="2"/>
      <c r="F12374" s="2" t="str">
        <f>HYPERLINK("http://m.12365auto.com/news/20200204/417651.shtml","http://m.12365auto.com/news/20200204/417651.shtml")</f>
        <v>http://m.12365auto.com/news/20200204/417651.shtml</v>
      </c>
      <c r="G12374" s="2"/>
      <c r="H12374" s="2" t="s">
        <v>16489</v>
      </c>
      <c r="I12374" s="2" t="s">
        <v>19</v>
      </c>
      <c r="J12374" s="2" t="s">
        <v>1643</v>
      </c>
      <c r="K12374" s="2" t="s">
        <v>16490</v>
      </c>
      <c r="L12374" s="2">
        <f t="shared" si="193"/>
        <v>150</v>
      </c>
    </row>
    <row r="12375" spans="1:12" ht="25" customHeight="1">
      <c r="A12375" s="2" t="s">
        <v>12</v>
      </c>
      <c r="B12375" s="2" t="str">
        <f>HYPERLINK("http://www.12365auto.com/news/20200204/417651.shtml","计划提前5年 英国拟2035年禁售燃油车")</f>
        <v>计划提前5年 英国拟2035年禁售燃油车</v>
      </c>
      <c r="C12375" s="2" t="s">
        <v>13</v>
      </c>
      <c r="D12375" s="2" t="s">
        <v>12</v>
      </c>
      <c r="E12375" s="2" t="s">
        <v>276</v>
      </c>
      <c r="F12375" s="2" t="str">
        <f>HYPERLINK("http://www.12365auto.com/news/20200204/417651.shtml","http://www.12365auto.com/news/20200204/417651.shtml")</f>
        <v>http://www.12365auto.com/news/20200204/417651.shtml</v>
      </c>
      <c r="G12375" s="2"/>
      <c r="H12375" s="2" t="s">
        <v>16491</v>
      </c>
      <c r="I12375" s="2" t="s">
        <v>15</v>
      </c>
      <c r="J12375" s="2" t="s">
        <v>12</v>
      </c>
      <c r="K12375" s="2" t="s">
        <v>16490</v>
      </c>
      <c r="L12375" s="2">
        <f t="shared" si="193"/>
        <v>150</v>
      </c>
    </row>
    <row r="12376" spans="1:12" ht="25" customHeight="1">
      <c r="A12376" s="2" t="s">
        <v>12</v>
      </c>
      <c r="B12376" s="2" t="str">
        <f>HYPERLINK("http://m.12365auto.com/zjdy/20200204/121001.shtml","东风风神AX7系统故障是怎么回事？")</f>
        <v>东风风神AX7系统故障是怎么回事？</v>
      </c>
      <c r="C12376" s="2" t="s">
        <v>13</v>
      </c>
      <c r="D12376" s="2" t="s">
        <v>12</v>
      </c>
      <c r="E12376" s="2"/>
      <c r="F12376" s="2" t="str">
        <f>HYPERLINK("http://m.12365auto.com/zjdy/20200204/121001.shtml","http://m.12365auto.com/zjdy/20200204/121001.shtml")</f>
        <v>http://m.12365auto.com/zjdy/20200204/121001.shtml</v>
      </c>
      <c r="G12376" s="2"/>
      <c r="H12376" s="2" t="s">
        <v>16492</v>
      </c>
      <c r="I12376" s="2" t="s">
        <v>19</v>
      </c>
      <c r="J12376" s="2" t="s">
        <v>12</v>
      </c>
      <c r="K12376" s="2" t="s">
        <v>16493</v>
      </c>
      <c r="L12376" s="2">
        <f t="shared" si="193"/>
        <v>74</v>
      </c>
    </row>
    <row r="12377" spans="1:12" ht="25" customHeight="1">
      <c r="A12377" s="2" t="s">
        <v>12</v>
      </c>
      <c r="B12377" s="2" t="str">
        <f>HYPERLINK("http://m.12365auto.com/xcdg/20200204/417650.shtml","全新索纳塔混动版将于芝加哥车展发布")</f>
        <v>全新索纳塔混动版将于芝加哥车展发布</v>
      </c>
      <c r="C12377" s="2" t="s">
        <v>13</v>
      </c>
      <c r="D12377" s="2" t="s">
        <v>12</v>
      </c>
      <c r="E12377" s="2"/>
      <c r="F12377" s="2" t="str">
        <f>HYPERLINK("http://m.12365auto.com/xcdg/20200204/417650.shtml","http://m.12365auto.com/xcdg/20200204/417650.shtml")</f>
        <v>http://m.12365auto.com/xcdg/20200204/417650.shtml</v>
      </c>
      <c r="G12377" s="2"/>
      <c r="H12377" s="2" t="s">
        <v>16494</v>
      </c>
      <c r="I12377" s="2" t="s">
        <v>19</v>
      </c>
      <c r="J12377" s="2" t="s">
        <v>295</v>
      </c>
      <c r="K12377" s="2" t="s">
        <v>16495</v>
      </c>
      <c r="L12377" s="2">
        <f t="shared" si="193"/>
        <v>150</v>
      </c>
    </row>
    <row r="12378" spans="1:12" ht="25" customHeight="1">
      <c r="A12378" s="2" t="s">
        <v>12</v>
      </c>
      <c r="B12378" s="2" t="str">
        <f>HYPERLINK("http://www.12365auto.com/xcdg/20200204/417650.shtml","全新索纳塔混动版将于芝加哥车展发布")</f>
        <v>全新索纳塔混动版将于芝加哥车展发布</v>
      </c>
      <c r="C12378" s="2" t="s">
        <v>13</v>
      </c>
      <c r="D12378" s="2" t="s">
        <v>12</v>
      </c>
      <c r="E12378" s="2" t="s">
        <v>216</v>
      </c>
      <c r="F12378" s="2" t="str">
        <f>HYPERLINK("http://www.12365auto.com/xcdg/20200204/417650.shtml","http://www.12365auto.com/xcdg/20200204/417650.shtml")</f>
        <v>http://www.12365auto.com/xcdg/20200204/417650.shtml</v>
      </c>
      <c r="G12378" s="2"/>
      <c r="H12378" s="2" t="s">
        <v>16496</v>
      </c>
      <c r="I12378" s="2" t="s">
        <v>15</v>
      </c>
      <c r="J12378" s="2" t="s">
        <v>12</v>
      </c>
      <c r="K12378" s="2" t="s">
        <v>16495</v>
      </c>
      <c r="L12378" s="2">
        <f t="shared" si="193"/>
        <v>150</v>
      </c>
    </row>
    <row r="12379" spans="1:12" ht="25" customHeight="1">
      <c r="A12379" s="2" t="s">
        <v>12</v>
      </c>
      <c r="B12379" s="2" t="str">
        <f>HYPERLINK("http://m.12365auto.com/xcdg/20200204/417649.shtml","家族设计风格 曝全新起亚索兰托实车")</f>
        <v>家族设计风格 曝全新起亚索兰托实车</v>
      </c>
      <c r="C12379" s="2" t="s">
        <v>13</v>
      </c>
      <c r="D12379" s="2" t="s">
        <v>12</v>
      </c>
      <c r="E12379" s="2"/>
      <c r="F12379" s="2" t="str">
        <f>HYPERLINK("http://m.12365auto.com/xcdg/20200204/417649.shtml","http://m.12365auto.com/xcdg/20200204/417649.shtml")</f>
        <v>http://m.12365auto.com/xcdg/20200204/417649.shtml</v>
      </c>
      <c r="G12379" s="2"/>
      <c r="H12379" s="2" t="s">
        <v>16497</v>
      </c>
      <c r="I12379" s="2" t="s">
        <v>19</v>
      </c>
      <c r="J12379" s="2" t="s">
        <v>338</v>
      </c>
      <c r="K12379" s="2" t="s">
        <v>16498</v>
      </c>
      <c r="L12379" s="2">
        <f t="shared" si="193"/>
        <v>150</v>
      </c>
    </row>
    <row r="12380" spans="1:12" ht="25" customHeight="1">
      <c r="A12380" s="2" t="s">
        <v>12</v>
      </c>
      <c r="B12380" s="2" t="str">
        <f>HYPERLINK("http://www.12365auto.com/xcdg/20200204/417649.shtml","家族设计风格 曝全新起亚索兰托实车")</f>
        <v>家族设计风格 曝全新起亚索兰托实车</v>
      </c>
      <c r="C12380" s="2" t="s">
        <v>13</v>
      </c>
      <c r="D12380" s="2" t="s">
        <v>12</v>
      </c>
      <c r="E12380" s="2" t="s">
        <v>216</v>
      </c>
      <c r="F12380" s="2" t="str">
        <f>HYPERLINK("http://www.12365auto.com/xcdg/20200204/417649.shtml","http://www.12365auto.com/xcdg/20200204/417649.shtml")</f>
        <v>http://www.12365auto.com/xcdg/20200204/417649.shtml</v>
      </c>
      <c r="G12380" s="2"/>
      <c r="H12380" s="2" t="s">
        <v>16499</v>
      </c>
      <c r="I12380" s="2" t="s">
        <v>15</v>
      </c>
      <c r="J12380" s="2" t="s">
        <v>12</v>
      </c>
      <c r="K12380" s="2" t="s">
        <v>16498</v>
      </c>
      <c r="L12380" s="2">
        <f t="shared" si="193"/>
        <v>150</v>
      </c>
    </row>
    <row r="12381" spans="1:12" ht="25" customHeight="1">
      <c r="A12381" s="2" t="s">
        <v>12</v>
      </c>
      <c r="B12381" s="2" t="str">
        <f>HYPERLINK("http://www.12365auto.com/zlts/20200204/446290.shtml","宝骏560挂挡后无任何动力一直未解决")</f>
        <v>宝骏560挂挡后无任何动力一直未解决</v>
      </c>
      <c r="C12381" s="2" t="s">
        <v>13</v>
      </c>
      <c r="D12381" s="2" t="s">
        <v>12</v>
      </c>
      <c r="E12381" s="2" t="s">
        <v>17</v>
      </c>
      <c r="F12381" s="2" t="str">
        <f>HYPERLINK("http://www.12365auto.com/zlts/20200204/446290.shtml","http://www.12365auto.com/zlts/20200204/446290.shtml")</f>
        <v>http://www.12365auto.com/zlts/20200204/446290.shtml</v>
      </c>
      <c r="G12381" s="2"/>
      <c r="H12381" s="2" t="s">
        <v>16500</v>
      </c>
      <c r="I12381" s="2" t="s">
        <v>15</v>
      </c>
      <c r="J12381" s="2" t="s">
        <v>12</v>
      </c>
      <c r="K12381" s="2" t="s">
        <v>16498</v>
      </c>
      <c r="L12381" s="2">
        <f t="shared" si="193"/>
        <v>150</v>
      </c>
    </row>
    <row r="12382" spans="1:12" ht="25" customHeight="1">
      <c r="A12382" s="2" t="s">
        <v>12</v>
      </c>
      <c r="B12382" s="2" t="str">
        <f>HYPERLINK("http://m.12365auto.com/zjdy/20200203/121000.shtml","日产骊威汽车电磁阀故障如何解决？")</f>
        <v>日产骊威汽车电磁阀故障如何解决？</v>
      </c>
      <c r="C12382" s="2" t="s">
        <v>13</v>
      </c>
      <c r="D12382" s="2" t="s">
        <v>12</v>
      </c>
      <c r="E12382" s="2"/>
      <c r="F12382" s="2" t="str">
        <f>HYPERLINK("http://m.12365auto.com/zjdy/20200203/121000.shtml","http://m.12365auto.com/zjdy/20200203/121000.shtml")</f>
        <v>http://m.12365auto.com/zjdy/20200203/121000.shtml</v>
      </c>
      <c r="G12382" s="2"/>
      <c r="H12382" s="2" t="s">
        <v>16501</v>
      </c>
      <c r="I12382" s="2" t="s">
        <v>19</v>
      </c>
      <c r="J12382" s="2" t="s">
        <v>12</v>
      </c>
      <c r="K12382" s="2" t="s">
        <v>16502</v>
      </c>
      <c r="L12382" s="2">
        <f t="shared" si="193"/>
        <v>31</v>
      </c>
    </row>
    <row r="12383" spans="1:12" ht="25" customHeight="1">
      <c r="A12383" s="2" t="s">
        <v>12</v>
      </c>
      <c r="B12383" s="2" t="str">
        <f>HYPERLINK("http://bbs.12365auto.com/postcontent.aspx?tId=193250","法拉利首款SUV渲染图")</f>
        <v>法拉利首款SUV渲染图</v>
      </c>
      <c r="C12383" s="2" t="s">
        <v>13</v>
      </c>
      <c r="D12383" s="2" t="s">
        <v>12</v>
      </c>
      <c r="E12383" s="2" t="s">
        <v>27</v>
      </c>
      <c r="F12383" s="2" t="str">
        <f>HYPERLINK("http://bbs.12365auto.com/postcontent.aspx?tId=193250","http://bbs.12365auto.com/postcontent.aspx?tId=193250")</f>
        <v>http://bbs.12365auto.com/postcontent.aspx?tId=193250</v>
      </c>
      <c r="G12383" s="2"/>
      <c r="H12383" s="2" t="s">
        <v>16503</v>
      </c>
      <c r="I12383" s="2" t="s">
        <v>15</v>
      </c>
      <c r="J12383" s="2" t="s">
        <v>616</v>
      </c>
      <c r="K12383" s="2" t="s">
        <v>16504</v>
      </c>
      <c r="L12383" s="2">
        <f t="shared" si="193"/>
        <v>150</v>
      </c>
    </row>
    <row r="12384" spans="1:12" ht="25" customHeight="1">
      <c r="A12384" s="2" t="s">
        <v>12</v>
      </c>
      <c r="B12384" s="2" t="str">
        <f>HYPERLINK("http://m.12365auto.com/news/20200204/417648.shtml","利润3.18亿英镑 捷豹路虎第三财季盈利")</f>
        <v>利润3.18亿英镑 捷豹路虎第三财季盈利</v>
      </c>
      <c r="C12384" s="2" t="s">
        <v>13</v>
      </c>
      <c r="D12384" s="2" t="s">
        <v>12</v>
      </c>
      <c r="E12384" s="2"/>
      <c r="F12384" s="2" t="str">
        <f>HYPERLINK("http://m.12365auto.com/news/20200204/417648.shtml","http://m.12365auto.com/news/20200204/417648.shtml")</f>
        <v>http://m.12365auto.com/news/20200204/417648.shtml</v>
      </c>
      <c r="G12384" s="2"/>
      <c r="H12384" s="2" t="s">
        <v>16505</v>
      </c>
      <c r="I12384" s="2" t="s">
        <v>19</v>
      </c>
      <c r="J12384" s="2" t="s">
        <v>274</v>
      </c>
      <c r="K12384" s="2" t="s">
        <v>16504</v>
      </c>
      <c r="L12384" s="2">
        <f t="shared" si="193"/>
        <v>150</v>
      </c>
    </row>
    <row r="12385" spans="1:12" ht="25" customHeight="1">
      <c r="A12385" s="2" t="s">
        <v>12</v>
      </c>
      <c r="B12385" s="2" t="str">
        <f>HYPERLINK("http://m.12365auto.com/bbs/postcontent.aspx?tID=193250","法拉利首款SUV渲染图")</f>
        <v>法拉利首款SUV渲染图</v>
      </c>
      <c r="C12385" s="2" t="s">
        <v>13</v>
      </c>
      <c r="D12385" s="2" t="s">
        <v>23</v>
      </c>
      <c r="E12385" s="2"/>
      <c r="F12385" s="2" t="str">
        <f>HYPERLINK("http://m.12365auto.com/bbs/postcontent.aspx?tID=193250","http://m.12365auto.com/bbs/postcontent.aspx?tID=193250")</f>
        <v>http://m.12365auto.com/bbs/postcontent.aspx?tID=193250</v>
      </c>
      <c r="G12385" s="2"/>
      <c r="H12385" s="2" t="s">
        <v>16503</v>
      </c>
      <c r="I12385" s="2" t="s">
        <v>15</v>
      </c>
      <c r="J12385" s="2" t="s">
        <v>616</v>
      </c>
      <c r="K12385" s="2" t="s">
        <v>16504</v>
      </c>
      <c r="L12385" s="2">
        <f t="shared" si="193"/>
        <v>150</v>
      </c>
    </row>
    <row r="12386" spans="1:12" ht="25" customHeight="1">
      <c r="A12386" s="2" t="s">
        <v>12</v>
      </c>
      <c r="B12386" s="2" t="str">
        <f>HYPERLINK("http://www.12365auto.com/news/20200204/417648.shtml","利润3.18亿英镑 捷豹路虎第三财季盈利")</f>
        <v>利润3.18亿英镑 捷豹路虎第三财季盈利</v>
      </c>
      <c r="C12386" s="2" t="s">
        <v>13</v>
      </c>
      <c r="D12386" s="2" t="s">
        <v>12</v>
      </c>
      <c r="E12386" s="2" t="s">
        <v>276</v>
      </c>
      <c r="F12386" s="2" t="str">
        <f>HYPERLINK("http://www.12365auto.com/news/20200204/417648.shtml","http://www.12365auto.com/news/20200204/417648.shtml")</f>
        <v>http://www.12365auto.com/news/20200204/417648.shtml</v>
      </c>
      <c r="G12386" s="2"/>
      <c r="H12386" s="2" t="s">
        <v>16506</v>
      </c>
      <c r="I12386" s="2" t="s">
        <v>15</v>
      </c>
      <c r="J12386" s="2" t="s">
        <v>12</v>
      </c>
      <c r="K12386" s="2" t="s">
        <v>16504</v>
      </c>
      <c r="L12386" s="2">
        <f t="shared" si="193"/>
        <v>150</v>
      </c>
    </row>
    <row r="12387" spans="1:12" ht="25" customHeight="1">
      <c r="A12387" s="2" t="s">
        <v>12</v>
      </c>
      <c r="B12387" s="2" t="str">
        <f>HYPERLINK("http://bbs.12365auto.com/postcontent.aspx?tID=193250","法拉利首款SUV渲染图")</f>
        <v>法拉利首款SUV渲染图</v>
      </c>
      <c r="C12387" s="2" t="s">
        <v>13</v>
      </c>
      <c r="D12387" s="2" t="s">
        <v>12</v>
      </c>
      <c r="E12387" s="2" t="s">
        <v>28</v>
      </c>
      <c r="F12387" s="2" t="str">
        <f>HYPERLINK("http://bbs.12365auto.com/postcontent.aspx?tID=193250","http://bbs.12365auto.com/postcontent.aspx?tID=193250")</f>
        <v>http://bbs.12365auto.com/postcontent.aspx?tID=193250</v>
      </c>
      <c r="G12387" s="2"/>
      <c r="H12387" s="2" t="s">
        <v>16507</v>
      </c>
      <c r="I12387" s="2" t="s">
        <v>15</v>
      </c>
      <c r="J12387" s="2" t="s">
        <v>616</v>
      </c>
      <c r="K12387" s="2" t="s">
        <v>16504</v>
      </c>
      <c r="L12387" s="2">
        <f t="shared" si="193"/>
        <v>150</v>
      </c>
    </row>
    <row r="12388" spans="1:12" ht="25" customHeight="1">
      <c r="A12388" s="2" t="s">
        <v>12</v>
      </c>
      <c r="B12388" s="2" t="str">
        <f>HYPERLINK("http://bbs.12365auto.com/postcontent.aspx?tId=193249","这才是真正的马自达")</f>
        <v>这才是真正的马自达</v>
      </c>
      <c r="C12388" s="2" t="s">
        <v>13</v>
      </c>
      <c r="D12388" s="2" t="s">
        <v>12</v>
      </c>
      <c r="E12388" s="2" t="s">
        <v>27</v>
      </c>
      <c r="F12388" s="2" t="str">
        <f>HYPERLINK("http://bbs.12365auto.com/postcontent.aspx?tId=193249","http://bbs.12365auto.com/postcontent.aspx?tId=193249")</f>
        <v>http://bbs.12365auto.com/postcontent.aspx?tId=193249</v>
      </c>
      <c r="G12388" s="2"/>
      <c r="H12388" s="2" t="s">
        <v>2934</v>
      </c>
      <c r="I12388" s="2" t="s">
        <v>15</v>
      </c>
      <c r="J12388" s="2" t="s">
        <v>616</v>
      </c>
      <c r="K12388" s="2" t="s">
        <v>16508</v>
      </c>
      <c r="L12388" s="2">
        <f t="shared" si="193"/>
        <v>150</v>
      </c>
    </row>
    <row r="12389" spans="1:12" ht="25" customHeight="1">
      <c r="A12389" s="2" t="s">
        <v>12</v>
      </c>
      <c r="B12389" s="2" t="str">
        <f>HYPERLINK("http://bbs.12365auto.com/postcontent.aspx?tId=193248","全新保时捷911 GT3低调曝光")</f>
        <v>全新保时捷911 GT3低调曝光</v>
      </c>
      <c r="C12389" s="2" t="s">
        <v>13</v>
      </c>
      <c r="D12389" s="2" t="s">
        <v>12</v>
      </c>
      <c r="E12389" s="2" t="s">
        <v>27</v>
      </c>
      <c r="F12389" s="2" t="str">
        <f>HYPERLINK("http://bbs.12365auto.com/postcontent.aspx?tId=193248","http://bbs.12365auto.com/postcontent.aspx?tId=193248")</f>
        <v>http://bbs.12365auto.com/postcontent.aspx?tId=193248</v>
      </c>
      <c r="G12389" s="2"/>
      <c r="H12389" s="2" t="s">
        <v>16509</v>
      </c>
      <c r="I12389" s="2" t="s">
        <v>15</v>
      </c>
      <c r="J12389" s="2" t="s">
        <v>616</v>
      </c>
      <c r="K12389" s="2" t="s">
        <v>16508</v>
      </c>
      <c r="L12389" s="2">
        <f t="shared" si="193"/>
        <v>150</v>
      </c>
    </row>
    <row r="12390" spans="1:12" ht="25" customHeight="1">
      <c r="A12390" s="2" t="s">
        <v>12</v>
      </c>
      <c r="B12390" s="2" t="str">
        <f>HYPERLINK("http://m.12365auto.com/bbs/postcontent.aspx?tID=193249","这才是真正的马自达")</f>
        <v>这才是真正的马自达</v>
      </c>
      <c r="C12390" s="2" t="s">
        <v>13</v>
      </c>
      <c r="D12390" s="2" t="s">
        <v>23</v>
      </c>
      <c r="E12390" s="2"/>
      <c r="F12390" s="2" t="str">
        <f>HYPERLINK("http://m.12365auto.com/bbs/postcontent.aspx?tID=193249","http://m.12365auto.com/bbs/postcontent.aspx?tID=193249")</f>
        <v>http://m.12365auto.com/bbs/postcontent.aspx?tID=193249</v>
      </c>
      <c r="G12390" s="2"/>
      <c r="H12390" s="2" t="s">
        <v>2934</v>
      </c>
      <c r="I12390" s="2" t="s">
        <v>15</v>
      </c>
      <c r="J12390" s="2" t="s">
        <v>616</v>
      </c>
      <c r="K12390" s="2" t="s">
        <v>16508</v>
      </c>
      <c r="L12390" s="2">
        <f t="shared" si="193"/>
        <v>150</v>
      </c>
    </row>
    <row r="12391" spans="1:12" ht="25" customHeight="1">
      <c r="A12391" s="2" t="s">
        <v>12</v>
      </c>
      <c r="B12391" s="2" t="str">
        <f>HYPERLINK("http://m.12365auto.com/bbs/postcontent.aspx?tID=193248","全新保时捷911 GT3低调曝光")</f>
        <v>全新保时捷911 GT3低调曝光</v>
      </c>
      <c r="C12391" s="2" t="s">
        <v>13</v>
      </c>
      <c r="D12391" s="2" t="s">
        <v>23</v>
      </c>
      <c r="E12391" s="2"/>
      <c r="F12391" s="2" t="str">
        <f>HYPERLINK("http://m.12365auto.com/bbs/postcontent.aspx?tID=193248","http://m.12365auto.com/bbs/postcontent.aspx?tID=193248")</f>
        <v>http://m.12365auto.com/bbs/postcontent.aspx?tID=193248</v>
      </c>
      <c r="G12391" s="2"/>
      <c r="H12391" s="2" t="s">
        <v>16509</v>
      </c>
      <c r="I12391" s="2" t="s">
        <v>15</v>
      </c>
      <c r="J12391" s="2" t="s">
        <v>616</v>
      </c>
      <c r="K12391" s="2" t="s">
        <v>16508</v>
      </c>
      <c r="L12391" s="2">
        <f t="shared" si="193"/>
        <v>150</v>
      </c>
    </row>
    <row r="12392" spans="1:12" ht="25" customHeight="1">
      <c r="A12392" s="2" t="s">
        <v>12</v>
      </c>
      <c r="B12392" s="2" t="str">
        <f>HYPERLINK("http://bbs.12365auto.com/postcontent.aspx?tID=193248","全新保时捷911 GT3低调曝光")</f>
        <v>全新保时捷911 GT3低调曝光</v>
      </c>
      <c r="C12392" s="2" t="s">
        <v>13</v>
      </c>
      <c r="D12392" s="2" t="s">
        <v>12</v>
      </c>
      <c r="E12392" s="2" t="s">
        <v>28</v>
      </c>
      <c r="F12392" s="2" t="str">
        <f>HYPERLINK("http://bbs.12365auto.com/postcontent.aspx?tID=193248","http://bbs.12365auto.com/postcontent.aspx?tID=193248")</f>
        <v>http://bbs.12365auto.com/postcontent.aspx?tID=193248</v>
      </c>
      <c r="G12392" s="2"/>
      <c r="H12392" s="2" t="s">
        <v>16510</v>
      </c>
      <c r="I12392" s="2" t="s">
        <v>15</v>
      </c>
      <c r="J12392" s="2" t="s">
        <v>616</v>
      </c>
      <c r="K12392" s="2" t="s">
        <v>16508</v>
      </c>
      <c r="L12392" s="2">
        <f t="shared" si="193"/>
        <v>150</v>
      </c>
    </row>
    <row r="12393" spans="1:12" ht="25" customHeight="1">
      <c r="A12393" s="2" t="s">
        <v>12</v>
      </c>
      <c r="B12393" s="2" t="str">
        <f>HYPERLINK("http://bbs.12365auto.com/postcontent.aspx?tID=193249","这才是真正的马自达")</f>
        <v>这才是真正的马自达</v>
      </c>
      <c r="C12393" s="2" t="s">
        <v>13</v>
      </c>
      <c r="D12393" s="2" t="s">
        <v>12</v>
      </c>
      <c r="E12393" s="2" t="s">
        <v>28</v>
      </c>
      <c r="F12393" s="2" t="str">
        <f>HYPERLINK("http://bbs.12365auto.com/postcontent.aspx?tID=193249","http://bbs.12365auto.com/postcontent.aspx?tID=193249")</f>
        <v>http://bbs.12365auto.com/postcontent.aspx?tID=193249</v>
      </c>
      <c r="G12393" s="2"/>
      <c r="H12393" s="2" t="s">
        <v>16511</v>
      </c>
      <c r="I12393" s="2" t="s">
        <v>15</v>
      </c>
      <c r="J12393" s="2" t="s">
        <v>616</v>
      </c>
      <c r="K12393" s="2" t="s">
        <v>16508</v>
      </c>
      <c r="L12393" s="2">
        <f t="shared" si="193"/>
        <v>150</v>
      </c>
    </row>
    <row r="12394" spans="1:12" ht="25" customHeight="1">
      <c r="A12394" s="2" t="s">
        <v>12</v>
      </c>
      <c r="B12394" s="2" t="str">
        <f>HYPERLINK("http://m.12365auto.com/zjdy/20200203/120999.shtml","启辰1.6L手动挡跑120转速4000正常吗？")</f>
        <v>启辰1.6L手动挡跑120转速4000正常吗？</v>
      </c>
      <c r="C12394" s="2" t="s">
        <v>13</v>
      </c>
      <c r="D12394" s="2" t="s">
        <v>12</v>
      </c>
      <c r="E12394" s="2"/>
      <c r="F12394" s="2" t="str">
        <f>HYPERLINK("http://m.12365auto.com/zjdy/20200203/120999.shtml","http://m.12365auto.com/zjdy/20200203/120999.shtml")</f>
        <v>http://m.12365auto.com/zjdy/20200203/120999.shtml</v>
      </c>
      <c r="G12394" s="2"/>
      <c r="H12394" s="2" t="s">
        <v>16512</v>
      </c>
      <c r="I12394" s="2" t="s">
        <v>19</v>
      </c>
      <c r="J12394" s="2" t="s">
        <v>12</v>
      </c>
      <c r="K12394" s="2" t="s">
        <v>16513</v>
      </c>
      <c r="L12394" s="2">
        <f t="shared" si="193"/>
        <v>25</v>
      </c>
    </row>
    <row r="12395" spans="1:12" ht="25" customHeight="1">
      <c r="A12395" s="2" t="s">
        <v>12</v>
      </c>
      <c r="B12395" s="2" t="str">
        <f>HYPERLINK("http://bbs.12365auto.com/postcontent.aspx?tId=193247","480匹马力 搭载V型8缸新机车即将来袭")</f>
        <v>480匹马力 搭载V型8缸新机车即将来袭</v>
      </c>
      <c r="C12395" s="2" t="s">
        <v>13</v>
      </c>
      <c r="D12395" s="2" t="s">
        <v>12</v>
      </c>
      <c r="E12395" s="2" t="s">
        <v>27</v>
      </c>
      <c r="F12395" s="2" t="str">
        <f>HYPERLINK("http://bbs.12365auto.com/postcontent.aspx?tId=193247","http://bbs.12365auto.com/postcontent.aspx?tId=193247")</f>
        <v>http://bbs.12365auto.com/postcontent.aspx?tId=193247</v>
      </c>
      <c r="G12395" s="2"/>
      <c r="H12395" s="2" t="s">
        <v>16514</v>
      </c>
      <c r="I12395" s="2" t="s">
        <v>15</v>
      </c>
      <c r="J12395" s="2" t="s">
        <v>616</v>
      </c>
      <c r="K12395" s="2" t="s">
        <v>16515</v>
      </c>
      <c r="L12395" s="2">
        <f t="shared" si="193"/>
        <v>150</v>
      </c>
    </row>
    <row r="12396" spans="1:12" ht="25" customHeight="1">
      <c r="A12396" s="2" t="s">
        <v>12</v>
      </c>
      <c r="B12396" s="2" t="str">
        <f>HYPERLINK("http://www.12365auto.com/xcdg/20200204/417647.shtml","专为印度市场打造 大众Taigun正式发布")</f>
        <v>专为印度市场打造 大众Taigun正式发布</v>
      </c>
      <c r="C12396" s="2" t="s">
        <v>13</v>
      </c>
      <c r="D12396" s="2" t="s">
        <v>12</v>
      </c>
      <c r="E12396" s="2" t="s">
        <v>216</v>
      </c>
      <c r="F12396" s="2" t="str">
        <f>HYPERLINK("http://www.12365auto.com/xcdg/20200204/417647.shtml","http://www.12365auto.com/xcdg/20200204/417647.shtml")</f>
        <v>http://www.12365auto.com/xcdg/20200204/417647.shtml</v>
      </c>
      <c r="G12396" s="2"/>
      <c r="H12396" s="2" t="s">
        <v>16516</v>
      </c>
      <c r="I12396" s="2" t="s">
        <v>15</v>
      </c>
      <c r="J12396" s="2" t="s">
        <v>12</v>
      </c>
      <c r="K12396" s="2" t="s">
        <v>16515</v>
      </c>
      <c r="L12396" s="2">
        <f t="shared" si="193"/>
        <v>150</v>
      </c>
    </row>
    <row r="12397" spans="1:12" ht="25" customHeight="1">
      <c r="A12397" s="2" t="s">
        <v>12</v>
      </c>
      <c r="B12397" s="2" t="str">
        <f>HYPERLINK("http://m.12365auto.com/xcdg/20200204/417647.shtml","专为印度市场打造 大众Taigun正式发布")</f>
        <v>专为印度市场打造 大众Taigun正式发布</v>
      </c>
      <c r="C12397" s="2" t="s">
        <v>13</v>
      </c>
      <c r="D12397" s="2" t="s">
        <v>12</v>
      </c>
      <c r="E12397" s="2"/>
      <c r="F12397" s="2" t="str">
        <f>HYPERLINK("http://m.12365auto.com/xcdg/20200204/417647.shtml","http://m.12365auto.com/xcdg/20200204/417647.shtml")</f>
        <v>http://m.12365auto.com/xcdg/20200204/417647.shtml</v>
      </c>
      <c r="G12397" s="2"/>
      <c r="H12397" s="2" t="s">
        <v>16517</v>
      </c>
      <c r="I12397" s="2" t="s">
        <v>19</v>
      </c>
      <c r="J12397" s="2" t="s">
        <v>1637</v>
      </c>
      <c r="K12397" s="2" t="s">
        <v>16515</v>
      </c>
      <c r="L12397" s="2">
        <f t="shared" si="193"/>
        <v>150</v>
      </c>
    </row>
    <row r="12398" spans="1:12" ht="25" customHeight="1">
      <c r="A12398" s="2" t="s">
        <v>12</v>
      </c>
      <c r="B12398" s="2" t="str">
        <f>HYPERLINK("http://m.12365auto.com/bbs/postcontent.aspx?tID=193247","480匹马力 搭载V型8缸新机车即将来袭")</f>
        <v>480匹马力 搭载V型8缸新机车即将来袭</v>
      </c>
      <c r="C12398" s="2" t="s">
        <v>13</v>
      </c>
      <c r="D12398" s="2" t="s">
        <v>23</v>
      </c>
      <c r="E12398" s="2"/>
      <c r="F12398" s="2" t="str">
        <f>HYPERLINK("http://m.12365auto.com/bbs/postcontent.aspx?tID=193247","http://m.12365auto.com/bbs/postcontent.aspx?tID=193247")</f>
        <v>http://m.12365auto.com/bbs/postcontent.aspx?tID=193247</v>
      </c>
      <c r="G12398" s="2"/>
      <c r="H12398" s="2" t="s">
        <v>16514</v>
      </c>
      <c r="I12398" s="2" t="s">
        <v>15</v>
      </c>
      <c r="J12398" s="2" t="s">
        <v>616</v>
      </c>
      <c r="K12398" s="2" t="s">
        <v>16515</v>
      </c>
      <c r="L12398" s="2">
        <f t="shared" si="193"/>
        <v>150</v>
      </c>
    </row>
    <row r="12399" spans="1:12" ht="25" customHeight="1">
      <c r="A12399" s="2" t="s">
        <v>12</v>
      </c>
      <c r="B12399" s="2" t="str">
        <f>HYPERLINK("http://bbs.12365auto.com/postcontent.aspx?tID=193247","480匹马力 搭载V型8缸新机车即将来袭")</f>
        <v>480匹马力 搭载V型8缸新机车即将来袭</v>
      </c>
      <c r="C12399" s="2" t="s">
        <v>13</v>
      </c>
      <c r="D12399" s="2" t="s">
        <v>12</v>
      </c>
      <c r="E12399" s="2" t="s">
        <v>28</v>
      </c>
      <c r="F12399" s="2" t="str">
        <f>HYPERLINK("http://bbs.12365auto.com/postcontent.aspx?tID=193247","http://bbs.12365auto.com/postcontent.aspx?tID=193247")</f>
        <v>http://bbs.12365auto.com/postcontent.aspx?tID=193247</v>
      </c>
      <c r="G12399" s="2"/>
      <c r="H12399" s="2" t="s">
        <v>16518</v>
      </c>
      <c r="I12399" s="2" t="s">
        <v>15</v>
      </c>
      <c r="J12399" s="2" t="s">
        <v>616</v>
      </c>
      <c r="K12399" s="2" t="s">
        <v>16515</v>
      </c>
      <c r="L12399" s="2">
        <f t="shared" si="193"/>
        <v>150</v>
      </c>
    </row>
    <row r="12400" spans="1:12" ht="25" customHeight="1">
      <c r="A12400" s="2" t="s">
        <v>12</v>
      </c>
      <c r="B12400" s="2" t="str">
        <f>HYPERLINK("http://bbs.12365auto.com/postcontent.aspx?tId=193246","全新斯巴鲁Levorg STI Sport旅行车亮相")</f>
        <v>全新斯巴鲁Levorg STI Sport旅行车亮相</v>
      </c>
      <c r="C12400" s="2" t="s">
        <v>13</v>
      </c>
      <c r="D12400" s="2" t="s">
        <v>12</v>
      </c>
      <c r="E12400" s="2" t="s">
        <v>27</v>
      </c>
      <c r="F12400" s="2" t="str">
        <f>HYPERLINK("http://bbs.12365auto.com/postcontent.aspx?tId=193246","http://bbs.12365auto.com/postcontent.aspx?tId=193246")</f>
        <v>http://bbs.12365auto.com/postcontent.aspx?tId=193246</v>
      </c>
      <c r="G12400" s="2"/>
      <c r="H12400" s="2" t="s">
        <v>16519</v>
      </c>
      <c r="I12400" s="2" t="s">
        <v>15</v>
      </c>
      <c r="J12400" s="2" t="s">
        <v>616</v>
      </c>
      <c r="K12400" s="2" t="s">
        <v>16520</v>
      </c>
      <c r="L12400" s="2">
        <f t="shared" si="193"/>
        <v>150</v>
      </c>
    </row>
    <row r="12401" spans="1:12" ht="25" customHeight="1">
      <c r="A12401" s="2" t="s">
        <v>12</v>
      </c>
      <c r="B12401" s="2" t="str">
        <f>HYPERLINK("http://m.12365auto.com/bbs/postcontent.aspx?tID=193246","全新斯巴鲁Levorg STI Sport旅行车亮相")</f>
        <v>全新斯巴鲁Levorg STI Sport旅行车亮相</v>
      </c>
      <c r="C12401" s="2" t="s">
        <v>13</v>
      </c>
      <c r="D12401" s="2" t="s">
        <v>23</v>
      </c>
      <c r="E12401" s="2"/>
      <c r="F12401" s="2" t="str">
        <f>HYPERLINK("http://m.12365auto.com/bbs/postcontent.aspx?tID=193246","http://m.12365auto.com/bbs/postcontent.aspx?tID=193246")</f>
        <v>http://m.12365auto.com/bbs/postcontent.aspx?tID=193246</v>
      </c>
      <c r="G12401" s="2"/>
      <c r="H12401" s="2" t="s">
        <v>16519</v>
      </c>
      <c r="I12401" s="2" t="s">
        <v>15</v>
      </c>
      <c r="J12401" s="2" t="s">
        <v>616</v>
      </c>
      <c r="K12401" s="2" t="s">
        <v>16520</v>
      </c>
      <c r="L12401" s="2">
        <f t="shared" si="193"/>
        <v>150</v>
      </c>
    </row>
    <row r="12402" spans="1:12" ht="25" customHeight="1">
      <c r="A12402" s="2" t="s">
        <v>12</v>
      </c>
      <c r="B12402" s="2" t="str">
        <f>HYPERLINK("http://bbs.12365auto.com/postcontent.aspx?tID=193246","全新斯巴鲁Levorg STI Sport旅行车亮相")</f>
        <v>全新斯巴鲁Levorg STI Sport旅行车亮相</v>
      </c>
      <c r="C12402" s="2" t="s">
        <v>13</v>
      </c>
      <c r="D12402" s="2" t="s">
        <v>12</v>
      </c>
      <c r="E12402" s="2" t="s">
        <v>28</v>
      </c>
      <c r="F12402" s="2" t="str">
        <f>HYPERLINK("http://bbs.12365auto.com/postcontent.aspx?tID=193246","http://bbs.12365auto.com/postcontent.aspx?tID=193246")</f>
        <v>http://bbs.12365auto.com/postcontent.aspx?tID=193246</v>
      </c>
      <c r="G12402" s="2"/>
      <c r="H12402" s="2" t="s">
        <v>16521</v>
      </c>
      <c r="I12402" s="2" t="s">
        <v>15</v>
      </c>
      <c r="J12402" s="2" t="s">
        <v>616</v>
      </c>
      <c r="K12402" s="2" t="s">
        <v>16520</v>
      </c>
      <c r="L12402" s="2">
        <f t="shared" si="193"/>
        <v>150</v>
      </c>
    </row>
    <row r="12403" spans="1:12" ht="25" customHeight="1">
      <c r="A12403" s="2" t="s">
        <v>12</v>
      </c>
      <c r="B12403" s="2" t="str">
        <f>HYPERLINK("http://www.12365auto.com/xcdg/20200204/417646.shtml","来自巴西的“牧马人” Troller TX4发布")</f>
        <v>来自巴西的“牧马人” Troller TX4发布</v>
      </c>
      <c r="C12403" s="2" t="s">
        <v>13</v>
      </c>
      <c r="D12403" s="2" t="s">
        <v>12</v>
      </c>
      <c r="E12403" s="2" t="s">
        <v>245</v>
      </c>
      <c r="F12403" s="2" t="str">
        <f>HYPERLINK("http://www.12365auto.com/xcdg/20200204/417646.shtml","http://www.12365auto.com/xcdg/20200204/417646.shtml")</f>
        <v>http://www.12365auto.com/xcdg/20200204/417646.shtml</v>
      </c>
      <c r="G12403" s="2"/>
      <c r="H12403" s="2" t="s">
        <v>16522</v>
      </c>
      <c r="I12403" s="2" t="s">
        <v>19</v>
      </c>
      <c r="J12403" s="2" t="s">
        <v>12</v>
      </c>
      <c r="K12403" s="2" t="s">
        <v>16523</v>
      </c>
      <c r="L12403" s="2">
        <f t="shared" si="193"/>
        <v>150</v>
      </c>
    </row>
    <row r="12404" spans="1:12" ht="25" customHeight="1">
      <c r="A12404" s="2" t="s">
        <v>12</v>
      </c>
      <c r="B12404" s="2" t="str">
        <f>HYPERLINK("http://m.12365auto.com/xcdg/20200204/417646.shtml","来自巴西的“牧马人” Troller TX4发布")</f>
        <v>来自巴西的“牧马人” Troller TX4发布</v>
      </c>
      <c r="C12404" s="2" t="s">
        <v>13</v>
      </c>
      <c r="D12404" s="2" t="s">
        <v>12</v>
      </c>
      <c r="E12404" s="2"/>
      <c r="F12404" s="2" t="str">
        <f>HYPERLINK("http://m.12365auto.com/xcdg/20200204/417646.shtml","http://m.12365auto.com/xcdg/20200204/417646.shtml")</f>
        <v>http://m.12365auto.com/xcdg/20200204/417646.shtml</v>
      </c>
      <c r="G12404" s="2"/>
      <c r="H12404" s="2" t="s">
        <v>16524</v>
      </c>
      <c r="I12404" s="2" t="s">
        <v>19</v>
      </c>
      <c r="J12404" s="2" t="s">
        <v>1197</v>
      </c>
      <c r="K12404" s="2" t="s">
        <v>16523</v>
      </c>
      <c r="L12404" s="2">
        <f t="shared" si="193"/>
        <v>150</v>
      </c>
    </row>
    <row r="12405" spans="1:12" ht="25" customHeight="1">
      <c r="A12405" s="2" t="s">
        <v>12</v>
      </c>
      <c r="B12405" s="2" t="str">
        <f>HYPERLINK("http://m.12365auto.com/bbs/postcontent.aspx?tID=193245","2020年上市的3款MPV 一款刷新MPV豪华程度")</f>
        <v>2020年上市的3款MPV 一款刷新MPV豪华程度</v>
      </c>
      <c r="C12405" s="2" t="s">
        <v>13</v>
      </c>
      <c r="D12405" s="2" t="s">
        <v>23</v>
      </c>
      <c r="E12405" s="2"/>
      <c r="F12405" s="2" t="str">
        <f>HYPERLINK("http://m.12365auto.com/bbs/postcontent.aspx?tID=193245","http://m.12365auto.com/bbs/postcontent.aspx?tID=193245")</f>
        <v>http://m.12365auto.com/bbs/postcontent.aspx?tID=193245</v>
      </c>
      <c r="G12405" s="2"/>
      <c r="H12405" s="2" t="s">
        <v>16525</v>
      </c>
      <c r="I12405" s="2" t="s">
        <v>15</v>
      </c>
      <c r="J12405" s="2" t="s">
        <v>616</v>
      </c>
      <c r="K12405" s="2" t="s">
        <v>16526</v>
      </c>
      <c r="L12405" s="2">
        <f t="shared" si="193"/>
        <v>150</v>
      </c>
    </row>
    <row r="12406" spans="1:12" ht="25" customHeight="1">
      <c r="A12406" s="2" t="s">
        <v>12</v>
      </c>
      <c r="B12406" s="2" t="str">
        <f>HYPERLINK("http://bbs.12365auto.com/postcontent.aspx?tID=193245","2020年上市的3款MPV 一款刷新MPV豪华程度")</f>
        <v>2020年上市的3款MPV 一款刷新MPV豪华程度</v>
      </c>
      <c r="C12406" s="2" t="s">
        <v>13</v>
      </c>
      <c r="D12406" s="2" t="s">
        <v>12</v>
      </c>
      <c r="E12406" s="2" t="s">
        <v>28</v>
      </c>
      <c r="F12406" s="2" t="str">
        <f>HYPERLINK("http://bbs.12365auto.com/postcontent.aspx?tID=193245","http://bbs.12365auto.com/postcontent.aspx?tID=193245")</f>
        <v>http://bbs.12365auto.com/postcontent.aspx?tID=193245</v>
      </c>
      <c r="G12406" s="2"/>
      <c r="H12406" s="2" t="s">
        <v>16527</v>
      </c>
      <c r="I12406" s="2" t="s">
        <v>15</v>
      </c>
      <c r="J12406" s="2" t="s">
        <v>616</v>
      </c>
      <c r="K12406" s="2" t="s">
        <v>16526</v>
      </c>
      <c r="L12406" s="2">
        <f t="shared" si="193"/>
        <v>150</v>
      </c>
    </row>
    <row r="12407" spans="1:12" ht="25" customHeight="1">
      <c r="A12407" s="2" t="s">
        <v>12</v>
      </c>
      <c r="B12407" s="2" t="str">
        <f>HYPERLINK("http://bbs.12365auto.com/postcontent.aspx?tId=193245","2020年上市的3款MPV 一款刷新MPV豪华程度")</f>
        <v>2020年上市的3款MPV 一款刷新MPV豪华程度</v>
      </c>
      <c r="C12407" s="2" t="s">
        <v>13</v>
      </c>
      <c r="D12407" s="2" t="s">
        <v>12</v>
      </c>
      <c r="E12407" s="2" t="s">
        <v>27</v>
      </c>
      <c r="F12407" s="2" t="str">
        <f>HYPERLINK("http://bbs.12365auto.com/postcontent.aspx?tId=193245","http://bbs.12365auto.com/postcontent.aspx?tId=193245")</f>
        <v>http://bbs.12365auto.com/postcontent.aspx?tId=193245</v>
      </c>
      <c r="G12407" s="2"/>
      <c r="H12407" s="2" t="s">
        <v>16525</v>
      </c>
      <c r="I12407" s="2" t="s">
        <v>15</v>
      </c>
      <c r="J12407" s="2" t="s">
        <v>616</v>
      </c>
      <c r="K12407" s="2" t="s">
        <v>16526</v>
      </c>
      <c r="L12407" s="2">
        <f t="shared" si="193"/>
        <v>150</v>
      </c>
    </row>
    <row r="12408" spans="1:12" ht="25" customHeight="1">
      <c r="A12408" s="2" t="s">
        <v>12</v>
      </c>
      <c r="B12408" s="2" t="str">
        <f>HYPERLINK("http://m.12365auto.com/bbs/postcontent.aspx?tID=193244","铃木真的崛起了 全新高档7座MPV")</f>
        <v>铃木真的崛起了 全新高档7座MPV</v>
      </c>
      <c r="C12408" s="2" t="s">
        <v>13</v>
      </c>
      <c r="D12408" s="2" t="s">
        <v>23</v>
      </c>
      <c r="E12408" s="2"/>
      <c r="F12408" s="2" t="str">
        <f>HYPERLINK("http://m.12365auto.com/bbs/postcontent.aspx?tID=193244","http://m.12365auto.com/bbs/postcontent.aspx?tID=193244")</f>
        <v>http://m.12365auto.com/bbs/postcontent.aspx?tID=193244</v>
      </c>
      <c r="G12408" s="2"/>
      <c r="H12408" s="2" t="s">
        <v>16528</v>
      </c>
      <c r="I12408" s="2" t="s">
        <v>15</v>
      </c>
      <c r="J12408" s="2" t="s">
        <v>616</v>
      </c>
      <c r="K12408" s="2" t="s">
        <v>16529</v>
      </c>
      <c r="L12408" s="2">
        <f t="shared" si="193"/>
        <v>150</v>
      </c>
    </row>
    <row r="12409" spans="1:12" ht="25" customHeight="1">
      <c r="A12409" s="2" t="s">
        <v>12</v>
      </c>
      <c r="B12409" s="2" t="str">
        <f>HYPERLINK("http://bbs.12365auto.com/postcontent.aspx?tID=193244","铃木真的崛起了 全新高档7座MPV")</f>
        <v>铃木真的崛起了 全新高档7座MPV</v>
      </c>
      <c r="C12409" s="2" t="s">
        <v>13</v>
      </c>
      <c r="D12409" s="2" t="s">
        <v>12</v>
      </c>
      <c r="E12409" s="2" t="s">
        <v>28</v>
      </c>
      <c r="F12409" s="2" t="str">
        <f>HYPERLINK("http://bbs.12365auto.com/postcontent.aspx?tID=193244","http://bbs.12365auto.com/postcontent.aspx?tID=193244")</f>
        <v>http://bbs.12365auto.com/postcontent.aspx?tID=193244</v>
      </c>
      <c r="G12409" s="2"/>
      <c r="H12409" s="2" t="s">
        <v>16530</v>
      </c>
      <c r="I12409" s="2" t="s">
        <v>15</v>
      </c>
      <c r="J12409" s="2" t="s">
        <v>616</v>
      </c>
      <c r="K12409" s="2" t="s">
        <v>16529</v>
      </c>
      <c r="L12409" s="2">
        <f t="shared" si="193"/>
        <v>150</v>
      </c>
    </row>
    <row r="12410" spans="1:12" ht="25" customHeight="1">
      <c r="A12410" s="2" t="s">
        <v>12</v>
      </c>
      <c r="B12410" s="2" t="str">
        <f>HYPERLINK("http://bbs.12365auto.com/postcontent.aspx?tId=193244","铃木真的崛起了 全新高档7座MPV")</f>
        <v>铃木真的崛起了 全新高档7座MPV</v>
      </c>
      <c r="C12410" s="2" t="s">
        <v>13</v>
      </c>
      <c r="D12410" s="2" t="s">
        <v>12</v>
      </c>
      <c r="E12410" s="2" t="s">
        <v>27</v>
      </c>
      <c r="F12410" s="2" t="str">
        <f>HYPERLINK("http://bbs.12365auto.com/postcontent.aspx?tId=193244","http://bbs.12365auto.com/postcontent.aspx?tId=193244")</f>
        <v>http://bbs.12365auto.com/postcontent.aspx?tId=193244</v>
      </c>
      <c r="G12410" s="2"/>
      <c r="H12410" s="2" t="s">
        <v>16528</v>
      </c>
      <c r="I12410" s="2" t="s">
        <v>15</v>
      </c>
      <c r="J12410" s="2" t="s">
        <v>616</v>
      </c>
      <c r="K12410" s="2" t="s">
        <v>16529</v>
      </c>
      <c r="L12410" s="2">
        <f t="shared" si="193"/>
        <v>150</v>
      </c>
    </row>
    <row r="12411" spans="1:12" ht="25" customHeight="1">
      <c r="A12411" s="2" t="s">
        <v>12</v>
      </c>
      <c r="B12411" s="2" t="str">
        <f>HYPERLINK("http://m.12365auto.com/news/20200204/417645.shtml","开发操作系统 滴滴与中科创达建立合作")</f>
        <v>开发操作系统 滴滴与中科创达建立合作</v>
      </c>
      <c r="C12411" s="2" t="s">
        <v>13</v>
      </c>
      <c r="D12411" s="2" t="s">
        <v>12</v>
      </c>
      <c r="E12411" s="2"/>
      <c r="F12411" s="2" t="str">
        <f>HYPERLINK("http://m.12365auto.com/news/20200204/417645.shtml","http://m.12365auto.com/news/20200204/417645.shtml")</f>
        <v>http://m.12365auto.com/news/20200204/417645.shtml</v>
      </c>
      <c r="G12411" s="2"/>
      <c r="H12411" s="2" t="s">
        <v>16531</v>
      </c>
      <c r="I12411" s="2" t="s">
        <v>19</v>
      </c>
      <c r="J12411" s="2" t="s">
        <v>1188</v>
      </c>
      <c r="K12411" s="2" t="s">
        <v>16532</v>
      </c>
      <c r="L12411" s="2">
        <f t="shared" si="193"/>
        <v>150</v>
      </c>
    </row>
    <row r="12412" spans="1:12" ht="25" customHeight="1">
      <c r="A12412" s="2" t="s">
        <v>12</v>
      </c>
      <c r="B12412" s="2" t="str">
        <f>HYPERLINK("http://m.12365auto.com/bbs/postcontent.aspx?tID=193243","开一辆新能源牧马人是什么体验 Jeep表示它将在2021年上市")</f>
        <v>开一辆新能源牧马人是什么体验 Jeep表示它将在2021年上市</v>
      </c>
      <c r="C12412" s="2" t="s">
        <v>13</v>
      </c>
      <c r="D12412" s="2" t="s">
        <v>23</v>
      </c>
      <c r="E12412" s="2"/>
      <c r="F12412" s="2" t="str">
        <f>HYPERLINK("http://m.12365auto.com/bbs/postcontent.aspx?tID=193243","http://m.12365auto.com/bbs/postcontent.aspx?tID=193243")</f>
        <v>http://m.12365auto.com/bbs/postcontent.aspx?tID=193243</v>
      </c>
      <c r="G12412" s="2"/>
      <c r="H12412" s="2" t="s">
        <v>16533</v>
      </c>
      <c r="I12412" s="2" t="s">
        <v>15</v>
      </c>
      <c r="J12412" s="2" t="s">
        <v>616</v>
      </c>
      <c r="K12412" s="2" t="s">
        <v>16532</v>
      </c>
      <c r="L12412" s="2">
        <f t="shared" si="193"/>
        <v>150</v>
      </c>
    </row>
    <row r="12413" spans="1:12" ht="25" customHeight="1">
      <c r="A12413" s="2" t="s">
        <v>12</v>
      </c>
      <c r="B12413" s="2" t="str">
        <f>HYPERLINK("http://bbs.12365auto.com/postcontent.aspx?tID=193243","开一辆新能源牧马人是什么体验 Jeep表示它将在2021年上市")</f>
        <v>开一辆新能源牧马人是什么体验 Jeep表示它将在2021年上市</v>
      </c>
      <c r="C12413" s="2" t="s">
        <v>13</v>
      </c>
      <c r="D12413" s="2" t="s">
        <v>12</v>
      </c>
      <c r="E12413" s="2" t="s">
        <v>28</v>
      </c>
      <c r="F12413" s="2" t="str">
        <f>HYPERLINK("http://bbs.12365auto.com/postcontent.aspx?tID=193243","http://bbs.12365auto.com/postcontent.aspx?tID=193243")</f>
        <v>http://bbs.12365auto.com/postcontent.aspx?tID=193243</v>
      </c>
      <c r="G12413" s="2"/>
      <c r="H12413" s="2" t="s">
        <v>16534</v>
      </c>
      <c r="I12413" s="2" t="s">
        <v>15</v>
      </c>
      <c r="J12413" s="2" t="s">
        <v>616</v>
      </c>
      <c r="K12413" s="2" t="s">
        <v>16532</v>
      </c>
      <c r="L12413" s="2">
        <f t="shared" si="193"/>
        <v>150</v>
      </c>
    </row>
    <row r="12414" spans="1:12" ht="25" customHeight="1">
      <c r="A12414" s="2" t="s">
        <v>12</v>
      </c>
      <c r="B12414" s="2" t="str">
        <f>HYPERLINK("http://bbs.12365auto.com/postcontent.aspx?tId=193243","开一辆新能源牧马人是什么体验 Jeep表示它将在2021年上市")</f>
        <v>开一辆新能源牧马人是什么体验 Jeep表示它将在2021年上市</v>
      </c>
      <c r="C12414" s="2" t="s">
        <v>13</v>
      </c>
      <c r="D12414" s="2" t="s">
        <v>12</v>
      </c>
      <c r="E12414" s="2" t="s">
        <v>27</v>
      </c>
      <c r="F12414" s="2" t="str">
        <f>HYPERLINK("http://bbs.12365auto.com/postcontent.aspx?tId=193243","http://bbs.12365auto.com/postcontent.aspx?tId=193243")</f>
        <v>http://bbs.12365auto.com/postcontent.aspx?tId=193243</v>
      </c>
      <c r="G12414" s="2"/>
      <c r="H12414" s="2" t="s">
        <v>16533</v>
      </c>
      <c r="I12414" s="2" t="s">
        <v>15</v>
      </c>
      <c r="J12414" s="2" t="s">
        <v>616</v>
      </c>
      <c r="K12414" s="2" t="s">
        <v>16532</v>
      </c>
      <c r="L12414" s="2">
        <f t="shared" si="193"/>
        <v>150</v>
      </c>
    </row>
    <row r="12415" spans="1:12" ht="25" customHeight="1">
      <c r="A12415" s="2" t="s">
        <v>12</v>
      </c>
      <c r="B12415" s="2" t="str">
        <f>HYPERLINK("http://www.12365auto.com/news/20200204/417645.shtml","开发操作系统 滴滴与中科创达建立合作")</f>
        <v>开发操作系统 滴滴与中科创达建立合作</v>
      </c>
      <c r="C12415" s="2" t="s">
        <v>13</v>
      </c>
      <c r="D12415" s="2" t="s">
        <v>12</v>
      </c>
      <c r="E12415" s="2" t="s">
        <v>276</v>
      </c>
      <c r="F12415" s="2" t="str">
        <f>HYPERLINK("http://www.12365auto.com/news/20200204/417645.shtml","http://www.12365auto.com/news/20200204/417645.shtml")</f>
        <v>http://www.12365auto.com/news/20200204/417645.shtml</v>
      </c>
      <c r="G12415" s="2"/>
      <c r="H12415" s="2" t="s">
        <v>16535</v>
      </c>
      <c r="I12415" s="2" t="s">
        <v>15</v>
      </c>
      <c r="J12415" s="2" t="s">
        <v>12</v>
      </c>
      <c r="K12415" s="2" t="s">
        <v>16532</v>
      </c>
      <c r="L12415" s="2">
        <f t="shared" si="193"/>
        <v>150</v>
      </c>
    </row>
    <row r="12416" spans="1:12" ht="25" customHeight="1">
      <c r="A12416" s="2" t="s">
        <v>12</v>
      </c>
      <c r="B12416" s="2" t="str">
        <f>HYPERLINK("http://m.12365auto.com/bbs/postcontent.aspx?tID=193242","这三款车挑起自主小型SUV的大梁 每款都是精品")</f>
        <v>这三款车挑起自主小型SUV的大梁 每款都是精品</v>
      </c>
      <c r="C12416" s="2" t="s">
        <v>13</v>
      </c>
      <c r="D12416" s="2" t="s">
        <v>23</v>
      </c>
      <c r="E12416" s="2"/>
      <c r="F12416" s="2" t="str">
        <f>HYPERLINK("http://m.12365auto.com/bbs/postcontent.aspx?tID=193242","http://m.12365auto.com/bbs/postcontent.aspx?tID=193242")</f>
        <v>http://m.12365auto.com/bbs/postcontent.aspx?tID=193242</v>
      </c>
      <c r="G12416" s="2"/>
      <c r="H12416" s="2" t="s">
        <v>16536</v>
      </c>
      <c r="I12416" s="2" t="s">
        <v>15</v>
      </c>
      <c r="J12416" s="2" t="s">
        <v>10637</v>
      </c>
      <c r="K12416" s="2" t="s">
        <v>16537</v>
      </c>
      <c r="L12416" s="2">
        <f t="shared" si="193"/>
        <v>150</v>
      </c>
    </row>
    <row r="12417" spans="1:12" ht="25" customHeight="1">
      <c r="A12417" s="2" t="s">
        <v>12</v>
      </c>
      <c r="B12417" s="2" t="str">
        <f>HYPERLINK("http://bbs.12365auto.com/postcontent.aspx?tID=193242","这三款车挑起自主小型SUV的大梁 每款都是精品")</f>
        <v>这三款车挑起自主小型SUV的大梁 每款都是精品</v>
      </c>
      <c r="C12417" s="2" t="s">
        <v>13</v>
      </c>
      <c r="D12417" s="2" t="s">
        <v>12</v>
      </c>
      <c r="E12417" s="2" t="s">
        <v>28</v>
      </c>
      <c r="F12417" s="2" t="str">
        <f>HYPERLINK("http://bbs.12365auto.com/postcontent.aspx?tID=193242","http://bbs.12365auto.com/postcontent.aspx?tID=193242")</f>
        <v>http://bbs.12365auto.com/postcontent.aspx?tID=193242</v>
      </c>
      <c r="G12417" s="2"/>
      <c r="H12417" s="2" t="s">
        <v>16538</v>
      </c>
      <c r="I12417" s="2" t="s">
        <v>15</v>
      </c>
      <c r="J12417" s="2" t="s">
        <v>10637</v>
      </c>
      <c r="K12417" s="2" t="s">
        <v>16537</v>
      </c>
      <c r="L12417" s="2">
        <f t="shared" si="193"/>
        <v>150</v>
      </c>
    </row>
    <row r="12418" spans="1:12" ht="25" customHeight="1">
      <c r="A12418" s="2" t="s">
        <v>12</v>
      </c>
      <c r="B12418" s="2" t="str">
        <f>HYPERLINK("http://bbs.12365auto.com/postcontent.aspx?tId=193242","这三款车挑起自主小型SUV的大梁 每款都是精品")</f>
        <v>这三款车挑起自主小型SUV的大梁 每款都是精品</v>
      </c>
      <c r="C12418" s="2" t="s">
        <v>13</v>
      </c>
      <c r="D12418" s="2" t="s">
        <v>12</v>
      </c>
      <c r="E12418" s="2" t="s">
        <v>27</v>
      </c>
      <c r="F12418" s="2" t="str">
        <f>HYPERLINK("http://bbs.12365auto.com/postcontent.aspx?tId=193242","http://bbs.12365auto.com/postcontent.aspx?tId=193242")</f>
        <v>http://bbs.12365auto.com/postcontent.aspx?tId=193242</v>
      </c>
      <c r="G12418" s="2"/>
      <c r="H12418" s="2" t="s">
        <v>16536</v>
      </c>
      <c r="I12418" s="2" t="s">
        <v>15</v>
      </c>
      <c r="J12418" s="2" t="s">
        <v>10637</v>
      </c>
      <c r="K12418" s="2" t="s">
        <v>16537</v>
      </c>
      <c r="L12418" s="2">
        <f t="shared" si="193"/>
        <v>150</v>
      </c>
    </row>
    <row r="12419" spans="1:12" ht="25" customHeight="1">
      <c r="A12419" s="2" t="s">
        <v>12</v>
      </c>
      <c r="B12419" s="2" t="str">
        <f>HYPERLINK("http://m.12365auto.com/xcdg/20200204/417643.shtml","攒30万坐等奥迪新A4L？三个理由证明值得")</f>
        <v>攒30万坐等奥迪新A4L？三个理由证明值得</v>
      </c>
      <c r="C12419" s="2" t="s">
        <v>13</v>
      </c>
      <c r="D12419" s="2" t="s">
        <v>12</v>
      </c>
      <c r="E12419" s="2"/>
      <c r="F12419" s="2" t="str">
        <f>HYPERLINK("http://m.12365auto.com/xcdg/20200204/417643.shtml","http://m.12365auto.com/xcdg/20200204/417643.shtml")</f>
        <v>http://m.12365auto.com/xcdg/20200204/417643.shtml</v>
      </c>
      <c r="G12419" s="2"/>
      <c r="H12419" s="2" t="s">
        <v>16539</v>
      </c>
      <c r="I12419" s="2" t="s">
        <v>19</v>
      </c>
      <c r="J12419" s="2" t="s">
        <v>8579</v>
      </c>
      <c r="K12419" s="2" t="s">
        <v>16540</v>
      </c>
      <c r="L12419" s="2">
        <f t="shared" ref="L12419:L12482" si="194">LEN(H12419)</f>
        <v>150</v>
      </c>
    </row>
    <row r="12420" spans="1:12" ht="25" customHeight="1">
      <c r="A12420" s="2" t="s">
        <v>12</v>
      </c>
      <c r="B12420" s="2" t="str">
        <f>HYPERLINK("http://bbs.12365auto.com/postcontent.aspx?tId=193241","续航增加 交付提前 特斯拉Model Y又传利好消息")</f>
        <v>续航增加 交付提前 特斯拉Model Y又传利好消息</v>
      </c>
      <c r="C12420" s="2" t="s">
        <v>13</v>
      </c>
      <c r="D12420" s="2" t="s">
        <v>12</v>
      </c>
      <c r="E12420" s="2" t="s">
        <v>27</v>
      </c>
      <c r="F12420" s="2" t="str">
        <f>HYPERLINK("http://bbs.12365auto.com/postcontent.aspx?tId=193241","http://bbs.12365auto.com/postcontent.aspx?tId=193241")</f>
        <v>http://bbs.12365auto.com/postcontent.aspx?tId=193241</v>
      </c>
      <c r="G12420" s="2"/>
      <c r="H12420" s="2" t="s">
        <v>16541</v>
      </c>
      <c r="I12420" s="2" t="s">
        <v>15</v>
      </c>
      <c r="J12420" s="2" t="s">
        <v>10637</v>
      </c>
      <c r="K12420" s="2" t="s">
        <v>16540</v>
      </c>
      <c r="L12420" s="2">
        <f t="shared" si="194"/>
        <v>150</v>
      </c>
    </row>
    <row r="12421" spans="1:12" ht="25" customHeight="1">
      <c r="A12421" s="2" t="s">
        <v>12</v>
      </c>
      <c r="B12421" s="2" t="str">
        <f>HYPERLINK("http://m.12365auto.com/bbs/postcontent.aspx?tID=193241","续航增加 交付提前 特斯拉Model Y又传利好消息")</f>
        <v>续航增加 交付提前 特斯拉Model Y又传利好消息</v>
      </c>
      <c r="C12421" s="2" t="s">
        <v>13</v>
      </c>
      <c r="D12421" s="2" t="s">
        <v>23</v>
      </c>
      <c r="E12421" s="2"/>
      <c r="F12421" s="2" t="str">
        <f>HYPERLINK("http://m.12365auto.com/bbs/postcontent.aspx?tID=193241","http://m.12365auto.com/bbs/postcontent.aspx?tID=193241")</f>
        <v>http://m.12365auto.com/bbs/postcontent.aspx?tID=193241</v>
      </c>
      <c r="G12421" s="2"/>
      <c r="H12421" s="2" t="s">
        <v>16541</v>
      </c>
      <c r="I12421" s="2" t="s">
        <v>15</v>
      </c>
      <c r="J12421" s="2" t="s">
        <v>10637</v>
      </c>
      <c r="K12421" s="2" t="s">
        <v>16540</v>
      </c>
      <c r="L12421" s="2">
        <f t="shared" si="194"/>
        <v>150</v>
      </c>
    </row>
    <row r="12422" spans="1:12" ht="25" customHeight="1">
      <c r="A12422" s="2" t="s">
        <v>12</v>
      </c>
      <c r="B12422" s="2" t="str">
        <f>HYPERLINK("http://m.12365auto.com/news/20200204/417644.shtml","梯次利用 宝马i3退役电池还有新价值")</f>
        <v>梯次利用 宝马i3退役电池还有新价值</v>
      </c>
      <c r="C12422" s="2" t="s">
        <v>13</v>
      </c>
      <c r="D12422" s="2" t="s">
        <v>12</v>
      </c>
      <c r="E12422" s="2"/>
      <c r="F12422" s="2" t="str">
        <f>HYPERLINK("http://m.12365auto.com/news/20200204/417644.shtml","http://m.12365auto.com/news/20200204/417644.shtml")</f>
        <v>http://m.12365auto.com/news/20200204/417644.shtml</v>
      </c>
      <c r="G12422" s="2"/>
      <c r="H12422" s="2" t="s">
        <v>16542</v>
      </c>
      <c r="I12422" s="2" t="s">
        <v>19</v>
      </c>
      <c r="J12422" s="2" t="s">
        <v>1653</v>
      </c>
      <c r="K12422" s="2" t="s">
        <v>16540</v>
      </c>
      <c r="L12422" s="2">
        <f t="shared" si="194"/>
        <v>150</v>
      </c>
    </row>
    <row r="12423" spans="1:12" ht="25" customHeight="1">
      <c r="A12423" s="2" t="s">
        <v>12</v>
      </c>
      <c r="B12423" s="2" t="str">
        <f>HYPERLINK("http://www.12365auto.com/news/20200204/417644.shtml","梯次利用 宝马i3退役电池还有新价值")</f>
        <v>梯次利用 宝马i3退役电池还有新价值</v>
      </c>
      <c r="C12423" s="2" t="s">
        <v>13</v>
      </c>
      <c r="D12423" s="2" t="s">
        <v>12</v>
      </c>
      <c r="E12423" s="2" t="s">
        <v>276</v>
      </c>
      <c r="F12423" s="2" t="str">
        <f>HYPERLINK("http://www.12365auto.com/news/20200204/417644.shtml","http://www.12365auto.com/news/20200204/417644.shtml")</f>
        <v>http://www.12365auto.com/news/20200204/417644.shtml</v>
      </c>
      <c r="G12423" s="2"/>
      <c r="H12423" s="2" t="s">
        <v>16543</v>
      </c>
      <c r="I12423" s="2" t="s">
        <v>15</v>
      </c>
      <c r="J12423" s="2" t="s">
        <v>12</v>
      </c>
      <c r="K12423" s="2" t="s">
        <v>16540</v>
      </c>
      <c r="L12423" s="2">
        <f t="shared" si="194"/>
        <v>150</v>
      </c>
    </row>
    <row r="12424" spans="1:12" ht="25" customHeight="1">
      <c r="A12424" s="2" t="s">
        <v>12</v>
      </c>
      <c r="B12424" s="2" t="str">
        <f>HYPERLINK("http://bbs.12365auto.com/postcontent.aspx?tID=193241","续航增加 交付提前 特斯拉Model Y又传利好消息")</f>
        <v>续航增加 交付提前 特斯拉Model Y又传利好消息</v>
      </c>
      <c r="C12424" s="2" t="s">
        <v>13</v>
      </c>
      <c r="D12424" s="2" t="s">
        <v>12</v>
      </c>
      <c r="E12424" s="2" t="s">
        <v>28</v>
      </c>
      <c r="F12424" s="2" t="str">
        <f>HYPERLINK("http://bbs.12365auto.com/postcontent.aspx?tID=193241","http://bbs.12365auto.com/postcontent.aspx?tID=193241")</f>
        <v>http://bbs.12365auto.com/postcontent.aspx?tID=193241</v>
      </c>
      <c r="G12424" s="2"/>
      <c r="H12424" s="2" t="s">
        <v>16544</v>
      </c>
      <c r="I12424" s="2" t="s">
        <v>15</v>
      </c>
      <c r="J12424" s="2" t="s">
        <v>10637</v>
      </c>
      <c r="K12424" s="2" t="s">
        <v>16540</v>
      </c>
      <c r="L12424" s="2">
        <f t="shared" si="194"/>
        <v>150</v>
      </c>
    </row>
    <row r="12425" spans="1:12" ht="25" customHeight="1">
      <c r="A12425" s="2" t="s">
        <v>12</v>
      </c>
      <c r="B12425" s="2" t="str">
        <f>HYPERLINK("http://m.12365auto.com/xcdg/20200204/417642.shtml","红包应该这样花 各价位最运动SUV车型推荐")</f>
        <v>红包应该这样花 各价位最运动SUV车型推荐</v>
      </c>
      <c r="C12425" s="2" t="s">
        <v>13</v>
      </c>
      <c r="D12425" s="2" t="s">
        <v>12</v>
      </c>
      <c r="E12425" s="2"/>
      <c r="F12425" s="2" t="str">
        <f>HYPERLINK("http://m.12365auto.com/xcdg/20200204/417642.shtml","http://m.12365auto.com/xcdg/20200204/417642.shtml")</f>
        <v>http://m.12365auto.com/xcdg/20200204/417642.shtml</v>
      </c>
      <c r="G12425" s="2"/>
      <c r="H12425" s="2" t="s">
        <v>16545</v>
      </c>
      <c r="I12425" s="2" t="s">
        <v>19</v>
      </c>
      <c r="J12425" s="2" t="s">
        <v>6801</v>
      </c>
      <c r="K12425" s="2" t="s">
        <v>16546</v>
      </c>
      <c r="L12425" s="2">
        <f t="shared" si="194"/>
        <v>150</v>
      </c>
    </row>
    <row r="12426" spans="1:12" ht="25" customHeight="1">
      <c r="A12426" s="2" t="s">
        <v>12</v>
      </c>
      <c r="B12426" s="2" t="str">
        <f>HYPERLINK("http://bbs.12365auto.com/postcontent.aspx?tID=193240","电子手刹和机械手刹谁更安全")</f>
        <v>电子手刹和机械手刹谁更安全</v>
      </c>
      <c r="C12426" s="2" t="s">
        <v>13</v>
      </c>
      <c r="D12426" s="2" t="s">
        <v>12</v>
      </c>
      <c r="E12426" s="2" t="s">
        <v>214</v>
      </c>
      <c r="F12426" s="2" t="str">
        <f>HYPERLINK("http://bbs.12365auto.com/postcontent.aspx?tID=193240","http://bbs.12365auto.com/postcontent.aspx?tID=193240")</f>
        <v>http://bbs.12365auto.com/postcontent.aspx?tID=193240</v>
      </c>
      <c r="G12426" s="2"/>
      <c r="H12426" s="2" t="s">
        <v>16547</v>
      </c>
      <c r="I12426" s="2" t="s">
        <v>15</v>
      </c>
      <c r="J12426" s="2" t="s">
        <v>2651</v>
      </c>
      <c r="K12426" s="2" t="s">
        <v>16548</v>
      </c>
      <c r="L12426" s="2">
        <f t="shared" si="194"/>
        <v>150</v>
      </c>
    </row>
    <row r="12427" spans="1:12" ht="25" customHeight="1">
      <c r="A12427" s="2" t="s">
        <v>12</v>
      </c>
      <c r="B12427" s="2" t="str">
        <f>HYPERLINK("http://bbs.12365auto.com/postcontent.aspx?tId=193239","轮胎上的数字分别代表什么 你搞懂了吗")</f>
        <v>轮胎上的数字分别代表什么 你搞懂了吗</v>
      </c>
      <c r="C12427" s="2" t="s">
        <v>13</v>
      </c>
      <c r="D12427" s="2" t="s">
        <v>12</v>
      </c>
      <c r="E12427" s="2" t="s">
        <v>210</v>
      </c>
      <c r="F12427" s="2" t="str">
        <f>HYPERLINK("http://bbs.12365auto.com/postcontent.aspx?tId=193239","http://bbs.12365auto.com/postcontent.aspx?tId=193239")</f>
        <v>http://bbs.12365auto.com/postcontent.aspx?tId=193239</v>
      </c>
      <c r="G12427" s="2"/>
      <c r="H12427" s="2" t="s">
        <v>16549</v>
      </c>
      <c r="I12427" s="2" t="s">
        <v>15</v>
      </c>
      <c r="J12427" s="2" t="s">
        <v>2651</v>
      </c>
      <c r="K12427" s="2" t="s">
        <v>16548</v>
      </c>
      <c r="L12427" s="2">
        <f t="shared" si="194"/>
        <v>150</v>
      </c>
    </row>
    <row r="12428" spans="1:12" ht="25" customHeight="1">
      <c r="A12428" s="2" t="s">
        <v>12</v>
      </c>
      <c r="B12428" s="2" t="str">
        <f>HYPERLINK("http://bbs.12365auto.com/postcontent.aspx?tId=193240","电子手刹和机械手刹谁更安全")</f>
        <v>电子手刹和机械手刹谁更安全</v>
      </c>
      <c r="C12428" s="2" t="s">
        <v>13</v>
      </c>
      <c r="D12428" s="2" t="s">
        <v>12</v>
      </c>
      <c r="E12428" s="2" t="s">
        <v>210</v>
      </c>
      <c r="F12428" s="2" t="str">
        <f>HYPERLINK("http://bbs.12365auto.com/postcontent.aspx?tId=193240","http://bbs.12365auto.com/postcontent.aspx?tId=193240")</f>
        <v>http://bbs.12365auto.com/postcontent.aspx?tId=193240</v>
      </c>
      <c r="G12428" s="2"/>
      <c r="H12428" s="2" t="s">
        <v>16550</v>
      </c>
      <c r="I12428" s="2" t="s">
        <v>15</v>
      </c>
      <c r="J12428" s="2" t="s">
        <v>2651</v>
      </c>
      <c r="K12428" s="2" t="s">
        <v>16548</v>
      </c>
      <c r="L12428" s="2">
        <f t="shared" si="194"/>
        <v>150</v>
      </c>
    </row>
    <row r="12429" spans="1:12" ht="25" customHeight="1">
      <c r="A12429" s="2" t="s">
        <v>12</v>
      </c>
      <c r="B12429" s="2" t="str">
        <f>HYPERLINK("http://bbs.12365auto.com/postcontent.aspx?tID=193239","轮胎上的数字分别代表什么 你搞懂了吗")</f>
        <v>轮胎上的数字分别代表什么 你搞懂了吗</v>
      </c>
      <c r="C12429" s="2" t="s">
        <v>13</v>
      </c>
      <c r="D12429" s="2" t="s">
        <v>12</v>
      </c>
      <c r="E12429" s="2" t="s">
        <v>214</v>
      </c>
      <c r="F12429" s="2" t="str">
        <f>HYPERLINK("http://bbs.12365auto.com/postcontent.aspx?tID=193239","http://bbs.12365auto.com/postcontent.aspx?tID=193239")</f>
        <v>http://bbs.12365auto.com/postcontent.aspx?tID=193239</v>
      </c>
      <c r="G12429" s="2"/>
      <c r="H12429" s="2" t="s">
        <v>16551</v>
      </c>
      <c r="I12429" s="2" t="s">
        <v>15</v>
      </c>
      <c r="J12429" s="2" t="s">
        <v>2651</v>
      </c>
      <c r="K12429" s="2" t="s">
        <v>16548</v>
      </c>
      <c r="L12429" s="2">
        <f t="shared" si="194"/>
        <v>150</v>
      </c>
    </row>
    <row r="12430" spans="1:12" ht="25" customHeight="1">
      <c r="A12430" s="2" t="s">
        <v>12</v>
      </c>
      <c r="B12430" s="2" t="str">
        <f>HYPERLINK("http://bbs.12365auto.com/postcontent.aspx?tId=193238","刷ECU是什么黑科技 别把车毁了")</f>
        <v>刷ECU是什么黑科技 别把车毁了</v>
      </c>
      <c r="C12430" s="2" t="s">
        <v>13</v>
      </c>
      <c r="D12430" s="2" t="s">
        <v>12</v>
      </c>
      <c r="E12430" s="2" t="s">
        <v>210</v>
      </c>
      <c r="F12430" s="2" t="str">
        <f>HYPERLINK("http://bbs.12365auto.com/postcontent.aspx?tId=193238","http://bbs.12365auto.com/postcontent.aspx?tId=193238")</f>
        <v>http://bbs.12365auto.com/postcontent.aspx?tId=193238</v>
      </c>
      <c r="G12430" s="2"/>
      <c r="H12430" s="2" t="s">
        <v>16552</v>
      </c>
      <c r="I12430" s="2" t="s">
        <v>15</v>
      </c>
      <c r="J12430" s="2" t="s">
        <v>2651</v>
      </c>
      <c r="K12430" s="2" t="s">
        <v>16553</v>
      </c>
      <c r="L12430" s="2">
        <f t="shared" si="194"/>
        <v>150</v>
      </c>
    </row>
    <row r="12431" spans="1:12" ht="25" customHeight="1">
      <c r="A12431" s="2" t="s">
        <v>12</v>
      </c>
      <c r="B12431" s="2" t="str">
        <f>HYPERLINK("http://bbs.12365auto.com/postcontent.aspx?tID=193238","刷ECU是什么黑科技 别把车毁了")</f>
        <v>刷ECU是什么黑科技 别把车毁了</v>
      </c>
      <c r="C12431" s="2" t="s">
        <v>13</v>
      </c>
      <c r="D12431" s="2" t="s">
        <v>12</v>
      </c>
      <c r="E12431" s="2" t="s">
        <v>214</v>
      </c>
      <c r="F12431" s="2" t="str">
        <f>HYPERLINK("http://bbs.12365auto.com/postcontent.aspx?tID=193238","http://bbs.12365auto.com/postcontent.aspx?tID=193238")</f>
        <v>http://bbs.12365auto.com/postcontent.aspx?tID=193238</v>
      </c>
      <c r="G12431" s="2"/>
      <c r="H12431" s="2" t="s">
        <v>16554</v>
      </c>
      <c r="I12431" s="2" t="s">
        <v>15</v>
      </c>
      <c r="J12431" s="2" t="s">
        <v>2651</v>
      </c>
      <c r="K12431" s="2" t="s">
        <v>16553</v>
      </c>
      <c r="L12431" s="2">
        <f t="shared" si="194"/>
        <v>150</v>
      </c>
    </row>
    <row r="12432" spans="1:12" ht="25" customHeight="1">
      <c r="A12432" s="2" t="s">
        <v>12</v>
      </c>
      <c r="B12432" s="2" t="str">
        <f>HYPERLINK("http://m.12365auto.com/xcdg/20200204/417641.shtml","谁是更个性的选择？BMW X2对比奥迪Q3")</f>
        <v>谁是更个性的选择？BMW X2对比奥迪Q3</v>
      </c>
      <c r="C12432" s="2" t="s">
        <v>13</v>
      </c>
      <c r="D12432" s="2" t="s">
        <v>12</v>
      </c>
      <c r="E12432" s="2"/>
      <c r="F12432" s="2" t="str">
        <f>HYPERLINK("http://m.12365auto.com/xcdg/20200204/417641.shtml","http://m.12365auto.com/xcdg/20200204/417641.shtml")</f>
        <v>http://m.12365auto.com/xcdg/20200204/417641.shtml</v>
      </c>
      <c r="G12432" s="2"/>
      <c r="H12432" s="2" t="s">
        <v>16555</v>
      </c>
      <c r="I12432" s="2" t="s">
        <v>19</v>
      </c>
      <c r="J12432" s="2" t="s">
        <v>12</v>
      </c>
      <c r="K12432" s="2" t="s">
        <v>16556</v>
      </c>
      <c r="L12432" s="2">
        <f t="shared" si="194"/>
        <v>150</v>
      </c>
    </row>
    <row r="12433" spans="1:12" ht="25" customHeight="1">
      <c r="A12433" s="2" t="s">
        <v>12</v>
      </c>
      <c r="B12433" s="2" t="str">
        <f>HYPERLINK("http://bbs.12365auto.com/postcontent.aspx?tID=193237","疫情的第一道急救保障 啥是负压救护车")</f>
        <v>疫情的第一道急救保障 啥是负压救护车</v>
      </c>
      <c r="C12433" s="2" t="s">
        <v>13</v>
      </c>
      <c r="D12433" s="2" t="s">
        <v>12</v>
      </c>
      <c r="E12433" s="2" t="s">
        <v>214</v>
      </c>
      <c r="F12433" s="2" t="str">
        <f>HYPERLINK("http://bbs.12365auto.com/postcontent.aspx?tID=193237","http://bbs.12365auto.com/postcontent.aspx?tID=193237")</f>
        <v>http://bbs.12365auto.com/postcontent.aspx?tID=193237</v>
      </c>
      <c r="G12433" s="2"/>
      <c r="H12433" s="2" t="s">
        <v>16557</v>
      </c>
      <c r="I12433" s="2" t="s">
        <v>15</v>
      </c>
      <c r="J12433" s="2" t="s">
        <v>2651</v>
      </c>
      <c r="K12433" s="2" t="s">
        <v>16556</v>
      </c>
      <c r="L12433" s="2">
        <f t="shared" si="194"/>
        <v>150</v>
      </c>
    </row>
    <row r="12434" spans="1:12" ht="25" customHeight="1">
      <c r="A12434" s="2" t="s">
        <v>12</v>
      </c>
      <c r="B12434" s="2" t="str">
        <f>HYPERLINK("http://bbs.12365auto.com/postcontent.aspx?tId=193237","疫情的第一道急救保障 啥是负压救护车")</f>
        <v>疫情的第一道急救保障 啥是负压救护车</v>
      </c>
      <c r="C12434" s="2" t="s">
        <v>13</v>
      </c>
      <c r="D12434" s="2" t="s">
        <v>12</v>
      </c>
      <c r="E12434" s="2" t="s">
        <v>210</v>
      </c>
      <c r="F12434" s="2" t="str">
        <f>HYPERLINK("http://bbs.12365auto.com/postcontent.aspx?tId=193237","http://bbs.12365auto.com/postcontent.aspx?tId=193237")</f>
        <v>http://bbs.12365auto.com/postcontent.aspx?tId=193237</v>
      </c>
      <c r="G12434" s="2"/>
      <c r="H12434" s="2" t="s">
        <v>16558</v>
      </c>
      <c r="I12434" s="2" t="s">
        <v>15</v>
      </c>
      <c r="J12434" s="2" t="s">
        <v>2651</v>
      </c>
      <c r="K12434" s="2" t="s">
        <v>16556</v>
      </c>
      <c r="L12434" s="2">
        <f t="shared" si="194"/>
        <v>150</v>
      </c>
    </row>
    <row r="12435" spans="1:12" ht="25" customHeight="1">
      <c r="A12435" s="2" t="s">
        <v>12</v>
      </c>
      <c r="B12435" s="2" t="str">
        <f>HYPERLINK("http://bbs.12365auto.com/postcontent.aspx?tId=193235","豪车常用的主动式进气格栅究竟有什么用")</f>
        <v>豪车常用的主动式进气格栅究竟有什么用</v>
      </c>
      <c r="C12435" s="2" t="s">
        <v>13</v>
      </c>
      <c r="D12435" s="2" t="s">
        <v>12</v>
      </c>
      <c r="E12435" s="2" t="s">
        <v>210</v>
      </c>
      <c r="F12435" s="2" t="str">
        <f>HYPERLINK("http://bbs.12365auto.com/postcontent.aspx?tId=193235","http://bbs.12365auto.com/postcontent.aspx?tId=193235")</f>
        <v>http://bbs.12365auto.com/postcontent.aspx?tId=193235</v>
      </c>
      <c r="G12435" s="2"/>
      <c r="H12435" s="2" t="s">
        <v>16559</v>
      </c>
      <c r="I12435" s="2" t="s">
        <v>15</v>
      </c>
      <c r="J12435" s="2" t="s">
        <v>2651</v>
      </c>
      <c r="K12435" s="2" t="s">
        <v>16560</v>
      </c>
      <c r="L12435" s="2">
        <f t="shared" si="194"/>
        <v>150</v>
      </c>
    </row>
    <row r="12436" spans="1:12" ht="25" customHeight="1">
      <c r="A12436" s="2" t="s">
        <v>12</v>
      </c>
      <c r="B12436" s="2" t="str">
        <f>HYPERLINK("http://bbs.12365auto.com/postcontent.aspx?tId=193236","未张贴交强险标志怎么处罚 遗失能否补办")</f>
        <v>未张贴交强险标志怎么处罚 遗失能否补办</v>
      </c>
      <c r="C12436" s="2" t="s">
        <v>13</v>
      </c>
      <c r="D12436" s="2" t="s">
        <v>12</v>
      </c>
      <c r="E12436" s="2" t="s">
        <v>210</v>
      </c>
      <c r="F12436" s="2" t="str">
        <f>HYPERLINK("http://bbs.12365auto.com/postcontent.aspx?tId=193236","http://bbs.12365auto.com/postcontent.aspx?tId=193236")</f>
        <v>http://bbs.12365auto.com/postcontent.aspx?tId=193236</v>
      </c>
      <c r="G12436" s="2"/>
      <c r="H12436" s="2" t="s">
        <v>16561</v>
      </c>
      <c r="I12436" s="2" t="s">
        <v>15</v>
      </c>
      <c r="J12436" s="2" t="s">
        <v>2651</v>
      </c>
      <c r="K12436" s="2" t="s">
        <v>16560</v>
      </c>
      <c r="L12436" s="2">
        <f t="shared" si="194"/>
        <v>150</v>
      </c>
    </row>
    <row r="12437" spans="1:12" ht="25" customHeight="1">
      <c r="A12437" s="2" t="s">
        <v>12</v>
      </c>
      <c r="B12437" s="2" t="str">
        <f>HYPERLINK("http://bbs.12365auto.com/postcontent.aspx?tId=193234","氢能源汽车为什么受热议 竟然有这么多好处")</f>
        <v>氢能源汽车为什么受热议 竟然有这么多好处</v>
      </c>
      <c r="C12437" s="2" t="s">
        <v>13</v>
      </c>
      <c r="D12437" s="2" t="s">
        <v>12</v>
      </c>
      <c r="E12437" s="2" t="s">
        <v>210</v>
      </c>
      <c r="F12437" s="2" t="str">
        <f>HYPERLINK("http://bbs.12365auto.com/postcontent.aspx?tId=193234","http://bbs.12365auto.com/postcontent.aspx?tId=193234")</f>
        <v>http://bbs.12365auto.com/postcontent.aspx?tId=193234</v>
      </c>
      <c r="G12437" s="2"/>
      <c r="H12437" s="2" t="s">
        <v>16562</v>
      </c>
      <c r="I12437" s="2" t="s">
        <v>15</v>
      </c>
      <c r="J12437" s="2" t="s">
        <v>2651</v>
      </c>
      <c r="K12437" s="2" t="s">
        <v>16560</v>
      </c>
      <c r="L12437" s="2">
        <f t="shared" si="194"/>
        <v>150</v>
      </c>
    </row>
    <row r="12438" spans="1:12" ht="25" customHeight="1">
      <c r="A12438" s="2" t="s">
        <v>12</v>
      </c>
      <c r="B12438" s="2" t="str">
        <f>HYPERLINK("http://bbs.12365auto.com/postcontent.aspx?tID=193234","氢能源汽车为什么受热议 竟然有这么多好处")</f>
        <v>氢能源汽车为什么受热议 竟然有这么多好处</v>
      </c>
      <c r="C12438" s="2" t="s">
        <v>13</v>
      </c>
      <c r="D12438" s="2" t="s">
        <v>12</v>
      </c>
      <c r="E12438" s="2" t="s">
        <v>214</v>
      </c>
      <c r="F12438" s="2" t="str">
        <f>HYPERLINK("http://bbs.12365auto.com/postcontent.aspx?tID=193234","http://bbs.12365auto.com/postcontent.aspx?tID=193234")</f>
        <v>http://bbs.12365auto.com/postcontent.aspx?tID=193234</v>
      </c>
      <c r="G12438" s="2"/>
      <c r="H12438" s="2" t="s">
        <v>16563</v>
      </c>
      <c r="I12438" s="2" t="s">
        <v>15</v>
      </c>
      <c r="J12438" s="2" t="s">
        <v>2651</v>
      </c>
      <c r="K12438" s="2" t="s">
        <v>16560</v>
      </c>
      <c r="L12438" s="2">
        <f t="shared" si="194"/>
        <v>150</v>
      </c>
    </row>
    <row r="12439" spans="1:12" ht="25" customHeight="1">
      <c r="A12439" s="2" t="s">
        <v>12</v>
      </c>
      <c r="B12439" s="2" t="str">
        <f>HYPERLINK("http://bbs.12365auto.com/postcontent.aspx?tID=193236","未张贴交强险标志怎么处罚 遗失能否补办")</f>
        <v>未张贴交强险标志怎么处罚 遗失能否补办</v>
      </c>
      <c r="C12439" s="2" t="s">
        <v>13</v>
      </c>
      <c r="D12439" s="2" t="s">
        <v>12</v>
      </c>
      <c r="E12439" s="2" t="s">
        <v>214</v>
      </c>
      <c r="F12439" s="2" t="str">
        <f>HYPERLINK("http://bbs.12365auto.com/postcontent.aspx?tID=193236","http://bbs.12365auto.com/postcontent.aspx?tID=193236")</f>
        <v>http://bbs.12365auto.com/postcontent.aspx?tID=193236</v>
      </c>
      <c r="G12439" s="2"/>
      <c r="H12439" s="2" t="s">
        <v>16564</v>
      </c>
      <c r="I12439" s="2" t="s">
        <v>15</v>
      </c>
      <c r="J12439" s="2" t="s">
        <v>2651</v>
      </c>
      <c r="K12439" s="2" t="s">
        <v>16560</v>
      </c>
      <c r="L12439" s="2">
        <f t="shared" si="194"/>
        <v>150</v>
      </c>
    </row>
    <row r="12440" spans="1:12" ht="25" customHeight="1">
      <c r="A12440" s="2" t="s">
        <v>12</v>
      </c>
      <c r="B12440" s="2" t="str">
        <f>HYPERLINK("http://bbs.12365auto.com/postcontent.aspx?tID=193235","豪车常用的主动式进气格栅究竟有什么用")</f>
        <v>豪车常用的主动式进气格栅究竟有什么用</v>
      </c>
      <c r="C12440" s="2" t="s">
        <v>13</v>
      </c>
      <c r="D12440" s="2" t="s">
        <v>12</v>
      </c>
      <c r="E12440" s="2" t="s">
        <v>214</v>
      </c>
      <c r="F12440" s="2" t="str">
        <f>HYPERLINK("http://bbs.12365auto.com/postcontent.aspx?tID=193235","http://bbs.12365auto.com/postcontent.aspx?tID=193235")</f>
        <v>http://bbs.12365auto.com/postcontent.aspx?tID=193235</v>
      </c>
      <c r="G12440" s="2"/>
      <c r="H12440" s="2" t="s">
        <v>16565</v>
      </c>
      <c r="I12440" s="2" t="s">
        <v>15</v>
      </c>
      <c r="J12440" s="2" t="s">
        <v>2651</v>
      </c>
      <c r="K12440" s="2" t="s">
        <v>16560</v>
      </c>
      <c r="L12440" s="2">
        <f t="shared" si="194"/>
        <v>150</v>
      </c>
    </row>
    <row r="12441" spans="1:12" ht="25" customHeight="1">
      <c r="A12441" s="2" t="s">
        <v>12</v>
      </c>
      <c r="B12441" s="2" t="str">
        <f>HYPERLINK("http://bbs.12365auto.com/postcontent.aspx?tId=193233","新年最值得期待的三款SUV 有你的菜吗")</f>
        <v>新年最值得期待的三款SUV 有你的菜吗</v>
      </c>
      <c r="C12441" s="2" t="s">
        <v>13</v>
      </c>
      <c r="D12441" s="2" t="s">
        <v>12</v>
      </c>
      <c r="E12441" s="2" t="s">
        <v>210</v>
      </c>
      <c r="F12441" s="2" t="str">
        <f>HYPERLINK("http://bbs.12365auto.com/postcontent.aspx?tId=193233","http://bbs.12365auto.com/postcontent.aspx?tId=193233")</f>
        <v>http://bbs.12365auto.com/postcontent.aspx?tId=193233</v>
      </c>
      <c r="G12441" s="2"/>
      <c r="H12441" s="2" t="s">
        <v>16566</v>
      </c>
      <c r="I12441" s="2" t="s">
        <v>15</v>
      </c>
      <c r="J12441" s="2" t="s">
        <v>2651</v>
      </c>
      <c r="K12441" s="2" t="s">
        <v>16567</v>
      </c>
      <c r="L12441" s="2">
        <f t="shared" si="194"/>
        <v>150</v>
      </c>
    </row>
    <row r="12442" spans="1:12" ht="25" customHeight="1">
      <c r="A12442" s="2" t="s">
        <v>12</v>
      </c>
      <c r="B12442" s="2" t="str">
        <f>HYPERLINK("http://bbs.12365auto.com/postcontent.aspx?tID=193233","新年最值得期待的三款SUV 有你的菜吗")</f>
        <v>新年最值得期待的三款SUV 有你的菜吗</v>
      </c>
      <c r="C12442" s="2" t="s">
        <v>13</v>
      </c>
      <c r="D12442" s="2" t="s">
        <v>12</v>
      </c>
      <c r="E12442" s="2" t="s">
        <v>214</v>
      </c>
      <c r="F12442" s="2" t="str">
        <f>HYPERLINK("http://bbs.12365auto.com/postcontent.aspx?tID=193233","http://bbs.12365auto.com/postcontent.aspx?tID=193233")</f>
        <v>http://bbs.12365auto.com/postcontent.aspx?tID=193233</v>
      </c>
      <c r="G12442" s="2"/>
      <c r="H12442" s="2" t="s">
        <v>16568</v>
      </c>
      <c r="I12442" s="2" t="s">
        <v>15</v>
      </c>
      <c r="J12442" s="2" t="s">
        <v>2651</v>
      </c>
      <c r="K12442" s="2" t="s">
        <v>16567</v>
      </c>
      <c r="L12442" s="2">
        <f t="shared" si="194"/>
        <v>150</v>
      </c>
    </row>
    <row r="12443" spans="1:12" ht="25" customHeight="1">
      <c r="A12443" s="2" t="s">
        <v>12</v>
      </c>
      <c r="B12443" s="2" t="str">
        <f>HYPERLINK("http://www.12365auto.com/xcdg/20200204/417640.shtml","马斯克又来立Flag？Model S续航达400英里")</f>
        <v>马斯克又来立Flag？Model S续航达400英里</v>
      </c>
      <c r="C12443" s="2" t="s">
        <v>13</v>
      </c>
      <c r="D12443" s="2" t="s">
        <v>12</v>
      </c>
      <c r="E12443" s="2" t="s">
        <v>245</v>
      </c>
      <c r="F12443" s="2" t="str">
        <f>HYPERLINK("http://www.12365auto.com/xcdg/20200204/417640.shtml","http://www.12365auto.com/xcdg/20200204/417640.shtml")</f>
        <v>http://www.12365auto.com/xcdg/20200204/417640.shtml</v>
      </c>
      <c r="G12443" s="2"/>
      <c r="H12443" s="2" t="s">
        <v>16569</v>
      </c>
      <c r="I12443" s="2" t="s">
        <v>19</v>
      </c>
      <c r="J12443" s="2" t="s">
        <v>12</v>
      </c>
      <c r="K12443" s="2" t="s">
        <v>16567</v>
      </c>
      <c r="L12443" s="2">
        <f t="shared" si="194"/>
        <v>150</v>
      </c>
    </row>
    <row r="12444" spans="1:12" ht="25" customHeight="1">
      <c r="A12444" s="2" t="s">
        <v>12</v>
      </c>
      <c r="B12444" s="2" t="str">
        <f>HYPERLINK("http://m.12365auto.com/xcdg/20200204/417640.shtml","马斯克又来立Flag？Model S续航达400英里")</f>
        <v>马斯克又来立Flag？Model S续航达400英里</v>
      </c>
      <c r="C12444" s="2" t="s">
        <v>13</v>
      </c>
      <c r="D12444" s="2" t="s">
        <v>12</v>
      </c>
      <c r="E12444" s="2"/>
      <c r="F12444" s="2" t="str">
        <f>HYPERLINK("http://m.12365auto.com/xcdg/20200204/417640.shtml","http://m.12365auto.com/xcdg/20200204/417640.shtml")</f>
        <v>http://m.12365auto.com/xcdg/20200204/417640.shtml</v>
      </c>
      <c r="G12444" s="2"/>
      <c r="H12444" s="2" t="s">
        <v>16570</v>
      </c>
      <c r="I12444" s="2" t="s">
        <v>19</v>
      </c>
      <c r="J12444" s="2" t="s">
        <v>1117</v>
      </c>
      <c r="K12444" s="2" t="s">
        <v>16567</v>
      </c>
      <c r="L12444" s="2">
        <f t="shared" si="194"/>
        <v>150</v>
      </c>
    </row>
    <row r="12445" spans="1:12" ht="25" customHeight="1">
      <c r="A12445" s="2" t="s">
        <v>12</v>
      </c>
      <c r="B12445" s="2" t="str">
        <f>HYPERLINK("http://bbs.12365auto.com/postcontent.aspx?tId=193232","这么多车用双离合 但为什么总有人不喜欢")</f>
        <v>这么多车用双离合 但为什么总有人不喜欢</v>
      </c>
      <c r="C12445" s="2" t="s">
        <v>13</v>
      </c>
      <c r="D12445" s="2" t="s">
        <v>12</v>
      </c>
      <c r="E12445" s="2" t="s">
        <v>210</v>
      </c>
      <c r="F12445" s="2" t="str">
        <f>HYPERLINK("http://bbs.12365auto.com/postcontent.aspx?tId=193232","http://bbs.12365auto.com/postcontent.aspx?tId=193232")</f>
        <v>http://bbs.12365auto.com/postcontent.aspx?tId=193232</v>
      </c>
      <c r="G12445" s="2"/>
      <c r="H12445" s="2" t="s">
        <v>16571</v>
      </c>
      <c r="I12445" s="2" t="s">
        <v>15</v>
      </c>
      <c r="J12445" s="2" t="s">
        <v>2651</v>
      </c>
      <c r="K12445" s="2" t="s">
        <v>16572</v>
      </c>
      <c r="L12445" s="2">
        <f t="shared" si="194"/>
        <v>150</v>
      </c>
    </row>
    <row r="12446" spans="1:12" ht="25" customHeight="1">
      <c r="A12446" s="2" t="s">
        <v>12</v>
      </c>
      <c r="B12446" s="2" t="str">
        <f>HYPERLINK("http://bbs.12365auto.com/postcontent.aspx?tID=193231","别让爱车受染 你可以这样给内饰消毒")</f>
        <v>别让爱车受染 你可以这样给内饰消毒</v>
      </c>
      <c r="C12446" s="2" t="s">
        <v>13</v>
      </c>
      <c r="D12446" s="2" t="s">
        <v>12</v>
      </c>
      <c r="E12446" s="2" t="s">
        <v>214</v>
      </c>
      <c r="F12446" s="2" t="str">
        <f>HYPERLINK("http://bbs.12365auto.com/postcontent.aspx?tID=193231","http://bbs.12365auto.com/postcontent.aspx?tID=193231")</f>
        <v>http://bbs.12365auto.com/postcontent.aspx?tID=193231</v>
      </c>
      <c r="G12446" s="2"/>
      <c r="H12446" s="2" t="s">
        <v>16573</v>
      </c>
      <c r="I12446" s="2" t="s">
        <v>15</v>
      </c>
      <c r="J12446" s="2" t="s">
        <v>2651</v>
      </c>
      <c r="K12446" s="2" t="s">
        <v>16572</v>
      </c>
      <c r="L12446" s="2">
        <f t="shared" si="194"/>
        <v>150</v>
      </c>
    </row>
    <row r="12447" spans="1:12" ht="25" customHeight="1">
      <c r="A12447" s="2" t="s">
        <v>12</v>
      </c>
      <c r="B12447" s="2" t="str">
        <f>HYPERLINK("http://bbs.12365auto.com/postcontent.aspx?tID=193232","这么多车用双离合 但为什么总有人不喜欢")</f>
        <v>这么多车用双离合 但为什么总有人不喜欢</v>
      </c>
      <c r="C12447" s="2" t="s">
        <v>13</v>
      </c>
      <c r="D12447" s="2" t="s">
        <v>12</v>
      </c>
      <c r="E12447" s="2" t="s">
        <v>214</v>
      </c>
      <c r="F12447" s="2" t="str">
        <f>HYPERLINK("http://bbs.12365auto.com/postcontent.aspx?tID=193232","http://bbs.12365auto.com/postcontent.aspx?tID=193232")</f>
        <v>http://bbs.12365auto.com/postcontent.aspx?tID=193232</v>
      </c>
      <c r="G12447" s="2"/>
      <c r="H12447" s="2" t="s">
        <v>16574</v>
      </c>
      <c r="I12447" s="2" t="s">
        <v>15</v>
      </c>
      <c r="J12447" s="2" t="s">
        <v>2651</v>
      </c>
      <c r="K12447" s="2" t="s">
        <v>16572</v>
      </c>
      <c r="L12447" s="2">
        <f t="shared" si="194"/>
        <v>150</v>
      </c>
    </row>
    <row r="12448" spans="1:12" ht="25" customHeight="1">
      <c r="A12448" s="2" t="s">
        <v>12</v>
      </c>
      <c r="B12448" s="2" t="str">
        <f>HYPERLINK("http://bbs.12365auto.com/postcontent.aspx?tId=193231","别让爱车受染 你可以这样给内饰消毒")</f>
        <v>别让爱车受染 你可以这样给内饰消毒</v>
      </c>
      <c r="C12448" s="2" t="s">
        <v>13</v>
      </c>
      <c r="D12448" s="2" t="s">
        <v>12</v>
      </c>
      <c r="E12448" s="2" t="s">
        <v>210</v>
      </c>
      <c r="F12448" s="2" t="str">
        <f>HYPERLINK("http://bbs.12365auto.com/postcontent.aspx?tId=193231","http://bbs.12365auto.com/postcontent.aspx?tId=193231")</f>
        <v>http://bbs.12365auto.com/postcontent.aspx?tId=193231</v>
      </c>
      <c r="G12448" s="2"/>
      <c r="H12448" s="2" t="s">
        <v>16575</v>
      </c>
      <c r="I12448" s="2" t="s">
        <v>15</v>
      </c>
      <c r="J12448" s="2" t="s">
        <v>2651</v>
      </c>
      <c r="K12448" s="2" t="s">
        <v>16572</v>
      </c>
      <c r="L12448" s="2">
        <f t="shared" si="194"/>
        <v>150</v>
      </c>
    </row>
    <row r="12449" spans="1:12" ht="25" customHeight="1">
      <c r="A12449" s="2" t="s">
        <v>12</v>
      </c>
      <c r="B12449" s="2" t="str">
        <f>HYPERLINK("http://www.12365auto.com/xcdg/20200204/417639.shtml","格栅终被玩坏 宝马M440i xDrive渲染图")</f>
        <v>格栅终被玩坏 宝马M440i xDrive渲染图</v>
      </c>
      <c r="C12449" s="2" t="s">
        <v>13</v>
      </c>
      <c r="D12449" s="2" t="s">
        <v>12</v>
      </c>
      <c r="E12449" s="2" t="s">
        <v>245</v>
      </c>
      <c r="F12449" s="2" t="str">
        <f>HYPERLINK("http://www.12365auto.com/xcdg/20200204/417639.shtml","http://www.12365auto.com/xcdg/20200204/417639.shtml")</f>
        <v>http://www.12365auto.com/xcdg/20200204/417639.shtml</v>
      </c>
      <c r="G12449" s="2"/>
      <c r="H12449" s="2" t="s">
        <v>16576</v>
      </c>
      <c r="I12449" s="2" t="s">
        <v>19</v>
      </c>
      <c r="J12449" s="2" t="s">
        <v>12</v>
      </c>
      <c r="K12449" s="2" t="s">
        <v>16577</v>
      </c>
      <c r="L12449" s="2">
        <f t="shared" si="194"/>
        <v>150</v>
      </c>
    </row>
    <row r="12450" spans="1:12" ht="25" customHeight="1">
      <c r="A12450" s="2" t="s">
        <v>12</v>
      </c>
      <c r="B12450" s="2" t="str">
        <f>HYPERLINK("http://m.12365auto.com/xcdg/20200204/417639.shtml","格栅终被玩坏 宝马M440i xDrive渲染图")</f>
        <v>格栅终被玩坏 宝马M440i xDrive渲染图</v>
      </c>
      <c r="C12450" s="2" t="s">
        <v>13</v>
      </c>
      <c r="D12450" s="2" t="s">
        <v>12</v>
      </c>
      <c r="E12450" s="2"/>
      <c r="F12450" s="2" t="str">
        <f>HYPERLINK("http://m.12365auto.com/xcdg/20200204/417639.shtml","http://m.12365auto.com/xcdg/20200204/417639.shtml")</f>
        <v>http://m.12365auto.com/xcdg/20200204/417639.shtml</v>
      </c>
      <c r="G12450" s="2"/>
      <c r="H12450" s="2" t="s">
        <v>16578</v>
      </c>
      <c r="I12450" s="2" t="s">
        <v>19</v>
      </c>
      <c r="J12450" s="2" t="s">
        <v>1117</v>
      </c>
      <c r="K12450" s="2" t="s">
        <v>16577</v>
      </c>
      <c r="L12450" s="2">
        <f t="shared" si="194"/>
        <v>150</v>
      </c>
    </row>
    <row r="12451" spans="1:12" ht="25" customHeight="1">
      <c r="A12451" s="2" t="s">
        <v>12</v>
      </c>
      <c r="B12451" s="2" t="str">
        <f>HYPERLINK("http://m.12365auto.com/xcdg/20200204/417638.shtml","皓影PK途岳 强者对决谁的实力更硬核？")</f>
        <v>皓影PK途岳 强者对决谁的实力更硬核？</v>
      </c>
      <c r="C12451" s="2" t="s">
        <v>13</v>
      </c>
      <c r="D12451" s="2" t="s">
        <v>12</v>
      </c>
      <c r="E12451" s="2"/>
      <c r="F12451" s="2" t="str">
        <f>HYPERLINK("http://m.12365auto.com/xcdg/20200204/417638.shtml","http://m.12365auto.com/xcdg/20200204/417638.shtml")</f>
        <v>http://m.12365auto.com/xcdg/20200204/417638.shtml</v>
      </c>
      <c r="G12451" s="2"/>
      <c r="H12451" s="2" t="s">
        <v>16579</v>
      </c>
      <c r="I12451" s="2" t="s">
        <v>19</v>
      </c>
      <c r="J12451" s="2" t="s">
        <v>8277</v>
      </c>
      <c r="K12451" s="2" t="s">
        <v>16580</v>
      </c>
      <c r="L12451" s="2">
        <f t="shared" si="194"/>
        <v>150</v>
      </c>
    </row>
    <row r="12452" spans="1:12" ht="25" customHeight="1">
      <c r="A12452" s="2" t="s">
        <v>12</v>
      </c>
      <c r="B12452" s="2" t="str">
        <f>HYPERLINK("http://www.12365auto.com/zlts/20200204/446283.shtml","电瓶电量不足")</f>
        <v>电瓶电量不足</v>
      </c>
      <c r="C12452" s="2" t="s">
        <v>13</v>
      </c>
      <c r="D12452" s="2" t="s">
        <v>12</v>
      </c>
      <c r="E12452" s="2"/>
      <c r="F12452" s="2" t="str">
        <f>HYPERLINK("http://www.12365auto.com/zlts/20200204/446283.shtml","http://www.12365auto.com/zlts/20200204/446283.shtml")</f>
        <v>http://www.12365auto.com/zlts/20200204/446283.shtml</v>
      </c>
      <c r="G12452" s="2"/>
      <c r="H12452" s="2" t="s">
        <v>16582</v>
      </c>
      <c r="I12452" s="2" t="s">
        <v>15</v>
      </c>
      <c r="J12452" s="2" t="s">
        <v>12</v>
      </c>
      <c r="K12452" s="2" t="s">
        <v>16581</v>
      </c>
      <c r="L12452" s="2">
        <f t="shared" si="194"/>
        <v>85</v>
      </c>
    </row>
    <row r="12453" spans="1:12" ht="25" customHeight="1">
      <c r="A12453" s="2" t="s">
        <v>12</v>
      </c>
      <c r="B12453" s="2" t="str">
        <f>HYPERLINK("http://www.12365auto.com/xcdg/20200204/417637.shtml","2021款起亚Seltos官图发布 提供多种配置")</f>
        <v>2021款起亚Seltos官图发布 提供多种配置</v>
      </c>
      <c r="C12453" s="2" t="s">
        <v>13</v>
      </c>
      <c r="D12453" s="2" t="s">
        <v>12</v>
      </c>
      <c r="E12453" s="2" t="s">
        <v>216</v>
      </c>
      <c r="F12453" s="2" t="str">
        <f>HYPERLINK("http://www.12365auto.com/xcdg/20200204/417637.shtml","http://www.12365auto.com/xcdg/20200204/417637.shtml")</f>
        <v>http://www.12365auto.com/xcdg/20200204/417637.shtml</v>
      </c>
      <c r="G12453" s="2"/>
      <c r="H12453" s="2" t="s">
        <v>16583</v>
      </c>
      <c r="I12453" s="2" t="s">
        <v>15</v>
      </c>
      <c r="J12453" s="2" t="s">
        <v>12</v>
      </c>
      <c r="K12453" s="2" t="s">
        <v>16584</v>
      </c>
      <c r="L12453" s="2">
        <f t="shared" si="194"/>
        <v>150</v>
      </c>
    </row>
    <row r="12454" spans="1:12" ht="25" customHeight="1">
      <c r="A12454" s="2" t="s">
        <v>12</v>
      </c>
      <c r="B12454" s="2" t="str">
        <f>HYPERLINK("http://m.12365auto.com/xcdg/20200204/417637.shtml","2021款起亚Seltos官图发布 提供多种配置")</f>
        <v>2021款起亚Seltos官图发布 提供多种配置</v>
      </c>
      <c r="C12454" s="2" t="s">
        <v>13</v>
      </c>
      <c r="D12454" s="2" t="s">
        <v>12</v>
      </c>
      <c r="E12454" s="2"/>
      <c r="F12454" s="2" t="str">
        <f>HYPERLINK("http://m.12365auto.com/xcdg/20200204/417637.shtml","http://m.12365auto.com/xcdg/20200204/417637.shtml")</f>
        <v>http://m.12365auto.com/xcdg/20200204/417637.shtml</v>
      </c>
      <c r="G12454" s="2"/>
      <c r="H12454" s="2" t="s">
        <v>16585</v>
      </c>
      <c r="I12454" s="2" t="s">
        <v>19</v>
      </c>
      <c r="J12454" s="2" t="s">
        <v>702</v>
      </c>
      <c r="K12454" s="2" t="s">
        <v>16584</v>
      </c>
      <c r="L12454" s="2">
        <f t="shared" si="194"/>
        <v>150</v>
      </c>
    </row>
    <row r="12455" spans="1:12" ht="25" customHeight="1">
      <c r="A12455" s="2" t="s">
        <v>12</v>
      </c>
      <c r="B12455" s="2" t="str">
        <f>HYPERLINK("http://www.12365auto.com/xcdg/20200204/417636.shtml","足不出户看新车 2020年值得购买的美系SUV")</f>
        <v>足不出户看新车 2020年值得购买的美系SUV</v>
      </c>
      <c r="C12455" s="2" t="s">
        <v>13</v>
      </c>
      <c r="D12455" s="2" t="s">
        <v>12</v>
      </c>
      <c r="E12455" s="2" t="s">
        <v>216</v>
      </c>
      <c r="F12455" s="2" t="str">
        <f>HYPERLINK("http://www.12365auto.com/xcdg/20200204/417636.shtml","http://www.12365auto.com/xcdg/20200204/417636.shtml")</f>
        <v>http://www.12365auto.com/xcdg/20200204/417636.shtml</v>
      </c>
      <c r="G12455" s="2"/>
      <c r="H12455" s="2" t="s">
        <v>16586</v>
      </c>
      <c r="I12455" s="2" t="s">
        <v>15</v>
      </c>
      <c r="J12455" s="2" t="s">
        <v>12</v>
      </c>
      <c r="K12455" s="2" t="s">
        <v>16587</v>
      </c>
      <c r="L12455" s="2">
        <f t="shared" si="194"/>
        <v>150</v>
      </c>
    </row>
    <row r="12456" spans="1:12" ht="25" customHeight="1">
      <c r="A12456" s="2" t="s">
        <v>12</v>
      </c>
      <c r="B12456" s="2" t="str">
        <f>HYPERLINK("http://m.12365auto.com/xcdg/20200204/417636.shtml","足不出户看新车 2020年值得购买的美系SUV")</f>
        <v>足不出户看新车 2020年值得购买的美系SUV</v>
      </c>
      <c r="C12456" s="2" t="s">
        <v>13</v>
      </c>
      <c r="D12456" s="2" t="s">
        <v>12</v>
      </c>
      <c r="E12456" s="2"/>
      <c r="F12456" s="2" t="str">
        <f>HYPERLINK("http://m.12365auto.com/xcdg/20200204/417636.shtml","http://m.12365auto.com/xcdg/20200204/417636.shtml")</f>
        <v>http://m.12365auto.com/xcdg/20200204/417636.shtml</v>
      </c>
      <c r="G12456" s="2"/>
      <c r="H12456" s="2" t="s">
        <v>16588</v>
      </c>
      <c r="I12456" s="2" t="s">
        <v>19</v>
      </c>
      <c r="J12456" s="2" t="s">
        <v>15239</v>
      </c>
      <c r="K12456" s="2" t="s">
        <v>16587</v>
      </c>
      <c r="L12456" s="2">
        <f t="shared" si="194"/>
        <v>150</v>
      </c>
    </row>
    <row r="12457" spans="1:12" ht="25" customHeight="1">
      <c r="A12457" s="2" t="s">
        <v>12</v>
      </c>
      <c r="B12457" s="2" t="str">
        <f>HYPERLINK("http://m.12365auto.com/news/20200204/417635.shtml","雷克萨斯全年销量76.5万台 中国市场飙升")</f>
        <v>雷克萨斯全年销量76.5万台 中国市场飙升</v>
      </c>
      <c r="C12457" s="2" t="s">
        <v>13</v>
      </c>
      <c r="D12457" s="2" t="s">
        <v>12</v>
      </c>
      <c r="E12457" s="2"/>
      <c r="F12457" s="2" t="str">
        <f>HYPERLINK("http://m.12365auto.com/news/20200204/417635.shtml","http://m.12365auto.com/news/20200204/417635.shtml")</f>
        <v>http://m.12365auto.com/news/20200204/417635.shtml</v>
      </c>
      <c r="G12457" s="2"/>
      <c r="H12457" s="2" t="s">
        <v>16589</v>
      </c>
      <c r="I12457" s="2" t="s">
        <v>19</v>
      </c>
      <c r="J12457" s="2" t="s">
        <v>958</v>
      </c>
      <c r="K12457" s="2" t="s">
        <v>16590</v>
      </c>
      <c r="L12457" s="2">
        <f t="shared" si="194"/>
        <v>150</v>
      </c>
    </row>
    <row r="12458" spans="1:12" ht="25" customHeight="1">
      <c r="A12458" s="2" t="s">
        <v>12</v>
      </c>
      <c r="B12458" s="2" t="str">
        <f>HYPERLINK("http://www.12365auto.com/news/20200204/417635.shtml","雷克萨斯全年销量76.5万台 中国市场飙升")</f>
        <v>雷克萨斯全年销量76.5万台 中国市场飙升</v>
      </c>
      <c r="C12458" s="2" t="s">
        <v>13</v>
      </c>
      <c r="D12458" s="2" t="s">
        <v>12</v>
      </c>
      <c r="E12458" s="2" t="s">
        <v>276</v>
      </c>
      <c r="F12458" s="2" t="str">
        <f>HYPERLINK("http://www.12365auto.com/news/20200204/417635.shtml","http://www.12365auto.com/news/20200204/417635.shtml")</f>
        <v>http://www.12365auto.com/news/20200204/417635.shtml</v>
      </c>
      <c r="G12458" s="2"/>
      <c r="H12458" s="2" t="s">
        <v>16591</v>
      </c>
      <c r="I12458" s="2" t="s">
        <v>15</v>
      </c>
      <c r="J12458" s="2" t="s">
        <v>12</v>
      </c>
      <c r="K12458" s="2" t="s">
        <v>16590</v>
      </c>
      <c r="L12458" s="2">
        <f t="shared" si="194"/>
        <v>150</v>
      </c>
    </row>
    <row r="12459" spans="1:12" ht="25" customHeight="1">
      <c r="A12459" s="2" t="s">
        <v>12</v>
      </c>
      <c r="B12459" s="2" t="str">
        <f>HYPERLINK("http://m.12365auto.com/news/20200204/417634.shtml","残值率超ABB 豪华品牌林肯都做了什么？")</f>
        <v>残值率超ABB 豪华品牌林肯都做了什么？</v>
      </c>
      <c r="C12459" s="2" t="s">
        <v>13</v>
      </c>
      <c r="D12459" s="2" t="s">
        <v>12</v>
      </c>
      <c r="E12459" s="2"/>
      <c r="F12459" s="2" t="str">
        <f>HYPERLINK("http://m.12365auto.com/news/20200204/417634.shtml","http://m.12365auto.com/news/20200204/417634.shtml")</f>
        <v>http://m.12365auto.com/news/20200204/417634.shtml</v>
      </c>
      <c r="G12459" s="2"/>
      <c r="H12459" s="2" t="s">
        <v>16592</v>
      </c>
      <c r="I12459" s="2" t="s">
        <v>19</v>
      </c>
      <c r="J12459" s="2" t="s">
        <v>958</v>
      </c>
      <c r="K12459" s="2" t="s">
        <v>16593</v>
      </c>
      <c r="L12459" s="2">
        <f t="shared" si="194"/>
        <v>150</v>
      </c>
    </row>
    <row r="12460" spans="1:12" ht="25" customHeight="1">
      <c r="A12460" s="2" t="s">
        <v>12</v>
      </c>
      <c r="B12460" s="2" t="str">
        <f>HYPERLINK("http://www.12365auto.com/news/20200204/417634.shtml","残值率超ABB 豪华品牌林肯都做了什么？")</f>
        <v>残值率超ABB 豪华品牌林肯都做了什么？</v>
      </c>
      <c r="C12460" s="2" t="s">
        <v>13</v>
      </c>
      <c r="D12460" s="2" t="s">
        <v>12</v>
      </c>
      <c r="E12460" s="2" t="s">
        <v>276</v>
      </c>
      <c r="F12460" s="2" t="str">
        <f>HYPERLINK("http://www.12365auto.com/news/20200204/417634.shtml","http://www.12365auto.com/news/20200204/417634.shtml")</f>
        <v>http://www.12365auto.com/news/20200204/417634.shtml</v>
      </c>
      <c r="G12460" s="2"/>
      <c r="H12460" s="2" t="s">
        <v>16594</v>
      </c>
      <c r="I12460" s="2" t="s">
        <v>15</v>
      </c>
      <c r="J12460" s="2" t="s">
        <v>12</v>
      </c>
      <c r="K12460" s="2" t="s">
        <v>16593</v>
      </c>
      <c r="L12460" s="2">
        <f t="shared" si="194"/>
        <v>150</v>
      </c>
    </row>
    <row r="12461" spans="1:12" ht="25" customHeight="1">
      <c r="A12461" s="2" t="s">
        <v>12</v>
      </c>
      <c r="B12461" s="2" t="str">
        <f>HYPERLINK("http://m.12365auto.com/news/20200204/417633.shtml","奔驰产品计划：2020年底前推32款新车型")</f>
        <v>奔驰产品计划：2020年底前推32款新车型</v>
      </c>
      <c r="C12461" s="2" t="s">
        <v>13</v>
      </c>
      <c r="D12461" s="2" t="s">
        <v>12</v>
      </c>
      <c r="E12461" s="2"/>
      <c r="F12461" s="2" t="str">
        <f>HYPERLINK("http://m.12365auto.com/news/20200204/417633.shtml","http://m.12365auto.com/news/20200204/417633.shtml")</f>
        <v>http://m.12365auto.com/news/20200204/417633.shtml</v>
      </c>
      <c r="G12461" s="2"/>
      <c r="H12461" s="2" t="s">
        <v>16595</v>
      </c>
      <c r="I12461" s="2" t="s">
        <v>19</v>
      </c>
      <c r="J12461" s="2" t="s">
        <v>958</v>
      </c>
      <c r="K12461" s="2" t="s">
        <v>16596</v>
      </c>
      <c r="L12461" s="2">
        <f t="shared" si="194"/>
        <v>150</v>
      </c>
    </row>
    <row r="12462" spans="1:12" ht="25" customHeight="1">
      <c r="A12462" s="2" t="s">
        <v>12</v>
      </c>
      <c r="B12462" s="2" t="str">
        <f>HYPERLINK("http://www.12365auto.com/news/20200204/417633.shtml","奔驰产品计划：2020年底前推32款新车型")</f>
        <v>奔驰产品计划：2020年底前推32款新车型</v>
      </c>
      <c r="C12462" s="2" t="s">
        <v>13</v>
      </c>
      <c r="D12462" s="2" t="s">
        <v>12</v>
      </c>
      <c r="E12462" s="2" t="s">
        <v>276</v>
      </c>
      <c r="F12462" s="2" t="str">
        <f>HYPERLINK("http://www.12365auto.com/news/20200204/417633.shtml","http://www.12365auto.com/news/20200204/417633.shtml")</f>
        <v>http://www.12365auto.com/news/20200204/417633.shtml</v>
      </c>
      <c r="G12462" s="2"/>
      <c r="H12462" s="2" t="s">
        <v>16597</v>
      </c>
      <c r="I12462" s="2" t="s">
        <v>15</v>
      </c>
      <c r="J12462" s="2" t="s">
        <v>12</v>
      </c>
      <c r="K12462" s="2" t="s">
        <v>16596</v>
      </c>
      <c r="L12462" s="2">
        <f t="shared" si="194"/>
        <v>150</v>
      </c>
    </row>
    <row r="12463" spans="1:12" ht="25" customHeight="1">
      <c r="A12463" s="2" t="s">
        <v>12</v>
      </c>
      <c r="B12463" s="2" t="str">
        <f>HYPERLINK("http://m.12365auto.com/xcdg/20200204/417632.shtml","20万买到正经性能车？领克03 值不值得买")</f>
        <v>20万买到正经性能车？领克03 值不值得买</v>
      </c>
      <c r="C12463" s="2" t="s">
        <v>13</v>
      </c>
      <c r="D12463" s="2" t="s">
        <v>12</v>
      </c>
      <c r="E12463" s="2"/>
      <c r="F12463" s="2" t="str">
        <f>HYPERLINK("http://m.12365auto.com/xcdg/20200204/417632.shtml","http://m.12365auto.com/xcdg/20200204/417632.shtml")</f>
        <v>http://m.12365auto.com/xcdg/20200204/417632.shtml</v>
      </c>
      <c r="G12463" s="2"/>
      <c r="H12463" s="2" t="s">
        <v>16598</v>
      </c>
      <c r="I12463" s="2" t="s">
        <v>19</v>
      </c>
      <c r="J12463" s="2" t="s">
        <v>1247</v>
      </c>
      <c r="K12463" s="2" t="s">
        <v>16599</v>
      </c>
      <c r="L12463" s="2">
        <f t="shared" si="194"/>
        <v>150</v>
      </c>
    </row>
    <row r="12464" spans="1:12" ht="25" customHeight="1">
      <c r="A12464" s="2" t="s">
        <v>12</v>
      </c>
      <c r="B12464" s="2" t="str">
        <f>HYPERLINK("http://m.12365auto.com/xcdg/20200204/417631.shtml","老友间的相爱相杀 3系/C级和A4L该选谁？")</f>
        <v>老友间的相爱相杀 3系/C级和A4L该选谁？</v>
      </c>
      <c r="C12464" s="2" t="s">
        <v>13</v>
      </c>
      <c r="D12464" s="2" t="s">
        <v>12</v>
      </c>
      <c r="E12464" s="2"/>
      <c r="F12464" s="2" t="str">
        <f>HYPERLINK("http://m.12365auto.com/xcdg/20200204/417631.shtml","http://m.12365auto.com/xcdg/20200204/417631.shtml")</f>
        <v>http://m.12365auto.com/xcdg/20200204/417631.shtml</v>
      </c>
      <c r="G12464" s="2"/>
      <c r="H12464" s="2" t="s">
        <v>16600</v>
      </c>
      <c r="I12464" s="2" t="s">
        <v>19</v>
      </c>
      <c r="J12464" s="2" t="s">
        <v>6112</v>
      </c>
      <c r="K12464" s="2" t="s">
        <v>16601</v>
      </c>
      <c r="L12464" s="2">
        <f t="shared" si="194"/>
        <v>150</v>
      </c>
    </row>
    <row r="12465" spans="1:12" ht="25" customHeight="1">
      <c r="A12465" s="2" t="s">
        <v>12</v>
      </c>
      <c r="B12465" s="2" t="str">
        <f>HYPERLINK("http://www.12365auto.com/parts/20200204/417630.shtml","奇瑞2.0T最新进展 已搭载实车进行路试")</f>
        <v>奇瑞2.0T最新进展 已搭载实车进行路试</v>
      </c>
      <c r="C12465" s="2" t="s">
        <v>13</v>
      </c>
      <c r="D12465" s="2" t="s">
        <v>12</v>
      </c>
      <c r="E12465" s="2" t="s">
        <v>240</v>
      </c>
      <c r="F12465" s="2" t="str">
        <f>HYPERLINK("http://www.12365auto.com/parts/20200204/417630.shtml","http://www.12365auto.com/parts/20200204/417630.shtml")</f>
        <v>http://www.12365auto.com/parts/20200204/417630.shtml</v>
      </c>
      <c r="G12465" s="2"/>
      <c r="H12465" s="2" t="s">
        <v>16602</v>
      </c>
      <c r="I12465" s="2" t="s">
        <v>15</v>
      </c>
      <c r="J12465" s="2" t="s">
        <v>12</v>
      </c>
      <c r="K12465" s="2" t="s">
        <v>16603</v>
      </c>
      <c r="L12465" s="2">
        <f t="shared" si="194"/>
        <v>150</v>
      </c>
    </row>
    <row r="12466" spans="1:12" ht="25" customHeight="1">
      <c r="A12466" s="2" t="s">
        <v>12</v>
      </c>
      <c r="B12466" s="2" t="str">
        <f>HYPERLINK("http://m.12365auto.com/parts/20200204/417630.shtml","奇瑞2.0T最新进展 已搭载实车进行路试")</f>
        <v>奇瑞2.0T最新进展 已搭载实车进行路试</v>
      </c>
      <c r="C12466" s="2" t="s">
        <v>13</v>
      </c>
      <c r="D12466" s="2" t="s">
        <v>12</v>
      </c>
      <c r="E12466" s="2"/>
      <c r="F12466" s="2" t="str">
        <f>HYPERLINK("http://m.12365auto.com/parts/20200204/417630.shtml","http://m.12365auto.com/parts/20200204/417630.shtml")</f>
        <v>http://m.12365auto.com/parts/20200204/417630.shtml</v>
      </c>
      <c r="G12466" s="2"/>
      <c r="H12466" s="2" t="s">
        <v>16604</v>
      </c>
      <c r="I12466" s="2" t="s">
        <v>19</v>
      </c>
      <c r="J12466" s="2" t="s">
        <v>6086</v>
      </c>
      <c r="K12466" s="2" t="s">
        <v>16603</v>
      </c>
      <c r="L12466" s="2">
        <f t="shared" si="194"/>
        <v>150</v>
      </c>
    </row>
    <row r="12467" spans="1:12" ht="25" customHeight="1">
      <c r="A12467" s="2" t="s">
        <v>12</v>
      </c>
      <c r="B12467" s="2" t="str">
        <f>HYPERLINK("http://www.12365auto.com/xcdg/20200204/417629.shtml","广汽本田2020年新车展望 凌派增混动")</f>
        <v>广汽本田2020年新车展望 凌派增混动</v>
      </c>
      <c r="C12467" s="2" t="s">
        <v>13</v>
      </c>
      <c r="D12467" s="2" t="s">
        <v>12</v>
      </c>
      <c r="E12467" s="2" t="s">
        <v>216</v>
      </c>
      <c r="F12467" s="2" t="str">
        <f>HYPERLINK("http://www.12365auto.com/xcdg/20200204/417629.shtml","http://www.12365auto.com/xcdg/20200204/417629.shtml")</f>
        <v>http://www.12365auto.com/xcdg/20200204/417629.shtml</v>
      </c>
      <c r="G12467" s="2"/>
      <c r="H12467" s="2" t="s">
        <v>16605</v>
      </c>
      <c r="I12467" s="2" t="s">
        <v>15</v>
      </c>
      <c r="J12467" s="2" t="s">
        <v>12</v>
      </c>
      <c r="K12467" s="2" t="s">
        <v>16606</v>
      </c>
      <c r="L12467" s="2">
        <f t="shared" si="194"/>
        <v>150</v>
      </c>
    </row>
    <row r="12468" spans="1:12" ht="25" customHeight="1">
      <c r="A12468" s="2" t="s">
        <v>12</v>
      </c>
      <c r="B12468" s="2" t="str">
        <f>HYPERLINK("http://m.12365auto.com/xcdg/20200204/417629.shtml","广汽本田2020年新车展望 凌派增混动")</f>
        <v>广汽本田2020年新车展望 凌派增混动</v>
      </c>
      <c r="C12468" s="2" t="s">
        <v>13</v>
      </c>
      <c r="D12468" s="2" t="s">
        <v>12</v>
      </c>
      <c r="E12468" s="2"/>
      <c r="F12468" s="2" t="str">
        <f>HYPERLINK("http://m.12365auto.com/xcdg/20200204/417629.shtml","http://m.12365auto.com/xcdg/20200204/417629.shtml")</f>
        <v>http://m.12365auto.com/xcdg/20200204/417629.shtml</v>
      </c>
      <c r="G12468" s="2"/>
      <c r="H12468" s="2" t="s">
        <v>16607</v>
      </c>
      <c r="I12468" s="2" t="s">
        <v>19</v>
      </c>
      <c r="J12468" s="2" t="s">
        <v>739</v>
      </c>
      <c r="K12468" s="2" t="s">
        <v>16606</v>
      </c>
      <c r="L12468" s="2">
        <f t="shared" si="194"/>
        <v>150</v>
      </c>
    </row>
    <row r="12469" spans="1:12" ht="25" customHeight="1">
      <c r="A12469" s="2" t="s">
        <v>12</v>
      </c>
      <c r="B12469" s="2" t="str">
        <f>HYPERLINK("http://www.12365auto.com/xcdg/20200204/417628.shtml","雷克萨斯新款LC上市 售价公布/搭3.5L混动")</f>
        <v>雷克萨斯新款LC上市 售价公布/搭3.5L混动</v>
      </c>
      <c r="C12469" s="2" t="s">
        <v>13</v>
      </c>
      <c r="D12469" s="2" t="s">
        <v>12</v>
      </c>
      <c r="E12469" s="2" t="s">
        <v>216</v>
      </c>
      <c r="F12469" s="2" t="str">
        <f>HYPERLINK("http://www.12365auto.com/xcdg/20200204/417628.shtml","http://www.12365auto.com/xcdg/20200204/417628.shtml")</f>
        <v>http://www.12365auto.com/xcdg/20200204/417628.shtml</v>
      </c>
      <c r="G12469" s="2"/>
      <c r="H12469" s="2" t="s">
        <v>16608</v>
      </c>
      <c r="I12469" s="2" t="s">
        <v>15</v>
      </c>
      <c r="J12469" s="2" t="s">
        <v>12</v>
      </c>
      <c r="K12469" s="2" t="s">
        <v>16609</v>
      </c>
      <c r="L12469" s="2">
        <f t="shared" si="194"/>
        <v>150</v>
      </c>
    </row>
    <row r="12470" spans="1:12" ht="25" customHeight="1">
      <c r="A12470" s="2" t="s">
        <v>12</v>
      </c>
      <c r="B12470" s="2" t="str">
        <f>HYPERLINK("http://m.12365auto.com/xcdg/20200204/417628.shtml","雷克萨斯新款LC上市 售价公布/搭3.5L混动")</f>
        <v>雷克萨斯新款LC上市 售价公布/搭3.5L混动</v>
      </c>
      <c r="C12470" s="2" t="s">
        <v>13</v>
      </c>
      <c r="D12470" s="2" t="s">
        <v>12</v>
      </c>
      <c r="E12470" s="2"/>
      <c r="F12470" s="2" t="str">
        <f>HYPERLINK("http://m.12365auto.com/xcdg/20200204/417628.shtml","http://m.12365auto.com/xcdg/20200204/417628.shtml")</f>
        <v>http://m.12365auto.com/xcdg/20200204/417628.shtml</v>
      </c>
      <c r="G12470" s="2"/>
      <c r="H12470" s="2" t="s">
        <v>16610</v>
      </c>
      <c r="I12470" s="2" t="s">
        <v>19</v>
      </c>
      <c r="J12470" s="2" t="s">
        <v>13601</v>
      </c>
      <c r="K12470" s="2" t="s">
        <v>16609</v>
      </c>
      <c r="L12470" s="2">
        <f t="shared" si="194"/>
        <v>150</v>
      </c>
    </row>
    <row r="12471" spans="1:12" ht="25" customHeight="1">
      <c r="A12471" s="2" t="s">
        <v>12</v>
      </c>
      <c r="B12471" s="2" t="str">
        <f>HYPERLINK("http://www.12365auto.com/xcdg/20200204/417627.shtml","阿尔法·罗密欧全新SUV官图发布 下月亮相")</f>
        <v>阿尔法·罗密欧全新SUV官图发布 下月亮相</v>
      </c>
      <c r="C12471" s="2" t="s">
        <v>13</v>
      </c>
      <c r="D12471" s="2" t="s">
        <v>12</v>
      </c>
      <c r="E12471" s="2" t="s">
        <v>216</v>
      </c>
      <c r="F12471" s="2" t="str">
        <f>HYPERLINK("http://www.12365auto.com/xcdg/20200204/417627.shtml","http://www.12365auto.com/xcdg/20200204/417627.shtml")</f>
        <v>http://www.12365auto.com/xcdg/20200204/417627.shtml</v>
      </c>
      <c r="G12471" s="2"/>
      <c r="H12471" s="2" t="s">
        <v>16611</v>
      </c>
      <c r="I12471" s="2" t="s">
        <v>15</v>
      </c>
      <c r="J12471" s="2" t="s">
        <v>12</v>
      </c>
      <c r="K12471" s="2" t="s">
        <v>16612</v>
      </c>
      <c r="L12471" s="2">
        <f t="shared" si="194"/>
        <v>150</v>
      </c>
    </row>
    <row r="12472" spans="1:12" ht="25" customHeight="1">
      <c r="A12472" s="2" t="s">
        <v>12</v>
      </c>
      <c r="B12472" s="2" t="str">
        <f>HYPERLINK("http://m.12365auto.com/xcdg/20200204/417627.shtml","阿尔法·罗密欧全新SUV官图发布 下月亮相")</f>
        <v>阿尔法·罗密欧全新SUV官图发布 下月亮相</v>
      </c>
      <c r="C12472" s="2" t="s">
        <v>13</v>
      </c>
      <c r="D12472" s="2" t="s">
        <v>12</v>
      </c>
      <c r="E12472" s="2"/>
      <c r="F12472" s="2" t="str">
        <f>HYPERLINK("http://m.12365auto.com/xcdg/20200204/417627.shtml","http://m.12365auto.com/xcdg/20200204/417627.shtml")</f>
        <v>http://m.12365auto.com/xcdg/20200204/417627.shtml</v>
      </c>
      <c r="G12472" s="2"/>
      <c r="H12472" s="2" t="s">
        <v>16613</v>
      </c>
      <c r="I12472" s="2" t="s">
        <v>19</v>
      </c>
      <c r="J12472" s="2" t="s">
        <v>220</v>
      </c>
      <c r="K12472" s="2" t="s">
        <v>16612</v>
      </c>
      <c r="L12472" s="2">
        <f t="shared" si="194"/>
        <v>150</v>
      </c>
    </row>
    <row r="12473" spans="1:12" ht="25" customHeight="1">
      <c r="A12473" s="2" t="s">
        <v>12</v>
      </c>
      <c r="B12473" s="2" t="str">
        <f>HYPERLINK("http://www.12365auto.com/xcdg/20200204/417626.shtml","面对困难 风骏5国六版本改为线上上市")</f>
        <v>面对困难 风骏5国六版本改为线上上市</v>
      </c>
      <c r="C12473" s="2" t="s">
        <v>13</v>
      </c>
      <c r="D12473" s="2" t="s">
        <v>12</v>
      </c>
      <c r="E12473" s="2" t="s">
        <v>216</v>
      </c>
      <c r="F12473" s="2" t="str">
        <f>HYPERLINK("http://www.12365auto.com/xcdg/20200204/417626.shtml","http://www.12365auto.com/xcdg/20200204/417626.shtml")</f>
        <v>http://www.12365auto.com/xcdg/20200204/417626.shtml</v>
      </c>
      <c r="G12473" s="2"/>
      <c r="H12473" s="2" t="s">
        <v>16614</v>
      </c>
      <c r="I12473" s="2" t="s">
        <v>15</v>
      </c>
      <c r="J12473" s="2" t="s">
        <v>12</v>
      </c>
      <c r="K12473" s="2" t="s">
        <v>16615</v>
      </c>
      <c r="L12473" s="2">
        <f t="shared" si="194"/>
        <v>150</v>
      </c>
    </row>
    <row r="12474" spans="1:12" ht="25" customHeight="1">
      <c r="A12474" s="2" t="s">
        <v>12</v>
      </c>
      <c r="B12474" s="2" t="str">
        <f>HYPERLINK("http://m.12365auto.com/xcdg/20200204/417626.shtml","面对困难 风骏5国六版本改为线上上市")</f>
        <v>面对困难 风骏5国六版本改为线上上市</v>
      </c>
      <c r="C12474" s="2" t="s">
        <v>13</v>
      </c>
      <c r="D12474" s="2" t="s">
        <v>12</v>
      </c>
      <c r="E12474" s="2"/>
      <c r="F12474" s="2" t="str">
        <f>HYPERLINK("http://m.12365auto.com/xcdg/20200204/417626.shtml","http://m.12365auto.com/xcdg/20200204/417626.shtml")</f>
        <v>http://m.12365auto.com/xcdg/20200204/417626.shtml</v>
      </c>
      <c r="G12474" s="2"/>
      <c r="H12474" s="2" t="s">
        <v>16616</v>
      </c>
      <c r="I12474" s="2" t="s">
        <v>19</v>
      </c>
      <c r="J12474" s="2" t="s">
        <v>249</v>
      </c>
      <c r="K12474" s="2" t="s">
        <v>16615</v>
      </c>
      <c r="L12474" s="2">
        <f t="shared" si="194"/>
        <v>150</v>
      </c>
    </row>
    <row r="12475" spans="1:12" ht="25" customHeight="1">
      <c r="A12475" s="2" t="s">
        <v>12</v>
      </c>
      <c r="B12475" s="2" t="str">
        <f>HYPERLINK("http://m.12365auto.com/news/20200204/417625.shtml","电动车不用着急保养 等疫情过去也不迟")</f>
        <v>电动车不用着急保养 等疫情过去也不迟</v>
      </c>
      <c r="C12475" s="2" t="s">
        <v>13</v>
      </c>
      <c r="D12475" s="2" t="s">
        <v>12</v>
      </c>
      <c r="E12475" s="2"/>
      <c r="F12475" s="2" t="str">
        <f>HYPERLINK("http://m.12365auto.com/news/20200204/417625.shtml","http://m.12365auto.com/news/20200204/417625.shtml")</f>
        <v>http://m.12365auto.com/news/20200204/417625.shtml</v>
      </c>
      <c r="G12475" s="2"/>
      <c r="H12475" s="2" t="s">
        <v>16617</v>
      </c>
      <c r="I12475" s="2" t="s">
        <v>19</v>
      </c>
      <c r="J12475" s="2" t="s">
        <v>222</v>
      </c>
      <c r="K12475" s="2" t="s">
        <v>16618</v>
      </c>
      <c r="L12475" s="2">
        <f t="shared" si="194"/>
        <v>150</v>
      </c>
    </row>
    <row r="12476" spans="1:12" ht="25" customHeight="1">
      <c r="A12476" s="2" t="s">
        <v>12</v>
      </c>
      <c r="B12476" s="2" t="str">
        <f>HYPERLINK("http://www.12365auto.com/news/20200204/417625.shtml","电动车不用着急保养 等疫情过去也不迟")</f>
        <v>电动车不用着急保养 等疫情过去也不迟</v>
      </c>
      <c r="C12476" s="2" t="s">
        <v>13</v>
      </c>
      <c r="D12476" s="2" t="s">
        <v>12</v>
      </c>
      <c r="E12476" s="2" t="s">
        <v>372</v>
      </c>
      <c r="F12476" s="2" t="str">
        <f>HYPERLINK("http://www.12365auto.com/news/20200204/417625.shtml","http://www.12365auto.com/news/20200204/417625.shtml")</f>
        <v>http://www.12365auto.com/news/20200204/417625.shtml</v>
      </c>
      <c r="G12476" s="2"/>
      <c r="H12476" s="2" t="s">
        <v>16619</v>
      </c>
      <c r="I12476" s="2" t="s">
        <v>15</v>
      </c>
      <c r="J12476" s="2" t="s">
        <v>12</v>
      </c>
      <c r="K12476" s="2" t="s">
        <v>16618</v>
      </c>
      <c r="L12476" s="2">
        <f t="shared" si="194"/>
        <v>150</v>
      </c>
    </row>
    <row r="12477" spans="1:12" ht="25" customHeight="1">
      <c r="A12477" s="2" t="s">
        <v>12</v>
      </c>
      <c r="B12477" s="2" t="str">
        <f>HYPERLINK("http://m.12365auto.com/news/20200204/417624.shtml","在家别拿车打发时间 这几点误区要注意")</f>
        <v>在家别拿车打发时间 这几点误区要注意</v>
      </c>
      <c r="C12477" s="2" t="s">
        <v>13</v>
      </c>
      <c r="D12477" s="2" t="s">
        <v>12</v>
      </c>
      <c r="E12477" s="2"/>
      <c r="F12477" s="2" t="str">
        <f>HYPERLINK("http://m.12365auto.com/news/20200204/417624.shtml","http://m.12365auto.com/news/20200204/417624.shtml")</f>
        <v>http://m.12365auto.com/news/20200204/417624.shtml</v>
      </c>
      <c r="G12477" s="2"/>
      <c r="H12477" s="2" t="s">
        <v>16620</v>
      </c>
      <c r="I12477" s="2" t="s">
        <v>19</v>
      </c>
      <c r="J12477" s="2" t="s">
        <v>222</v>
      </c>
      <c r="K12477" s="2" t="s">
        <v>16621</v>
      </c>
      <c r="L12477" s="2">
        <f t="shared" si="194"/>
        <v>150</v>
      </c>
    </row>
    <row r="12478" spans="1:12" ht="25" customHeight="1">
      <c r="A12478" s="2" t="s">
        <v>12</v>
      </c>
      <c r="B12478" s="2" t="str">
        <f>HYPERLINK("http://www.12365auto.com/news/20200204/417624.shtml","在家别拿车打发时间 这几点误区要注意")</f>
        <v>在家别拿车打发时间 这几点误区要注意</v>
      </c>
      <c r="C12478" s="2" t="s">
        <v>13</v>
      </c>
      <c r="D12478" s="2" t="s">
        <v>12</v>
      </c>
      <c r="E12478" s="2" t="s">
        <v>372</v>
      </c>
      <c r="F12478" s="2" t="str">
        <f>HYPERLINK("http://www.12365auto.com/news/20200204/417624.shtml","http://www.12365auto.com/news/20200204/417624.shtml")</f>
        <v>http://www.12365auto.com/news/20200204/417624.shtml</v>
      </c>
      <c r="G12478" s="2"/>
      <c r="H12478" s="2" t="s">
        <v>16622</v>
      </c>
      <c r="I12478" s="2" t="s">
        <v>15</v>
      </c>
      <c r="J12478" s="2" t="s">
        <v>12</v>
      </c>
      <c r="K12478" s="2" t="s">
        <v>16621</v>
      </c>
      <c r="L12478" s="2">
        <f t="shared" si="194"/>
        <v>150</v>
      </c>
    </row>
    <row r="12479" spans="1:12" ht="25" customHeight="1">
      <c r="A12479" s="2" t="s">
        <v>12</v>
      </c>
      <c r="B12479" s="2" t="str">
        <f>HYPERLINK("http://www.12365auto.com/xcdg/20200204/417623.shtml","东风风光2020年将推出5款新车 ix5增四驱")</f>
        <v>东风风光2020年将推出5款新车 ix5增四驱</v>
      </c>
      <c r="C12479" s="2" t="s">
        <v>13</v>
      </c>
      <c r="D12479" s="2" t="s">
        <v>12</v>
      </c>
      <c r="E12479" s="2" t="s">
        <v>216</v>
      </c>
      <c r="F12479" s="2" t="str">
        <f>HYPERLINK("http://www.12365auto.com/xcdg/20200204/417623.shtml","http://www.12365auto.com/xcdg/20200204/417623.shtml")</f>
        <v>http://www.12365auto.com/xcdg/20200204/417623.shtml</v>
      </c>
      <c r="G12479" s="2"/>
      <c r="H12479" s="2" t="s">
        <v>16623</v>
      </c>
      <c r="I12479" s="2" t="s">
        <v>15</v>
      </c>
      <c r="J12479" s="2" t="s">
        <v>12</v>
      </c>
      <c r="K12479" s="2" t="s">
        <v>16624</v>
      </c>
      <c r="L12479" s="2">
        <f t="shared" si="194"/>
        <v>150</v>
      </c>
    </row>
    <row r="12480" spans="1:12" ht="25" customHeight="1">
      <c r="A12480" s="2" t="s">
        <v>12</v>
      </c>
      <c r="B12480" s="2" t="str">
        <f>HYPERLINK("http://m.12365auto.com/xcdg/20200204/417623.shtml","东风风光2020年将推出5款新车 ix5增四驱")</f>
        <v>东风风光2020年将推出5款新车 ix5增四驱</v>
      </c>
      <c r="C12480" s="2" t="s">
        <v>13</v>
      </c>
      <c r="D12480" s="2" t="s">
        <v>12</v>
      </c>
      <c r="E12480" s="2"/>
      <c r="F12480" s="2" t="str">
        <f>HYPERLINK("http://m.12365auto.com/xcdg/20200204/417623.shtml","http://m.12365auto.com/xcdg/20200204/417623.shtml")</f>
        <v>http://m.12365auto.com/xcdg/20200204/417623.shtml</v>
      </c>
      <c r="G12480" s="2"/>
      <c r="H12480" s="2" t="s">
        <v>16625</v>
      </c>
      <c r="I12480" s="2" t="s">
        <v>19</v>
      </c>
      <c r="J12480" s="2" t="s">
        <v>2928</v>
      </c>
      <c r="K12480" s="2" t="s">
        <v>16624</v>
      </c>
      <c r="L12480" s="2">
        <f t="shared" si="194"/>
        <v>150</v>
      </c>
    </row>
    <row r="12481" spans="1:12" ht="25" customHeight="1">
      <c r="A12481" s="2" t="s">
        <v>12</v>
      </c>
      <c r="B12481" s="2" t="str">
        <f>HYPERLINK("http://www.12365auto.com/xcdg/20200204/417622.shtml","吉利2020年新车 7座SUV豪越比汉兰达还大")</f>
        <v>吉利2020年新车 7座SUV豪越比汉兰达还大</v>
      </c>
      <c r="C12481" s="2" t="s">
        <v>13</v>
      </c>
      <c r="D12481" s="2" t="s">
        <v>12</v>
      </c>
      <c r="E12481" s="2" t="s">
        <v>216</v>
      </c>
      <c r="F12481" s="2" t="str">
        <f>HYPERLINK("http://www.12365auto.com/xcdg/20200204/417622.shtml","http://www.12365auto.com/xcdg/20200204/417622.shtml")</f>
        <v>http://www.12365auto.com/xcdg/20200204/417622.shtml</v>
      </c>
      <c r="G12481" s="2"/>
      <c r="H12481" s="2" t="s">
        <v>16626</v>
      </c>
      <c r="I12481" s="2" t="s">
        <v>15</v>
      </c>
      <c r="J12481" s="2" t="s">
        <v>12</v>
      </c>
      <c r="K12481" s="2" t="s">
        <v>16627</v>
      </c>
      <c r="L12481" s="2">
        <f t="shared" si="194"/>
        <v>150</v>
      </c>
    </row>
    <row r="12482" spans="1:12" ht="25" customHeight="1">
      <c r="A12482" s="2" t="s">
        <v>12</v>
      </c>
      <c r="B12482" s="2" t="str">
        <f>HYPERLINK("http://m.12365auto.com/xcdg/20200204/417622.shtml","吉利2020年新车 7座SUV豪越比汉兰达还大")</f>
        <v>吉利2020年新车 7座SUV豪越比汉兰达还大</v>
      </c>
      <c r="C12482" s="2" t="s">
        <v>13</v>
      </c>
      <c r="D12482" s="2" t="s">
        <v>12</v>
      </c>
      <c r="E12482" s="2"/>
      <c r="F12482" s="2" t="str">
        <f>HYPERLINK("http://m.12365auto.com/xcdg/20200204/417622.shtml","http://m.12365auto.com/xcdg/20200204/417622.shtml")</f>
        <v>http://m.12365auto.com/xcdg/20200204/417622.shtml</v>
      </c>
      <c r="G12482" s="2"/>
      <c r="H12482" s="2" t="s">
        <v>16628</v>
      </c>
      <c r="I12482" s="2" t="s">
        <v>19</v>
      </c>
      <c r="J12482" s="2" t="s">
        <v>6086</v>
      </c>
      <c r="K12482" s="2" t="s">
        <v>16627</v>
      </c>
      <c r="L12482" s="2">
        <f t="shared" si="194"/>
        <v>150</v>
      </c>
    </row>
    <row r="12483" spans="1:12" ht="25" customHeight="1">
      <c r="A12483" s="2" t="s">
        <v>12</v>
      </c>
      <c r="B12483" s="2" t="str">
        <f>HYPERLINK("http://www.12365auto.com/xcdg/20200204/417621.shtml","奔驰全新E级工厂实拍 下月发布/油耗大降")</f>
        <v>奔驰全新E级工厂实拍 下月发布/油耗大降</v>
      </c>
      <c r="C12483" s="2" t="s">
        <v>13</v>
      </c>
      <c r="D12483" s="2" t="s">
        <v>12</v>
      </c>
      <c r="E12483" s="2" t="s">
        <v>216</v>
      </c>
      <c r="F12483" s="2" t="str">
        <f>HYPERLINK("http://www.12365auto.com/xcdg/20200204/417621.shtml","http://www.12365auto.com/xcdg/20200204/417621.shtml")</f>
        <v>http://www.12365auto.com/xcdg/20200204/417621.shtml</v>
      </c>
      <c r="G12483" s="2"/>
      <c r="H12483" s="2" t="s">
        <v>16629</v>
      </c>
      <c r="I12483" s="2" t="s">
        <v>15</v>
      </c>
      <c r="J12483" s="2" t="s">
        <v>12</v>
      </c>
      <c r="K12483" s="2" t="s">
        <v>16630</v>
      </c>
      <c r="L12483" s="2">
        <f t="shared" ref="L12483:L12546" si="195">LEN(H12483)</f>
        <v>150</v>
      </c>
    </row>
    <row r="12484" spans="1:12" ht="25" customHeight="1">
      <c r="A12484" s="2" t="s">
        <v>12</v>
      </c>
      <c r="B12484" s="2" t="str">
        <f>HYPERLINK("http://m.12365auto.com/xcdg/20200204/417621.shtml","奔驰全新E级工厂实拍 下月发布/油耗大降")</f>
        <v>奔驰全新E级工厂实拍 下月发布/油耗大降</v>
      </c>
      <c r="C12484" s="2" t="s">
        <v>13</v>
      </c>
      <c r="D12484" s="2" t="s">
        <v>12</v>
      </c>
      <c r="E12484" s="2"/>
      <c r="F12484" s="2" t="str">
        <f>HYPERLINK("http://m.12365auto.com/xcdg/20200204/417621.shtml","http://m.12365auto.com/xcdg/20200204/417621.shtml")</f>
        <v>http://m.12365auto.com/xcdg/20200204/417621.shtml</v>
      </c>
      <c r="G12484" s="2"/>
      <c r="H12484" s="2" t="s">
        <v>16631</v>
      </c>
      <c r="I12484" s="2" t="s">
        <v>19</v>
      </c>
      <c r="J12484" s="2" t="s">
        <v>220</v>
      </c>
      <c r="K12484" s="2" t="s">
        <v>16630</v>
      </c>
      <c r="L12484" s="2">
        <f t="shared" si="195"/>
        <v>150</v>
      </c>
    </row>
    <row r="12485" spans="1:12" ht="25" customHeight="1">
      <c r="A12485" s="2" t="s">
        <v>12</v>
      </c>
      <c r="B12485" s="2" t="str">
        <f>HYPERLINK("http://www.12365auto.com/xcdg/20200204/417620.shtml","捷尼赛思GV80曝光 三种动力/内饰不逊GLE")</f>
        <v>捷尼赛思GV80曝光 三种动力/内饰不逊GLE</v>
      </c>
      <c r="C12485" s="2" t="s">
        <v>13</v>
      </c>
      <c r="D12485" s="2" t="s">
        <v>12</v>
      </c>
      <c r="E12485" s="2" t="s">
        <v>216</v>
      </c>
      <c r="F12485" s="2" t="str">
        <f>HYPERLINK("http://www.12365auto.com/xcdg/20200204/417620.shtml","http://www.12365auto.com/xcdg/20200204/417620.shtml")</f>
        <v>http://www.12365auto.com/xcdg/20200204/417620.shtml</v>
      </c>
      <c r="G12485" s="2"/>
      <c r="H12485" s="2" t="s">
        <v>16632</v>
      </c>
      <c r="I12485" s="2" t="s">
        <v>15</v>
      </c>
      <c r="J12485" s="2" t="s">
        <v>12</v>
      </c>
      <c r="K12485" s="2" t="s">
        <v>16633</v>
      </c>
      <c r="L12485" s="2">
        <f t="shared" si="195"/>
        <v>150</v>
      </c>
    </row>
    <row r="12486" spans="1:12" ht="25" customHeight="1">
      <c r="A12486" s="2" t="s">
        <v>12</v>
      </c>
      <c r="B12486" s="2" t="str">
        <f>HYPERLINK("http://m.12365auto.com/xcdg/20200204/417620.shtml","捷尼赛思GV80曝光 三种动力/内饰不逊GLE")</f>
        <v>捷尼赛思GV80曝光 三种动力/内饰不逊GLE</v>
      </c>
      <c r="C12486" s="2" t="s">
        <v>13</v>
      </c>
      <c r="D12486" s="2" t="s">
        <v>12</v>
      </c>
      <c r="E12486" s="2"/>
      <c r="F12486" s="2" t="str">
        <f>HYPERLINK("http://m.12365auto.com/xcdg/20200204/417620.shtml","http://m.12365auto.com/xcdg/20200204/417620.shtml")</f>
        <v>http://m.12365auto.com/xcdg/20200204/417620.shtml</v>
      </c>
      <c r="G12486" s="2"/>
      <c r="H12486" s="2" t="s">
        <v>16634</v>
      </c>
      <c r="I12486" s="2" t="s">
        <v>19</v>
      </c>
      <c r="J12486" s="2" t="s">
        <v>220</v>
      </c>
      <c r="K12486" s="2" t="s">
        <v>16633</v>
      </c>
      <c r="L12486" s="2">
        <f t="shared" si="195"/>
        <v>150</v>
      </c>
    </row>
    <row r="12487" spans="1:12" ht="25" customHeight="1">
      <c r="A12487" s="2" t="s">
        <v>12</v>
      </c>
      <c r="B12487" s="2" t="str">
        <f>HYPERLINK("http://www.12365auto.com/news/20200204/417619.shtml","NEDC续航是怎么测的？这个数值究竟靠谱吗")</f>
        <v>NEDC续航是怎么测的？这个数值究竟靠谱吗</v>
      </c>
      <c r="C12487" s="2" t="s">
        <v>13</v>
      </c>
      <c r="D12487" s="2" t="s">
        <v>12</v>
      </c>
      <c r="E12487" s="2" t="s">
        <v>372</v>
      </c>
      <c r="F12487" s="2" t="str">
        <f>HYPERLINK("http://www.12365auto.com/news/20200204/417619.shtml","http://www.12365auto.com/news/20200204/417619.shtml")</f>
        <v>http://www.12365auto.com/news/20200204/417619.shtml</v>
      </c>
      <c r="G12487" s="2"/>
      <c r="H12487" s="2" t="s">
        <v>16635</v>
      </c>
      <c r="I12487" s="2" t="s">
        <v>15</v>
      </c>
      <c r="J12487" s="2" t="s">
        <v>12</v>
      </c>
      <c r="K12487" s="2" t="s">
        <v>16636</v>
      </c>
      <c r="L12487" s="2">
        <f t="shared" si="195"/>
        <v>150</v>
      </c>
    </row>
    <row r="12488" spans="1:12" ht="25" customHeight="1">
      <c r="A12488" s="2" t="s">
        <v>12</v>
      </c>
      <c r="B12488" s="2" t="str">
        <f>HYPERLINK("http://m.12365auto.com/news/20200204/417619.shtml","NEDC续航是怎么测的？这个数值究竟靠谱吗")</f>
        <v>NEDC续航是怎么测的？这个数值究竟靠谱吗</v>
      </c>
      <c r="C12488" s="2" t="s">
        <v>13</v>
      </c>
      <c r="D12488" s="2" t="s">
        <v>12</v>
      </c>
      <c r="E12488" s="2"/>
      <c r="F12488" s="2" t="str">
        <f>HYPERLINK("http://m.12365auto.com/news/20200204/417619.shtml","http://m.12365auto.com/news/20200204/417619.shtml")</f>
        <v>http://m.12365auto.com/news/20200204/417619.shtml</v>
      </c>
      <c r="G12488" s="2"/>
      <c r="H12488" s="2" t="s">
        <v>16637</v>
      </c>
      <c r="I12488" s="2" t="s">
        <v>19</v>
      </c>
      <c r="J12488" s="2" t="s">
        <v>222</v>
      </c>
      <c r="K12488" s="2" t="s">
        <v>16636</v>
      </c>
      <c r="L12488" s="2">
        <f t="shared" si="195"/>
        <v>150</v>
      </c>
    </row>
    <row r="12489" spans="1:12" ht="25" customHeight="1">
      <c r="A12489" s="2" t="s">
        <v>12</v>
      </c>
      <c r="B12489" s="2" t="str">
        <f>HYPERLINK("http://www.12365auto.com/xcdg/20200204/417618.shtml","路虎发现运动版到店实拍 2月21日上市")</f>
        <v>路虎发现运动版到店实拍 2月21日上市</v>
      </c>
      <c r="C12489" s="2" t="s">
        <v>13</v>
      </c>
      <c r="D12489" s="2" t="s">
        <v>12</v>
      </c>
      <c r="E12489" s="2" t="s">
        <v>216</v>
      </c>
      <c r="F12489" s="2" t="str">
        <f>HYPERLINK("http://www.12365auto.com/xcdg/20200204/417618.shtml","http://www.12365auto.com/xcdg/20200204/417618.shtml")</f>
        <v>http://www.12365auto.com/xcdg/20200204/417618.shtml</v>
      </c>
      <c r="G12489" s="2"/>
      <c r="H12489" s="2" t="s">
        <v>16638</v>
      </c>
      <c r="I12489" s="2" t="s">
        <v>15</v>
      </c>
      <c r="J12489" s="2" t="s">
        <v>12</v>
      </c>
      <c r="K12489" s="2" t="s">
        <v>16639</v>
      </c>
      <c r="L12489" s="2">
        <f t="shared" si="195"/>
        <v>150</v>
      </c>
    </row>
    <row r="12490" spans="1:12" ht="25" customHeight="1">
      <c r="A12490" s="2" t="s">
        <v>12</v>
      </c>
      <c r="B12490" s="2" t="str">
        <f>HYPERLINK("http://m.12365auto.com/xcdg/20200204/417618.shtml","路虎发现运动版到店实拍 2月21日上市")</f>
        <v>路虎发现运动版到店实拍 2月21日上市</v>
      </c>
      <c r="C12490" s="2" t="s">
        <v>13</v>
      </c>
      <c r="D12490" s="2" t="s">
        <v>12</v>
      </c>
      <c r="E12490" s="2"/>
      <c r="F12490" s="2" t="str">
        <f>HYPERLINK("http://m.12365auto.com/xcdg/20200204/417618.shtml","http://m.12365auto.com/xcdg/20200204/417618.shtml")</f>
        <v>http://m.12365auto.com/xcdg/20200204/417618.shtml</v>
      </c>
      <c r="G12490" s="2"/>
      <c r="H12490" s="2" t="s">
        <v>16640</v>
      </c>
      <c r="I12490" s="2" t="s">
        <v>19</v>
      </c>
      <c r="J12490" s="2" t="s">
        <v>2603</v>
      </c>
      <c r="K12490" s="2" t="s">
        <v>16639</v>
      </c>
      <c r="L12490" s="2">
        <f t="shared" si="195"/>
        <v>150</v>
      </c>
    </row>
    <row r="12491" spans="1:12" ht="25" customHeight="1">
      <c r="A12491" s="2" t="s">
        <v>12</v>
      </c>
      <c r="B12491" s="2" t="str">
        <f>HYPERLINK("http://www.12365auto.com/xcdg/20200204/417617.shtml","克莱斯勒全新大捷龙 搭V6引擎/或搭四驱")</f>
        <v>克莱斯勒全新大捷龙 搭V6引擎/或搭四驱</v>
      </c>
      <c r="C12491" s="2" t="s">
        <v>13</v>
      </c>
      <c r="D12491" s="2" t="s">
        <v>12</v>
      </c>
      <c r="E12491" s="2" t="s">
        <v>224</v>
      </c>
      <c r="F12491" s="2" t="str">
        <f>HYPERLINK("http://www.12365auto.com/xcdg/20200204/417617.shtml","http://www.12365auto.com/xcdg/20200204/417617.shtml")</f>
        <v>http://www.12365auto.com/xcdg/20200204/417617.shtml</v>
      </c>
      <c r="G12491" s="2"/>
      <c r="H12491" s="2" t="s">
        <v>16641</v>
      </c>
      <c r="I12491" s="2" t="s">
        <v>15</v>
      </c>
      <c r="J12491" s="2" t="s">
        <v>12</v>
      </c>
      <c r="K12491" s="2" t="s">
        <v>16642</v>
      </c>
      <c r="L12491" s="2">
        <f t="shared" si="195"/>
        <v>150</v>
      </c>
    </row>
    <row r="12492" spans="1:12" ht="25" customHeight="1">
      <c r="A12492" s="2" t="s">
        <v>12</v>
      </c>
      <c r="B12492" s="2" t="str">
        <f>HYPERLINK("http://m.12365auto.com/xcdg/20200204/417617.shtml","克莱斯勒全新大捷龙 搭V6引擎/或搭四驱")</f>
        <v>克莱斯勒全新大捷龙 搭V6引擎/或搭四驱</v>
      </c>
      <c r="C12492" s="2" t="s">
        <v>13</v>
      </c>
      <c r="D12492" s="2" t="s">
        <v>12</v>
      </c>
      <c r="E12492" s="2"/>
      <c r="F12492" s="2" t="str">
        <f>HYPERLINK("http://m.12365auto.com/xcdg/20200204/417617.shtml","http://m.12365auto.com/xcdg/20200204/417617.shtml")</f>
        <v>http://m.12365auto.com/xcdg/20200204/417617.shtml</v>
      </c>
      <c r="G12492" s="2"/>
      <c r="H12492" s="2" t="s">
        <v>16643</v>
      </c>
      <c r="I12492" s="2" t="s">
        <v>19</v>
      </c>
      <c r="J12492" s="2" t="s">
        <v>220</v>
      </c>
      <c r="K12492" s="2" t="s">
        <v>16642</v>
      </c>
      <c r="L12492" s="2">
        <f t="shared" si="195"/>
        <v>150</v>
      </c>
    </row>
    <row r="12493" spans="1:12" ht="25" customHeight="1">
      <c r="A12493" s="2" t="s">
        <v>12</v>
      </c>
      <c r="B12493" s="2" t="str">
        <f>HYPERLINK("http://www.12365auto.com/xcdg/20200204/417616.shtml","大众全新高尔夫R-Line车型实拍 外观运动")</f>
        <v>大众全新高尔夫R-Line车型实拍 外观运动</v>
      </c>
      <c r="C12493" s="2" t="s">
        <v>13</v>
      </c>
      <c r="D12493" s="2" t="s">
        <v>12</v>
      </c>
      <c r="E12493" s="2" t="s">
        <v>216</v>
      </c>
      <c r="F12493" s="2" t="str">
        <f>HYPERLINK("http://www.12365auto.com/xcdg/20200204/417616.shtml","http://www.12365auto.com/xcdg/20200204/417616.shtml")</f>
        <v>http://www.12365auto.com/xcdg/20200204/417616.shtml</v>
      </c>
      <c r="G12493" s="2"/>
      <c r="H12493" s="2" t="s">
        <v>16644</v>
      </c>
      <c r="I12493" s="2" t="s">
        <v>15</v>
      </c>
      <c r="J12493" s="2" t="s">
        <v>12</v>
      </c>
      <c r="K12493" s="2" t="s">
        <v>16645</v>
      </c>
      <c r="L12493" s="2">
        <f t="shared" si="195"/>
        <v>150</v>
      </c>
    </row>
    <row r="12494" spans="1:12" ht="25" customHeight="1">
      <c r="A12494" s="2" t="s">
        <v>12</v>
      </c>
      <c r="B12494" s="2" t="str">
        <f>HYPERLINK("http://m.12365auto.com/xcdg/20200204/417616.shtml","大众全新高尔夫R-Line车型实拍 外观运动")</f>
        <v>大众全新高尔夫R-Line车型实拍 外观运动</v>
      </c>
      <c r="C12494" s="2" t="s">
        <v>13</v>
      </c>
      <c r="D12494" s="2" t="s">
        <v>12</v>
      </c>
      <c r="E12494" s="2"/>
      <c r="F12494" s="2" t="str">
        <f>HYPERLINK("http://m.12365auto.com/xcdg/20200204/417616.shtml","http://m.12365auto.com/xcdg/20200204/417616.shtml")</f>
        <v>http://m.12365auto.com/xcdg/20200204/417616.shtml</v>
      </c>
      <c r="G12494" s="2"/>
      <c r="H12494" s="2" t="s">
        <v>16646</v>
      </c>
      <c r="I12494" s="2" t="s">
        <v>19</v>
      </c>
      <c r="J12494" s="2" t="s">
        <v>220</v>
      </c>
      <c r="K12494" s="2" t="s">
        <v>16645</v>
      </c>
      <c r="L12494" s="2">
        <f t="shared" si="195"/>
        <v>150</v>
      </c>
    </row>
    <row r="12495" spans="1:12" ht="25" customHeight="1">
      <c r="A12495" s="2" t="s">
        <v>12</v>
      </c>
      <c r="B12495" s="2" t="str">
        <f>HYPERLINK("http://www.12365auto.com/xcdg/20200204/417615.shtml","三菱全新欧蓝德渲染图曝光 1.5T引擎")</f>
        <v>三菱全新欧蓝德渲染图曝光 1.5T引擎</v>
      </c>
      <c r="C12495" s="2" t="s">
        <v>13</v>
      </c>
      <c r="D12495" s="2" t="s">
        <v>12</v>
      </c>
      <c r="E12495" s="2" t="s">
        <v>216</v>
      </c>
      <c r="F12495" s="2" t="str">
        <f>HYPERLINK("http://www.12365auto.com/xcdg/20200204/417615.shtml","http://www.12365auto.com/xcdg/20200204/417615.shtml")</f>
        <v>http://www.12365auto.com/xcdg/20200204/417615.shtml</v>
      </c>
      <c r="G12495" s="2"/>
      <c r="H12495" s="2" t="s">
        <v>16647</v>
      </c>
      <c r="I12495" s="2" t="s">
        <v>15</v>
      </c>
      <c r="J12495" s="2" t="s">
        <v>12</v>
      </c>
      <c r="K12495" s="2" t="s">
        <v>16648</v>
      </c>
      <c r="L12495" s="2">
        <f t="shared" si="195"/>
        <v>150</v>
      </c>
    </row>
    <row r="12496" spans="1:12" ht="25" customHeight="1">
      <c r="A12496" s="2" t="s">
        <v>12</v>
      </c>
      <c r="B12496" s="2" t="str">
        <f>HYPERLINK("http://m.12365auto.com/xcdg/20200204/417615.shtml","三菱全新欧蓝德渲染图曝光 1.5T引擎")</f>
        <v>三菱全新欧蓝德渲染图曝光 1.5T引擎</v>
      </c>
      <c r="C12496" s="2" t="s">
        <v>13</v>
      </c>
      <c r="D12496" s="2" t="s">
        <v>12</v>
      </c>
      <c r="E12496" s="2"/>
      <c r="F12496" s="2" t="str">
        <f>HYPERLINK("http://m.12365auto.com/xcdg/20200204/417615.shtml","http://m.12365auto.com/xcdg/20200204/417615.shtml")</f>
        <v>http://m.12365auto.com/xcdg/20200204/417615.shtml</v>
      </c>
      <c r="G12496" s="2"/>
      <c r="H12496" s="2" t="s">
        <v>16649</v>
      </c>
      <c r="I12496" s="2" t="s">
        <v>19</v>
      </c>
      <c r="J12496" s="2" t="s">
        <v>220</v>
      </c>
      <c r="K12496" s="2" t="s">
        <v>16648</v>
      </c>
      <c r="L12496" s="2">
        <f t="shared" si="195"/>
        <v>150</v>
      </c>
    </row>
    <row r="12497" spans="1:12" ht="25" customHeight="1">
      <c r="A12497" s="2" t="s">
        <v>12</v>
      </c>
      <c r="B12497" s="2" t="str">
        <f>HYPERLINK("http://www.12365auto.com/xcdg/20200204/417614.shtml","一汽丰田将推SUV 全新设计/与汉兰达同级")</f>
        <v>一汽丰田将推SUV 全新设计/与汉兰达同级</v>
      </c>
      <c r="C12497" s="2" t="s">
        <v>13</v>
      </c>
      <c r="D12497" s="2" t="s">
        <v>12</v>
      </c>
      <c r="E12497" s="2" t="s">
        <v>216</v>
      </c>
      <c r="F12497" s="2" t="str">
        <f>HYPERLINK("http://www.12365auto.com/xcdg/20200204/417614.shtml","http://www.12365auto.com/xcdg/20200204/417614.shtml")</f>
        <v>http://www.12365auto.com/xcdg/20200204/417614.shtml</v>
      </c>
      <c r="G12497" s="2"/>
      <c r="H12497" s="2" t="s">
        <v>16650</v>
      </c>
      <c r="I12497" s="2" t="s">
        <v>15</v>
      </c>
      <c r="J12497" s="2" t="s">
        <v>12</v>
      </c>
      <c r="K12497" s="2" t="s">
        <v>16651</v>
      </c>
      <c r="L12497" s="2">
        <f t="shared" si="195"/>
        <v>150</v>
      </c>
    </row>
    <row r="12498" spans="1:12" ht="25" customHeight="1">
      <c r="A12498" s="2" t="s">
        <v>12</v>
      </c>
      <c r="B12498" s="2" t="str">
        <f>HYPERLINK("http://m.12365auto.com/xcdg/20200204/417614.shtml","一汽丰田将推SUV 全新设计/与汉兰达同级")</f>
        <v>一汽丰田将推SUV 全新设计/与汉兰达同级</v>
      </c>
      <c r="C12498" s="2" t="s">
        <v>13</v>
      </c>
      <c r="D12498" s="2" t="s">
        <v>12</v>
      </c>
      <c r="E12498" s="2"/>
      <c r="F12498" s="2" t="str">
        <f>HYPERLINK("http://m.12365auto.com/xcdg/20200204/417614.shtml","http://m.12365auto.com/xcdg/20200204/417614.shtml")</f>
        <v>http://m.12365auto.com/xcdg/20200204/417614.shtml</v>
      </c>
      <c r="G12498" s="2"/>
      <c r="H12498" s="2" t="s">
        <v>16652</v>
      </c>
      <c r="I12498" s="2" t="s">
        <v>19</v>
      </c>
      <c r="J12498" s="2" t="s">
        <v>739</v>
      </c>
      <c r="K12498" s="2" t="s">
        <v>16651</v>
      </c>
      <c r="L12498" s="2">
        <f t="shared" si="195"/>
        <v>150</v>
      </c>
    </row>
    <row r="12499" spans="1:12" ht="25" customHeight="1">
      <c r="A12499" s="2" t="s">
        <v>12</v>
      </c>
      <c r="B12499" s="2" t="str">
        <f>HYPERLINK("http://www.12365auto.com/xcdg/20200204/417613.shtml","奔驰EQS最新信息曝光 年内亮相/明年上市")</f>
        <v>奔驰EQS最新信息曝光 年内亮相/明年上市</v>
      </c>
      <c r="C12499" s="2" t="s">
        <v>13</v>
      </c>
      <c r="D12499" s="2" t="s">
        <v>12</v>
      </c>
      <c r="E12499" s="2" t="s">
        <v>216</v>
      </c>
      <c r="F12499" s="2" t="str">
        <f>HYPERLINK("http://www.12365auto.com/xcdg/20200204/417613.shtml","http://www.12365auto.com/xcdg/20200204/417613.shtml")</f>
        <v>http://www.12365auto.com/xcdg/20200204/417613.shtml</v>
      </c>
      <c r="G12499" s="2"/>
      <c r="H12499" s="2" t="s">
        <v>16653</v>
      </c>
      <c r="I12499" s="2" t="s">
        <v>15</v>
      </c>
      <c r="J12499" s="2" t="s">
        <v>12</v>
      </c>
      <c r="K12499" s="2" t="s">
        <v>16654</v>
      </c>
      <c r="L12499" s="2">
        <f t="shared" si="195"/>
        <v>150</v>
      </c>
    </row>
    <row r="12500" spans="1:12" ht="25" customHeight="1">
      <c r="A12500" s="2" t="s">
        <v>12</v>
      </c>
      <c r="B12500" s="2" t="str">
        <f>HYPERLINK("http://m.12365auto.com/xcdg/20200204/417613.shtml","奔驰EQS最新信息曝光 年内亮相/明年上市")</f>
        <v>奔驰EQS最新信息曝光 年内亮相/明年上市</v>
      </c>
      <c r="C12500" s="2" t="s">
        <v>13</v>
      </c>
      <c r="D12500" s="2" t="s">
        <v>12</v>
      </c>
      <c r="E12500" s="2"/>
      <c r="F12500" s="2" t="str">
        <f>HYPERLINK("http://m.12365auto.com/xcdg/20200204/417613.shtml","http://m.12365auto.com/xcdg/20200204/417613.shtml")</f>
        <v>http://m.12365auto.com/xcdg/20200204/417613.shtml</v>
      </c>
      <c r="G12500" s="2"/>
      <c r="H12500" s="2" t="s">
        <v>16655</v>
      </c>
      <c r="I12500" s="2" t="s">
        <v>19</v>
      </c>
      <c r="J12500" s="2" t="s">
        <v>220</v>
      </c>
      <c r="K12500" s="2" t="s">
        <v>16654</v>
      </c>
      <c r="L12500" s="2">
        <f t="shared" si="195"/>
        <v>150</v>
      </c>
    </row>
    <row r="12501" spans="1:12" ht="25" customHeight="1">
      <c r="A12501" s="2" t="s">
        <v>12</v>
      </c>
      <c r="B12501" s="2" t="str">
        <f>HYPERLINK("http://www.12365auto.com/news/20200204/417612.shtml","Jeep义不容辞 致敬医护-保养5折 免费救援")</f>
        <v>Jeep义不容辞 致敬医护-保养5折 免费救援</v>
      </c>
      <c r="C12501" s="2" t="s">
        <v>13</v>
      </c>
      <c r="D12501" s="2" t="s">
        <v>12</v>
      </c>
      <c r="E12501" s="2" t="s">
        <v>276</v>
      </c>
      <c r="F12501" s="2" t="str">
        <f>HYPERLINK("http://www.12365auto.com/news/20200204/417612.shtml","http://www.12365auto.com/news/20200204/417612.shtml")</f>
        <v>http://www.12365auto.com/news/20200204/417612.shtml</v>
      </c>
      <c r="G12501" s="2"/>
      <c r="H12501" s="2" t="s">
        <v>16656</v>
      </c>
      <c r="I12501" s="2" t="s">
        <v>15</v>
      </c>
      <c r="J12501" s="2" t="s">
        <v>12</v>
      </c>
      <c r="K12501" s="2" t="s">
        <v>16657</v>
      </c>
      <c r="L12501" s="2">
        <f t="shared" si="195"/>
        <v>150</v>
      </c>
    </row>
    <row r="12502" spans="1:12" ht="25" customHeight="1">
      <c r="A12502" s="2" t="s">
        <v>12</v>
      </c>
      <c r="B12502" s="2" t="str">
        <f>HYPERLINK("http://m.12365auto.com/news/20200204/417612.shtml","Jeep义不容辞 致敬医护-保养5折 免费救援")</f>
        <v>Jeep义不容辞 致敬医护-保养5折 免费救援</v>
      </c>
      <c r="C12502" s="2" t="s">
        <v>13</v>
      </c>
      <c r="D12502" s="2" t="s">
        <v>12</v>
      </c>
      <c r="E12502" s="2"/>
      <c r="F12502" s="2" t="str">
        <f>HYPERLINK("http://m.12365auto.com/news/20200204/417612.shtml","http://m.12365auto.com/news/20200204/417612.shtml")</f>
        <v>http://m.12365auto.com/news/20200204/417612.shtml</v>
      </c>
      <c r="G12502" s="2"/>
      <c r="H12502" s="2" t="s">
        <v>16658</v>
      </c>
      <c r="I12502" s="2" t="s">
        <v>19</v>
      </c>
      <c r="J12502" s="2" t="s">
        <v>2603</v>
      </c>
      <c r="K12502" s="2" t="s">
        <v>16657</v>
      </c>
      <c r="L12502" s="2">
        <f t="shared" si="195"/>
        <v>150</v>
      </c>
    </row>
    <row r="12503" spans="1:12" ht="25" customHeight="1">
      <c r="A12503" s="2" t="s">
        <v>12</v>
      </c>
      <c r="B12503" s="2" t="str">
        <f>HYPERLINK("http://www.12365auto.com/xcdg/20200204/417611.shtml","斯巴鲁新款翼豹信息曝光 搭2.0L引擎")</f>
        <v>斯巴鲁新款翼豹信息曝光 搭2.0L引擎</v>
      </c>
      <c r="C12503" s="2" t="s">
        <v>13</v>
      </c>
      <c r="D12503" s="2" t="s">
        <v>12</v>
      </c>
      <c r="E12503" s="2" t="s">
        <v>216</v>
      </c>
      <c r="F12503" s="2" t="str">
        <f>HYPERLINK("http://www.12365auto.com/xcdg/20200204/417611.shtml","http://www.12365auto.com/xcdg/20200204/417611.shtml")</f>
        <v>http://www.12365auto.com/xcdg/20200204/417611.shtml</v>
      </c>
      <c r="G12503" s="2"/>
      <c r="H12503" s="2" t="s">
        <v>16659</v>
      </c>
      <c r="I12503" s="2" t="s">
        <v>15</v>
      </c>
      <c r="J12503" s="2" t="s">
        <v>12</v>
      </c>
      <c r="K12503" s="2" t="s">
        <v>16660</v>
      </c>
      <c r="L12503" s="2">
        <f t="shared" si="195"/>
        <v>150</v>
      </c>
    </row>
    <row r="12504" spans="1:12" ht="25" customHeight="1">
      <c r="A12504" s="2" t="s">
        <v>12</v>
      </c>
      <c r="B12504" s="2" t="str">
        <f>HYPERLINK("http://m.12365auto.com/xcdg/20200204/417611.shtml","斯巴鲁新款翼豹信息曝光 搭2.0L引擎")</f>
        <v>斯巴鲁新款翼豹信息曝光 搭2.0L引擎</v>
      </c>
      <c r="C12504" s="2" t="s">
        <v>13</v>
      </c>
      <c r="D12504" s="2" t="s">
        <v>12</v>
      </c>
      <c r="E12504" s="2"/>
      <c r="F12504" s="2" t="str">
        <f>HYPERLINK("http://m.12365auto.com/xcdg/20200204/417611.shtml","http://m.12365auto.com/xcdg/20200204/417611.shtml")</f>
        <v>http://m.12365auto.com/xcdg/20200204/417611.shtml</v>
      </c>
      <c r="G12504" s="2"/>
      <c r="H12504" s="2" t="s">
        <v>16661</v>
      </c>
      <c r="I12504" s="2" t="s">
        <v>19</v>
      </c>
      <c r="J12504" s="2" t="s">
        <v>13601</v>
      </c>
      <c r="K12504" s="2" t="s">
        <v>16660</v>
      </c>
      <c r="L12504" s="2">
        <f t="shared" si="195"/>
        <v>150</v>
      </c>
    </row>
    <row r="12505" spans="1:12" ht="25" customHeight="1">
      <c r="A12505" s="2" t="s">
        <v>12</v>
      </c>
      <c r="B12505" s="2" t="str">
        <f>HYPERLINK("http://www.12365auto.com/news/20200204/417610.shtml","保时捷Taycan开启定制 提供90种特殊选装")</f>
        <v>保时捷Taycan开启定制 提供90种特殊选装</v>
      </c>
      <c r="C12505" s="2" t="s">
        <v>13</v>
      </c>
      <c r="D12505" s="2" t="s">
        <v>12</v>
      </c>
      <c r="E12505" s="2" t="s">
        <v>276</v>
      </c>
      <c r="F12505" s="2" t="str">
        <f>HYPERLINK("http://www.12365auto.com/news/20200204/417610.shtml","http://www.12365auto.com/news/20200204/417610.shtml")</f>
        <v>http://www.12365auto.com/news/20200204/417610.shtml</v>
      </c>
      <c r="G12505" s="2"/>
      <c r="H12505" s="2" t="s">
        <v>16662</v>
      </c>
      <c r="I12505" s="2" t="s">
        <v>15</v>
      </c>
      <c r="J12505" s="2" t="s">
        <v>12</v>
      </c>
      <c r="K12505" s="2" t="s">
        <v>16663</v>
      </c>
      <c r="L12505" s="2">
        <f t="shared" si="195"/>
        <v>150</v>
      </c>
    </row>
    <row r="12506" spans="1:12" ht="25" customHeight="1">
      <c r="A12506" s="2" t="s">
        <v>12</v>
      </c>
      <c r="B12506" s="2" t="str">
        <f>HYPERLINK("http://m.12365auto.com/news/20200204/417610.shtml","保时捷Taycan开启定制 提供90种特殊选装")</f>
        <v>保时捷Taycan开启定制 提供90种特殊选装</v>
      </c>
      <c r="C12506" s="2" t="s">
        <v>13</v>
      </c>
      <c r="D12506" s="2" t="s">
        <v>12</v>
      </c>
      <c r="E12506" s="2"/>
      <c r="F12506" s="2" t="str">
        <f>HYPERLINK("http://m.12365auto.com/news/20200204/417610.shtml","http://m.12365auto.com/news/20200204/417610.shtml")</f>
        <v>http://m.12365auto.com/news/20200204/417610.shtml</v>
      </c>
      <c r="G12506" s="2"/>
      <c r="H12506" s="2" t="s">
        <v>16664</v>
      </c>
      <c r="I12506" s="2" t="s">
        <v>19</v>
      </c>
      <c r="J12506" s="2" t="s">
        <v>220</v>
      </c>
      <c r="K12506" s="2" t="s">
        <v>16663</v>
      </c>
      <c r="L12506" s="2">
        <f t="shared" si="195"/>
        <v>150</v>
      </c>
    </row>
    <row r="12507" spans="1:12" ht="25" customHeight="1">
      <c r="A12507" s="2" t="s">
        <v>12</v>
      </c>
      <c r="B12507" s="2" t="str">
        <f>HYPERLINK("http://m.12365auto.com/xcdg/20200204/417609.shtml","斯巴鲁全新一代Levorg曝光 搭2.0L插混")</f>
        <v>斯巴鲁全新一代Levorg曝光 搭2.0L插混</v>
      </c>
      <c r="C12507" s="2" t="s">
        <v>13</v>
      </c>
      <c r="D12507" s="2" t="s">
        <v>12</v>
      </c>
      <c r="E12507" s="2"/>
      <c r="F12507" s="2" t="str">
        <f>HYPERLINK("http://m.12365auto.com/xcdg/20200204/417609.shtml","http://m.12365auto.com/xcdg/20200204/417609.shtml")</f>
        <v>http://m.12365auto.com/xcdg/20200204/417609.shtml</v>
      </c>
      <c r="G12507" s="2"/>
      <c r="H12507" s="2" t="s">
        <v>16665</v>
      </c>
      <c r="I12507" s="2" t="s">
        <v>19</v>
      </c>
      <c r="J12507" s="2" t="s">
        <v>13601</v>
      </c>
      <c r="K12507" s="2" t="s">
        <v>16666</v>
      </c>
      <c r="L12507" s="2">
        <f t="shared" si="195"/>
        <v>150</v>
      </c>
    </row>
    <row r="12508" spans="1:12" ht="25" customHeight="1">
      <c r="A12508" s="2" t="s">
        <v>12</v>
      </c>
      <c r="B12508" s="2" t="str">
        <f>HYPERLINK("http://www.12365auto.com/xcdg/20200204/417609.shtml","斯巴鲁全新一代Levorg曝光 搭2.0L插混")</f>
        <v>斯巴鲁全新一代Levorg曝光 搭2.0L插混</v>
      </c>
      <c r="C12508" s="2" t="s">
        <v>13</v>
      </c>
      <c r="D12508" s="2" t="s">
        <v>12</v>
      </c>
      <c r="E12508" s="2" t="s">
        <v>216</v>
      </c>
      <c r="F12508" s="2" t="str">
        <f>HYPERLINK("http://www.12365auto.com/xcdg/20200204/417609.shtml","http://www.12365auto.com/xcdg/20200204/417609.shtml")</f>
        <v>http://www.12365auto.com/xcdg/20200204/417609.shtml</v>
      </c>
      <c r="G12508" s="2"/>
      <c r="H12508" s="2" t="s">
        <v>16667</v>
      </c>
      <c r="I12508" s="2" t="s">
        <v>15</v>
      </c>
      <c r="J12508" s="2" t="s">
        <v>12</v>
      </c>
      <c r="K12508" s="2" t="s">
        <v>16666</v>
      </c>
      <c r="L12508" s="2">
        <f t="shared" si="195"/>
        <v>150</v>
      </c>
    </row>
    <row r="12509" spans="1:12" ht="25" customHeight="1">
      <c r="A12509" s="2" t="s">
        <v>12</v>
      </c>
      <c r="B12509" s="2" t="str">
        <f>HYPERLINK("http://m.12365auto.com/xcdg/20200204/417608.shtml","雷克萨斯新款ES上市 搭2.5L混动系统")</f>
        <v>雷克萨斯新款ES上市 搭2.5L混动系统</v>
      </c>
      <c r="C12509" s="2" t="s">
        <v>13</v>
      </c>
      <c r="D12509" s="2" t="s">
        <v>12</v>
      </c>
      <c r="E12509" s="2"/>
      <c r="F12509" s="2" t="str">
        <f>HYPERLINK("http://m.12365auto.com/xcdg/20200204/417608.shtml","http://m.12365auto.com/xcdg/20200204/417608.shtml")</f>
        <v>http://m.12365auto.com/xcdg/20200204/417608.shtml</v>
      </c>
      <c r="G12509" s="2"/>
      <c r="H12509" s="2" t="s">
        <v>16668</v>
      </c>
      <c r="I12509" s="2" t="s">
        <v>19</v>
      </c>
      <c r="J12509" s="2" t="s">
        <v>13601</v>
      </c>
      <c r="K12509" s="2" t="s">
        <v>16669</v>
      </c>
      <c r="L12509" s="2">
        <f t="shared" si="195"/>
        <v>150</v>
      </c>
    </row>
    <row r="12510" spans="1:12" ht="25" customHeight="1">
      <c r="A12510" s="2" t="s">
        <v>12</v>
      </c>
      <c r="B12510" s="2" t="str">
        <f>HYPERLINK("http://www.12365auto.com/xcdg/20200204/417608.shtml","雷克萨斯新款ES上市 搭2.5L混动系统")</f>
        <v>雷克萨斯新款ES上市 搭2.5L混动系统</v>
      </c>
      <c r="C12510" s="2" t="s">
        <v>13</v>
      </c>
      <c r="D12510" s="2" t="s">
        <v>12</v>
      </c>
      <c r="E12510" s="2" t="s">
        <v>216</v>
      </c>
      <c r="F12510" s="2" t="str">
        <f>HYPERLINK("http://www.12365auto.com/xcdg/20200204/417608.shtml","http://www.12365auto.com/xcdg/20200204/417608.shtml")</f>
        <v>http://www.12365auto.com/xcdg/20200204/417608.shtml</v>
      </c>
      <c r="G12510" s="2"/>
      <c r="H12510" s="2" t="s">
        <v>16670</v>
      </c>
      <c r="I12510" s="2" t="s">
        <v>15</v>
      </c>
      <c r="J12510" s="2" t="s">
        <v>12</v>
      </c>
      <c r="K12510" s="2" t="s">
        <v>16669</v>
      </c>
      <c r="L12510" s="2">
        <f t="shared" si="195"/>
        <v>150</v>
      </c>
    </row>
    <row r="12511" spans="1:12" ht="25" customHeight="1">
      <c r="A12511" s="2" t="s">
        <v>12</v>
      </c>
      <c r="B12511" s="2" t="str">
        <f>HYPERLINK("http://m.12365auto.com/xcdg/20200204/417607.shtml","沃尔沃XC40新车型售价 搭1.5T/配置更丰富")</f>
        <v>沃尔沃XC40新车型售价 搭1.5T/配置更丰富</v>
      </c>
      <c r="C12511" s="2" t="s">
        <v>13</v>
      </c>
      <c r="D12511" s="2" t="s">
        <v>12</v>
      </c>
      <c r="E12511" s="2"/>
      <c r="F12511" s="2" t="str">
        <f>HYPERLINK("http://m.12365auto.com/xcdg/20200204/417607.shtml","http://m.12365auto.com/xcdg/20200204/417607.shtml")</f>
        <v>http://m.12365auto.com/xcdg/20200204/417607.shtml</v>
      </c>
      <c r="G12511" s="2"/>
      <c r="H12511" s="2" t="s">
        <v>16671</v>
      </c>
      <c r="I12511" s="2" t="s">
        <v>19</v>
      </c>
      <c r="J12511" s="2" t="s">
        <v>220</v>
      </c>
      <c r="K12511" s="2" t="s">
        <v>16672</v>
      </c>
      <c r="L12511" s="2">
        <f t="shared" si="195"/>
        <v>150</v>
      </c>
    </row>
    <row r="12512" spans="1:12" ht="25" customHeight="1">
      <c r="A12512" s="2" t="s">
        <v>12</v>
      </c>
      <c r="B12512" s="2" t="str">
        <f>HYPERLINK("http://www.12365auto.com/xcdg/20200204/417607.shtml","沃尔沃XC40新车型售价 搭1.5T/配置更丰富")</f>
        <v>沃尔沃XC40新车型售价 搭1.5T/配置更丰富</v>
      </c>
      <c r="C12512" s="2" t="s">
        <v>13</v>
      </c>
      <c r="D12512" s="2" t="s">
        <v>12</v>
      </c>
      <c r="E12512" s="2" t="s">
        <v>216</v>
      </c>
      <c r="F12512" s="2" t="str">
        <f>HYPERLINK("http://www.12365auto.com/xcdg/20200204/417607.shtml","http://www.12365auto.com/xcdg/20200204/417607.shtml")</f>
        <v>http://www.12365auto.com/xcdg/20200204/417607.shtml</v>
      </c>
      <c r="G12512" s="2"/>
      <c r="H12512" s="2" t="s">
        <v>16673</v>
      </c>
      <c r="I12512" s="2" t="s">
        <v>15</v>
      </c>
      <c r="J12512" s="2" t="s">
        <v>12</v>
      </c>
      <c r="K12512" s="2" t="s">
        <v>16672</v>
      </c>
      <c r="L12512" s="2">
        <f t="shared" si="195"/>
        <v>150</v>
      </c>
    </row>
    <row r="12513" spans="1:12" ht="25" customHeight="1">
      <c r="A12513" s="2" t="s">
        <v>12</v>
      </c>
      <c r="B12513" s="2" t="str">
        <f>HYPERLINK("http://www.12365auto.com/zlts/20200204/446285.shtml","广汽传祺GA6正时皮带断裂发动机破损")</f>
        <v>广汽传祺GA6正时皮带断裂发动机破损</v>
      </c>
      <c r="C12513" s="2" t="s">
        <v>13</v>
      </c>
      <c r="D12513" s="2" t="s">
        <v>12</v>
      </c>
      <c r="E12513" s="2" t="s">
        <v>17</v>
      </c>
      <c r="F12513" s="2" t="str">
        <f>HYPERLINK("http://www.12365auto.com/zlts/20200204/446285.shtml","http://www.12365auto.com/zlts/20200204/446285.shtml")</f>
        <v>http://www.12365auto.com/zlts/20200204/446285.shtml</v>
      </c>
      <c r="G12513" s="2"/>
      <c r="H12513" s="2" t="s">
        <v>16674</v>
      </c>
      <c r="I12513" s="2" t="s">
        <v>19</v>
      </c>
      <c r="J12513" s="2" t="s">
        <v>12</v>
      </c>
      <c r="K12513" s="2" t="s">
        <v>16672</v>
      </c>
      <c r="L12513" s="2">
        <f t="shared" si="195"/>
        <v>150</v>
      </c>
    </row>
    <row r="12514" spans="1:12" ht="25" customHeight="1">
      <c r="A12514" s="2" t="s">
        <v>12</v>
      </c>
      <c r="B12514" s="2" t="str">
        <f>HYPERLINK("http://m.12365auto.com/xcdg/20200204/417606.shtml","路虎入门版卫士曝光 明年亮相/外观运动")</f>
        <v>路虎入门版卫士曝光 明年亮相/外观运动</v>
      </c>
      <c r="C12514" s="2" t="s">
        <v>13</v>
      </c>
      <c r="D12514" s="2" t="s">
        <v>12</v>
      </c>
      <c r="E12514" s="2"/>
      <c r="F12514" s="2" t="str">
        <f>HYPERLINK("http://m.12365auto.com/xcdg/20200204/417606.shtml","http://m.12365auto.com/xcdg/20200204/417606.shtml")</f>
        <v>http://m.12365auto.com/xcdg/20200204/417606.shtml</v>
      </c>
      <c r="G12514" s="2"/>
      <c r="H12514" s="2" t="s">
        <v>16675</v>
      </c>
      <c r="I12514" s="2" t="s">
        <v>19</v>
      </c>
      <c r="J12514" s="2" t="s">
        <v>13601</v>
      </c>
      <c r="K12514" s="2" t="s">
        <v>16676</v>
      </c>
      <c r="L12514" s="2">
        <f t="shared" si="195"/>
        <v>150</v>
      </c>
    </row>
    <row r="12515" spans="1:12" ht="25" customHeight="1">
      <c r="A12515" s="2" t="s">
        <v>12</v>
      </c>
      <c r="B12515" s="2" t="str">
        <f>HYPERLINK("http://www.12365auto.com/xcdg/20200204/417606.shtml","路虎入门版卫士曝光 明年亮相/外观运动")</f>
        <v>路虎入门版卫士曝光 明年亮相/外观运动</v>
      </c>
      <c r="C12515" s="2" t="s">
        <v>13</v>
      </c>
      <c r="D12515" s="2" t="s">
        <v>12</v>
      </c>
      <c r="E12515" s="2" t="s">
        <v>216</v>
      </c>
      <c r="F12515" s="2" t="str">
        <f>HYPERLINK("http://www.12365auto.com/xcdg/20200204/417606.shtml","http://www.12365auto.com/xcdg/20200204/417606.shtml")</f>
        <v>http://www.12365auto.com/xcdg/20200204/417606.shtml</v>
      </c>
      <c r="G12515" s="2"/>
      <c r="H12515" s="2" t="s">
        <v>16677</v>
      </c>
      <c r="I12515" s="2" t="s">
        <v>15</v>
      </c>
      <c r="J12515" s="2" t="s">
        <v>12</v>
      </c>
      <c r="K12515" s="2" t="s">
        <v>16676</v>
      </c>
      <c r="L12515" s="2">
        <f t="shared" si="195"/>
        <v>150</v>
      </c>
    </row>
    <row r="12516" spans="1:12" ht="25" customHeight="1">
      <c r="A12516" s="2" t="s">
        <v>12</v>
      </c>
      <c r="B12516" s="2" t="str">
        <f>HYPERLINK("http://m.12365auto.com/xcdg/20200204/417605.shtml","斯柯达两款新车售价曝光 搭1.0T引擎")</f>
        <v>斯柯达两款新车售价曝光 搭1.0T引擎</v>
      </c>
      <c r="C12516" s="2" t="s">
        <v>13</v>
      </c>
      <c r="D12516" s="2" t="s">
        <v>12</v>
      </c>
      <c r="E12516" s="2"/>
      <c r="F12516" s="2" t="str">
        <f>HYPERLINK("http://m.12365auto.com/xcdg/20200204/417605.shtml","http://m.12365auto.com/xcdg/20200204/417605.shtml")</f>
        <v>http://m.12365auto.com/xcdg/20200204/417605.shtml</v>
      </c>
      <c r="G12516" s="2"/>
      <c r="H12516" s="2" t="s">
        <v>16678</v>
      </c>
      <c r="I12516" s="2" t="s">
        <v>19</v>
      </c>
      <c r="J12516" s="2" t="s">
        <v>220</v>
      </c>
      <c r="K12516" s="2" t="s">
        <v>16679</v>
      </c>
      <c r="L12516" s="2">
        <f t="shared" si="195"/>
        <v>150</v>
      </c>
    </row>
    <row r="12517" spans="1:12" ht="25" customHeight="1">
      <c r="A12517" s="2" t="s">
        <v>12</v>
      </c>
      <c r="B12517" s="2" t="str">
        <f>HYPERLINK("http://www.12365auto.com/xcdg/20200204/417605.shtml","斯柯达两款新车售价曝光 搭1.0T引擎")</f>
        <v>斯柯达两款新车售价曝光 搭1.0T引擎</v>
      </c>
      <c r="C12517" s="2" t="s">
        <v>13</v>
      </c>
      <c r="D12517" s="2" t="s">
        <v>12</v>
      </c>
      <c r="E12517" s="2" t="s">
        <v>216</v>
      </c>
      <c r="F12517" s="2" t="str">
        <f>HYPERLINK("http://www.12365auto.com/xcdg/20200204/417605.shtml","http://www.12365auto.com/xcdg/20200204/417605.shtml")</f>
        <v>http://www.12365auto.com/xcdg/20200204/417605.shtml</v>
      </c>
      <c r="G12517" s="2"/>
      <c r="H12517" s="2" t="s">
        <v>16680</v>
      </c>
      <c r="I12517" s="2" t="s">
        <v>15</v>
      </c>
      <c r="J12517" s="2" t="s">
        <v>12</v>
      </c>
      <c r="K12517" s="2" t="s">
        <v>16679</v>
      </c>
      <c r="L12517" s="2">
        <f t="shared" si="195"/>
        <v>150</v>
      </c>
    </row>
    <row r="12518" spans="1:12" ht="25" customHeight="1">
      <c r="A12518" s="2" t="s">
        <v>12</v>
      </c>
      <c r="B12518" s="2" t="str">
        <f>HYPERLINK("http://www.12365auto.com/zlts/20200204/446282.shtml","东风雷诺科雷嘉左前门播放音乐时共振明显")</f>
        <v>东风雷诺科雷嘉左前门播放音乐时共振明显</v>
      </c>
      <c r="C12518" s="2" t="s">
        <v>13</v>
      </c>
      <c r="D12518" s="2" t="s">
        <v>12</v>
      </c>
      <c r="E12518" s="2" t="s">
        <v>17</v>
      </c>
      <c r="F12518" s="2" t="str">
        <f>HYPERLINK("http://www.12365auto.com/zlts/20200204/446282.shtml","http://www.12365auto.com/zlts/20200204/446282.shtml")</f>
        <v>http://www.12365auto.com/zlts/20200204/446282.shtml</v>
      </c>
      <c r="G12518" s="2"/>
      <c r="H12518" s="2" t="s">
        <v>16681</v>
      </c>
      <c r="I12518" s="2" t="s">
        <v>19</v>
      </c>
      <c r="J12518" s="2" t="s">
        <v>12</v>
      </c>
      <c r="K12518" s="2" t="s">
        <v>16679</v>
      </c>
      <c r="L12518" s="2">
        <f t="shared" si="195"/>
        <v>150</v>
      </c>
    </row>
    <row r="12519" spans="1:12" ht="25" customHeight="1">
      <c r="A12519" s="2" t="s">
        <v>12</v>
      </c>
      <c r="B12519" s="2" t="str">
        <f>HYPERLINK("http://m.12365auto.com/news/20200204/417604.shtml","深受青睐 名爵EZS印度收获超2800个订单")</f>
        <v>深受青睐 名爵EZS印度收获超2800个订单</v>
      </c>
      <c r="C12519" s="2" t="s">
        <v>13</v>
      </c>
      <c r="D12519" s="2" t="s">
        <v>12</v>
      </c>
      <c r="E12519" s="2"/>
      <c r="F12519" s="2" t="str">
        <f>HYPERLINK("http://m.12365auto.com/news/20200204/417604.shtml","http://m.12365auto.com/news/20200204/417604.shtml")</f>
        <v>http://m.12365auto.com/news/20200204/417604.shtml</v>
      </c>
      <c r="G12519" s="2"/>
      <c r="H12519" s="2" t="s">
        <v>16682</v>
      </c>
      <c r="I12519" s="2" t="s">
        <v>19</v>
      </c>
      <c r="J12519" s="2" t="s">
        <v>332</v>
      </c>
      <c r="K12519" s="2" t="s">
        <v>16683</v>
      </c>
      <c r="L12519" s="2">
        <f t="shared" si="195"/>
        <v>150</v>
      </c>
    </row>
    <row r="12520" spans="1:12" ht="25" customHeight="1">
      <c r="A12520" s="2" t="s">
        <v>12</v>
      </c>
      <c r="B12520" s="2" t="str">
        <f>HYPERLINK("http://www.12365auto.com/news/20200204/417604.shtml","深受青睐 名爵EZS印度收获超2800个订单")</f>
        <v>深受青睐 名爵EZS印度收获超2800个订单</v>
      </c>
      <c r="C12520" s="2" t="s">
        <v>13</v>
      </c>
      <c r="D12520" s="2" t="s">
        <v>12</v>
      </c>
      <c r="E12520" s="2" t="s">
        <v>276</v>
      </c>
      <c r="F12520" s="2" t="str">
        <f>HYPERLINK("http://www.12365auto.com/news/20200204/417604.shtml","http://www.12365auto.com/news/20200204/417604.shtml")</f>
        <v>http://www.12365auto.com/news/20200204/417604.shtml</v>
      </c>
      <c r="G12520" s="2"/>
      <c r="H12520" s="2" t="s">
        <v>16684</v>
      </c>
      <c r="I12520" s="2" t="s">
        <v>15</v>
      </c>
      <c r="J12520" s="2" t="s">
        <v>12</v>
      </c>
      <c r="K12520" s="2" t="s">
        <v>16683</v>
      </c>
      <c r="L12520" s="2">
        <f t="shared" si="195"/>
        <v>150</v>
      </c>
    </row>
    <row r="12521" spans="1:12" ht="25" customHeight="1">
      <c r="A12521" s="2" t="s">
        <v>12</v>
      </c>
      <c r="B12521" s="2" t="str">
        <f>HYPERLINK("http://www.12365auto.com/xcdg/20200204/417603.shtml","多种选择 奥迪A8L PHEV车型谍照曝光")</f>
        <v>多种选择 奥迪A8L PHEV车型谍照曝光</v>
      </c>
      <c r="C12521" s="2" t="s">
        <v>13</v>
      </c>
      <c r="D12521" s="2" t="s">
        <v>12</v>
      </c>
      <c r="E12521" s="2" t="s">
        <v>224</v>
      </c>
      <c r="F12521" s="2" t="str">
        <f>HYPERLINK("http://www.12365auto.com/xcdg/20200204/417603.shtml","http://www.12365auto.com/xcdg/20200204/417603.shtml")</f>
        <v>http://www.12365auto.com/xcdg/20200204/417603.shtml</v>
      </c>
      <c r="G12521" s="2"/>
      <c r="H12521" s="2" t="s">
        <v>16685</v>
      </c>
      <c r="I12521" s="2" t="s">
        <v>15</v>
      </c>
      <c r="J12521" s="2" t="s">
        <v>12</v>
      </c>
      <c r="K12521" s="2" t="s">
        <v>16686</v>
      </c>
      <c r="L12521" s="2">
        <f t="shared" si="195"/>
        <v>150</v>
      </c>
    </row>
    <row r="12522" spans="1:12" ht="25" customHeight="1">
      <c r="A12522" s="2" t="s">
        <v>12</v>
      </c>
      <c r="B12522" s="2" t="str">
        <f>HYPERLINK("http://m.12365auto.com/xcdg/20200204/417603.shtml","多种选择 奥迪A8L PHEV车型谍照曝光")</f>
        <v>多种选择 奥迪A8L PHEV车型谍照曝光</v>
      </c>
      <c r="C12522" s="2" t="s">
        <v>13</v>
      </c>
      <c r="D12522" s="2" t="s">
        <v>12</v>
      </c>
      <c r="E12522" s="2"/>
      <c r="F12522" s="2" t="str">
        <f>HYPERLINK("http://m.12365auto.com/xcdg/20200204/417603.shtml","http://m.12365auto.com/xcdg/20200204/417603.shtml")</f>
        <v>http://m.12365auto.com/xcdg/20200204/417603.shtml</v>
      </c>
      <c r="G12522" s="2"/>
      <c r="H12522" s="2" t="s">
        <v>16687</v>
      </c>
      <c r="I12522" s="2" t="s">
        <v>19</v>
      </c>
      <c r="J12522" s="2" t="s">
        <v>317</v>
      </c>
      <c r="K12522" s="2" t="s">
        <v>16686</v>
      </c>
      <c r="L12522" s="2">
        <f t="shared" si="195"/>
        <v>150</v>
      </c>
    </row>
    <row r="12523" spans="1:12" ht="25" customHeight="1">
      <c r="A12523" s="2" t="s">
        <v>12</v>
      </c>
      <c r="B12523" s="2" t="str">
        <f>HYPERLINK("http://www.12365auto.com/zlts/20200204/446281.shtml","东风雪铁龙C4L方向盘松动影响驾驶")</f>
        <v>东风雪铁龙C4L方向盘松动影响驾驶</v>
      </c>
      <c r="C12523" s="2" t="s">
        <v>13</v>
      </c>
      <c r="D12523" s="2" t="s">
        <v>12</v>
      </c>
      <c r="E12523" s="2" t="s">
        <v>17</v>
      </c>
      <c r="F12523" s="2" t="str">
        <f>HYPERLINK("http://www.12365auto.com/zlts/20200204/446281.shtml","http://www.12365auto.com/zlts/20200204/446281.shtml")</f>
        <v>http://www.12365auto.com/zlts/20200204/446281.shtml</v>
      </c>
      <c r="G12523" s="2"/>
      <c r="H12523" s="2" t="s">
        <v>16688</v>
      </c>
      <c r="I12523" s="2" t="s">
        <v>19</v>
      </c>
      <c r="J12523" s="2" t="s">
        <v>12</v>
      </c>
      <c r="K12523" s="2" t="s">
        <v>16689</v>
      </c>
      <c r="L12523" s="2">
        <f t="shared" si="195"/>
        <v>150</v>
      </c>
    </row>
    <row r="12524" spans="1:12" ht="25" customHeight="1">
      <c r="A12524" s="2" t="s">
        <v>12</v>
      </c>
      <c r="B12524" s="2" t="str">
        <f>HYPERLINK("http://www.12365auto.com/xcdg/20200204/417602.shtml","质感挺强 曝新宝骏RS-7无伪装内饰谍照")</f>
        <v>质感挺强 曝新宝骏RS-7无伪装内饰谍照</v>
      </c>
      <c r="C12524" s="2" t="s">
        <v>13</v>
      </c>
      <c r="D12524" s="2" t="s">
        <v>12</v>
      </c>
      <c r="E12524" s="2" t="s">
        <v>224</v>
      </c>
      <c r="F12524" s="2" t="str">
        <f>HYPERLINK("http://www.12365auto.com/xcdg/20200204/417602.shtml","http://www.12365auto.com/xcdg/20200204/417602.shtml")</f>
        <v>http://www.12365auto.com/xcdg/20200204/417602.shtml</v>
      </c>
      <c r="G12524" s="2"/>
      <c r="H12524" s="2" t="s">
        <v>16690</v>
      </c>
      <c r="I12524" s="2" t="s">
        <v>15</v>
      </c>
      <c r="J12524" s="2" t="s">
        <v>12</v>
      </c>
      <c r="K12524" s="2" t="s">
        <v>16689</v>
      </c>
      <c r="L12524" s="2">
        <f t="shared" si="195"/>
        <v>150</v>
      </c>
    </row>
    <row r="12525" spans="1:12" ht="25" customHeight="1">
      <c r="A12525" s="2" t="s">
        <v>12</v>
      </c>
      <c r="B12525" s="2" t="str">
        <f>HYPERLINK("http://m.12365auto.com/xcdg/20200204/417602.shtml","质感挺强 曝新宝骏RS-7无伪装内饰谍照")</f>
        <v>质感挺强 曝新宝骏RS-7无伪装内饰谍照</v>
      </c>
      <c r="C12525" s="2" t="s">
        <v>13</v>
      </c>
      <c r="D12525" s="2" t="s">
        <v>12</v>
      </c>
      <c r="E12525" s="2"/>
      <c r="F12525" s="2" t="str">
        <f>HYPERLINK("http://m.12365auto.com/xcdg/20200204/417602.shtml","http://m.12365auto.com/xcdg/20200204/417602.shtml")</f>
        <v>http://m.12365auto.com/xcdg/20200204/417602.shtml</v>
      </c>
      <c r="G12525" s="2"/>
      <c r="H12525" s="2" t="s">
        <v>16691</v>
      </c>
      <c r="I12525" s="2" t="s">
        <v>19</v>
      </c>
      <c r="J12525" s="2" t="s">
        <v>1197</v>
      </c>
      <c r="K12525" s="2" t="s">
        <v>16689</v>
      </c>
      <c r="L12525" s="2">
        <f t="shared" si="195"/>
        <v>150</v>
      </c>
    </row>
    <row r="12526" spans="1:12" ht="25" customHeight="1">
      <c r="A12526" s="2" t="s">
        <v>12</v>
      </c>
      <c r="B12526" s="2" t="str">
        <f>HYPERLINK("http://m.12365auto.com/news/20200204/417601.shtml","新业务超220亿美元 安波福2019财报发布")</f>
        <v>新业务超220亿美元 安波福2019财报发布</v>
      </c>
      <c r="C12526" s="2" t="s">
        <v>13</v>
      </c>
      <c r="D12526" s="2" t="s">
        <v>12</v>
      </c>
      <c r="E12526" s="2"/>
      <c r="F12526" s="2" t="str">
        <f>HYPERLINK("http://m.12365auto.com/news/20200204/417601.shtml","http://m.12365auto.com/news/20200204/417601.shtml")</f>
        <v>http://m.12365auto.com/news/20200204/417601.shtml</v>
      </c>
      <c r="G12526" s="2"/>
      <c r="H12526" s="2" t="s">
        <v>16692</v>
      </c>
      <c r="I12526" s="2" t="s">
        <v>19</v>
      </c>
      <c r="J12526" s="2" t="s">
        <v>1653</v>
      </c>
      <c r="K12526" s="2" t="s">
        <v>16693</v>
      </c>
      <c r="L12526" s="2">
        <f t="shared" si="195"/>
        <v>150</v>
      </c>
    </row>
    <row r="12527" spans="1:12" ht="25" customHeight="1">
      <c r="A12527" s="2" t="s">
        <v>12</v>
      </c>
      <c r="B12527" s="2" t="str">
        <f>HYPERLINK("http://www.12365auto.com/news/20200204/417601.shtml","新业务超220亿美元 安波福2019财报发布")</f>
        <v>新业务超220亿美元 安波福2019财报发布</v>
      </c>
      <c r="C12527" s="2" t="s">
        <v>13</v>
      </c>
      <c r="D12527" s="2" t="s">
        <v>12</v>
      </c>
      <c r="E12527" s="2" t="s">
        <v>276</v>
      </c>
      <c r="F12527" s="2" t="str">
        <f>HYPERLINK("http://www.12365auto.com/news/20200204/417601.shtml","http://www.12365auto.com/news/20200204/417601.shtml")</f>
        <v>http://www.12365auto.com/news/20200204/417601.shtml</v>
      </c>
      <c r="G12527" s="2"/>
      <c r="H12527" s="2" t="s">
        <v>16694</v>
      </c>
      <c r="I12527" s="2" t="s">
        <v>15</v>
      </c>
      <c r="J12527" s="2" t="s">
        <v>12</v>
      </c>
      <c r="K12527" s="2" t="s">
        <v>16693</v>
      </c>
      <c r="L12527" s="2">
        <f t="shared" si="195"/>
        <v>150</v>
      </c>
    </row>
    <row r="12528" spans="1:12" ht="25" customHeight="1">
      <c r="A12528" s="2" t="s">
        <v>12</v>
      </c>
      <c r="B12528" s="2" t="str">
        <f>HYPERLINK("http://m.12365auto.com/news/20200204/417600.shtml","五年计划问世 日本电产押注电动车产业")</f>
        <v>五年计划问世 日本电产押注电动车产业</v>
      </c>
      <c r="C12528" s="2" t="s">
        <v>13</v>
      </c>
      <c r="D12528" s="2" t="s">
        <v>12</v>
      </c>
      <c r="E12528" s="2"/>
      <c r="F12528" s="2" t="str">
        <f>HYPERLINK("http://m.12365auto.com/news/20200204/417600.shtml","http://m.12365auto.com/news/20200204/417600.shtml")</f>
        <v>http://m.12365auto.com/news/20200204/417600.shtml</v>
      </c>
      <c r="G12528" s="2"/>
      <c r="H12528" s="2" t="s">
        <v>16695</v>
      </c>
      <c r="I12528" s="2" t="s">
        <v>19</v>
      </c>
      <c r="J12528" s="2" t="s">
        <v>1543</v>
      </c>
      <c r="K12528" s="2" t="s">
        <v>16696</v>
      </c>
      <c r="L12528" s="2">
        <f t="shared" si="195"/>
        <v>150</v>
      </c>
    </row>
    <row r="12529" spans="1:12" ht="25" customHeight="1">
      <c r="A12529" s="2" t="s">
        <v>12</v>
      </c>
      <c r="B12529" s="2" t="str">
        <f>HYPERLINK("http://www.12365auto.com/news/20200204/417600.shtml","五年计划问世 日本电产押注电动车产业")</f>
        <v>五年计划问世 日本电产押注电动车产业</v>
      </c>
      <c r="C12529" s="2" t="s">
        <v>13</v>
      </c>
      <c r="D12529" s="2" t="s">
        <v>12</v>
      </c>
      <c r="E12529" s="2" t="s">
        <v>276</v>
      </c>
      <c r="F12529" s="2" t="str">
        <f>HYPERLINK("http://www.12365auto.com/news/20200204/417600.shtml","http://www.12365auto.com/news/20200204/417600.shtml")</f>
        <v>http://www.12365auto.com/news/20200204/417600.shtml</v>
      </c>
      <c r="G12529" s="2"/>
      <c r="H12529" s="2" t="s">
        <v>16697</v>
      </c>
      <c r="I12529" s="2" t="s">
        <v>15</v>
      </c>
      <c r="J12529" s="2" t="s">
        <v>12</v>
      </c>
      <c r="K12529" s="2" t="s">
        <v>16696</v>
      </c>
      <c r="L12529" s="2">
        <f t="shared" si="195"/>
        <v>150</v>
      </c>
    </row>
    <row r="12530" spans="1:12" ht="25" customHeight="1">
      <c r="A12530" s="2" t="s">
        <v>12</v>
      </c>
      <c r="B12530" s="2" t="str">
        <f>HYPERLINK("http://m.12365auto.com/news/20200204/417599.shtml","荷兰研发以废塑料为材质的纯电动概念车")</f>
        <v>荷兰研发以废塑料为材质的纯电动概念车</v>
      </c>
      <c r="C12530" s="2" t="s">
        <v>13</v>
      </c>
      <c r="D12530" s="2" t="s">
        <v>12</v>
      </c>
      <c r="E12530" s="2"/>
      <c r="F12530" s="2" t="str">
        <f>HYPERLINK("http://m.12365auto.com/news/20200204/417599.shtml","http://m.12365auto.com/news/20200204/417599.shtml")</f>
        <v>http://m.12365auto.com/news/20200204/417599.shtml</v>
      </c>
      <c r="G12530" s="2"/>
      <c r="H12530" s="2" t="s">
        <v>16698</v>
      </c>
      <c r="I12530" s="2" t="s">
        <v>19</v>
      </c>
      <c r="J12530" s="2" t="s">
        <v>332</v>
      </c>
      <c r="K12530" s="2" t="s">
        <v>16699</v>
      </c>
      <c r="L12530" s="2">
        <f t="shared" si="195"/>
        <v>150</v>
      </c>
    </row>
    <row r="12531" spans="1:12" ht="25" customHeight="1">
      <c r="A12531" s="2" t="s">
        <v>12</v>
      </c>
      <c r="B12531" s="2" t="str">
        <f>HYPERLINK("http://www.12365auto.com/news/20200204/417599.shtml","荷兰研发以废塑料为材质的纯电动概念车")</f>
        <v>荷兰研发以废塑料为材质的纯电动概念车</v>
      </c>
      <c r="C12531" s="2" t="s">
        <v>13</v>
      </c>
      <c r="D12531" s="2" t="s">
        <v>12</v>
      </c>
      <c r="E12531" s="2" t="s">
        <v>282</v>
      </c>
      <c r="F12531" s="2" t="str">
        <f>HYPERLINK("http://www.12365auto.com/news/20200204/417599.shtml","http://www.12365auto.com/news/20200204/417599.shtml")</f>
        <v>http://www.12365auto.com/news/20200204/417599.shtml</v>
      </c>
      <c r="G12531" s="2"/>
      <c r="H12531" s="2" t="s">
        <v>16700</v>
      </c>
      <c r="I12531" s="2" t="s">
        <v>19</v>
      </c>
      <c r="J12531" s="2" t="s">
        <v>12</v>
      </c>
      <c r="K12531" s="2" t="s">
        <v>16699</v>
      </c>
      <c r="L12531" s="2">
        <f t="shared" si="195"/>
        <v>150</v>
      </c>
    </row>
    <row r="12532" spans="1:12" ht="25" customHeight="1">
      <c r="A12532" s="2" t="s">
        <v>12</v>
      </c>
      <c r="B12532" s="2" t="str">
        <f>HYPERLINK("http://m.12365auto.com/parts/20200204/417598.shtml","收购剩余股权 华域100%控股延锋内饰")</f>
        <v>收购剩余股权 华域100%控股延锋内饰</v>
      </c>
      <c r="C12532" s="2" t="s">
        <v>13</v>
      </c>
      <c r="D12532" s="2" t="s">
        <v>12</v>
      </c>
      <c r="E12532" s="2"/>
      <c r="F12532" s="2" t="str">
        <f>HYPERLINK("http://m.12365auto.com/parts/20200204/417598.shtml","http://m.12365auto.com/parts/20200204/417598.shtml")</f>
        <v>http://m.12365auto.com/parts/20200204/417598.shtml</v>
      </c>
      <c r="G12532" s="2"/>
      <c r="H12532" s="2" t="s">
        <v>16701</v>
      </c>
      <c r="I12532" s="2" t="s">
        <v>19</v>
      </c>
      <c r="J12532" s="2" t="s">
        <v>1643</v>
      </c>
      <c r="K12532" s="2" t="s">
        <v>16702</v>
      </c>
      <c r="L12532" s="2">
        <f t="shared" si="195"/>
        <v>150</v>
      </c>
    </row>
    <row r="12533" spans="1:12" ht="25" customHeight="1">
      <c r="A12533" s="2" t="s">
        <v>12</v>
      </c>
      <c r="B12533" s="2" t="str">
        <f>HYPERLINK("http://www.12365auto.com/parts/20200204/417598.shtml","收购剩余股权 华域100%控股延锋内饰")</f>
        <v>收购剩余股权 华域100%控股延锋内饰</v>
      </c>
      <c r="C12533" s="2" t="s">
        <v>13</v>
      </c>
      <c r="D12533" s="2" t="s">
        <v>12</v>
      </c>
      <c r="E12533" s="2" t="s">
        <v>240</v>
      </c>
      <c r="F12533" s="2" t="str">
        <f>HYPERLINK("http://www.12365auto.com/parts/20200204/417598.shtml","http://www.12365auto.com/parts/20200204/417598.shtml")</f>
        <v>http://www.12365auto.com/parts/20200204/417598.shtml</v>
      </c>
      <c r="G12533" s="2"/>
      <c r="H12533" s="2" t="s">
        <v>16703</v>
      </c>
      <c r="I12533" s="2" t="s">
        <v>15</v>
      </c>
      <c r="J12533" s="2" t="s">
        <v>12</v>
      </c>
      <c r="K12533" s="2" t="s">
        <v>16702</v>
      </c>
      <c r="L12533" s="2">
        <f t="shared" si="195"/>
        <v>150</v>
      </c>
    </row>
    <row r="12534" spans="1:12" ht="25" customHeight="1">
      <c r="A12534" s="2" t="s">
        <v>12</v>
      </c>
      <c r="B12534" s="2" t="str">
        <f>HYPERLINK("http://m.12365auto.com/news/20200204/417597.shtml","2023年投产 PSA集团与Saft建立电池公司")</f>
        <v>2023年投产 PSA集团与Saft建立电池公司</v>
      </c>
      <c r="C12534" s="2" t="s">
        <v>13</v>
      </c>
      <c r="D12534" s="2" t="s">
        <v>12</v>
      </c>
      <c r="E12534" s="2"/>
      <c r="F12534" s="2" t="str">
        <f>HYPERLINK("http://m.12365auto.com/news/20200204/417597.shtml","http://m.12365auto.com/news/20200204/417597.shtml")</f>
        <v>http://m.12365auto.com/news/20200204/417597.shtml</v>
      </c>
      <c r="G12534" s="2"/>
      <c r="H12534" s="2" t="s">
        <v>16704</v>
      </c>
      <c r="I12534" s="2" t="s">
        <v>19</v>
      </c>
      <c r="J12534" s="2" t="s">
        <v>6734</v>
      </c>
      <c r="K12534" s="2" t="s">
        <v>16705</v>
      </c>
      <c r="L12534" s="2">
        <f t="shared" si="195"/>
        <v>150</v>
      </c>
    </row>
    <row r="12535" spans="1:12" ht="25" customHeight="1">
      <c r="A12535" s="2" t="s">
        <v>12</v>
      </c>
      <c r="B12535" s="2" t="str">
        <f>HYPERLINK("http://www.12365auto.com/news/20200204/417597.shtml","2023年投产 PSA集团与Saft建立电池公司")</f>
        <v>2023年投产 PSA集团与Saft建立电池公司</v>
      </c>
      <c r="C12535" s="2" t="s">
        <v>13</v>
      </c>
      <c r="D12535" s="2" t="s">
        <v>12</v>
      </c>
      <c r="E12535" s="2" t="s">
        <v>282</v>
      </c>
      <c r="F12535" s="2" t="str">
        <f>HYPERLINK("http://www.12365auto.com/news/20200204/417597.shtml","http://www.12365auto.com/news/20200204/417597.shtml")</f>
        <v>http://www.12365auto.com/news/20200204/417597.shtml</v>
      </c>
      <c r="G12535" s="2"/>
      <c r="H12535" s="2" t="s">
        <v>16706</v>
      </c>
      <c r="I12535" s="2" t="s">
        <v>19</v>
      </c>
      <c r="J12535" s="2" t="s">
        <v>12</v>
      </c>
      <c r="K12535" s="2" t="s">
        <v>16705</v>
      </c>
      <c r="L12535" s="2">
        <f t="shared" si="195"/>
        <v>150</v>
      </c>
    </row>
    <row r="12536" spans="1:12" ht="25" customHeight="1">
      <c r="A12536" s="2" t="s">
        <v>12</v>
      </c>
      <c r="B12536" s="2" t="str">
        <f>HYPERLINK("http://m.12365auto.com/xcdg/20200204/417596.shtml","纳瓦拉OFF-ROADER AT32越野版官图发布")</f>
        <v>纳瓦拉OFF-ROADER AT32越野版官图发布</v>
      </c>
      <c r="C12536" s="2" t="s">
        <v>13</v>
      </c>
      <c r="D12536" s="2" t="s">
        <v>12</v>
      </c>
      <c r="E12536" s="2"/>
      <c r="F12536" s="2" t="str">
        <f>HYPERLINK("http://m.12365auto.com/xcdg/20200204/417596.shtml","http://m.12365auto.com/xcdg/20200204/417596.shtml")</f>
        <v>http://m.12365auto.com/xcdg/20200204/417596.shtml</v>
      </c>
      <c r="G12536" s="2"/>
      <c r="H12536" s="2" t="s">
        <v>16707</v>
      </c>
      <c r="I12536" s="2" t="s">
        <v>19</v>
      </c>
      <c r="J12536" s="2" t="s">
        <v>1197</v>
      </c>
      <c r="K12536" s="2" t="s">
        <v>16708</v>
      </c>
      <c r="L12536" s="2">
        <f t="shared" si="195"/>
        <v>150</v>
      </c>
    </row>
    <row r="12537" spans="1:12" ht="25" customHeight="1">
      <c r="A12537" s="2" t="s">
        <v>12</v>
      </c>
      <c r="B12537" s="2" t="str">
        <f>HYPERLINK("http://www.12365auto.com/xcdg/20200204/417596.shtml","纳瓦拉OFF-ROADER AT32越野版官图发布")</f>
        <v>纳瓦拉OFF-ROADER AT32越野版官图发布</v>
      </c>
      <c r="C12537" s="2" t="s">
        <v>13</v>
      </c>
      <c r="D12537" s="2" t="s">
        <v>12</v>
      </c>
      <c r="E12537" s="2" t="s">
        <v>245</v>
      </c>
      <c r="F12537" s="2" t="str">
        <f>HYPERLINK("http://www.12365auto.com/xcdg/20200204/417596.shtml","http://www.12365auto.com/xcdg/20200204/417596.shtml")</f>
        <v>http://www.12365auto.com/xcdg/20200204/417596.shtml</v>
      </c>
      <c r="G12537" s="2"/>
      <c r="H12537" s="2" t="s">
        <v>16709</v>
      </c>
      <c r="I12537" s="2" t="s">
        <v>19</v>
      </c>
      <c r="J12537" s="2" t="s">
        <v>12</v>
      </c>
      <c r="K12537" s="2" t="s">
        <v>16708</v>
      </c>
      <c r="L12537" s="2">
        <f t="shared" si="195"/>
        <v>150</v>
      </c>
    </row>
    <row r="12538" spans="1:12" ht="25" customHeight="1">
      <c r="A12538" s="2" t="s">
        <v>12</v>
      </c>
      <c r="B12538" s="2" t="str">
        <f>HYPERLINK("http://www.12365auto.com/xcdg/20200204/417595.shtml","奔驰新GLA/CLA/新款E级PHEV将于3月亮相")</f>
        <v>奔驰新GLA/CLA/新款E级PHEV将于3月亮相</v>
      </c>
      <c r="C12538" s="2" t="s">
        <v>13</v>
      </c>
      <c r="D12538" s="2" t="s">
        <v>12</v>
      </c>
      <c r="E12538" s="2" t="s">
        <v>216</v>
      </c>
      <c r="F12538" s="2" t="str">
        <f>HYPERLINK("http://www.12365auto.com/xcdg/20200204/417595.shtml","http://www.12365auto.com/xcdg/20200204/417595.shtml")</f>
        <v>http://www.12365auto.com/xcdg/20200204/417595.shtml</v>
      </c>
      <c r="G12538" s="2"/>
      <c r="H12538" s="2" t="s">
        <v>16710</v>
      </c>
      <c r="I12538" s="2" t="s">
        <v>15</v>
      </c>
      <c r="J12538" s="2" t="s">
        <v>12</v>
      </c>
      <c r="K12538" s="2" t="s">
        <v>16711</v>
      </c>
      <c r="L12538" s="2">
        <f t="shared" si="195"/>
        <v>150</v>
      </c>
    </row>
    <row r="12539" spans="1:12" ht="25" customHeight="1">
      <c r="A12539" s="2" t="s">
        <v>12</v>
      </c>
      <c r="B12539" s="2" t="str">
        <f>HYPERLINK("http://m.12365auto.com/xcdg/20200204/417595.shtml","奔驰新GLA/CLA/新款E级PHEV将于3月亮相")</f>
        <v>奔驰新GLA/CLA/新款E级PHEV将于3月亮相</v>
      </c>
      <c r="C12539" s="2" t="s">
        <v>13</v>
      </c>
      <c r="D12539" s="2" t="s">
        <v>12</v>
      </c>
      <c r="E12539" s="2"/>
      <c r="F12539" s="2" t="str">
        <f>HYPERLINK("http://m.12365auto.com/xcdg/20200204/417595.shtml","http://m.12365auto.com/xcdg/20200204/417595.shtml")</f>
        <v>http://m.12365auto.com/xcdg/20200204/417595.shtml</v>
      </c>
      <c r="G12539" s="2"/>
      <c r="H12539" s="2" t="s">
        <v>16712</v>
      </c>
      <c r="I12539" s="2" t="s">
        <v>19</v>
      </c>
      <c r="J12539" s="2" t="s">
        <v>836</v>
      </c>
      <c r="K12539" s="2" t="s">
        <v>16711</v>
      </c>
      <c r="L12539" s="2">
        <f t="shared" si="195"/>
        <v>150</v>
      </c>
    </row>
    <row r="12540" spans="1:12" ht="25" customHeight="1">
      <c r="A12540" s="2" t="s">
        <v>12</v>
      </c>
      <c r="B12540" s="2" t="str">
        <f>HYPERLINK("http://www.12365auto.com/zlts/20200204/446279.shtml","咯吱咯吱的异响声音")</f>
        <v>咯吱咯吱的异响声音</v>
      </c>
      <c r="C12540" s="2" t="s">
        <v>13</v>
      </c>
      <c r="D12540" s="2" t="s">
        <v>12</v>
      </c>
      <c r="E12540" s="2"/>
      <c r="F12540" s="2" t="str">
        <f>HYPERLINK("http://www.12365auto.com/zlts/20200204/446279.shtml","http://www.12365auto.com/zlts/20200204/446279.shtml")</f>
        <v>http://www.12365auto.com/zlts/20200204/446279.shtml</v>
      </c>
      <c r="G12540" s="2"/>
      <c r="H12540" s="2" t="s">
        <v>16714</v>
      </c>
      <c r="I12540" s="2" t="s">
        <v>15</v>
      </c>
      <c r="J12540" s="2" t="s">
        <v>12</v>
      </c>
      <c r="K12540" s="2" t="s">
        <v>16713</v>
      </c>
      <c r="L12540" s="2">
        <f t="shared" si="195"/>
        <v>83</v>
      </c>
    </row>
    <row r="12541" spans="1:12" ht="25" customHeight="1">
      <c r="A12541" s="2" t="s">
        <v>12</v>
      </c>
      <c r="B12541" s="2" t="str">
        <f>HYPERLINK("http://www.12365auto.com/news/20200204/417594.shtml","租车优惠 这家汽车租赁公司可免费充电")</f>
        <v>租车优惠 这家汽车租赁公司可免费充电</v>
      </c>
      <c r="C12541" s="2" t="s">
        <v>13</v>
      </c>
      <c r="D12541" s="2" t="s">
        <v>12</v>
      </c>
      <c r="E12541" s="2" t="s">
        <v>276</v>
      </c>
      <c r="F12541" s="2" t="str">
        <f>HYPERLINK("http://www.12365auto.com/news/20200204/417594.shtml","http://www.12365auto.com/news/20200204/417594.shtml")</f>
        <v>http://www.12365auto.com/news/20200204/417594.shtml</v>
      </c>
      <c r="G12541" s="2"/>
      <c r="H12541" s="2" t="s">
        <v>16715</v>
      </c>
      <c r="I12541" s="2" t="s">
        <v>15</v>
      </c>
      <c r="J12541" s="2" t="s">
        <v>12</v>
      </c>
      <c r="K12541" s="2" t="s">
        <v>16716</v>
      </c>
      <c r="L12541" s="2">
        <f t="shared" si="195"/>
        <v>150</v>
      </c>
    </row>
    <row r="12542" spans="1:12" ht="25" customHeight="1">
      <c r="A12542" s="2" t="s">
        <v>12</v>
      </c>
      <c r="B12542" s="2" t="str">
        <f>HYPERLINK("http://m.12365auto.com/news/20200204/417594.shtml","租车优惠 这家汽车租赁公司可免费充电")</f>
        <v>租车优惠 这家汽车租赁公司可免费充电</v>
      </c>
      <c r="C12542" s="2" t="s">
        <v>13</v>
      </c>
      <c r="D12542" s="2" t="s">
        <v>12</v>
      </c>
      <c r="E12542" s="2"/>
      <c r="F12542" s="2" t="str">
        <f>HYPERLINK("http://m.12365auto.com/news/20200204/417594.shtml","http://m.12365auto.com/news/20200204/417594.shtml")</f>
        <v>http://m.12365auto.com/news/20200204/417594.shtml</v>
      </c>
      <c r="G12542" s="2"/>
      <c r="H12542" s="2" t="s">
        <v>16717</v>
      </c>
      <c r="I12542" s="2" t="s">
        <v>19</v>
      </c>
      <c r="J12542" s="2" t="s">
        <v>1543</v>
      </c>
      <c r="K12542" s="2" t="s">
        <v>16716</v>
      </c>
      <c r="L12542" s="2">
        <f t="shared" si="195"/>
        <v>150</v>
      </c>
    </row>
    <row r="12543" spans="1:12" ht="25" customHeight="1">
      <c r="A12543" s="2" t="s">
        <v>12</v>
      </c>
      <c r="B12543" s="2" t="str">
        <f>HYPERLINK("http://www.12365auto.com/news/20200204/417593.shtml","受疫情及供应商影响理想ONE交付延后")</f>
        <v>受疫情及供应商影响理想ONE交付延后</v>
      </c>
      <c r="C12543" s="2" t="s">
        <v>13</v>
      </c>
      <c r="D12543" s="2" t="s">
        <v>12</v>
      </c>
      <c r="E12543" s="2" t="s">
        <v>276</v>
      </c>
      <c r="F12543" s="2" t="str">
        <f>HYPERLINK("http://www.12365auto.com/news/20200204/417593.shtml","http://www.12365auto.com/news/20200204/417593.shtml")</f>
        <v>http://www.12365auto.com/news/20200204/417593.shtml</v>
      </c>
      <c r="G12543" s="2"/>
      <c r="H12543" s="2" t="s">
        <v>16718</v>
      </c>
      <c r="I12543" s="2" t="s">
        <v>15</v>
      </c>
      <c r="J12543" s="2" t="s">
        <v>12</v>
      </c>
      <c r="K12543" s="2" t="s">
        <v>16719</v>
      </c>
      <c r="L12543" s="2">
        <f t="shared" si="195"/>
        <v>150</v>
      </c>
    </row>
    <row r="12544" spans="1:12" ht="25" customHeight="1">
      <c r="A12544" s="2" t="s">
        <v>12</v>
      </c>
      <c r="B12544" s="2" t="str">
        <f>HYPERLINK("http://m.12365auto.com/news/20200204/417593.shtml","受疫情及供应商影响理想ONE交付延后")</f>
        <v>受疫情及供应商影响理想ONE交付延后</v>
      </c>
      <c r="C12544" s="2" t="s">
        <v>13</v>
      </c>
      <c r="D12544" s="2" t="s">
        <v>12</v>
      </c>
      <c r="E12544" s="2"/>
      <c r="F12544" s="2" t="str">
        <f>HYPERLINK("http://m.12365auto.com/news/20200204/417593.shtml","http://m.12365auto.com/news/20200204/417593.shtml")</f>
        <v>http://m.12365auto.com/news/20200204/417593.shtml</v>
      </c>
      <c r="G12544" s="2"/>
      <c r="H12544" s="2" t="s">
        <v>16720</v>
      </c>
      <c r="I12544" s="2" t="s">
        <v>19</v>
      </c>
      <c r="J12544" s="2" t="s">
        <v>6734</v>
      </c>
      <c r="K12544" s="2" t="s">
        <v>16719</v>
      </c>
      <c r="L12544" s="2">
        <f t="shared" si="195"/>
        <v>150</v>
      </c>
    </row>
    <row r="12545" spans="1:12" ht="25" customHeight="1">
      <c r="A12545" s="2" t="s">
        <v>12</v>
      </c>
      <c r="B12545" s="2" t="str">
        <f>HYPERLINK("http://www.12365auto.com/zlts/20200204/446277.shtml","发动机故障灯常亮，检查是vct执行器打齿损坏。")</f>
        <v>发动机故障灯常亮，检查是vct执行器打齿损坏。</v>
      </c>
      <c r="C12545" s="2" t="s">
        <v>13</v>
      </c>
      <c r="D12545" s="2" t="s">
        <v>12</v>
      </c>
      <c r="E12545" s="2"/>
      <c r="F12545" s="2" t="str">
        <f>HYPERLINK("http://www.12365auto.com/zlts/20200204/446277.shtml","http://www.12365auto.com/zlts/20200204/446277.shtml")</f>
        <v>http://www.12365auto.com/zlts/20200204/446277.shtml</v>
      </c>
      <c r="G12545" s="2"/>
      <c r="H12545" s="2" t="s">
        <v>16722</v>
      </c>
      <c r="I12545" s="2" t="s">
        <v>15</v>
      </c>
      <c r="J12545" s="2" t="s">
        <v>12</v>
      </c>
      <c r="K12545" s="2" t="s">
        <v>16721</v>
      </c>
      <c r="L12545" s="2">
        <f t="shared" si="195"/>
        <v>83</v>
      </c>
    </row>
    <row r="12546" spans="1:12" ht="25" customHeight="1">
      <c r="A12546" s="2" t="s">
        <v>12</v>
      </c>
      <c r="B12546" s="2" t="str">
        <f>HYPERLINK("http://www.12365auto.com/news/20200204/417592.shtml","搅动电池格局 丰田联手松下建合资公司")</f>
        <v>搅动电池格局 丰田联手松下建合资公司</v>
      </c>
      <c r="C12546" s="2" t="s">
        <v>13</v>
      </c>
      <c r="D12546" s="2" t="s">
        <v>12</v>
      </c>
      <c r="E12546" s="2" t="s">
        <v>276</v>
      </c>
      <c r="F12546" s="2" t="str">
        <f>HYPERLINK("http://www.12365auto.com/news/20200204/417592.shtml","http://www.12365auto.com/news/20200204/417592.shtml")</f>
        <v>http://www.12365auto.com/news/20200204/417592.shtml</v>
      </c>
      <c r="G12546" s="2"/>
      <c r="H12546" s="2" t="s">
        <v>16723</v>
      </c>
      <c r="I12546" s="2" t="s">
        <v>15</v>
      </c>
      <c r="J12546" s="2" t="s">
        <v>12</v>
      </c>
      <c r="K12546" s="2" t="s">
        <v>16724</v>
      </c>
      <c r="L12546" s="2">
        <f t="shared" si="195"/>
        <v>150</v>
      </c>
    </row>
    <row r="12547" spans="1:12" ht="25" customHeight="1">
      <c r="A12547" s="2" t="s">
        <v>12</v>
      </c>
      <c r="B12547" s="2" t="str">
        <f>HYPERLINK("http://m.12365auto.com/news/20200204/417592.shtml","搅动电池格局 丰田联手松下建合资公司")</f>
        <v>搅动电池格局 丰田联手松下建合资公司</v>
      </c>
      <c r="C12547" s="2" t="s">
        <v>13</v>
      </c>
      <c r="D12547" s="2" t="s">
        <v>12</v>
      </c>
      <c r="E12547" s="2"/>
      <c r="F12547" s="2" t="str">
        <f>HYPERLINK("http://m.12365auto.com/news/20200204/417592.shtml","http://m.12365auto.com/news/20200204/417592.shtml")</f>
        <v>http://m.12365auto.com/news/20200204/417592.shtml</v>
      </c>
      <c r="G12547" s="2"/>
      <c r="H12547" s="2" t="s">
        <v>16725</v>
      </c>
      <c r="I12547" s="2" t="s">
        <v>19</v>
      </c>
      <c r="J12547" s="2" t="s">
        <v>12</v>
      </c>
      <c r="K12547" s="2" t="s">
        <v>16724</v>
      </c>
      <c r="L12547" s="2">
        <f t="shared" ref="L12547:L12610" si="196">LEN(H12547)</f>
        <v>150</v>
      </c>
    </row>
    <row r="12548" spans="1:12" ht="25" customHeight="1">
      <c r="A12548" s="2" t="s">
        <v>12</v>
      </c>
      <c r="B12548" s="2" t="str">
        <f>HYPERLINK("http://m.12365auto.com/news/20200204/417591.shtml","防控疫情 江苏省交通/车管最新信息汇总")</f>
        <v>防控疫情 江苏省交通/车管最新信息汇总</v>
      </c>
      <c r="C12548" s="2" t="s">
        <v>13</v>
      </c>
      <c r="D12548" s="2" t="s">
        <v>12</v>
      </c>
      <c r="E12548" s="2"/>
      <c r="F12548" s="2" t="str">
        <f>HYPERLINK("http://m.12365auto.com/news/20200204/417591.shtml","http://m.12365auto.com/news/20200204/417591.shtml")</f>
        <v>http://m.12365auto.com/news/20200204/417591.shtml</v>
      </c>
      <c r="G12548" s="2"/>
      <c r="H12548" s="2" t="s">
        <v>16726</v>
      </c>
      <c r="I12548" s="2" t="s">
        <v>19</v>
      </c>
      <c r="J12548" s="2" t="s">
        <v>836</v>
      </c>
      <c r="K12548" s="2" t="s">
        <v>16727</v>
      </c>
      <c r="L12548" s="2">
        <f t="shared" si="196"/>
        <v>150</v>
      </c>
    </row>
    <row r="12549" spans="1:12" ht="25" customHeight="1">
      <c r="A12549" s="2" t="s">
        <v>12</v>
      </c>
      <c r="B12549" s="2" t="str">
        <f>HYPERLINK("http://www.12365auto.com/news/20200204/417591.shtml","防控疫情 江苏省交通/车管最新信息汇总")</f>
        <v>防控疫情 江苏省交通/车管最新信息汇总</v>
      </c>
      <c r="C12549" s="2" t="s">
        <v>13</v>
      </c>
      <c r="D12549" s="2" t="s">
        <v>12</v>
      </c>
      <c r="E12549" s="2" t="s">
        <v>276</v>
      </c>
      <c r="F12549" s="2" t="str">
        <f>HYPERLINK("http://www.12365auto.com/news/20200204/417591.shtml","http://www.12365auto.com/news/20200204/417591.shtml")</f>
        <v>http://www.12365auto.com/news/20200204/417591.shtml</v>
      </c>
      <c r="G12549" s="2"/>
      <c r="H12549" s="2" t="s">
        <v>16728</v>
      </c>
      <c r="I12549" s="2" t="s">
        <v>15</v>
      </c>
      <c r="J12549" s="2" t="s">
        <v>12</v>
      </c>
      <c r="K12549" s="2" t="s">
        <v>16727</v>
      </c>
      <c r="L12549" s="2">
        <f t="shared" si="196"/>
        <v>150</v>
      </c>
    </row>
    <row r="12550" spans="1:12" ht="25" customHeight="1">
      <c r="A12550" s="2" t="s">
        <v>12</v>
      </c>
      <c r="B12550" s="2" t="str">
        <f>HYPERLINK("http://m.12365auto.com/news/20200204/417590.shtml","防控疫情 浙江省交通/车管最新信息汇总")</f>
        <v>防控疫情 浙江省交通/车管最新信息汇总</v>
      </c>
      <c r="C12550" s="2" t="s">
        <v>13</v>
      </c>
      <c r="D12550" s="2" t="s">
        <v>12</v>
      </c>
      <c r="E12550" s="2"/>
      <c r="F12550" s="2" t="str">
        <f>HYPERLINK("http://m.12365auto.com/news/20200204/417590.shtml","http://m.12365auto.com/news/20200204/417590.shtml")</f>
        <v>http://m.12365auto.com/news/20200204/417590.shtml</v>
      </c>
      <c r="G12550" s="2"/>
      <c r="H12550" s="2" t="s">
        <v>16729</v>
      </c>
      <c r="I12550" s="2" t="s">
        <v>19</v>
      </c>
      <c r="J12550" s="2" t="s">
        <v>836</v>
      </c>
      <c r="K12550" s="2" t="s">
        <v>16730</v>
      </c>
      <c r="L12550" s="2">
        <f t="shared" si="196"/>
        <v>150</v>
      </c>
    </row>
    <row r="12551" spans="1:12" ht="25" customHeight="1">
      <c r="A12551" s="2" t="s">
        <v>12</v>
      </c>
      <c r="B12551" s="2" t="str">
        <f>HYPERLINK("http://www.12365auto.com/news/20200204/417590.shtml","防控疫情 浙江省交通/车管最新信息汇总")</f>
        <v>防控疫情 浙江省交通/车管最新信息汇总</v>
      </c>
      <c r="C12551" s="2" t="s">
        <v>13</v>
      </c>
      <c r="D12551" s="2" t="s">
        <v>12</v>
      </c>
      <c r="E12551" s="2" t="s">
        <v>276</v>
      </c>
      <c r="F12551" s="2" t="str">
        <f>HYPERLINK("http://www.12365auto.com/news/20200204/417590.shtml","http://www.12365auto.com/news/20200204/417590.shtml")</f>
        <v>http://www.12365auto.com/news/20200204/417590.shtml</v>
      </c>
      <c r="G12551" s="2"/>
      <c r="H12551" s="2" t="s">
        <v>16731</v>
      </c>
      <c r="I12551" s="2" t="s">
        <v>15</v>
      </c>
      <c r="J12551" s="2" t="s">
        <v>12</v>
      </c>
      <c r="K12551" s="2" t="s">
        <v>16730</v>
      </c>
      <c r="L12551" s="2">
        <f t="shared" si="196"/>
        <v>150</v>
      </c>
    </row>
    <row r="12552" spans="1:12" ht="25" customHeight="1">
      <c r="A12552" s="2" t="s">
        <v>12</v>
      </c>
      <c r="B12552" s="2" t="str">
        <f>HYPERLINK("http://m.12365auto.com/news/20200204/417589.shtml","小保养245元 比亚迪元EV养车成本调查")</f>
        <v>小保养245元 比亚迪元EV养车成本调查</v>
      </c>
      <c r="C12552" s="2" t="s">
        <v>13</v>
      </c>
      <c r="D12552" s="2" t="s">
        <v>12</v>
      </c>
      <c r="E12552" s="2"/>
      <c r="F12552" s="2" t="str">
        <f>HYPERLINK("http://m.12365auto.com/news/20200204/417589.shtml","http://m.12365auto.com/news/20200204/417589.shtml")</f>
        <v>http://m.12365auto.com/news/20200204/417589.shtml</v>
      </c>
      <c r="G12552" s="2"/>
      <c r="H12552" s="2" t="s">
        <v>16732</v>
      </c>
      <c r="I12552" s="2" t="s">
        <v>19</v>
      </c>
      <c r="J12552" s="2" t="s">
        <v>332</v>
      </c>
      <c r="K12552" s="2" t="s">
        <v>16733</v>
      </c>
      <c r="L12552" s="2">
        <f t="shared" si="196"/>
        <v>150</v>
      </c>
    </row>
    <row r="12553" spans="1:12" ht="25" customHeight="1">
      <c r="A12553" s="2" t="s">
        <v>12</v>
      </c>
      <c r="B12553" s="2" t="str">
        <f>HYPERLINK("http://www.12365auto.com/news/20200204/417589.shtml","小保养245元 比亚迪元EV养车成本调查")</f>
        <v>小保养245元 比亚迪元EV养车成本调查</v>
      </c>
      <c r="C12553" s="2" t="s">
        <v>13</v>
      </c>
      <c r="D12553" s="2" t="s">
        <v>12</v>
      </c>
      <c r="E12553" s="2" t="s">
        <v>372</v>
      </c>
      <c r="F12553" s="2" t="str">
        <f>HYPERLINK("http://www.12365auto.com/news/20200204/417589.shtml","http://www.12365auto.com/news/20200204/417589.shtml")</f>
        <v>http://www.12365auto.com/news/20200204/417589.shtml</v>
      </c>
      <c r="G12553" s="2"/>
      <c r="H12553" s="2" t="s">
        <v>16734</v>
      </c>
      <c r="I12553" s="2" t="s">
        <v>15</v>
      </c>
      <c r="J12553" s="2" t="s">
        <v>12</v>
      </c>
      <c r="K12553" s="2" t="s">
        <v>16733</v>
      </c>
      <c r="L12553" s="2">
        <f t="shared" si="196"/>
        <v>122</v>
      </c>
    </row>
    <row r="12554" spans="1:12" ht="25" customHeight="1">
      <c r="A12554" s="2" t="s">
        <v>12</v>
      </c>
      <c r="B12554" s="2" t="str">
        <f>HYPERLINK("http://m.12365auto.com/xcdg/20200204/417588.shtml","增加混动版本 雷诺新款梅甘娜官图发布")</f>
        <v>增加混动版本 雷诺新款梅甘娜官图发布</v>
      </c>
      <c r="C12554" s="2" t="s">
        <v>13</v>
      </c>
      <c r="D12554" s="2" t="s">
        <v>12</v>
      </c>
      <c r="E12554" s="2"/>
      <c r="F12554" s="2" t="str">
        <f>HYPERLINK("http://m.12365auto.com/xcdg/20200204/417588.shtml","http://m.12365auto.com/xcdg/20200204/417588.shtml")</f>
        <v>http://m.12365auto.com/xcdg/20200204/417588.shtml</v>
      </c>
      <c r="G12554" s="2"/>
      <c r="H12554" s="2" t="s">
        <v>16735</v>
      </c>
      <c r="I12554" s="2" t="s">
        <v>19</v>
      </c>
      <c r="J12554" s="2" t="s">
        <v>2560</v>
      </c>
      <c r="K12554" s="2" t="s">
        <v>16736</v>
      </c>
      <c r="L12554" s="2">
        <f t="shared" si="196"/>
        <v>150</v>
      </c>
    </row>
    <row r="12555" spans="1:12" ht="25" customHeight="1">
      <c r="A12555" s="2" t="s">
        <v>12</v>
      </c>
      <c r="B12555" s="2" t="str">
        <f>HYPERLINK("http://www.12365auto.com/xcdg/20200204/417588.shtml","增加混动版本 雷诺新款梅甘娜官图发布")</f>
        <v>增加混动版本 雷诺新款梅甘娜官图发布</v>
      </c>
      <c r="C12555" s="2" t="s">
        <v>13</v>
      </c>
      <c r="D12555" s="2" t="s">
        <v>12</v>
      </c>
      <c r="E12555" s="2" t="s">
        <v>216</v>
      </c>
      <c r="F12555" s="2" t="str">
        <f>HYPERLINK("http://www.12365auto.com/xcdg/20200204/417588.shtml","http://www.12365auto.com/xcdg/20200204/417588.shtml")</f>
        <v>http://www.12365auto.com/xcdg/20200204/417588.shtml</v>
      </c>
      <c r="G12555" s="2"/>
      <c r="H12555" s="2" t="s">
        <v>16737</v>
      </c>
      <c r="I12555" s="2" t="s">
        <v>15</v>
      </c>
      <c r="J12555" s="2" t="s">
        <v>12</v>
      </c>
      <c r="K12555" s="2" t="s">
        <v>16736</v>
      </c>
      <c r="L12555" s="2">
        <f t="shared" si="196"/>
        <v>150</v>
      </c>
    </row>
    <row r="12556" spans="1:12" ht="25" customHeight="1">
      <c r="A12556" s="2" t="s">
        <v>12</v>
      </c>
      <c r="B12556" s="2" t="str">
        <f>HYPERLINK("http://m.12365auto.com/xcdg/20200204/417587.shtml","潮流驱使 解码长安UNI-T的设计元素")</f>
        <v>潮流驱使 解码长安UNI-T的设计元素</v>
      </c>
      <c r="C12556" s="2" t="s">
        <v>13</v>
      </c>
      <c r="D12556" s="2" t="s">
        <v>12</v>
      </c>
      <c r="E12556" s="2"/>
      <c r="F12556" s="2" t="str">
        <f>HYPERLINK("http://m.12365auto.com/xcdg/20200204/417587.shtml","http://m.12365auto.com/xcdg/20200204/417587.shtml")</f>
        <v>http://m.12365auto.com/xcdg/20200204/417587.shtml</v>
      </c>
      <c r="G12556" s="2"/>
      <c r="H12556" s="2" t="s">
        <v>16738</v>
      </c>
      <c r="I12556" s="2" t="s">
        <v>19</v>
      </c>
      <c r="J12556" s="2" t="s">
        <v>2865</v>
      </c>
      <c r="K12556" s="2" t="s">
        <v>16739</v>
      </c>
      <c r="L12556" s="2">
        <f t="shared" si="196"/>
        <v>150</v>
      </c>
    </row>
    <row r="12557" spans="1:12" ht="25" customHeight="1">
      <c r="A12557" s="2" t="s">
        <v>12</v>
      </c>
      <c r="B12557" s="2" t="str">
        <f>HYPERLINK("http://www.12365auto.com/xcdg/20200204/417587.shtml","潮流驱使 解码长安UNI-T的设计元素")</f>
        <v>潮流驱使 解码长安UNI-T的设计元素</v>
      </c>
      <c r="C12557" s="2" t="s">
        <v>13</v>
      </c>
      <c r="D12557" s="2" t="s">
        <v>12</v>
      </c>
      <c r="E12557" s="2" t="s">
        <v>216</v>
      </c>
      <c r="F12557" s="2" t="str">
        <f>HYPERLINK("http://www.12365auto.com/xcdg/20200204/417587.shtml","http://www.12365auto.com/xcdg/20200204/417587.shtml")</f>
        <v>http://www.12365auto.com/xcdg/20200204/417587.shtml</v>
      </c>
      <c r="G12557" s="2"/>
      <c r="H12557" s="2" t="s">
        <v>16740</v>
      </c>
      <c r="I12557" s="2" t="s">
        <v>15</v>
      </c>
      <c r="J12557" s="2" t="s">
        <v>12</v>
      </c>
      <c r="K12557" s="2" t="s">
        <v>16739</v>
      </c>
      <c r="L12557" s="2">
        <f t="shared" si="196"/>
        <v>150</v>
      </c>
    </row>
    <row r="12558" spans="1:12" ht="25" customHeight="1">
      <c r="A12558" s="2" t="s">
        <v>12</v>
      </c>
      <c r="B12558" s="2" t="str">
        <f>HYPERLINK("http://m.12365auto.com/news/20200204/417586.shtml","遏制疫情 交通领域出台哪些保障政策？")</f>
        <v>遏制疫情 交通领域出台哪些保障政策？</v>
      </c>
      <c r="C12558" s="2" t="s">
        <v>13</v>
      </c>
      <c r="D12558" s="2" t="s">
        <v>12</v>
      </c>
      <c r="E12558" s="2"/>
      <c r="F12558" s="2" t="str">
        <f>HYPERLINK("http://m.12365auto.com/news/20200204/417586.shtml","http://m.12365auto.com/news/20200204/417586.shtml")</f>
        <v>http://m.12365auto.com/news/20200204/417586.shtml</v>
      </c>
      <c r="G12558" s="2"/>
      <c r="H12558" s="2" t="s">
        <v>16741</v>
      </c>
      <c r="I12558" s="2" t="s">
        <v>19</v>
      </c>
      <c r="J12558" s="2" t="s">
        <v>1170</v>
      </c>
      <c r="K12558" s="2" t="s">
        <v>16742</v>
      </c>
      <c r="L12558" s="2">
        <f t="shared" si="196"/>
        <v>150</v>
      </c>
    </row>
    <row r="12559" spans="1:12" ht="25" customHeight="1">
      <c r="A12559" s="2" t="s">
        <v>12</v>
      </c>
      <c r="B12559" s="2" t="str">
        <f>HYPERLINK("http://www.12365auto.com/news/20200204/417586.shtml","遏制疫情 交通领域出台哪些保障政策？")</f>
        <v>遏制疫情 交通领域出台哪些保障政策？</v>
      </c>
      <c r="C12559" s="2" t="s">
        <v>13</v>
      </c>
      <c r="D12559" s="2" t="s">
        <v>12</v>
      </c>
      <c r="E12559" s="2" t="s">
        <v>276</v>
      </c>
      <c r="F12559" s="2" t="str">
        <f>HYPERLINK("http://www.12365auto.com/news/20200204/417586.shtml","http://www.12365auto.com/news/20200204/417586.shtml")</f>
        <v>http://www.12365auto.com/news/20200204/417586.shtml</v>
      </c>
      <c r="G12559" s="2"/>
      <c r="H12559" s="2" t="s">
        <v>16743</v>
      </c>
      <c r="I12559" s="2" t="s">
        <v>15</v>
      </c>
      <c r="J12559" s="2" t="s">
        <v>12</v>
      </c>
      <c r="K12559" s="2" t="s">
        <v>16742</v>
      </c>
      <c r="L12559" s="2">
        <f t="shared" si="196"/>
        <v>150</v>
      </c>
    </row>
    <row r="12560" spans="1:12" ht="25" customHeight="1">
      <c r="A12560" s="2" t="s">
        <v>12</v>
      </c>
      <c r="B12560" s="2" t="str">
        <f>HYPERLINK("http://m.12365auto.com/news/20200204/417585.shtml","当疫情遇上返程高峰 这些小知识很有用")</f>
        <v>当疫情遇上返程高峰 这些小知识很有用</v>
      </c>
      <c r="C12560" s="2" t="s">
        <v>13</v>
      </c>
      <c r="D12560" s="2" t="s">
        <v>12</v>
      </c>
      <c r="E12560" s="2"/>
      <c r="F12560" s="2" t="str">
        <f>HYPERLINK("http://m.12365auto.com/news/20200204/417585.shtml","http://m.12365auto.com/news/20200204/417585.shtml")</f>
        <v>http://m.12365auto.com/news/20200204/417585.shtml</v>
      </c>
      <c r="G12560" s="2"/>
      <c r="H12560" s="2" t="s">
        <v>16744</v>
      </c>
      <c r="I12560" s="2" t="s">
        <v>19</v>
      </c>
      <c r="J12560" s="2" t="s">
        <v>16745</v>
      </c>
      <c r="K12560" s="2" t="s">
        <v>16746</v>
      </c>
      <c r="L12560" s="2">
        <f t="shared" si="196"/>
        <v>150</v>
      </c>
    </row>
    <row r="12561" spans="1:12" ht="25" customHeight="1">
      <c r="A12561" s="2" t="s">
        <v>12</v>
      </c>
      <c r="B12561" s="2" t="str">
        <f>HYPERLINK("http://www.12365auto.com/news/20200204/417585.shtml","当疫情遇上返程高峰 这些小知识很有用")</f>
        <v>当疫情遇上返程高峰 这些小知识很有用</v>
      </c>
      <c r="C12561" s="2" t="s">
        <v>13</v>
      </c>
      <c r="D12561" s="2" t="s">
        <v>12</v>
      </c>
      <c r="E12561" s="2" t="s">
        <v>372</v>
      </c>
      <c r="F12561" s="2" t="str">
        <f>HYPERLINK("http://www.12365auto.com/news/20200204/417585.shtml","http://www.12365auto.com/news/20200204/417585.shtml")</f>
        <v>http://www.12365auto.com/news/20200204/417585.shtml</v>
      </c>
      <c r="G12561" s="2"/>
      <c r="H12561" s="2" t="s">
        <v>16747</v>
      </c>
      <c r="I12561" s="2" t="s">
        <v>15</v>
      </c>
      <c r="J12561" s="2" t="s">
        <v>12</v>
      </c>
      <c r="K12561" s="2" t="s">
        <v>16746</v>
      </c>
      <c r="L12561" s="2">
        <f t="shared" si="196"/>
        <v>150</v>
      </c>
    </row>
    <row r="12562" spans="1:12" ht="25" customHeight="1">
      <c r="A12562" s="2" t="s">
        <v>12</v>
      </c>
      <c r="B12562" s="2" t="str">
        <f>HYPERLINK("http://m.12365auto.com/news/20200204/417584.shtml","疫情暴击汽车供应链 开工率或不到五成")</f>
        <v>疫情暴击汽车供应链 开工率或不到五成</v>
      </c>
      <c r="C12562" s="2" t="s">
        <v>13</v>
      </c>
      <c r="D12562" s="2" t="s">
        <v>12</v>
      </c>
      <c r="E12562" s="2"/>
      <c r="F12562" s="2" t="str">
        <f>HYPERLINK("http://m.12365auto.com/news/20200204/417584.shtml","http://m.12365auto.com/news/20200204/417584.shtml")</f>
        <v>http://m.12365auto.com/news/20200204/417584.shtml</v>
      </c>
      <c r="G12562" s="2"/>
      <c r="H12562" s="2" t="s">
        <v>16748</v>
      </c>
      <c r="I12562" s="2" t="s">
        <v>19</v>
      </c>
      <c r="J12562" s="2" t="s">
        <v>1653</v>
      </c>
      <c r="K12562" s="2" t="s">
        <v>16749</v>
      </c>
      <c r="L12562" s="2">
        <f t="shared" si="196"/>
        <v>150</v>
      </c>
    </row>
    <row r="12563" spans="1:12" ht="25" customHeight="1">
      <c r="A12563" s="2" t="s">
        <v>12</v>
      </c>
      <c r="B12563" s="2" t="str">
        <f>HYPERLINK("http://www.12365auto.com/news/20200204/417584.shtml","疫情暴击汽车供应链 开工率或不到五成")</f>
        <v>疫情暴击汽车供应链 开工率或不到五成</v>
      </c>
      <c r="C12563" s="2" t="s">
        <v>13</v>
      </c>
      <c r="D12563" s="2" t="s">
        <v>12</v>
      </c>
      <c r="E12563" s="2" t="s">
        <v>276</v>
      </c>
      <c r="F12563" s="2" t="str">
        <f>HYPERLINK("http://www.12365auto.com/news/20200204/417584.shtml","http://www.12365auto.com/news/20200204/417584.shtml")</f>
        <v>http://www.12365auto.com/news/20200204/417584.shtml</v>
      </c>
      <c r="G12563" s="2"/>
      <c r="H12563" s="2" t="s">
        <v>16750</v>
      </c>
      <c r="I12563" s="2" t="s">
        <v>15</v>
      </c>
      <c r="J12563" s="2" t="s">
        <v>12</v>
      </c>
      <c r="K12563" s="2" t="s">
        <v>16749</v>
      </c>
      <c r="L12563" s="2">
        <f t="shared" si="196"/>
        <v>150</v>
      </c>
    </row>
    <row r="12564" spans="1:12" ht="25" customHeight="1">
      <c r="A12564" s="2" t="s">
        <v>12</v>
      </c>
      <c r="B12564" s="2" t="str">
        <f>HYPERLINK("http://m.12365auto.com/news/20200204/417583.shtml","2021年推新车 起亚新电动车平台将面世")</f>
        <v>2021年推新车 起亚新电动车平台将面世</v>
      </c>
      <c r="C12564" s="2" t="s">
        <v>13</v>
      </c>
      <c r="D12564" s="2" t="s">
        <v>12</v>
      </c>
      <c r="E12564" s="2"/>
      <c r="F12564" s="2" t="str">
        <f>HYPERLINK("http://m.12365auto.com/news/20200204/417583.shtml","http://m.12365auto.com/news/20200204/417583.shtml")</f>
        <v>http://m.12365auto.com/news/20200204/417583.shtml</v>
      </c>
      <c r="G12564" s="2"/>
      <c r="H12564" s="2" t="s">
        <v>16751</v>
      </c>
      <c r="I12564" s="2" t="s">
        <v>19</v>
      </c>
      <c r="J12564" s="2" t="s">
        <v>1543</v>
      </c>
      <c r="K12564" s="2" t="s">
        <v>16752</v>
      </c>
      <c r="L12564" s="2">
        <f t="shared" si="196"/>
        <v>150</v>
      </c>
    </row>
    <row r="12565" spans="1:12" ht="25" customHeight="1">
      <c r="A12565" s="2" t="s">
        <v>12</v>
      </c>
      <c r="B12565" s="2" t="str">
        <f>HYPERLINK("http://www.12365auto.com/news/20200204/417583.shtml","2021年推新车 起亚新电动车平台将面世")</f>
        <v>2021年推新车 起亚新电动车平台将面世</v>
      </c>
      <c r="C12565" s="2" t="s">
        <v>13</v>
      </c>
      <c r="D12565" s="2" t="s">
        <v>12</v>
      </c>
      <c r="E12565" s="2" t="s">
        <v>276</v>
      </c>
      <c r="F12565" s="2" t="str">
        <f>HYPERLINK("http://www.12365auto.com/news/20200204/417583.shtml","http://www.12365auto.com/news/20200204/417583.shtml")</f>
        <v>http://www.12365auto.com/news/20200204/417583.shtml</v>
      </c>
      <c r="G12565" s="2"/>
      <c r="H12565" s="2" t="s">
        <v>16753</v>
      </c>
      <c r="I12565" s="2" t="s">
        <v>15</v>
      </c>
      <c r="J12565" s="2" t="s">
        <v>12</v>
      </c>
      <c r="K12565" s="2" t="s">
        <v>16752</v>
      </c>
      <c r="L12565" s="2">
        <f t="shared" si="196"/>
        <v>150</v>
      </c>
    </row>
    <row r="12566" spans="1:12" ht="25" customHeight="1">
      <c r="A12566" s="2" t="s">
        <v>12</v>
      </c>
      <c r="B12566" s="2" t="str">
        <f>HYPERLINK("http://www.12365auto.com/xcdg/20200204/417582.shtml","长安凯程F70推出长轴版 轴距加长250mm")</f>
        <v>长安凯程F70推出长轴版 轴距加长250mm</v>
      </c>
      <c r="C12566" s="2" t="s">
        <v>13</v>
      </c>
      <c r="D12566" s="2" t="s">
        <v>12</v>
      </c>
      <c r="E12566" s="2" t="s">
        <v>216</v>
      </c>
      <c r="F12566" s="2" t="str">
        <f>HYPERLINK("http://www.12365auto.com/xcdg/20200204/417582.shtml","http://www.12365auto.com/xcdg/20200204/417582.shtml")</f>
        <v>http://www.12365auto.com/xcdg/20200204/417582.shtml</v>
      </c>
      <c r="G12566" s="2"/>
      <c r="H12566" s="2" t="s">
        <v>16754</v>
      </c>
      <c r="I12566" s="2" t="s">
        <v>15</v>
      </c>
      <c r="J12566" s="2" t="s">
        <v>12</v>
      </c>
      <c r="K12566" s="2" t="s">
        <v>16755</v>
      </c>
      <c r="L12566" s="2">
        <f t="shared" si="196"/>
        <v>150</v>
      </c>
    </row>
    <row r="12567" spans="1:12" ht="25" customHeight="1">
      <c r="A12567" s="2" t="s">
        <v>12</v>
      </c>
      <c r="B12567" s="2" t="str">
        <f>HYPERLINK("http://m.12365auto.com/xcdg/20200204/417582.shtml","长安凯程F70推出长轴版 轴距加长250mm")</f>
        <v>长安凯程F70推出长轴版 轴距加长250mm</v>
      </c>
      <c r="C12567" s="2" t="s">
        <v>13</v>
      </c>
      <c r="D12567" s="2" t="s">
        <v>12</v>
      </c>
      <c r="E12567" s="2"/>
      <c r="F12567" s="2" t="str">
        <f>HYPERLINK("http://m.12365auto.com/xcdg/20200204/417582.shtml","http://m.12365auto.com/xcdg/20200204/417582.shtml")</f>
        <v>http://m.12365auto.com/xcdg/20200204/417582.shtml</v>
      </c>
      <c r="G12567" s="2"/>
      <c r="H12567" s="2" t="s">
        <v>16756</v>
      </c>
      <c r="I12567" s="2" t="s">
        <v>19</v>
      </c>
      <c r="J12567" s="2" t="s">
        <v>751</v>
      </c>
      <c r="K12567" s="2" t="s">
        <v>16755</v>
      </c>
      <c r="L12567" s="2">
        <f t="shared" si="196"/>
        <v>150</v>
      </c>
    </row>
    <row r="12568" spans="1:12" ht="25" customHeight="1">
      <c r="A12568" s="2" t="s">
        <v>12</v>
      </c>
      <c r="B12568" s="2" t="str">
        <f>HYPERLINK("http://www.12365auto.com/zlts/20200204/446278.shtml","上汽荣威RX3发动机抖动多次维修未解决")</f>
        <v>上汽荣威RX3发动机抖动多次维修未解决</v>
      </c>
      <c r="C12568" s="2" t="s">
        <v>13</v>
      </c>
      <c r="D12568" s="2" t="s">
        <v>12</v>
      </c>
      <c r="E12568" s="2" t="s">
        <v>17</v>
      </c>
      <c r="F12568" s="2" t="str">
        <f>HYPERLINK("http://www.12365auto.com/zlts/20200204/446278.shtml","http://www.12365auto.com/zlts/20200204/446278.shtml")</f>
        <v>http://www.12365auto.com/zlts/20200204/446278.shtml</v>
      </c>
      <c r="G12568" s="2"/>
      <c r="H12568" s="2" t="s">
        <v>16757</v>
      </c>
      <c r="I12568" s="2" t="s">
        <v>19</v>
      </c>
      <c r="J12568" s="2" t="s">
        <v>12</v>
      </c>
      <c r="K12568" s="2" t="s">
        <v>16758</v>
      </c>
      <c r="L12568" s="2">
        <f t="shared" si="196"/>
        <v>150</v>
      </c>
    </row>
    <row r="12569" spans="1:12" ht="25" customHeight="1">
      <c r="A12569" s="2" t="s">
        <v>12</v>
      </c>
      <c r="B12569" s="2" t="str">
        <f>HYPERLINK("http://www.12365auto.com/xcdg/20200204/417581.shtml","纯电动高尔夫R概念车亮相 主要应用赛事")</f>
        <v>纯电动高尔夫R概念车亮相 主要应用赛事</v>
      </c>
      <c r="C12569" s="2" t="s">
        <v>13</v>
      </c>
      <c r="D12569" s="2" t="s">
        <v>12</v>
      </c>
      <c r="E12569" s="2" t="s">
        <v>216</v>
      </c>
      <c r="F12569" s="2" t="str">
        <f>HYPERLINK("http://www.12365auto.com/xcdg/20200204/417581.shtml","http://www.12365auto.com/xcdg/20200204/417581.shtml")</f>
        <v>http://www.12365auto.com/xcdg/20200204/417581.shtml</v>
      </c>
      <c r="G12569" s="2"/>
      <c r="H12569" s="2" t="s">
        <v>16759</v>
      </c>
      <c r="I12569" s="2" t="s">
        <v>15</v>
      </c>
      <c r="J12569" s="2" t="s">
        <v>12</v>
      </c>
      <c r="K12569" s="2" t="s">
        <v>16758</v>
      </c>
      <c r="L12569" s="2">
        <f t="shared" si="196"/>
        <v>150</v>
      </c>
    </row>
    <row r="12570" spans="1:12" ht="25" customHeight="1">
      <c r="A12570" s="2" t="s">
        <v>12</v>
      </c>
      <c r="B12570" s="2" t="str">
        <f>HYPERLINK("http://m.12365auto.com/xcdg/20200204/417581.shtml","纯电动高尔夫R概念车亮相 主要应用赛事")</f>
        <v>纯电动高尔夫R概念车亮相 主要应用赛事</v>
      </c>
      <c r="C12570" s="2" t="s">
        <v>13</v>
      </c>
      <c r="D12570" s="2" t="s">
        <v>12</v>
      </c>
      <c r="E12570" s="2"/>
      <c r="F12570" s="2" t="str">
        <f>HYPERLINK("http://m.12365auto.com/xcdg/20200204/417581.shtml","http://m.12365auto.com/xcdg/20200204/417581.shtml")</f>
        <v>http://m.12365auto.com/xcdg/20200204/417581.shtml</v>
      </c>
      <c r="G12570" s="2"/>
      <c r="H12570" s="2" t="s">
        <v>16760</v>
      </c>
      <c r="I12570" s="2" t="s">
        <v>19</v>
      </c>
      <c r="J12570" s="2" t="s">
        <v>1218</v>
      </c>
      <c r="K12570" s="2" t="s">
        <v>16758</v>
      </c>
      <c r="L12570" s="2">
        <f t="shared" si="196"/>
        <v>150</v>
      </c>
    </row>
    <row r="12571" spans="1:12" ht="25" customHeight="1">
      <c r="A12571" s="2" t="s">
        <v>12</v>
      </c>
      <c r="B12571" s="2" t="str">
        <f>HYPERLINK("http://www.12365auto.com/news/20200204/417580.shtml","小型客车免通行费时间延长至2月8日24时")</f>
        <v>小型客车免通行费时间延长至2月8日24时</v>
      </c>
      <c r="C12571" s="2" t="s">
        <v>13</v>
      </c>
      <c r="D12571" s="2" t="s">
        <v>12</v>
      </c>
      <c r="E12571" s="2" t="s">
        <v>276</v>
      </c>
      <c r="F12571" s="2" t="str">
        <f>HYPERLINK("http://www.12365auto.com/news/20200204/417580.shtml","http://www.12365auto.com/news/20200204/417580.shtml")</f>
        <v>http://www.12365auto.com/news/20200204/417580.shtml</v>
      </c>
      <c r="G12571" s="2"/>
      <c r="H12571" s="2" t="s">
        <v>16761</v>
      </c>
      <c r="I12571" s="2" t="s">
        <v>15</v>
      </c>
      <c r="J12571" s="2" t="s">
        <v>12</v>
      </c>
      <c r="K12571" s="2" t="s">
        <v>16762</v>
      </c>
      <c r="L12571" s="2">
        <f t="shared" si="196"/>
        <v>150</v>
      </c>
    </row>
    <row r="12572" spans="1:12" ht="25" customHeight="1">
      <c r="A12572" s="2" t="s">
        <v>12</v>
      </c>
      <c r="B12572" s="2" t="str">
        <f>HYPERLINK("http://m.12365auto.com/news/20200204/417580.shtml","小型客车免通行费时间延长至2月8日24时")</f>
        <v>小型客车免通行费时间延长至2月8日24时</v>
      </c>
      <c r="C12572" s="2" t="s">
        <v>13</v>
      </c>
      <c r="D12572" s="2" t="s">
        <v>12</v>
      </c>
      <c r="E12572" s="2"/>
      <c r="F12572" s="2" t="str">
        <f>HYPERLINK("http://m.12365auto.com/news/20200204/417580.shtml","http://m.12365auto.com/news/20200204/417580.shtml")</f>
        <v>http://m.12365auto.com/news/20200204/417580.shtml</v>
      </c>
      <c r="G12572" s="2"/>
      <c r="H12572" s="2" t="s">
        <v>16763</v>
      </c>
      <c r="I12572" s="2" t="s">
        <v>19</v>
      </c>
      <c r="J12572" s="2" t="s">
        <v>4775</v>
      </c>
      <c r="K12572" s="2" t="s">
        <v>16762</v>
      </c>
      <c r="L12572" s="2">
        <f t="shared" si="196"/>
        <v>150</v>
      </c>
    </row>
    <row r="12573" spans="1:12" ht="25" customHeight="1">
      <c r="A12573" s="2" t="s">
        <v>12</v>
      </c>
      <c r="B12573" s="2" t="str">
        <f>HYPERLINK("http://www.12365auto.com/news/20200204/417579.shtml","不设2月销售目标 沃尔沃为经销商减压")</f>
        <v>不设2月销售目标 沃尔沃为经销商减压</v>
      </c>
      <c r="C12573" s="2" t="s">
        <v>13</v>
      </c>
      <c r="D12573" s="2" t="s">
        <v>12</v>
      </c>
      <c r="E12573" s="2" t="s">
        <v>276</v>
      </c>
      <c r="F12573" s="2" t="str">
        <f>HYPERLINK("http://www.12365auto.com/news/20200204/417579.shtml","http://www.12365auto.com/news/20200204/417579.shtml")</f>
        <v>http://www.12365auto.com/news/20200204/417579.shtml</v>
      </c>
      <c r="G12573" s="2"/>
      <c r="H12573" s="2" t="s">
        <v>16764</v>
      </c>
      <c r="I12573" s="2" t="s">
        <v>15</v>
      </c>
      <c r="J12573" s="2" t="s">
        <v>12</v>
      </c>
      <c r="K12573" s="2" t="s">
        <v>16765</v>
      </c>
      <c r="L12573" s="2">
        <f t="shared" si="196"/>
        <v>150</v>
      </c>
    </row>
    <row r="12574" spans="1:12" ht="25" customHeight="1">
      <c r="A12574" s="2" t="s">
        <v>12</v>
      </c>
      <c r="B12574" s="2" t="str">
        <f>HYPERLINK("http://m.12365auto.com/news/20200204/417579.shtml","不设2月销售目标 沃尔沃为经销商减压")</f>
        <v>不设2月销售目标 沃尔沃为经销商减压</v>
      </c>
      <c r="C12574" s="2" t="s">
        <v>13</v>
      </c>
      <c r="D12574" s="2" t="s">
        <v>12</v>
      </c>
      <c r="E12574" s="2"/>
      <c r="F12574" s="2" t="str">
        <f>HYPERLINK("http://m.12365auto.com/news/20200204/417579.shtml","http://m.12365auto.com/news/20200204/417579.shtml")</f>
        <v>http://m.12365auto.com/news/20200204/417579.shtml</v>
      </c>
      <c r="G12574" s="2"/>
      <c r="H12574" s="2" t="s">
        <v>16766</v>
      </c>
      <c r="I12574" s="2" t="s">
        <v>19</v>
      </c>
      <c r="J12574" s="2" t="s">
        <v>1222</v>
      </c>
      <c r="K12574" s="2" t="s">
        <v>16765</v>
      </c>
      <c r="L12574" s="2">
        <f t="shared" si="196"/>
        <v>150</v>
      </c>
    </row>
    <row r="12575" spans="1:12" ht="25" customHeight="1">
      <c r="A12575" s="2" t="s">
        <v>12</v>
      </c>
      <c r="B12575" s="2" t="str">
        <f>HYPERLINK("http://www.12365auto.com/news/20200204/417578.shtml","预防疫情扩散 BEIJING开发全新驾驶模式")</f>
        <v>预防疫情扩散 BEIJING开发全新驾驶模式</v>
      </c>
      <c r="C12575" s="2" t="s">
        <v>13</v>
      </c>
      <c r="D12575" s="2" t="s">
        <v>12</v>
      </c>
      <c r="E12575" s="2" t="s">
        <v>276</v>
      </c>
      <c r="F12575" s="2" t="str">
        <f>HYPERLINK("http://www.12365auto.com/news/20200204/417578.shtml","http://www.12365auto.com/news/20200204/417578.shtml")</f>
        <v>http://www.12365auto.com/news/20200204/417578.shtml</v>
      </c>
      <c r="G12575" s="2"/>
      <c r="H12575" s="2" t="s">
        <v>16767</v>
      </c>
      <c r="I12575" s="2" t="s">
        <v>15</v>
      </c>
      <c r="J12575" s="2" t="s">
        <v>12</v>
      </c>
      <c r="K12575" s="2" t="s">
        <v>16768</v>
      </c>
      <c r="L12575" s="2">
        <f t="shared" si="196"/>
        <v>150</v>
      </c>
    </row>
    <row r="12576" spans="1:12" ht="25" customHeight="1">
      <c r="A12576" s="2" t="s">
        <v>12</v>
      </c>
      <c r="B12576" s="2" t="str">
        <f>HYPERLINK("http://m.12365auto.com/news/20200204/417578.shtml","预防疫情扩散 BEIJING开发全新驾驶模式")</f>
        <v>预防疫情扩散 BEIJING开发全新驾驶模式</v>
      </c>
      <c r="C12576" s="2" t="s">
        <v>13</v>
      </c>
      <c r="D12576" s="2" t="s">
        <v>12</v>
      </c>
      <c r="E12576" s="2"/>
      <c r="F12576" s="2" t="str">
        <f>HYPERLINK("http://m.12365auto.com/news/20200204/417578.shtml","http://m.12365auto.com/news/20200204/417578.shtml")</f>
        <v>http://m.12365auto.com/news/20200204/417578.shtml</v>
      </c>
      <c r="G12576" s="2"/>
      <c r="H12576" s="2" t="s">
        <v>16769</v>
      </c>
      <c r="I12576" s="2" t="s">
        <v>19</v>
      </c>
      <c r="J12576" s="2" t="s">
        <v>1218</v>
      </c>
      <c r="K12576" s="2" t="s">
        <v>16768</v>
      </c>
      <c r="L12576" s="2">
        <f t="shared" si="196"/>
        <v>150</v>
      </c>
    </row>
    <row r="12577" spans="1:12" ht="25" customHeight="1">
      <c r="A12577" s="2" t="s">
        <v>12</v>
      </c>
      <c r="B12577" s="2" t="str">
        <f>HYPERLINK("http://www.12365auto.com/news/20200204/417577.shtml","阻击疫情 中汽中心向湖北省捐款500万元")</f>
        <v>阻击疫情 中汽中心向湖北省捐款500万元</v>
      </c>
      <c r="C12577" s="2" t="s">
        <v>13</v>
      </c>
      <c r="D12577" s="2" t="s">
        <v>12</v>
      </c>
      <c r="E12577" s="2" t="s">
        <v>276</v>
      </c>
      <c r="F12577" s="2" t="str">
        <f>HYPERLINK("http://www.12365auto.com/news/20200204/417577.shtml","http://www.12365auto.com/news/20200204/417577.shtml")</f>
        <v>http://www.12365auto.com/news/20200204/417577.shtml</v>
      </c>
      <c r="G12577" s="2"/>
      <c r="H12577" s="2" t="s">
        <v>16770</v>
      </c>
      <c r="I12577" s="2" t="s">
        <v>15</v>
      </c>
      <c r="J12577" s="2" t="s">
        <v>12</v>
      </c>
      <c r="K12577" s="2" t="s">
        <v>16771</v>
      </c>
      <c r="L12577" s="2">
        <f t="shared" si="196"/>
        <v>150</v>
      </c>
    </row>
    <row r="12578" spans="1:12" ht="25" customHeight="1">
      <c r="A12578" s="2" t="s">
        <v>12</v>
      </c>
      <c r="B12578" s="2" t="str">
        <f>HYPERLINK("http://m.12365auto.com/news/20200204/417577.shtml","阻击疫情 中汽中心向湖北省捐款500万元")</f>
        <v>阻击疫情 中汽中心向湖北省捐款500万元</v>
      </c>
      <c r="C12578" s="2" t="s">
        <v>13</v>
      </c>
      <c r="D12578" s="2" t="s">
        <v>12</v>
      </c>
      <c r="E12578" s="2"/>
      <c r="F12578" s="2" t="str">
        <f>HYPERLINK("http://m.12365auto.com/news/20200204/417577.shtml","http://m.12365auto.com/news/20200204/417577.shtml")</f>
        <v>http://m.12365auto.com/news/20200204/417577.shtml</v>
      </c>
      <c r="G12578" s="2"/>
      <c r="H12578" s="2" t="s">
        <v>16772</v>
      </c>
      <c r="I12578" s="2" t="s">
        <v>19</v>
      </c>
      <c r="J12578" s="2" t="s">
        <v>1222</v>
      </c>
      <c r="K12578" s="2" t="s">
        <v>16771</v>
      </c>
      <c r="L12578" s="2">
        <f t="shared" si="196"/>
        <v>150</v>
      </c>
    </row>
    <row r="12579" spans="1:12" ht="25" customHeight="1">
      <c r="A12579" s="2" t="s">
        <v>12</v>
      </c>
      <c r="B12579" s="2" t="str">
        <f>HYPERLINK("http://m.12365auto.com/news/20200204/417576.shtml","长城支援重庆疫情防控 捐赠10辆炮皮卡")</f>
        <v>长城支援重庆疫情防控 捐赠10辆炮皮卡</v>
      </c>
      <c r="C12579" s="2" t="s">
        <v>13</v>
      </c>
      <c r="D12579" s="2" t="s">
        <v>12</v>
      </c>
      <c r="E12579" s="2"/>
      <c r="F12579" s="2" t="str">
        <f>HYPERLINK("http://m.12365auto.com/news/20200204/417576.shtml","http://m.12365auto.com/news/20200204/417576.shtml")</f>
        <v>http://m.12365auto.com/news/20200204/417576.shtml</v>
      </c>
      <c r="G12579" s="2"/>
      <c r="H12579" s="2" t="s">
        <v>16773</v>
      </c>
      <c r="I12579" s="2" t="s">
        <v>19</v>
      </c>
      <c r="J12579" s="2" t="s">
        <v>751</v>
      </c>
      <c r="K12579" s="2" t="s">
        <v>16774</v>
      </c>
      <c r="L12579" s="2">
        <f t="shared" si="196"/>
        <v>150</v>
      </c>
    </row>
    <row r="12580" spans="1:12" ht="25" customHeight="1">
      <c r="A12580" s="2" t="s">
        <v>12</v>
      </c>
      <c r="B12580" s="2" t="str">
        <f>HYPERLINK("http://www.12365auto.com/news/20200204/417576.shtml","长城支援重庆疫情防控 捐赠10辆炮皮卡")</f>
        <v>长城支援重庆疫情防控 捐赠10辆炮皮卡</v>
      </c>
      <c r="C12580" s="2" t="s">
        <v>13</v>
      </c>
      <c r="D12580" s="2" t="s">
        <v>12</v>
      </c>
      <c r="E12580" s="2" t="s">
        <v>276</v>
      </c>
      <c r="F12580" s="2" t="str">
        <f>HYPERLINK("http://www.12365auto.com/news/20200204/417576.shtml","http://www.12365auto.com/news/20200204/417576.shtml")</f>
        <v>http://www.12365auto.com/news/20200204/417576.shtml</v>
      </c>
      <c r="G12580" s="2"/>
      <c r="H12580" s="2" t="s">
        <v>16775</v>
      </c>
      <c r="I12580" s="2" t="s">
        <v>15</v>
      </c>
      <c r="J12580" s="2" t="s">
        <v>12</v>
      </c>
      <c r="K12580" s="2" t="s">
        <v>16774</v>
      </c>
      <c r="L12580" s="2">
        <f t="shared" si="196"/>
        <v>150</v>
      </c>
    </row>
    <row r="12581" spans="1:12" ht="25" customHeight="1">
      <c r="A12581" s="2" t="s">
        <v>12</v>
      </c>
      <c r="B12581" s="2" t="str">
        <f>HYPERLINK("http://m.12365auto.com/news/20200204/417575.shtml","携手一丰与广丰 丰田汽车捐款1000万元")</f>
        <v>携手一丰与广丰 丰田汽车捐款1000万元</v>
      </c>
      <c r="C12581" s="2" t="s">
        <v>13</v>
      </c>
      <c r="D12581" s="2" t="s">
        <v>12</v>
      </c>
      <c r="E12581" s="2"/>
      <c r="F12581" s="2" t="str">
        <f>HYPERLINK("http://m.12365auto.com/news/20200204/417575.shtml","http://m.12365auto.com/news/20200204/417575.shtml")</f>
        <v>http://m.12365auto.com/news/20200204/417575.shtml</v>
      </c>
      <c r="G12581" s="2"/>
      <c r="H12581" s="2" t="s">
        <v>16776</v>
      </c>
      <c r="I12581" s="2" t="s">
        <v>19</v>
      </c>
      <c r="J12581" s="2" t="s">
        <v>1222</v>
      </c>
      <c r="K12581" s="2" t="s">
        <v>16777</v>
      </c>
      <c r="L12581" s="2">
        <f t="shared" si="196"/>
        <v>150</v>
      </c>
    </row>
    <row r="12582" spans="1:12" ht="25" customHeight="1">
      <c r="A12582" s="2" t="s">
        <v>12</v>
      </c>
      <c r="B12582" s="2" t="str">
        <f>HYPERLINK("http://www.12365auto.com/news/20200204/417575.shtml","携手一丰与广丰 丰田汽车捐款1000万元")</f>
        <v>携手一丰与广丰 丰田汽车捐款1000万元</v>
      </c>
      <c r="C12582" s="2" t="s">
        <v>13</v>
      </c>
      <c r="D12582" s="2" t="s">
        <v>12</v>
      </c>
      <c r="E12582" s="2" t="s">
        <v>276</v>
      </c>
      <c r="F12582" s="2" t="str">
        <f>HYPERLINK("http://www.12365auto.com/news/20200204/417575.shtml","http://www.12365auto.com/news/20200204/417575.shtml")</f>
        <v>http://www.12365auto.com/news/20200204/417575.shtml</v>
      </c>
      <c r="G12582" s="2"/>
      <c r="H12582" s="2" t="s">
        <v>16778</v>
      </c>
      <c r="I12582" s="2" t="s">
        <v>15</v>
      </c>
      <c r="J12582" s="2" t="s">
        <v>12</v>
      </c>
      <c r="K12582" s="2" t="s">
        <v>16777</v>
      </c>
      <c r="L12582" s="2">
        <f t="shared" si="196"/>
        <v>150</v>
      </c>
    </row>
    <row r="12583" spans="1:12" ht="25" customHeight="1">
      <c r="A12583" s="2" t="s">
        <v>12</v>
      </c>
      <c r="B12583" s="2" t="str">
        <f>HYPERLINK("http://m.12365auto.com/news/20200204/417574.shtml","累计1100万元 比亚迪向湖北省捐款捐物")</f>
        <v>累计1100万元 比亚迪向湖北省捐款捐物</v>
      </c>
      <c r="C12583" s="2" t="s">
        <v>13</v>
      </c>
      <c r="D12583" s="2" t="s">
        <v>12</v>
      </c>
      <c r="E12583" s="2"/>
      <c r="F12583" s="2" t="str">
        <f>HYPERLINK("http://m.12365auto.com/news/20200204/417574.shtml","http://m.12365auto.com/news/20200204/417574.shtml")</f>
        <v>http://m.12365auto.com/news/20200204/417574.shtml</v>
      </c>
      <c r="G12583" s="2"/>
      <c r="H12583" s="2" t="s">
        <v>16779</v>
      </c>
      <c r="I12583" s="2" t="s">
        <v>19</v>
      </c>
      <c r="J12583" s="2" t="s">
        <v>1222</v>
      </c>
      <c r="K12583" s="2" t="s">
        <v>16780</v>
      </c>
      <c r="L12583" s="2">
        <f t="shared" si="196"/>
        <v>150</v>
      </c>
    </row>
    <row r="12584" spans="1:12" ht="25" customHeight="1">
      <c r="A12584" s="2" t="s">
        <v>12</v>
      </c>
      <c r="B12584" s="2" t="str">
        <f>HYPERLINK("http://www.12365auto.com/news/20200204/417574.shtml","累计1100万元 比亚迪向湖北省捐款捐物")</f>
        <v>累计1100万元 比亚迪向湖北省捐款捐物</v>
      </c>
      <c r="C12584" s="2" t="s">
        <v>13</v>
      </c>
      <c r="D12584" s="2" t="s">
        <v>12</v>
      </c>
      <c r="E12584" s="2" t="s">
        <v>276</v>
      </c>
      <c r="F12584" s="2" t="str">
        <f>HYPERLINK("http://www.12365auto.com/news/20200204/417574.shtml","http://www.12365auto.com/news/20200204/417574.shtml")</f>
        <v>http://www.12365auto.com/news/20200204/417574.shtml</v>
      </c>
      <c r="G12584" s="2"/>
      <c r="H12584" s="2" t="s">
        <v>16781</v>
      </c>
      <c r="I12584" s="2" t="s">
        <v>15</v>
      </c>
      <c r="J12584" s="2" t="s">
        <v>12</v>
      </c>
      <c r="K12584" s="2" t="s">
        <v>16780</v>
      </c>
      <c r="L12584" s="2">
        <f t="shared" si="196"/>
        <v>150</v>
      </c>
    </row>
    <row r="12585" spans="1:12" ht="25" customHeight="1">
      <c r="A12585" s="2" t="s">
        <v>12</v>
      </c>
      <c r="B12585" s="2" t="str">
        <f>HYPERLINK("http://m.12365auto.com/news/20200204/417573.shtml","防控阻击疫情 上海市交通/车管最新信息")</f>
        <v>防控阻击疫情 上海市交通/车管最新信息</v>
      </c>
      <c r="C12585" s="2" t="s">
        <v>13</v>
      </c>
      <c r="D12585" s="2" t="s">
        <v>12</v>
      </c>
      <c r="E12585" s="2"/>
      <c r="F12585" s="2" t="str">
        <f>HYPERLINK("http://m.12365auto.com/news/20200204/417573.shtml","http://m.12365auto.com/news/20200204/417573.shtml")</f>
        <v>http://m.12365auto.com/news/20200204/417573.shtml</v>
      </c>
      <c r="G12585" s="2"/>
      <c r="H12585" s="2" t="s">
        <v>16782</v>
      </c>
      <c r="I12585" s="2" t="s">
        <v>19</v>
      </c>
      <c r="J12585" s="2" t="s">
        <v>751</v>
      </c>
      <c r="K12585" s="2" t="s">
        <v>16783</v>
      </c>
      <c r="L12585" s="2">
        <f t="shared" si="196"/>
        <v>150</v>
      </c>
    </row>
    <row r="12586" spans="1:12" ht="25" customHeight="1">
      <c r="A12586" s="2" t="s">
        <v>12</v>
      </c>
      <c r="B12586" s="2" t="str">
        <f>HYPERLINK("http://m.12365auto.com/news/20200204/417572.shtml","大众汽车集团携手合资企业共捐资1.2亿")</f>
        <v>大众汽车集团携手合资企业共捐资1.2亿</v>
      </c>
      <c r="C12586" s="2" t="s">
        <v>13</v>
      </c>
      <c r="D12586" s="2" t="s">
        <v>12</v>
      </c>
      <c r="E12586" s="2"/>
      <c r="F12586" s="2" t="str">
        <f>HYPERLINK("http://m.12365auto.com/news/20200204/417572.shtml","http://m.12365auto.com/news/20200204/417572.shtml")</f>
        <v>http://m.12365auto.com/news/20200204/417572.shtml</v>
      </c>
      <c r="G12586" s="2"/>
      <c r="H12586" s="2" t="s">
        <v>16784</v>
      </c>
      <c r="I12586" s="2" t="s">
        <v>19</v>
      </c>
      <c r="J12586" s="2" t="s">
        <v>1222</v>
      </c>
      <c r="K12586" s="2" t="s">
        <v>16783</v>
      </c>
      <c r="L12586" s="2">
        <f t="shared" si="196"/>
        <v>150</v>
      </c>
    </row>
    <row r="12587" spans="1:12" ht="25" customHeight="1">
      <c r="A12587" s="2" t="s">
        <v>12</v>
      </c>
      <c r="B12587" s="2" t="str">
        <f>HYPERLINK("http://www.12365auto.com/news/20200204/417573.shtml","防控阻击疫情 上海市交通/车管最新信息")</f>
        <v>防控阻击疫情 上海市交通/车管最新信息</v>
      </c>
      <c r="C12587" s="2" t="s">
        <v>13</v>
      </c>
      <c r="D12587" s="2" t="s">
        <v>12</v>
      </c>
      <c r="E12587" s="2" t="s">
        <v>276</v>
      </c>
      <c r="F12587" s="2" t="str">
        <f>HYPERLINK("http://www.12365auto.com/news/20200204/417573.shtml","http://www.12365auto.com/news/20200204/417573.shtml")</f>
        <v>http://www.12365auto.com/news/20200204/417573.shtml</v>
      </c>
      <c r="G12587" s="2"/>
      <c r="H12587" s="2" t="s">
        <v>16785</v>
      </c>
      <c r="I12587" s="2" t="s">
        <v>15</v>
      </c>
      <c r="J12587" s="2" t="s">
        <v>12</v>
      </c>
      <c r="K12587" s="2" t="s">
        <v>16783</v>
      </c>
      <c r="L12587" s="2">
        <f t="shared" si="196"/>
        <v>150</v>
      </c>
    </row>
    <row r="12588" spans="1:12" ht="25" customHeight="1">
      <c r="A12588" s="2" t="s">
        <v>12</v>
      </c>
      <c r="B12588" s="2" t="str">
        <f>HYPERLINK("http://www.12365auto.com/news/20200204/417572.shtml","大众汽车集团携手合资企业共捐资1.2亿")</f>
        <v>大众汽车集团携手合资企业共捐资1.2亿</v>
      </c>
      <c r="C12588" s="2" t="s">
        <v>13</v>
      </c>
      <c r="D12588" s="2" t="s">
        <v>12</v>
      </c>
      <c r="E12588" s="2" t="s">
        <v>276</v>
      </c>
      <c r="F12588" s="2" t="str">
        <f>HYPERLINK("http://www.12365auto.com/news/20200204/417572.shtml","http://www.12365auto.com/news/20200204/417572.shtml")</f>
        <v>http://www.12365auto.com/news/20200204/417572.shtml</v>
      </c>
      <c r="G12588" s="2"/>
      <c r="H12588" s="2" t="s">
        <v>16786</v>
      </c>
      <c r="I12588" s="2" t="s">
        <v>15</v>
      </c>
      <c r="J12588" s="2" t="s">
        <v>12</v>
      </c>
      <c r="K12588" s="2" t="s">
        <v>16783</v>
      </c>
      <c r="L12588" s="2">
        <f t="shared" si="196"/>
        <v>150</v>
      </c>
    </row>
    <row r="12589" spans="1:12" ht="25" customHeight="1">
      <c r="A12589" s="2" t="s">
        <v>12</v>
      </c>
      <c r="B12589" s="2" t="str">
        <f>HYPERLINK("http://m.12365auto.com/news/20200204/417571.shtml","疫情防控 起亚4S店复工时间延至2月10日")</f>
        <v>疫情防控 起亚4S店复工时间延至2月10日</v>
      </c>
      <c r="C12589" s="2" t="s">
        <v>13</v>
      </c>
      <c r="D12589" s="2" t="s">
        <v>12</v>
      </c>
      <c r="E12589" s="2"/>
      <c r="F12589" s="2" t="str">
        <f>HYPERLINK("http://m.12365auto.com/news/20200204/417571.shtml","http://m.12365auto.com/news/20200204/417571.shtml")</f>
        <v>http://m.12365auto.com/news/20200204/417571.shtml</v>
      </c>
      <c r="G12589" s="2"/>
      <c r="H12589" s="2" t="s">
        <v>16787</v>
      </c>
      <c r="I12589" s="2" t="s">
        <v>19</v>
      </c>
      <c r="J12589" s="2" t="s">
        <v>1218</v>
      </c>
      <c r="K12589" s="2" t="s">
        <v>16788</v>
      </c>
      <c r="L12589" s="2">
        <f t="shared" si="196"/>
        <v>150</v>
      </c>
    </row>
    <row r="12590" spans="1:12" ht="25" customHeight="1">
      <c r="A12590" s="2" t="s">
        <v>12</v>
      </c>
      <c r="B12590" s="2" t="str">
        <f>HYPERLINK("http://www.12365auto.com/news/20200204/417571.shtml","疫情防控 起亚4S店复工时间延至2月10日")</f>
        <v>疫情防控 起亚4S店复工时间延至2月10日</v>
      </c>
      <c r="C12590" s="2" t="s">
        <v>13</v>
      </c>
      <c r="D12590" s="2" t="s">
        <v>12</v>
      </c>
      <c r="E12590" s="2" t="s">
        <v>276</v>
      </c>
      <c r="F12590" s="2" t="str">
        <f>HYPERLINK("http://www.12365auto.com/news/20200204/417571.shtml","http://www.12365auto.com/news/20200204/417571.shtml")</f>
        <v>http://www.12365auto.com/news/20200204/417571.shtml</v>
      </c>
      <c r="G12590" s="2"/>
      <c r="H12590" s="2" t="s">
        <v>16789</v>
      </c>
      <c r="I12590" s="2" t="s">
        <v>15</v>
      </c>
      <c r="J12590" s="2" t="s">
        <v>12</v>
      </c>
      <c r="K12590" s="2" t="s">
        <v>16788</v>
      </c>
      <c r="L12590" s="2">
        <f t="shared" si="196"/>
        <v>150</v>
      </c>
    </row>
    <row r="12591" spans="1:12" ht="25" customHeight="1">
      <c r="A12591" s="2" t="s">
        <v>12</v>
      </c>
      <c r="B12591" s="2" t="str">
        <f>HYPERLINK("http://m.12365auto.com/bbs/postcontent.aspx?tID=193229","迈腾和探岳 选轿车还是SUV")</f>
        <v>迈腾和探岳 选轿车还是SUV</v>
      </c>
      <c r="C12591" s="2" t="s">
        <v>13</v>
      </c>
      <c r="D12591" s="2" t="s">
        <v>23</v>
      </c>
      <c r="E12591" s="2"/>
      <c r="F12591" s="2" t="str">
        <f>HYPERLINK("http://m.12365auto.com/bbs/postcontent.aspx?tID=193229","http://m.12365auto.com/bbs/postcontent.aspx?tID=193229")</f>
        <v>http://m.12365auto.com/bbs/postcontent.aspx?tID=193229</v>
      </c>
      <c r="G12591" s="2"/>
      <c r="H12591" s="2" t="s">
        <v>16790</v>
      </c>
      <c r="I12591" s="2" t="s">
        <v>15</v>
      </c>
      <c r="J12591" s="2" t="s">
        <v>3089</v>
      </c>
      <c r="K12591" s="2" t="s">
        <v>16791</v>
      </c>
      <c r="L12591" s="2">
        <f t="shared" si="196"/>
        <v>150</v>
      </c>
    </row>
    <row r="12592" spans="1:12" ht="25" customHeight="1">
      <c r="A12592" s="2" t="s">
        <v>12</v>
      </c>
      <c r="B12592" s="2" t="str">
        <f>HYPERLINK("http://bbs.12365auto.com/postcontent.aspx?tId=193229","迈腾和探岳 选轿车还是SUV")</f>
        <v>迈腾和探岳 选轿车还是SUV</v>
      </c>
      <c r="C12592" s="2" t="s">
        <v>13</v>
      </c>
      <c r="D12592" s="2" t="s">
        <v>12</v>
      </c>
      <c r="E12592" s="2" t="s">
        <v>27</v>
      </c>
      <c r="F12592" s="2" t="str">
        <f>HYPERLINK("http://bbs.12365auto.com/postcontent.aspx?tId=193229","http://bbs.12365auto.com/postcontent.aspx?tId=193229")</f>
        <v>http://bbs.12365auto.com/postcontent.aspx?tId=193229</v>
      </c>
      <c r="G12592" s="2"/>
      <c r="H12592" s="2" t="s">
        <v>16790</v>
      </c>
      <c r="I12592" s="2" t="s">
        <v>15</v>
      </c>
      <c r="J12592" s="2" t="s">
        <v>3089</v>
      </c>
      <c r="K12592" s="2" t="s">
        <v>16791</v>
      </c>
      <c r="L12592" s="2">
        <f t="shared" si="196"/>
        <v>150</v>
      </c>
    </row>
    <row r="12593" spans="1:12" ht="25" customHeight="1">
      <c r="A12593" s="2" t="s">
        <v>12</v>
      </c>
      <c r="B12593" s="2" t="str">
        <f>HYPERLINK("http://bbs.12365auto.com/postcontent.aspx?tID=193229","迈腾和探岳 选轿车还是SUV")</f>
        <v>迈腾和探岳 选轿车还是SUV</v>
      </c>
      <c r="C12593" s="2" t="s">
        <v>13</v>
      </c>
      <c r="D12593" s="2" t="s">
        <v>12</v>
      </c>
      <c r="E12593" s="2" t="s">
        <v>28</v>
      </c>
      <c r="F12593" s="2" t="str">
        <f>HYPERLINK("http://bbs.12365auto.com/postcontent.aspx?tID=193229","http://bbs.12365auto.com/postcontent.aspx?tID=193229")</f>
        <v>http://bbs.12365auto.com/postcontent.aspx?tID=193229</v>
      </c>
      <c r="G12593" s="2"/>
      <c r="H12593" s="2" t="s">
        <v>16792</v>
      </c>
      <c r="I12593" s="2" t="s">
        <v>15</v>
      </c>
      <c r="J12593" s="2" t="s">
        <v>3089</v>
      </c>
      <c r="K12593" s="2" t="s">
        <v>16791</v>
      </c>
      <c r="L12593" s="2">
        <f t="shared" si="196"/>
        <v>150</v>
      </c>
    </row>
    <row r="12594" spans="1:12" ht="25" customHeight="1">
      <c r="A12594" s="2" t="s">
        <v>12</v>
      </c>
      <c r="B12594" s="2" t="str">
        <f>HYPERLINK("http://www.12365auto.com/zlts/20200204/446276.shtml","发动机变速箱漏油技术人员没判断出来")</f>
        <v>发动机变速箱漏油技术人员没判断出来</v>
      </c>
      <c r="C12594" s="2" t="s">
        <v>13</v>
      </c>
      <c r="D12594" s="2" t="s">
        <v>12</v>
      </c>
      <c r="E12594" s="2"/>
      <c r="F12594" s="2" t="str">
        <f>HYPERLINK("http://www.12365auto.com/zlts/20200204/446276.shtml","http://www.12365auto.com/zlts/20200204/446276.shtml")</f>
        <v>http://www.12365auto.com/zlts/20200204/446276.shtml</v>
      </c>
      <c r="G12594" s="2"/>
      <c r="H12594" s="2" t="s">
        <v>16794</v>
      </c>
      <c r="I12594" s="2" t="s">
        <v>15</v>
      </c>
      <c r="J12594" s="2" t="s">
        <v>12</v>
      </c>
      <c r="K12594" s="2" t="s">
        <v>16793</v>
      </c>
      <c r="L12594" s="2">
        <f t="shared" si="196"/>
        <v>85</v>
      </c>
    </row>
    <row r="12595" spans="1:12" ht="25" customHeight="1">
      <c r="A12595" s="2" t="s">
        <v>12</v>
      </c>
      <c r="B12595" s="2" t="str">
        <f>HYPERLINK("http://m.12365auto.com/bbs/postcontent.aspx?tID=193228","节后购车 三款豪华紧凑型SUV导购")</f>
        <v>节后购车 三款豪华紧凑型SUV导购</v>
      </c>
      <c r="C12595" s="2" t="s">
        <v>13</v>
      </c>
      <c r="D12595" s="2" t="s">
        <v>23</v>
      </c>
      <c r="E12595" s="2"/>
      <c r="F12595" s="2" t="str">
        <f>HYPERLINK("http://m.12365auto.com/bbs/postcontent.aspx?tID=193228","http://m.12365auto.com/bbs/postcontent.aspx?tID=193228")</f>
        <v>http://m.12365auto.com/bbs/postcontent.aspx?tID=193228</v>
      </c>
      <c r="G12595" s="2"/>
      <c r="H12595" s="2" t="s">
        <v>16795</v>
      </c>
      <c r="I12595" s="2" t="s">
        <v>15</v>
      </c>
      <c r="J12595" s="2" t="s">
        <v>3089</v>
      </c>
      <c r="K12595" s="2" t="s">
        <v>16796</v>
      </c>
      <c r="L12595" s="2">
        <f t="shared" si="196"/>
        <v>150</v>
      </c>
    </row>
    <row r="12596" spans="1:12" ht="25" customHeight="1">
      <c r="A12596" s="2" t="s">
        <v>12</v>
      </c>
      <c r="B12596" s="2" t="str">
        <f>HYPERLINK("http://bbs.12365auto.com/postcontent.aspx?tId=193228","节后购车 三款豪华紧凑型SUV导购")</f>
        <v>节后购车 三款豪华紧凑型SUV导购</v>
      </c>
      <c r="C12596" s="2" t="s">
        <v>13</v>
      </c>
      <c r="D12596" s="2" t="s">
        <v>12</v>
      </c>
      <c r="E12596" s="2" t="s">
        <v>27</v>
      </c>
      <c r="F12596" s="2" t="str">
        <f>HYPERLINK("http://bbs.12365auto.com/postcontent.aspx?tId=193228","http://bbs.12365auto.com/postcontent.aspx?tId=193228")</f>
        <v>http://bbs.12365auto.com/postcontent.aspx?tId=193228</v>
      </c>
      <c r="G12596" s="2"/>
      <c r="H12596" s="2" t="s">
        <v>16795</v>
      </c>
      <c r="I12596" s="2" t="s">
        <v>15</v>
      </c>
      <c r="J12596" s="2" t="s">
        <v>3089</v>
      </c>
      <c r="K12596" s="2" t="s">
        <v>16796</v>
      </c>
      <c r="L12596" s="2">
        <f t="shared" si="196"/>
        <v>150</v>
      </c>
    </row>
    <row r="12597" spans="1:12" ht="25" customHeight="1">
      <c r="A12597" s="2" t="s">
        <v>12</v>
      </c>
      <c r="B12597" s="2" t="str">
        <f>HYPERLINK("http://bbs.12365auto.com/postcontent.aspx?tID=193228","节后购车 三款豪华紧凑型SUV导购")</f>
        <v>节后购车 三款豪华紧凑型SUV导购</v>
      </c>
      <c r="C12597" s="2" t="s">
        <v>13</v>
      </c>
      <c r="D12597" s="2" t="s">
        <v>12</v>
      </c>
      <c r="E12597" s="2" t="s">
        <v>28</v>
      </c>
      <c r="F12597" s="2" t="str">
        <f>HYPERLINK("http://bbs.12365auto.com/postcontent.aspx?tID=193228","http://bbs.12365auto.com/postcontent.aspx?tID=193228")</f>
        <v>http://bbs.12365auto.com/postcontent.aspx?tID=193228</v>
      </c>
      <c r="G12597" s="2"/>
      <c r="H12597" s="2" t="s">
        <v>16797</v>
      </c>
      <c r="I12597" s="2" t="s">
        <v>15</v>
      </c>
      <c r="J12597" s="2" t="s">
        <v>3089</v>
      </c>
      <c r="K12597" s="2" t="s">
        <v>16796</v>
      </c>
      <c r="L12597" s="2">
        <f t="shared" si="196"/>
        <v>150</v>
      </c>
    </row>
    <row r="12598" spans="1:12" ht="25" customHeight="1">
      <c r="A12598" s="2" t="s">
        <v>12</v>
      </c>
      <c r="B12598" s="2" t="str">
        <f>HYPERLINK("http://bbs.12365auto.com/postcontent.aspx?tID=193227","手握30万买7座家用车 这三款有料")</f>
        <v>手握30万买7座家用车 这三款有料</v>
      </c>
      <c r="C12598" s="2" t="s">
        <v>13</v>
      </c>
      <c r="D12598" s="2" t="s">
        <v>12</v>
      </c>
      <c r="E12598" s="2" t="s">
        <v>28</v>
      </c>
      <c r="F12598" s="2" t="str">
        <f>HYPERLINK("http://bbs.12365auto.com/postcontent.aspx?tID=193227","http://bbs.12365auto.com/postcontent.aspx?tID=193227")</f>
        <v>http://bbs.12365auto.com/postcontent.aspx?tID=193227</v>
      </c>
      <c r="G12598" s="2"/>
      <c r="H12598" s="2" t="s">
        <v>16798</v>
      </c>
      <c r="I12598" s="2" t="s">
        <v>15</v>
      </c>
      <c r="J12598" s="2" t="s">
        <v>3089</v>
      </c>
      <c r="K12598" s="2" t="s">
        <v>16799</v>
      </c>
      <c r="L12598" s="2">
        <f t="shared" si="196"/>
        <v>150</v>
      </c>
    </row>
    <row r="12599" spans="1:12" ht="25" customHeight="1">
      <c r="A12599" s="2" t="s">
        <v>12</v>
      </c>
      <c r="B12599" s="2" t="str">
        <f>HYPERLINK("http://m.12365auto.com/bbs/postcontent.aspx?tID=193227","手握30万买7座家用车 这三款有料")</f>
        <v>手握30万买7座家用车 这三款有料</v>
      </c>
      <c r="C12599" s="2" t="s">
        <v>13</v>
      </c>
      <c r="D12599" s="2" t="s">
        <v>23</v>
      </c>
      <c r="E12599" s="2"/>
      <c r="F12599" s="2" t="str">
        <f>HYPERLINK("http://m.12365auto.com/bbs/postcontent.aspx?tID=193227","http://m.12365auto.com/bbs/postcontent.aspx?tID=193227")</f>
        <v>http://m.12365auto.com/bbs/postcontent.aspx?tID=193227</v>
      </c>
      <c r="G12599" s="2"/>
      <c r="H12599" s="2" t="s">
        <v>16800</v>
      </c>
      <c r="I12599" s="2" t="s">
        <v>15</v>
      </c>
      <c r="J12599" s="2" t="s">
        <v>3089</v>
      </c>
      <c r="K12599" s="2" t="s">
        <v>16799</v>
      </c>
      <c r="L12599" s="2">
        <f t="shared" si="196"/>
        <v>150</v>
      </c>
    </row>
    <row r="12600" spans="1:12" ht="25" customHeight="1">
      <c r="A12600" s="2" t="s">
        <v>12</v>
      </c>
      <c r="B12600" s="2" t="str">
        <f>HYPERLINK("http://bbs.12365auto.com/postcontent.aspx?tId=193227","手握30万买7座家用车 这三款有料")</f>
        <v>手握30万买7座家用车 这三款有料</v>
      </c>
      <c r="C12600" s="2" t="s">
        <v>13</v>
      </c>
      <c r="D12600" s="2" t="s">
        <v>12</v>
      </c>
      <c r="E12600" s="2" t="s">
        <v>27</v>
      </c>
      <c r="F12600" s="2" t="str">
        <f>HYPERLINK("http://bbs.12365auto.com/postcontent.aspx?tId=193227","http://bbs.12365auto.com/postcontent.aspx?tId=193227")</f>
        <v>http://bbs.12365auto.com/postcontent.aspx?tId=193227</v>
      </c>
      <c r="G12600" s="2"/>
      <c r="H12600" s="2" t="s">
        <v>16800</v>
      </c>
      <c r="I12600" s="2" t="s">
        <v>15</v>
      </c>
      <c r="J12600" s="2" t="s">
        <v>3089</v>
      </c>
      <c r="K12600" s="2" t="s">
        <v>16799</v>
      </c>
      <c r="L12600" s="2">
        <f t="shared" si="196"/>
        <v>150</v>
      </c>
    </row>
    <row r="12601" spans="1:12" ht="25" customHeight="1">
      <c r="A12601" s="2" t="s">
        <v>12</v>
      </c>
      <c r="B12601" s="2" t="str">
        <f>HYPERLINK("http://m.12365auto.com/bbs/postcontent.aspx?tID=193226","选SUV 这三款一定不会吃亏")</f>
        <v>选SUV 这三款一定不会吃亏</v>
      </c>
      <c r="C12601" s="2" t="s">
        <v>13</v>
      </c>
      <c r="D12601" s="2" t="s">
        <v>23</v>
      </c>
      <c r="E12601" s="2"/>
      <c r="F12601" s="2" t="str">
        <f>HYPERLINK("http://m.12365auto.com/bbs/postcontent.aspx?tID=193226","http://m.12365auto.com/bbs/postcontent.aspx?tID=193226")</f>
        <v>http://m.12365auto.com/bbs/postcontent.aspx?tID=193226</v>
      </c>
      <c r="G12601" s="2"/>
      <c r="H12601" s="2" t="s">
        <v>16801</v>
      </c>
      <c r="I12601" s="2" t="s">
        <v>15</v>
      </c>
      <c r="J12601" s="2" t="s">
        <v>3089</v>
      </c>
      <c r="K12601" s="2" t="s">
        <v>16802</v>
      </c>
      <c r="L12601" s="2">
        <f t="shared" si="196"/>
        <v>150</v>
      </c>
    </row>
    <row r="12602" spans="1:12" ht="25" customHeight="1">
      <c r="A12602" s="2" t="s">
        <v>12</v>
      </c>
      <c r="B12602" s="2" t="str">
        <f>HYPERLINK("http://bbs.12365auto.com/postcontent.aspx?tId=193226","选SUV 这三款一定不会吃亏")</f>
        <v>选SUV 这三款一定不会吃亏</v>
      </c>
      <c r="C12602" s="2" t="s">
        <v>13</v>
      </c>
      <c r="D12602" s="2" t="s">
        <v>12</v>
      </c>
      <c r="E12602" s="2" t="s">
        <v>27</v>
      </c>
      <c r="F12602" s="2" t="str">
        <f>HYPERLINK("http://bbs.12365auto.com/postcontent.aspx?tId=193226","http://bbs.12365auto.com/postcontent.aspx?tId=193226")</f>
        <v>http://bbs.12365auto.com/postcontent.aspx?tId=193226</v>
      </c>
      <c r="G12602" s="2"/>
      <c r="H12602" s="2" t="s">
        <v>16801</v>
      </c>
      <c r="I12602" s="2" t="s">
        <v>15</v>
      </c>
      <c r="J12602" s="2" t="s">
        <v>3089</v>
      </c>
      <c r="K12602" s="2" t="s">
        <v>16802</v>
      </c>
      <c r="L12602" s="2">
        <f t="shared" si="196"/>
        <v>150</v>
      </c>
    </row>
    <row r="12603" spans="1:12" ht="25" customHeight="1">
      <c r="A12603" s="2" t="s">
        <v>12</v>
      </c>
      <c r="B12603" s="2" t="str">
        <f>HYPERLINK("http://bbs.12365auto.com/postcontent.aspx?tID=193226","选SUV 这三款一定不会吃亏")</f>
        <v>选SUV 这三款一定不会吃亏</v>
      </c>
      <c r="C12603" s="2" t="s">
        <v>13</v>
      </c>
      <c r="D12603" s="2" t="s">
        <v>12</v>
      </c>
      <c r="E12603" s="2" t="s">
        <v>28</v>
      </c>
      <c r="F12603" s="2" t="str">
        <f>HYPERLINK("http://bbs.12365auto.com/postcontent.aspx?tID=193226","http://bbs.12365auto.com/postcontent.aspx?tID=193226")</f>
        <v>http://bbs.12365auto.com/postcontent.aspx?tID=193226</v>
      </c>
      <c r="G12603" s="2"/>
      <c r="H12603" s="2" t="s">
        <v>16803</v>
      </c>
      <c r="I12603" s="2" t="s">
        <v>15</v>
      </c>
      <c r="J12603" s="2" t="s">
        <v>3089</v>
      </c>
      <c r="K12603" s="2" t="s">
        <v>16802</v>
      </c>
      <c r="L12603" s="2">
        <f t="shared" si="196"/>
        <v>150</v>
      </c>
    </row>
    <row r="12604" spans="1:12" ht="25" customHeight="1">
      <c r="A12604" s="2" t="s">
        <v>12</v>
      </c>
      <c r="B12604" s="2" t="str">
        <f>HYPERLINK("http://www.12365auto.com/zlts/20200204/446275.shtml","车载香薰系统是一次性的且没有什么味道")</f>
        <v>车载香薰系统是一次性的且没有什么味道</v>
      </c>
      <c r="C12604" s="2" t="s">
        <v>13</v>
      </c>
      <c r="D12604" s="2" t="s">
        <v>12</v>
      </c>
      <c r="E12604" s="2"/>
      <c r="F12604" s="2" t="str">
        <f>HYPERLINK("http://www.12365auto.com/zlts/20200204/446275.shtml","http://www.12365auto.com/zlts/20200204/446275.shtml")</f>
        <v>http://www.12365auto.com/zlts/20200204/446275.shtml</v>
      </c>
      <c r="G12604" s="2"/>
      <c r="H12604" s="2" t="s">
        <v>16805</v>
      </c>
      <c r="I12604" s="2" t="s">
        <v>15</v>
      </c>
      <c r="J12604" s="2" t="s">
        <v>12</v>
      </c>
      <c r="K12604" s="2" t="s">
        <v>16804</v>
      </c>
      <c r="L12604" s="2">
        <f t="shared" si="196"/>
        <v>81</v>
      </c>
    </row>
    <row r="12605" spans="1:12" ht="25" customHeight="1">
      <c r="A12605" s="2" t="s">
        <v>12</v>
      </c>
      <c r="B12605" s="2" t="str">
        <f>HYPERLINK("http://www.12365auto.com/zlts/20200204/446274.shtml","新车提回来排气管总冻一个月冻3次")</f>
        <v>新车提回来排气管总冻一个月冻3次</v>
      </c>
      <c r="C12605" s="2" t="s">
        <v>13</v>
      </c>
      <c r="D12605" s="2" t="s">
        <v>12</v>
      </c>
      <c r="E12605" s="2"/>
      <c r="F12605" s="2" t="str">
        <f>HYPERLINK("http://www.12365auto.com/zlts/20200204/446274.shtml","http://www.12365auto.com/zlts/20200204/446274.shtml")</f>
        <v>http://www.12365auto.com/zlts/20200204/446274.shtml</v>
      </c>
      <c r="G12605" s="2"/>
      <c r="H12605" s="2" t="s">
        <v>16807</v>
      </c>
      <c r="I12605" s="2" t="s">
        <v>15</v>
      </c>
      <c r="J12605" s="2" t="s">
        <v>12</v>
      </c>
      <c r="K12605" s="2" t="s">
        <v>16806</v>
      </c>
      <c r="L12605" s="2">
        <f t="shared" si="196"/>
        <v>83</v>
      </c>
    </row>
    <row r="12606" spans="1:12" ht="25" customHeight="1">
      <c r="A12606" s="2" t="s">
        <v>12</v>
      </c>
      <c r="B12606" s="2" t="str">
        <f>HYPERLINK("http://www.12365auto.com/scbg/20200204/417570.shtml","2020款华晨宝马X2新车商品性评价")</f>
        <v>2020款华晨宝马X2新车商品性评价</v>
      </c>
      <c r="C12606" s="2" t="s">
        <v>13</v>
      </c>
      <c r="D12606" s="2" t="s">
        <v>12</v>
      </c>
      <c r="E12606" s="2" t="s">
        <v>1548</v>
      </c>
      <c r="F12606" s="2" t="str">
        <f>HYPERLINK("http://www.12365auto.com/scbg/20200204/417570.shtml","http://www.12365auto.com/scbg/20200204/417570.shtml")</f>
        <v>http://www.12365auto.com/scbg/20200204/417570.shtml</v>
      </c>
      <c r="G12606" s="2"/>
      <c r="H12606" s="2" t="s">
        <v>8848</v>
      </c>
      <c r="I12606" s="2" t="s">
        <v>15</v>
      </c>
      <c r="J12606" s="2" t="s">
        <v>12</v>
      </c>
      <c r="K12606" s="2" t="s">
        <v>16808</v>
      </c>
      <c r="L12606" s="2">
        <f t="shared" si="196"/>
        <v>150</v>
      </c>
    </row>
    <row r="12607" spans="1:12" ht="25" customHeight="1">
      <c r="A12607" s="2" t="s">
        <v>12</v>
      </c>
      <c r="B12607" s="2" t="str">
        <f>HYPERLINK("http://m.12365auto.com/scbg/20200204/417570.shtml","2020款华晨宝马X2新车商品性评价")</f>
        <v>2020款华晨宝马X2新车商品性评价</v>
      </c>
      <c r="C12607" s="2" t="s">
        <v>13</v>
      </c>
      <c r="D12607" s="2" t="s">
        <v>12</v>
      </c>
      <c r="E12607" s="2"/>
      <c r="F12607" s="2" t="str">
        <f>HYPERLINK("http://m.12365auto.com/scbg/20200204/417570.shtml","http://m.12365auto.com/scbg/20200204/417570.shtml")</f>
        <v>http://m.12365auto.com/scbg/20200204/417570.shtml</v>
      </c>
      <c r="G12607" s="2"/>
      <c r="H12607" s="2" t="s">
        <v>8850</v>
      </c>
      <c r="I12607" s="2" t="s">
        <v>19</v>
      </c>
      <c r="J12607" s="2" t="s">
        <v>1241</v>
      </c>
      <c r="K12607" s="2" t="s">
        <v>16808</v>
      </c>
      <c r="L12607" s="2">
        <f t="shared" si="196"/>
        <v>150</v>
      </c>
    </row>
    <row r="12608" spans="1:12" ht="25" customHeight="1">
      <c r="A12608" s="2" t="s">
        <v>12</v>
      </c>
      <c r="B12608" s="2" t="str">
        <f>HYPERLINK("http://www.12365auto.com/zlts/20200204/446272.shtml","1)后备箱液压拉杆损坏2)电动折叠后视镜损坏")</f>
        <v>1)后备箱液压拉杆损坏2)电动折叠后视镜损坏</v>
      </c>
      <c r="C12608" s="2" t="s">
        <v>13</v>
      </c>
      <c r="D12608" s="2" t="s">
        <v>12</v>
      </c>
      <c r="E12608" s="2"/>
      <c r="F12608" s="2" t="str">
        <f>HYPERLINK("http://www.12365auto.com/zlts/20200204/446272.shtml","http://www.12365auto.com/zlts/20200204/446272.shtml")</f>
        <v>http://www.12365auto.com/zlts/20200204/446272.shtml</v>
      </c>
      <c r="G12608" s="2"/>
      <c r="H12608" s="2" t="s">
        <v>16810</v>
      </c>
      <c r="I12608" s="2" t="s">
        <v>15</v>
      </c>
      <c r="J12608" s="2" t="s">
        <v>12</v>
      </c>
      <c r="K12608" s="2" t="s">
        <v>16809</v>
      </c>
      <c r="L12608" s="2">
        <f t="shared" si="196"/>
        <v>85</v>
      </c>
    </row>
    <row r="12609" spans="1:12" ht="25" customHeight="1">
      <c r="A12609" s="2" t="s">
        <v>12</v>
      </c>
      <c r="B12609" s="2" t="str">
        <f>HYPERLINK("http://www.12365auto.com/zlts/20200204/446273.shtml","北汽幻速S5球笼套漏油 ABS泵故障")</f>
        <v>北汽幻速S5球笼套漏油 ABS泵故障</v>
      </c>
      <c r="C12609" s="2" t="s">
        <v>13</v>
      </c>
      <c r="D12609" s="2" t="s">
        <v>12</v>
      </c>
      <c r="E12609" s="2" t="s">
        <v>17</v>
      </c>
      <c r="F12609" s="2" t="str">
        <f>HYPERLINK("http://www.12365auto.com/zlts/20200204/446273.shtml","http://www.12365auto.com/zlts/20200204/446273.shtml")</f>
        <v>http://www.12365auto.com/zlts/20200204/446273.shtml</v>
      </c>
      <c r="G12609" s="2"/>
      <c r="H12609" s="2" t="s">
        <v>16811</v>
      </c>
      <c r="I12609" s="2" t="s">
        <v>19</v>
      </c>
      <c r="J12609" s="2" t="s">
        <v>12</v>
      </c>
      <c r="K12609" s="2" t="s">
        <v>16812</v>
      </c>
      <c r="L12609" s="2">
        <f t="shared" si="196"/>
        <v>150</v>
      </c>
    </row>
    <row r="12610" spans="1:12" ht="25" customHeight="1">
      <c r="A12610" s="2" t="s">
        <v>12</v>
      </c>
      <c r="B12610" s="2" t="str">
        <f>HYPERLINK("http://www.12365auto.com/zlts/20200204/446271.shtml","奇瑞艾瑞泽GX行驶中转向助力消失")</f>
        <v>奇瑞艾瑞泽GX行驶中转向助力消失</v>
      </c>
      <c r="C12610" s="2" t="s">
        <v>13</v>
      </c>
      <c r="D12610" s="2" t="s">
        <v>12</v>
      </c>
      <c r="E12610" s="2" t="s">
        <v>17</v>
      </c>
      <c r="F12610" s="2" t="str">
        <f>HYPERLINK("http://www.12365auto.com/zlts/20200204/446271.shtml","http://www.12365auto.com/zlts/20200204/446271.shtml")</f>
        <v>http://www.12365auto.com/zlts/20200204/446271.shtml</v>
      </c>
      <c r="G12610" s="2"/>
      <c r="H12610" s="2" t="s">
        <v>16813</v>
      </c>
      <c r="I12610" s="2" t="s">
        <v>19</v>
      </c>
      <c r="J12610" s="2" t="s">
        <v>12</v>
      </c>
      <c r="K12610" s="2" t="s">
        <v>16814</v>
      </c>
      <c r="L12610" s="2">
        <f t="shared" si="196"/>
        <v>150</v>
      </c>
    </row>
    <row r="12611" spans="1:12" ht="25" customHeight="1">
      <c r="A12611" s="2" t="s">
        <v>12</v>
      </c>
      <c r="B12611" s="2" t="str">
        <f>HYPERLINK("http://www.12365auto.com/zlts/20200204/446268.shtml","一汽大众奥迪A6L转弯时变速箱异响")</f>
        <v>一汽大众奥迪A6L转弯时变速箱异响</v>
      </c>
      <c r="C12611" s="2" t="s">
        <v>13</v>
      </c>
      <c r="D12611" s="2" t="s">
        <v>12</v>
      </c>
      <c r="E12611" s="2" t="s">
        <v>17</v>
      </c>
      <c r="F12611" s="2" t="str">
        <f>HYPERLINK("http://www.12365auto.com/zlts/20200204/446268.shtml","http://www.12365auto.com/zlts/20200204/446268.shtml")</f>
        <v>http://www.12365auto.com/zlts/20200204/446268.shtml</v>
      </c>
      <c r="G12611" s="2"/>
      <c r="H12611" s="2" t="s">
        <v>16815</v>
      </c>
      <c r="I12611" s="2" t="s">
        <v>19</v>
      </c>
      <c r="J12611" s="2" t="s">
        <v>12</v>
      </c>
      <c r="K12611" s="2" t="s">
        <v>16816</v>
      </c>
      <c r="L12611" s="2">
        <f t="shared" ref="L12611:L12674" si="197">LEN(H12611)</f>
        <v>150</v>
      </c>
    </row>
    <row r="12612" spans="1:12" ht="25" customHeight="1">
      <c r="A12612" s="2" t="s">
        <v>12</v>
      </c>
      <c r="B12612" s="2" t="str">
        <f>HYPERLINK("http://www.12365auto.com/zlts/20200204/446267.shtml","弹个车购买名爵ZS发动机异响抖动 刹车异响")</f>
        <v>弹个车购买名爵ZS发动机异响抖动 刹车异响</v>
      </c>
      <c r="C12612" s="2" t="s">
        <v>13</v>
      </c>
      <c r="D12612" s="2" t="s">
        <v>12</v>
      </c>
      <c r="E12612" s="2" t="s">
        <v>17</v>
      </c>
      <c r="F12612" s="2" t="str">
        <f>HYPERLINK("http://www.12365auto.com/zlts/20200204/446267.shtml","http://www.12365auto.com/zlts/20200204/446267.shtml")</f>
        <v>http://www.12365auto.com/zlts/20200204/446267.shtml</v>
      </c>
      <c r="G12612" s="2"/>
      <c r="H12612" s="2" t="s">
        <v>16817</v>
      </c>
      <c r="I12612" s="2" t="s">
        <v>19</v>
      </c>
      <c r="J12612" s="2" t="s">
        <v>12</v>
      </c>
      <c r="K12612" s="2" t="s">
        <v>16818</v>
      </c>
      <c r="L12612" s="2">
        <f t="shared" si="197"/>
        <v>150</v>
      </c>
    </row>
    <row r="12613" spans="1:12" ht="25" customHeight="1">
      <c r="A12613" s="2" t="s">
        <v>12</v>
      </c>
      <c r="B12613" s="2" t="str">
        <f>HYPERLINK("http://www.12365auto.com/zlts/20200204/446265.shtml","长安铃木雨燕发动机故障灯亮 四门漆面鼓包")</f>
        <v>长安铃木雨燕发动机故障灯亮 四门漆面鼓包</v>
      </c>
      <c r="C12613" s="2" t="s">
        <v>13</v>
      </c>
      <c r="D12613" s="2" t="s">
        <v>12</v>
      </c>
      <c r="E12613" s="2" t="s">
        <v>17</v>
      </c>
      <c r="F12613" s="2" t="str">
        <f>HYPERLINK("http://www.12365auto.com/zlts/20200204/446265.shtml","http://www.12365auto.com/zlts/20200204/446265.shtml")</f>
        <v>http://www.12365auto.com/zlts/20200204/446265.shtml</v>
      </c>
      <c r="G12613" s="2"/>
      <c r="H12613" s="2" t="s">
        <v>16819</v>
      </c>
      <c r="I12613" s="2" t="s">
        <v>19</v>
      </c>
      <c r="J12613" s="2" t="s">
        <v>12</v>
      </c>
      <c r="K12613" s="2" t="s">
        <v>16820</v>
      </c>
      <c r="L12613" s="2">
        <f t="shared" si="197"/>
        <v>150</v>
      </c>
    </row>
    <row r="12614" spans="1:12" ht="25" customHeight="1">
      <c r="A12614" s="2" t="s">
        <v>12</v>
      </c>
      <c r="B12614" s="2" t="str">
        <f>HYPERLINK("http://www.12365auto.com/zlts/20200203/446262.shtml","东风雪铁龙C4L发动机明显烧机油")</f>
        <v>东风雪铁龙C4L发动机明显烧机油</v>
      </c>
      <c r="C12614" s="2" t="s">
        <v>13</v>
      </c>
      <c r="D12614" s="2" t="s">
        <v>12</v>
      </c>
      <c r="E12614" s="2" t="s">
        <v>17</v>
      </c>
      <c r="F12614" s="2" t="str">
        <f>HYPERLINK("http://www.12365auto.com/zlts/20200203/446262.shtml","http://www.12365auto.com/zlts/20200203/446262.shtml")</f>
        <v>http://www.12365auto.com/zlts/20200203/446262.shtml</v>
      </c>
      <c r="G12614" s="2"/>
      <c r="H12614" s="2" t="s">
        <v>16821</v>
      </c>
      <c r="I12614" s="2" t="s">
        <v>19</v>
      </c>
      <c r="J12614" s="2" t="s">
        <v>12</v>
      </c>
      <c r="K12614" s="2" t="s">
        <v>16822</v>
      </c>
      <c r="L12614" s="2">
        <f t="shared" si="197"/>
        <v>150</v>
      </c>
    </row>
    <row r="12615" spans="1:12" ht="25" customHeight="1">
      <c r="A12615" s="2" t="s">
        <v>12</v>
      </c>
      <c r="B12615" s="2" t="str">
        <f>HYPERLINK("http://www.12365auto.com/zlts/20200203/446260.shtml","哈弗厂家销售欺诈")</f>
        <v>哈弗厂家销售欺诈</v>
      </c>
      <c r="C12615" s="2" t="s">
        <v>13</v>
      </c>
      <c r="D12615" s="2" t="s">
        <v>12</v>
      </c>
      <c r="E12615" s="2"/>
      <c r="F12615" s="2" t="str">
        <f>HYPERLINK("http://www.12365auto.com/zlts/20200203/446260.shtml","http://www.12365auto.com/zlts/20200203/446260.shtml")</f>
        <v>http://www.12365auto.com/zlts/20200203/446260.shtml</v>
      </c>
      <c r="G12615" s="2"/>
      <c r="H12615" s="2" t="s">
        <v>16824</v>
      </c>
      <c r="I12615" s="2" t="s">
        <v>15</v>
      </c>
      <c r="J12615" s="2" t="s">
        <v>12</v>
      </c>
      <c r="K12615" s="2" t="s">
        <v>16823</v>
      </c>
      <c r="L12615" s="2">
        <f t="shared" si="197"/>
        <v>81</v>
      </c>
    </row>
    <row r="12616" spans="1:12" ht="25" customHeight="1">
      <c r="A12616" s="2" t="s">
        <v>12</v>
      </c>
      <c r="B12616" s="2" t="str">
        <f>HYPERLINK("http://www.12365auto.com/zlts/20200203/446259.shtml","东风本田XR-V冷车启动时发动机异响")</f>
        <v>东风本田XR-V冷车启动时发动机异响</v>
      </c>
      <c r="C12616" s="2" t="s">
        <v>13</v>
      </c>
      <c r="D12616" s="2" t="s">
        <v>12</v>
      </c>
      <c r="E12616" s="2" t="s">
        <v>17</v>
      </c>
      <c r="F12616" s="2" t="str">
        <f>HYPERLINK("http://www.12365auto.com/zlts/20200203/446259.shtml","http://www.12365auto.com/zlts/20200203/446259.shtml")</f>
        <v>http://www.12365auto.com/zlts/20200203/446259.shtml</v>
      </c>
      <c r="G12616" s="2"/>
      <c r="H12616" s="2" t="s">
        <v>16825</v>
      </c>
      <c r="I12616" s="2" t="s">
        <v>19</v>
      </c>
      <c r="J12616" s="2" t="s">
        <v>12</v>
      </c>
      <c r="K12616" s="2" t="s">
        <v>16826</v>
      </c>
      <c r="L12616" s="2">
        <f t="shared" si="197"/>
        <v>150</v>
      </c>
    </row>
    <row r="12617" spans="1:12" ht="25" customHeight="1">
      <c r="A12617" s="2" t="s">
        <v>12</v>
      </c>
      <c r="B12617" s="2" t="str">
        <f>HYPERLINK("http://www.12365auto.com/zlts/20200203/446255.shtml","汽车大灯总成起雾")</f>
        <v>汽车大灯总成起雾</v>
      </c>
      <c r="C12617" s="2" t="s">
        <v>13</v>
      </c>
      <c r="D12617" s="2" t="s">
        <v>12</v>
      </c>
      <c r="E12617" s="2"/>
      <c r="F12617" s="2" t="str">
        <f>HYPERLINK("http://www.12365auto.com/zlts/20200203/446255.shtml","http://www.12365auto.com/zlts/20200203/446255.shtml")</f>
        <v>http://www.12365auto.com/zlts/20200203/446255.shtml</v>
      </c>
      <c r="G12617" s="2"/>
      <c r="H12617" s="2" t="s">
        <v>16828</v>
      </c>
      <c r="I12617" s="2" t="s">
        <v>15</v>
      </c>
      <c r="J12617" s="2" t="s">
        <v>12</v>
      </c>
      <c r="K12617" s="2" t="s">
        <v>16827</v>
      </c>
      <c r="L12617" s="2">
        <f t="shared" si="197"/>
        <v>90</v>
      </c>
    </row>
    <row r="12618" spans="1:12" ht="25" customHeight="1">
      <c r="A12618" s="2" t="s">
        <v>12</v>
      </c>
      <c r="B12618" s="2" t="str">
        <f>HYPERLINK("http://m.12365auto.com/zjdy/20200203/120998.shtml","2012款骊威的优缺点都有哪些？")</f>
        <v>2012款骊威的优缺点都有哪些？</v>
      </c>
      <c r="C12618" s="2" t="s">
        <v>13</v>
      </c>
      <c r="D12618" s="2" t="s">
        <v>12</v>
      </c>
      <c r="E12618" s="2"/>
      <c r="F12618" s="2" t="str">
        <f>HYPERLINK("http://m.12365auto.com/zjdy/20200203/120998.shtml","http://m.12365auto.com/zjdy/20200203/120998.shtml")</f>
        <v>http://m.12365auto.com/zjdy/20200203/120998.shtml</v>
      </c>
      <c r="G12618" s="2"/>
      <c r="H12618" s="2" t="s">
        <v>16829</v>
      </c>
      <c r="I12618" s="2" t="s">
        <v>19</v>
      </c>
      <c r="J12618" s="2" t="s">
        <v>12</v>
      </c>
      <c r="K12618" s="2" t="s">
        <v>16830</v>
      </c>
      <c r="L12618" s="2">
        <f t="shared" si="197"/>
        <v>24</v>
      </c>
    </row>
    <row r="12619" spans="1:12" ht="25" customHeight="1">
      <c r="A12619" s="2" t="s">
        <v>12</v>
      </c>
      <c r="B12619" s="2" t="str">
        <f>HYPERLINK("http://m.12365auto.com/zjdy/20200203/120997.shtml","早晨汽车前挡风玻璃里面结冰怎么回事？")</f>
        <v>早晨汽车前挡风玻璃里面结冰怎么回事？</v>
      </c>
      <c r="C12619" s="2" t="s">
        <v>13</v>
      </c>
      <c r="D12619" s="2" t="s">
        <v>12</v>
      </c>
      <c r="E12619" s="2"/>
      <c r="F12619" s="2" t="str">
        <f>HYPERLINK("http://m.12365auto.com/zjdy/20200203/120997.shtml","http://m.12365auto.com/zjdy/20200203/120997.shtml")</f>
        <v>http://m.12365auto.com/zjdy/20200203/120997.shtml</v>
      </c>
      <c r="G12619" s="2"/>
      <c r="H12619" s="2" t="s">
        <v>16831</v>
      </c>
      <c r="I12619" s="2" t="s">
        <v>19</v>
      </c>
      <c r="J12619" s="2" t="s">
        <v>12</v>
      </c>
      <c r="K12619" s="2" t="s">
        <v>16832</v>
      </c>
      <c r="L12619" s="2">
        <f t="shared" si="197"/>
        <v>18</v>
      </c>
    </row>
    <row r="12620" spans="1:12" ht="25" customHeight="1">
      <c r="A12620" s="2" t="s">
        <v>12</v>
      </c>
      <c r="B12620" s="2" t="str">
        <f>HYPERLINK("http://m.12365auto.com/zjdy/20200202/120985.shtml","发动机黄灯闪烁防侧滑灯常亮是为什么？")</f>
        <v>发动机黄灯闪烁防侧滑灯常亮是为什么？</v>
      </c>
      <c r="C12620" s="2" t="s">
        <v>13</v>
      </c>
      <c r="D12620" s="2" t="s">
        <v>12</v>
      </c>
      <c r="E12620" s="2"/>
      <c r="F12620" s="2" t="str">
        <f>HYPERLINK("http://m.12365auto.com/zjdy/20200202/120985.shtml","http://m.12365auto.com/zjdy/20200202/120985.shtml")</f>
        <v>http://m.12365auto.com/zjdy/20200202/120985.shtml</v>
      </c>
      <c r="G12620" s="2"/>
      <c r="H12620" s="2" t="s">
        <v>16833</v>
      </c>
      <c r="I12620" s="2" t="s">
        <v>19</v>
      </c>
      <c r="J12620" s="2" t="s">
        <v>12</v>
      </c>
      <c r="K12620" s="2" t="s">
        <v>16834</v>
      </c>
      <c r="L12620" s="2">
        <f t="shared" si="197"/>
        <v>28</v>
      </c>
    </row>
    <row r="12621" spans="1:12" ht="25" customHeight="1">
      <c r="A12621" s="2" t="s">
        <v>12</v>
      </c>
      <c r="B12621" s="2" t="str">
        <f>HYPERLINK("http://m.12365auto.com/zjdy/20200203/120993.shtml","保养换变速箱油会导致变速器故障吗？")</f>
        <v>保养换变速箱油会导致变速器故障吗？</v>
      </c>
      <c r="C12621" s="2" t="s">
        <v>13</v>
      </c>
      <c r="D12621" s="2" t="s">
        <v>12</v>
      </c>
      <c r="E12621" s="2"/>
      <c r="F12621" s="2" t="str">
        <f>HYPERLINK("http://m.12365auto.com/zjdy/20200203/120993.shtml","http://m.12365auto.com/zjdy/20200203/120993.shtml")</f>
        <v>http://m.12365auto.com/zjdy/20200203/120993.shtml</v>
      </c>
      <c r="G12621" s="2"/>
      <c r="H12621" s="2" t="s">
        <v>16835</v>
      </c>
      <c r="I12621" s="2" t="s">
        <v>19</v>
      </c>
      <c r="J12621" s="2" t="s">
        <v>12</v>
      </c>
      <c r="K12621" s="2" t="s">
        <v>16836</v>
      </c>
      <c r="L12621" s="2">
        <f t="shared" si="197"/>
        <v>94</v>
      </c>
    </row>
    <row r="12622" spans="1:12" ht="25" customHeight="1">
      <c r="A12622" s="2" t="s">
        <v>12</v>
      </c>
      <c r="B12622" s="2" t="str">
        <f>HYPERLINK("http://m.12365auto.com/zjdy/20200203/120996.shtml","K3前轮右边转弯和过减速带有异响怎么办？")</f>
        <v>K3前轮右边转弯和过减速带有异响怎么办？</v>
      </c>
      <c r="C12622" s="2" t="s">
        <v>13</v>
      </c>
      <c r="D12622" s="2" t="s">
        <v>12</v>
      </c>
      <c r="E12622" s="2"/>
      <c r="F12622" s="2" t="str">
        <f>HYPERLINK("http://m.12365auto.com/zjdy/20200203/120996.shtml","http://m.12365auto.com/zjdy/20200203/120996.shtml")</f>
        <v>http://m.12365auto.com/zjdy/20200203/120996.shtml</v>
      </c>
      <c r="G12622" s="2"/>
      <c r="H12622" s="2" t="s">
        <v>16837</v>
      </c>
      <c r="I12622" s="2" t="s">
        <v>19</v>
      </c>
      <c r="J12622" s="2" t="s">
        <v>12</v>
      </c>
      <c r="K12622" s="2" t="s">
        <v>16836</v>
      </c>
      <c r="L12622" s="2">
        <f t="shared" si="197"/>
        <v>20</v>
      </c>
    </row>
    <row r="12623" spans="1:12" ht="25" customHeight="1">
      <c r="A12623" s="2" t="s">
        <v>12</v>
      </c>
      <c r="B12623" s="2" t="str">
        <f>HYPERLINK("http://www.12365auto.com/zlts/20200203/446251.shtml","阜阳铭驰传祺4S店购买的全国通用机油劵")</f>
        <v>阜阳铭驰传祺4S店购买的全国通用机油劵</v>
      </c>
      <c r="C12623" s="2" t="s">
        <v>13</v>
      </c>
      <c r="D12623" s="2" t="s">
        <v>12</v>
      </c>
      <c r="E12623" s="2"/>
      <c r="F12623" s="2" t="str">
        <f>HYPERLINK("http://www.12365auto.com/zlts/20200203/446251.shtml","http://www.12365auto.com/zlts/20200203/446251.shtml")</f>
        <v>http://www.12365auto.com/zlts/20200203/446251.shtml</v>
      </c>
      <c r="G12623" s="2"/>
      <c r="H12623" s="2" t="s">
        <v>16839</v>
      </c>
      <c r="I12623" s="2" t="s">
        <v>15</v>
      </c>
      <c r="J12623" s="2" t="s">
        <v>12</v>
      </c>
      <c r="K12623" s="2" t="s">
        <v>16838</v>
      </c>
      <c r="L12623" s="2">
        <f t="shared" si="197"/>
        <v>84</v>
      </c>
    </row>
    <row r="12624" spans="1:12" ht="25" customHeight="1">
      <c r="A12624" s="2" t="s">
        <v>12</v>
      </c>
      <c r="B12624" s="2" t="str">
        <f>HYPERLINK("http://m.12365auto.com/zjdy/20200203/120992.shtml","10万后驱SUV有哪些哪个性价比最高？")</f>
        <v>10万后驱SUV有哪些哪个性价比最高？</v>
      </c>
      <c r="C12624" s="2" t="s">
        <v>13</v>
      </c>
      <c r="D12624" s="2" t="s">
        <v>12</v>
      </c>
      <c r="E12624" s="2"/>
      <c r="F12624" s="2" t="str">
        <f>HYPERLINK("http://m.12365auto.com/zjdy/20200203/120992.shtml","http://m.12365auto.com/zjdy/20200203/120992.shtml")</f>
        <v>http://m.12365auto.com/zjdy/20200203/120992.shtml</v>
      </c>
      <c r="G12624" s="2"/>
      <c r="H12624" s="2" t="s">
        <v>16840</v>
      </c>
      <c r="I12624" s="2" t="s">
        <v>19</v>
      </c>
      <c r="J12624" s="2" t="s">
        <v>12</v>
      </c>
      <c r="K12624" s="2" t="s">
        <v>16841</v>
      </c>
      <c r="L12624" s="2">
        <f t="shared" si="197"/>
        <v>21</v>
      </c>
    </row>
    <row r="12625" spans="1:12" ht="25" customHeight="1">
      <c r="A12625" s="2" t="s">
        <v>12</v>
      </c>
      <c r="B12625" s="2" t="str">
        <f>HYPERLINK("http://m.12365auto.com/zjdy/20200203/120991.shtml","朗逸新车发动机黄灯亮是什么原因？")</f>
        <v>朗逸新车发动机黄灯亮是什么原因？</v>
      </c>
      <c r="C12625" s="2" t="s">
        <v>13</v>
      </c>
      <c r="D12625" s="2" t="s">
        <v>12</v>
      </c>
      <c r="E12625" s="2"/>
      <c r="F12625" s="2" t="str">
        <f>HYPERLINK("http://m.12365auto.com/zjdy/20200203/120991.shtml","http://m.12365auto.com/zjdy/20200203/120991.shtml")</f>
        <v>http://m.12365auto.com/zjdy/20200203/120991.shtml</v>
      </c>
      <c r="G12625" s="2"/>
      <c r="H12625" s="2" t="s">
        <v>16842</v>
      </c>
      <c r="I12625" s="2" t="s">
        <v>19</v>
      </c>
      <c r="J12625" s="2" t="s">
        <v>12</v>
      </c>
      <c r="K12625" s="2" t="s">
        <v>16843</v>
      </c>
      <c r="L12625" s="2">
        <f t="shared" si="197"/>
        <v>72</v>
      </c>
    </row>
    <row r="12626" spans="1:12" ht="25" customHeight="1">
      <c r="A12626" s="2" t="s">
        <v>12</v>
      </c>
      <c r="B12626" s="2" t="str">
        <f>HYPERLINK("http://www.12365auto.com/zlts/20200203/446253.shtml","众泰T600后轮吃胎偏磨 发动机抖动")</f>
        <v>众泰T600后轮吃胎偏磨 发动机抖动</v>
      </c>
      <c r="C12626" s="2" t="s">
        <v>13</v>
      </c>
      <c r="D12626" s="2" t="s">
        <v>12</v>
      </c>
      <c r="E12626" s="2" t="s">
        <v>17</v>
      </c>
      <c r="F12626" s="2" t="str">
        <f>HYPERLINK("http://www.12365auto.com/zlts/20200203/446253.shtml","http://www.12365auto.com/zlts/20200203/446253.shtml")</f>
        <v>http://www.12365auto.com/zlts/20200203/446253.shtml</v>
      </c>
      <c r="G12626" s="2"/>
      <c r="H12626" s="2" t="s">
        <v>16844</v>
      </c>
      <c r="I12626" s="2" t="s">
        <v>19</v>
      </c>
      <c r="J12626" s="2" t="s">
        <v>12</v>
      </c>
      <c r="K12626" s="2" t="s">
        <v>16845</v>
      </c>
      <c r="L12626" s="2">
        <f t="shared" si="197"/>
        <v>150</v>
      </c>
    </row>
    <row r="12627" spans="1:12" ht="25" customHeight="1">
      <c r="A12627" s="2" t="s">
        <v>12</v>
      </c>
      <c r="B12627" s="2" t="str">
        <f>HYPERLINK("http://www.12365auto.com/zlts/20200203/446250.shtml","车身设计缺陷")</f>
        <v>车身设计缺陷</v>
      </c>
      <c r="C12627" s="2" t="s">
        <v>13</v>
      </c>
      <c r="D12627" s="2" t="s">
        <v>12</v>
      </c>
      <c r="E12627" s="2"/>
      <c r="F12627" s="2" t="str">
        <f>HYPERLINK("http://www.12365auto.com/zlts/20200203/446250.shtml","http://www.12365auto.com/zlts/20200203/446250.shtml")</f>
        <v>http://www.12365auto.com/zlts/20200203/446250.shtml</v>
      </c>
      <c r="G12627" s="2"/>
      <c r="H12627" s="2" t="s">
        <v>16847</v>
      </c>
      <c r="I12627" s="2" t="s">
        <v>15</v>
      </c>
      <c r="J12627" s="2" t="s">
        <v>12</v>
      </c>
      <c r="K12627" s="2" t="s">
        <v>16846</v>
      </c>
      <c r="L12627" s="2">
        <f t="shared" si="197"/>
        <v>80</v>
      </c>
    </row>
    <row r="12628" spans="1:12" ht="25" customHeight="1">
      <c r="A12628" s="2" t="s">
        <v>12</v>
      </c>
      <c r="B12628" s="2" t="str">
        <f>HYPERLINK("http://m.12365auto.com/zjdy/20200203/120990.shtml","2020款WEY VV7自带行车记录仪吗？")</f>
        <v>2020款WEY VV7自带行车记录仪吗？</v>
      </c>
      <c r="C12628" s="2" t="s">
        <v>13</v>
      </c>
      <c r="D12628" s="2" t="s">
        <v>12</v>
      </c>
      <c r="E12628" s="2"/>
      <c r="F12628" s="2" t="str">
        <f>HYPERLINK("http://m.12365auto.com/zjdy/20200203/120990.shtml","http://m.12365auto.com/zjdy/20200203/120990.shtml")</f>
        <v>http://m.12365auto.com/zjdy/20200203/120990.shtml</v>
      </c>
      <c r="G12628" s="2"/>
      <c r="H12628" s="2" t="s">
        <v>16848</v>
      </c>
      <c r="I12628" s="2" t="s">
        <v>19</v>
      </c>
      <c r="J12628" s="2" t="s">
        <v>12</v>
      </c>
      <c r="K12628" s="2" t="s">
        <v>16849</v>
      </c>
      <c r="L12628" s="2">
        <f t="shared" si="197"/>
        <v>16</v>
      </c>
    </row>
    <row r="12629" spans="1:12" ht="25" customHeight="1">
      <c r="A12629" s="2" t="s">
        <v>12</v>
      </c>
      <c r="B12629" s="2" t="str">
        <f>HYPERLINK("http://m.12365auto.com/zjdy/20200201/120949.shtml","环境气温过低时车内会出现起霜现象吗？")</f>
        <v>环境气温过低时车内会出现起霜现象吗？</v>
      </c>
      <c r="C12629" s="2" t="s">
        <v>13</v>
      </c>
      <c r="D12629" s="2" t="s">
        <v>12</v>
      </c>
      <c r="E12629" s="2"/>
      <c r="F12629" s="2" t="str">
        <f>HYPERLINK("http://m.12365auto.com/zjdy/20200201/120949.shtml","http://m.12365auto.com/zjdy/20200201/120949.shtml")</f>
        <v>http://m.12365auto.com/zjdy/20200201/120949.shtml</v>
      </c>
      <c r="G12629" s="2"/>
      <c r="H12629" s="2" t="s">
        <v>16850</v>
      </c>
      <c r="I12629" s="2" t="s">
        <v>19</v>
      </c>
      <c r="J12629" s="2" t="s">
        <v>12</v>
      </c>
      <c r="K12629" s="2" t="s">
        <v>16851</v>
      </c>
      <c r="L12629" s="2">
        <f t="shared" si="197"/>
        <v>19</v>
      </c>
    </row>
    <row r="12630" spans="1:12" ht="25" customHeight="1">
      <c r="A12630" s="2" t="s">
        <v>12</v>
      </c>
      <c r="B12630" s="2" t="str">
        <f>HYPERLINK("http://m.12365auto.com/zjdy/20200202/120973.shtml","进气压力和进气温度传感器是一体的吗？")</f>
        <v>进气压力和进气温度传感器是一体的吗？</v>
      </c>
      <c r="C12630" s="2" t="s">
        <v>13</v>
      </c>
      <c r="D12630" s="2" t="s">
        <v>12</v>
      </c>
      <c r="E12630" s="2"/>
      <c r="F12630" s="2" t="str">
        <f>HYPERLINK("http://m.12365auto.com/zjdy/20200202/120973.shtml","http://m.12365auto.com/zjdy/20200202/120973.shtml")</f>
        <v>http://m.12365auto.com/zjdy/20200202/120973.shtml</v>
      </c>
      <c r="G12630" s="2"/>
      <c r="H12630" s="2" t="s">
        <v>16852</v>
      </c>
      <c r="I12630" s="2" t="s">
        <v>19</v>
      </c>
      <c r="J12630" s="2" t="s">
        <v>12</v>
      </c>
      <c r="K12630" s="2" t="s">
        <v>16851</v>
      </c>
      <c r="L12630" s="2">
        <f t="shared" si="197"/>
        <v>56</v>
      </c>
    </row>
    <row r="12631" spans="1:12" ht="25" customHeight="1">
      <c r="A12631" s="2" t="s">
        <v>12</v>
      </c>
      <c r="B12631" s="2" t="str">
        <f>HYPERLINK("http://m.12365auto.com/zjdy/20200201/120948.shtml","途观L新能源充电器故障灯亮是什么原因？")</f>
        <v>途观L新能源充电器故障灯亮是什么原因？</v>
      </c>
      <c r="C12631" s="2" t="s">
        <v>13</v>
      </c>
      <c r="D12631" s="2" t="s">
        <v>12</v>
      </c>
      <c r="E12631" s="2"/>
      <c r="F12631" s="2" t="str">
        <f>HYPERLINK("http://m.12365auto.com/zjdy/20200201/120948.shtml","http://m.12365auto.com/zjdy/20200201/120948.shtml")</f>
        <v>http://m.12365auto.com/zjdy/20200201/120948.shtml</v>
      </c>
      <c r="G12631" s="2"/>
      <c r="H12631" s="2" t="s">
        <v>16853</v>
      </c>
      <c r="I12631" s="2" t="s">
        <v>19</v>
      </c>
      <c r="J12631" s="2" t="s">
        <v>12</v>
      </c>
      <c r="K12631" s="2" t="s">
        <v>16854</v>
      </c>
      <c r="L12631" s="2">
        <f t="shared" si="197"/>
        <v>49</v>
      </c>
    </row>
    <row r="12632" spans="1:12" ht="25" customHeight="1">
      <c r="A12632" s="2" t="s">
        <v>12</v>
      </c>
      <c r="B12632" s="2" t="str">
        <f>HYPERLINK("http://m.12365auto.com/zjdy/20200203/120988.shtml","仪表盘上有黄色发动机符号是什么原因？")</f>
        <v>仪表盘上有黄色发动机符号是什么原因？</v>
      </c>
      <c r="C12632" s="2" t="s">
        <v>13</v>
      </c>
      <c r="D12632" s="2" t="s">
        <v>12</v>
      </c>
      <c r="E12632" s="2"/>
      <c r="F12632" s="2" t="str">
        <f>HYPERLINK("http://m.12365auto.com/zjdy/20200203/120988.shtml","http://m.12365auto.com/zjdy/20200203/120988.shtml")</f>
        <v>http://m.12365auto.com/zjdy/20200203/120988.shtml</v>
      </c>
      <c r="G12632" s="2"/>
      <c r="H12632" s="2" t="s">
        <v>16855</v>
      </c>
      <c r="I12632" s="2" t="s">
        <v>19</v>
      </c>
      <c r="J12632" s="2" t="s">
        <v>12</v>
      </c>
      <c r="K12632" s="2" t="s">
        <v>16854</v>
      </c>
      <c r="L12632" s="2">
        <f t="shared" si="197"/>
        <v>36</v>
      </c>
    </row>
    <row r="12633" spans="1:12" ht="25" customHeight="1">
      <c r="A12633" s="2" t="s">
        <v>12</v>
      </c>
      <c r="B12633" s="2" t="str">
        <f>HYPERLINK("http://m.12365auto.com/zjdy/20200203/120987.shtml","宝骏510仪表安全气囊灯亮是怎么回事？")</f>
        <v>宝骏510仪表安全气囊灯亮是怎么回事？</v>
      </c>
      <c r="C12633" s="2" t="s">
        <v>13</v>
      </c>
      <c r="D12633" s="2" t="s">
        <v>12</v>
      </c>
      <c r="E12633" s="2"/>
      <c r="F12633" s="2" t="str">
        <f>HYPERLINK("http://m.12365auto.com/zjdy/20200203/120987.shtml","http://m.12365auto.com/zjdy/20200203/120987.shtml")</f>
        <v>http://m.12365auto.com/zjdy/20200203/120987.shtml</v>
      </c>
      <c r="G12633" s="2"/>
      <c r="H12633" s="2" t="s">
        <v>16856</v>
      </c>
      <c r="I12633" s="2" t="s">
        <v>19</v>
      </c>
      <c r="J12633" s="2" t="s">
        <v>12</v>
      </c>
      <c r="K12633" s="2" t="s">
        <v>16854</v>
      </c>
      <c r="L12633" s="2">
        <f t="shared" si="197"/>
        <v>19</v>
      </c>
    </row>
    <row r="12634" spans="1:12" ht="25" customHeight="1">
      <c r="A12634" s="2" t="s">
        <v>12</v>
      </c>
      <c r="B12634" s="2" t="str">
        <f>HYPERLINK("http://m.12365auto.com/zjdy/20200202/120974.shtml","丰田威驰手动和自动变速箱哪款故障率低？")</f>
        <v>丰田威驰手动和自动变速箱哪款故障率低？</v>
      </c>
      <c r="C12634" s="2" t="s">
        <v>13</v>
      </c>
      <c r="D12634" s="2" t="s">
        <v>12</v>
      </c>
      <c r="E12634" s="2"/>
      <c r="F12634" s="2" t="str">
        <f>HYPERLINK("http://m.12365auto.com/zjdy/20200202/120974.shtml","http://m.12365auto.com/zjdy/20200202/120974.shtml")</f>
        <v>http://m.12365auto.com/zjdy/20200202/120974.shtml</v>
      </c>
      <c r="G12634" s="2"/>
      <c r="H12634" s="2" t="s">
        <v>16857</v>
      </c>
      <c r="I12634" s="2" t="s">
        <v>19</v>
      </c>
      <c r="J12634" s="2" t="s">
        <v>12</v>
      </c>
      <c r="K12634" s="2" t="s">
        <v>16854</v>
      </c>
      <c r="L12634" s="2">
        <f t="shared" si="197"/>
        <v>83</v>
      </c>
    </row>
    <row r="12635" spans="1:12" ht="25" customHeight="1">
      <c r="A12635" s="2" t="s">
        <v>12</v>
      </c>
      <c r="B12635" s="2" t="str">
        <f>HYPERLINK("http://m.12365auto.com/zjdy/20200203/120989.shtml","换完水泵以后发动机抖动是为什么？")</f>
        <v>换完水泵以后发动机抖动是为什么？</v>
      </c>
      <c r="C12635" s="2" t="s">
        <v>13</v>
      </c>
      <c r="D12635" s="2" t="s">
        <v>12</v>
      </c>
      <c r="E12635" s="2"/>
      <c r="F12635" s="2" t="str">
        <f>HYPERLINK("http://m.12365auto.com/zjdy/20200203/120989.shtml","http://m.12365auto.com/zjdy/20200203/120989.shtml")</f>
        <v>http://m.12365auto.com/zjdy/20200203/120989.shtml</v>
      </c>
      <c r="G12635" s="2"/>
      <c r="H12635" s="2" t="s">
        <v>16858</v>
      </c>
      <c r="I12635" s="2" t="s">
        <v>19</v>
      </c>
      <c r="J12635" s="2" t="s">
        <v>12</v>
      </c>
      <c r="K12635" s="2" t="s">
        <v>16859</v>
      </c>
      <c r="L12635" s="2">
        <f t="shared" si="197"/>
        <v>30</v>
      </c>
    </row>
    <row r="12636" spans="1:12" ht="25" customHeight="1">
      <c r="A12636" s="2" t="s">
        <v>12</v>
      </c>
      <c r="B12636" s="2" t="str">
        <f>HYPERLINK("http://m.12365auto.com/zjdy/20200202/120971.shtml","左前减震器更换以后出现异响是什么原因？")</f>
        <v>左前减震器更换以后出现异响是什么原因？</v>
      </c>
      <c r="C12636" s="2" t="s">
        <v>13</v>
      </c>
      <c r="D12636" s="2" t="s">
        <v>12</v>
      </c>
      <c r="E12636" s="2"/>
      <c r="F12636" s="2" t="str">
        <f>HYPERLINK("http://m.12365auto.com/zjdy/20200202/120971.shtml","http://m.12365auto.com/zjdy/20200202/120971.shtml")</f>
        <v>http://m.12365auto.com/zjdy/20200202/120971.shtml</v>
      </c>
      <c r="G12636" s="2"/>
      <c r="H12636" s="2" t="s">
        <v>16860</v>
      </c>
      <c r="I12636" s="2" t="s">
        <v>19</v>
      </c>
      <c r="J12636" s="2" t="s">
        <v>12</v>
      </c>
      <c r="K12636" s="2" t="s">
        <v>16861</v>
      </c>
      <c r="L12636" s="2">
        <f t="shared" si="197"/>
        <v>102</v>
      </c>
    </row>
    <row r="12637" spans="1:12" ht="25" customHeight="1">
      <c r="A12637" s="2" t="s">
        <v>12</v>
      </c>
      <c r="B12637" s="2" t="str">
        <f>HYPERLINK("http://m.12365auto.com/zjdy/20200201/120946.shtml","车辆停放几天后电瓶亏电怎么回事？")</f>
        <v>车辆停放几天后电瓶亏电怎么回事？</v>
      </c>
      <c r="C12637" s="2" t="s">
        <v>13</v>
      </c>
      <c r="D12637" s="2" t="s">
        <v>12</v>
      </c>
      <c r="E12637" s="2"/>
      <c r="F12637" s="2" t="str">
        <f>HYPERLINK("http://m.12365auto.com/zjdy/20200201/120946.shtml","http://m.12365auto.com/zjdy/20200201/120946.shtml")</f>
        <v>http://m.12365auto.com/zjdy/20200201/120946.shtml</v>
      </c>
      <c r="G12637" s="2"/>
      <c r="H12637" s="2" t="s">
        <v>16862</v>
      </c>
      <c r="I12637" s="2" t="s">
        <v>19</v>
      </c>
      <c r="J12637" s="2" t="s">
        <v>12</v>
      </c>
      <c r="K12637" s="2" t="s">
        <v>16861</v>
      </c>
      <c r="L12637" s="2">
        <f t="shared" si="197"/>
        <v>15</v>
      </c>
    </row>
    <row r="12638" spans="1:12" ht="25" customHeight="1">
      <c r="A12638" s="2" t="s">
        <v>12</v>
      </c>
      <c r="B12638" s="2" t="str">
        <f>HYPERLINK("http://m.12365auto.com/zjdy/20200201/120947.shtml","10-17万左右的SUV有哪款推荐的吗？")</f>
        <v>10-17万左右的SUV有哪款推荐的吗？</v>
      </c>
      <c r="C12638" s="2" t="s">
        <v>13</v>
      </c>
      <c r="D12638" s="2" t="s">
        <v>12</v>
      </c>
      <c r="E12638" s="2"/>
      <c r="F12638" s="2" t="str">
        <f>HYPERLINK("http://m.12365auto.com/zjdy/20200201/120947.shtml","http://m.12365auto.com/zjdy/20200201/120947.shtml")</f>
        <v>http://m.12365auto.com/zjdy/20200201/120947.shtml</v>
      </c>
      <c r="G12638" s="2"/>
      <c r="H12638" s="2" t="s">
        <v>16863</v>
      </c>
      <c r="I12638" s="2" t="s">
        <v>19</v>
      </c>
      <c r="J12638" s="2" t="s">
        <v>12</v>
      </c>
      <c r="K12638" s="2" t="s">
        <v>16861</v>
      </c>
      <c r="L12638" s="2">
        <f t="shared" si="197"/>
        <v>77</v>
      </c>
    </row>
    <row r="12639" spans="1:12" ht="25" customHeight="1">
      <c r="A12639" s="2" t="s">
        <v>12</v>
      </c>
      <c r="B12639" s="2" t="str">
        <f>HYPERLINK("http://m.12365auto.com/zjdy/20200201/120945.shtml","WEY VV5发动机加油后故障灯亮为什么？")</f>
        <v>WEY VV5发动机加油后故障灯亮为什么？</v>
      </c>
      <c r="C12639" s="2" t="s">
        <v>13</v>
      </c>
      <c r="D12639" s="2" t="s">
        <v>12</v>
      </c>
      <c r="E12639" s="2"/>
      <c r="F12639" s="2" t="str">
        <f>HYPERLINK("http://m.12365auto.com/zjdy/20200201/120945.shtml","http://m.12365auto.com/zjdy/20200201/120945.shtml")</f>
        <v>http://m.12365auto.com/zjdy/20200201/120945.shtml</v>
      </c>
      <c r="G12639" s="2"/>
      <c r="H12639" s="2" t="s">
        <v>16864</v>
      </c>
      <c r="I12639" s="2" t="s">
        <v>19</v>
      </c>
      <c r="J12639" s="2" t="s">
        <v>12</v>
      </c>
      <c r="K12639" s="2" t="s">
        <v>16861</v>
      </c>
      <c r="L12639" s="2">
        <f t="shared" si="197"/>
        <v>26</v>
      </c>
    </row>
    <row r="12640" spans="1:12" ht="25" customHeight="1">
      <c r="A12640" s="2" t="s">
        <v>12</v>
      </c>
      <c r="B12640" s="2" t="str">
        <f>HYPERLINK("http://m.12365auto.com/zjdy/20200202/120972.shtml","19款逍客中控屏黑屏死机是什么原因？")</f>
        <v>19款逍客中控屏黑屏死机是什么原因？</v>
      </c>
      <c r="C12640" s="2" t="s">
        <v>13</v>
      </c>
      <c r="D12640" s="2" t="s">
        <v>12</v>
      </c>
      <c r="E12640" s="2"/>
      <c r="F12640" s="2" t="str">
        <f>HYPERLINK("http://m.12365auto.com/zjdy/20200202/120972.shtml","http://m.12365auto.com/zjdy/20200202/120972.shtml")</f>
        <v>http://m.12365auto.com/zjdy/20200202/120972.shtml</v>
      </c>
      <c r="G12640" s="2"/>
      <c r="H12640" s="2" t="s">
        <v>16865</v>
      </c>
      <c r="I12640" s="2" t="s">
        <v>19</v>
      </c>
      <c r="J12640" s="2" t="s">
        <v>12</v>
      </c>
      <c r="K12640" s="2" t="s">
        <v>16866</v>
      </c>
      <c r="L12640" s="2">
        <f t="shared" si="197"/>
        <v>39</v>
      </c>
    </row>
    <row r="12641" spans="1:12" ht="25" customHeight="1">
      <c r="A12641" s="2" t="s">
        <v>12</v>
      </c>
      <c r="B12641" s="2" t="str">
        <f>HYPERLINK("http://www.12365auto.com/zlts/20200203/446248.shtml","发动机故障。")</f>
        <v>发动机故障。</v>
      </c>
      <c r="C12641" s="2" t="s">
        <v>13</v>
      </c>
      <c r="D12641" s="2" t="s">
        <v>12</v>
      </c>
      <c r="E12641" s="2"/>
      <c r="F12641" s="2" t="str">
        <f>HYPERLINK("http://www.12365auto.com/zlts/20200203/446248.shtml","http://www.12365auto.com/zlts/20200203/446248.shtml")</f>
        <v>http://www.12365auto.com/zlts/20200203/446248.shtml</v>
      </c>
      <c r="G12641" s="2"/>
      <c r="H12641" s="2" t="s">
        <v>16868</v>
      </c>
      <c r="I12641" s="2" t="s">
        <v>15</v>
      </c>
      <c r="J12641" s="2" t="s">
        <v>12</v>
      </c>
      <c r="K12641" s="2" t="s">
        <v>16867</v>
      </c>
      <c r="L12641" s="2">
        <f t="shared" si="197"/>
        <v>88</v>
      </c>
    </row>
    <row r="12642" spans="1:12" ht="25" customHeight="1">
      <c r="A12642" s="2" t="s">
        <v>12</v>
      </c>
      <c r="B12642" s="2" t="str">
        <f>HYPERLINK("http://www.12365auto.com/zlts/20200203/446247.shtml","广汽菲克Jeep指南者行驶过程中变速箱有异响")</f>
        <v>广汽菲克Jeep指南者行驶过程中变速箱有异响</v>
      </c>
      <c r="C12642" s="2" t="s">
        <v>13</v>
      </c>
      <c r="D12642" s="2" t="s">
        <v>12</v>
      </c>
      <c r="E12642" s="2"/>
      <c r="F12642" s="2" t="str">
        <f>HYPERLINK("http://www.12365auto.com/zlts/20200203/446247.shtml","http://www.12365auto.com/zlts/20200203/446247.shtml")</f>
        <v>http://www.12365auto.com/zlts/20200203/446247.shtml</v>
      </c>
      <c r="G12642" s="2"/>
      <c r="H12642" s="2" t="s">
        <v>16870</v>
      </c>
      <c r="I12642" s="2" t="s">
        <v>15</v>
      </c>
      <c r="J12642" s="2" t="s">
        <v>12</v>
      </c>
      <c r="K12642" s="2" t="s">
        <v>16869</v>
      </c>
      <c r="L12642" s="2">
        <f t="shared" si="197"/>
        <v>85</v>
      </c>
    </row>
    <row r="12643" spans="1:12" ht="25" customHeight="1">
      <c r="A12643" s="2" t="s">
        <v>12</v>
      </c>
      <c r="B12643" s="2" t="str">
        <f>HYPERLINK("http://www.12365auto.com/news/20200203/417569.shtml","将进军印度？长城汽车即将亮相印度德里车展")</f>
        <v>将进军印度？长城汽车即将亮相印度德里车展</v>
      </c>
      <c r="C12643" s="2" t="s">
        <v>13</v>
      </c>
      <c r="D12643" s="2" t="s">
        <v>12</v>
      </c>
      <c r="E12643" s="2" t="s">
        <v>276</v>
      </c>
      <c r="F12643" s="2" t="str">
        <f>HYPERLINK("http://www.12365auto.com/news/20200203/417569.shtml","http://www.12365auto.com/news/20200203/417569.shtml")</f>
        <v>http://www.12365auto.com/news/20200203/417569.shtml</v>
      </c>
      <c r="G12643" s="2"/>
      <c r="H12643" s="2" t="s">
        <v>16871</v>
      </c>
      <c r="I12643" s="2" t="s">
        <v>15</v>
      </c>
      <c r="J12643" s="2" t="s">
        <v>12</v>
      </c>
      <c r="K12643" s="2" t="s">
        <v>16872</v>
      </c>
      <c r="L12643" s="2">
        <f t="shared" si="197"/>
        <v>150</v>
      </c>
    </row>
    <row r="12644" spans="1:12" ht="25" customHeight="1">
      <c r="A12644" s="2" t="s">
        <v>12</v>
      </c>
      <c r="B12644" s="2" t="str">
        <f>HYPERLINK("http://m.12365auto.com/news/20200203/417569.shtml","将进军印度？长城汽车即将亮相印度德里车展")</f>
        <v>将进军印度？长城汽车即将亮相印度德里车展</v>
      </c>
      <c r="C12644" s="2" t="s">
        <v>13</v>
      </c>
      <c r="D12644" s="2" t="s">
        <v>12</v>
      </c>
      <c r="E12644" s="2"/>
      <c r="F12644" s="2" t="str">
        <f>HYPERLINK("http://m.12365auto.com/news/20200203/417569.shtml","http://m.12365auto.com/news/20200203/417569.shtml")</f>
        <v>http://m.12365auto.com/news/20200203/417569.shtml</v>
      </c>
      <c r="G12644" s="2"/>
      <c r="H12644" s="2" t="s">
        <v>16873</v>
      </c>
      <c r="I12644" s="2" t="s">
        <v>19</v>
      </c>
      <c r="J12644" s="2" t="s">
        <v>12</v>
      </c>
      <c r="K12644" s="2" t="s">
        <v>16872</v>
      </c>
      <c r="L12644" s="2">
        <f t="shared" si="197"/>
        <v>150</v>
      </c>
    </row>
    <row r="12645" spans="1:12" ht="25" customHeight="1">
      <c r="A12645" s="2" t="s">
        <v>12</v>
      </c>
      <c r="B12645" s="2" t="str">
        <f>HYPERLINK("http://www.12365auto.com/zlts/20200203/446246.shtml","副驾驶车门车漆自动脱落")</f>
        <v>副驾驶车门车漆自动脱落</v>
      </c>
      <c r="C12645" s="2" t="s">
        <v>13</v>
      </c>
      <c r="D12645" s="2" t="s">
        <v>12</v>
      </c>
      <c r="E12645" s="2"/>
      <c r="F12645" s="2" t="str">
        <f>HYPERLINK("http://www.12365auto.com/zlts/20200203/446246.shtml","http://www.12365auto.com/zlts/20200203/446246.shtml")</f>
        <v>http://www.12365auto.com/zlts/20200203/446246.shtml</v>
      </c>
      <c r="G12645" s="2"/>
      <c r="H12645" s="2" t="s">
        <v>16875</v>
      </c>
      <c r="I12645" s="2" t="s">
        <v>15</v>
      </c>
      <c r="J12645" s="2" t="s">
        <v>12</v>
      </c>
      <c r="K12645" s="2" t="s">
        <v>16874</v>
      </c>
      <c r="L12645" s="2">
        <f t="shared" si="197"/>
        <v>85</v>
      </c>
    </row>
    <row r="12646" spans="1:12" ht="25" customHeight="1">
      <c r="A12646" s="2" t="s">
        <v>12</v>
      </c>
      <c r="B12646" s="2" t="str">
        <f>HYPERLINK("http://www.12365auto.com/zlts/20200203/446245.shtml","车顶漏水")</f>
        <v>车顶漏水</v>
      </c>
      <c r="C12646" s="2" t="s">
        <v>13</v>
      </c>
      <c r="D12646" s="2" t="s">
        <v>12</v>
      </c>
      <c r="E12646" s="2"/>
      <c r="F12646" s="2" t="str">
        <f>HYPERLINK("http://www.12365auto.com/zlts/20200203/446245.shtml","http://www.12365auto.com/zlts/20200203/446245.shtml")</f>
        <v>http://www.12365auto.com/zlts/20200203/446245.shtml</v>
      </c>
      <c r="G12646" s="2"/>
      <c r="H12646" s="2" t="s">
        <v>16877</v>
      </c>
      <c r="I12646" s="2" t="s">
        <v>15</v>
      </c>
      <c r="J12646" s="2" t="s">
        <v>12</v>
      </c>
      <c r="K12646" s="2" t="s">
        <v>16876</v>
      </c>
      <c r="L12646" s="2">
        <f t="shared" si="197"/>
        <v>82</v>
      </c>
    </row>
    <row r="12647" spans="1:12" ht="25" customHeight="1">
      <c r="A12647" s="2" t="s">
        <v>12</v>
      </c>
      <c r="B12647" s="2" t="str">
        <f>HYPERLINK("http://www.12365auto.com/zlts/20200203/446244.shtml","众泰汽车，安全隐患，质量问题，无法使用")</f>
        <v>众泰汽车，安全隐患，质量问题，无法使用</v>
      </c>
      <c r="C12647" s="2" t="s">
        <v>13</v>
      </c>
      <c r="D12647" s="2" t="s">
        <v>12</v>
      </c>
      <c r="E12647" s="2"/>
      <c r="F12647" s="2" t="str">
        <f>HYPERLINK("http://www.12365auto.com/zlts/20200203/446244.shtml","http://www.12365auto.com/zlts/20200203/446244.shtml")</f>
        <v>http://www.12365auto.com/zlts/20200203/446244.shtml</v>
      </c>
      <c r="G12647" s="2"/>
      <c r="H12647" s="2" t="s">
        <v>16879</v>
      </c>
      <c r="I12647" s="2" t="s">
        <v>15</v>
      </c>
      <c r="J12647" s="2" t="s">
        <v>12</v>
      </c>
      <c r="K12647" s="2" t="s">
        <v>16878</v>
      </c>
      <c r="L12647" s="2">
        <f t="shared" si="197"/>
        <v>85</v>
      </c>
    </row>
    <row r="12648" spans="1:12" ht="25" customHeight="1">
      <c r="A12648" s="2" t="s">
        <v>12</v>
      </c>
      <c r="B12648" s="2" t="str">
        <f>HYPERLINK("http://bbs.12365auto.com/postcontent.aspx?tId=193223","广汽丰田凯美瑞半轴漏油存在安全隐患")</f>
        <v>广汽丰田凯美瑞半轴漏油存在安全隐患</v>
      </c>
      <c r="C12648" s="2" t="s">
        <v>13</v>
      </c>
      <c r="D12648" s="2" t="s">
        <v>12</v>
      </c>
      <c r="E12648" s="2" t="s">
        <v>66</v>
      </c>
      <c r="F12648" s="2" t="str">
        <f>HYPERLINK("http://bbs.12365auto.com/postcontent.aspx?tId=193223","http://bbs.12365auto.com/postcontent.aspx?tId=193223")</f>
        <v>http://bbs.12365auto.com/postcontent.aspx?tId=193223</v>
      </c>
      <c r="G12648" s="2"/>
      <c r="H12648" s="2" t="s">
        <v>16880</v>
      </c>
      <c r="I12648" s="2" t="s">
        <v>15</v>
      </c>
      <c r="J12648" s="2" t="s">
        <v>574</v>
      </c>
      <c r="K12648" s="2" t="s">
        <v>16881</v>
      </c>
      <c r="L12648" s="2">
        <f t="shared" si="197"/>
        <v>130</v>
      </c>
    </row>
    <row r="12649" spans="1:12" ht="25" customHeight="1">
      <c r="A12649" s="2" t="s">
        <v>12</v>
      </c>
      <c r="B12649" s="2" t="str">
        <f>HYPERLINK("http://bbs.12365auto.com/postcontent.aspx?tID=193223","广汽丰田凯美瑞半轴漏油存在安全隐患")</f>
        <v>广汽丰田凯美瑞半轴漏油存在安全隐患</v>
      </c>
      <c r="C12649" s="2" t="s">
        <v>13</v>
      </c>
      <c r="D12649" s="2" t="s">
        <v>12</v>
      </c>
      <c r="E12649" s="2" t="s">
        <v>67</v>
      </c>
      <c r="F12649" s="2" t="str">
        <f>HYPERLINK("http://bbs.12365auto.com/postcontent.aspx?tID=193223","http://bbs.12365auto.com/postcontent.aspx?tID=193223")</f>
        <v>http://bbs.12365auto.com/postcontent.aspx?tID=193223</v>
      </c>
      <c r="G12649" s="2"/>
      <c r="H12649" s="2" t="s">
        <v>16882</v>
      </c>
      <c r="I12649" s="2" t="s">
        <v>15</v>
      </c>
      <c r="J12649" s="2" t="s">
        <v>574</v>
      </c>
      <c r="K12649" s="2" t="s">
        <v>16881</v>
      </c>
      <c r="L12649" s="2">
        <f t="shared" si="197"/>
        <v>147</v>
      </c>
    </row>
    <row r="12650" spans="1:12" ht="25" customHeight="1">
      <c r="A12650" s="2" t="s">
        <v>12</v>
      </c>
      <c r="B12650" s="2" t="str">
        <f>HYPERLINK("http://m.12365auto.com/bbs/postcontent.aspx?tID=193223","广汽丰田凯美瑞半轴漏油存在安全隐患")</f>
        <v>广汽丰田凯美瑞半轴漏油存在安全隐患</v>
      </c>
      <c r="C12650" s="2" t="s">
        <v>13</v>
      </c>
      <c r="D12650" s="2" t="s">
        <v>23</v>
      </c>
      <c r="E12650" s="2"/>
      <c r="F12650" s="2" t="str">
        <f>HYPERLINK("http://m.12365auto.com/bbs/postcontent.aspx?tID=193223","http://m.12365auto.com/bbs/postcontent.aspx?tID=193223")</f>
        <v>http://m.12365auto.com/bbs/postcontent.aspx?tID=193223</v>
      </c>
      <c r="G12650" s="2"/>
      <c r="H12650" s="2" t="s">
        <v>16880</v>
      </c>
      <c r="I12650" s="2" t="s">
        <v>15</v>
      </c>
      <c r="J12650" s="2" t="s">
        <v>574</v>
      </c>
      <c r="K12650" s="2" t="s">
        <v>16881</v>
      </c>
      <c r="L12650" s="2">
        <f t="shared" si="197"/>
        <v>130</v>
      </c>
    </row>
    <row r="12651" spans="1:12" ht="25" customHeight="1">
      <c r="A12651" s="2" t="s">
        <v>12</v>
      </c>
      <c r="B12651" s="2" t="str">
        <f>HYPERLINK("http://bbs.12365auto.com/postcontent.aspx?tId=193222","东风悦达起亚KXCROSS车门怎么都变形了")</f>
        <v>东风悦达起亚KXCROSS车门怎么都变形了</v>
      </c>
      <c r="C12651" s="2" t="s">
        <v>13</v>
      </c>
      <c r="D12651" s="2" t="s">
        <v>12</v>
      </c>
      <c r="E12651" s="2" t="s">
        <v>66</v>
      </c>
      <c r="F12651" s="2" t="str">
        <f>HYPERLINK("http://bbs.12365auto.com/postcontent.aspx?tId=193222","http://bbs.12365auto.com/postcontent.aspx?tId=193222")</f>
        <v>http://bbs.12365auto.com/postcontent.aspx?tId=193222</v>
      </c>
      <c r="G12651" s="2"/>
      <c r="H12651" s="2" t="s">
        <v>7782</v>
      </c>
      <c r="I12651" s="2" t="s">
        <v>15</v>
      </c>
      <c r="J12651" s="2" t="s">
        <v>581</v>
      </c>
      <c r="K12651" s="2" t="s">
        <v>16883</v>
      </c>
      <c r="L12651" s="2">
        <f t="shared" si="197"/>
        <v>145</v>
      </c>
    </row>
    <row r="12652" spans="1:12" ht="25" customHeight="1">
      <c r="A12652" s="2" t="s">
        <v>12</v>
      </c>
      <c r="B12652" s="2" t="str">
        <f>HYPERLINK("http://bbs.12365auto.com/postcontent.aspx?tID=193222","东风悦达起亚KXCROSS车门怎么都变形了")</f>
        <v>东风悦达起亚KXCROSS车门怎么都变形了</v>
      </c>
      <c r="C12652" s="2" t="s">
        <v>13</v>
      </c>
      <c r="D12652" s="2" t="s">
        <v>12</v>
      </c>
      <c r="E12652" s="2" t="s">
        <v>67</v>
      </c>
      <c r="F12652" s="2" t="str">
        <f>HYPERLINK("http://bbs.12365auto.com/postcontent.aspx?tID=193222","http://bbs.12365auto.com/postcontent.aspx?tID=193222")</f>
        <v>http://bbs.12365auto.com/postcontent.aspx?tID=193222</v>
      </c>
      <c r="G12652" s="2"/>
      <c r="H12652" s="2" t="s">
        <v>16884</v>
      </c>
      <c r="I12652" s="2" t="s">
        <v>15</v>
      </c>
      <c r="J12652" s="2" t="s">
        <v>581</v>
      </c>
      <c r="K12652" s="2" t="s">
        <v>16883</v>
      </c>
      <c r="L12652" s="2">
        <f t="shared" si="197"/>
        <v>150</v>
      </c>
    </row>
    <row r="12653" spans="1:12" ht="25" customHeight="1">
      <c r="A12653" s="2" t="s">
        <v>12</v>
      </c>
      <c r="B12653" s="2" t="str">
        <f>HYPERLINK("http://m.12365auto.com/bbs/postcontent.aspx?tID=193222","东风悦达起亚KXCROSS车门怎么都变形了")</f>
        <v>东风悦达起亚KXCROSS车门怎么都变形了</v>
      </c>
      <c r="C12653" s="2" t="s">
        <v>13</v>
      </c>
      <c r="D12653" s="2" t="s">
        <v>23</v>
      </c>
      <c r="E12653" s="2"/>
      <c r="F12653" s="2" t="str">
        <f>HYPERLINK("http://m.12365auto.com/bbs/postcontent.aspx?tID=193222","http://m.12365auto.com/bbs/postcontent.aspx?tID=193222")</f>
        <v>http://m.12365auto.com/bbs/postcontent.aspx?tID=193222</v>
      </c>
      <c r="G12653" s="2"/>
      <c r="H12653" s="2" t="s">
        <v>7782</v>
      </c>
      <c r="I12653" s="2" t="s">
        <v>15</v>
      </c>
      <c r="J12653" s="2" t="s">
        <v>581</v>
      </c>
      <c r="K12653" s="2" t="s">
        <v>16883</v>
      </c>
      <c r="L12653" s="2">
        <f t="shared" si="197"/>
        <v>145</v>
      </c>
    </row>
    <row r="12654" spans="1:12" ht="25" customHeight="1">
      <c r="A12654" s="2" t="s">
        <v>12</v>
      </c>
      <c r="B12654" s="2" t="str">
        <f>HYPERLINK("http://bbs.12365auto.com/postcontent.aspx?tId=193221","斯巴鲁森林人发动机行驶爆缸真的太危险了")</f>
        <v>斯巴鲁森林人发动机行驶爆缸真的太危险了</v>
      </c>
      <c r="C12654" s="2" t="s">
        <v>13</v>
      </c>
      <c r="D12654" s="2" t="s">
        <v>12</v>
      </c>
      <c r="E12654" s="2" t="s">
        <v>66</v>
      </c>
      <c r="F12654" s="2" t="str">
        <f>HYPERLINK("http://bbs.12365auto.com/postcontent.aspx?tId=193221","http://bbs.12365auto.com/postcontent.aspx?tId=193221")</f>
        <v>http://bbs.12365auto.com/postcontent.aspx?tId=193221</v>
      </c>
      <c r="G12654" s="2"/>
      <c r="H12654" s="2" t="s">
        <v>16885</v>
      </c>
      <c r="I12654" s="2" t="s">
        <v>15</v>
      </c>
      <c r="J12654" s="2" t="s">
        <v>585</v>
      </c>
      <c r="K12654" s="2" t="s">
        <v>16886</v>
      </c>
      <c r="L12654" s="2">
        <f t="shared" si="197"/>
        <v>75</v>
      </c>
    </row>
    <row r="12655" spans="1:12" ht="25" customHeight="1">
      <c r="A12655" s="2" t="s">
        <v>12</v>
      </c>
      <c r="B12655" s="2" t="str">
        <f>HYPERLINK("http://bbs.12365auto.com/postcontent.aspx?tID=193221","斯巴鲁森林人发动机行驶爆缸真的太危险了")</f>
        <v>斯巴鲁森林人发动机行驶爆缸真的太危险了</v>
      </c>
      <c r="C12655" s="2" t="s">
        <v>13</v>
      </c>
      <c r="D12655" s="2" t="s">
        <v>12</v>
      </c>
      <c r="E12655" s="2" t="s">
        <v>67</v>
      </c>
      <c r="F12655" s="2" t="str">
        <f>HYPERLINK("http://bbs.12365auto.com/postcontent.aspx?tID=193221","http://bbs.12365auto.com/postcontent.aspx?tID=193221")</f>
        <v>http://bbs.12365auto.com/postcontent.aspx?tID=193221</v>
      </c>
      <c r="G12655" s="2"/>
      <c r="H12655" s="2" t="s">
        <v>16887</v>
      </c>
      <c r="I12655" s="2" t="s">
        <v>15</v>
      </c>
      <c r="J12655" s="2" t="s">
        <v>585</v>
      </c>
      <c r="K12655" s="2" t="s">
        <v>16886</v>
      </c>
      <c r="L12655" s="2">
        <f t="shared" si="197"/>
        <v>94</v>
      </c>
    </row>
    <row r="12656" spans="1:12" ht="25" customHeight="1">
      <c r="A12656" s="2" t="s">
        <v>12</v>
      </c>
      <c r="B12656" s="2" t="str">
        <f>HYPERLINK("http://m.12365auto.com/bbs/postcontent.aspx?tID=193221","斯巴鲁森林人发动机行驶爆缸真的太危险了")</f>
        <v>斯巴鲁森林人发动机行驶爆缸真的太危险了</v>
      </c>
      <c r="C12656" s="2" t="s">
        <v>13</v>
      </c>
      <c r="D12656" s="2" t="s">
        <v>23</v>
      </c>
      <c r="E12656" s="2"/>
      <c r="F12656" s="2" t="str">
        <f>HYPERLINK("http://m.12365auto.com/bbs/postcontent.aspx?tID=193221","http://m.12365auto.com/bbs/postcontent.aspx?tID=193221")</f>
        <v>http://m.12365auto.com/bbs/postcontent.aspx?tID=193221</v>
      </c>
      <c r="G12656" s="2"/>
      <c r="H12656" s="2" t="s">
        <v>16885</v>
      </c>
      <c r="I12656" s="2" t="s">
        <v>15</v>
      </c>
      <c r="J12656" s="2" t="s">
        <v>585</v>
      </c>
      <c r="K12656" s="2" t="s">
        <v>16886</v>
      </c>
      <c r="L12656" s="2">
        <f t="shared" si="197"/>
        <v>75</v>
      </c>
    </row>
    <row r="12657" spans="1:12" ht="25" customHeight="1">
      <c r="A12657" s="2" t="s">
        <v>12</v>
      </c>
      <c r="B12657" s="2" t="str">
        <f>HYPERLINK("http://www.12365auto.com/zlts/20200203/446232.shtml","前左右半轴漏油")</f>
        <v>前左右半轴漏油</v>
      </c>
      <c r="C12657" s="2" t="s">
        <v>13</v>
      </c>
      <c r="D12657" s="2" t="s">
        <v>12</v>
      </c>
      <c r="E12657" s="2"/>
      <c r="F12657" s="2" t="str">
        <f>HYPERLINK("http://www.12365auto.com/zlts/20200203/446232.shtml","http://www.12365auto.com/zlts/20200203/446232.shtml")</f>
        <v>http://www.12365auto.com/zlts/20200203/446232.shtml</v>
      </c>
      <c r="G12657" s="2"/>
      <c r="H12657" s="2" t="s">
        <v>16889</v>
      </c>
      <c r="I12657" s="2" t="s">
        <v>15</v>
      </c>
      <c r="J12657" s="2" t="s">
        <v>12</v>
      </c>
      <c r="K12657" s="2" t="s">
        <v>16888</v>
      </c>
      <c r="L12657" s="2">
        <f t="shared" si="197"/>
        <v>81</v>
      </c>
    </row>
    <row r="12658" spans="1:12" ht="25" customHeight="1">
      <c r="A12658" s="2" t="s">
        <v>12</v>
      </c>
      <c r="B12658" s="2" t="str">
        <f>HYPERLINK("http://bbs.12365auto.com/postcontent.aspx?tId=193220","东风本田思域优科豪马轮胎开裂太严重了")</f>
        <v>东风本田思域优科豪马轮胎开裂太严重了</v>
      </c>
      <c r="C12658" s="2" t="s">
        <v>13</v>
      </c>
      <c r="D12658" s="2" t="s">
        <v>12</v>
      </c>
      <c r="E12658" s="2" t="s">
        <v>66</v>
      </c>
      <c r="F12658" s="2" t="str">
        <f>HYPERLINK("http://bbs.12365auto.com/postcontent.aspx?tId=193220","http://bbs.12365auto.com/postcontent.aspx?tId=193220")</f>
        <v>http://bbs.12365auto.com/postcontent.aspx?tId=193220</v>
      </c>
      <c r="G12658" s="2"/>
      <c r="H12658" s="2" t="s">
        <v>16890</v>
      </c>
      <c r="I12658" s="2" t="s">
        <v>15</v>
      </c>
      <c r="J12658" s="2" t="s">
        <v>587</v>
      </c>
      <c r="K12658" s="2" t="s">
        <v>16891</v>
      </c>
      <c r="L12658" s="2">
        <f t="shared" si="197"/>
        <v>60</v>
      </c>
    </row>
    <row r="12659" spans="1:12" ht="25" customHeight="1">
      <c r="A12659" s="2" t="s">
        <v>12</v>
      </c>
      <c r="B12659" s="2" t="str">
        <f>HYPERLINK("http://bbs.12365auto.com/postcontent.aspx?tId=193219","一汽大众探岳大灯透镜发白影响安全")</f>
        <v>一汽大众探岳大灯透镜发白影响安全</v>
      </c>
      <c r="C12659" s="2" t="s">
        <v>13</v>
      </c>
      <c r="D12659" s="2" t="s">
        <v>12</v>
      </c>
      <c r="E12659" s="2" t="s">
        <v>66</v>
      </c>
      <c r="F12659" s="2" t="str">
        <f>HYPERLINK("http://bbs.12365auto.com/postcontent.aspx?tId=193219","http://bbs.12365auto.com/postcontent.aspx?tId=193219")</f>
        <v>http://bbs.12365auto.com/postcontent.aspx?tId=193219</v>
      </c>
      <c r="G12659" s="2"/>
      <c r="H12659" s="2" t="s">
        <v>16127</v>
      </c>
      <c r="I12659" s="2" t="s">
        <v>15</v>
      </c>
      <c r="J12659" s="2" t="s">
        <v>590</v>
      </c>
      <c r="K12659" s="2" t="s">
        <v>16891</v>
      </c>
      <c r="L12659" s="2">
        <f t="shared" si="197"/>
        <v>80</v>
      </c>
    </row>
    <row r="12660" spans="1:12" ht="25" customHeight="1">
      <c r="A12660" s="2" t="s">
        <v>12</v>
      </c>
      <c r="B12660" s="2" t="str">
        <f>HYPERLINK("http://bbs.12365auto.com/postcontent.aspx?tID=193220","东风本田思域优科豪马轮胎开裂太严重了")</f>
        <v>东风本田思域优科豪马轮胎开裂太严重了</v>
      </c>
      <c r="C12660" s="2" t="s">
        <v>13</v>
      </c>
      <c r="D12660" s="2" t="s">
        <v>12</v>
      </c>
      <c r="E12660" s="2" t="s">
        <v>67</v>
      </c>
      <c r="F12660" s="2" t="str">
        <f>HYPERLINK("http://bbs.12365auto.com/postcontent.aspx?tID=193220","http://bbs.12365auto.com/postcontent.aspx?tID=193220")</f>
        <v>http://bbs.12365auto.com/postcontent.aspx?tID=193220</v>
      </c>
      <c r="G12660" s="2"/>
      <c r="H12660" s="2" t="s">
        <v>16892</v>
      </c>
      <c r="I12660" s="2" t="s">
        <v>15</v>
      </c>
      <c r="J12660" s="2" t="s">
        <v>587</v>
      </c>
      <c r="K12660" s="2" t="s">
        <v>16891</v>
      </c>
      <c r="L12660" s="2">
        <f t="shared" si="197"/>
        <v>78</v>
      </c>
    </row>
    <row r="12661" spans="1:12" ht="25" customHeight="1">
      <c r="A12661" s="2" t="s">
        <v>12</v>
      </c>
      <c r="B12661" s="2" t="str">
        <f>HYPERLINK("http://bbs.12365auto.com/postcontent.aspx?tID=193219","一汽大众探岳大灯透镜发白影响安全")</f>
        <v>一汽大众探岳大灯透镜发白影响安全</v>
      </c>
      <c r="C12661" s="2" t="s">
        <v>13</v>
      </c>
      <c r="D12661" s="2" t="s">
        <v>12</v>
      </c>
      <c r="E12661" s="2" t="s">
        <v>67</v>
      </c>
      <c r="F12661" s="2" t="str">
        <f>HYPERLINK("http://bbs.12365auto.com/postcontent.aspx?tID=193219","http://bbs.12365auto.com/postcontent.aspx?tID=193219")</f>
        <v>http://bbs.12365auto.com/postcontent.aspx?tID=193219</v>
      </c>
      <c r="G12661" s="2"/>
      <c r="H12661" s="2" t="s">
        <v>16893</v>
      </c>
      <c r="I12661" s="2" t="s">
        <v>15</v>
      </c>
      <c r="J12661" s="2" t="s">
        <v>590</v>
      </c>
      <c r="K12661" s="2" t="s">
        <v>16891</v>
      </c>
      <c r="L12661" s="2">
        <f t="shared" si="197"/>
        <v>96</v>
      </c>
    </row>
    <row r="12662" spans="1:12" ht="25" customHeight="1">
      <c r="A12662" s="2" t="s">
        <v>12</v>
      </c>
      <c r="B12662" s="2" t="str">
        <f>HYPERLINK("http://m.12365auto.com/bbs/postcontent.aspx?tID=193219","一汽大众探岳大灯透镜发白影响安全")</f>
        <v>一汽大众探岳大灯透镜发白影响安全</v>
      </c>
      <c r="C12662" s="2" t="s">
        <v>13</v>
      </c>
      <c r="D12662" s="2" t="s">
        <v>23</v>
      </c>
      <c r="E12662" s="2"/>
      <c r="F12662" s="2" t="str">
        <f>HYPERLINK("http://m.12365auto.com/bbs/postcontent.aspx?tID=193219","http://m.12365auto.com/bbs/postcontent.aspx?tID=193219")</f>
        <v>http://m.12365auto.com/bbs/postcontent.aspx?tID=193219</v>
      </c>
      <c r="G12662" s="2"/>
      <c r="H12662" s="2" t="s">
        <v>16127</v>
      </c>
      <c r="I12662" s="2" t="s">
        <v>15</v>
      </c>
      <c r="J12662" s="2" t="s">
        <v>590</v>
      </c>
      <c r="K12662" s="2" t="s">
        <v>16891</v>
      </c>
      <c r="L12662" s="2">
        <f t="shared" si="197"/>
        <v>80</v>
      </c>
    </row>
    <row r="12663" spans="1:12" ht="25" customHeight="1">
      <c r="A12663" s="2" t="s">
        <v>12</v>
      </c>
      <c r="B12663" s="2" t="str">
        <f>HYPERLINK("http://m.12365auto.com/bbs/postcontent.aspx?tID=193220","东风本田思域优科豪马轮胎开裂太严重了")</f>
        <v>东风本田思域优科豪马轮胎开裂太严重了</v>
      </c>
      <c r="C12663" s="2" t="s">
        <v>13</v>
      </c>
      <c r="D12663" s="2" t="s">
        <v>23</v>
      </c>
      <c r="E12663" s="2"/>
      <c r="F12663" s="2" t="str">
        <f>HYPERLINK("http://m.12365auto.com/bbs/postcontent.aspx?tID=193220","http://m.12365auto.com/bbs/postcontent.aspx?tID=193220")</f>
        <v>http://m.12365auto.com/bbs/postcontent.aspx?tID=193220</v>
      </c>
      <c r="G12663" s="2"/>
      <c r="H12663" s="2" t="s">
        <v>16890</v>
      </c>
      <c r="I12663" s="2" t="s">
        <v>15</v>
      </c>
      <c r="J12663" s="2" t="s">
        <v>587</v>
      </c>
      <c r="K12663" s="2" t="s">
        <v>16891</v>
      </c>
      <c r="L12663" s="2">
        <f t="shared" si="197"/>
        <v>60</v>
      </c>
    </row>
    <row r="12664" spans="1:12" ht="25" customHeight="1">
      <c r="A12664" s="2" t="s">
        <v>12</v>
      </c>
      <c r="B12664" s="2" t="str">
        <f>HYPERLINK("http://www.12365auto.com/zlts/20200203/446242.shtml","广汽菲亚特菲翔出现两次变速箱失效")</f>
        <v>广汽菲亚特菲翔出现两次变速箱失效</v>
      </c>
      <c r="C12664" s="2" t="s">
        <v>13</v>
      </c>
      <c r="D12664" s="2" t="s">
        <v>12</v>
      </c>
      <c r="E12664" s="2" t="s">
        <v>17</v>
      </c>
      <c r="F12664" s="2" t="str">
        <f>HYPERLINK("http://www.12365auto.com/zlts/20200203/446242.shtml","http://www.12365auto.com/zlts/20200203/446242.shtml")</f>
        <v>http://www.12365auto.com/zlts/20200203/446242.shtml</v>
      </c>
      <c r="G12664" s="2"/>
      <c r="H12664" s="2" t="s">
        <v>16894</v>
      </c>
      <c r="I12664" s="2" t="s">
        <v>19</v>
      </c>
      <c r="J12664" s="2" t="s">
        <v>12</v>
      </c>
      <c r="K12664" s="2" t="s">
        <v>16895</v>
      </c>
      <c r="L12664" s="2">
        <f t="shared" si="197"/>
        <v>150</v>
      </c>
    </row>
    <row r="12665" spans="1:12" ht="25" customHeight="1">
      <c r="A12665" s="2" t="s">
        <v>12</v>
      </c>
      <c r="B12665" s="2" t="str">
        <f>HYPERLINK("http://bbs.12365auto.com/postcontent.aspx?tId=193218","广汽菲亚特菲翔蓝牙控制模块连接不上啊")</f>
        <v>广汽菲亚特菲翔蓝牙控制模块连接不上啊</v>
      </c>
      <c r="C12665" s="2" t="s">
        <v>13</v>
      </c>
      <c r="D12665" s="2" t="s">
        <v>12</v>
      </c>
      <c r="E12665" s="2" t="s">
        <v>66</v>
      </c>
      <c r="F12665" s="2" t="str">
        <f>HYPERLINK("http://bbs.12365auto.com/postcontent.aspx?tId=193218","http://bbs.12365auto.com/postcontent.aspx?tId=193218")</f>
        <v>http://bbs.12365auto.com/postcontent.aspx?tId=193218</v>
      </c>
      <c r="G12665" s="2"/>
      <c r="H12665" s="2" t="s">
        <v>16123</v>
      </c>
      <c r="I12665" s="2" t="s">
        <v>15</v>
      </c>
      <c r="J12665" s="2" t="s">
        <v>594</v>
      </c>
      <c r="K12665" s="2" t="s">
        <v>16896</v>
      </c>
      <c r="L12665" s="2">
        <f t="shared" si="197"/>
        <v>40</v>
      </c>
    </row>
    <row r="12666" spans="1:12" ht="25" customHeight="1">
      <c r="A12666" s="2" t="s">
        <v>12</v>
      </c>
      <c r="B12666" s="2" t="str">
        <f>HYPERLINK("http://bbs.12365auto.com/postcontent.aspx?tID=193218","广汽菲亚特菲翔蓝牙控制模块连接不上啊")</f>
        <v>广汽菲亚特菲翔蓝牙控制模块连接不上啊</v>
      </c>
      <c r="C12666" s="2" t="s">
        <v>13</v>
      </c>
      <c r="D12666" s="2" t="s">
        <v>12</v>
      </c>
      <c r="E12666" s="2" t="s">
        <v>67</v>
      </c>
      <c r="F12666" s="2" t="str">
        <f>HYPERLINK("http://bbs.12365auto.com/postcontent.aspx?tID=193218","http://bbs.12365auto.com/postcontent.aspx?tID=193218")</f>
        <v>http://bbs.12365auto.com/postcontent.aspx?tID=193218</v>
      </c>
      <c r="G12666" s="2"/>
      <c r="H12666" s="2" t="s">
        <v>16897</v>
      </c>
      <c r="I12666" s="2" t="s">
        <v>15</v>
      </c>
      <c r="J12666" s="2" t="s">
        <v>594</v>
      </c>
      <c r="K12666" s="2" t="s">
        <v>16896</v>
      </c>
      <c r="L12666" s="2">
        <f t="shared" si="197"/>
        <v>58</v>
      </c>
    </row>
    <row r="12667" spans="1:12" ht="25" customHeight="1">
      <c r="A12667" s="2" t="s">
        <v>12</v>
      </c>
      <c r="B12667" s="2" t="str">
        <f>HYPERLINK("http://m.12365auto.com/bbs/postcontent.aspx?tID=193218","广汽菲亚特菲翔蓝牙控制模块连接不上啊")</f>
        <v>广汽菲亚特菲翔蓝牙控制模块连接不上啊</v>
      </c>
      <c r="C12667" s="2" t="s">
        <v>13</v>
      </c>
      <c r="D12667" s="2" t="s">
        <v>23</v>
      </c>
      <c r="E12667" s="2"/>
      <c r="F12667" s="2" t="str">
        <f>HYPERLINK("http://m.12365auto.com/bbs/postcontent.aspx?tID=193218","http://m.12365auto.com/bbs/postcontent.aspx?tID=193218")</f>
        <v>http://m.12365auto.com/bbs/postcontent.aspx?tID=193218</v>
      </c>
      <c r="G12667" s="2"/>
      <c r="H12667" s="2" t="s">
        <v>16123</v>
      </c>
      <c r="I12667" s="2" t="s">
        <v>15</v>
      </c>
      <c r="J12667" s="2" t="s">
        <v>594</v>
      </c>
      <c r="K12667" s="2" t="s">
        <v>16896</v>
      </c>
      <c r="L12667" s="2">
        <f t="shared" si="197"/>
        <v>40</v>
      </c>
    </row>
    <row r="12668" spans="1:12" ht="25" customHeight="1">
      <c r="A12668" s="2" t="s">
        <v>12</v>
      </c>
      <c r="B12668" s="2" t="str">
        <f>HYPERLINK("http://www.12365auto.com/zlts/20200203/446237.shtml","一汽大众探岳远近光灯透光性不佳")</f>
        <v>一汽大众探岳远近光灯透光性不佳</v>
      </c>
      <c r="C12668" s="2" t="s">
        <v>13</v>
      </c>
      <c r="D12668" s="2" t="s">
        <v>12</v>
      </c>
      <c r="E12668" s="2" t="s">
        <v>17</v>
      </c>
      <c r="F12668" s="2" t="str">
        <f>HYPERLINK("http://www.12365auto.com/zlts/20200203/446237.shtml","http://www.12365auto.com/zlts/20200203/446237.shtml")</f>
        <v>http://www.12365auto.com/zlts/20200203/446237.shtml</v>
      </c>
      <c r="G12668" s="2"/>
      <c r="H12668" s="2" t="s">
        <v>16898</v>
      </c>
      <c r="I12668" s="2" t="s">
        <v>19</v>
      </c>
      <c r="J12668" s="2" t="s">
        <v>12</v>
      </c>
      <c r="K12668" s="2" t="s">
        <v>16899</v>
      </c>
      <c r="L12668" s="2">
        <f t="shared" si="197"/>
        <v>150</v>
      </c>
    </row>
    <row r="12669" spans="1:12" ht="25" customHeight="1">
      <c r="A12669" s="2" t="s">
        <v>12</v>
      </c>
      <c r="B12669" s="2" t="str">
        <f>HYPERLINK("http://www.12365auto.com/zlts/20200203/446235.shtml","奇骏低速打方向时异响越来越严重")</f>
        <v>奇骏低速打方向时异响越来越严重</v>
      </c>
      <c r="C12669" s="2" t="s">
        <v>13</v>
      </c>
      <c r="D12669" s="2" t="s">
        <v>12</v>
      </c>
      <c r="E12669" s="2" t="s">
        <v>17</v>
      </c>
      <c r="F12669" s="2" t="str">
        <f>HYPERLINK("http://www.12365auto.com/zlts/20200203/446235.shtml","http://www.12365auto.com/zlts/20200203/446235.shtml")</f>
        <v>http://www.12365auto.com/zlts/20200203/446235.shtml</v>
      </c>
      <c r="G12669" s="2"/>
      <c r="H12669" s="2" t="s">
        <v>16900</v>
      </c>
      <c r="I12669" s="2" t="s">
        <v>19</v>
      </c>
      <c r="J12669" s="2" t="s">
        <v>12</v>
      </c>
      <c r="K12669" s="2" t="s">
        <v>16901</v>
      </c>
      <c r="L12669" s="2">
        <f t="shared" si="197"/>
        <v>150</v>
      </c>
    </row>
    <row r="12670" spans="1:12" ht="25" customHeight="1">
      <c r="A12670" s="2" t="s">
        <v>12</v>
      </c>
      <c r="B12670" s="2" t="str">
        <f>HYPERLINK("http://www.12365auto.com/zlts/20200203/446233.shtml","长安CS75PLUS经常自动熄火之后无法启动")</f>
        <v>长安CS75PLUS经常自动熄火之后无法启动</v>
      </c>
      <c r="C12670" s="2" t="s">
        <v>13</v>
      </c>
      <c r="D12670" s="2" t="s">
        <v>12</v>
      </c>
      <c r="E12670" s="2" t="s">
        <v>17</v>
      </c>
      <c r="F12670" s="2" t="str">
        <f>HYPERLINK("http://www.12365auto.com/zlts/20200203/446233.shtml","http://www.12365auto.com/zlts/20200203/446233.shtml")</f>
        <v>http://www.12365auto.com/zlts/20200203/446233.shtml</v>
      </c>
      <c r="G12670" s="2"/>
      <c r="H12670" s="2" t="s">
        <v>16902</v>
      </c>
      <c r="I12670" s="2" t="s">
        <v>19</v>
      </c>
      <c r="J12670" s="2" t="s">
        <v>12</v>
      </c>
      <c r="K12670" s="2" t="s">
        <v>16903</v>
      </c>
      <c r="L12670" s="2">
        <f t="shared" si="197"/>
        <v>150</v>
      </c>
    </row>
    <row r="12671" spans="1:12" ht="25" customHeight="1">
      <c r="A12671" s="2" t="s">
        <v>12</v>
      </c>
      <c r="B12671" s="2" t="str">
        <f>HYPERLINK("http://www.12365auto.com/zlts/20200203/446227.shtml","进口奥迪A6新车烧机油严重要求补偿")</f>
        <v>进口奥迪A6新车烧机油严重要求补偿</v>
      </c>
      <c r="C12671" s="2" t="s">
        <v>13</v>
      </c>
      <c r="D12671" s="2" t="s">
        <v>12</v>
      </c>
      <c r="E12671" s="2" t="s">
        <v>17</v>
      </c>
      <c r="F12671" s="2" t="str">
        <f>HYPERLINK("http://www.12365auto.com/zlts/20200203/446227.shtml","http://www.12365auto.com/zlts/20200203/446227.shtml")</f>
        <v>http://www.12365auto.com/zlts/20200203/446227.shtml</v>
      </c>
      <c r="G12671" s="2"/>
      <c r="H12671" s="2" t="s">
        <v>16904</v>
      </c>
      <c r="I12671" s="2" t="s">
        <v>19</v>
      </c>
      <c r="J12671" s="2" t="s">
        <v>12</v>
      </c>
      <c r="K12671" s="2" t="s">
        <v>16905</v>
      </c>
      <c r="L12671" s="2">
        <f t="shared" si="197"/>
        <v>150</v>
      </c>
    </row>
    <row r="12672" spans="1:12" ht="25" customHeight="1">
      <c r="A12672" s="2" t="s">
        <v>12</v>
      </c>
      <c r="B12672" s="2" t="str">
        <f>HYPERLINK("http://www.12365auto.com/zlts/20200203/446223.shtml","斯柯达速派变速箱机电单元损坏存在缺陷")</f>
        <v>斯柯达速派变速箱机电单元损坏存在缺陷</v>
      </c>
      <c r="C12672" s="2" t="s">
        <v>13</v>
      </c>
      <c r="D12672" s="2" t="s">
        <v>12</v>
      </c>
      <c r="E12672" s="2" t="s">
        <v>17</v>
      </c>
      <c r="F12672" s="2" t="str">
        <f>HYPERLINK("http://www.12365auto.com/zlts/20200203/446223.shtml","http://www.12365auto.com/zlts/20200203/446223.shtml")</f>
        <v>http://www.12365auto.com/zlts/20200203/446223.shtml</v>
      </c>
      <c r="G12672" s="2"/>
      <c r="H12672" s="2" t="s">
        <v>16906</v>
      </c>
      <c r="I12672" s="2" t="s">
        <v>19</v>
      </c>
      <c r="J12672" s="2" t="s">
        <v>12</v>
      </c>
      <c r="K12672" s="2" t="s">
        <v>16907</v>
      </c>
      <c r="L12672" s="2">
        <f t="shared" si="197"/>
        <v>150</v>
      </c>
    </row>
    <row r="12673" spans="1:12" ht="25" customHeight="1">
      <c r="A12673" s="2" t="s">
        <v>12</v>
      </c>
      <c r="B12673" s="2" t="str">
        <f>HYPERLINK("http://www.12365auto.com/zlts/20200203/446222.shtml","斯柯达速派发动机油底壳鼓包大灯起雾")</f>
        <v>斯柯达速派发动机油底壳鼓包大灯起雾</v>
      </c>
      <c r="C12673" s="2" t="s">
        <v>13</v>
      </c>
      <c r="D12673" s="2" t="s">
        <v>12</v>
      </c>
      <c r="E12673" s="2" t="s">
        <v>17</v>
      </c>
      <c r="F12673" s="2" t="str">
        <f>HYPERLINK("http://www.12365auto.com/zlts/20200203/446222.shtml","http://www.12365auto.com/zlts/20200203/446222.shtml")</f>
        <v>http://www.12365auto.com/zlts/20200203/446222.shtml</v>
      </c>
      <c r="G12673" s="2"/>
      <c r="H12673" s="2" t="s">
        <v>16908</v>
      </c>
      <c r="I12673" s="2" t="s">
        <v>19</v>
      </c>
      <c r="J12673" s="2" t="s">
        <v>12</v>
      </c>
      <c r="K12673" s="2" t="s">
        <v>16909</v>
      </c>
      <c r="L12673" s="2">
        <f t="shared" si="197"/>
        <v>150</v>
      </c>
    </row>
    <row r="12674" spans="1:12" ht="25" customHeight="1">
      <c r="A12674" s="2" t="s">
        <v>12</v>
      </c>
      <c r="B12674" s="2" t="str">
        <f>HYPERLINK("http://www.12365auto.com/zlts/20200203/446220.shtml","吉利经典帝豪车门已经车身锈蚀严重")</f>
        <v>吉利经典帝豪车门已经车身锈蚀严重</v>
      </c>
      <c r="C12674" s="2" t="s">
        <v>13</v>
      </c>
      <c r="D12674" s="2" t="s">
        <v>12</v>
      </c>
      <c r="E12674" s="2" t="s">
        <v>17</v>
      </c>
      <c r="F12674" s="2" t="str">
        <f>HYPERLINK("http://www.12365auto.com/zlts/20200203/446220.shtml","http://www.12365auto.com/zlts/20200203/446220.shtml")</f>
        <v>http://www.12365auto.com/zlts/20200203/446220.shtml</v>
      </c>
      <c r="G12674" s="2"/>
      <c r="H12674" s="2" t="s">
        <v>16910</v>
      </c>
      <c r="I12674" s="2" t="s">
        <v>19</v>
      </c>
      <c r="J12674" s="2" t="s">
        <v>12</v>
      </c>
      <c r="K12674" s="2" t="s">
        <v>16911</v>
      </c>
      <c r="L12674" s="2">
        <f t="shared" si="197"/>
        <v>150</v>
      </c>
    </row>
    <row r="12675" spans="1:12" ht="25" customHeight="1">
      <c r="A12675" s="2" t="s">
        <v>12</v>
      </c>
      <c r="B12675" s="2" t="str">
        <f>HYPERLINK("http://www.12365auto.com/zlts/20200203/446218.shtml","北京现代菲斯塔无倒车影像蓝牙无法播放音乐")</f>
        <v>北京现代菲斯塔无倒车影像蓝牙无法播放音乐</v>
      </c>
      <c r="C12675" s="2" t="s">
        <v>13</v>
      </c>
      <c r="D12675" s="2" t="s">
        <v>12</v>
      </c>
      <c r="E12675" s="2" t="s">
        <v>17</v>
      </c>
      <c r="F12675" s="2" t="str">
        <f>HYPERLINK("http://www.12365auto.com/zlts/20200203/446218.shtml","http://www.12365auto.com/zlts/20200203/446218.shtml")</f>
        <v>http://www.12365auto.com/zlts/20200203/446218.shtml</v>
      </c>
      <c r="G12675" s="2"/>
      <c r="H12675" s="2" t="s">
        <v>16912</v>
      </c>
      <c r="I12675" s="2" t="s">
        <v>19</v>
      </c>
      <c r="J12675" s="2" t="s">
        <v>12</v>
      </c>
      <c r="K12675" s="2" t="s">
        <v>16913</v>
      </c>
      <c r="L12675" s="2">
        <f t="shared" ref="L12675:L12738" si="198">LEN(H12675)</f>
        <v>150</v>
      </c>
    </row>
    <row r="12676" spans="1:12" ht="25" customHeight="1">
      <c r="A12676" s="2" t="s">
        <v>12</v>
      </c>
      <c r="B12676" s="2" t="str">
        <f>HYPERLINK("http://www.12365auto.com/zlts/20200203/446213.shtml","仪表台开胶变形")</f>
        <v>仪表台开胶变形</v>
      </c>
      <c r="C12676" s="2" t="s">
        <v>13</v>
      </c>
      <c r="D12676" s="2" t="s">
        <v>12</v>
      </c>
      <c r="E12676" s="2"/>
      <c r="F12676" s="2" t="str">
        <f>HYPERLINK("http://www.12365auto.com/zlts/20200203/446213.shtml","http://www.12365auto.com/zlts/20200203/446213.shtml")</f>
        <v>http://www.12365auto.com/zlts/20200203/446213.shtml</v>
      </c>
      <c r="G12676" s="2"/>
      <c r="H12676" s="2" t="s">
        <v>16915</v>
      </c>
      <c r="I12676" s="2" t="s">
        <v>15</v>
      </c>
      <c r="J12676" s="2" t="s">
        <v>12</v>
      </c>
      <c r="K12676" s="2" t="s">
        <v>16914</v>
      </c>
      <c r="L12676" s="2">
        <f t="shared" si="198"/>
        <v>80</v>
      </c>
    </row>
    <row r="12677" spans="1:12" ht="25" customHeight="1">
      <c r="A12677" s="2" t="s">
        <v>12</v>
      </c>
      <c r="B12677" s="2" t="str">
        <f>HYPERLINK("http://www.12365auto.com/zlts/20200203/446214.shtml","买车不给合格证发票")</f>
        <v>买车不给合格证发票</v>
      </c>
      <c r="C12677" s="2" t="s">
        <v>13</v>
      </c>
      <c r="D12677" s="2" t="s">
        <v>12</v>
      </c>
      <c r="E12677" s="2"/>
      <c r="F12677" s="2" t="str">
        <f>HYPERLINK("http://www.12365auto.com/zlts/20200203/446214.shtml","http://www.12365auto.com/zlts/20200203/446214.shtml")</f>
        <v>http://www.12365auto.com/zlts/20200203/446214.shtml</v>
      </c>
      <c r="G12677" s="2"/>
      <c r="H12677" s="2" t="s">
        <v>16917</v>
      </c>
      <c r="I12677" s="2" t="s">
        <v>15</v>
      </c>
      <c r="J12677" s="2" t="s">
        <v>12</v>
      </c>
      <c r="K12677" s="2" t="s">
        <v>16916</v>
      </c>
      <c r="L12677" s="2">
        <f t="shared" si="198"/>
        <v>89</v>
      </c>
    </row>
    <row r="12678" spans="1:12" ht="25" customHeight="1">
      <c r="A12678" s="2" t="s">
        <v>12</v>
      </c>
      <c r="B12678" s="2" t="str">
        <f>HYPERLINK("http://m.12365auto.com/bbs/postcontent.aspx?tID=193216","汽车的四个大轱辘 您究竟了解多少？")</f>
        <v>汽车的四个大轱辘 您究竟了解多少？</v>
      </c>
      <c r="C12678" s="2" t="s">
        <v>13</v>
      </c>
      <c r="D12678" s="2" t="s">
        <v>23</v>
      </c>
      <c r="E12678" s="2"/>
      <c r="F12678" s="2" t="str">
        <f>HYPERLINK("http://m.12365auto.com/bbs/postcontent.aspx?tID=193216","http://m.12365auto.com/bbs/postcontent.aspx?tID=193216")</f>
        <v>http://m.12365auto.com/bbs/postcontent.aspx?tID=193216</v>
      </c>
      <c r="G12678" s="2"/>
      <c r="H12678" s="2" t="s">
        <v>16918</v>
      </c>
      <c r="I12678" s="2" t="s">
        <v>15</v>
      </c>
      <c r="J12678" s="2" t="s">
        <v>2459</v>
      </c>
      <c r="K12678" s="2" t="s">
        <v>16919</v>
      </c>
      <c r="L12678" s="2">
        <f t="shared" si="198"/>
        <v>150</v>
      </c>
    </row>
    <row r="12679" spans="1:12" ht="25" customHeight="1">
      <c r="A12679" s="2" t="s">
        <v>12</v>
      </c>
      <c r="B12679" s="2" t="str">
        <f>HYPERLINK("http://bbs.12365auto.com/postcontent.aspx?tID=193216","汽车的四个大轱辘 您究竟了解多少？")</f>
        <v>汽车的四个大轱辘 您究竟了解多少？</v>
      </c>
      <c r="C12679" s="2" t="s">
        <v>13</v>
      </c>
      <c r="D12679" s="2" t="s">
        <v>12</v>
      </c>
      <c r="E12679" s="2" t="s">
        <v>28</v>
      </c>
      <c r="F12679" s="2" t="str">
        <f>HYPERLINK("http://bbs.12365auto.com/postcontent.aspx?tID=193216","http://bbs.12365auto.com/postcontent.aspx?tID=193216")</f>
        <v>http://bbs.12365auto.com/postcontent.aspx?tID=193216</v>
      </c>
      <c r="G12679" s="2"/>
      <c r="H12679" s="2" t="s">
        <v>16920</v>
      </c>
      <c r="I12679" s="2" t="s">
        <v>15</v>
      </c>
      <c r="J12679" s="2" t="s">
        <v>2459</v>
      </c>
      <c r="K12679" s="2" t="s">
        <v>16919</v>
      </c>
      <c r="L12679" s="2">
        <f t="shared" si="198"/>
        <v>150</v>
      </c>
    </row>
    <row r="12680" spans="1:12" ht="25" customHeight="1">
      <c r="A12680" s="2" t="s">
        <v>12</v>
      </c>
      <c r="B12680" s="2" t="str">
        <f>HYPERLINK("http://bbs.12365auto.com/postcontent.aspx?tId=193216","汽车的四个大轱辘 您究竟了解多少？")</f>
        <v>汽车的四个大轱辘 您究竟了解多少？</v>
      </c>
      <c r="C12680" s="2" t="s">
        <v>13</v>
      </c>
      <c r="D12680" s="2" t="s">
        <v>12</v>
      </c>
      <c r="E12680" s="2" t="s">
        <v>27</v>
      </c>
      <c r="F12680" s="2" t="str">
        <f>HYPERLINK("http://bbs.12365auto.com/postcontent.aspx?tId=193216","http://bbs.12365auto.com/postcontent.aspx?tId=193216")</f>
        <v>http://bbs.12365auto.com/postcontent.aspx?tId=193216</v>
      </c>
      <c r="G12680" s="2"/>
      <c r="H12680" s="2" t="s">
        <v>16918</v>
      </c>
      <c r="I12680" s="2" t="s">
        <v>15</v>
      </c>
      <c r="J12680" s="2" t="s">
        <v>2459</v>
      </c>
      <c r="K12680" s="2" t="s">
        <v>16919</v>
      </c>
      <c r="L12680" s="2">
        <f t="shared" si="198"/>
        <v>150</v>
      </c>
    </row>
    <row r="12681" spans="1:12" ht="25" customHeight="1">
      <c r="A12681" s="2" t="s">
        <v>12</v>
      </c>
      <c r="B12681" s="2" t="str">
        <f>HYPERLINK("http://m.12365auto.com/bbs/postcontent.aspx?tID=193215","开车前热车 车子更耐用更省油")</f>
        <v>开车前热车 车子更耐用更省油</v>
      </c>
      <c r="C12681" s="2" t="s">
        <v>13</v>
      </c>
      <c r="D12681" s="2" t="s">
        <v>23</v>
      </c>
      <c r="E12681" s="2"/>
      <c r="F12681" s="2" t="str">
        <f>HYPERLINK("http://m.12365auto.com/bbs/postcontent.aspx?tID=193215","http://m.12365auto.com/bbs/postcontent.aspx?tID=193215")</f>
        <v>http://m.12365auto.com/bbs/postcontent.aspx?tID=193215</v>
      </c>
      <c r="G12681" s="2"/>
      <c r="H12681" s="2" t="s">
        <v>16921</v>
      </c>
      <c r="I12681" s="2" t="s">
        <v>15</v>
      </c>
      <c r="J12681" s="2" t="s">
        <v>2459</v>
      </c>
      <c r="K12681" s="2" t="s">
        <v>16922</v>
      </c>
      <c r="L12681" s="2">
        <f t="shared" si="198"/>
        <v>150</v>
      </c>
    </row>
    <row r="12682" spans="1:12" ht="25" customHeight="1">
      <c r="A12682" s="2" t="s">
        <v>12</v>
      </c>
      <c r="B12682" s="2" t="str">
        <f>HYPERLINK("http://m.12365auto.com/bbs/postcontent.aspx?tID=193214","汽车久停更容易坏？原来是这样")</f>
        <v>汽车久停更容易坏？原来是这样</v>
      </c>
      <c r="C12682" s="2" t="s">
        <v>13</v>
      </c>
      <c r="D12682" s="2" t="s">
        <v>23</v>
      </c>
      <c r="E12682" s="2"/>
      <c r="F12682" s="2" t="str">
        <f>HYPERLINK("http://m.12365auto.com/bbs/postcontent.aspx?tID=193214","http://m.12365auto.com/bbs/postcontent.aspx?tID=193214")</f>
        <v>http://m.12365auto.com/bbs/postcontent.aspx?tID=193214</v>
      </c>
      <c r="G12682" s="2"/>
      <c r="H12682" s="2" t="s">
        <v>16923</v>
      </c>
      <c r="I12682" s="2" t="s">
        <v>15</v>
      </c>
      <c r="J12682" s="2" t="s">
        <v>2459</v>
      </c>
      <c r="K12682" s="2" t="s">
        <v>16922</v>
      </c>
      <c r="L12682" s="2">
        <f t="shared" si="198"/>
        <v>150</v>
      </c>
    </row>
    <row r="12683" spans="1:12" ht="25" customHeight="1">
      <c r="A12683" s="2" t="s">
        <v>12</v>
      </c>
      <c r="B12683" s="2" t="str">
        <f>HYPERLINK("http://bbs.12365auto.com/postcontent.aspx?tID=193215","开车前热车 车子更耐用更省油")</f>
        <v>开车前热车 车子更耐用更省油</v>
      </c>
      <c r="C12683" s="2" t="s">
        <v>13</v>
      </c>
      <c r="D12683" s="2" t="s">
        <v>12</v>
      </c>
      <c r="E12683" s="2" t="s">
        <v>28</v>
      </c>
      <c r="F12683" s="2" t="str">
        <f>HYPERLINK("http://bbs.12365auto.com/postcontent.aspx?tID=193215","http://bbs.12365auto.com/postcontent.aspx?tID=193215")</f>
        <v>http://bbs.12365auto.com/postcontent.aspx?tID=193215</v>
      </c>
      <c r="G12683" s="2"/>
      <c r="H12683" s="2" t="s">
        <v>16924</v>
      </c>
      <c r="I12683" s="2" t="s">
        <v>15</v>
      </c>
      <c r="J12683" s="2" t="s">
        <v>2459</v>
      </c>
      <c r="K12683" s="2" t="s">
        <v>16922</v>
      </c>
      <c r="L12683" s="2">
        <f t="shared" si="198"/>
        <v>150</v>
      </c>
    </row>
    <row r="12684" spans="1:12" ht="25" customHeight="1">
      <c r="A12684" s="2" t="s">
        <v>12</v>
      </c>
      <c r="B12684" s="2" t="str">
        <f>HYPERLINK("http://bbs.12365auto.com/postcontent.aspx?tID=193214","汽车久停更容易坏？原来是这样")</f>
        <v>汽车久停更容易坏？原来是这样</v>
      </c>
      <c r="C12684" s="2" t="s">
        <v>13</v>
      </c>
      <c r="D12684" s="2" t="s">
        <v>12</v>
      </c>
      <c r="E12684" s="2" t="s">
        <v>28</v>
      </c>
      <c r="F12684" s="2" t="str">
        <f>HYPERLINK("http://bbs.12365auto.com/postcontent.aspx?tID=193214","http://bbs.12365auto.com/postcontent.aspx?tID=193214")</f>
        <v>http://bbs.12365auto.com/postcontent.aspx?tID=193214</v>
      </c>
      <c r="G12684" s="2"/>
      <c r="H12684" s="2" t="s">
        <v>16925</v>
      </c>
      <c r="I12684" s="2" t="s">
        <v>15</v>
      </c>
      <c r="J12684" s="2" t="s">
        <v>2459</v>
      </c>
      <c r="K12684" s="2" t="s">
        <v>16922</v>
      </c>
      <c r="L12684" s="2">
        <f t="shared" si="198"/>
        <v>150</v>
      </c>
    </row>
    <row r="12685" spans="1:12" ht="25" customHeight="1">
      <c r="A12685" s="2" t="s">
        <v>12</v>
      </c>
      <c r="B12685" s="2" t="str">
        <f>HYPERLINK("http://bbs.12365auto.com/postcontent.aspx?tId=193215","开车前热车 车子更耐用更省油")</f>
        <v>开车前热车 车子更耐用更省油</v>
      </c>
      <c r="C12685" s="2" t="s">
        <v>13</v>
      </c>
      <c r="D12685" s="2" t="s">
        <v>12</v>
      </c>
      <c r="E12685" s="2" t="s">
        <v>27</v>
      </c>
      <c r="F12685" s="2" t="str">
        <f>HYPERLINK("http://bbs.12365auto.com/postcontent.aspx?tId=193215","http://bbs.12365auto.com/postcontent.aspx?tId=193215")</f>
        <v>http://bbs.12365auto.com/postcontent.aspx?tId=193215</v>
      </c>
      <c r="G12685" s="2"/>
      <c r="H12685" s="2" t="s">
        <v>16921</v>
      </c>
      <c r="I12685" s="2" t="s">
        <v>15</v>
      </c>
      <c r="J12685" s="2" t="s">
        <v>2459</v>
      </c>
      <c r="K12685" s="2" t="s">
        <v>16922</v>
      </c>
      <c r="L12685" s="2">
        <f t="shared" si="198"/>
        <v>150</v>
      </c>
    </row>
    <row r="12686" spans="1:12" ht="25" customHeight="1">
      <c r="A12686" s="2" t="s">
        <v>12</v>
      </c>
      <c r="B12686" s="2" t="str">
        <f>HYPERLINK("http://bbs.12365auto.com/postcontent.aspx?tId=193214","汽车久停更容易坏？原来是这样")</f>
        <v>汽车久停更容易坏？原来是这样</v>
      </c>
      <c r="C12686" s="2" t="s">
        <v>13</v>
      </c>
      <c r="D12686" s="2" t="s">
        <v>12</v>
      </c>
      <c r="E12686" s="2" t="s">
        <v>27</v>
      </c>
      <c r="F12686" s="2" t="str">
        <f>HYPERLINK("http://bbs.12365auto.com/postcontent.aspx?tId=193214","http://bbs.12365auto.com/postcontent.aspx?tId=193214")</f>
        <v>http://bbs.12365auto.com/postcontent.aspx?tId=193214</v>
      </c>
      <c r="G12686" s="2"/>
      <c r="H12686" s="2" t="s">
        <v>16923</v>
      </c>
      <c r="I12686" s="2" t="s">
        <v>15</v>
      </c>
      <c r="J12686" s="2" t="s">
        <v>2459</v>
      </c>
      <c r="K12686" s="2" t="s">
        <v>16922</v>
      </c>
      <c r="L12686" s="2">
        <f t="shared" si="198"/>
        <v>150</v>
      </c>
    </row>
    <row r="12687" spans="1:12" ht="25" customHeight="1">
      <c r="A12687" s="2" t="s">
        <v>12</v>
      </c>
      <c r="B12687" s="2" t="str">
        <f>HYPERLINK("http://m.12365auto.com/bbs/postcontent.aspx?tID=193212","4大锁车陋习 你看看中招了吗？")</f>
        <v>4大锁车陋习 你看看中招了吗？</v>
      </c>
      <c r="C12687" s="2" t="s">
        <v>13</v>
      </c>
      <c r="D12687" s="2" t="s">
        <v>23</v>
      </c>
      <c r="E12687" s="2"/>
      <c r="F12687" s="2" t="str">
        <f>HYPERLINK("http://m.12365auto.com/bbs/postcontent.aspx?tID=193212","http://m.12365auto.com/bbs/postcontent.aspx?tID=193212")</f>
        <v>http://m.12365auto.com/bbs/postcontent.aspx?tID=193212</v>
      </c>
      <c r="G12687" s="2"/>
      <c r="H12687" s="2" t="s">
        <v>16926</v>
      </c>
      <c r="I12687" s="2" t="s">
        <v>15</v>
      </c>
      <c r="J12687" s="2" t="s">
        <v>2459</v>
      </c>
      <c r="K12687" s="2" t="s">
        <v>16927</v>
      </c>
      <c r="L12687" s="2">
        <f t="shared" si="198"/>
        <v>150</v>
      </c>
    </row>
    <row r="12688" spans="1:12" ht="25" customHeight="1">
      <c r="A12688" s="2" t="s">
        <v>12</v>
      </c>
      <c r="B12688" s="2" t="str">
        <f>HYPERLINK("http://m.12365auto.com/bbs/postcontent.aspx?tID=193213","汽车大灯发黄怎么办？千万别着急换")</f>
        <v>汽车大灯发黄怎么办？千万别着急换</v>
      </c>
      <c r="C12688" s="2" t="s">
        <v>13</v>
      </c>
      <c r="D12688" s="2" t="s">
        <v>23</v>
      </c>
      <c r="E12688" s="2"/>
      <c r="F12688" s="2" t="str">
        <f>HYPERLINK("http://m.12365auto.com/bbs/postcontent.aspx?tID=193213","http://m.12365auto.com/bbs/postcontent.aspx?tID=193213")</f>
        <v>http://m.12365auto.com/bbs/postcontent.aspx?tID=193213</v>
      </c>
      <c r="G12688" s="2"/>
      <c r="H12688" s="2" t="s">
        <v>16928</v>
      </c>
      <c r="I12688" s="2" t="s">
        <v>15</v>
      </c>
      <c r="J12688" s="2" t="s">
        <v>2459</v>
      </c>
      <c r="K12688" s="2" t="s">
        <v>16927</v>
      </c>
      <c r="L12688" s="2">
        <f t="shared" si="198"/>
        <v>150</v>
      </c>
    </row>
    <row r="12689" spans="1:12" ht="25" customHeight="1">
      <c r="A12689" s="2" t="s">
        <v>12</v>
      </c>
      <c r="B12689" s="2" t="str">
        <f>HYPERLINK("http://bbs.12365auto.com/postcontent.aspx?tID=193212","4大锁车陋习 你看看中招了吗？")</f>
        <v>4大锁车陋习 你看看中招了吗？</v>
      </c>
      <c r="C12689" s="2" t="s">
        <v>13</v>
      </c>
      <c r="D12689" s="2" t="s">
        <v>12</v>
      </c>
      <c r="E12689" s="2" t="s">
        <v>28</v>
      </c>
      <c r="F12689" s="2" t="str">
        <f>HYPERLINK("http://bbs.12365auto.com/postcontent.aspx?tID=193212","http://bbs.12365auto.com/postcontent.aspx?tID=193212")</f>
        <v>http://bbs.12365auto.com/postcontent.aspx?tID=193212</v>
      </c>
      <c r="G12689" s="2"/>
      <c r="H12689" s="2" t="s">
        <v>16929</v>
      </c>
      <c r="I12689" s="2" t="s">
        <v>15</v>
      </c>
      <c r="J12689" s="2" t="s">
        <v>2459</v>
      </c>
      <c r="K12689" s="2" t="s">
        <v>16927</v>
      </c>
      <c r="L12689" s="2">
        <f t="shared" si="198"/>
        <v>150</v>
      </c>
    </row>
    <row r="12690" spans="1:12" ht="25" customHeight="1">
      <c r="A12690" s="2" t="s">
        <v>12</v>
      </c>
      <c r="B12690" s="2" t="str">
        <f>HYPERLINK("http://bbs.12365auto.com/postcontent.aspx?tID=193213","汽车大灯发黄怎么办？千万别着急换")</f>
        <v>汽车大灯发黄怎么办？千万别着急换</v>
      </c>
      <c r="C12690" s="2" t="s">
        <v>13</v>
      </c>
      <c r="D12690" s="2" t="s">
        <v>12</v>
      </c>
      <c r="E12690" s="2" t="s">
        <v>28</v>
      </c>
      <c r="F12690" s="2" t="str">
        <f>HYPERLINK("http://bbs.12365auto.com/postcontent.aspx?tID=193213","http://bbs.12365auto.com/postcontent.aspx?tID=193213")</f>
        <v>http://bbs.12365auto.com/postcontent.aspx?tID=193213</v>
      </c>
      <c r="G12690" s="2"/>
      <c r="H12690" s="2" t="s">
        <v>16930</v>
      </c>
      <c r="I12690" s="2" t="s">
        <v>15</v>
      </c>
      <c r="J12690" s="2" t="s">
        <v>2459</v>
      </c>
      <c r="K12690" s="2" t="s">
        <v>16927</v>
      </c>
      <c r="L12690" s="2">
        <f t="shared" si="198"/>
        <v>150</v>
      </c>
    </row>
    <row r="12691" spans="1:12" ht="25" customHeight="1">
      <c r="A12691" s="2" t="s">
        <v>12</v>
      </c>
      <c r="B12691" s="2" t="str">
        <f>HYPERLINK("http://bbs.12365auto.com/postcontent.aspx?tId=193213","汽车大灯发黄怎么办？千万别着急换")</f>
        <v>汽车大灯发黄怎么办？千万别着急换</v>
      </c>
      <c r="C12691" s="2" t="s">
        <v>13</v>
      </c>
      <c r="D12691" s="2" t="s">
        <v>12</v>
      </c>
      <c r="E12691" s="2" t="s">
        <v>27</v>
      </c>
      <c r="F12691" s="2" t="str">
        <f>HYPERLINK("http://bbs.12365auto.com/postcontent.aspx?tId=193213","http://bbs.12365auto.com/postcontent.aspx?tId=193213")</f>
        <v>http://bbs.12365auto.com/postcontent.aspx?tId=193213</v>
      </c>
      <c r="G12691" s="2"/>
      <c r="H12691" s="2" t="s">
        <v>16928</v>
      </c>
      <c r="I12691" s="2" t="s">
        <v>15</v>
      </c>
      <c r="J12691" s="2" t="s">
        <v>2459</v>
      </c>
      <c r="K12691" s="2" t="s">
        <v>16927</v>
      </c>
      <c r="L12691" s="2">
        <f t="shared" si="198"/>
        <v>150</v>
      </c>
    </row>
    <row r="12692" spans="1:12" ht="25" customHeight="1">
      <c r="A12692" s="2" t="s">
        <v>12</v>
      </c>
      <c r="B12692" s="2" t="str">
        <f>HYPERLINK("http://bbs.12365auto.com/postcontent.aspx?tId=193212","4大锁车陋习 你看看中招了吗？")</f>
        <v>4大锁车陋习 你看看中招了吗？</v>
      </c>
      <c r="C12692" s="2" t="s">
        <v>13</v>
      </c>
      <c r="D12692" s="2" t="s">
        <v>12</v>
      </c>
      <c r="E12692" s="2" t="s">
        <v>27</v>
      </c>
      <c r="F12692" s="2" t="str">
        <f>HYPERLINK("http://bbs.12365auto.com/postcontent.aspx?tId=193212","http://bbs.12365auto.com/postcontent.aspx?tId=193212")</f>
        <v>http://bbs.12365auto.com/postcontent.aspx?tId=193212</v>
      </c>
      <c r="G12692" s="2"/>
      <c r="H12692" s="2" t="s">
        <v>16926</v>
      </c>
      <c r="I12692" s="2" t="s">
        <v>15</v>
      </c>
      <c r="J12692" s="2" t="s">
        <v>2459</v>
      </c>
      <c r="K12692" s="2" t="s">
        <v>16927</v>
      </c>
      <c r="L12692" s="2">
        <f t="shared" si="198"/>
        <v>150</v>
      </c>
    </row>
    <row r="12693" spans="1:12" ht="25" customHeight="1">
      <c r="A12693" s="2" t="s">
        <v>12</v>
      </c>
      <c r="B12693" s="2" t="str">
        <f>HYPERLINK("http://m.12365auto.com/bbs/postcontent.aspx?tID=193211","汽车长时间跑高速能不能承受得住？")</f>
        <v>汽车长时间跑高速能不能承受得住？</v>
      </c>
      <c r="C12693" s="2" t="s">
        <v>13</v>
      </c>
      <c r="D12693" s="2" t="s">
        <v>23</v>
      </c>
      <c r="E12693" s="2"/>
      <c r="F12693" s="2" t="str">
        <f>HYPERLINK("http://m.12365auto.com/bbs/postcontent.aspx?tID=193211","http://m.12365auto.com/bbs/postcontent.aspx?tID=193211")</f>
        <v>http://m.12365auto.com/bbs/postcontent.aspx?tID=193211</v>
      </c>
      <c r="G12693" s="2"/>
      <c r="H12693" s="2" t="s">
        <v>16931</v>
      </c>
      <c r="I12693" s="2" t="s">
        <v>15</v>
      </c>
      <c r="J12693" s="2" t="s">
        <v>2459</v>
      </c>
      <c r="K12693" s="2" t="s">
        <v>16932</v>
      </c>
      <c r="L12693" s="2">
        <f t="shared" si="198"/>
        <v>150</v>
      </c>
    </row>
    <row r="12694" spans="1:12" ht="25" customHeight="1">
      <c r="A12694" s="2" t="s">
        <v>12</v>
      </c>
      <c r="B12694" s="2" t="str">
        <f>HYPERLINK("http://bbs.12365auto.com/postcontent.aspx?tID=193211","汽车长时间跑高速能不能承受得住？")</f>
        <v>汽车长时间跑高速能不能承受得住？</v>
      </c>
      <c r="C12694" s="2" t="s">
        <v>13</v>
      </c>
      <c r="D12694" s="2" t="s">
        <v>12</v>
      </c>
      <c r="E12694" s="2" t="s">
        <v>28</v>
      </c>
      <c r="F12694" s="2" t="str">
        <f>HYPERLINK("http://bbs.12365auto.com/postcontent.aspx?tID=193211","http://bbs.12365auto.com/postcontent.aspx?tID=193211")</f>
        <v>http://bbs.12365auto.com/postcontent.aspx?tID=193211</v>
      </c>
      <c r="G12694" s="2"/>
      <c r="H12694" s="2" t="s">
        <v>16933</v>
      </c>
      <c r="I12694" s="2" t="s">
        <v>15</v>
      </c>
      <c r="J12694" s="2" t="s">
        <v>2459</v>
      </c>
      <c r="K12694" s="2" t="s">
        <v>16932</v>
      </c>
      <c r="L12694" s="2">
        <f t="shared" si="198"/>
        <v>150</v>
      </c>
    </row>
    <row r="12695" spans="1:12" ht="25" customHeight="1">
      <c r="A12695" s="2" t="s">
        <v>12</v>
      </c>
      <c r="B12695" s="2" t="str">
        <f>HYPERLINK("http://bbs.12365auto.com/postcontent.aspx?tId=193211","汽车长时间跑高速能不能承受得住？")</f>
        <v>汽车长时间跑高速能不能承受得住？</v>
      </c>
      <c r="C12695" s="2" t="s">
        <v>13</v>
      </c>
      <c r="D12695" s="2" t="s">
        <v>12</v>
      </c>
      <c r="E12695" s="2" t="s">
        <v>27</v>
      </c>
      <c r="F12695" s="2" t="str">
        <f>HYPERLINK("http://bbs.12365auto.com/postcontent.aspx?tId=193211","http://bbs.12365auto.com/postcontent.aspx?tId=193211")</f>
        <v>http://bbs.12365auto.com/postcontent.aspx?tId=193211</v>
      </c>
      <c r="G12695" s="2"/>
      <c r="H12695" s="2" t="s">
        <v>16931</v>
      </c>
      <c r="I12695" s="2" t="s">
        <v>15</v>
      </c>
      <c r="J12695" s="2" t="s">
        <v>2459</v>
      </c>
      <c r="K12695" s="2" t="s">
        <v>16932</v>
      </c>
      <c r="L12695" s="2">
        <f t="shared" si="198"/>
        <v>150</v>
      </c>
    </row>
    <row r="12696" spans="1:12" ht="25" customHeight="1">
      <c r="A12696" s="2" t="s">
        <v>12</v>
      </c>
      <c r="B12696" s="2" t="str">
        <f>HYPERLINK("http://m.12365auto.com/xcdg/20200203/417567.shtml","有望2025年推出 斯巴鲁发布全新电动车")</f>
        <v>有望2025年推出 斯巴鲁发布全新电动车</v>
      </c>
      <c r="C12696" s="2" t="s">
        <v>13</v>
      </c>
      <c r="D12696" s="2" t="s">
        <v>12</v>
      </c>
      <c r="E12696" s="2"/>
      <c r="F12696" s="2" t="str">
        <f>HYPERLINK("http://m.12365auto.com/xcdg/20200203/417567.shtml","http://m.12365auto.com/xcdg/20200203/417567.shtml")</f>
        <v>http://m.12365auto.com/xcdg/20200203/417567.shtml</v>
      </c>
      <c r="G12696" s="2"/>
      <c r="H12696" s="2" t="s">
        <v>16934</v>
      </c>
      <c r="I12696" s="2" t="s">
        <v>19</v>
      </c>
      <c r="J12696" s="2" t="s">
        <v>295</v>
      </c>
      <c r="K12696" s="2" t="s">
        <v>16935</v>
      </c>
      <c r="L12696" s="2">
        <f t="shared" si="198"/>
        <v>150</v>
      </c>
    </row>
    <row r="12697" spans="1:12" ht="25" customHeight="1">
      <c r="A12697" s="2" t="s">
        <v>12</v>
      </c>
      <c r="B12697" s="2" t="str">
        <f>HYPERLINK("http://www.12365auto.com/xcdg/20200203/417567.shtml","有望2025年推出 斯巴鲁发布全新电动车")</f>
        <v>有望2025年推出 斯巴鲁发布全新电动车</v>
      </c>
      <c r="C12697" s="2" t="s">
        <v>13</v>
      </c>
      <c r="D12697" s="2" t="s">
        <v>12</v>
      </c>
      <c r="E12697" s="2" t="s">
        <v>216</v>
      </c>
      <c r="F12697" s="2" t="str">
        <f>HYPERLINK("http://www.12365auto.com/xcdg/20200203/417567.shtml","http://www.12365auto.com/xcdg/20200203/417567.shtml")</f>
        <v>http://www.12365auto.com/xcdg/20200203/417567.shtml</v>
      </c>
      <c r="G12697" s="2"/>
      <c r="H12697" s="2" t="s">
        <v>16936</v>
      </c>
      <c r="I12697" s="2" t="s">
        <v>15</v>
      </c>
      <c r="J12697" s="2" t="s">
        <v>12</v>
      </c>
      <c r="K12697" s="2" t="s">
        <v>16935</v>
      </c>
      <c r="L12697" s="2">
        <f t="shared" si="198"/>
        <v>150</v>
      </c>
    </row>
    <row r="12698" spans="1:12" ht="25" customHeight="1">
      <c r="A12698" s="2" t="s">
        <v>12</v>
      </c>
      <c r="B12698" s="2" t="str">
        <f>HYPERLINK("http://www.12365auto.com/news/20200203/417566.shtml","最高24万公里 特斯拉更新电池保修条款")</f>
        <v>最高24万公里 特斯拉更新电池保修条款</v>
      </c>
      <c r="C12698" s="2" t="s">
        <v>13</v>
      </c>
      <c r="D12698" s="2" t="s">
        <v>12</v>
      </c>
      <c r="E12698" s="2" t="s">
        <v>276</v>
      </c>
      <c r="F12698" s="2" t="str">
        <f>HYPERLINK("http://www.12365auto.com/news/20200203/417566.shtml","http://www.12365auto.com/news/20200203/417566.shtml")</f>
        <v>http://www.12365auto.com/news/20200203/417566.shtml</v>
      </c>
      <c r="G12698" s="2"/>
      <c r="H12698" s="2" t="s">
        <v>16937</v>
      </c>
      <c r="I12698" s="2" t="s">
        <v>15</v>
      </c>
      <c r="J12698" s="2" t="s">
        <v>12</v>
      </c>
      <c r="K12698" s="2" t="s">
        <v>16938</v>
      </c>
      <c r="L12698" s="2">
        <f t="shared" si="198"/>
        <v>150</v>
      </c>
    </row>
    <row r="12699" spans="1:12" ht="25" customHeight="1">
      <c r="A12699" s="2" t="s">
        <v>12</v>
      </c>
      <c r="B12699" s="2" t="str">
        <f>HYPERLINK("http://m.12365auto.com/news/20200203/417566.shtml","最高24万公里 特斯拉更新电池保修条款")</f>
        <v>最高24万公里 特斯拉更新电池保修条款</v>
      </c>
      <c r="C12699" s="2" t="s">
        <v>13</v>
      </c>
      <c r="D12699" s="2" t="s">
        <v>12</v>
      </c>
      <c r="E12699" s="2"/>
      <c r="F12699" s="2" t="str">
        <f>HYPERLINK("http://m.12365auto.com/news/20200203/417566.shtml","http://m.12365auto.com/news/20200203/417566.shtml")</f>
        <v>http://m.12365auto.com/news/20200203/417566.shtml</v>
      </c>
      <c r="G12699" s="2"/>
      <c r="H12699" s="2" t="s">
        <v>16939</v>
      </c>
      <c r="I12699" s="2" t="s">
        <v>19</v>
      </c>
      <c r="J12699" s="2" t="s">
        <v>274</v>
      </c>
      <c r="K12699" s="2" t="s">
        <v>16938</v>
      </c>
      <c r="L12699" s="2">
        <f t="shared" si="198"/>
        <v>150</v>
      </c>
    </row>
    <row r="12700" spans="1:12" ht="25" customHeight="1">
      <c r="A12700" s="2" t="s">
        <v>12</v>
      </c>
      <c r="B12700" s="2" t="str">
        <f>HYPERLINK("http://www.12365auto.com/zlts/20200203/446211.shtml","内饰开裂，掉漆")</f>
        <v>内饰开裂，掉漆</v>
      </c>
      <c r="C12700" s="2" t="s">
        <v>13</v>
      </c>
      <c r="D12700" s="2" t="s">
        <v>12</v>
      </c>
      <c r="E12700" s="2"/>
      <c r="F12700" s="2" t="str">
        <f>HYPERLINK("http://www.12365auto.com/zlts/20200203/446211.shtml","http://www.12365auto.com/zlts/20200203/446211.shtml")</f>
        <v>http://www.12365auto.com/zlts/20200203/446211.shtml</v>
      </c>
      <c r="G12700" s="2"/>
      <c r="H12700" s="2" t="s">
        <v>16941</v>
      </c>
      <c r="I12700" s="2" t="s">
        <v>15</v>
      </c>
      <c r="J12700" s="2" t="s">
        <v>12</v>
      </c>
      <c r="K12700" s="2" t="s">
        <v>16940</v>
      </c>
      <c r="L12700" s="2">
        <f t="shared" si="198"/>
        <v>84</v>
      </c>
    </row>
    <row r="12701" spans="1:12" ht="25" customHeight="1">
      <c r="A12701" s="2" t="s">
        <v>12</v>
      </c>
      <c r="B12701" s="2" t="str">
        <f>HYPERLINK("http://www.12365auto.com/xcdg/20200203/417565.shtml","产品力升级 东风标致将推408纪念版车型")</f>
        <v>产品力升级 东风标致将推408纪念版车型</v>
      </c>
      <c r="C12701" s="2" t="s">
        <v>13</v>
      </c>
      <c r="D12701" s="2" t="s">
        <v>12</v>
      </c>
      <c r="E12701" s="2" t="s">
        <v>245</v>
      </c>
      <c r="F12701" s="2" t="str">
        <f>HYPERLINK("http://www.12365auto.com/xcdg/20200203/417565.shtml","http://www.12365auto.com/xcdg/20200203/417565.shtml")</f>
        <v>http://www.12365auto.com/xcdg/20200203/417565.shtml</v>
      </c>
      <c r="G12701" s="2"/>
      <c r="H12701" s="2" t="s">
        <v>16942</v>
      </c>
      <c r="I12701" s="2" t="s">
        <v>19</v>
      </c>
      <c r="J12701" s="2" t="s">
        <v>12</v>
      </c>
      <c r="K12701" s="2" t="s">
        <v>16943</v>
      </c>
      <c r="L12701" s="2">
        <f t="shared" si="198"/>
        <v>150</v>
      </c>
    </row>
    <row r="12702" spans="1:12" ht="25" customHeight="1">
      <c r="A12702" s="2" t="s">
        <v>12</v>
      </c>
      <c r="B12702" s="2" t="str">
        <f>HYPERLINK("http://m.12365auto.com/xcdg/20200203/417565.shtml","产品力升级 东风标致将推408纪念版车型")</f>
        <v>产品力升级 东风标致将推408纪念版车型</v>
      </c>
      <c r="C12702" s="2" t="s">
        <v>13</v>
      </c>
      <c r="D12702" s="2" t="s">
        <v>12</v>
      </c>
      <c r="E12702" s="2"/>
      <c r="F12702" s="2" t="str">
        <f>HYPERLINK("http://m.12365auto.com/xcdg/20200203/417565.shtml","http://m.12365auto.com/xcdg/20200203/417565.shtml")</f>
        <v>http://m.12365auto.com/xcdg/20200203/417565.shtml</v>
      </c>
      <c r="G12702" s="2"/>
      <c r="H12702" s="2" t="s">
        <v>16944</v>
      </c>
      <c r="I12702" s="2" t="s">
        <v>19</v>
      </c>
      <c r="J12702" s="2" t="s">
        <v>7923</v>
      </c>
      <c r="K12702" s="2" t="s">
        <v>16943</v>
      </c>
      <c r="L12702" s="2">
        <f t="shared" si="198"/>
        <v>150</v>
      </c>
    </row>
    <row r="12703" spans="1:12" ht="25" customHeight="1">
      <c r="A12703" s="2" t="s">
        <v>12</v>
      </c>
      <c r="B12703" s="2" t="str">
        <f>HYPERLINK("http://m.12365auto.com/xcdg/20200203/417564.shtml","经济实惠新选择 4款插电混合动力SUV导购")</f>
        <v>经济实惠新选择 4款插电混合动力SUV导购</v>
      </c>
      <c r="C12703" s="2" t="s">
        <v>13</v>
      </c>
      <c r="D12703" s="2" t="s">
        <v>12</v>
      </c>
      <c r="E12703" s="2"/>
      <c r="F12703" s="2" t="str">
        <f>HYPERLINK("http://m.12365auto.com/xcdg/20200203/417564.shtml","http://m.12365auto.com/xcdg/20200203/417564.shtml")</f>
        <v>http://m.12365auto.com/xcdg/20200203/417564.shtml</v>
      </c>
      <c r="G12703" s="2"/>
      <c r="H12703" s="2" t="s">
        <v>16945</v>
      </c>
      <c r="I12703" s="2" t="s">
        <v>19</v>
      </c>
      <c r="J12703" s="2" t="s">
        <v>12</v>
      </c>
      <c r="K12703" s="2" t="s">
        <v>16946</v>
      </c>
      <c r="L12703" s="2">
        <f t="shared" si="198"/>
        <v>150</v>
      </c>
    </row>
    <row r="12704" spans="1:12" ht="25" customHeight="1">
      <c r="A12704" s="2" t="s">
        <v>12</v>
      </c>
      <c r="B12704" s="2" t="str">
        <f>HYPERLINK("http://m.12365auto.com/news/20200203/417563.shtml","本田汽车计划2月14日恢复武汉工厂生产")</f>
        <v>本田汽车计划2月14日恢复武汉工厂生产</v>
      </c>
      <c r="C12704" s="2" t="s">
        <v>13</v>
      </c>
      <c r="D12704" s="2" t="s">
        <v>12</v>
      </c>
      <c r="E12704" s="2"/>
      <c r="F12704" s="2" t="str">
        <f>HYPERLINK("http://m.12365auto.com/news/20200203/417563.shtml","http://m.12365auto.com/news/20200203/417563.shtml")</f>
        <v>http://m.12365auto.com/news/20200203/417563.shtml</v>
      </c>
      <c r="G12704" s="2"/>
      <c r="H12704" s="2" t="s">
        <v>16947</v>
      </c>
      <c r="I12704" s="2" t="s">
        <v>19</v>
      </c>
      <c r="J12704" s="2" t="s">
        <v>12</v>
      </c>
      <c r="K12704" s="2" t="s">
        <v>16948</v>
      </c>
      <c r="L12704" s="2">
        <f t="shared" si="198"/>
        <v>150</v>
      </c>
    </row>
    <row r="12705" spans="1:12" ht="25" customHeight="1">
      <c r="A12705" s="2" t="s">
        <v>12</v>
      </c>
      <c r="B12705" s="2" t="str">
        <f>HYPERLINK("http://www.12365auto.com/news/20200203/417563.shtml","本田汽车计划2月14日恢复武汉工厂生产")</f>
        <v>本田汽车计划2月14日恢复武汉工厂生产</v>
      </c>
      <c r="C12705" s="2" t="s">
        <v>13</v>
      </c>
      <c r="D12705" s="2" t="s">
        <v>12</v>
      </c>
      <c r="E12705" s="2" t="s">
        <v>276</v>
      </c>
      <c r="F12705" s="2" t="str">
        <f>HYPERLINK("http://www.12365auto.com/news/20200203/417563.shtml","http://www.12365auto.com/news/20200203/417563.shtml")</f>
        <v>http://www.12365auto.com/news/20200203/417563.shtml</v>
      </c>
      <c r="G12705" s="2"/>
      <c r="H12705" s="2" t="s">
        <v>16949</v>
      </c>
      <c r="I12705" s="2" t="s">
        <v>15</v>
      </c>
      <c r="J12705" s="2" t="s">
        <v>12</v>
      </c>
      <c r="K12705" s="2" t="s">
        <v>16948</v>
      </c>
      <c r="L12705" s="2">
        <f t="shared" si="198"/>
        <v>150</v>
      </c>
    </row>
    <row r="12706" spans="1:12" ht="25" customHeight="1">
      <c r="A12706" s="2" t="s">
        <v>12</v>
      </c>
      <c r="B12706" s="2" t="str">
        <f>HYPERLINK("http://m.12365auto.com/news/20200203/417562.shtml","受脱欧影响日产或将削减欧洲产量 官方否认")</f>
        <v>受脱欧影响日产或将削减欧洲产量 官方否认</v>
      </c>
      <c r="C12706" s="2" t="s">
        <v>13</v>
      </c>
      <c r="D12706" s="2" t="s">
        <v>12</v>
      </c>
      <c r="E12706" s="2"/>
      <c r="F12706" s="2" t="str">
        <f>HYPERLINK("http://m.12365auto.com/news/20200203/417562.shtml","http://m.12365auto.com/news/20200203/417562.shtml")</f>
        <v>http://m.12365auto.com/news/20200203/417562.shtml</v>
      </c>
      <c r="G12706" s="2"/>
      <c r="H12706" s="2" t="s">
        <v>16950</v>
      </c>
      <c r="I12706" s="2" t="s">
        <v>19</v>
      </c>
      <c r="J12706" s="2" t="s">
        <v>12</v>
      </c>
      <c r="K12706" s="2" t="s">
        <v>16951</v>
      </c>
      <c r="L12706" s="2">
        <f t="shared" si="198"/>
        <v>150</v>
      </c>
    </row>
    <row r="12707" spans="1:12" ht="25" customHeight="1">
      <c r="A12707" s="2" t="s">
        <v>12</v>
      </c>
      <c r="B12707" s="2" t="str">
        <f>HYPERLINK("http://www.12365auto.com/news/20200203/417562.shtml","受脱欧影响日产或将削减欧洲产量 官方否认")</f>
        <v>受脱欧影响日产或将削减欧洲产量 官方否认</v>
      </c>
      <c r="C12707" s="2" t="s">
        <v>13</v>
      </c>
      <c r="D12707" s="2" t="s">
        <v>12</v>
      </c>
      <c r="E12707" s="2" t="s">
        <v>276</v>
      </c>
      <c r="F12707" s="2" t="str">
        <f>HYPERLINK("http://www.12365auto.com/news/20200203/417562.shtml","http://www.12365auto.com/news/20200203/417562.shtml")</f>
        <v>http://www.12365auto.com/news/20200203/417562.shtml</v>
      </c>
      <c r="G12707" s="2"/>
      <c r="H12707" s="2" t="s">
        <v>16952</v>
      </c>
      <c r="I12707" s="2" t="s">
        <v>15</v>
      </c>
      <c r="J12707" s="2" t="s">
        <v>12</v>
      </c>
      <c r="K12707" s="2" t="s">
        <v>16951</v>
      </c>
      <c r="L12707" s="2">
        <f t="shared" si="198"/>
        <v>150</v>
      </c>
    </row>
    <row r="12708" spans="1:12" ht="25" customHeight="1">
      <c r="A12708" s="2" t="s">
        <v>12</v>
      </c>
      <c r="B12708" s="2" t="str">
        <f>HYPERLINK("http://www.12365auto.com/zlts/20200203/446205.shtml","副驾驶电动玻璃升降缓慢困难，迟迟没有得到解决")</f>
        <v>副驾驶电动玻璃升降缓慢困难，迟迟没有得到解决</v>
      </c>
      <c r="C12708" s="2" t="s">
        <v>13</v>
      </c>
      <c r="D12708" s="2" t="s">
        <v>12</v>
      </c>
      <c r="E12708" s="2"/>
      <c r="F12708" s="2" t="str">
        <f>HYPERLINK("http://www.12365auto.com/zlts/20200203/446205.shtml","http://www.12365auto.com/zlts/20200203/446205.shtml")</f>
        <v>http://www.12365auto.com/zlts/20200203/446205.shtml</v>
      </c>
      <c r="G12708" s="2"/>
      <c r="H12708" s="2" t="s">
        <v>16954</v>
      </c>
      <c r="I12708" s="2" t="s">
        <v>15</v>
      </c>
      <c r="J12708" s="2" t="s">
        <v>12</v>
      </c>
      <c r="K12708" s="2" t="s">
        <v>16953</v>
      </c>
      <c r="L12708" s="2">
        <f t="shared" si="198"/>
        <v>83</v>
      </c>
    </row>
    <row r="12709" spans="1:12" ht="25" customHeight="1">
      <c r="A12709" s="2" t="s">
        <v>12</v>
      </c>
      <c r="B12709" s="2" t="str">
        <f>HYPERLINK("http://www.12365auto.com/zlts/20200203/446204.shtml","广汽传祺GS8电瓶亏电刹车抖动行驶抖动")</f>
        <v>广汽传祺GS8电瓶亏电刹车抖动行驶抖动</v>
      </c>
      <c r="C12709" s="2" t="s">
        <v>13</v>
      </c>
      <c r="D12709" s="2" t="s">
        <v>12</v>
      </c>
      <c r="E12709" s="2"/>
      <c r="F12709" s="2" t="str">
        <f>HYPERLINK("http://www.12365auto.com/zlts/20200203/446204.shtml","http://www.12365auto.com/zlts/20200203/446204.shtml")</f>
        <v>http://www.12365auto.com/zlts/20200203/446204.shtml</v>
      </c>
      <c r="G12709" s="2"/>
      <c r="H12709" s="2" t="s">
        <v>16956</v>
      </c>
      <c r="I12709" s="2" t="s">
        <v>15</v>
      </c>
      <c r="J12709" s="2" t="s">
        <v>12</v>
      </c>
      <c r="K12709" s="2" t="s">
        <v>16955</v>
      </c>
      <c r="L12709" s="2">
        <f t="shared" si="198"/>
        <v>90</v>
      </c>
    </row>
    <row r="12710" spans="1:12" ht="25" customHeight="1">
      <c r="A12710" s="2" t="s">
        <v>12</v>
      </c>
      <c r="B12710" s="2" t="str">
        <f>HYPERLINK("http://www.12365auto.com/zlts/20200203/446201.shtml","每天早上启动车子车内很大的汽油味")</f>
        <v>每天早上启动车子车内很大的汽油味</v>
      </c>
      <c r="C12710" s="2" t="s">
        <v>13</v>
      </c>
      <c r="D12710" s="2" t="s">
        <v>12</v>
      </c>
      <c r="E12710" s="2"/>
      <c r="F12710" s="2" t="str">
        <f>HYPERLINK("http://www.12365auto.com/zlts/20200203/446201.shtml","http://www.12365auto.com/zlts/20200203/446201.shtml")</f>
        <v>http://www.12365auto.com/zlts/20200203/446201.shtml</v>
      </c>
      <c r="G12710" s="2"/>
      <c r="H12710" s="2" t="s">
        <v>16958</v>
      </c>
      <c r="I12710" s="2" t="s">
        <v>15</v>
      </c>
      <c r="J12710" s="2" t="s">
        <v>12</v>
      </c>
      <c r="K12710" s="2" t="s">
        <v>16957</v>
      </c>
      <c r="L12710" s="2">
        <f t="shared" si="198"/>
        <v>91</v>
      </c>
    </row>
    <row r="12711" spans="1:12" ht="25" customHeight="1">
      <c r="A12711" s="2" t="s">
        <v>12</v>
      </c>
      <c r="B12711" s="2" t="str">
        <f>HYPERLINK("http://www.12365auto.com/news/20200203/417561.shtml","宁德时代宣布与特斯拉合作 期限为两年")</f>
        <v>宁德时代宣布与特斯拉合作 期限为两年</v>
      </c>
      <c r="C12711" s="2" t="s">
        <v>13</v>
      </c>
      <c r="D12711" s="2" t="s">
        <v>12</v>
      </c>
      <c r="E12711" s="2" t="s">
        <v>276</v>
      </c>
      <c r="F12711" s="2" t="str">
        <f>HYPERLINK("http://www.12365auto.com/news/20200203/417561.shtml","http://www.12365auto.com/news/20200203/417561.shtml")</f>
        <v>http://www.12365auto.com/news/20200203/417561.shtml</v>
      </c>
      <c r="G12711" s="2"/>
      <c r="H12711" s="2" t="s">
        <v>16959</v>
      </c>
      <c r="I12711" s="2" t="s">
        <v>15</v>
      </c>
      <c r="J12711" s="2" t="s">
        <v>12</v>
      </c>
      <c r="K12711" s="2" t="s">
        <v>16960</v>
      </c>
      <c r="L12711" s="2">
        <f t="shared" si="198"/>
        <v>150</v>
      </c>
    </row>
    <row r="12712" spans="1:12" ht="25" customHeight="1">
      <c r="A12712" s="2" t="s">
        <v>12</v>
      </c>
      <c r="B12712" s="2" t="str">
        <f>HYPERLINK("http://m.12365auto.com/news/20200203/417561.shtml","宁德时代宣布与特斯拉合作 期限为两年")</f>
        <v>宁德时代宣布与特斯拉合作 期限为两年</v>
      </c>
      <c r="C12712" s="2" t="s">
        <v>13</v>
      </c>
      <c r="D12712" s="2" t="s">
        <v>12</v>
      </c>
      <c r="E12712" s="2"/>
      <c r="F12712" s="2" t="str">
        <f>HYPERLINK("http://m.12365auto.com/news/20200203/417561.shtml","http://m.12365auto.com/news/20200203/417561.shtml")</f>
        <v>http://m.12365auto.com/news/20200203/417561.shtml</v>
      </c>
      <c r="G12712" s="2"/>
      <c r="H12712" s="2" t="s">
        <v>16961</v>
      </c>
      <c r="I12712" s="2" t="s">
        <v>19</v>
      </c>
      <c r="J12712" s="2" t="s">
        <v>12</v>
      </c>
      <c r="K12712" s="2" t="s">
        <v>16960</v>
      </c>
      <c r="L12712" s="2">
        <f t="shared" si="198"/>
        <v>150</v>
      </c>
    </row>
    <row r="12713" spans="1:12" ht="25" customHeight="1">
      <c r="A12713" s="2" t="s">
        <v>12</v>
      </c>
      <c r="B12713" s="2" t="str">
        <f>HYPERLINK("http://www.12365auto.com/xcdg/20200203/417560.shtml","捷途X70 Coupe于3月上市 预售9.1万元起")</f>
        <v>捷途X70 Coupe于3月上市 预售9.1万元起</v>
      </c>
      <c r="C12713" s="2" t="s">
        <v>13</v>
      </c>
      <c r="D12713" s="2" t="s">
        <v>12</v>
      </c>
      <c r="E12713" s="2" t="s">
        <v>216</v>
      </c>
      <c r="F12713" s="2" t="str">
        <f>HYPERLINK("http://www.12365auto.com/xcdg/20200203/417560.shtml","http://www.12365auto.com/xcdg/20200203/417560.shtml")</f>
        <v>http://www.12365auto.com/xcdg/20200203/417560.shtml</v>
      </c>
      <c r="G12713" s="2"/>
      <c r="H12713" s="2" t="s">
        <v>16962</v>
      </c>
      <c r="I12713" s="2" t="s">
        <v>15</v>
      </c>
      <c r="J12713" s="2" t="s">
        <v>12</v>
      </c>
      <c r="K12713" s="2" t="s">
        <v>16963</v>
      </c>
      <c r="L12713" s="2">
        <f t="shared" si="198"/>
        <v>150</v>
      </c>
    </row>
    <row r="12714" spans="1:12" ht="25" customHeight="1">
      <c r="A12714" s="2" t="s">
        <v>12</v>
      </c>
      <c r="B12714" s="2" t="str">
        <f>HYPERLINK("http://m.12365auto.com/xcdg/20200203/417560.shtml","捷途X70 Coupe于3月上市 预售9.1万元起")</f>
        <v>捷途X70 Coupe于3月上市 预售9.1万元起</v>
      </c>
      <c r="C12714" s="2" t="s">
        <v>13</v>
      </c>
      <c r="D12714" s="2" t="s">
        <v>12</v>
      </c>
      <c r="E12714" s="2"/>
      <c r="F12714" s="2" t="str">
        <f>HYPERLINK("http://m.12365auto.com/xcdg/20200203/417560.shtml","http://m.12365auto.com/xcdg/20200203/417560.shtml")</f>
        <v>http://m.12365auto.com/xcdg/20200203/417560.shtml</v>
      </c>
      <c r="G12714" s="2"/>
      <c r="H12714" s="2" t="s">
        <v>16964</v>
      </c>
      <c r="I12714" s="2" t="s">
        <v>19</v>
      </c>
      <c r="J12714" s="2" t="s">
        <v>1222</v>
      </c>
      <c r="K12714" s="2" t="s">
        <v>16963</v>
      </c>
      <c r="L12714" s="2">
        <f t="shared" si="198"/>
        <v>150</v>
      </c>
    </row>
    <row r="12715" spans="1:12" ht="25" customHeight="1">
      <c r="A12715" s="2" t="s">
        <v>12</v>
      </c>
      <c r="B12715" s="2" t="str">
        <f>HYPERLINK("http://www.12365auto.com/xcdg/20200203/417558.shtml","新一代奥迪S7将3月上市 动力更加强大")</f>
        <v>新一代奥迪S7将3月上市 动力更加强大</v>
      </c>
      <c r="C12715" s="2" t="s">
        <v>13</v>
      </c>
      <c r="D12715" s="2" t="s">
        <v>12</v>
      </c>
      <c r="E12715" s="2" t="s">
        <v>216</v>
      </c>
      <c r="F12715" s="2" t="str">
        <f>HYPERLINK("http://www.12365auto.com/xcdg/20200203/417558.shtml","http://www.12365auto.com/xcdg/20200203/417558.shtml")</f>
        <v>http://www.12365auto.com/xcdg/20200203/417558.shtml</v>
      </c>
      <c r="G12715" s="2"/>
      <c r="H12715" s="2" t="s">
        <v>16965</v>
      </c>
      <c r="I12715" s="2" t="s">
        <v>15</v>
      </c>
      <c r="J12715" s="2" t="s">
        <v>12</v>
      </c>
      <c r="K12715" s="2" t="s">
        <v>16966</v>
      </c>
      <c r="L12715" s="2">
        <f t="shared" si="198"/>
        <v>150</v>
      </c>
    </row>
    <row r="12716" spans="1:12" ht="25" customHeight="1">
      <c r="A12716" s="2" t="s">
        <v>12</v>
      </c>
      <c r="B12716" s="2" t="str">
        <f>HYPERLINK("http://www.12365auto.com/xcdg/20200203/417559.shtml","海马7X将4月正式开启预售 定位MPV车型")</f>
        <v>海马7X将4月正式开启预售 定位MPV车型</v>
      </c>
      <c r="C12716" s="2" t="s">
        <v>13</v>
      </c>
      <c r="D12716" s="2" t="s">
        <v>12</v>
      </c>
      <c r="E12716" s="2" t="s">
        <v>216</v>
      </c>
      <c r="F12716" s="2" t="str">
        <f>HYPERLINK("http://www.12365auto.com/xcdg/20200203/417559.shtml","http://www.12365auto.com/xcdg/20200203/417559.shtml")</f>
        <v>http://www.12365auto.com/xcdg/20200203/417559.shtml</v>
      </c>
      <c r="G12716" s="2"/>
      <c r="H12716" s="2" t="s">
        <v>16967</v>
      </c>
      <c r="I12716" s="2" t="s">
        <v>15</v>
      </c>
      <c r="J12716" s="2" t="s">
        <v>12</v>
      </c>
      <c r="K12716" s="2" t="s">
        <v>16966</v>
      </c>
      <c r="L12716" s="2">
        <f t="shared" si="198"/>
        <v>150</v>
      </c>
    </row>
    <row r="12717" spans="1:12" ht="25" customHeight="1">
      <c r="A12717" s="2" t="s">
        <v>12</v>
      </c>
      <c r="B12717" s="2" t="str">
        <f>HYPERLINK("http://m.12365auto.com/xcdg/20200203/417559.shtml","海马7X将4月正式开启预售 定位MPV车型")</f>
        <v>海马7X将4月正式开启预售 定位MPV车型</v>
      </c>
      <c r="C12717" s="2" t="s">
        <v>13</v>
      </c>
      <c r="D12717" s="2" t="s">
        <v>12</v>
      </c>
      <c r="E12717" s="2"/>
      <c r="F12717" s="2" t="str">
        <f>HYPERLINK("http://m.12365auto.com/xcdg/20200203/417559.shtml","http://m.12365auto.com/xcdg/20200203/417559.shtml")</f>
        <v>http://m.12365auto.com/xcdg/20200203/417559.shtml</v>
      </c>
      <c r="G12717" s="2"/>
      <c r="H12717" s="2" t="s">
        <v>16968</v>
      </c>
      <c r="I12717" s="2" t="s">
        <v>19</v>
      </c>
      <c r="J12717" s="2" t="s">
        <v>1657</v>
      </c>
      <c r="K12717" s="2" t="s">
        <v>16966</v>
      </c>
      <c r="L12717" s="2">
        <f t="shared" si="198"/>
        <v>150</v>
      </c>
    </row>
    <row r="12718" spans="1:12" ht="25" customHeight="1">
      <c r="A12718" s="2" t="s">
        <v>12</v>
      </c>
      <c r="B12718" s="2" t="str">
        <f>HYPERLINK("http://m.12365auto.com/xcdg/20200203/417558.shtml","新一代奥迪S7将3月上市 动力更加强大")</f>
        <v>新一代奥迪S7将3月上市 动力更加强大</v>
      </c>
      <c r="C12718" s="2" t="s">
        <v>13</v>
      </c>
      <c r="D12718" s="2" t="s">
        <v>12</v>
      </c>
      <c r="E12718" s="2"/>
      <c r="F12718" s="2" t="str">
        <f>HYPERLINK("http://m.12365auto.com/xcdg/20200203/417558.shtml","http://m.12365auto.com/xcdg/20200203/417558.shtml")</f>
        <v>http://m.12365auto.com/xcdg/20200203/417558.shtml</v>
      </c>
      <c r="G12718" s="2"/>
      <c r="H12718" s="2" t="s">
        <v>16969</v>
      </c>
      <c r="I12718" s="2" t="s">
        <v>19</v>
      </c>
      <c r="J12718" s="2" t="s">
        <v>1657</v>
      </c>
      <c r="K12718" s="2" t="s">
        <v>16966</v>
      </c>
      <c r="L12718" s="2">
        <f t="shared" si="198"/>
        <v>150</v>
      </c>
    </row>
    <row r="12719" spans="1:12" ht="25" customHeight="1">
      <c r="A12719" s="2" t="s">
        <v>12</v>
      </c>
      <c r="B12719" s="2" t="str">
        <f>HYPERLINK("http://m.12365auto.com/xcdg/20200203/417557.shtml","新广汽传祺GA8将上半年上市 内外皆换新")</f>
        <v>新广汽传祺GA8将上半年上市 内外皆换新</v>
      </c>
      <c r="C12719" s="2" t="s">
        <v>13</v>
      </c>
      <c r="D12719" s="2" t="s">
        <v>12</v>
      </c>
      <c r="E12719" s="2"/>
      <c r="F12719" s="2" t="str">
        <f>HYPERLINK("http://m.12365auto.com/xcdg/20200203/417557.shtml","http://m.12365auto.com/xcdg/20200203/417557.shtml")</f>
        <v>http://m.12365auto.com/xcdg/20200203/417557.shtml</v>
      </c>
      <c r="G12719" s="2"/>
      <c r="H12719" s="2" t="s">
        <v>16970</v>
      </c>
      <c r="I12719" s="2" t="s">
        <v>19</v>
      </c>
      <c r="J12719" s="2" t="s">
        <v>1657</v>
      </c>
      <c r="K12719" s="2" t="s">
        <v>16971</v>
      </c>
      <c r="L12719" s="2">
        <f t="shared" si="198"/>
        <v>150</v>
      </c>
    </row>
    <row r="12720" spans="1:12" ht="25" customHeight="1">
      <c r="A12720" s="2" t="s">
        <v>12</v>
      </c>
      <c r="B12720" s="2" t="str">
        <f>HYPERLINK("http://www.12365auto.com/xcdg/20200203/417557.shtml","新广汽传祺GA8将上半年上市 内外皆换新")</f>
        <v>新广汽传祺GA8将上半年上市 内外皆换新</v>
      </c>
      <c r="C12720" s="2" t="s">
        <v>13</v>
      </c>
      <c r="D12720" s="2" t="s">
        <v>12</v>
      </c>
      <c r="E12720" s="2" t="s">
        <v>216</v>
      </c>
      <c r="F12720" s="2" t="str">
        <f>HYPERLINK("http://www.12365auto.com/xcdg/20200203/417557.shtml","http://www.12365auto.com/xcdg/20200203/417557.shtml")</f>
        <v>http://www.12365auto.com/xcdg/20200203/417557.shtml</v>
      </c>
      <c r="G12720" s="2"/>
      <c r="H12720" s="2" t="s">
        <v>16972</v>
      </c>
      <c r="I12720" s="2" t="s">
        <v>15</v>
      </c>
      <c r="J12720" s="2" t="s">
        <v>12</v>
      </c>
      <c r="K12720" s="2" t="s">
        <v>16971</v>
      </c>
      <c r="L12720" s="2">
        <f t="shared" si="198"/>
        <v>150</v>
      </c>
    </row>
    <row r="12721" spans="1:12" ht="25" customHeight="1">
      <c r="A12721" s="2" t="s">
        <v>12</v>
      </c>
      <c r="B12721" s="2" t="str">
        <f>HYPERLINK("http://m.12365auto.com/xcdg/20200203/417556.shtml","吉利Preface量产版将年内上市 动感十足")</f>
        <v>吉利Preface量产版将年内上市 动感十足</v>
      </c>
      <c r="C12721" s="2" t="s">
        <v>13</v>
      </c>
      <c r="D12721" s="2" t="s">
        <v>12</v>
      </c>
      <c r="E12721" s="2"/>
      <c r="F12721" s="2" t="str">
        <f>HYPERLINK("http://m.12365auto.com/xcdg/20200203/417556.shtml","http://m.12365auto.com/xcdg/20200203/417556.shtml")</f>
        <v>http://m.12365auto.com/xcdg/20200203/417556.shtml</v>
      </c>
      <c r="G12721" s="2"/>
      <c r="H12721" s="2" t="s">
        <v>16973</v>
      </c>
      <c r="I12721" s="2" t="s">
        <v>19</v>
      </c>
      <c r="J12721" s="2" t="s">
        <v>1657</v>
      </c>
      <c r="K12721" s="2" t="s">
        <v>16974</v>
      </c>
      <c r="L12721" s="2">
        <f t="shared" si="198"/>
        <v>150</v>
      </c>
    </row>
    <row r="12722" spans="1:12" ht="25" customHeight="1">
      <c r="A12722" s="2" t="s">
        <v>12</v>
      </c>
      <c r="B12722" s="2" t="str">
        <f>HYPERLINK("http://www.12365auto.com/xcdg/20200203/417556.shtml","吉利Preface量产版将年内上市 动感十足")</f>
        <v>吉利Preface量产版将年内上市 动感十足</v>
      </c>
      <c r="C12722" s="2" t="s">
        <v>13</v>
      </c>
      <c r="D12722" s="2" t="s">
        <v>12</v>
      </c>
      <c r="E12722" s="2" t="s">
        <v>216</v>
      </c>
      <c r="F12722" s="2" t="str">
        <f>HYPERLINK("http://www.12365auto.com/xcdg/20200203/417556.shtml","http://www.12365auto.com/xcdg/20200203/417556.shtml")</f>
        <v>http://www.12365auto.com/xcdg/20200203/417556.shtml</v>
      </c>
      <c r="G12722" s="2"/>
      <c r="H12722" s="2" t="s">
        <v>16975</v>
      </c>
      <c r="I12722" s="2" t="s">
        <v>15</v>
      </c>
      <c r="J12722" s="2" t="s">
        <v>12</v>
      </c>
      <c r="K12722" s="2" t="s">
        <v>16974</v>
      </c>
      <c r="L12722" s="2">
        <f t="shared" si="198"/>
        <v>150</v>
      </c>
    </row>
    <row r="12723" spans="1:12" ht="25" customHeight="1">
      <c r="A12723" s="2" t="s">
        <v>12</v>
      </c>
      <c r="B12723" s="2" t="str">
        <f>HYPERLINK("http://m.12365auto.com/xcdg/20200203/417555.shtml","EXEED星途VX或4月上市 定位中大型SUV")</f>
        <v>EXEED星途VX或4月上市 定位中大型SUV</v>
      </c>
      <c r="C12723" s="2" t="s">
        <v>13</v>
      </c>
      <c r="D12723" s="2" t="s">
        <v>12</v>
      </c>
      <c r="E12723" s="2"/>
      <c r="F12723" s="2" t="str">
        <f>HYPERLINK("http://m.12365auto.com/xcdg/20200203/417555.shtml","http://m.12365auto.com/xcdg/20200203/417555.shtml")</f>
        <v>http://m.12365auto.com/xcdg/20200203/417555.shtml</v>
      </c>
      <c r="G12723" s="2"/>
      <c r="H12723" s="2" t="s">
        <v>16976</v>
      </c>
      <c r="I12723" s="2" t="s">
        <v>19</v>
      </c>
      <c r="J12723" s="2" t="s">
        <v>1222</v>
      </c>
      <c r="K12723" s="2" t="s">
        <v>16977</v>
      </c>
      <c r="L12723" s="2">
        <f t="shared" si="198"/>
        <v>150</v>
      </c>
    </row>
    <row r="12724" spans="1:12" ht="25" customHeight="1">
      <c r="A12724" s="2" t="s">
        <v>12</v>
      </c>
      <c r="B12724" s="2" t="str">
        <f>HYPERLINK("http://www.12365auto.com/xcdg/20200203/417555.shtml","EXEED星途VX或4月上市 定位中大型SUV")</f>
        <v>EXEED星途VX或4月上市 定位中大型SUV</v>
      </c>
      <c r="C12724" s="2" t="s">
        <v>13</v>
      </c>
      <c r="D12724" s="2" t="s">
        <v>12</v>
      </c>
      <c r="E12724" s="2" t="s">
        <v>216</v>
      </c>
      <c r="F12724" s="2" t="str">
        <f>HYPERLINK("http://www.12365auto.com/xcdg/20200203/417555.shtml","http://www.12365auto.com/xcdg/20200203/417555.shtml")</f>
        <v>http://www.12365auto.com/xcdg/20200203/417555.shtml</v>
      </c>
      <c r="G12724" s="2"/>
      <c r="H12724" s="2" t="s">
        <v>16978</v>
      </c>
      <c r="I12724" s="2" t="s">
        <v>15</v>
      </c>
      <c r="J12724" s="2" t="s">
        <v>12</v>
      </c>
      <c r="K12724" s="2" t="s">
        <v>16977</v>
      </c>
      <c r="L12724" s="2">
        <f t="shared" si="198"/>
        <v>150</v>
      </c>
    </row>
    <row r="12725" spans="1:12" ht="25" customHeight="1">
      <c r="A12725" s="2" t="s">
        <v>12</v>
      </c>
      <c r="B12725" s="2" t="str">
        <f>HYPERLINK("http://m.12365auto.com/xcdg/20200203/417554.shtml","新宝马X6领衔 2019值得关注的中大型SUV")</f>
        <v>新宝马X6领衔 2019值得关注的中大型SUV</v>
      </c>
      <c r="C12725" s="2" t="s">
        <v>13</v>
      </c>
      <c r="D12725" s="2" t="s">
        <v>12</v>
      </c>
      <c r="E12725" s="2"/>
      <c r="F12725" s="2" t="str">
        <f>HYPERLINK("http://m.12365auto.com/xcdg/20200203/417554.shtml","http://m.12365auto.com/xcdg/20200203/417554.shtml")</f>
        <v>http://m.12365auto.com/xcdg/20200203/417554.shtml</v>
      </c>
      <c r="G12725" s="2"/>
      <c r="H12725" s="2" t="s">
        <v>16979</v>
      </c>
      <c r="I12725" s="2" t="s">
        <v>19</v>
      </c>
      <c r="J12725" s="2" t="s">
        <v>1657</v>
      </c>
      <c r="K12725" s="2" t="s">
        <v>16980</v>
      </c>
      <c r="L12725" s="2">
        <f t="shared" si="198"/>
        <v>150</v>
      </c>
    </row>
    <row r="12726" spans="1:12" ht="25" customHeight="1">
      <c r="A12726" s="2" t="s">
        <v>12</v>
      </c>
      <c r="B12726" s="2" t="str">
        <f>HYPERLINK("http://www.12365auto.com/xcdg/20200203/417553.shtml","全新宝马X5 M北京车展上市 预售150万起")</f>
        <v>全新宝马X5 M北京车展上市 预售150万起</v>
      </c>
      <c r="C12726" s="2" t="s">
        <v>13</v>
      </c>
      <c r="D12726" s="2" t="s">
        <v>12</v>
      </c>
      <c r="E12726" s="2" t="s">
        <v>245</v>
      </c>
      <c r="F12726" s="2" t="str">
        <f>HYPERLINK("http://www.12365auto.com/xcdg/20200203/417553.shtml","http://www.12365auto.com/xcdg/20200203/417553.shtml")</f>
        <v>http://www.12365auto.com/xcdg/20200203/417553.shtml</v>
      </c>
      <c r="G12726" s="2"/>
      <c r="H12726" s="2" t="s">
        <v>16981</v>
      </c>
      <c r="I12726" s="2" t="s">
        <v>19</v>
      </c>
      <c r="J12726" s="2" t="s">
        <v>12</v>
      </c>
      <c r="K12726" s="2" t="s">
        <v>16982</v>
      </c>
      <c r="L12726" s="2">
        <f t="shared" si="198"/>
        <v>150</v>
      </c>
    </row>
    <row r="12727" spans="1:12" ht="25" customHeight="1">
      <c r="A12727" s="2" t="s">
        <v>12</v>
      </c>
      <c r="B12727" s="2" t="str">
        <f>HYPERLINK("http://m.12365auto.com/xcdg/20200203/417553.shtml","全新宝马X5 M北京车展上市 预售150万起")</f>
        <v>全新宝马X5 M北京车展上市 预售150万起</v>
      </c>
      <c r="C12727" s="2" t="s">
        <v>13</v>
      </c>
      <c r="D12727" s="2" t="s">
        <v>12</v>
      </c>
      <c r="E12727" s="2"/>
      <c r="F12727" s="2" t="str">
        <f>HYPERLINK("http://m.12365auto.com/xcdg/20200203/417553.shtml","http://m.12365auto.com/xcdg/20200203/417553.shtml")</f>
        <v>http://m.12365auto.com/xcdg/20200203/417553.shtml</v>
      </c>
      <c r="G12727" s="2"/>
      <c r="H12727" s="2" t="s">
        <v>16983</v>
      </c>
      <c r="I12727" s="2" t="s">
        <v>19</v>
      </c>
      <c r="J12727" s="2" t="s">
        <v>751</v>
      </c>
      <c r="K12727" s="2" t="s">
        <v>16982</v>
      </c>
      <c r="L12727" s="2">
        <f t="shared" si="198"/>
        <v>150</v>
      </c>
    </row>
    <row r="12728" spans="1:12" ht="25" customHeight="1">
      <c r="A12728" s="2" t="s">
        <v>12</v>
      </c>
      <c r="B12728" s="2" t="str">
        <f>HYPERLINK("http://www.12365auto.com/xcdg/20200203/417552.shtml","新一代路虎卫士有望4月底上市 性能强悍")</f>
        <v>新一代路虎卫士有望4月底上市 性能强悍</v>
      </c>
      <c r="C12728" s="2" t="s">
        <v>13</v>
      </c>
      <c r="D12728" s="2" t="s">
        <v>12</v>
      </c>
      <c r="E12728" s="2" t="s">
        <v>245</v>
      </c>
      <c r="F12728" s="2" t="str">
        <f>HYPERLINK("http://www.12365auto.com/xcdg/20200203/417552.shtml","http://www.12365auto.com/xcdg/20200203/417552.shtml")</f>
        <v>http://www.12365auto.com/xcdg/20200203/417552.shtml</v>
      </c>
      <c r="G12728" s="2"/>
      <c r="H12728" s="2" t="s">
        <v>16984</v>
      </c>
      <c r="I12728" s="2" t="s">
        <v>19</v>
      </c>
      <c r="J12728" s="2" t="s">
        <v>12</v>
      </c>
      <c r="K12728" s="2" t="s">
        <v>16985</v>
      </c>
      <c r="L12728" s="2">
        <f t="shared" si="198"/>
        <v>150</v>
      </c>
    </row>
    <row r="12729" spans="1:12" ht="25" customHeight="1">
      <c r="A12729" s="2" t="s">
        <v>12</v>
      </c>
      <c r="B12729" s="2" t="str">
        <f>HYPERLINK("http://m.12365auto.com/xcdg/20200203/417552.shtml","新一代路虎卫士有望4月底上市 性能强悍")</f>
        <v>新一代路虎卫士有望4月底上市 性能强悍</v>
      </c>
      <c r="C12729" s="2" t="s">
        <v>13</v>
      </c>
      <c r="D12729" s="2" t="s">
        <v>12</v>
      </c>
      <c r="E12729" s="2"/>
      <c r="F12729" s="2" t="str">
        <f>HYPERLINK("http://m.12365auto.com/xcdg/20200203/417552.shtml","http://m.12365auto.com/xcdg/20200203/417552.shtml")</f>
        <v>http://m.12365auto.com/xcdg/20200203/417552.shtml</v>
      </c>
      <c r="G12729" s="2"/>
      <c r="H12729" s="2" t="s">
        <v>16986</v>
      </c>
      <c r="I12729" s="2" t="s">
        <v>19</v>
      </c>
      <c r="J12729" s="2" t="s">
        <v>1657</v>
      </c>
      <c r="K12729" s="2" t="s">
        <v>16985</v>
      </c>
      <c r="L12729" s="2">
        <f t="shared" si="198"/>
        <v>150</v>
      </c>
    </row>
    <row r="12730" spans="1:12" ht="25" customHeight="1">
      <c r="A12730" s="2" t="s">
        <v>12</v>
      </c>
      <c r="B12730" s="2" t="str">
        <f>HYPERLINK("http://www.12365auto.com/xcdg/20200203/417551.shtml","凯迪拉克CT4将一季度上市 竞争3系/C级")</f>
        <v>凯迪拉克CT4将一季度上市 竞争3系/C级</v>
      </c>
      <c r="C12730" s="2" t="s">
        <v>13</v>
      </c>
      <c r="D12730" s="2" t="s">
        <v>12</v>
      </c>
      <c r="E12730" s="2" t="s">
        <v>245</v>
      </c>
      <c r="F12730" s="2" t="str">
        <f>HYPERLINK("http://www.12365auto.com/xcdg/20200203/417551.shtml","http://www.12365auto.com/xcdg/20200203/417551.shtml")</f>
        <v>http://www.12365auto.com/xcdg/20200203/417551.shtml</v>
      </c>
      <c r="G12730" s="2"/>
      <c r="H12730" s="2" t="s">
        <v>16987</v>
      </c>
      <c r="I12730" s="2" t="s">
        <v>19</v>
      </c>
      <c r="J12730" s="2" t="s">
        <v>12</v>
      </c>
      <c r="K12730" s="2" t="s">
        <v>16988</v>
      </c>
      <c r="L12730" s="2">
        <f t="shared" si="198"/>
        <v>150</v>
      </c>
    </row>
    <row r="12731" spans="1:12" ht="25" customHeight="1">
      <c r="A12731" s="2" t="s">
        <v>12</v>
      </c>
      <c r="B12731" s="2" t="str">
        <f>HYPERLINK("http://m.12365auto.com/xcdg/20200203/417551.shtml","凯迪拉克CT4将一季度上市 竞争3系/C级")</f>
        <v>凯迪拉克CT4将一季度上市 竞争3系/C级</v>
      </c>
      <c r="C12731" s="2" t="s">
        <v>13</v>
      </c>
      <c r="D12731" s="2" t="s">
        <v>12</v>
      </c>
      <c r="E12731" s="2"/>
      <c r="F12731" s="2" t="str">
        <f>HYPERLINK("http://m.12365auto.com/xcdg/20200203/417551.shtml","http://m.12365auto.com/xcdg/20200203/417551.shtml")</f>
        <v>http://m.12365auto.com/xcdg/20200203/417551.shtml</v>
      </c>
      <c r="G12731" s="2"/>
      <c r="H12731" s="2" t="s">
        <v>16989</v>
      </c>
      <c r="I12731" s="2" t="s">
        <v>19</v>
      </c>
      <c r="J12731" s="2" t="s">
        <v>1657</v>
      </c>
      <c r="K12731" s="2" t="s">
        <v>16988</v>
      </c>
      <c r="L12731" s="2">
        <f t="shared" si="198"/>
        <v>150</v>
      </c>
    </row>
    <row r="12732" spans="1:12" ht="25" customHeight="1">
      <c r="A12732" s="2" t="s">
        <v>12</v>
      </c>
      <c r="B12732" s="2" t="str">
        <f>HYPERLINK("http://www.12365auto.com/xcdg/20200203/417550.shtml","几何汽车第二款车型曝光 跨界外观风格")</f>
        <v>几何汽车第二款车型曝光 跨界外观风格</v>
      </c>
      <c r="C12732" s="2" t="s">
        <v>13</v>
      </c>
      <c r="D12732" s="2" t="s">
        <v>12</v>
      </c>
      <c r="E12732" s="2" t="s">
        <v>245</v>
      </c>
      <c r="F12732" s="2" t="str">
        <f>HYPERLINK("http://www.12365auto.com/xcdg/20200203/417550.shtml","http://www.12365auto.com/xcdg/20200203/417550.shtml")</f>
        <v>http://www.12365auto.com/xcdg/20200203/417550.shtml</v>
      </c>
      <c r="G12732" s="2"/>
      <c r="H12732" s="2" t="s">
        <v>16990</v>
      </c>
      <c r="I12732" s="2" t="s">
        <v>19</v>
      </c>
      <c r="J12732" s="2" t="s">
        <v>12</v>
      </c>
      <c r="K12732" s="2" t="s">
        <v>16991</v>
      </c>
      <c r="L12732" s="2">
        <f t="shared" si="198"/>
        <v>150</v>
      </c>
    </row>
    <row r="12733" spans="1:12" ht="25" customHeight="1">
      <c r="A12733" s="2" t="s">
        <v>12</v>
      </c>
      <c r="B12733" s="2" t="str">
        <f>HYPERLINK("http://m.12365auto.com/xcdg/20200203/417550.shtml","几何汽车第二款车型曝光 跨界外观风格")</f>
        <v>几何汽车第二款车型曝光 跨界外观风格</v>
      </c>
      <c r="C12733" s="2" t="s">
        <v>13</v>
      </c>
      <c r="D12733" s="2" t="s">
        <v>12</v>
      </c>
      <c r="E12733" s="2"/>
      <c r="F12733" s="2" t="str">
        <f>HYPERLINK("http://m.12365auto.com/xcdg/20200203/417550.shtml","http://m.12365auto.com/xcdg/20200203/417550.shtml")</f>
        <v>http://m.12365auto.com/xcdg/20200203/417550.shtml</v>
      </c>
      <c r="G12733" s="2"/>
      <c r="H12733" s="2" t="s">
        <v>16992</v>
      </c>
      <c r="I12733" s="2" t="s">
        <v>19</v>
      </c>
      <c r="J12733" s="2" t="s">
        <v>2697</v>
      </c>
      <c r="K12733" s="2" t="s">
        <v>16991</v>
      </c>
      <c r="L12733" s="2">
        <f t="shared" si="198"/>
        <v>150</v>
      </c>
    </row>
    <row r="12734" spans="1:12" ht="25" customHeight="1">
      <c r="A12734" s="2" t="s">
        <v>12</v>
      </c>
      <c r="B12734" s="2" t="str">
        <f>HYPERLINK("http://www.12365auto.com/xcdg/20200203/417549.shtml","搭500匹V8引擎 福特Mustang全新车型谍照")</f>
        <v>搭500匹V8引擎 福特Mustang全新车型谍照</v>
      </c>
      <c r="C12734" s="2" t="s">
        <v>13</v>
      </c>
      <c r="D12734" s="2" t="s">
        <v>12</v>
      </c>
      <c r="E12734" s="2" t="s">
        <v>224</v>
      </c>
      <c r="F12734" s="2" t="str">
        <f>HYPERLINK("http://www.12365auto.com/xcdg/20200203/417549.shtml","http://www.12365auto.com/xcdg/20200203/417549.shtml")</f>
        <v>http://www.12365auto.com/xcdg/20200203/417549.shtml</v>
      </c>
      <c r="G12734" s="2"/>
      <c r="H12734" s="2" t="s">
        <v>16993</v>
      </c>
      <c r="I12734" s="2" t="s">
        <v>15</v>
      </c>
      <c r="J12734" s="2" t="s">
        <v>12</v>
      </c>
      <c r="K12734" s="2" t="s">
        <v>16994</v>
      </c>
      <c r="L12734" s="2">
        <f t="shared" si="198"/>
        <v>150</v>
      </c>
    </row>
    <row r="12735" spans="1:12" ht="25" customHeight="1">
      <c r="A12735" s="2" t="s">
        <v>12</v>
      </c>
      <c r="B12735" s="2" t="str">
        <f>HYPERLINK("http://m.12365auto.com/xcdg/20200203/417549.shtml","搭500匹V8引擎 福特Mustang全新车型谍照")</f>
        <v>搭500匹V8引擎 福特Mustang全新车型谍照</v>
      </c>
      <c r="C12735" s="2" t="s">
        <v>13</v>
      </c>
      <c r="D12735" s="2" t="s">
        <v>12</v>
      </c>
      <c r="E12735" s="2"/>
      <c r="F12735" s="2" t="str">
        <f>HYPERLINK("http://m.12365auto.com/xcdg/20200203/417549.shtml","http://m.12365auto.com/xcdg/20200203/417549.shtml")</f>
        <v>http://m.12365auto.com/xcdg/20200203/417549.shtml</v>
      </c>
      <c r="G12735" s="2"/>
      <c r="H12735" s="2" t="s">
        <v>16995</v>
      </c>
      <c r="I12735" s="2" t="s">
        <v>19</v>
      </c>
      <c r="J12735" s="2" t="s">
        <v>1623</v>
      </c>
      <c r="K12735" s="2" t="s">
        <v>16994</v>
      </c>
      <c r="L12735" s="2">
        <f t="shared" si="198"/>
        <v>150</v>
      </c>
    </row>
    <row r="12736" spans="1:12" ht="25" customHeight="1">
      <c r="A12736" s="2" t="s">
        <v>12</v>
      </c>
      <c r="B12736" s="2" t="str">
        <f>HYPERLINK("http://m.12365auto.com/xcdg/20200203/417548.shtml","本田e开启路试 将配备辅助驾驶功能")</f>
        <v>本田e开启路试 将配备辅助驾驶功能</v>
      </c>
      <c r="C12736" s="2" t="s">
        <v>13</v>
      </c>
      <c r="D12736" s="2" t="s">
        <v>12</v>
      </c>
      <c r="E12736" s="2"/>
      <c r="F12736" s="2" t="str">
        <f>HYPERLINK("http://m.12365auto.com/xcdg/20200203/417548.shtml","http://m.12365auto.com/xcdg/20200203/417548.shtml")</f>
        <v>http://m.12365auto.com/xcdg/20200203/417548.shtml</v>
      </c>
      <c r="G12736" s="2"/>
      <c r="H12736" s="2" t="s">
        <v>16996</v>
      </c>
      <c r="I12736" s="2" t="s">
        <v>19</v>
      </c>
      <c r="J12736" s="2" t="s">
        <v>1573</v>
      </c>
      <c r="K12736" s="2" t="s">
        <v>16997</v>
      </c>
      <c r="L12736" s="2">
        <f t="shared" si="198"/>
        <v>150</v>
      </c>
    </row>
    <row r="12737" spans="1:12" ht="25" customHeight="1">
      <c r="A12737" s="2" t="s">
        <v>12</v>
      </c>
      <c r="B12737" s="2" t="str">
        <f>HYPERLINK("http://www.12365auto.com/xcdg/20200203/417548.shtml","本田e开启路试 将配备辅助驾驶功能")</f>
        <v>本田e开启路试 将配备辅助驾驶功能</v>
      </c>
      <c r="C12737" s="2" t="s">
        <v>13</v>
      </c>
      <c r="D12737" s="2" t="s">
        <v>12</v>
      </c>
      <c r="E12737" s="2" t="s">
        <v>245</v>
      </c>
      <c r="F12737" s="2" t="str">
        <f>HYPERLINK("http://www.12365auto.com/xcdg/20200203/417548.shtml","http://www.12365auto.com/xcdg/20200203/417548.shtml")</f>
        <v>http://www.12365auto.com/xcdg/20200203/417548.shtml</v>
      </c>
      <c r="G12737" s="2"/>
      <c r="H12737" s="2" t="s">
        <v>16998</v>
      </c>
      <c r="I12737" s="2" t="s">
        <v>19</v>
      </c>
      <c r="J12737" s="2" t="s">
        <v>12</v>
      </c>
      <c r="K12737" s="2" t="s">
        <v>16997</v>
      </c>
      <c r="L12737" s="2">
        <f t="shared" si="198"/>
        <v>150</v>
      </c>
    </row>
    <row r="12738" spans="1:12" ht="25" customHeight="1">
      <c r="A12738" s="2" t="s">
        <v>12</v>
      </c>
      <c r="B12738" s="2" t="str">
        <f>HYPERLINK("http://m.12365auto.com/xcdg/20200203/417547.shtml","全新路虎小卫士曝光 或定名为路虎80")</f>
        <v>全新路虎小卫士曝光 或定名为路虎80</v>
      </c>
      <c r="C12738" s="2" t="s">
        <v>13</v>
      </c>
      <c r="D12738" s="2" t="s">
        <v>12</v>
      </c>
      <c r="E12738" s="2"/>
      <c r="F12738" s="2" t="str">
        <f>HYPERLINK("http://m.12365auto.com/xcdg/20200203/417547.shtml","http://m.12365auto.com/xcdg/20200203/417547.shtml")</f>
        <v>http://m.12365auto.com/xcdg/20200203/417547.shtml</v>
      </c>
      <c r="G12738" s="2"/>
      <c r="H12738" s="2" t="s">
        <v>16999</v>
      </c>
      <c r="I12738" s="2" t="s">
        <v>19</v>
      </c>
      <c r="J12738" s="2" t="s">
        <v>17000</v>
      </c>
      <c r="K12738" s="2" t="s">
        <v>17001</v>
      </c>
      <c r="L12738" s="2">
        <f t="shared" si="198"/>
        <v>150</v>
      </c>
    </row>
    <row r="12739" spans="1:12" ht="25" customHeight="1">
      <c r="A12739" s="2" t="s">
        <v>12</v>
      </c>
      <c r="B12739" s="2" t="str">
        <f>HYPERLINK("http://www.12365auto.com/xcdg/20200203/417547.shtml","全新路虎小卫士曝光 或定名为路虎80")</f>
        <v>全新路虎小卫士曝光 或定名为路虎80</v>
      </c>
      <c r="C12739" s="2" t="s">
        <v>13</v>
      </c>
      <c r="D12739" s="2" t="s">
        <v>12</v>
      </c>
      <c r="E12739" s="2" t="s">
        <v>245</v>
      </c>
      <c r="F12739" s="2" t="str">
        <f>HYPERLINK("http://www.12365auto.com/xcdg/20200203/417547.shtml","http://www.12365auto.com/xcdg/20200203/417547.shtml")</f>
        <v>http://www.12365auto.com/xcdg/20200203/417547.shtml</v>
      </c>
      <c r="G12739" s="2"/>
      <c r="H12739" s="2" t="s">
        <v>17002</v>
      </c>
      <c r="I12739" s="2" t="s">
        <v>19</v>
      </c>
      <c r="J12739" s="2" t="s">
        <v>12</v>
      </c>
      <c r="K12739" s="2" t="s">
        <v>17001</v>
      </c>
      <c r="L12739" s="2">
        <f t="shared" ref="L12739:L12802" si="199">LEN(H12739)</f>
        <v>150</v>
      </c>
    </row>
    <row r="12740" spans="1:12" ht="25" customHeight="1">
      <c r="A12740" s="2" t="s">
        <v>12</v>
      </c>
      <c r="B12740" s="2" t="str">
        <f>HYPERLINK("http://www.12365auto.com/xcdg/20200203/417546.shtml","全新奥迪RS3谍照曝光 将在年末发布上市")</f>
        <v>全新奥迪RS3谍照曝光 将在年末发布上市</v>
      </c>
      <c r="C12740" s="2" t="s">
        <v>13</v>
      </c>
      <c r="D12740" s="2" t="s">
        <v>12</v>
      </c>
      <c r="E12740" s="2" t="s">
        <v>224</v>
      </c>
      <c r="F12740" s="2" t="str">
        <f>HYPERLINK("http://www.12365auto.com/xcdg/20200203/417546.shtml","http://www.12365auto.com/xcdg/20200203/417546.shtml")</f>
        <v>http://www.12365auto.com/xcdg/20200203/417546.shtml</v>
      </c>
      <c r="G12740" s="2"/>
      <c r="H12740" s="2" t="s">
        <v>17003</v>
      </c>
      <c r="I12740" s="2" t="s">
        <v>15</v>
      </c>
      <c r="J12740" s="2" t="s">
        <v>12</v>
      </c>
      <c r="K12740" s="2" t="s">
        <v>17004</v>
      </c>
      <c r="L12740" s="2">
        <f t="shared" si="199"/>
        <v>150</v>
      </c>
    </row>
    <row r="12741" spans="1:12" ht="25" customHeight="1">
      <c r="A12741" s="2" t="s">
        <v>12</v>
      </c>
      <c r="B12741" s="2" t="str">
        <f>HYPERLINK("http://m.12365auto.com/xcdg/20200203/417546.shtml","全新奥迪RS3谍照曝光 将在年末发布上市")</f>
        <v>全新奥迪RS3谍照曝光 将在年末发布上市</v>
      </c>
      <c r="C12741" s="2" t="s">
        <v>13</v>
      </c>
      <c r="D12741" s="2" t="s">
        <v>12</v>
      </c>
      <c r="E12741" s="2"/>
      <c r="F12741" s="2" t="str">
        <f>HYPERLINK("http://m.12365auto.com/xcdg/20200203/417546.shtml","http://m.12365auto.com/xcdg/20200203/417546.shtml")</f>
        <v>http://m.12365auto.com/xcdg/20200203/417546.shtml</v>
      </c>
      <c r="G12741" s="2"/>
      <c r="H12741" s="2" t="s">
        <v>17005</v>
      </c>
      <c r="I12741" s="2" t="s">
        <v>19</v>
      </c>
      <c r="J12741" s="2" t="s">
        <v>17006</v>
      </c>
      <c r="K12741" s="2" t="s">
        <v>17004</v>
      </c>
      <c r="L12741" s="2">
        <f t="shared" si="199"/>
        <v>150</v>
      </c>
    </row>
    <row r="12742" spans="1:12" ht="25" customHeight="1">
      <c r="A12742" s="2" t="s">
        <v>12</v>
      </c>
      <c r="B12742" s="2" t="str">
        <f>HYPERLINK("http://www.12365auto.com/xcdg/20200203/417545.shtml","奔驰Vision EQS量产版谍照曝光 4.5秒破百")</f>
        <v>奔驰Vision EQS量产版谍照曝光 4.5秒破百</v>
      </c>
      <c r="C12742" s="2" t="s">
        <v>13</v>
      </c>
      <c r="D12742" s="2" t="s">
        <v>12</v>
      </c>
      <c r="E12742" s="2" t="s">
        <v>224</v>
      </c>
      <c r="F12742" s="2" t="str">
        <f>HYPERLINK("http://www.12365auto.com/xcdg/20200203/417545.shtml","http://www.12365auto.com/xcdg/20200203/417545.shtml")</f>
        <v>http://www.12365auto.com/xcdg/20200203/417545.shtml</v>
      </c>
      <c r="G12742" s="2"/>
      <c r="H12742" s="2" t="s">
        <v>17007</v>
      </c>
      <c r="I12742" s="2" t="s">
        <v>15</v>
      </c>
      <c r="J12742" s="2" t="s">
        <v>12</v>
      </c>
      <c r="K12742" s="2" t="s">
        <v>17008</v>
      </c>
      <c r="L12742" s="2">
        <f t="shared" si="199"/>
        <v>150</v>
      </c>
    </row>
    <row r="12743" spans="1:12" ht="25" customHeight="1">
      <c r="A12743" s="2" t="s">
        <v>12</v>
      </c>
      <c r="B12743" s="2" t="str">
        <f>HYPERLINK("http://m.12365auto.com/xcdg/20200203/417545.shtml","奔驰Vision EQS量产版谍照曝光 4.5秒破百")</f>
        <v>奔驰Vision EQS量产版谍照曝光 4.5秒破百</v>
      </c>
      <c r="C12743" s="2" t="s">
        <v>13</v>
      </c>
      <c r="D12743" s="2" t="s">
        <v>12</v>
      </c>
      <c r="E12743" s="2"/>
      <c r="F12743" s="2" t="str">
        <f>HYPERLINK("http://m.12365auto.com/xcdg/20200203/417545.shtml","http://m.12365auto.com/xcdg/20200203/417545.shtml")</f>
        <v>http://m.12365auto.com/xcdg/20200203/417545.shtml</v>
      </c>
      <c r="G12743" s="2"/>
      <c r="H12743" s="2" t="s">
        <v>17009</v>
      </c>
      <c r="I12743" s="2" t="s">
        <v>19</v>
      </c>
      <c r="J12743" s="2" t="s">
        <v>17006</v>
      </c>
      <c r="K12743" s="2" t="s">
        <v>17008</v>
      </c>
      <c r="L12743" s="2">
        <f t="shared" si="199"/>
        <v>150</v>
      </c>
    </row>
    <row r="12744" spans="1:12" ht="25" customHeight="1">
      <c r="A12744" s="2" t="s">
        <v>12</v>
      </c>
      <c r="B12744" s="2" t="str">
        <f>HYPERLINK("http://www.12365auto.com/parts/20200203/417544.shtml","凯迪拉克推增强版super cruise 增加功能")</f>
        <v>凯迪拉克推增强版super cruise 增加功能</v>
      </c>
      <c r="C12744" s="2" t="s">
        <v>13</v>
      </c>
      <c r="D12744" s="2" t="s">
        <v>12</v>
      </c>
      <c r="E12744" s="2" t="s">
        <v>240</v>
      </c>
      <c r="F12744" s="2" t="str">
        <f>HYPERLINK("http://www.12365auto.com/parts/20200203/417544.shtml","http://www.12365auto.com/parts/20200203/417544.shtml")</f>
        <v>http://www.12365auto.com/parts/20200203/417544.shtml</v>
      </c>
      <c r="G12744" s="2"/>
      <c r="H12744" s="2" t="s">
        <v>17010</v>
      </c>
      <c r="I12744" s="2" t="s">
        <v>15</v>
      </c>
      <c r="J12744" s="2" t="s">
        <v>12</v>
      </c>
      <c r="K12744" s="2" t="s">
        <v>17011</v>
      </c>
      <c r="L12744" s="2">
        <f t="shared" si="199"/>
        <v>150</v>
      </c>
    </row>
    <row r="12745" spans="1:12" ht="25" customHeight="1">
      <c r="A12745" s="2" t="s">
        <v>12</v>
      </c>
      <c r="B12745" s="2" t="str">
        <f>HYPERLINK("http://m.12365auto.com/parts/20200203/417544.shtml","凯迪拉克推增强版super cruise 增加功能")</f>
        <v>凯迪拉克推增强版super cruise 增加功能</v>
      </c>
      <c r="C12745" s="2" t="s">
        <v>13</v>
      </c>
      <c r="D12745" s="2" t="s">
        <v>12</v>
      </c>
      <c r="E12745" s="2"/>
      <c r="F12745" s="2" t="str">
        <f>HYPERLINK("http://m.12365auto.com/parts/20200203/417544.shtml","http://m.12365auto.com/parts/20200203/417544.shtml")</f>
        <v>http://m.12365auto.com/parts/20200203/417544.shtml</v>
      </c>
      <c r="G12745" s="2"/>
      <c r="H12745" s="2" t="s">
        <v>17012</v>
      </c>
      <c r="I12745" s="2" t="s">
        <v>19</v>
      </c>
      <c r="J12745" s="2" t="s">
        <v>17006</v>
      </c>
      <c r="K12745" s="2" t="s">
        <v>17011</v>
      </c>
      <c r="L12745" s="2">
        <f t="shared" si="199"/>
        <v>150</v>
      </c>
    </row>
    <row r="12746" spans="1:12" ht="25" customHeight="1">
      <c r="A12746" s="2" t="s">
        <v>12</v>
      </c>
      <c r="B12746" s="2" t="str">
        <f>HYPERLINK("http://bbs.12365auto.com/postcontent.aspx?tId=193210","为什么现在汽车寿命越来越短")</f>
        <v>为什么现在汽车寿命越来越短</v>
      </c>
      <c r="C12746" s="2" t="s">
        <v>13</v>
      </c>
      <c r="D12746" s="2" t="s">
        <v>12</v>
      </c>
      <c r="E12746" s="2" t="s">
        <v>27</v>
      </c>
      <c r="F12746" s="2" t="str">
        <f>HYPERLINK("http://bbs.12365auto.com/postcontent.aspx?tId=193210","http://bbs.12365auto.com/postcontent.aspx?tId=193210")</f>
        <v>http://bbs.12365auto.com/postcontent.aspx?tId=193210</v>
      </c>
      <c r="G12746" s="2"/>
      <c r="H12746" s="2" t="s">
        <v>12981</v>
      </c>
      <c r="I12746" s="2" t="s">
        <v>15</v>
      </c>
      <c r="J12746" s="2" t="s">
        <v>1903</v>
      </c>
      <c r="K12746" s="2" t="s">
        <v>17013</v>
      </c>
      <c r="L12746" s="2">
        <f t="shared" si="199"/>
        <v>150</v>
      </c>
    </row>
    <row r="12747" spans="1:12" ht="25" customHeight="1">
      <c r="A12747" s="2" t="s">
        <v>12</v>
      </c>
      <c r="B12747" s="2" t="str">
        <f>HYPERLINK("http://bbs.12365auto.com/postcontent.aspx?tID=193210","为什么现在汽车寿命越来越短")</f>
        <v>为什么现在汽车寿命越来越短</v>
      </c>
      <c r="C12747" s="2" t="s">
        <v>13</v>
      </c>
      <c r="D12747" s="2" t="s">
        <v>12</v>
      </c>
      <c r="E12747" s="2" t="s">
        <v>28</v>
      </c>
      <c r="F12747" s="2" t="str">
        <f>HYPERLINK("http://bbs.12365auto.com/postcontent.aspx?tID=193210","http://bbs.12365auto.com/postcontent.aspx?tID=193210")</f>
        <v>http://bbs.12365auto.com/postcontent.aspx?tID=193210</v>
      </c>
      <c r="G12747" s="2"/>
      <c r="H12747" s="2" t="s">
        <v>17014</v>
      </c>
      <c r="I12747" s="2" t="s">
        <v>15</v>
      </c>
      <c r="J12747" s="2" t="s">
        <v>1903</v>
      </c>
      <c r="K12747" s="2" t="s">
        <v>17013</v>
      </c>
      <c r="L12747" s="2">
        <f t="shared" si="199"/>
        <v>150</v>
      </c>
    </row>
    <row r="12748" spans="1:12" ht="25" customHeight="1">
      <c r="A12748" s="2" t="s">
        <v>12</v>
      </c>
      <c r="B12748" s="2" t="str">
        <f>HYPERLINK("http://m.12365auto.com/bbs/postcontent.aspx?tID=193210","为什么现在汽车寿命越来越短")</f>
        <v>为什么现在汽车寿命越来越短</v>
      </c>
      <c r="C12748" s="2" t="s">
        <v>13</v>
      </c>
      <c r="D12748" s="2" t="s">
        <v>23</v>
      </c>
      <c r="E12748" s="2"/>
      <c r="F12748" s="2" t="str">
        <f>HYPERLINK("http://m.12365auto.com/bbs/postcontent.aspx?tID=193210","http://m.12365auto.com/bbs/postcontent.aspx?tID=193210")</f>
        <v>http://m.12365auto.com/bbs/postcontent.aspx?tID=193210</v>
      </c>
      <c r="G12748" s="2"/>
      <c r="H12748" s="2" t="s">
        <v>12981</v>
      </c>
      <c r="I12748" s="2" t="s">
        <v>15</v>
      </c>
      <c r="J12748" s="2" t="s">
        <v>1903</v>
      </c>
      <c r="K12748" s="2" t="s">
        <v>17013</v>
      </c>
      <c r="L12748" s="2">
        <f t="shared" si="199"/>
        <v>150</v>
      </c>
    </row>
    <row r="12749" spans="1:12" ht="25" customHeight="1">
      <c r="A12749" s="2" t="s">
        <v>12</v>
      </c>
      <c r="B12749" s="2" t="str">
        <f>HYPERLINK("http://bbs.12365auto.com/postcontent.aspx?tID=193209","“宽轮胎”和“窄轮胎”的差距有多大")</f>
        <v>“宽轮胎”和“窄轮胎”的差距有多大</v>
      </c>
      <c r="C12749" s="2" t="s">
        <v>13</v>
      </c>
      <c r="D12749" s="2" t="s">
        <v>12</v>
      </c>
      <c r="E12749" s="2" t="s">
        <v>28</v>
      </c>
      <c r="F12749" s="2" t="str">
        <f>HYPERLINK("http://bbs.12365auto.com/postcontent.aspx?tID=193209","http://bbs.12365auto.com/postcontent.aspx?tID=193209")</f>
        <v>http://bbs.12365auto.com/postcontent.aspx?tID=193209</v>
      </c>
      <c r="G12749" s="2"/>
      <c r="H12749" s="2" t="s">
        <v>17015</v>
      </c>
      <c r="I12749" s="2" t="s">
        <v>15</v>
      </c>
      <c r="J12749" s="2" t="s">
        <v>1903</v>
      </c>
      <c r="K12749" s="2" t="s">
        <v>17016</v>
      </c>
      <c r="L12749" s="2">
        <f t="shared" si="199"/>
        <v>150</v>
      </c>
    </row>
    <row r="12750" spans="1:12" ht="25" customHeight="1">
      <c r="A12750" s="2" t="s">
        <v>12</v>
      </c>
      <c r="B12750" s="2" t="str">
        <f>HYPERLINK("http://bbs.12365auto.com/postcontent.aspx?tId=193209","“宽轮胎”和“窄轮胎”的差距有多大")</f>
        <v>“宽轮胎”和“窄轮胎”的差距有多大</v>
      </c>
      <c r="C12750" s="2" t="s">
        <v>13</v>
      </c>
      <c r="D12750" s="2" t="s">
        <v>12</v>
      </c>
      <c r="E12750" s="2" t="s">
        <v>27</v>
      </c>
      <c r="F12750" s="2" t="str">
        <f>HYPERLINK("http://bbs.12365auto.com/postcontent.aspx?tId=193209","http://bbs.12365auto.com/postcontent.aspx?tId=193209")</f>
        <v>http://bbs.12365auto.com/postcontent.aspx?tId=193209</v>
      </c>
      <c r="G12750" s="2"/>
      <c r="H12750" s="2" t="s">
        <v>17017</v>
      </c>
      <c r="I12750" s="2" t="s">
        <v>15</v>
      </c>
      <c r="J12750" s="2" t="s">
        <v>1903</v>
      </c>
      <c r="K12750" s="2" t="s">
        <v>17016</v>
      </c>
      <c r="L12750" s="2">
        <f t="shared" si="199"/>
        <v>150</v>
      </c>
    </row>
    <row r="12751" spans="1:12" ht="25" customHeight="1">
      <c r="A12751" s="2" t="s">
        <v>12</v>
      </c>
      <c r="B12751" s="2" t="str">
        <f>HYPERLINK("http://bbs.12365auto.com/postcontent.aspx?tId=193208","为什么出租车十几万公里不换胎")</f>
        <v>为什么出租车十几万公里不换胎</v>
      </c>
      <c r="C12751" s="2" t="s">
        <v>13</v>
      </c>
      <c r="D12751" s="2" t="s">
        <v>12</v>
      </c>
      <c r="E12751" s="2" t="s">
        <v>27</v>
      </c>
      <c r="F12751" s="2" t="str">
        <f>HYPERLINK("http://bbs.12365auto.com/postcontent.aspx?tId=193208","http://bbs.12365auto.com/postcontent.aspx?tId=193208")</f>
        <v>http://bbs.12365auto.com/postcontent.aspx?tId=193208</v>
      </c>
      <c r="G12751" s="2"/>
      <c r="H12751" s="2" t="s">
        <v>17018</v>
      </c>
      <c r="I12751" s="2" t="s">
        <v>15</v>
      </c>
      <c r="J12751" s="2" t="s">
        <v>1903</v>
      </c>
      <c r="K12751" s="2" t="s">
        <v>17016</v>
      </c>
      <c r="L12751" s="2">
        <f t="shared" si="199"/>
        <v>150</v>
      </c>
    </row>
    <row r="12752" spans="1:12" ht="25" customHeight="1">
      <c r="A12752" s="2" t="s">
        <v>12</v>
      </c>
      <c r="B12752" s="2" t="str">
        <f>HYPERLINK("http://m.12365auto.com/bbs/postcontent.aspx?tID=193209","“宽轮胎”和“窄轮胎”的差距有多大")</f>
        <v>“宽轮胎”和“窄轮胎”的差距有多大</v>
      </c>
      <c r="C12752" s="2" t="s">
        <v>13</v>
      </c>
      <c r="D12752" s="2" t="s">
        <v>23</v>
      </c>
      <c r="E12752" s="2"/>
      <c r="F12752" s="2" t="str">
        <f>HYPERLINK("http://m.12365auto.com/bbs/postcontent.aspx?tID=193209","http://m.12365auto.com/bbs/postcontent.aspx?tID=193209")</f>
        <v>http://m.12365auto.com/bbs/postcontent.aspx?tID=193209</v>
      </c>
      <c r="G12752" s="2"/>
      <c r="H12752" s="2" t="s">
        <v>17017</v>
      </c>
      <c r="I12752" s="2" t="s">
        <v>15</v>
      </c>
      <c r="J12752" s="2" t="s">
        <v>1903</v>
      </c>
      <c r="K12752" s="2" t="s">
        <v>17016</v>
      </c>
      <c r="L12752" s="2">
        <f t="shared" si="199"/>
        <v>150</v>
      </c>
    </row>
    <row r="12753" spans="1:12" ht="25" customHeight="1">
      <c r="A12753" s="2" t="s">
        <v>12</v>
      </c>
      <c r="B12753" s="2" t="str">
        <f>HYPERLINK("http://m.12365auto.com/bbs/postcontent.aspx?tID=193208","为什么出租车十几万公里不换胎")</f>
        <v>为什么出租车十几万公里不换胎</v>
      </c>
      <c r="C12753" s="2" t="s">
        <v>13</v>
      </c>
      <c r="D12753" s="2" t="s">
        <v>23</v>
      </c>
      <c r="E12753" s="2"/>
      <c r="F12753" s="2" t="str">
        <f>HYPERLINK("http://m.12365auto.com/bbs/postcontent.aspx?tID=193208","http://m.12365auto.com/bbs/postcontent.aspx?tID=193208")</f>
        <v>http://m.12365auto.com/bbs/postcontent.aspx?tID=193208</v>
      </c>
      <c r="G12753" s="2"/>
      <c r="H12753" s="2" t="s">
        <v>17018</v>
      </c>
      <c r="I12753" s="2" t="s">
        <v>15</v>
      </c>
      <c r="J12753" s="2" t="s">
        <v>1903</v>
      </c>
      <c r="K12753" s="2" t="s">
        <v>17016</v>
      </c>
      <c r="L12753" s="2">
        <f t="shared" si="199"/>
        <v>150</v>
      </c>
    </row>
    <row r="12754" spans="1:12" ht="25" customHeight="1">
      <c r="A12754" s="2" t="s">
        <v>12</v>
      </c>
      <c r="B12754" s="2" t="str">
        <f>HYPERLINK("http://bbs.12365auto.com/postcontent.aspx?tID=193208","为什么出租车十几万公里不换胎")</f>
        <v>为什么出租车十几万公里不换胎</v>
      </c>
      <c r="C12754" s="2" t="s">
        <v>13</v>
      </c>
      <c r="D12754" s="2" t="s">
        <v>12</v>
      </c>
      <c r="E12754" s="2" t="s">
        <v>28</v>
      </c>
      <c r="F12754" s="2" t="str">
        <f>HYPERLINK("http://bbs.12365auto.com/postcontent.aspx?tID=193208","http://bbs.12365auto.com/postcontent.aspx?tID=193208")</f>
        <v>http://bbs.12365auto.com/postcontent.aspx?tID=193208</v>
      </c>
      <c r="G12754" s="2"/>
      <c r="H12754" s="2" t="s">
        <v>17019</v>
      </c>
      <c r="I12754" s="2" t="s">
        <v>15</v>
      </c>
      <c r="J12754" s="2" t="s">
        <v>1903</v>
      </c>
      <c r="K12754" s="2" t="s">
        <v>17016</v>
      </c>
      <c r="L12754" s="2">
        <f t="shared" si="199"/>
        <v>150</v>
      </c>
    </row>
    <row r="12755" spans="1:12" ht="25" customHeight="1">
      <c r="A12755" s="2" t="s">
        <v>12</v>
      </c>
      <c r="B12755" s="2" t="str">
        <f>HYPERLINK("http://bbs.12365auto.com/postcontent.aspx?tId=193206","偷工减料？日系车不再把行车落锁当标配")</f>
        <v>偷工减料？日系车不再把行车落锁当标配</v>
      </c>
      <c r="C12755" s="2" t="s">
        <v>13</v>
      </c>
      <c r="D12755" s="2" t="s">
        <v>12</v>
      </c>
      <c r="E12755" s="2" t="s">
        <v>27</v>
      </c>
      <c r="F12755" s="2" t="str">
        <f>HYPERLINK("http://bbs.12365auto.com/postcontent.aspx?tId=193206","http://bbs.12365auto.com/postcontent.aspx?tId=193206")</f>
        <v>http://bbs.12365auto.com/postcontent.aspx?tId=193206</v>
      </c>
      <c r="G12755" s="2"/>
      <c r="H12755" s="2" t="s">
        <v>13284</v>
      </c>
      <c r="I12755" s="2" t="s">
        <v>15</v>
      </c>
      <c r="J12755" s="2" t="s">
        <v>1903</v>
      </c>
      <c r="K12755" s="2" t="s">
        <v>17020</v>
      </c>
      <c r="L12755" s="2">
        <f t="shared" si="199"/>
        <v>150</v>
      </c>
    </row>
    <row r="12756" spans="1:12" ht="25" customHeight="1">
      <c r="A12756" s="2" t="s">
        <v>12</v>
      </c>
      <c r="B12756" s="2" t="str">
        <f>HYPERLINK("http://bbs.12365auto.com/postcontent.aspx?tId=193207","“倒车雷达”与“倒车影像”哪个好")</f>
        <v>“倒车雷达”与“倒车影像”哪个好</v>
      </c>
      <c r="C12756" s="2" t="s">
        <v>13</v>
      </c>
      <c r="D12756" s="2" t="s">
        <v>12</v>
      </c>
      <c r="E12756" s="2" t="s">
        <v>27</v>
      </c>
      <c r="F12756" s="2" t="str">
        <f>HYPERLINK("http://bbs.12365auto.com/postcontent.aspx?tId=193207","http://bbs.12365auto.com/postcontent.aspx?tId=193207")</f>
        <v>http://bbs.12365auto.com/postcontent.aspx?tId=193207</v>
      </c>
      <c r="G12756" s="2"/>
      <c r="H12756" s="2" t="s">
        <v>12997</v>
      </c>
      <c r="I12756" s="2" t="s">
        <v>15</v>
      </c>
      <c r="J12756" s="2" t="s">
        <v>1903</v>
      </c>
      <c r="K12756" s="2" t="s">
        <v>17020</v>
      </c>
      <c r="L12756" s="2">
        <f t="shared" si="199"/>
        <v>150</v>
      </c>
    </row>
    <row r="12757" spans="1:12" ht="25" customHeight="1">
      <c r="A12757" s="2" t="s">
        <v>12</v>
      </c>
      <c r="B12757" s="2" t="str">
        <f>HYPERLINK("http://m.12365auto.com/bbs/postcontent.aspx?tID=193206","偷工减料？日系车不再把行车落锁当标配")</f>
        <v>偷工减料？日系车不再把行车落锁当标配</v>
      </c>
      <c r="C12757" s="2" t="s">
        <v>13</v>
      </c>
      <c r="D12757" s="2" t="s">
        <v>23</v>
      </c>
      <c r="E12757" s="2"/>
      <c r="F12757" s="2" t="str">
        <f>HYPERLINK("http://m.12365auto.com/bbs/postcontent.aspx?tID=193206","http://m.12365auto.com/bbs/postcontent.aspx?tID=193206")</f>
        <v>http://m.12365auto.com/bbs/postcontent.aspx?tID=193206</v>
      </c>
      <c r="G12757" s="2"/>
      <c r="H12757" s="2" t="s">
        <v>13284</v>
      </c>
      <c r="I12757" s="2" t="s">
        <v>15</v>
      </c>
      <c r="J12757" s="2" t="s">
        <v>1903</v>
      </c>
      <c r="K12757" s="2" t="s">
        <v>17020</v>
      </c>
      <c r="L12757" s="2">
        <f t="shared" si="199"/>
        <v>150</v>
      </c>
    </row>
    <row r="12758" spans="1:12" ht="25" customHeight="1">
      <c r="A12758" s="2" t="s">
        <v>12</v>
      </c>
      <c r="B12758" s="2" t="str">
        <f>HYPERLINK("http://bbs.12365auto.com/postcontent.aspx?tID=193206","偷工减料？日系车不再把行车落锁当标配")</f>
        <v>偷工减料？日系车不再把行车落锁当标配</v>
      </c>
      <c r="C12758" s="2" t="s">
        <v>13</v>
      </c>
      <c r="D12758" s="2" t="s">
        <v>12</v>
      </c>
      <c r="E12758" s="2" t="s">
        <v>28</v>
      </c>
      <c r="F12758" s="2" t="str">
        <f>HYPERLINK("http://bbs.12365auto.com/postcontent.aspx?tID=193206","http://bbs.12365auto.com/postcontent.aspx?tID=193206")</f>
        <v>http://bbs.12365auto.com/postcontent.aspx?tID=193206</v>
      </c>
      <c r="G12758" s="2"/>
      <c r="H12758" s="2" t="s">
        <v>17021</v>
      </c>
      <c r="I12758" s="2" t="s">
        <v>15</v>
      </c>
      <c r="J12758" s="2" t="s">
        <v>1903</v>
      </c>
      <c r="K12758" s="2" t="s">
        <v>17020</v>
      </c>
      <c r="L12758" s="2">
        <f t="shared" si="199"/>
        <v>150</v>
      </c>
    </row>
    <row r="12759" spans="1:12" ht="25" customHeight="1">
      <c r="A12759" s="2" t="s">
        <v>12</v>
      </c>
      <c r="B12759" s="2" t="str">
        <f>HYPERLINK("http://m.12365auto.com/bbs/postcontent.aspx?tID=193207","“倒车雷达”与“倒车影像”哪个好")</f>
        <v>“倒车雷达”与“倒车影像”哪个好</v>
      </c>
      <c r="C12759" s="2" t="s">
        <v>13</v>
      </c>
      <c r="D12759" s="2" t="s">
        <v>23</v>
      </c>
      <c r="E12759" s="2"/>
      <c r="F12759" s="2" t="str">
        <f>HYPERLINK("http://m.12365auto.com/bbs/postcontent.aspx?tID=193207","http://m.12365auto.com/bbs/postcontent.aspx?tID=193207")</f>
        <v>http://m.12365auto.com/bbs/postcontent.aspx?tID=193207</v>
      </c>
      <c r="G12759" s="2"/>
      <c r="H12759" s="2" t="s">
        <v>12997</v>
      </c>
      <c r="I12759" s="2" t="s">
        <v>15</v>
      </c>
      <c r="J12759" s="2" t="s">
        <v>1903</v>
      </c>
      <c r="K12759" s="2" t="s">
        <v>17020</v>
      </c>
      <c r="L12759" s="2">
        <f t="shared" si="199"/>
        <v>150</v>
      </c>
    </row>
    <row r="12760" spans="1:12" ht="25" customHeight="1">
      <c r="A12760" s="2" t="s">
        <v>12</v>
      </c>
      <c r="B12760" s="2" t="str">
        <f>HYPERLINK("http://bbs.12365auto.com/postcontent.aspx?tID=193207","“倒车雷达”与“倒车影像”哪个好")</f>
        <v>“倒车雷达”与“倒车影像”哪个好</v>
      </c>
      <c r="C12760" s="2" t="s">
        <v>13</v>
      </c>
      <c r="D12760" s="2" t="s">
        <v>12</v>
      </c>
      <c r="E12760" s="2" t="s">
        <v>28</v>
      </c>
      <c r="F12760" s="2" t="str">
        <f>HYPERLINK("http://bbs.12365auto.com/postcontent.aspx?tID=193207","http://bbs.12365auto.com/postcontent.aspx?tID=193207")</f>
        <v>http://bbs.12365auto.com/postcontent.aspx?tID=193207</v>
      </c>
      <c r="G12760" s="2"/>
      <c r="H12760" s="2" t="s">
        <v>17022</v>
      </c>
      <c r="I12760" s="2" t="s">
        <v>15</v>
      </c>
      <c r="J12760" s="2" t="s">
        <v>1903</v>
      </c>
      <c r="K12760" s="2" t="s">
        <v>17020</v>
      </c>
      <c r="L12760" s="2">
        <f t="shared" si="199"/>
        <v>150</v>
      </c>
    </row>
    <row r="12761" spans="1:12" ht="25" customHeight="1">
      <c r="A12761" s="2" t="s">
        <v>12</v>
      </c>
      <c r="B12761" s="2" t="str">
        <f>HYPERLINK("http://bbs.12365auto.com/postcontent.aspx?tID=193204","路口争分抢秒 祸事立马就来")</f>
        <v>路口争分抢秒 祸事立马就来</v>
      </c>
      <c r="C12761" s="2" t="s">
        <v>13</v>
      </c>
      <c r="D12761" s="2" t="s">
        <v>12</v>
      </c>
      <c r="E12761" s="2" t="s">
        <v>28</v>
      </c>
      <c r="F12761" s="2" t="str">
        <f>HYPERLINK("http://bbs.12365auto.com/postcontent.aspx?tID=193204","http://bbs.12365auto.com/postcontent.aspx?tID=193204")</f>
        <v>http://bbs.12365auto.com/postcontent.aspx?tID=193204</v>
      </c>
      <c r="G12761" s="2"/>
      <c r="H12761" s="2" t="s">
        <v>17023</v>
      </c>
      <c r="I12761" s="2" t="s">
        <v>15</v>
      </c>
      <c r="J12761" s="2" t="s">
        <v>1903</v>
      </c>
      <c r="K12761" s="2" t="s">
        <v>17024</v>
      </c>
      <c r="L12761" s="2">
        <f t="shared" si="199"/>
        <v>38</v>
      </c>
    </row>
    <row r="12762" spans="1:12" ht="25" customHeight="1">
      <c r="A12762" s="2" t="s">
        <v>12</v>
      </c>
      <c r="B12762" s="2" t="str">
        <f>HYPERLINK("http://bbs.12365auto.com/postcontent.aspx?tId=193205","取消汽车年检呼声越来越高，为何车主如此反感年检，请理性看待")</f>
        <v>取消汽车年检呼声越来越高，为何车主如此反感年检，请理性看待</v>
      </c>
      <c r="C12762" s="2" t="s">
        <v>13</v>
      </c>
      <c r="D12762" s="2" t="s">
        <v>12</v>
      </c>
      <c r="E12762" s="2" t="s">
        <v>27</v>
      </c>
      <c r="F12762" s="2" t="str">
        <f>HYPERLINK("http://bbs.12365auto.com/postcontent.aspx?tId=193205","http://bbs.12365auto.com/postcontent.aspx?tId=193205")</f>
        <v>http://bbs.12365auto.com/postcontent.aspx?tId=193205</v>
      </c>
      <c r="G12762" s="2"/>
      <c r="H12762" s="2" t="s">
        <v>17025</v>
      </c>
      <c r="I12762" s="2" t="s">
        <v>15</v>
      </c>
      <c r="J12762" s="2" t="s">
        <v>1903</v>
      </c>
      <c r="K12762" s="2" t="s">
        <v>17024</v>
      </c>
      <c r="L12762" s="2">
        <f t="shared" si="199"/>
        <v>150</v>
      </c>
    </row>
    <row r="12763" spans="1:12" ht="25" customHeight="1">
      <c r="A12763" s="2" t="s">
        <v>12</v>
      </c>
      <c r="B12763" s="2" t="str">
        <f>HYPERLINK("http://bbs.12365auto.com/postcontent.aspx?tId=193204","路口争分抢秒 祸事立马就来")</f>
        <v>路口争分抢秒 祸事立马就来</v>
      </c>
      <c r="C12763" s="2" t="s">
        <v>13</v>
      </c>
      <c r="D12763" s="2" t="s">
        <v>12</v>
      </c>
      <c r="E12763" s="2" t="s">
        <v>27</v>
      </c>
      <c r="F12763" s="2" t="str">
        <f>HYPERLINK("http://bbs.12365auto.com/postcontent.aspx?tId=193204","http://bbs.12365auto.com/postcontent.aspx?tId=193204")</f>
        <v>http://bbs.12365auto.com/postcontent.aspx?tId=193204</v>
      </c>
      <c r="G12763" s="2"/>
      <c r="H12763" s="2" t="s">
        <v>17026</v>
      </c>
      <c r="I12763" s="2" t="s">
        <v>15</v>
      </c>
      <c r="J12763" s="2" t="s">
        <v>1903</v>
      </c>
      <c r="K12763" s="2" t="s">
        <v>17024</v>
      </c>
      <c r="L12763" s="2">
        <f t="shared" si="199"/>
        <v>25</v>
      </c>
    </row>
    <row r="12764" spans="1:12" ht="25" customHeight="1">
      <c r="A12764" s="2" t="s">
        <v>12</v>
      </c>
      <c r="B12764" s="2" t="str">
        <f>HYPERLINK("http://m.12365auto.com/bbs/postcontent.aspx?tID=193205","取消汽车年检呼声越来越高，为何车主如此反感年检，请理性看待")</f>
        <v>取消汽车年检呼声越来越高，为何车主如此反感年检，请理性看待</v>
      </c>
      <c r="C12764" s="2" t="s">
        <v>13</v>
      </c>
      <c r="D12764" s="2" t="s">
        <v>23</v>
      </c>
      <c r="E12764" s="2"/>
      <c r="F12764" s="2" t="str">
        <f>HYPERLINK("http://m.12365auto.com/bbs/postcontent.aspx?tID=193205","http://m.12365auto.com/bbs/postcontent.aspx?tID=193205")</f>
        <v>http://m.12365auto.com/bbs/postcontent.aspx?tID=193205</v>
      </c>
      <c r="G12764" s="2"/>
      <c r="H12764" s="2" t="s">
        <v>17025</v>
      </c>
      <c r="I12764" s="2" t="s">
        <v>15</v>
      </c>
      <c r="J12764" s="2" t="s">
        <v>1903</v>
      </c>
      <c r="K12764" s="2" t="s">
        <v>17024</v>
      </c>
      <c r="L12764" s="2">
        <f t="shared" si="199"/>
        <v>150</v>
      </c>
    </row>
    <row r="12765" spans="1:12" ht="25" customHeight="1">
      <c r="A12765" s="2" t="s">
        <v>12</v>
      </c>
      <c r="B12765" s="2" t="str">
        <f>HYPERLINK("http://bbs.12365auto.com/postcontent.aspx?tID=193205","取消汽车年检呼声越来越高，为何车主如此反感年检，请理性看待")</f>
        <v>取消汽车年检呼声越来越高，为何车主如此反感年检，请理性看待</v>
      </c>
      <c r="C12765" s="2" t="s">
        <v>13</v>
      </c>
      <c r="D12765" s="2" t="s">
        <v>12</v>
      </c>
      <c r="E12765" s="2" t="s">
        <v>28</v>
      </c>
      <c r="F12765" s="2" t="str">
        <f>HYPERLINK("http://bbs.12365auto.com/postcontent.aspx?tID=193205","http://bbs.12365auto.com/postcontent.aspx?tID=193205")</f>
        <v>http://bbs.12365auto.com/postcontent.aspx?tID=193205</v>
      </c>
      <c r="G12765" s="2"/>
      <c r="H12765" s="2" t="s">
        <v>17027</v>
      </c>
      <c r="I12765" s="2" t="s">
        <v>15</v>
      </c>
      <c r="J12765" s="2" t="s">
        <v>1903</v>
      </c>
      <c r="K12765" s="2" t="s">
        <v>17024</v>
      </c>
      <c r="L12765" s="2">
        <f t="shared" si="199"/>
        <v>150</v>
      </c>
    </row>
    <row r="12766" spans="1:12" ht="25" customHeight="1">
      <c r="A12766" s="2" t="s">
        <v>12</v>
      </c>
      <c r="B12766" s="2" t="str">
        <f>HYPERLINK("http://m.12365auto.com/bbs/postcontent.aspx?tID=193204","路口争分抢秒 祸事立马就来")</f>
        <v>路口争分抢秒 祸事立马就来</v>
      </c>
      <c r="C12766" s="2" t="s">
        <v>13</v>
      </c>
      <c r="D12766" s="2" t="s">
        <v>23</v>
      </c>
      <c r="E12766" s="2"/>
      <c r="F12766" s="2" t="str">
        <f>HYPERLINK("http://m.12365auto.com/bbs/postcontent.aspx?tID=193204","http://m.12365auto.com/bbs/postcontent.aspx?tID=193204")</f>
        <v>http://m.12365auto.com/bbs/postcontent.aspx?tID=193204</v>
      </c>
      <c r="G12766" s="2"/>
      <c r="H12766" s="2" t="s">
        <v>17026</v>
      </c>
      <c r="I12766" s="2" t="s">
        <v>15</v>
      </c>
      <c r="J12766" s="2" t="s">
        <v>1903</v>
      </c>
      <c r="K12766" s="2" t="s">
        <v>17024</v>
      </c>
      <c r="L12766" s="2">
        <f t="shared" si="199"/>
        <v>25</v>
      </c>
    </row>
    <row r="12767" spans="1:12" ht="25" customHeight="1">
      <c r="A12767" s="2" t="s">
        <v>12</v>
      </c>
      <c r="B12767" s="2" t="str">
        <f>HYPERLINK("http://bbs.12365auto.com/postcontent.aspx?tId=193203","车被撞了是先报车险还是先报警? 搞不清楚顺序, 一分钱也拿不到")</f>
        <v>车被撞了是先报车险还是先报警? 搞不清楚顺序, 一分钱也拿不到</v>
      </c>
      <c r="C12767" s="2" t="s">
        <v>13</v>
      </c>
      <c r="D12767" s="2" t="s">
        <v>12</v>
      </c>
      <c r="E12767" s="2" t="s">
        <v>27</v>
      </c>
      <c r="F12767" s="2" t="str">
        <f>HYPERLINK("http://bbs.12365auto.com/postcontent.aspx?tId=193203","http://bbs.12365auto.com/postcontent.aspx?tId=193203")</f>
        <v>http://bbs.12365auto.com/postcontent.aspx?tId=193203</v>
      </c>
      <c r="G12767" s="2"/>
      <c r="H12767" s="2" t="s">
        <v>17028</v>
      </c>
      <c r="I12767" s="2" t="s">
        <v>15</v>
      </c>
      <c r="J12767" s="2" t="s">
        <v>1903</v>
      </c>
      <c r="K12767" s="2" t="s">
        <v>17029</v>
      </c>
      <c r="L12767" s="2">
        <f t="shared" si="199"/>
        <v>150</v>
      </c>
    </row>
    <row r="12768" spans="1:12" ht="25" customHeight="1">
      <c r="A12768" s="2" t="s">
        <v>12</v>
      </c>
      <c r="B12768" s="2" t="str">
        <f>HYPERLINK("http://bbs.12365auto.com/postcontent.aspx?tId=193202","共享汽车撞人，平安车险拒赔，法院两次判决“水落石出”")</f>
        <v>共享汽车撞人，平安车险拒赔，法院两次判决“水落石出”</v>
      </c>
      <c r="C12768" s="2" t="s">
        <v>13</v>
      </c>
      <c r="D12768" s="2" t="s">
        <v>12</v>
      </c>
      <c r="E12768" s="2" t="s">
        <v>27</v>
      </c>
      <c r="F12768" s="2" t="str">
        <f>HYPERLINK("http://bbs.12365auto.com/postcontent.aspx?tId=193202","http://bbs.12365auto.com/postcontent.aspx?tId=193202")</f>
        <v>http://bbs.12365auto.com/postcontent.aspx?tId=193202</v>
      </c>
      <c r="G12768" s="2"/>
      <c r="H12768" s="2" t="s">
        <v>17030</v>
      </c>
      <c r="I12768" s="2" t="s">
        <v>15</v>
      </c>
      <c r="J12768" s="2" t="s">
        <v>1903</v>
      </c>
      <c r="K12768" s="2" t="s">
        <v>17029</v>
      </c>
      <c r="L12768" s="2">
        <f t="shared" si="199"/>
        <v>150</v>
      </c>
    </row>
    <row r="12769" spans="1:12" ht="25" customHeight="1">
      <c r="A12769" s="2" t="s">
        <v>12</v>
      </c>
      <c r="B12769" s="2" t="str">
        <f>HYPERLINK("http://m.12365auto.com/bbs/postcontent.aspx?tID=193203","车被撞了是先报车险还是先报警? 搞不清楚顺序, 一分钱也拿不到")</f>
        <v>车被撞了是先报车险还是先报警? 搞不清楚顺序, 一分钱也拿不到</v>
      </c>
      <c r="C12769" s="2" t="s">
        <v>13</v>
      </c>
      <c r="D12769" s="2" t="s">
        <v>23</v>
      </c>
      <c r="E12769" s="2"/>
      <c r="F12769" s="2" t="str">
        <f>HYPERLINK("http://m.12365auto.com/bbs/postcontent.aspx?tID=193203","http://m.12365auto.com/bbs/postcontent.aspx?tID=193203")</f>
        <v>http://m.12365auto.com/bbs/postcontent.aspx?tID=193203</v>
      </c>
      <c r="G12769" s="2"/>
      <c r="H12769" s="2" t="s">
        <v>17028</v>
      </c>
      <c r="I12769" s="2" t="s">
        <v>15</v>
      </c>
      <c r="J12769" s="2" t="s">
        <v>1903</v>
      </c>
      <c r="K12769" s="2" t="s">
        <v>17029</v>
      </c>
      <c r="L12769" s="2">
        <f t="shared" si="199"/>
        <v>150</v>
      </c>
    </row>
    <row r="12770" spans="1:12" ht="25" customHeight="1">
      <c r="A12770" s="2" t="s">
        <v>12</v>
      </c>
      <c r="B12770" s="2" t="str">
        <f>HYPERLINK("http://m.12365auto.com/bbs/postcontent.aspx?tID=193202","共享汽车撞人，平安车险拒赔，法院两次判决“水落石出”")</f>
        <v>共享汽车撞人，平安车险拒赔，法院两次判决“水落石出”</v>
      </c>
      <c r="C12770" s="2" t="s">
        <v>13</v>
      </c>
      <c r="D12770" s="2" t="s">
        <v>23</v>
      </c>
      <c r="E12770" s="2"/>
      <c r="F12770" s="2" t="str">
        <f>HYPERLINK("http://m.12365auto.com/bbs/postcontent.aspx?tID=193202","http://m.12365auto.com/bbs/postcontent.aspx?tID=193202")</f>
        <v>http://m.12365auto.com/bbs/postcontent.aspx?tID=193202</v>
      </c>
      <c r="G12770" s="2"/>
      <c r="H12770" s="2" t="s">
        <v>17030</v>
      </c>
      <c r="I12770" s="2" t="s">
        <v>15</v>
      </c>
      <c r="J12770" s="2" t="s">
        <v>1903</v>
      </c>
      <c r="K12770" s="2" t="s">
        <v>17029</v>
      </c>
      <c r="L12770" s="2">
        <f t="shared" si="199"/>
        <v>150</v>
      </c>
    </row>
    <row r="12771" spans="1:12" ht="25" customHeight="1">
      <c r="A12771" s="2" t="s">
        <v>12</v>
      </c>
      <c r="B12771" s="2" t="str">
        <f>HYPERLINK("http://bbs.12365auto.com/postcontent.aspx?tID=193203","车被撞了是先报车险还是先报警? 搞不清楚顺序, 一分钱也拿不到")</f>
        <v>车被撞了是先报车险还是先报警? 搞不清楚顺序, 一分钱也拿不到</v>
      </c>
      <c r="C12771" s="2" t="s">
        <v>13</v>
      </c>
      <c r="D12771" s="2" t="s">
        <v>12</v>
      </c>
      <c r="E12771" s="2" t="s">
        <v>28</v>
      </c>
      <c r="F12771" s="2" t="str">
        <f>HYPERLINK("http://bbs.12365auto.com/postcontent.aspx?tID=193203","http://bbs.12365auto.com/postcontent.aspx?tID=193203")</f>
        <v>http://bbs.12365auto.com/postcontent.aspx?tID=193203</v>
      </c>
      <c r="G12771" s="2"/>
      <c r="H12771" s="2" t="s">
        <v>17031</v>
      </c>
      <c r="I12771" s="2" t="s">
        <v>15</v>
      </c>
      <c r="J12771" s="2" t="s">
        <v>1903</v>
      </c>
      <c r="K12771" s="2" t="s">
        <v>17029</v>
      </c>
      <c r="L12771" s="2">
        <f t="shared" si="199"/>
        <v>150</v>
      </c>
    </row>
    <row r="12772" spans="1:12" ht="25" customHeight="1">
      <c r="A12772" s="2" t="s">
        <v>12</v>
      </c>
      <c r="B12772" s="2" t="str">
        <f>HYPERLINK("http://bbs.12365auto.com/postcontent.aspx?tID=193202","共享汽车撞人，平安车险拒赔，法院两次判决“水落石出”")</f>
        <v>共享汽车撞人，平安车险拒赔，法院两次判决“水落石出”</v>
      </c>
      <c r="C12772" s="2" t="s">
        <v>13</v>
      </c>
      <c r="D12772" s="2" t="s">
        <v>12</v>
      </c>
      <c r="E12772" s="2" t="s">
        <v>28</v>
      </c>
      <c r="F12772" s="2" t="str">
        <f>HYPERLINK("http://bbs.12365auto.com/postcontent.aspx?tID=193202","http://bbs.12365auto.com/postcontent.aspx?tID=193202")</f>
        <v>http://bbs.12365auto.com/postcontent.aspx?tID=193202</v>
      </c>
      <c r="G12772" s="2"/>
      <c r="H12772" s="2" t="s">
        <v>17032</v>
      </c>
      <c r="I12772" s="2" t="s">
        <v>15</v>
      </c>
      <c r="J12772" s="2" t="s">
        <v>1903</v>
      </c>
      <c r="K12772" s="2" t="s">
        <v>17029</v>
      </c>
      <c r="L12772" s="2">
        <f t="shared" si="199"/>
        <v>150</v>
      </c>
    </row>
    <row r="12773" spans="1:12" ht="25" customHeight="1">
      <c r="A12773" s="2" t="s">
        <v>12</v>
      </c>
      <c r="B12773" s="2" t="str">
        <f>HYPERLINK("http://bbs.12365auto.com/postcontent.aspx?tId=193201","鄂A牌照这次火了，被逼无奈车尾贴子，内容让人哭笑不得")</f>
        <v>鄂A牌照这次火了，被逼无奈车尾贴子，内容让人哭笑不得</v>
      </c>
      <c r="C12773" s="2" t="s">
        <v>13</v>
      </c>
      <c r="D12773" s="2" t="s">
        <v>12</v>
      </c>
      <c r="E12773" s="2" t="s">
        <v>27</v>
      </c>
      <c r="F12773" s="2" t="str">
        <f>HYPERLINK("http://bbs.12365auto.com/postcontent.aspx?tId=193201","http://bbs.12365auto.com/postcontent.aspx?tId=193201")</f>
        <v>http://bbs.12365auto.com/postcontent.aspx?tId=193201</v>
      </c>
      <c r="G12773" s="2"/>
      <c r="H12773" s="2" t="s">
        <v>17033</v>
      </c>
      <c r="I12773" s="2" t="s">
        <v>15</v>
      </c>
      <c r="J12773" s="2" t="s">
        <v>1903</v>
      </c>
      <c r="K12773" s="2" t="s">
        <v>17034</v>
      </c>
      <c r="L12773" s="2">
        <f t="shared" si="199"/>
        <v>150</v>
      </c>
    </row>
    <row r="12774" spans="1:12" ht="25" customHeight="1">
      <c r="A12774" s="2" t="s">
        <v>12</v>
      </c>
      <c r="B12774" s="2" t="str">
        <f>HYPERLINK("http://bbs.12365auto.com/postcontent.aspx?tID=193201","鄂A牌照这次火了，被逼无奈车尾贴子，内容让人哭笑不得")</f>
        <v>鄂A牌照这次火了，被逼无奈车尾贴子，内容让人哭笑不得</v>
      </c>
      <c r="C12774" s="2" t="s">
        <v>13</v>
      </c>
      <c r="D12774" s="2" t="s">
        <v>12</v>
      </c>
      <c r="E12774" s="2" t="s">
        <v>28</v>
      </c>
      <c r="F12774" s="2" t="str">
        <f>HYPERLINK("http://bbs.12365auto.com/postcontent.aspx?tID=193201","http://bbs.12365auto.com/postcontent.aspx?tID=193201")</f>
        <v>http://bbs.12365auto.com/postcontent.aspx?tID=193201</v>
      </c>
      <c r="G12774" s="2"/>
      <c r="H12774" s="2" t="s">
        <v>17035</v>
      </c>
      <c r="I12774" s="2" t="s">
        <v>15</v>
      </c>
      <c r="J12774" s="2" t="s">
        <v>1903</v>
      </c>
      <c r="K12774" s="2" t="s">
        <v>17034</v>
      </c>
      <c r="L12774" s="2">
        <f t="shared" si="199"/>
        <v>150</v>
      </c>
    </row>
    <row r="12775" spans="1:12" ht="25" customHeight="1">
      <c r="A12775" s="2" t="s">
        <v>12</v>
      </c>
      <c r="B12775" s="2" t="str">
        <f>HYPERLINK("http://m.12365auto.com/bbs/postcontent.aspx?tID=193201","鄂A牌照这次火了，被逼无奈车尾贴子，内容让人哭笑不得")</f>
        <v>鄂A牌照这次火了，被逼无奈车尾贴子，内容让人哭笑不得</v>
      </c>
      <c r="C12775" s="2" t="s">
        <v>13</v>
      </c>
      <c r="D12775" s="2" t="s">
        <v>23</v>
      </c>
      <c r="E12775" s="2"/>
      <c r="F12775" s="2" t="str">
        <f>HYPERLINK("http://m.12365auto.com/bbs/postcontent.aspx?tID=193201","http://m.12365auto.com/bbs/postcontent.aspx?tID=193201")</f>
        <v>http://m.12365auto.com/bbs/postcontent.aspx?tID=193201</v>
      </c>
      <c r="G12775" s="2"/>
      <c r="H12775" s="2" t="s">
        <v>17033</v>
      </c>
      <c r="I12775" s="2" t="s">
        <v>15</v>
      </c>
      <c r="J12775" s="2" t="s">
        <v>1903</v>
      </c>
      <c r="K12775" s="2" t="s">
        <v>17034</v>
      </c>
      <c r="L12775" s="2">
        <f t="shared" si="199"/>
        <v>150</v>
      </c>
    </row>
    <row r="12776" spans="1:12" ht="25" customHeight="1">
      <c r="A12776" s="2" t="s">
        <v>12</v>
      </c>
      <c r="B12776" s="2" t="str">
        <f>HYPERLINK("http://bbs.12365auto.com/postcontent.aspx?tID=193197","纯电动汽车没有发动机还需要更换机油和保养吗")</f>
        <v>纯电动汽车没有发动机还需要更换机油和保养吗</v>
      </c>
      <c r="C12776" s="2" t="s">
        <v>13</v>
      </c>
      <c r="D12776" s="2" t="s">
        <v>12</v>
      </c>
      <c r="E12776" s="2" t="s">
        <v>28</v>
      </c>
      <c r="F12776" s="2" t="str">
        <f>HYPERLINK("http://bbs.12365auto.com/postcontent.aspx?tID=193197","http://bbs.12365auto.com/postcontent.aspx?tID=193197")</f>
        <v>http://bbs.12365auto.com/postcontent.aspx?tID=193197</v>
      </c>
      <c r="G12776" s="2"/>
      <c r="H12776" s="2" t="s">
        <v>17036</v>
      </c>
      <c r="I12776" s="2" t="s">
        <v>15</v>
      </c>
      <c r="J12776" s="2" t="s">
        <v>17037</v>
      </c>
      <c r="K12776" s="2" t="s">
        <v>17038</v>
      </c>
      <c r="L12776" s="2">
        <f t="shared" si="199"/>
        <v>150</v>
      </c>
    </row>
    <row r="12777" spans="1:12" ht="25" customHeight="1">
      <c r="A12777" s="2" t="s">
        <v>12</v>
      </c>
      <c r="B12777" s="2" t="str">
        <f>HYPERLINK("http://bbs.12365auto.com/postcontent.aspx?tID=193199","智能化配置是你选车必选项吗")</f>
        <v>智能化配置是你选车必选项吗</v>
      </c>
      <c r="C12777" s="2" t="s">
        <v>13</v>
      </c>
      <c r="D12777" s="2" t="s">
        <v>12</v>
      </c>
      <c r="E12777" s="2" t="s">
        <v>28</v>
      </c>
      <c r="F12777" s="2" t="str">
        <f>HYPERLINK("http://bbs.12365auto.com/postcontent.aspx?tID=193199","http://bbs.12365auto.com/postcontent.aspx?tID=193199")</f>
        <v>http://bbs.12365auto.com/postcontent.aspx?tID=193199</v>
      </c>
      <c r="G12777" s="2"/>
      <c r="H12777" s="2" t="s">
        <v>17039</v>
      </c>
      <c r="I12777" s="2" t="s">
        <v>15</v>
      </c>
      <c r="J12777" s="2" t="s">
        <v>17037</v>
      </c>
      <c r="K12777" s="2" t="s">
        <v>17038</v>
      </c>
      <c r="L12777" s="2">
        <f t="shared" si="199"/>
        <v>150</v>
      </c>
    </row>
    <row r="12778" spans="1:12" ht="25" customHeight="1">
      <c r="A12778" s="2" t="s">
        <v>12</v>
      </c>
      <c r="B12778" s="2" t="str">
        <f>HYPERLINK("http://bbs.12365auto.com/postcontent.aspx?tId=193197","纯电动汽车没有发动机还需要更换机油和保养吗")</f>
        <v>纯电动汽车没有发动机还需要更换机油和保养吗</v>
      </c>
      <c r="C12778" s="2" t="s">
        <v>13</v>
      </c>
      <c r="D12778" s="2" t="s">
        <v>12</v>
      </c>
      <c r="E12778" s="2" t="s">
        <v>27</v>
      </c>
      <c r="F12778" s="2" t="str">
        <f>HYPERLINK("http://bbs.12365auto.com/postcontent.aspx?tId=193197","http://bbs.12365auto.com/postcontent.aspx?tId=193197")</f>
        <v>http://bbs.12365auto.com/postcontent.aspx?tId=193197</v>
      </c>
      <c r="G12778" s="2"/>
      <c r="H12778" s="2" t="s">
        <v>17040</v>
      </c>
      <c r="I12778" s="2" t="s">
        <v>15</v>
      </c>
      <c r="J12778" s="2" t="s">
        <v>17037</v>
      </c>
      <c r="K12778" s="2" t="s">
        <v>17038</v>
      </c>
      <c r="L12778" s="2">
        <f t="shared" si="199"/>
        <v>150</v>
      </c>
    </row>
    <row r="12779" spans="1:12" ht="25" customHeight="1">
      <c r="A12779" s="2" t="s">
        <v>12</v>
      </c>
      <c r="B12779" s="2" t="str">
        <f>HYPERLINK("http://bbs.12365auto.com/postcontent.aspx?tId=193199","智能化配置是你选车必选项吗")</f>
        <v>智能化配置是你选车必选项吗</v>
      </c>
      <c r="C12779" s="2" t="s">
        <v>13</v>
      </c>
      <c r="D12779" s="2" t="s">
        <v>12</v>
      </c>
      <c r="E12779" s="2" t="s">
        <v>27</v>
      </c>
      <c r="F12779" s="2" t="str">
        <f>HYPERLINK("http://bbs.12365auto.com/postcontent.aspx?tId=193199","http://bbs.12365auto.com/postcontent.aspx?tId=193199")</f>
        <v>http://bbs.12365auto.com/postcontent.aspx?tId=193199</v>
      </c>
      <c r="G12779" s="2"/>
      <c r="H12779" s="2" t="s">
        <v>17041</v>
      </c>
      <c r="I12779" s="2" t="s">
        <v>15</v>
      </c>
      <c r="J12779" s="2" t="s">
        <v>17037</v>
      </c>
      <c r="K12779" s="2" t="s">
        <v>17038</v>
      </c>
      <c r="L12779" s="2">
        <f t="shared" si="199"/>
        <v>150</v>
      </c>
    </row>
    <row r="12780" spans="1:12" ht="25" customHeight="1">
      <c r="A12780" s="2" t="s">
        <v>12</v>
      </c>
      <c r="B12780" s="2" t="str">
        <f>HYPERLINK("http://bbs.12365auto.com/postcontent.aspx?tId=193198","新能源车常需保养的部件有哪些")</f>
        <v>新能源车常需保养的部件有哪些</v>
      </c>
      <c r="C12780" s="2" t="s">
        <v>13</v>
      </c>
      <c r="D12780" s="2" t="s">
        <v>12</v>
      </c>
      <c r="E12780" s="2" t="s">
        <v>27</v>
      </c>
      <c r="F12780" s="2" t="str">
        <f>HYPERLINK("http://bbs.12365auto.com/postcontent.aspx?tId=193198","http://bbs.12365auto.com/postcontent.aspx?tId=193198")</f>
        <v>http://bbs.12365auto.com/postcontent.aspx?tId=193198</v>
      </c>
      <c r="G12780" s="2"/>
      <c r="H12780" s="2" t="s">
        <v>17042</v>
      </c>
      <c r="I12780" s="2" t="s">
        <v>15</v>
      </c>
      <c r="J12780" s="2" t="s">
        <v>17037</v>
      </c>
      <c r="K12780" s="2" t="s">
        <v>17038</v>
      </c>
      <c r="L12780" s="2">
        <f t="shared" si="199"/>
        <v>150</v>
      </c>
    </row>
    <row r="12781" spans="1:12" ht="25" customHeight="1">
      <c r="A12781" s="2" t="s">
        <v>12</v>
      </c>
      <c r="B12781" s="2" t="str">
        <f>HYPERLINK("http://bbs.12365auto.com/postcontent.aspx?tID=193198","新能源车常需保养的部件有哪些")</f>
        <v>新能源车常需保养的部件有哪些</v>
      </c>
      <c r="C12781" s="2" t="s">
        <v>13</v>
      </c>
      <c r="D12781" s="2" t="s">
        <v>12</v>
      </c>
      <c r="E12781" s="2" t="s">
        <v>28</v>
      </c>
      <c r="F12781" s="2" t="str">
        <f>HYPERLINK("http://bbs.12365auto.com/postcontent.aspx?tID=193198","http://bbs.12365auto.com/postcontent.aspx?tID=193198")</f>
        <v>http://bbs.12365auto.com/postcontent.aspx?tID=193198</v>
      </c>
      <c r="G12781" s="2"/>
      <c r="H12781" s="2" t="s">
        <v>17043</v>
      </c>
      <c r="I12781" s="2" t="s">
        <v>15</v>
      </c>
      <c r="J12781" s="2" t="s">
        <v>17037</v>
      </c>
      <c r="K12781" s="2" t="s">
        <v>17038</v>
      </c>
      <c r="L12781" s="2">
        <f t="shared" si="199"/>
        <v>150</v>
      </c>
    </row>
    <row r="12782" spans="1:12" ht="25" customHeight="1">
      <c r="A12782" s="2" t="s">
        <v>12</v>
      </c>
      <c r="B12782" s="2" t="str">
        <f>HYPERLINK("http://m.12365auto.com/bbs/postcontent.aspx?tID=193199","智能化配置是你选车必选项吗")</f>
        <v>智能化配置是你选车必选项吗</v>
      </c>
      <c r="C12782" s="2" t="s">
        <v>13</v>
      </c>
      <c r="D12782" s="2" t="s">
        <v>23</v>
      </c>
      <c r="E12782" s="2"/>
      <c r="F12782" s="2" t="str">
        <f>HYPERLINK("http://m.12365auto.com/bbs/postcontent.aspx?tID=193199","http://m.12365auto.com/bbs/postcontent.aspx?tID=193199")</f>
        <v>http://m.12365auto.com/bbs/postcontent.aspx?tID=193199</v>
      </c>
      <c r="G12782" s="2"/>
      <c r="H12782" s="2" t="s">
        <v>17041</v>
      </c>
      <c r="I12782" s="2" t="s">
        <v>15</v>
      </c>
      <c r="J12782" s="2" t="s">
        <v>17037</v>
      </c>
      <c r="K12782" s="2" t="s">
        <v>17038</v>
      </c>
      <c r="L12782" s="2">
        <f t="shared" si="199"/>
        <v>150</v>
      </c>
    </row>
    <row r="12783" spans="1:12" ht="25" customHeight="1">
      <c r="A12783" s="2" t="s">
        <v>12</v>
      </c>
      <c r="B12783" s="2" t="str">
        <f>HYPERLINK("http://m.12365auto.com/bbs/postcontent.aspx?tID=193198","新能源车常需保养的部件有哪些")</f>
        <v>新能源车常需保养的部件有哪些</v>
      </c>
      <c r="C12783" s="2" t="s">
        <v>13</v>
      </c>
      <c r="D12783" s="2" t="s">
        <v>23</v>
      </c>
      <c r="E12783" s="2"/>
      <c r="F12783" s="2" t="str">
        <f>HYPERLINK("http://m.12365auto.com/bbs/postcontent.aspx?tID=193198","http://m.12365auto.com/bbs/postcontent.aspx?tID=193198")</f>
        <v>http://m.12365auto.com/bbs/postcontent.aspx?tID=193198</v>
      </c>
      <c r="G12783" s="2"/>
      <c r="H12783" s="2" t="s">
        <v>17042</v>
      </c>
      <c r="I12783" s="2" t="s">
        <v>15</v>
      </c>
      <c r="J12783" s="2" t="s">
        <v>17037</v>
      </c>
      <c r="K12783" s="2" t="s">
        <v>17038</v>
      </c>
      <c r="L12783" s="2">
        <f t="shared" si="199"/>
        <v>150</v>
      </c>
    </row>
    <row r="12784" spans="1:12" ht="25" customHeight="1">
      <c r="A12784" s="2" t="s">
        <v>12</v>
      </c>
      <c r="B12784" s="2" t="str">
        <f>HYPERLINK("http://m.12365auto.com/bbs/postcontent.aspx?tID=193197","纯电动汽车没有发动机还需要更换机油和保养吗")</f>
        <v>纯电动汽车没有发动机还需要更换机油和保养吗</v>
      </c>
      <c r="C12784" s="2" t="s">
        <v>13</v>
      </c>
      <c r="D12784" s="2" t="s">
        <v>23</v>
      </c>
      <c r="E12784" s="2"/>
      <c r="F12784" s="2" t="str">
        <f>HYPERLINK("http://m.12365auto.com/bbs/postcontent.aspx?tID=193197","http://m.12365auto.com/bbs/postcontent.aspx?tID=193197")</f>
        <v>http://m.12365auto.com/bbs/postcontent.aspx?tID=193197</v>
      </c>
      <c r="G12784" s="2"/>
      <c r="H12784" s="2" t="s">
        <v>17040</v>
      </c>
      <c r="I12784" s="2" t="s">
        <v>15</v>
      </c>
      <c r="J12784" s="2" t="s">
        <v>17037</v>
      </c>
      <c r="K12784" s="2" t="s">
        <v>17038</v>
      </c>
      <c r="L12784" s="2">
        <f t="shared" si="199"/>
        <v>150</v>
      </c>
    </row>
    <row r="12785" spans="1:12" ht="25" customHeight="1">
      <c r="A12785" s="2" t="s">
        <v>12</v>
      </c>
      <c r="B12785" s="2" t="str">
        <f>HYPERLINK("http://bbs.12365auto.com/postcontent.aspx?tID=193195","刚买的纯电动新车有哪些注意事项")</f>
        <v>刚买的纯电动新车有哪些注意事项</v>
      </c>
      <c r="C12785" s="2" t="s">
        <v>13</v>
      </c>
      <c r="D12785" s="2" t="s">
        <v>12</v>
      </c>
      <c r="E12785" s="2" t="s">
        <v>28</v>
      </c>
      <c r="F12785" s="2" t="str">
        <f>HYPERLINK("http://bbs.12365auto.com/postcontent.aspx?tID=193195","http://bbs.12365auto.com/postcontent.aspx?tID=193195")</f>
        <v>http://bbs.12365auto.com/postcontent.aspx?tID=193195</v>
      </c>
      <c r="G12785" s="2"/>
      <c r="H12785" s="2" t="s">
        <v>17044</v>
      </c>
      <c r="I12785" s="2" t="s">
        <v>15</v>
      </c>
      <c r="J12785" s="2" t="s">
        <v>17037</v>
      </c>
      <c r="K12785" s="2" t="s">
        <v>17045</v>
      </c>
      <c r="L12785" s="2">
        <f t="shared" si="199"/>
        <v>150</v>
      </c>
    </row>
    <row r="12786" spans="1:12" ht="25" customHeight="1">
      <c r="A12786" s="2" t="s">
        <v>12</v>
      </c>
      <c r="B12786" s="2" t="str">
        <f>HYPERLINK("http://bbs.12365auto.com/postcontent.aspx?tID=193196","国产电动车为何世界知名度低")</f>
        <v>国产电动车为何世界知名度低</v>
      </c>
      <c r="C12786" s="2" t="s">
        <v>13</v>
      </c>
      <c r="D12786" s="2" t="s">
        <v>12</v>
      </c>
      <c r="E12786" s="2" t="s">
        <v>28</v>
      </c>
      <c r="F12786" s="2" t="str">
        <f>HYPERLINK("http://bbs.12365auto.com/postcontent.aspx?tID=193196","http://bbs.12365auto.com/postcontent.aspx?tID=193196")</f>
        <v>http://bbs.12365auto.com/postcontent.aspx?tID=193196</v>
      </c>
      <c r="G12786" s="2"/>
      <c r="H12786" s="2" t="s">
        <v>17046</v>
      </c>
      <c r="I12786" s="2" t="s">
        <v>15</v>
      </c>
      <c r="J12786" s="2" t="s">
        <v>17037</v>
      </c>
      <c r="K12786" s="2" t="s">
        <v>17045</v>
      </c>
      <c r="L12786" s="2">
        <f t="shared" si="199"/>
        <v>150</v>
      </c>
    </row>
    <row r="12787" spans="1:12" ht="25" customHeight="1">
      <c r="A12787" s="2" t="s">
        <v>12</v>
      </c>
      <c r="B12787" s="2" t="str">
        <f>HYPERLINK("http://bbs.12365auto.com/postcontent.aspx?tId=193196","国产电动车为何世界知名度低")</f>
        <v>国产电动车为何世界知名度低</v>
      </c>
      <c r="C12787" s="2" t="s">
        <v>13</v>
      </c>
      <c r="D12787" s="2" t="s">
        <v>12</v>
      </c>
      <c r="E12787" s="2" t="s">
        <v>27</v>
      </c>
      <c r="F12787" s="2" t="str">
        <f>HYPERLINK("http://bbs.12365auto.com/postcontent.aspx?tId=193196","http://bbs.12365auto.com/postcontent.aspx?tId=193196")</f>
        <v>http://bbs.12365auto.com/postcontent.aspx?tId=193196</v>
      </c>
      <c r="G12787" s="2"/>
      <c r="H12787" s="2" t="s">
        <v>17047</v>
      </c>
      <c r="I12787" s="2" t="s">
        <v>15</v>
      </c>
      <c r="J12787" s="2" t="s">
        <v>17037</v>
      </c>
      <c r="K12787" s="2" t="s">
        <v>17045</v>
      </c>
      <c r="L12787" s="2">
        <f t="shared" si="199"/>
        <v>150</v>
      </c>
    </row>
    <row r="12788" spans="1:12" ht="25" customHeight="1">
      <c r="A12788" s="2" t="s">
        <v>12</v>
      </c>
      <c r="B12788" s="2" t="str">
        <f>HYPERLINK("http://bbs.12365auto.com/postcontent.aspx?tId=193195","刚买的纯电动新车有哪些注意事项")</f>
        <v>刚买的纯电动新车有哪些注意事项</v>
      </c>
      <c r="C12788" s="2" t="s">
        <v>13</v>
      </c>
      <c r="D12788" s="2" t="s">
        <v>12</v>
      </c>
      <c r="E12788" s="2" t="s">
        <v>27</v>
      </c>
      <c r="F12788" s="2" t="str">
        <f>HYPERLINK("http://bbs.12365auto.com/postcontent.aspx?tId=193195","http://bbs.12365auto.com/postcontent.aspx?tId=193195")</f>
        <v>http://bbs.12365auto.com/postcontent.aspx?tId=193195</v>
      </c>
      <c r="G12788" s="2"/>
      <c r="H12788" s="2" t="s">
        <v>17048</v>
      </c>
      <c r="I12788" s="2" t="s">
        <v>15</v>
      </c>
      <c r="J12788" s="2" t="s">
        <v>17037</v>
      </c>
      <c r="K12788" s="2" t="s">
        <v>17045</v>
      </c>
      <c r="L12788" s="2">
        <f t="shared" si="199"/>
        <v>150</v>
      </c>
    </row>
    <row r="12789" spans="1:12" ht="25" customHeight="1">
      <c r="A12789" s="2" t="s">
        <v>12</v>
      </c>
      <c r="B12789" s="2" t="str">
        <f>HYPERLINK("http://m.12365auto.com/bbs/postcontent.aspx?tID=193196","国产电动车为何世界知名度低")</f>
        <v>国产电动车为何世界知名度低</v>
      </c>
      <c r="C12789" s="2" t="s">
        <v>13</v>
      </c>
      <c r="D12789" s="2" t="s">
        <v>23</v>
      </c>
      <c r="E12789" s="2"/>
      <c r="F12789" s="2" t="str">
        <f>HYPERLINK("http://m.12365auto.com/bbs/postcontent.aspx?tID=193196","http://m.12365auto.com/bbs/postcontent.aspx?tID=193196")</f>
        <v>http://m.12365auto.com/bbs/postcontent.aspx?tID=193196</v>
      </c>
      <c r="G12789" s="2"/>
      <c r="H12789" s="2" t="s">
        <v>17047</v>
      </c>
      <c r="I12789" s="2" t="s">
        <v>15</v>
      </c>
      <c r="J12789" s="2" t="s">
        <v>17037</v>
      </c>
      <c r="K12789" s="2" t="s">
        <v>17045</v>
      </c>
      <c r="L12789" s="2">
        <f t="shared" si="199"/>
        <v>150</v>
      </c>
    </row>
    <row r="12790" spans="1:12" ht="25" customHeight="1">
      <c r="A12790" s="2" t="s">
        <v>12</v>
      </c>
      <c r="B12790" s="2" t="str">
        <f>HYPERLINK("http://m.12365auto.com/bbs/postcontent.aspx?tID=193195","刚买的纯电动新车有哪些注意事项")</f>
        <v>刚买的纯电动新车有哪些注意事项</v>
      </c>
      <c r="C12790" s="2" t="s">
        <v>13</v>
      </c>
      <c r="D12790" s="2" t="s">
        <v>23</v>
      </c>
      <c r="E12790" s="2"/>
      <c r="F12790" s="2" t="str">
        <f>HYPERLINK("http://m.12365auto.com/bbs/postcontent.aspx?tID=193195","http://m.12365auto.com/bbs/postcontent.aspx?tID=193195")</f>
        <v>http://m.12365auto.com/bbs/postcontent.aspx?tID=193195</v>
      </c>
      <c r="G12790" s="2"/>
      <c r="H12790" s="2" t="s">
        <v>17048</v>
      </c>
      <c r="I12790" s="2" t="s">
        <v>15</v>
      </c>
      <c r="J12790" s="2" t="s">
        <v>17037</v>
      </c>
      <c r="K12790" s="2" t="s">
        <v>17045</v>
      </c>
      <c r="L12790" s="2">
        <f t="shared" si="199"/>
        <v>150</v>
      </c>
    </row>
    <row r="12791" spans="1:12" ht="25" customHeight="1">
      <c r="A12791" s="2" t="s">
        <v>12</v>
      </c>
      <c r="B12791" s="2" t="str">
        <f>HYPERLINK("http://bbs.12365auto.com/postcontent.aspx?tID=193193","卡车松开刹车踏板后刹车回位很慢是怎么回事")</f>
        <v>卡车松开刹车踏板后刹车回位很慢是怎么回事</v>
      </c>
      <c r="C12791" s="2" t="s">
        <v>13</v>
      </c>
      <c r="D12791" s="2" t="s">
        <v>12</v>
      </c>
      <c r="E12791" s="2" t="s">
        <v>28</v>
      </c>
      <c r="F12791" s="2" t="str">
        <f>HYPERLINK("http://bbs.12365auto.com/postcontent.aspx?tID=193193","http://bbs.12365auto.com/postcontent.aspx?tID=193193")</f>
        <v>http://bbs.12365auto.com/postcontent.aspx?tID=193193</v>
      </c>
      <c r="G12791" s="2"/>
      <c r="H12791" s="2" t="s">
        <v>17049</v>
      </c>
      <c r="I12791" s="2" t="s">
        <v>15</v>
      </c>
      <c r="J12791" s="2" t="s">
        <v>17037</v>
      </c>
      <c r="K12791" s="2" t="s">
        <v>17050</v>
      </c>
      <c r="L12791" s="2">
        <f t="shared" si="199"/>
        <v>150</v>
      </c>
    </row>
    <row r="12792" spans="1:12" ht="25" customHeight="1">
      <c r="A12792" s="2" t="s">
        <v>12</v>
      </c>
      <c r="B12792" s="2" t="str">
        <f>HYPERLINK("http://bbs.12365auto.com/postcontent.aspx?tID=193194","说说发动机冷却系统")</f>
        <v>说说发动机冷却系统</v>
      </c>
      <c r="C12792" s="2" t="s">
        <v>13</v>
      </c>
      <c r="D12792" s="2" t="s">
        <v>12</v>
      </c>
      <c r="E12792" s="2" t="s">
        <v>28</v>
      </c>
      <c r="F12792" s="2" t="str">
        <f>HYPERLINK("http://bbs.12365auto.com/postcontent.aspx?tID=193194","http://bbs.12365auto.com/postcontent.aspx?tID=193194")</f>
        <v>http://bbs.12365auto.com/postcontent.aspx?tID=193194</v>
      </c>
      <c r="G12792" s="2"/>
      <c r="H12792" s="2" t="s">
        <v>17051</v>
      </c>
      <c r="I12792" s="2" t="s">
        <v>15</v>
      </c>
      <c r="J12792" s="2" t="s">
        <v>17037</v>
      </c>
      <c r="K12792" s="2" t="s">
        <v>17050</v>
      </c>
      <c r="L12792" s="2">
        <f t="shared" si="199"/>
        <v>150</v>
      </c>
    </row>
    <row r="12793" spans="1:12" ht="25" customHeight="1">
      <c r="A12793" s="2" t="s">
        <v>12</v>
      </c>
      <c r="B12793" s="2" t="str">
        <f>HYPERLINK("http://bbs.12365auto.com/postcontent.aspx?tId=193194","说说发动机冷却系统")</f>
        <v>说说发动机冷却系统</v>
      </c>
      <c r="C12793" s="2" t="s">
        <v>13</v>
      </c>
      <c r="D12793" s="2" t="s">
        <v>12</v>
      </c>
      <c r="E12793" s="2" t="s">
        <v>27</v>
      </c>
      <c r="F12793" s="2" t="str">
        <f>HYPERLINK("http://bbs.12365auto.com/postcontent.aspx?tId=193194","http://bbs.12365auto.com/postcontent.aspx?tId=193194")</f>
        <v>http://bbs.12365auto.com/postcontent.aspx?tId=193194</v>
      </c>
      <c r="G12793" s="2"/>
      <c r="H12793" s="2" t="s">
        <v>17052</v>
      </c>
      <c r="I12793" s="2" t="s">
        <v>15</v>
      </c>
      <c r="J12793" s="2" t="s">
        <v>17037</v>
      </c>
      <c r="K12793" s="2" t="s">
        <v>17050</v>
      </c>
      <c r="L12793" s="2">
        <f t="shared" si="199"/>
        <v>150</v>
      </c>
    </row>
    <row r="12794" spans="1:12" ht="25" customHeight="1">
      <c r="A12794" s="2" t="s">
        <v>12</v>
      </c>
      <c r="B12794" s="2" t="str">
        <f>HYPERLINK("http://bbs.12365auto.com/postcontent.aspx?tId=193193","卡车松开刹车踏板后刹车回位很慢是怎么回事")</f>
        <v>卡车松开刹车踏板后刹车回位很慢是怎么回事</v>
      </c>
      <c r="C12794" s="2" t="s">
        <v>13</v>
      </c>
      <c r="D12794" s="2" t="s">
        <v>12</v>
      </c>
      <c r="E12794" s="2" t="s">
        <v>27</v>
      </c>
      <c r="F12794" s="2" t="str">
        <f>HYPERLINK("http://bbs.12365auto.com/postcontent.aspx?tId=193193","http://bbs.12365auto.com/postcontent.aspx?tId=193193")</f>
        <v>http://bbs.12365auto.com/postcontent.aspx?tId=193193</v>
      </c>
      <c r="G12794" s="2"/>
      <c r="H12794" s="2" t="s">
        <v>17053</v>
      </c>
      <c r="I12794" s="2" t="s">
        <v>15</v>
      </c>
      <c r="J12794" s="2" t="s">
        <v>17037</v>
      </c>
      <c r="K12794" s="2" t="s">
        <v>17050</v>
      </c>
      <c r="L12794" s="2">
        <f t="shared" si="199"/>
        <v>150</v>
      </c>
    </row>
    <row r="12795" spans="1:12" ht="25" customHeight="1">
      <c r="A12795" s="2" t="s">
        <v>12</v>
      </c>
      <c r="B12795" s="2" t="str">
        <f>HYPERLINK("http://m.12365auto.com/bbs/postcontent.aspx?tID=193193","卡车松开刹车踏板后刹车回位很慢是怎么回事")</f>
        <v>卡车松开刹车踏板后刹车回位很慢是怎么回事</v>
      </c>
      <c r="C12795" s="2" t="s">
        <v>13</v>
      </c>
      <c r="D12795" s="2" t="s">
        <v>23</v>
      </c>
      <c r="E12795" s="2"/>
      <c r="F12795" s="2" t="str">
        <f>HYPERLINK("http://m.12365auto.com/bbs/postcontent.aspx?tID=193193","http://m.12365auto.com/bbs/postcontent.aspx?tID=193193")</f>
        <v>http://m.12365auto.com/bbs/postcontent.aspx?tID=193193</v>
      </c>
      <c r="G12795" s="2"/>
      <c r="H12795" s="2" t="s">
        <v>17053</v>
      </c>
      <c r="I12795" s="2" t="s">
        <v>15</v>
      </c>
      <c r="J12795" s="2" t="s">
        <v>17037</v>
      </c>
      <c r="K12795" s="2" t="s">
        <v>17050</v>
      </c>
      <c r="L12795" s="2">
        <f t="shared" si="199"/>
        <v>150</v>
      </c>
    </row>
    <row r="12796" spans="1:12" ht="25" customHeight="1">
      <c r="A12796" s="2" t="s">
        <v>12</v>
      </c>
      <c r="B12796" s="2" t="str">
        <f>HYPERLINK("http://m.12365auto.com/bbs/postcontent.aspx?tID=193194","说说发动机冷却系统")</f>
        <v>说说发动机冷却系统</v>
      </c>
      <c r="C12796" s="2" t="s">
        <v>13</v>
      </c>
      <c r="D12796" s="2" t="s">
        <v>23</v>
      </c>
      <c r="E12796" s="2"/>
      <c r="F12796" s="2" t="str">
        <f>HYPERLINK("http://m.12365auto.com/bbs/postcontent.aspx?tID=193194","http://m.12365auto.com/bbs/postcontent.aspx?tID=193194")</f>
        <v>http://m.12365auto.com/bbs/postcontent.aspx?tID=193194</v>
      </c>
      <c r="G12796" s="2"/>
      <c r="H12796" s="2" t="s">
        <v>17052</v>
      </c>
      <c r="I12796" s="2" t="s">
        <v>15</v>
      </c>
      <c r="J12796" s="2" t="s">
        <v>17037</v>
      </c>
      <c r="K12796" s="2" t="s">
        <v>17050</v>
      </c>
      <c r="L12796" s="2">
        <f t="shared" si="199"/>
        <v>150</v>
      </c>
    </row>
    <row r="12797" spans="1:12" ht="25" customHeight="1">
      <c r="A12797" s="2" t="s">
        <v>12</v>
      </c>
      <c r="B12797" s="2" t="str">
        <f>HYPERLINK("http://www.12365auto.com/scbg/20200203/417543.shtml","试驾福特领界 品牌销量最高SUV还带轻混")</f>
        <v>试驾福特领界 品牌销量最高SUV还带轻混</v>
      </c>
      <c r="C12797" s="2" t="s">
        <v>13</v>
      </c>
      <c r="D12797" s="2" t="s">
        <v>12</v>
      </c>
      <c r="E12797" s="2" t="s">
        <v>1548</v>
      </c>
      <c r="F12797" s="2" t="str">
        <f>HYPERLINK("http://www.12365auto.com/scbg/20200203/417543.shtml","http://www.12365auto.com/scbg/20200203/417543.shtml")</f>
        <v>http://www.12365auto.com/scbg/20200203/417543.shtml</v>
      </c>
      <c r="G12797" s="2"/>
      <c r="H12797" s="2" t="s">
        <v>17054</v>
      </c>
      <c r="I12797" s="2" t="s">
        <v>15</v>
      </c>
      <c r="J12797" s="2" t="s">
        <v>12</v>
      </c>
      <c r="K12797" s="2" t="s">
        <v>17055</v>
      </c>
      <c r="L12797" s="2">
        <f t="shared" si="199"/>
        <v>97</v>
      </c>
    </row>
    <row r="12798" spans="1:12" ht="25" customHeight="1">
      <c r="A12798" s="2" t="s">
        <v>12</v>
      </c>
      <c r="B12798" s="2" t="str">
        <f>HYPERLINK("http://m.12365auto.com/scbg/20200203/417543.shtml","试驾福特领界 品牌销量最高SUV还带轻混")</f>
        <v>试驾福特领界 品牌销量最高SUV还带轻混</v>
      </c>
      <c r="C12798" s="2" t="s">
        <v>13</v>
      </c>
      <c r="D12798" s="2" t="s">
        <v>12</v>
      </c>
      <c r="E12798" s="2"/>
      <c r="F12798" s="2" t="str">
        <f>HYPERLINK("http://m.12365auto.com/scbg/20200203/417543.shtml","http://m.12365auto.com/scbg/20200203/417543.shtml")</f>
        <v>http://m.12365auto.com/scbg/20200203/417543.shtml</v>
      </c>
      <c r="G12798" s="2"/>
      <c r="H12798" s="2" t="s">
        <v>17056</v>
      </c>
      <c r="I12798" s="2" t="s">
        <v>19</v>
      </c>
      <c r="J12798" s="2" t="s">
        <v>8604</v>
      </c>
      <c r="K12798" s="2" t="s">
        <v>17055</v>
      </c>
      <c r="L12798" s="2">
        <f t="shared" si="199"/>
        <v>150</v>
      </c>
    </row>
    <row r="12799" spans="1:12" ht="25" customHeight="1">
      <c r="A12799" s="2" t="s">
        <v>12</v>
      </c>
      <c r="B12799" s="2" t="str">
        <f>HYPERLINK("http://bbs.12365auto.com/postcontent.aspx?tID=193192","教你如何判断起动机是否正常")</f>
        <v>教你如何判断起动机是否正常</v>
      </c>
      <c r="C12799" s="2" t="s">
        <v>13</v>
      </c>
      <c r="D12799" s="2" t="s">
        <v>12</v>
      </c>
      <c r="E12799" s="2" t="s">
        <v>28</v>
      </c>
      <c r="F12799" s="2" t="str">
        <f>HYPERLINK("http://bbs.12365auto.com/postcontent.aspx?tID=193192","http://bbs.12365auto.com/postcontent.aspx?tID=193192")</f>
        <v>http://bbs.12365auto.com/postcontent.aspx?tID=193192</v>
      </c>
      <c r="G12799" s="2"/>
      <c r="H12799" s="2" t="s">
        <v>17057</v>
      </c>
      <c r="I12799" s="2" t="s">
        <v>15</v>
      </c>
      <c r="J12799" s="2" t="s">
        <v>17037</v>
      </c>
      <c r="K12799" s="2" t="s">
        <v>17058</v>
      </c>
      <c r="L12799" s="2">
        <f t="shared" si="199"/>
        <v>150</v>
      </c>
    </row>
    <row r="12800" spans="1:12" ht="25" customHeight="1">
      <c r="A12800" s="2" t="s">
        <v>12</v>
      </c>
      <c r="B12800" s="2" t="str">
        <f>HYPERLINK("http://bbs.12365auto.com/postcontent.aspx?tId=193192","教你如何判断起动机是否正常")</f>
        <v>教你如何判断起动机是否正常</v>
      </c>
      <c r="C12800" s="2" t="s">
        <v>13</v>
      </c>
      <c r="D12800" s="2" t="s">
        <v>12</v>
      </c>
      <c r="E12800" s="2" t="s">
        <v>27</v>
      </c>
      <c r="F12800" s="2" t="str">
        <f>HYPERLINK("http://bbs.12365auto.com/postcontent.aspx?tId=193192","http://bbs.12365auto.com/postcontent.aspx?tId=193192")</f>
        <v>http://bbs.12365auto.com/postcontent.aspx?tId=193192</v>
      </c>
      <c r="G12800" s="2"/>
      <c r="H12800" s="2" t="s">
        <v>17059</v>
      </c>
      <c r="I12800" s="2" t="s">
        <v>15</v>
      </c>
      <c r="J12800" s="2" t="s">
        <v>17037</v>
      </c>
      <c r="K12800" s="2" t="s">
        <v>17058</v>
      </c>
      <c r="L12800" s="2">
        <f t="shared" si="199"/>
        <v>150</v>
      </c>
    </row>
    <row r="12801" spans="1:12" ht="25" customHeight="1">
      <c r="A12801" s="2" t="s">
        <v>12</v>
      </c>
      <c r="B12801" s="2" t="str">
        <f>HYPERLINK("http://bbs.12365auto.com/postcontent.aspx?tId=193191","汽车的轮胎螺丝可以反复多次拆装吗")</f>
        <v>汽车的轮胎螺丝可以反复多次拆装吗</v>
      </c>
      <c r="C12801" s="2" t="s">
        <v>13</v>
      </c>
      <c r="D12801" s="2" t="s">
        <v>12</v>
      </c>
      <c r="E12801" s="2" t="s">
        <v>27</v>
      </c>
      <c r="F12801" s="2" t="str">
        <f>HYPERLINK("http://bbs.12365auto.com/postcontent.aspx?tId=193191","http://bbs.12365auto.com/postcontent.aspx?tId=193191")</f>
        <v>http://bbs.12365auto.com/postcontent.aspx?tId=193191</v>
      </c>
      <c r="G12801" s="2"/>
      <c r="H12801" s="2" t="s">
        <v>17060</v>
      </c>
      <c r="I12801" s="2" t="s">
        <v>15</v>
      </c>
      <c r="J12801" s="2" t="s">
        <v>17037</v>
      </c>
      <c r="K12801" s="2" t="s">
        <v>17058</v>
      </c>
      <c r="L12801" s="2">
        <f t="shared" si="199"/>
        <v>150</v>
      </c>
    </row>
    <row r="12802" spans="1:12" ht="25" customHeight="1">
      <c r="A12802" s="2" t="s">
        <v>12</v>
      </c>
      <c r="B12802" s="2" t="str">
        <f>HYPERLINK("http://bbs.12365auto.com/postcontent.aspx?tID=193191","汽车的轮胎螺丝可以反复多次拆装吗")</f>
        <v>汽车的轮胎螺丝可以反复多次拆装吗</v>
      </c>
      <c r="C12802" s="2" t="s">
        <v>13</v>
      </c>
      <c r="D12802" s="2" t="s">
        <v>12</v>
      </c>
      <c r="E12802" s="2" t="s">
        <v>28</v>
      </c>
      <c r="F12802" s="2" t="str">
        <f>HYPERLINK("http://bbs.12365auto.com/postcontent.aspx?tID=193191","http://bbs.12365auto.com/postcontent.aspx?tID=193191")</f>
        <v>http://bbs.12365auto.com/postcontent.aspx?tID=193191</v>
      </c>
      <c r="G12802" s="2"/>
      <c r="H12802" s="2" t="s">
        <v>17061</v>
      </c>
      <c r="I12802" s="2" t="s">
        <v>15</v>
      </c>
      <c r="J12802" s="2" t="s">
        <v>17037</v>
      </c>
      <c r="K12802" s="2" t="s">
        <v>17058</v>
      </c>
      <c r="L12802" s="2">
        <f t="shared" si="199"/>
        <v>150</v>
      </c>
    </row>
    <row r="12803" spans="1:12" ht="25" customHeight="1">
      <c r="A12803" s="2" t="s">
        <v>12</v>
      </c>
      <c r="B12803" s="2" t="str">
        <f>HYPERLINK("http://m.12365auto.com/bbs/postcontent.aspx?tID=193192","教你如何判断起动机是否正常")</f>
        <v>教你如何判断起动机是否正常</v>
      </c>
      <c r="C12803" s="2" t="s">
        <v>13</v>
      </c>
      <c r="D12803" s="2" t="s">
        <v>23</v>
      </c>
      <c r="E12803" s="2"/>
      <c r="F12803" s="2" t="str">
        <f>HYPERLINK("http://m.12365auto.com/bbs/postcontent.aspx?tID=193192","http://m.12365auto.com/bbs/postcontent.aspx?tID=193192")</f>
        <v>http://m.12365auto.com/bbs/postcontent.aspx?tID=193192</v>
      </c>
      <c r="G12803" s="2"/>
      <c r="H12803" s="2" t="s">
        <v>17059</v>
      </c>
      <c r="I12803" s="2" t="s">
        <v>15</v>
      </c>
      <c r="J12803" s="2" t="s">
        <v>17037</v>
      </c>
      <c r="K12803" s="2" t="s">
        <v>17058</v>
      </c>
      <c r="L12803" s="2">
        <f t="shared" ref="L12803:L12866" si="200">LEN(H12803)</f>
        <v>150</v>
      </c>
    </row>
    <row r="12804" spans="1:12" ht="25" customHeight="1">
      <c r="A12804" s="2" t="s">
        <v>12</v>
      </c>
      <c r="B12804" s="2" t="str">
        <f>HYPERLINK("http://m.12365auto.com/bbs/postcontent.aspx?tID=193191","汽车的轮胎螺丝可以反复多次拆装吗")</f>
        <v>汽车的轮胎螺丝可以反复多次拆装吗</v>
      </c>
      <c r="C12804" s="2" t="s">
        <v>13</v>
      </c>
      <c r="D12804" s="2" t="s">
        <v>23</v>
      </c>
      <c r="E12804" s="2"/>
      <c r="F12804" s="2" t="str">
        <f>HYPERLINK("http://m.12365auto.com/bbs/postcontent.aspx?tID=193191","http://m.12365auto.com/bbs/postcontent.aspx?tID=193191")</f>
        <v>http://m.12365auto.com/bbs/postcontent.aspx?tID=193191</v>
      </c>
      <c r="G12804" s="2"/>
      <c r="H12804" s="2" t="s">
        <v>17060</v>
      </c>
      <c r="I12804" s="2" t="s">
        <v>15</v>
      </c>
      <c r="J12804" s="2" t="s">
        <v>17037</v>
      </c>
      <c r="K12804" s="2" t="s">
        <v>17058</v>
      </c>
      <c r="L12804" s="2">
        <f t="shared" si="200"/>
        <v>150</v>
      </c>
    </row>
    <row r="12805" spans="1:12" ht="25" customHeight="1">
      <c r="A12805" s="2" t="s">
        <v>12</v>
      </c>
      <c r="B12805" s="2" t="str">
        <f>HYPERLINK("http://bbs.12365auto.com/postcontent.aspx?tId=193190","为什么教练车大多数是桑塔纳和捷达")</f>
        <v>为什么教练车大多数是桑塔纳和捷达</v>
      </c>
      <c r="C12805" s="2" t="s">
        <v>13</v>
      </c>
      <c r="D12805" s="2" t="s">
        <v>12</v>
      </c>
      <c r="E12805" s="2" t="s">
        <v>27</v>
      </c>
      <c r="F12805" s="2" t="str">
        <f>HYPERLINK("http://bbs.12365auto.com/postcontent.aspx?tId=193190","http://bbs.12365auto.com/postcontent.aspx?tId=193190")</f>
        <v>http://bbs.12365auto.com/postcontent.aspx?tId=193190</v>
      </c>
      <c r="G12805" s="2"/>
      <c r="H12805" s="2" t="s">
        <v>17062</v>
      </c>
      <c r="I12805" s="2" t="s">
        <v>15</v>
      </c>
      <c r="J12805" s="2" t="s">
        <v>17037</v>
      </c>
      <c r="K12805" s="2" t="s">
        <v>17063</v>
      </c>
      <c r="L12805" s="2">
        <f t="shared" si="200"/>
        <v>150</v>
      </c>
    </row>
    <row r="12806" spans="1:12" ht="25" customHeight="1">
      <c r="A12806" s="2" t="s">
        <v>12</v>
      </c>
      <c r="B12806" s="2" t="str">
        <f>HYPERLINK("http://bbs.12365auto.com/postcontent.aspx?tID=193190","为什么教练车大多数是桑塔纳和捷达")</f>
        <v>为什么教练车大多数是桑塔纳和捷达</v>
      </c>
      <c r="C12806" s="2" t="s">
        <v>13</v>
      </c>
      <c r="D12806" s="2" t="s">
        <v>12</v>
      </c>
      <c r="E12806" s="2" t="s">
        <v>28</v>
      </c>
      <c r="F12806" s="2" t="str">
        <f>HYPERLINK("http://bbs.12365auto.com/postcontent.aspx?tID=193190","http://bbs.12365auto.com/postcontent.aspx?tID=193190")</f>
        <v>http://bbs.12365auto.com/postcontent.aspx?tID=193190</v>
      </c>
      <c r="G12806" s="2"/>
      <c r="H12806" s="2" t="s">
        <v>17064</v>
      </c>
      <c r="I12806" s="2" t="s">
        <v>15</v>
      </c>
      <c r="J12806" s="2" t="s">
        <v>17037</v>
      </c>
      <c r="K12806" s="2" t="s">
        <v>17063</v>
      </c>
      <c r="L12806" s="2">
        <f t="shared" si="200"/>
        <v>150</v>
      </c>
    </row>
    <row r="12807" spans="1:12" ht="25" customHeight="1">
      <c r="A12807" s="2" t="s">
        <v>12</v>
      </c>
      <c r="B12807" s="2" t="str">
        <f>HYPERLINK("http://m.12365auto.com/bbs/postcontent.aspx?tID=193190","为什么教练车大多数是桑塔纳和捷达")</f>
        <v>为什么教练车大多数是桑塔纳和捷达</v>
      </c>
      <c r="C12807" s="2" t="s">
        <v>13</v>
      </c>
      <c r="D12807" s="2" t="s">
        <v>23</v>
      </c>
      <c r="E12807" s="2"/>
      <c r="F12807" s="2" t="str">
        <f>HYPERLINK("http://m.12365auto.com/bbs/postcontent.aspx?tID=193190","http://m.12365auto.com/bbs/postcontent.aspx?tID=193190")</f>
        <v>http://m.12365auto.com/bbs/postcontent.aspx?tID=193190</v>
      </c>
      <c r="G12807" s="2"/>
      <c r="H12807" s="2" t="s">
        <v>17062</v>
      </c>
      <c r="I12807" s="2" t="s">
        <v>15</v>
      </c>
      <c r="J12807" s="2" t="s">
        <v>17037</v>
      </c>
      <c r="K12807" s="2" t="s">
        <v>17063</v>
      </c>
      <c r="L12807" s="2">
        <f t="shared" si="200"/>
        <v>150</v>
      </c>
    </row>
    <row r="12808" spans="1:12" ht="25" customHeight="1">
      <c r="A12808" s="2" t="s">
        <v>12</v>
      </c>
      <c r="B12808" s="2" t="str">
        <f>HYPERLINK("http://m.12365auto.com/scbg/20200203/417542.shtml","更多科技新装备 看皓影的实际表现如何")</f>
        <v>更多科技新装备 看皓影的实际表现如何</v>
      </c>
      <c r="C12808" s="2" t="s">
        <v>13</v>
      </c>
      <c r="D12808" s="2" t="s">
        <v>12</v>
      </c>
      <c r="E12808" s="2"/>
      <c r="F12808" s="2" t="str">
        <f>HYPERLINK("http://m.12365auto.com/scbg/20200203/417542.shtml","http://m.12365auto.com/scbg/20200203/417542.shtml")</f>
        <v>http://m.12365auto.com/scbg/20200203/417542.shtml</v>
      </c>
      <c r="G12808" s="2"/>
      <c r="H12808" s="2" t="s">
        <v>17065</v>
      </c>
      <c r="I12808" s="2" t="s">
        <v>19</v>
      </c>
      <c r="J12808" s="2" t="s">
        <v>1775</v>
      </c>
      <c r="K12808" s="2" t="s">
        <v>17066</v>
      </c>
      <c r="L12808" s="2">
        <f t="shared" si="200"/>
        <v>150</v>
      </c>
    </row>
    <row r="12809" spans="1:12" ht="25" customHeight="1">
      <c r="A12809" s="2" t="s">
        <v>12</v>
      </c>
      <c r="B12809" s="2" t="str">
        <f>HYPERLINK("http://www.12365auto.com/scbg/20200203/417542.shtml","更多科技新装备 看皓影的实际表现如何")</f>
        <v>更多科技新装备 看皓影的实际表现如何</v>
      </c>
      <c r="C12809" s="2" t="s">
        <v>13</v>
      </c>
      <c r="D12809" s="2" t="s">
        <v>12</v>
      </c>
      <c r="E12809" s="2" t="s">
        <v>1548</v>
      </c>
      <c r="F12809" s="2" t="str">
        <f>HYPERLINK("http://www.12365auto.com/scbg/20200203/417542.shtml","http://www.12365auto.com/scbg/20200203/417542.shtml")</f>
        <v>http://www.12365auto.com/scbg/20200203/417542.shtml</v>
      </c>
      <c r="G12809" s="2"/>
      <c r="H12809" s="2" t="s">
        <v>17067</v>
      </c>
      <c r="I12809" s="2" t="s">
        <v>15</v>
      </c>
      <c r="J12809" s="2" t="s">
        <v>12</v>
      </c>
      <c r="K12809" s="2" t="s">
        <v>17066</v>
      </c>
      <c r="L12809" s="2">
        <f t="shared" si="200"/>
        <v>150</v>
      </c>
    </row>
    <row r="12810" spans="1:12" ht="25" customHeight="1">
      <c r="A12810" s="2" t="s">
        <v>12</v>
      </c>
      <c r="B12810" s="2" t="str">
        <f>HYPERLINK("http://m.12365auto.com/scbg/20200203/417541.shtml","电气化竞赛的秘密武器 试驾沃尔沃S60 T8")</f>
        <v>电气化竞赛的秘密武器 试驾沃尔沃S60 T8</v>
      </c>
      <c r="C12810" s="2" t="s">
        <v>13</v>
      </c>
      <c r="D12810" s="2" t="s">
        <v>12</v>
      </c>
      <c r="E12810" s="2"/>
      <c r="F12810" s="2" t="str">
        <f>HYPERLINK("http://m.12365auto.com/scbg/20200203/417541.shtml","http://m.12365auto.com/scbg/20200203/417541.shtml")</f>
        <v>http://m.12365auto.com/scbg/20200203/417541.shtml</v>
      </c>
      <c r="G12810" s="2"/>
      <c r="H12810" s="2" t="s">
        <v>17068</v>
      </c>
      <c r="I12810" s="2" t="s">
        <v>19</v>
      </c>
      <c r="J12810" s="2" t="s">
        <v>1573</v>
      </c>
      <c r="K12810" s="2" t="s">
        <v>17069</v>
      </c>
      <c r="L12810" s="2">
        <f t="shared" si="200"/>
        <v>150</v>
      </c>
    </row>
    <row r="12811" spans="1:12" ht="25" customHeight="1">
      <c r="A12811" s="2" t="s">
        <v>12</v>
      </c>
      <c r="B12811" s="2" t="str">
        <f>HYPERLINK("http://www.12365auto.com/scbg/20200203/417541.shtml","电气化竞赛的秘密武器 试驾沃尔沃S60 T8")</f>
        <v>电气化竞赛的秘密武器 试驾沃尔沃S60 T8</v>
      </c>
      <c r="C12811" s="2" t="s">
        <v>13</v>
      </c>
      <c r="D12811" s="2" t="s">
        <v>12</v>
      </c>
      <c r="E12811" s="2" t="s">
        <v>1548</v>
      </c>
      <c r="F12811" s="2" t="str">
        <f>HYPERLINK("http://www.12365auto.com/scbg/20200203/417541.shtml","http://www.12365auto.com/scbg/20200203/417541.shtml")</f>
        <v>http://www.12365auto.com/scbg/20200203/417541.shtml</v>
      </c>
      <c r="G12811" s="2"/>
      <c r="H12811" s="2" t="s">
        <v>17070</v>
      </c>
      <c r="I12811" s="2" t="s">
        <v>15</v>
      </c>
      <c r="J12811" s="2" t="s">
        <v>12</v>
      </c>
      <c r="K12811" s="2" t="s">
        <v>17069</v>
      </c>
      <c r="L12811" s="2">
        <f t="shared" si="200"/>
        <v>150</v>
      </c>
    </row>
    <row r="12812" spans="1:12" ht="25" customHeight="1">
      <c r="A12812" s="2" t="s">
        <v>12</v>
      </c>
      <c r="B12812" s="2" t="str">
        <f>HYPERLINK("http://m.12365auto.com/xcdg/20200203/417540.shtml","预防新型肺炎 盘点带空气净化功能车型")</f>
        <v>预防新型肺炎 盘点带空气净化功能车型</v>
      </c>
      <c r="C12812" s="2" t="s">
        <v>13</v>
      </c>
      <c r="D12812" s="2" t="s">
        <v>12</v>
      </c>
      <c r="E12812" s="2"/>
      <c r="F12812" s="2" t="str">
        <f>HYPERLINK("http://m.12365auto.com/xcdg/20200203/417540.shtml","http://m.12365auto.com/xcdg/20200203/417540.shtml")</f>
        <v>http://m.12365auto.com/xcdg/20200203/417540.shtml</v>
      </c>
      <c r="G12812" s="2"/>
      <c r="H12812" s="2" t="s">
        <v>17071</v>
      </c>
      <c r="I12812" s="2" t="s">
        <v>19</v>
      </c>
      <c r="J12812" s="2" t="s">
        <v>8604</v>
      </c>
      <c r="K12812" s="2" t="s">
        <v>17072</v>
      </c>
      <c r="L12812" s="2">
        <f t="shared" si="200"/>
        <v>150</v>
      </c>
    </row>
    <row r="12813" spans="1:12" ht="25" customHeight="1">
      <c r="A12813" s="2" t="s">
        <v>12</v>
      </c>
      <c r="B12813" s="2" t="str">
        <f>HYPERLINK("http://www.12365auto.com/xcdg/20200203/417539.shtml","没买车再等等 春节后这些欧系SUV将上市")</f>
        <v>没买车再等等 春节后这些欧系SUV将上市</v>
      </c>
      <c r="C12813" s="2" t="s">
        <v>13</v>
      </c>
      <c r="D12813" s="2" t="s">
        <v>12</v>
      </c>
      <c r="E12813" s="2" t="s">
        <v>216</v>
      </c>
      <c r="F12813" s="2" t="str">
        <f>HYPERLINK("http://www.12365auto.com/xcdg/20200203/417539.shtml","http://www.12365auto.com/xcdg/20200203/417539.shtml")</f>
        <v>http://www.12365auto.com/xcdg/20200203/417539.shtml</v>
      </c>
      <c r="G12813" s="2"/>
      <c r="H12813" s="2" t="s">
        <v>17073</v>
      </c>
      <c r="I12813" s="2" t="s">
        <v>15</v>
      </c>
      <c r="J12813" s="2" t="s">
        <v>12</v>
      </c>
      <c r="K12813" s="2" t="s">
        <v>17074</v>
      </c>
      <c r="L12813" s="2">
        <f t="shared" si="200"/>
        <v>150</v>
      </c>
    </row>
    <row r="12814" spans="1:12" ht="25" customHeight="1">
      <c r="A12814" s="2" t="s">
        <v>12</v>
      </c>
      <c r="B12814" s="2" t="str">
        <f>HYPERLINK("http://m.12365auto.com/xcdg/20200203/417539.shtml","没买车再等等 春节后这些欧系SUV将上市")</f>
        <v>没买车再等等 春节后这些欧系SUV将上市</v>
      </c>
      <c r="C12814" s="2" t="s">
        <v>13</v>
      </c>
      <c r="D12814" s="2" t="s">
        <v>12</v>
      </c>
      <c r="E12814" s="2"/>
      <c r="F12814" s="2" t="str">
        <f>HYPERLINK("http://m.12365auto.com/xcdg/20200203/417539.shtml","http://m.12365auto.com/xcdg/20200203/417539.shtml")</f>
        <v>http://m.12365auto.com/xcdg/20200203/417539.shtml</v>
      </c>
      <c r="G12814" s="2"/>
      <c r="H12814" s="2" t="s">
        <v>17075</v>
      </c>
      <c r="I12814" s="2" t="s">
        <v>19</v>
      </c>
      <c r="J12814" s="2" t="s">
        <v>13546</v>
      </c>
      <c r="K12814" s="2" t="s">
        <v>17074</v>
      </c>
      <c r="L12814" s="2">
        <f t="shared" si="200"/>
        <v>150</v>
      </c>
    </row>
    <row r="12815" spans="1:12" ht="25" customHeight="1">
      <c r="A12815" s="2" t="s">
        <v>12</v>
      </c>
      <c r="B12815" s="2" t="str">
        <f>HYPERLINK("http://m.12365auto.com/xcdg/20200203/417538.shtml","没买车再等等 春节后这些欧系家轿将上市")</f>
        <v>没买车再等等 春节后这些欧系家轿将上市</v>
      </c>
      <c r="C12815" s="2" t="s">
        <v>13</v>
      </c>
      <c r="D12815" s="2" t="s">
        <v>12</v>
      </c>
      <c r="E12815" s="2"/>
      <c r="F12815" s="2" t="str">
        <f>HYPERLINK("http://m.12365auto.com/xcdg/20200203/417538.shtml","http://m.12365auto.com/xcdg/20200203/417538.shtml")</f>
        <v>http://m.12365auto.com/xcdg/20200203/417538.shtml</v>
      </c>
      <c r="G12815" s="2"/>
      <c r="H12815" s="2" t="s">
        <v>17076</v>
      </c>
      <c r="I12815" s="2" t="s">
        <v>19</v>
      </c>
      <c r="J12815" s="2" t="s">
        <v>5774</v>
      </c>
      <c r="K12815" s="2" t="s">
        <v>17077</v>
      </c>
      <c r="L12815" s="2">
        <f t="shared" si="200"/>
        <v>150</v>
      </c>
    </row>
    <row r="12816" spans="1:12" ht="25" customHeight="1">
      <c r="A12816" s="2" t="s">
        <v>12</v>
      </c>
      <c r="B12816" s="2" t="str">
        <f>HYPERLINK("http://www.12365auto.com/xcdg/20200203/417538.shtml","没买车再等等 春节后这些欧系家轿将上市")</f>
        <v>没买车再等等 春节后这些欧系家轿将上市</v>
      </c>
      <c r="C12816" s="2" t="s">
        <v>13</v>
      </c>
      <c r="D12816" s="2" t="s">
        <v>12</v>
      </c>
      <c r="E12816" s="2" t="s">
        <v>216</v>
      </c>
      <c r="F12816" s="2" t="str">
        <f>HYPERLINK("http://www.12365auto.com/xcdg/20200203/417538.shtml","http://www.12365auto.com/xcdg/20200203/417538.shtml")</f>
        <v>http://www.12365auto.com/xcdg/20200203/417538.shtml</v>
      </c>
      <c r="G12816" s="2"/>
      <c r="H12816" s="2" t="s">
        <v>17078</v>
      </c>
      <c r="I12816" s="2" t="s">
        <v>15</v>
      </c>
      <c r="J12816" s="2" t="s">
        <v>12</v>
      </c>
      <c r="K12816" s="2" t="s">
        <v>17077</v>
      </c>
      <c r="L12816" s="2">
        <f t="shared" si="200"/>
        <v>150</v>
      </c>
    </row>
    <row r="12817" spans="1:12" ht="25" customHeight="1">
      <c r="A12817" s="2" t="s">
        <v>12</v>
      </c>
      <c r="B12817" s="2" t="str">
        <f>HYPERLINK("http://m.12365auto.com/xcdg/20200203/417537.shtml","在家选车 2020年值得购买的日韩系SUV")</f>
        <v>在家选车 2020年值得购买的日韩系SUV</v>
      </c>
      <c r="C12817" s="2" t="s">
        <v>13</v>
      </c>
      <c r="D12817" s="2" t="s">
        <v>12</v>
      </c>
      <c r="E12817" s="2"/>
      <c r="F12817" s="2" t="str">
        <f>HYPERLINK("http://m.12365auto.com/xcdg/20200203/417537.shtml","http://m.12365auto.com/xcdg/20200203/417537.shtml")</f>
        <v>http://m.12365auto.com/xcdg/20200203/417537.shtml</v>
      </c>
      <c r="G12817" s="2"/>
      <c r="H12817" s="2" t="s">
        <v>17079</v>
      </c>
      <c r="I12817" s="2" t="s">
        <v>19</v>
      </c>
      <c r="J12817" s="2" t="s">
        <v>2509</v>
      </c>
      <c r="K12817" s="2" t="s">
        <v>17080</v>
      </c>
      <c r="L12817" s="2">
        <f t="shared" si="200"/>
        <v>150</v>
      </c>
    </row>
    <row r="12818" spans="1:12" ht="25" customHeight="1">
      <c r="A12818" s="2" t="s">
        <v>12</v>
      </c>
      <c r="B12818" s="2" t="str">
        <f>HYPERLINK("http://www.12365auto.com/xcdg/20200203/417536.shtml","在家选车 2020年值得购买的日韩系家轿")</f>
        <v>在家选车 2020年值得购买的日韩系家轿</v>
      </c>
      <c r="C12818" s="2" t="s">
        <v>13</v>
      </c>
      <c r="D12818" s="2" t="s">
        <v>12</v>
      </c>
      <c r="E12818" s="2" t="s">
        <v>216</v>
      </c>
      <c r="F12818" s="2" t="str">
        <f>HYPERLINK("http://www.12365auto.com/xcdg/20200203/417536.shtml","http://www.12365auto.com/xcdg/20200203/417536.shtml")</f>
        <v>http://www.12365auto.com/xcdg/20200203/417536.shtml</v>
      </c>
      <c r="G12818" s="2"/>
      <c r="H12818" s="2" t="s">
        <v>17081</v>
      </c>
      <c r="I12818" s="2" t="s">
        <v>15</v>
      </c>
      <c r="J12818" s="2" t="s">
        <v>12</v>
      </c>
      <c r="K12818" s="2" t="s">
        <v>17082</v>
      </c>
      <c r="L12818" s="2">
        <f t="shared" si="200"/>
        <v>150</v>
      </c>
    </row>
    <row r="12819" spans="1:12" ht="25" customHeight="1">
      <c r="A12819" s="2" t="s">
        <v>12</v>
      </c>
      <c r="B12819" s="2" t="str">
        <f>HYPERLINK("http://m.12365auto.com/xcdg/20200203/417536.shtml","在家选车 2020年值得购买的日韩系家轿")</f>
        <v>在家选车 2020年值得购买的日韩系家轿</v>
      </c>
      <c r="C12819" s="2" t="s">
        <v>13</v>
      </c>
      <c r="D12819" s="2" t="s">
        <v>12</v>
      </c>
      <c r="E12819" s="2"/>
      <c r="F12819" s="2" t="str">
        <f>HYPERLINK("http://m.12365auto.com/xcdg/20200203/417536.shtml","http://m.12365auto.com/xcdg/20200203/417536.shtml")</f>
        <v>http://m.12365auto.com/xcdg/20200203/417536.shtml</v>
      </c>
      <c r="G12819" s="2"/>
      <c r="H12819" s="2" t="s">
        <v>17083</v>
      </c>
      <c r="I12819" s="2" t="s">
        <v>19</v>
      </c>
      <c r="J12819" s="2" t="s">
        <v>1775</v>
      </c>
      <c r="K12819" s="2" t="s">
        <v>17082</v>
      </c>
      <c r="L12819" s="2">
        <f t="shared" si="200"/>
        <v>150</v>
      </c>
    </row>
    <row r="12820" spans="1:12" ht="25" customHeight="1">
      <c r="A12820" s="2" t="s">
        <v>12</v>
      </c>
      <c r="B12820" s="2" t="str">
        <f>HYPERLINK("http://www.12365auto.com/zlts/20200203/446196.shtml","发动机点火线圈故障、散热器出现渗油漏油")</f>
        <v>发动机点火线圈故障、散热器出现渗油漏油</v>
      </c>
      <c r="C12820" s="2" t="s">
        <v>13</v>
      </c>
      <c r="D12820" s="2" t="s">
        <v>12</v>
      </c>
      <c r="E12820" s="2"/>
      <c r="F12820" s="2" t="str">
        <f>HYPERLINK("http://www.12365auto.com/zlts/20200203/446196.shtml","http://www.12365auto.com/zlts/20200203/446196.shtml")</f>
        <v>http://www.12365auto.com/zlts/20200203/446196.shtml</v>
      </c>
      <c r="G12820" s="2"/>
      <c r="H12820" s="2" t="s">
        <v>17085</v>
      </c>
      <c r="I12820" s="2" t="s">
        <v>15</v>
      </c>
      <c r="J12820" s="2" t="s">
        <v>12</v>
      </c>
      <c r="K12820" s="2" t="s">
        <v>17084</v>
      </c>
      <c r="L12820" s="2">
        <f t="shared" si="200"/>
        <v>85</v>
      </c>
    </row>
    <row r="12821" spans="1:12" ht="25" customHeight="1">
      <c r="A12821" s="2" t="s">
        <v>12</v>
      </c>
      <c r="B12821" s="2" t="str">
        <f>HYPERLINK("http://www.12365auto.com/news/20200203/417535.shtml","不仅颜值在线 新车开箱2019款Aion S")</f>
        <v>不仅颜值在线 新车开箱2019款Aion S</v>
      </c>
      <c r="C12821" s="2" t="s">
        <v>13</v>
      </c>
      <c r="D12821" s="2" t="s">
        <v>12</v>
      </c>
      <c r="E12821" s="2" t="s">
        <v>372</v>
      </c>
      <c r="F12821" s="2" t="str">
        <f>HYPERLINK("http://www.12365auto.com/news/20200203/417535.shtml","http://www.12365auto.com/news/20200203/417535.shtml")</f>
        <v>http://www.12365auto.com/news/20200203/417535.shtml</v>
      </c>
      <c r="G12821" s="2"/>
      <c r="H12821" s="2" t="s">
        <v>17086</v>
      </c>
      <c r="I12821" s="2" t="s">
        <v>15</v>
      </c>
      <c r="J12821" s="2" t="s">
        <v>12</v>
      </c>
      <c r="K12821" s="2" t="s">
        <v>17087</v>
      </c>
      <c r="L12821" s="2">
        <f t="shared" si="200"/>
        <v>150</v>
      </c>
    </row>
    <row r="12822" spans="1:12" ht="25" customHeight="1">
      <c r="A12822" s="2" t="s">
        <v>12</v>
      </c>
      <c r="B12822" s="2" t="str">
        <f>HYPERLINK("http://m.12365auto.com/news/20200203/417535.shtml","不仅颜值在线 新车开箱2019款Aion S")</f>
        <v>不仅颜值在线 新车开箱2019款Aion S</v>
      </c>
      <c r="C12822" s="2" t="s">
        <v>13</v>
      </c>
      <c r="D12822" s="2" t="s">
        <v>12</v>
      </c>
      <c r="E12822" s="2"/>
      <c r="F12822" s="2" t="str">
        <f>HYPERLINK("http://m.12365auto.com/news/20200203/417535.shtml","http://m.12365auto.com/news/20200203/417535.shtml")</f>
        <v>http://m.12365auto.com/news/20200203/417535.shtml</v>
      </c>
      <c r="G12822" s="2"/>
      <c r="H12822" s="2" t="s">
        <v>17088</v>
      </c>
      <c r="I12822" s="2" t="s">
        <v>19</v>
      </c>
      <c r="J12822" s="2" t="s">
        <v>297</v>
      </c>
      <c r="K12822" s="2" t="s">
        <v>17087</v>
      </c>
      <c r="L12822" s="2">
        <f t="shared" si="200"/>
        <v>150</v>
      </c>
    </row>
    <row r="12823" spans="1:12" ht="25" customHeight="1">
      <c r="A12823" s="2" t="s">
        <v>12</v>
      </c>
      <c r="B12823" s="2" t="str">
        <f>HYPERLINK("http://m.12365auto.com/xcdg/20200203/417534.shtml","解读低配车 实拍解读最低配华晨宝马X2")</f>
        <v>解读低配车 实拍解读最低配华晨宝马X2</v>
      </c>
      <c r="C12823" s="2" t="s">
        <v>13</v>
      </c>
      <c r="D12823" s="2" t="s">
        <v>12</v>
      </c>
      <c r="E12823" s="2"/>
      <c r="F12823" s="2" t="str">
        <f>HYPERLINK("http://m.12365auto.com/xcdg/20200203/417534.shtml","http://m.12365auto.com/xcdg/20200203/417534.shtml")</f>
        <v>http://m.12365auto.com/xcdg/20200203/417534.shtml</v>
      </c>
      <c r="G12823" s="2"/>
      <c r="H12823" s="2" t="s">
        <v>17089</v>
      </c>
      <c r="I12823" s="2" t="s">
        <v>19</v>
      </c>
      <c r="J12823" s="2" t="s">
        <v>9048</v>
      </c>
      <c r="K12823" s="2" t="s">
        <v>17090</v>
      </c>
      <c r="L12823" s="2">
        <f t="shared" si="200"/>
        <v>150</v>
      </c>
    </row>
    <row r="12824" spans="1:12" ht="25" customHeight="1">
      <c r="A12824" s="2" t="s">
        <v>12</v>
      </c>
      <c r="B12824" s="2" t="str">
        <f>HYPERLINK("http://m.12365auto.com/news/20200203/417533.shtml","助力印度2.0计划 斯柯达新建数字实验室")</f>
        <v>助力印度2.0计划 斯柯达新建数字实验室</v>
      </c>
      <c r="C12824" s="2" t="s">
        <v>13</v>
      </c>
      <c r="D12824" s="2" t="s">
        <v>12</v>
      </c>
      <c r="E12824" s="2"/>
      <c r="F12824" s="2" t="str">
        <f>HYPERLINK("http://m.12365auto.com/news/20200203/417533.shtml","http://m.12365auto.com/news/20200203/417533.shtml")</f>
        <v>http://m.12365auto.com/news/20200203/417533.shtml</v>
      </c>
      <c r="G12824" s="2"/>
      <c r="H12824" s="2" t="s">
        <v>17091</v>
      </c>
      <c r="I12824" s="2" t="s">
        <v>19</v>
      </c>
      <c r="J12824" s="2" t="s">
        <v>1170</v>
      </c>
      <c r="K12824" s="2" t="s">
        <v>17092</v>
      </c>
      <c r="L12824" s="2">
        <f t="shared" si="200"/>
        <v>150</v>
      </c>
    </row>
    <row r="12825" spans="1:12" ht="25" customHeight="1">
      <c r="A12825" s="2" t="s">
        <v>12</v>
      </c>
      <c r="B12825" s="2" t="str">
        <f>HYPERLINK("http://www.12365auto.com/news/20200203/417533.shtml","助力印度2.0计划 斯柯达新建数字实验室")</f>
        <v>助力印度2.0计划 斯柯达新建数字实验室</v>
      </c>
      <c r="C12825" s="2" t="s">
        <v>13</v>
      </c>
      <c r="D12825" s="2" t="s">
        <v>12</v>
      </c>
      <c r="E12825" s="2" t="s">
        <v>276</v>
      </c>
      <c r="F12825" s="2" t="str">
        <f>HYPERLINK("http://www.12365auto.com/news/20200203/417533.shtml","http://www.12365auto.com/news/20200203/417533.shtml")</f>
        <v>http://www.12365auto.com/news/20200203/417533.shtml</v>
      </c>
      <c r="G12825" s="2"/>
      <c r="H12825" s="2" t="s">
        <v>17093</v>
      </c>
      <c r="I12825" s="2" t="s">
        <v>15</v>
      </c>
      <c r="J12825" s="2" t="s">
        <v>12</v>
      </c>
      <c r="K12825" s="2" t="s">
        <v>17092</v>
      </c>
      <c r="L12825" s="2">
        <f t="shared" si="200"/>
        <v>150</v>
      </c>
    </row>
    <row r="12826" spans="1:12" ht="25" customHeight="1">
      <c r="A12826" s="2" t="s">
        <v>12</v>
      </c>
      <c r="B12826" s="2" t="str">
        <f>HYPERLINK("http://m.12365auto.com/parts/20200203/417532.shtml","超越欧6d标准 大众发布新款柴油发动机")</f>
        <v>超越欧6d标准 大众发布新款柴油发动机</v>
      </c>
      <c r="C12826" s="2" t="s">
        <v>13</v>
      </c>
      <c r="D12826" s="2" t="s">
        <v>12</v>
      </c>
      <c r="E12826" s="2"/>
      <c r="F12826" s="2" t="str">
        <f>HYPERLINK("http://m.12365auto.com/parts/20200203/417532.shtml","http://m.12365auto.com/parts/20200203/417532.shtml")</f>
        <v>http://m.12365auto.com/parts/20200203/417532.shtml</v>
      </c>
      <c r="G12826" s="2"/>
      <c r="H12826" s="2" t="s">
        <v>17094</v>
      </c>
      <c r="I12826" s="2" t="s">
        <v>19</v>
      </c>
      <c r="J12826" s="2" t="s">
        <v>270</v>
      </c>
      <c r="K12826" s="2" t="s">
        <v>17095</v>
      </c>
      <c r="L12826" s="2">
        <f t="shared" si="200"/>
        <v>150</v>
      </c>
    </row>
    <row r="12827" spans="1:12" ht="25" customHeight="1">
      <c r="A12827" s="2" t="s">
        <v>12</v>
      </c>
      <c r="B12827" s="2" t="str">
        <f>HYPERLINK("http://www.12365auto.com/parts/20200203/417532.shtml","超越欧6d标准 大众发布新款柴油发动机")</f>
        <v>超越欧6d标准 大众发布新款柴油发动机</v>
      </c>
      <c r="C12827" s="2" t="s">
        <v>13</v>
      </c>
      <c r="D12827" s="2" t="s">
        <v>12</v>
      </c>
      <c r="E12827" s="2" t="s">
        <v>240</v>
      </c>
      <c r="F12827" s="2" t="str">
        <f>HYPERLINK("http://www.12365auto.com/parts/20200203/417532.shtml","http://www.12365auto.com/parts/20200203/417532.shtml")</f>
        <v>http://www.12365auto.com/parts/20200203/417532.shtml</v>
      </c>
      <c r="G12827" s="2"/>
      <c r="H12827" s="2" t="s">
        <v>17096</v>
      </c>
      <c r="I12827" s="2" t="s">
        <v>15</v>
      </c>
      <c r="J12827" s="2" t="s">
        <v>12</v>
      </c>
      <c r="K12827" s="2" t="s">
        <v>17095</v>
      </c>
      <c r="L12827" s="2">
        <f t="shared" si="200"/>
        <v>150</v>
      </c>
    </row>
    <row r="12828" spans="1:12" ht="25" customHeight="1">
      <c r="A12828" s="2" t="s">
        <v>12</v>
      </c>
      <c r="B12828" s="2" t="str">
        <f>HYPERLINK("http://www.12365auto.com/xcdg/20200203/417531.shtml","依然硬汉风 悍马纯电动车假想图曝光")</f>
        <v>依然硬汉风 悍马纯电动车假想图曝光</v>
      </c>
      <c r="C12828" s="2" t="s">
        <v>13</v>
      </c>
      <c r="D12828" s="2" t="s">
        <v>12</v>
      </c>
      <c r="E12828" s="2" t="s">
        <v>216</v>
      </c>
      <c r="F12828" s="2" t="str">
        <f>HYPERLINK("http://www.12365auto.com/xcdg/20200203/417531.shtml","http://www.12365auto.com/xcdg/20200203/417531.shtml")</f>
        <v>http://www.12365auto.com/xcdg/20200203/417531.shtml</v>
      </c>
      <c r="G12828" s="2"/>
      <c r="H12828" s="2" t="s">
        <v>17097</v>
      </c>
      <c r="I12828" s="2" t="s">
        <v>15</v>
      </c>
      <c r="J12828" s="2" t="s">
        <v>12</v>
      </c>
      <c r="K12828" s="2" t="s">
        <v>17098</v>
      </c>
      <c r="L12828" s="2">
        <f t="shared" si="200"/>
        <v>150</v>
      </c>
    </row>
    <row r="12829" spans="1:12" ht="25" customHeight="1">
      <c r="A12829" s="2" t="s">
        <v>12</v>
      </c>
      <c r="B12829" s="2" t="str">
        <f>HYPERLINK("http://m.12365auto.com/xcdg/20200203/417531.shtml","依然硬汉风 悍马纯电动车假想图曝光")</f>
        <v>依然硬汉风 悍马纯电动车假想图曝光</v>
      </c>
      <c r="C12829" s="2" t="s">
        <v>13</v>
      </c>
      <c r="D12829" s="2" t="s">
        <v>12</v>
      </c>
      <c r="E12829" s="2"/>
      <c r="F12829" s="2" t="str">
        <f>HYPERLINK("http://m.12365auto.com/xcdg/20200203/417531.shtml","http://m.12365auto.com/xcdg/20200203/417531.shtml")</f>
        <v>http://m.12365auto.com/xcdg/20200203/417531.shtml</v>
      </c>
      <c r="G12829" s="2"/>
      <c r="H12829" s="2" t="s">
        <v>17099</v>
      </c>
      <c r="I12829" s="2" t="s">
        <v>19</v>
      </c>
      <c r="J12829" s="2" t="s">
        <v>17006</v>
      </c>
      <c r="K12829" s="2" t="s">
        <v>17098</v>
      </c>
      <c r="L12829" s="2">
        <f t="shared" si="200"/>
        <v>150</v>
      </c>
    </row>
    <row r="12830" spans="1:12" ht="25" customHeight="1">
      <c r="A12830" s="2" t="s">
        <v>12</v>
      </c>
      <c r="B12830" s="2" t="str">
        <f>HYPERLINK("http://www.12365auto.com/news/20200203/417530.shtml","车企减产170万辆 疫情严重影响中国车市")</f>
        <v>车企减产170万辆 疫情严重影响中国车市</v>
      </c>
      <c r="C12830" s="2" t="s">
        <v>13</v>
      </c>
      <c r="D12830" s="2" t="s">
        <v>12</v>
      </c>
      <c r="E12830" s="2" t="s">
        <v>276</v>
      </c>
      <c r="F12830" s="2" t="str">
        <f>HYPERLINK("http://www.12365auto.com/news/20200203/417530.shtml","http://www.12365auto.com/news/20200203/417530.shtml")</f>
        <v>http://www.12365auto.com/news/20200203/417530.shtml</v>
      </c>
      <c r="G12830" s="2"/>
      <c r="H12830" s="2" t="s">
        <v>17100</v>
      </c>
      <c r="I12830" s="2" t="s">
        <v>15</v>
      </c>
      <c r="J12830" s="2" t="s">
        <v>12</v>
      </c>
      <c r="K12830" s="2" t="s">
        <v>17101</v>
      </c>
      <c r="L12830" s="2">
        <f t="shared" si="200"/>
        <v>150</v>
      </c>
    </row>
    <row r="12831" spans="1:12" ht="25" customHeight="1">
      <c r="A12831" s="2" t="s">
        <v>12</v>
      </c>
      <c r="B12831" s="2" t="str">
        <f>HYPERLINK("http://m.12365auto.com/news/20200203/417530.shtml","车企减产170万辆 疫情严重影响中国车市")</f>
        <v>车企减产170万辆 疫情严重影响中国车市</v>
      </c>
      <c r="C12831" s="2" t="s">
        <v>13</v>
      </c>
      <c r="D12831" s="2" t="s">
        <v>12</v>
      </c>
      <c r="E12831" s="2"/>
      <c r="F12831" s="2" t="str">
        <f>HYPERLINK("http://m.12365auto.com/news/20200203/417530.shtml","http://m.12365auto.com/news/20200203/417530.shtml")</f>
        <v>http://m.12365auto.com/news/20200203/417530.shtml</v>
      </c>
      <c r="G12831" s="2"/>
      <c r="H12831" s="2" t="s">
        <v>17102</v>
      </c>
      <c r="I12831" s="2" t="s">
        <v>19</v>
      </c>
      <c r="J12831" s="2" t="s">
        <v>1170</v>
      </c>
      <c r="K12831" s="2" t="s">
        <v>17101</v>
      </c>
      <c r="L12831" s="2">
        <f t="shared" si="200"/>
        <v>150</v>
      </c>
    </row>
    <row r="12832" spans="1:12" ht="25" customHeight="1">
      <c r="A12832" s="2" t="s">
        <v>12</v>
      </c>
      <c r="B12832" s="2" t="str">
        <f>HYPERLINK("http://www.12365auto.com/xcdg/20200203/417529.shtml","配置大幅提升 新款Evora GT410官图发布")</f>
        <v>配置大幅提升 新款Evora GT410官图发布</v>
      </c>
      <c r="C12832" s="2" t="s">
        <v>13</v>
      </c>
      <c r="D12832" s="2" t="s">
        <v>12</v>
      </c>
      <c r="E12832" s="2" t="s">
        <v>216</v>
      </c>
      <c r="F12832" s="2" t="str">
        <f>HYPERLINK("http://www.12365auto.com/xcdg/20200203/417529.shtml","http://www.12365auto.com/xcdg/20200203/417529.shtml")</f>
        <v>http://www.12365auto.com/xcdg/20200203/417529.shtml</v>
      </c>
      <c r="G12832" s="2"/>
      <c r="H12832" s="2" t="s">
        <v>17103</v>
      </c>
      <c r="I12832" s="2" t="s">
        <v>15</v>
      </c>
      <c r="J12832" s="2" t="s">
        <v>12</v>
      </c>
      <c r="K12832" s="2" t="s">
        <v>17104</v>
      </c>
      <c r="L12832" s="2">
        <f t="shared" si="200"/>
        <v>150</v>
      </c>
    </row>
    <row r="12833" spans="1:12" ht="25" customHeight="1">
      <c r="A12833" s="2" t="s">
        <v>12</v>
      </c>
      <c r="B12833" s="2" t="str">
        <f>HYPERLINK("http://m.12365auto.com/xcdg/20200203/417529.shtml","配置大幅提升 新款Evora GT410官图发布")</f>
        <v>配置大幅提升 新款Evora GT410官图发布</v>
      </c>
      <c r="C12833" s="2" t="s">
        <v>13</v>
      </c>
      <c r="D12833" s="2" t="s">
        <v>12</v>
      </c>
      <c r="E12833" s="2"/>
      <c r="F12833" s="2" t="str">
        <f>HYPERLINK("http://m.12365auto.com/xcdg/20200203/417529.shtml","http://m.12365auto.com/xcdg/20200203/417529.shtml")</f>
        <v>http://m.12365auto.com/xcdg/20200203/417529.shtml</v>
      </c>
      <c r="G12833" s="2"/>
      <c r="H12833" s="2" t="s">
        <v>17105</v>
      </c>
      <c r="I12833" s="2" t="s">
        <v>19</v>
      </c>
      <c r="J12833" s="2" t="s">
        <v>270</v>
      </c>
      <c r="K12833" s="2" t="s">
        <v>17104</v>
      </c>
      <c r="L12833" s="2">
        <f t="shared" si="200"/>
        <v>150</v>
      </c>
    </row>
    <row r="12834" spans="1:12" ht="25" customHeight="1">
      <c r="A12834" s="2" t="s">
        <v>12</v>
      </c>
      <c r="B12834" s="2" t="str">
        <f>HYPERLINK("http://www.12365auto.com/xcdg/20200203/417528.shtml","年内推多款跑车 阿斯顿马丁新计划")</f>
        <v>年内推多款跑车 阿斯顿马丁新计划</v>
      </c>
      <c r="C12834" s="2" t="s">
        <v>13</v>
      </c>
      <c r="D12834" s="2" t="s">
        <v>12</v>
      </c>
      <c r="E12834" s="2" t="s">
        <v>216</v>
      </c>
      <c r="F12834" s="2" t="str">
        <f>HYPERLINK("http://www.12365auto.com/xcdg/20200203/417528.shtml","http://www.12365auto.com/xcdg/20200203/417528.shtml")</f>
        <v>http://www.12365auto.com/xcdg/20200203/417528.shtml</v>
      </c>
      <c r="G12834" s="2"/>
      <c r="H12834" s="2" t="s">
        <v>17106</v>
      </c>
      <c r="I12834" s="2" t="s">
        <v>15</v>
      </c>
      <c r="J12834" s="2" t="s">
        <v>12</v>
      </c>
      <c r="K12834" s="2" t="s">
        <v>17107</v>
      </c>
      <c r="L12834" s="2">
        <f t="shared" si="200"/>
        <v>150</v>
      </c>
    </row>
    <row r="12835" spans="1:12" ht="25" customHeight="1">
      <c r="A12835" s="2" t="s">
        <v>12</v>
      </c>
      <c r="B12835" s="2" t="str">
        <f>HYPERLINK("http://m.12365auto.com/xcdg/20200203/417528.shtml","年内推多款跑车 阿斯顿马丁新计划")</f>
        <v>年内推多款跑车 阿斯顿马丁新计划</v>
      </c>
      <c r="C12835" s="2" t="s">
        <v>13</v>
      </c>
      <c r="D12835" s="2" t="s">
        <v>12</v>
      </c>
      <c r="E12835" s="2"/>
      <c r="F12835" s="2" t="str">
        <f>HYPERLINK("http://m.12365auto.com/xcdg/20200203/417528.shtml","http://m.12365auto.com/xcdg/20200203/417528.shtml")</f>
        <v>http://m.12365auto.com/xcdg/20200203/417528.shtml</v>
      </c>
      <c r="G12835" s="2"/>
      <c r="H12835" s="2" t="s">
        <v>17108</v>
      </c>
      <c r="I12835" s="2" t="s">
        <v>19</v>
      </c>
      <c r="J12835" s="2" t="s">
        <v>270</v>
      </c>
      <c r="K12835" s="2" t="s">
        <v>17107</v>
      </c>
      <c r="L12835" s="2">
        <f t="shared" si="200"/>
        <v>150</v>
      </c>
    </row>
    <row r="12836" spans="1:12" ht="25" customHeight="1">
      <c r="A12836" s="2" t="s">
        <v>12</v>
      </c>
      <c r="B12836" s="2" t="str">
        <f>HYPERLINK("http://m.12365auto.com/xcdg/20200203/417527.shtml","配置表现不错 拍2020款 GLE 350 动感型")</f>
        <v>配置表现不错 拍2020款 GLE 350 动感型</v>
      </c>
      <c r="C12836" s="2" t="s">
        <v>13</v>
      </c>
      <c r="D12836" s="2" t="s">
        <v>12</v>
      </c>
      <c r="E12836" s="2"/>
      <c r="F12836" s="2" t="str">
        <f>HYPERLINK("http://m.12365auto.com/xcdg/20200203/417527.shtml","http://m.12365auto.com/xcdg/20200203/417527.shtml")</f>
        <v>http://m.12365auto.com/xcdg/20200203/417527.shtml</v>
      </c>
      <c r="G12836" s="2"/>
      <c r="H12836" s="2" t="s">
        <v>17109</v>
      </c>
      <c r="I12836" s="2" t="s">
        <v>19</v>
      </c>
      <c r="J12836" s="2" t="s">
        <v>17110</v>
      </c>
      <c r="K12836" s="2" t="s">
        <v>17111</v>
      </c>
      <c r="L12836" s="2">
        <f t="shared" si="200"/>
        <v>150</v>
      </c>
    </row>
    <row r="12837" spans="1:12" ht="25" customHeight="1">
      <c r="A12837" s="2" t="s">
        <v>12</v>
      </c>
      <c r="B12837" s="2" t="str">
        <f>HYPERLINK("http://www.12365auto.com/news/20200203/417526.shtml","预测访谈：2020年中国汽车产业何处去？")</f>
        <v>预测访谈：2020年中国汽车产业何处去？</v>
      </c>
      <c r="C12837" s="2" t="s">
        <v>13</v>
      </c>
      <c r="D12837" s="2" t="s">
        <v>12</v>
      </c>
      <c r="E12837" s="2" t="s">
        <v>276</v>
      </c>
      <c r="F12837" s="2" t="str">
        <f>HYPERLINK("http://www.12365auto.com/news/20200203/417526.shtml","http://www.12365auto.com/news/20200203/417526.shtml")</f>
        <v>http://www.12365auto.com/news/20200203/417526.shtml</v>
      </c>
      <c r="G12837" s="2"/>
      <c r="H12837" s="2" t="s">
        <v>17112</v>
      </c>
      <c r="I12837" s="2" t="s">
        <v>15</v>
      </c>
      <c r="J12837" s="2" t="s">
        <v>12</v>
      </c>
      <c r="K12837" s="2" t="s">
        <v>17113</v>
      </c>
      <c r="L12837" s="2">
        <f t="shared" si="200"/>
        <v>150</v>
      </c>
    </row>
    <row r="12838" spans="1:12" ht="25" customHeight="1">
      <c r="A12838" s="2" t="s">
        <v>12</v>
      </c>
      <c r="B12838" s="2" t="str">
        <f>HYPERLINK("http://m.12365auto.com/news/20200203/417526.shtml","预测访谈：2020年中国汽车产业何处去？")</f>
        <v>预测访谈：2020年中国汽车产业何处去？</v>
      </c>
      <c r="C12838" s="2" t="s">
        <v>13</v>
      </c>
      <c r="D12838" s="2" t="s">
        <v>12</v>
      </c>
      <c r="E12838" s="2"/>
      <c r="F12838" s="2" t="str">
        <f>HYPERLINK("http://m.12365auto.com/news/20200203/417526.shtml","http://m.12365auto.com/news/20200203/417526.shtml")</f>
        <v>http://m.12365auto.com/news/20200203/417526.shtml</v>
      </c>
      <c r="G12838" s="2"/>
      <c r="H12838" s="2" t="s">
        <v>17114</v>
      </c>
      <c r="I12838" s="2" t="s">
        <v>19</v>
      </c>
      <c r="J12838" s="2" t="s">
        <v>7631</v>
      </c>
      <c r="K12838" s="2" t="s">
        <v>17113</v>
      </c>
      <c r="L12838" s="2">
        <f t="shared" si="200"/>
        <v>150</v>
      </c>
    </row>
    <row r="12839" spans="1:12" ht="25" customHeight="1">
      <c r="A12839" s="2" t="s">
        <v>12</v>
      </c>
      <c r="B12839" s="2" t="str">
        <f>HYPERLINK("http://www.12365auto.com/xcdg/20200203/417525.shtml","“小S级” 曝全新梅赛德斯-奔驰C级谍照")</f>
        <v>“小S级” 曝全新梅赛德斯-奔驰C级谍照</v>
      </c>
      <c r="C12839" s="2" t="s">
        <v>13</v>
      </c>
      <c r="D12839" s="2" t="s">
        <v>12</v>
      </c>
      <c r="E12839" s="2" t="s">
        <v>224</v>
      </c>
      <c r="F12839" s="2" t="str">
        <f>HYPERLINK("http://www.12365auto.com/xcdg/20200203/417525.shtml","http://www.12365auto.com/xcdg/20200203/417525.shtml")</f>
        <v>http://www.12365auto.com/xcdg/20200203/417525.shtml</v>
      </c>
      <c r="G12839" s="2"/>
      <c r="H12839" s="2" t="s">
        <v>17115</v>
      </c>
      <c r="I12839" s="2" t="s">
        <v>15</v>
      </c>
      <c r="J12839" s="2" t="s">
        <v>12</v>
      </c>
      <c r="K12839" s="2" t="s">
        <v>17116</v>
      </c>
      <c r="L12839" s="2">
        <f t="shared" si="200"/>
        <v>150</v>
      </c>
    </row>
    <row r="12840" spans="1:12" ht="25" customHeight="1">
      <c r="A12840" s="2" t="s">
        <v>12</v>
      </c>
      <c r="B12840" s="2" t="str">
        <f>HYPERLINK("http://m.12365auto.com/xcdg/20200203/417525.shtml","“小S级” 曝全新梅赛德斯-奔驰C级谍照")</f>
        <v>“小S级” 曝全新梅赛德斯-奔驰C级谍照</v>
      </c>
      <c r="C12840" s="2" t="s">
        <v>13</v>
      </c>
      <c r="D12840" s="2" t="s">
        <v>12</v>
      </c>
      <c r="E12840" s="2"/>
      <c r="F12840" s="2" t="str">
        <f>HYPERLINK("http://m.12365auto.com/xcdg/20200203/417525.shtml","http://m.12365auto.com/xcdg/20200203/417525.shtml")</f>
        <v>http://m.12365auto.com/xcdg/20200203/417525.shtml</v>
      </c>
      <c r="G12840" s="2"/>
      <c r="H12840" s="2" t="s">
        <v>17117</v>
      </c>
      <c r="I12840" s="2" t="s">
        <v>19</v>
      </c>
      <c r="J12840" s="2" t="s">
        <v>270</v>
      </c>
      <c r="K12840" s="2" t="s">
        <v>17116</v>
      </c>
      <c r="L12840" s="2">
        <f t="shared" si="200"/>
        <v>150</v>
      </c>
    </row>
    <row r="12841" spans="1:12" ht="25" customHeight="1">
      <c r="A12841" s="2" t="s">
        <v>12</v>
      </c>
      <c r="B12841" s="2" t="str">
        <f>HYPERLINK("http://www.12365auto.com/news/20200203/417524.shtml","小客车免收高速公路通行费延长至2月8日")</f>
        <v>小客车免收高速公路通行费延长至2月8日</v>
      </c>
      <c r="C12841" s="2" t="s">
        <v>13</v>
      </c>
      <c r="D12841" s="2" t="s">
        <v>12</v>
      </c>
      <c r="E12841" s="2" t="s">
        <v>276</v>
      </c>
      <c r="F12841" s="2" t="str">
        <f>HYPERLINK("http://www.12365auto.com/news/20200203/417524.shtml","http://www.12365auto.com/news/20200203/417524.shtml")</f>
        <v>http://www.12365auto.com/news/20200203/417524.shtml</v>
      </c>
      <c r="G12841" s="2"/>
      <c r="H12841" s="2" t="s">
        <v>17118</v>
      </c>
      <c r="I12841" s="2" t="s">
        <v>15</v>
      </c>
      <c r="J12841" s="2" t="s">
        <v>12</v>
      </c>
      <c r="K12841" s="2" t="s">
        <v>17119</v>
      </c>
      <c r="L12841" s="2">
        <f t="shared" si="200"/>
        <v>150</v>
      </c>
    </row>
    <row r="12842" spans="1:12" ht="25" customHeight="1">
      <c r="A12842" s="2" t="s">
        <v>12</v>
      </c>
      <c r="B12842" s="2" t="str">
        <f>HYPERLINK("http://m.12365auto.com/news/20200203/417524.shtml","小客车免收高速公路通行费延长至2月8日")</f>
        <v>小客车免收高速公路通行费延长至2月8日</v>
      </c>
      <c r="C12842" s="2" t="s">
        <v>13</v>
      </c>
      <c r="D12842" s="2" t="s">
        <v>12</v>
      </c>
      <c r="E12842" s="2"/>
      <c r="F12842" s="2" t="str">
        <f>HYPERLINK("http://m.12365auto.com/news/20200203/417524.shtml","http://m.12365auto.com/news/20200203/417524.shtml")</f>
        <v>http://m.12365auto.com/news/20200203/417524.shtml</v>
      </c>
      <c r="G12842" s="2"/>
      <c r="H12842" s="2" t="s">
        <v>17120</v>
      </c>
      <c r="I12842" s="2" t="s">
        <v>19</v>
      </c>
      <c r="J12842" s="2" t="s">
        <v>1170</v>
      </c>
      <c r="K12842" s="2" t="s">
        <v>17119</v>
      </c>
      <c r="L12842" s="2">
        <f t="shared" si="200"/>
        <v>150</v>
      </c>
    </row>
    <row r="12843" spans="1:12" ht="25" customHeight="1">
      <c r="A12843" s="2" t="s">
        <v>12</v>
      </c>
      <c r="B12843" s="2" t="str">
        <f>HYPERLINK("http://m.12365auto.com/bbs/postcontent.aspx?tID=193188","车上不合理的3个设计")</f>
        <v>车上不合理的3个设计</v>
      </c>
      <c r="C12843" s="2" t="s">
        <v>13</v>
      </c>
      <c r="D12843" s="2" t="s">
        <v>23</v>
      </c>
      <c r="E12843" s="2"/>
      <c r="F12843" s="2" t="str">
        <f>HYPERLINK("http://m.12365auto.com/bbs/postcontent.aspx?tID=193188","http://m.12365auto.com/bbs/postcontent.aspx?tID=193188")</f>
        <v>http://m.12365auto.com/bbs/postcontent.aspx?tID=193188</v>
      </c>
      <c r="G12843" s="2"/>
      <c r="H12843" s="2" t="s">
        <v>17121</v>
      </c>
      <c r="I12843" s="2" t="s">
        <v>15</v>
      </c>
      <c r="J12843" s="2" t="s">
        <v>616</v>
      </c>
      <c r="K12843" s="2" t="s">
        <v>17122</v>
      </c>
      <c r="L12843" s="2">
        <f t="shared" si="200"/>
        <v>150</v>
      </c>
    </row>
    <row r="12844" spans="1:12" ht="25" customHeight="1">
      <c r="A12844" s="2" t="s">
        <v>12</v>
      </c>
      <c r="B12844" s="2" t="str">
        <f>HYPERLINK("http://bbs.12365auto.com/postcontent.aspx?tId=193188","车上不合理的3个设计")</f>
        <v>车上不合理的3个设计</v>
      </c>
      <c r="C12844" s="2" t="s">
        <v>13</v>
      </c>
      <c r="D12844" s="2" t="s">
        <v>12</v>
      </c>
      <c r="E12844" s="2" t="s">
        <v>27</v>
      </c>
      <c r="F12844" s="2" t="str">
        <f>HYPERLINK("http://bbs.12365auto.com/postcontent.aspx?tId=193188","http://bbs.12365auto.com/postcontent.aspx?tId=193188")</f>
        <v>http://bbs.12365auto.com/postcontent.aspx?tId=193188</v>
      </c>
      <c r="G12844" s="2"/>
      <c r="H12844" s="2" t="s">
        <v>17121</v>
      </c>
      <c r="I12844" s="2" t="s">
        <v>15</v>
      </c>
      <c r="J12844" s="2" t="s">
        <v>616</v>
      </c>
      <c r="K12844" s="2" t="s">
        <v>17122</v>
      </c>
      <c r="L12844" s="2">
        <f t="shared" si="200"/>
        <v>150</v>
      </c>
    </row>
    <row r="12845" spans="1:12" ht="25" customHeight="1">
      <c r="A12845" s="2" t="s">
        <v>12</v>
      </c>
      <c r="B12845" s="2" t="str">
        <f>HYPERLINK("http://www.12365auto.com/news/20200203/417523.shtml","跨京冀公交线路2月3日起逐步恢复运营")</f>
        <v>跨京冀公交线路2月3日起逐步恢复运营</v>
      </c>
      <c r="C12845" s="2" t="s">
        <v>13</v>
      </c>
      <c r="D12845" s="2" t="s">
        <v>12</v>
      </c>
      <c r="E12845" s="2" t="s">
        <v>276</v>
      </c>
      <c r="F12845" s="2" t="str">
        <f>HYPERLINK("http://www.12365auto.com/news/20200203/417523.shtml","http://www.12365auto.com/news/20200203/417523.shtml")</f>
        <v>http://www.12365auto.com/news/20200203/417523.shtml</v>
      </c>
      <c r="G12845" s="2"/>
      <c r="H12845" s="2" t="s">
        <v>17123</v>
      </c>
      <c r="I12845" s="2" t="s">
        <v>15</v>
      </c>
      <c r="J12845" s="2" t="s">
        <v>12</v>
      </c>
      <c r="K12845" s="2" t="s">
        <v>17122</v>
      </c>
      <c r="L12845" s="2">
        <f t="shared" si="200"/>
        <v>150</v>
      </c>
    </row>
    <row r="12846" spans="1:12" ht="25" customHeight="1">
      <c r="A12846" s="2" t="s">
        <v>12</v>
      </c>
      <c r="B12846" s="2" t="str">
        <f>HYPERLINK("http://bbs.12365auto.com/postcontent.aspx?tID=193188","车上不合理的3个设计")</f>
        <v>车上不合理的3个设计</v>
      </c>
      <c r="C12846" s="2" t="s">
        <v>13</v>
      </c>
      <c r="D12846" s="2" t="s">
        <v>12</v>
      </c>
      <c r="E12846" s="2" t="s">
        <v>28</v>
      </c>
      <c r="F12846" s="2" t="str">
        <f>HYPERLINK("http://bbs.12365auto.com/postcontent.aspx?tID=193188","http://bbs.12365auto.com/postcontent.aspx?tID=193188")</f>
        <v>http://bbs.12365auto.com/postcontent.aspx?tID=193188</v>
      </c>
      <c r="G12846" s="2"/>
      <c r="H12846" s="2" t="s">
        <v>17124</v>
      </c>
      <c r="I12846" s="2" t="s">
        <v>15</v>
      </c>
      <c r="J12846" s="2" t="s">
        <v>616</v>
      </c>
      <c r="K12846" s="2" t="s">
        <v>17122</v>
      </c>
      <c r="L12846" s="2">
        <f t="shared" si="200"/>
        <v>150</v>
      </c>
    </row>
    <row r="12847" spans="1:12" ht="25" customHeight="1">
      <c r="A12847" s="2" t="s">
        <v>12</v>
      </c>
      <c r="B12847" s="2" t="str">
        <f>HYPERLINK("http://m.12365auto.com/news/20200203/417523.shtml","跨京冀公交线路2月3日起逐步恢复运营")</f>
        <v>跨京冀公交线路2月3日起逐步恢复运营</v>
      </c>
      <c r="C12847" s="2" t="s">
        <v>13</v>
      </c>
      <c r="D12847" s="2" t="s">
        <v>12</v>
      </c>
      <c r="E12847" s="2"/>
      <c r="F12847" s="2" t="str">
        <f>HYPERLINK("http://m.12365auto.com/news/20200203/417523.shtml","http://m.12365auto.com/news/20200203/417523.shtml")</f>
        <v>http://m.12365auto.com/news/20200203/417523.shtml</v>
      </c>
      <c r="G12847" s="2"/>
      <c r="H12847" s="2" t="s">
        <v>17125</v>
      </c>
      <c r="I12847" s="2" t="s">
        <v>19</v>
      </c>
      <c r="J12847" s="2" t="s">
        <v>1170</v>
      </c>
      <c r="K12847" s="2" t="s">
        <v>17122</v>
      </c>
      <c r="L12847" s="2">
        <f t="shared" si="200"/>
        <v>150</v>
      </c>
    </row>
    <row r="12848" spans="1:12" ht="25" customHeight="1">
      <c r="A12848" s="2" t="s">
        <v>12</v>
      </c>
      <c r="B12848" s="2" t="str">
        <f>HYPERLINK("http://m.12365auto.com/bbs/postcontent.aspx?tID=193187","豪车界里“第一惨” 材料强过帕萨特N倍却卖不动")</f>
        <v>豪车界里“第一惨” 材料强过帕萨特N倍却卖不动</v>
      </c>
      <c r="C12848" s="2" t="s">
        <v>13</v>
      </c>
      <c r="D12848" s="2" t="s">
        <v>23</v>
      </c>
      <c r="E12848" s="2"/>
      <c r="F12848" s="2" t="str">
        <f>HYPERLINK("http://m.12365auto.com/bbs/postcontent.aspx?tID=193187","http://m.12365auto.com/bbs/postcontent.aspx?tID=193187")</f>
        <v>http://m.12365auto.com/bbs/postcontent.aspx?tID=193187</v>
      </c>
      <c r="G12848" s="2"/>
      <c r="H12848" s="2" t="s">
        <v>17126</v>
      </c>
      <c r="I12848" s="2" t="s">
        <v>15</v>
      </c>
      <c r="J12848" s="2" t="s">
        <v>616</v>
      </c>
      <c r="K12848" s="2" t="s">
        <v>17127</v>
      </c>
      <c r="L12848" s="2">
        <f t="shared" si="200"/>
        <v>150</v>
      </c>
    </row>
    <row r="12849" spans="1:12" ht="25" customHeight="1">
      <c r="A12849" s="2" t="s">
        <v>12</v>
      </c>
      <c r="B12849" s="2" t="str">
        <f>HYPERLINK("http://bbs.12365auto.com/postcontent.aspx?tId=193187","豪车界里“第一惨” 材料强过帕萨特N倍却卖不动")</f>
        <v>豪车界里“第一惨” 材料强过帕萨特N倍却卖不动</v>
      </c>
      <c r="C12849" s="2" t="s">
        <v>13</v>
      </c>
      <c r="D12849" s="2" t="s">
        <v>12</v>
      </c>
      <c r="E12849" s="2" t="s">
        <v>27</v>
      </c>
      <c r="F12849" s="2" t="str">
        <f>HYPERLINK("http://bbs.12365auto.com/postcontent.aspx?tId=193187","http://bbs.12365auto.com/postcontent.aspx?tId=193187")</f>
        <v>http://bbs.12365auto.com/postcontent.aspx?tId=193187</v>
      </c>
      <c r="G12849" s="2"/>
      <c r="H12849" s="2" t="s">
        <v>17126</v>
      </c>
      <c r="I12849" s="2" t="s">
        <v>15</v>
      </c>
      <c r="J12849" s="2" t="s">
        <v>616</v>
      </c>
      <c r="K12849" s="2" t="s">
        <v>17127</v>
      </c>
      <c r="L12849" s="2">
        <f t="shared" si="200"/>
        <v>150</v>
      </c>
    </row>
    <row r="12850" spans="1:12" ht="25" customHeight="1">
      <c r="A12850" s="2" t="s">
        <v>12</v>
      </c>
      <c r="B12850" s="2" t="str">
        <f>HYPERLINK("http://bbs.12365auto.com/postcontent.aspx?tID=193187","豪车界里“第一惨” 材料强过帕萨特N倍却卖不动")</f>
        <v>豪车界里“第一惨” 材料强过帕萨特N倍却卖不动</v>
      </c>
      <c r="C12850" s="2" t="s">
        <v>13</v>
      </c>
      <c r="D12850" s="2" t="s">
        <v>12</v>
      </c>
      <c r="E12850" s="2" t="s">
        <v>28</v>
      </c>
      <c r="F12850" s="2" t="str">
        <f>HYPERLINK("http://bbs.12365auto.com/postcontent.aspx?tID=193187","http://bbs.12365auto.com/postcontent.aspx?tID=193187")</f>
        <v>http://bbs.12365auto.com/postcontent.aspx?tID=193187</v>
      </c>
      <c r="G12850" s="2"/>
      <c r="H12850" s="2" t="s">
        <v>17128</v>
      </c>
      <c r="I12850" s="2" t="s">
        <v>15</v>
      </c>
      <c r="J12850" s="2" t="s">
        <v>616</v>
      </c>
      <c r="K12850" s="2" t="s">
        <v>17127</v>
      </c>
      <c r="L12850" s="2">
        <f t="shared" si="200"/>
        <v>150</v>
      </c>
    </row>
    <row r="12851" spans="1:12" ht="25" customHeight="1">
      <c r="A12851" s="2" t="s">
        <v>12</v>
      </c>
      <c r="B12851" s="2" t="str">
        <f>HYPERLINK("http://bbs.12365auto.com/postcontent.aspx?tId=193186","你的车是不是这三款发动机")</f>
        <v>你的车是不是这三款发动机</v>
      </c>
      <c r="C12851" s="2" t="s">
        <v>13</v>
      </c>
      <c r="D12851" s="2" t="s">
        <v>12</v>
      </c>
      <c r="E12851" s="2" t="s">
        <v>27</v>
      </c>
      <c r="F12851" s="2" t="str">
        <f>HYPERLINK("http://bbs.12365auto.com/postcontent.aspx?tId=193186","http://bbs.12365auto.com/postcontent.aspx?tId=193186")</f>
        <v>http://bbs.12365auto.com/postcontent.aspx?tId=193186</v>
      </c>
      <c r="G12851" s="2"/>
      <c r="H12851" s="2" t="s">
        <v>3553</v>
      </c>
      <c r="I12851" s="2" t="s">
        <v>15</v>
      </c>
      <c r="J12851" s="2" t="s">
        <v>616</v>
      </c>
      <c r="K12851" s="2" t="s">
        <v>17129</v>
      </c>
      <c r="L12851" s="2">
        <f t="shared" si="200"/>
        <v>150</v>
      </c>
    </row>
    <row r="12852" spans="1:12" ht="25" customHeight="1">
      <c r="A12852" s="2" t="s">
        <v>12</v>
      </c>
      <c r="B12852" s="2" t="str">
        <f>HYPERLINK("http://www.12365auto.com/news/20200203/417522.shtml","风挡被小石子砸中？ 这些情况可以修复")</f>
        <v>风挡被小石子砸中？ 这些情况可以修复</v>
      </c>
      <c r="C12852" s="2" t="s">
        <v>13</v>
      </c>
      <c r="D12852" s="2" t="s">
        <v>12</v>
      </c>
      <c r="E12852" s="2" t="s">
        <v>372</v>
      </c>
      <c r="F12852" s="2" t="str">
        <f>HYPERLINK("http://www.12365auto.com/news/20200203/417522.shtml","http://www.12365auto.com/news/20200203/417522.shtml")</f>
        <v>http://www.12365auto.com/news/20200203/417522.shtml</v>
      </c>
      <c r="G12852" s="2"/>
      <c r="H12852" s="2" t="s">
        <v>17130</v>
      </c>
      <c r="I12852" s="2" t="s">
        <v>15</v>
      </c>
      <c r="J12852" s="2" t="s">
        <v>12</v>
      </c>
      <c r="K12852" s="2" t="s">
        <v>17129</v>
      </c>
      <c r="L12852" s="2">
        <f t="shared" si="200"/>
        <v>150</v>
      </c>
    </row>
    <row r="12853" spans="1:12" ht="25" customHeight="1">
      <c r="A12853" s="2" t="s">
        <v>12</v>
      </c>
      <c r="B12853" s="2" t="str">
        <f>HYPERLINK("http://bbs.12365auto.com/postcontent.aspx?tID=193186","你的车是不是这三款发动机")</f>
        <v>你的车是不是这三款发动机</v>
      </c>
      <c r="C12853" s="2" t="s">
        <v>13</v>
      </c>
      <c r="D12853" s="2" t="s">
        <v>12</v>
      </c>
      <c r="E12853" s="2" t="s">
        <v>28</v>
      </c>
      <c r="F12853" s="2" t="str">
        <f>HYPERLINK("http://bbs.12365auto.com/postcontent.aspx?tID=193186","http://bbs.12365auto.com/postcontent.aspx?tID=193186")</f>
        <v>http://bbs.12365auto.com/postcontent.aspx?tID=193186</v>
      </c>
      <c r="G12853" s="2"/>
      <c r="H12853" s="2" t="s">
        <v>3555</v>
      </c>
      <c r="I12853" s="2" t="s">
        <v>15</v>
      </c>
      <c r="J12853" s="2" t="s">
        <v>616</v>
      </c>
      <c r="K12853" s="2" t="s">
        <v>17129</v>
      </c>
      <c r="L12853" s="2">
        <f t="shared" si="200"/>
        <v>150</v>
      </c>
    </row>
    <row r="12854" spans="1:12" ht="25" customHeight="1">
      <c r="A12854" s="2" t="s">
        <v>12</v>
      </c>
      <c r="B12854" s="2" t="str">
        <f>HYPERLINK("http://m.12365auto.com/news/20200203/417522.shtml","风挡被小石子砸中？ 这些情况可以修复")</f>
        <v>风挡被小石子砸中？ 这些情况可以修复</v>
      </c>
      <c r="C12854" s="2" t="s">
        <v>13</v>
      </c>
      <c r="D12854" s="2" t="s">
        <v>12</v>
      </c>
      <c r="E12854" s="2"/>
      <c r="F12854" s="2" t="str">
        <f>HYPERLINK("http://m.12365auto.com/news/20200203/417522.shtml","http://m.12365auto.com/news/20200203/417522.shtml")</f>
        <v>http://m.12365auto.com/news/20200203/417522.shtml</v>
      </c>
      <c r="G12854" s="2"/>
      <c r="H12854" s="2" t="s">
        <v>17131</v>
      </c>
      <c r="I12854" s="2" t="s">
        <v>19</v>
      </c>
      <c r="J12854" s="2" t="s">
        <v>222</v>
      </c>
      <c r="K12854" s="2" t="s">
        <v>17129</v>
      </c>
      <c r="L12854" s="2">
        <f t="shared" si="200"/>
        <v>150</v>
      </c>
    </row>
    <row r="12855" spans="1:12" ht="25" customHeight="1">
      <c r="A12855" s="2" t="s">
        <v>12</v>
      </c>
      <c r="B12855" s="2" t="str">
        <f>HYPERLINK("http://m.12365auto.com/bbs/postcontent.aspx?tID=193186","你的车是不是这三款发动机")</f>
        <v>你的车是不是这三款发动机</v>
      </c>
      <c r="C12855" s="2" t="s">
        <v>13</v>
      </c>
      <c r="D12855" s="2" t="s">
        <v>23</v>
      </c>
      <c r="E12855" s="2"/>
      <c r="F12855" s="2" t="str">
        <f>HYPERLINK("http://m.12365auto.com/bbs/postcontent.aspx?tID=193186","http://m.12365auto.com/bbs/postcontent.aspx?tID=193186")</f>
        <v>http://m.12365auto.com/bbs/postcontent.aspx?tID=193186</v>
      </c>
      <c r="G12855" s="2"/>
      <c r="H12855" s="2" t="s">
        <v>3553</v>
      </c>
      <c r="I12855" s="2" t="s">
        <v>15</v>
      </c>
      <c r="J12855" s="2" t="s">
        <v>616</v>
      </c>
      <c r="K12855" s="2" t="s">
        <v>17129</v>
      </c>
      <c r="L12855" s="2">
        <f t="shared" si="200"/>
        <v>150</v>
      </c>
    </row>
    <row r="12856" spans="1:12" ht="25" customHeight="1">
      <c r="A12856" s="2" t="s">
        <v>12</v>
      </c>
      <c r="B12856" s="2" t="str">
        <f>HYPERLINK("http://www.12365auto.com/zlts/20200203/446193.shtml","仪表台开裂，存在质量问题。")</f>
        <v>仪表台开裂，存在质量问题。</v>
      </c>
      <c r="C12856" s="2" t="s">
        <v>13</v>
      </c>
      <c r="D12856" s="2" t="s">
        <v>12</v>
      </c>
      <c r="E12856" s="2"/>
      <c r="F12856" s="2" t="str">
        <f>HYPERLINK("http://www.12365auto.com/zlts/20200203/446193.shtml","http://www.12365auto.com/zlts/20200203/446193.shtml")</f>
        <v>http://www.12365auto.com/zlts/20200203/446193.shtml</v>
      </c>
      <c r="G12856" s="2"/>
      <c r="H12856" s="2" t="s">
        <v>17133</v>
      </c>
      <c r="I12856" s="2" t="s">
        <v>15</v>
      </c>
      <c r="J12856" s="2" t="s">
        <v>12</v>
      </c>
      <c r="K12856" s="2" t="s">
        <v>17132</v>
      </c>
      <c r="L12856" s="2">
        <f t="shared" si="200"/>
        <v>82</v>
      </c>
    </row>
    <row r="12857" spans="1:12" ht="25" customHeight="1">
      <c r="A12857" s="2" t="s">
        <v>12</v>
      </c>
      <c r="B12857" s="2" t="str">
        <f>HYPERLINK("http://bbs.12365auto.com/postcontent.aspx?tId=193185","长安蓝鲸1.4T和铃木1.4T发动机对比 看看国产发动机真实水平")</f>
        <v>长安蓝鲸1.4T和铃木1.4T发动机对比 看看国产发动机真实水平</v>
      </c>
      <c r="C12857" s="2" t="s">
        <v>13</v>
      </c>
      <c r="D12857" s="2" t="s">
        <v>12</v>
      </c>
      <c r="E12857" s="2" t="s">
        <v>27</v>
      </c>
      <c r="F12857" s="2" t="str">
        <f>HYPERLINK("http://bbs.12365auto.com/postcontent.aspx?tId=193185","http://bbs.12365auto.com/postcontent.aspx?tId=193185")</f>
        <v>http://bbs.12365auto.com/postcontent.aspx?tId=193185</v>
      </c>
      <c r="G12857" s="2"/>
      <c r="H12857" s="2" t="s">
        <v>11359</v>
      </c>
      <c r="I12857" s="2" t="s">
        <v>15</v>
      </c>
      <c r="J12857" s="2" t="s">
        <v>616</v>
      </c>
      <c r="K12857" s="2" t="s">
        <v>17134</v>
      </c>
      <c r="L12857" s="2">
        <f t="shared" si="200"/>
        <v>150</v>
      </c>
    </row>
    <row r="12858" spans="1:12" ht="25" customHeight="1">
      <c r="A12858" s="2" t="s">
        <v>12</v>
      </c>
      <c r="B12858" s="2" t="str">
        <f>HYPERLINK("http://m.12365auto.com/bbs/postcontent.aspx?tID=193185","长安蓝鲸1.4T和铃木1.4T发动机对比 看看国产发动机真实水平")</f>
        <v>长安蓝鲸1.4T和铃木1.4T发动机对比 看看国产发动机真实水平</v>
      </c>
      <c r="C12858" s="2" t="s">
        <v>13</v>
      </c>
      <c r="D12858" s="2" t="s">
        <v>23</v>
      </c>
      <c r="E12858" s="2"/>
      <c r="F12858" s="2" t="str">
        <f>HYPERLINK("http://m.12365auto.com/bbs/postcontent.aspx?tID=193185","http://m.12365auto.com/bbs/postcontent.aspx?tID=193185")</f>
        <v>http://m.12365auto.com/bbs/postcontent.aspx?tID=193185</v>
      </c>
      <c r="G12858" s="2"/>
      <c r="H12858" s="2" t="s">
        <v>11359</v>
      </c>
      <c r="I12858" s="2" t="s">
        <v>15</v>
      </c>
      <c r="J12858" s="2" t="s">
        <v>616</v>
      </c>
      <c r="K12858" s="2" t="s">
        <v>17134</v>
      </c>
      <c r="L12858" s="2">
        <f t="shared" si="200"/>
        <v>150</v>
      </c>
    </row>
    <row r="12859" spans="1:12" ht="25" customHeight="1">
      <c r="A12859" s="2" t="s">
        <v>12</v>
      </c>
      <c r="B12859" s="2" t="str">
        <f>HYPERLINK("http://bbs.12365auto.com/postcontent.aspx?tID=193185","长安蓝鲸1.4T和铃木1.4T发动机对比 看看国产发动机真实水平")</f>
        <v>长安蓝鲸1.4T和铃木1.4T发动机对比 看看国产发动机真实水平</v>
      </c>
      <c r="C12859" s="2" t="s">
        <v>13</v>
      </c>
      <c r="D12859" s="2" t="s">
        <v>12</v>
      </c>
      <c r="E12859" s="2" t="s">
        <v>28</v>
      </c>
      <c r="F12859" s="2" t="str">
        <f>HYPERLINK("http://bbs.12365auto.com/postcontent.aspx?tID=193185","http://bbs.12365auto.com/postcontent.aspx?tID=193185")</f>
        <v>http://bbs.12365auto.com/postcontent.aspx?tID=193185</v>
      </c>
      <c r="G12859" s="2"/>
      <c r="H12859" s="2" t="s">
        <v>17135</v>
      </c>
      <c r="I12859" s="2" t="s">
        <v>15</v>
      </c>
      <c r="J12859" s="2" t="s">
        <v>616</v>
      </c>
      <c r="K12859" s="2" t="s">
        <v>17134</v>
      </c>
      <c r="L12859" s="2">
        <f t="shared" si="200"/>
        <v>150</v>
      </c>
    </row>
    <row r="12860" spans="1:12" ht="25" customHeight="1">
      <c r="A12860" s="2" t="s">
        <v>12</v>
      </c>
      <c r="B12860" s="2" t="str">
        <f>HYPERLINK("http://www.12365auto.com/xcdg/20200203/417521.shtml","英菲尼迪新款QX80售价 搭V8/亮点在内饰")</f>
        <v>英菲尼迪新款QX80售价 搭V8/亮点在内饰</v>
      </c>
      <c r="C12860" s="2" t="s">
        <v>13</v>
      </c>
      <c r="D12860" s="2" t="s">
        <v>12</v>
      </c>
      <c r="E12860" s="2" t="s">
        <v>216</v>
      </c>
      <c r="F12860" s="2" t="str">
        <f>HYPERLINK("http://www.12365auto.com/xcdg/20200203/417521.shtml","http://www.12365auto.com/xcdg/20200203/417521.shtml")</f>
        <v>http://www.12365auto.com/xcdg/20200203/417521.shtml</v>
      </c>
      <c r="G12860" s="2"/>
      <c r="H12860" s="2" t="s">
        <v>17136</v>
      </c>
      <c r="I12860" s="2" t="s">
        <v>15</v>
      </c>
      <c r="J12860" s="2" t="s">
        <v>12</v>
      </c>
      <c r="K12860" s="2" t="s">
        <v>17137</v>
      </c>
      <c r="L12860" s="2">
        <f t="shared" si="200"/>
        <v>150</v>
      </c>
    </row>
    <row r="12861" spans="1:12" ht="25" customHeight="1">
      <c r="A12861" s="2" t="s">
        <v>12</v>
      </c>
      <c r="B12861" s="2" t="str">
        <f>HYPERLINK("http://m.12365auto.com/xcdg/20200203/417521.shtml","英菲尼迪新款QX80售价 搭V8/亮点在内饰")</f>
        <v>英菲尼迪新款QX80售价 搭V8/亮点在内饰</v>
      </c>
      <c r="C12861" s="2" t="s">
        <v>13</v>
      </c>
      <c r="D12861" s="2" t="s">
        <v>12</v>
      </c>
      <c r="E12861" s="2"/>
      <c r="F12861" s="2" t="str">
        <f>HYPERLINK("http://m.12365auto.com/xcdg/20200203/417521.shtml","http://m.12365auto.com/xcdg/20200203/417521.shtml")</f>
        <v>http://m.12365auto.com/xcdg/20200203/417521.shtml</v>
      </c>
      <c r="G12861" s="2"/>
      <c r="H12861" s="2" t="s">
        <v>17138</v>
      </c>
      <c r="I12861" s="2" t="s">
        <v>19</v>
      </c>
      <c r="J12861" s="2" t="s">
        <v>220</v>
      </c>
      <c r="K12861" s="2" t="s">
        <v>17137</v>
      </c>
      <c r="L12861" s="2">
        <f t="shared" si="200"/>
        <v>150</v>
      </c>
    </row>
    <row r="12862" spans="1:12" ht="25" customHeight="1">
      <c r="A12862" s="2" t="s">
        <v>12</v>
      </c>
      <c r="B12862" s="2" t="str">
        <f>HYPERLINK("http://m.12365auto.com/bbs/postcontent.aspx?tID=193184","2020款奥迪RS7要选白色的 高端大气上档次")</f>
        <v>2020款奥迪RS7要选白色的 高端大气上档次</v>
      </c>
      <c r="C12862" s="2" t="s">
        <v>13</v>
      </c>
      <c r="D12862" s="2" t="s">
        <v>23</v>
      </c>
      <c r="E12862" s="2"/>
      <c r="F12862" s="2" t="str">
        <f>HYPERLINK("http://m.12365auto.com/bbs/postcontent.aspx?tID=193184","http://m.12365auto.com/bbs/postcontent.aspx?tID=193184")</f>
        <v>http://m.12365auto.com/bbs/postcontent.aspx?tID=193184</v>
      </c>
      <c r="G12862" s="2"/>
      <c r="H12862" s="2" t="s">
        <v>17139</v>
      </c>
      <c r="I12862" s="2" t="s">
        <v>15</v>
      </c>
      <c r="J12862" s="2" t="s">
        <v>616</v>
      </c>
      <c r="K12862" s="2" t="s">
        <v>17140</v>
      </c>
      <c r="L12862" s="2">
        <f t="shared" si="200"/>
        <v>150</v>
      </c>
    </row>
    <row r="12863" spans="1:12" ht="25" customHeight="1">
      <c r="A12863" s="2" t="s">
        <v>12</v>
      </c>
      <c r="B12863" s="2" t="str">
        <f>HYPERLINK("http://bbs.12365auto.com/postcontent.aspx?tID=193184","2020款奥迪RS7要选白色的 高端大气上档次")</f>
        <v>2020款奥迪RS7要选白色的 高端大气上档次</v>
      </c>
      <c r="C12863" s="2" t="s">
        <v>13</v>
      </c>
      <c r="D12863" s="2" t="s">
        <v>12</v>
      </c>
      <c r="E12863" s="2" t="s">
        <v>28</v>
      </c>
      <c r="F12863" s="2" t="str">
        <f>HYPERLINK("http://bbs.12365auto.com/postcontent.aspx?tID=193184","http://bbs.12365auto.com/postcontent.aspx?tID=193184")</f>
        <v>http://bbs.12365auto.com/postcontent.aspx?tID=193184</v>
      </c>
      <c r="G12863" s="2"/>
      <c r="H12863" s="2" t="s">
        <v>17141</v>
      </c>
      <c r="I12863" s="2" t="s">
        <v>15</v>
      </c>
      <c r="J12863" s="2" t="s">
        <v>616</v>
      </c>
      <c r="K12863" s="2" t="s">
        <v>17140</v>
      </c>
      <c r="L12863" s="2">
        <f t="shared" si="200"/>
        <v>150</v>
      </c>
    </row>
    <row r="12864" spans="1:12" ht="25" customHeight="1">
      <c r="A12864" s="2" t="s">
        <v>12</v>
      </c>
      <c r="B12864" s="2" t="str">
        <f>HYPERLINK("http://bbs.12365auto.com/postcontent.aspx?tId=193184","2020款奥迪RS7要选白色的 高端大气上档次")</f>
        <v>2020款奥迪RS7要选白色的 高端大气上档次</v>
      </c>
      <c r="C12864" s="2" t="s">
        <v>13</v>
      </c>
      <c r="D12864" s="2" t="s">
        <v>12</v>
      </c>
      <c r="E12864" s="2" t="s">
        <v>27</v>
      </c>
      <c r="F12864" s="2" t="str">
        <f>HYPERLINK("http://bbs.12365auto.com/postcontent.aspx?tId=193184","http://bbs.12365auto.com/postcontent.aspx?tId=193184")</f>
        <v>http://bbs.12365auto.com/postcontent.aspx?tId=193184</v>
      </c>
      <c r="G12864" s="2"/>
      <c r="H12864" s="2" t="s">
        <v>17139</v>
      </c>
      <c r="I12864" s="2" t="s">
        <v>15</v>
      </c>
      <c r="J12864" s="2" t="s">
        <v>616</v>
      </c>
      <c r="K12864" s="2" t="s">
        <v>17140</v>
      </c>
      <c r="L12864" s="2">
        <f t="shared" si="200"/>
        <v>150</v>
      </c>
    </row>
    <row r="12865" spans="1:12" ht="25" customHeight="1">
      <c r="A12865" s="2" t="s">
        <v>12</v>
      </c>
      <c r="B12865" s="2" t="str">
        <f>HYPERLINK("http://m.12365auto.com/xcdg/20200203/417520.shtml","再不买就没了 2020年这五款车不容错过")</f>
        <v>再不买就没了 2020年这五款车不容错过</v>
      </c>
      <c r="C12865" s="2" t="s">
        <v>13</v>
      </c>
      <c r="D12865" s="2" t="s">
        <v>12</v>
      </c>
      <c r="E12865" s="2"/>
      <c r="F12865" s="2" t="str">
        <f>HYPERLINK("http://m.12365auto.com/xcdg/20200203/417520.shtml","http://m.12365auto.com/xcdg/20200203/417520.shtml")</f>
        <v>http://m.12365auto.com/xcdg/20200203/417520.shtml</v>
      </c>
      <c r="G12865" s="2"/>
      <c r="H12865" s="2" t="s">
        <v>17142</v>
      </c>
      <c r="I12865" s="2" t="s">
        <v>19</v>
      </c>
      <c r="J12865" s="2" t="s">
        <v>1247</v>
      </c>
      <c r="K12865" s="2" t="s">
        <v>17143</v>
      </c>
      <c r="L12865" s="2">
        <f t="shared" si="200"/>
        <v>150</v>
      </c>
    </row>
    <row r="12866" spans="1:12" ht="25" customHeight="1">
      <c r="A12866" s="2" t="s">
        <v>12</v>
      </c>
      <c r="B12866" s="2" t="str">
        <f>HYPERLINK("http://m.12365auto.com/bbs/postcontent.aspx?tID=193183","每月工资5000元 完全养得起沃尔沃S60")</f>
        <v>每月工资5000元 完全养得起沃尔沃S60</v>
      </c>
      <c r="C12866" s="2" t="s">
        <v>13</v>
      </c>
      <c r="D12866" s="2" t="s">
        <v>23</v>
      </c>
      <c r="E12866" s="2"/>
      <c r="F12866" s="2" t="str">
        <f>HYPERLINK("http://m.12365auto.com/bbs/postcontent.aspx?tID=193183","http://m.12365auto.com/bbs/postcontent.aspx?tID=193183")</f>
        <v>http://m.12365auto.com/bbs/postcontent.aspx?tID=193183</v>
      </c>
      <c r="G12866" s="2"/>
      <c r="H12866" s="2" t="s">
        <v>17144</v>
      </c>
      <c r="I12866" s="2" t="s">
        <v>15</v>
      </c>
      <c r="J12866" s="2" t="s">
        <v>616</v>
      </c>
      <c r="K12866" s="2" t="s">
        <v>17145</v>
      </c>
      <c r="L12866" s="2">
        <f t="shared" si="200"/>
        <v>150</v>
      </c>
    </row>
    <row r="12867" spans="1:12" ht="25" customHeight="1">
      <c r="A12867" s="2" t="s">
        <v>12</v>
      </c>
      <c r="B12867" s="2" t="str">
        <f>HYPERLINK("http://bbs.12365auto.com/postcontent.aspx?tId=193183","每月工资5000元 完全养得起沃尔沃S60")</f>
        <v>每月工资5000元 完全养得起沃尔沃S60</v>
      </c>
      <c r="C12867" s="2" t="s">
        <v>13</v>
      </c>
      <c r="D12867" s="2" t="s">
        <v>12</v>
      </c>
      <c r="E12867" s="2" t="s">
        <v>27</v>
      </c>
      <c r="F12867" s="2" t="str">
        <f>HYPERLINK("http://bbs.12365auto.com/postcontent.aspx?tId=193183","http://bbs.12365auto.com/postcontent.aspx?tId=193183")</f>
        <v>http://bbs.12365auto.com/postcontent.aspx?tId=193183</v>
      </c>
      <c r="G12867" s="2"/>
      <c r="H12867" s="2" t="s">
        <v>17144</v>
      </c>
      <c r="I12867" s="2" t="s">
        <v>15</v>
      </c>
      <c r="J12867" s="2" t="s">
        <v>616</v>
      </c>
      <c r="K12867" s="2" t="s">
        <v>17145</v>
      </c>
      <c r="L12867" s="2">
        <f t="shared" ref="L12867:L12930" si="201">LEN(H12867)</f>
        <v>150</v>
      </c>
    </row>
    <row r="12868" spans="1:12" ht="25" customHeight="1">
      <c r="A12868" s="2" t="s">
        <v>12</v>
      </c>
      <c r="B12868" s="2" t="str">
        <f>HYPERLINK("http://bbs.12365auto.com/postcontent.aspx?tID=193183","每月工资5000元 完全养得起沃尔沃S60")</f>
        <v>每月工资5000元 完全养得起沃尔沃S60</v>
      </c>
      <c r="C12868" s="2" t="s">
        <v>13</v>
      </c>
      <c r="D12868" s="2" t="s">
        <v>12</v>
      </c>
      <c r="E12868" s="2" t="s">
        <v>28</v>
      </c>
      <c r="F12868" s="2" t="str">
        <f>HYPERLINK("http://bbs.12365auto.com/postcontent.aspx?tID=193183","http://bbs.12365auto.com/postcontent.aspx?tID=193183")</f>
        <v>http://bbs.12365auto.com/postcontent.aspx?tID=193183</v>
      </c>
      <c r="G12868" s="2"/>
      <c r="H12868" s="2" t="s">
        <v>17146</v>
      </c>
      <c r="I12868" s="2" t="s">
        <v>15</v>
      </c>
      <c r="J12868" s="2" t="s">
        <v>616</v>
      </c>
      <c r="K12868" s="2" t="s">
        <v>17145</v>
      </c>
      <c r="L12868" s="2">
        <f t="shared" si="201"/>
        <v>150</v>
      </c>
    </row>
    <row r="12869" spans="1:12" ht="25" customHeight="1">
      <c r="A12869" s="2" t="s">
        <v>12</v>
      </c>
      <c r="B12869" s="2" t="str">
        <f>HYPERLINK("http://m.12365auto.com/xcdg/20200203/417519.shtml","奥迪多款新车信息曝光 动力大涨/外观运动")</f>
        <v>奥迪多款新车信息曝光 动力大涨/外观运动</v>
      </c>
      <c r="C12869" s="2" t="s">
        <v>13</v>
      </c>
      <c r="D12869" s="2" t="s">
        <v>12</v>
      </c>
      <c r="E12869" s="2"/>
      <c r="F12869" s="2" t="str">
        <f>HYPERLINK("http://m.12365auto.com/xcdg/20200203/417519.shtml","http://m.12365auto.com/xcdg/20200203/417519.shtml")</f>
        <v>http://m.12365auto.com/xcdg/20200203/417519.shtml</v>
      </c>
      <c r="G12869" s="2"/>
      <c r="H12869" s="2" t="s">
        <v>17147</v>
      </c>
      <c r="I12869" s="2" t="s">
        <v>19</v>
      </c>
      <c r="J12869" s="2" t="s">
        <v>220</v>
      </c>
      <c r="K12869" s="2" t="s">
        <v>17148</v>
      </c>
      <c r="L12869" s="2">
        <f t="shared" si="201"/>
        <v>150</v>
      </c>
    </row>
    <row r="12870" spans="1:12" ht="25" customHeight="1">
      <c r="A12870" s="2" t="s">
        <v>12</v>
      </c>
      <c r="B12870" s="2" t="str">
        <f>HYPERLINK("http://www.12365auto.com/xcdg/20200203/417519.shtml","奥迪多款新车信息曝光 动力大涨/外观运动")</f>
        <v>奥迪多款新车信息曝光 动力大涨/外观运动</v>
      </c>
      <c r="C12870" s="2" t="s">
        <v>13</v>
      </c>
      <c r="D12870" s="2" t="s">
        <v>12</v>
      </c>
      <c r="E12870" s="2" t="s">
        <v>216</v>
      </c>
      <c r="F12870" s="2" t="str">
        <f>HYPERLINK("http://www.12365auto.com/xcdg/20200203/417519.shtml","http://www.12365auto.com/xcdg/20200203/417519.shtml")</f>
        <v>http://www.12365auto.com/xcdg/20200203/417519.shtml</v>
      </c>
      <c r="G12870" s="2"/>
      <c r="H12870" s="2" t="s">
        <v>17149</v>
      </c>
      <c r="I12870" s="2" t="s">
        <v>15</v>
      </c>
      <c r="J12870" s="2" t="s">
        <v>12</v>
      </c>
      <c r="K12870" s="2" t="s">
        <v>17148</v>
      </c>
      <c r="L12870" s="2">
        <f t="shared" si="201"/>
        <v>150</v>
      </c>
    </row>
    <row r="12871" spans="1:12" ht="25" customHeight="1">
      <c r="A12871" s="2" t="s">
        <v>12</v>
      </c>
      <c r="B12871" s="2" t="str">
        <f>HYPERLINK("http://m.12365auto.com/xcdg/20200203/417518.shtml","道奇新Durango SRT套件车型 搭V8引擎")</f>
        <v>道奇新Durango SRT套件车型 搭V8引擎</v>
      </c>
      <c r="C12871" s="2" t="s">
        <v>13</v>
      </c>
      <c r="D12871" s="2" t="s">
        <v>12</v>
      </c>
      <c r="E12871" s="2"/>
      <c r="F12871" s="2" t="str">
        <f>HYPERLINK("http://m.12365auto.com/xcdg/20200203/417518.shtml","http://m.12365auto.com/xcdg/20200203/417518.shtml")</f>
        <v>http://m.12365auto.com/xcdg/20200203/417518.shtml</v>
      </c>
      <c r="G12871" s="2"/>
      <c r="H12871" s="2" t="s">
        <v>17150</v>
      </c>
      <c r="I12871" s="2" t="s">
        <v>19</v>
      </c>
      <c r="J12871" s="2" t="s">
        <v>220</v>
      </c>
      <c r="K12871" s="2" t="s">
        <v>17151</v>
      </c>
      <c r="L12871" s="2">
        <f t="shared" si="201"/>
        <v>150</v>
      </c>
    </row>
    <row r="12872" spans="1:12" ht="25" customHeight="1">
      <c r="A12872" s="2" t="s">
        <v>12</v>
      </c>
      <c r="B12872" s="2" t="str">
        <f>HYPERLINK("http://www.12365auto.com/xcdg/20200203/417518.shtml","道奇新Durango SRT套件车型 搭V8引擎")</f>
        <v>道奇新Durango SRT套件车型 搭V8引擎</v>
      </c>
      <c r="C12872" s="2" t="s">
        <v>13</v>
      </c>
      <c r="D12872" s="2" t="s">
        <v>12</v>
      </c>
      <c r="E12872" s="2" t="s">
        <v>216</v>
      </c>
      <c r="F12872" s="2" t="str">
        <f>HYPERLINK("http://www.12365auto.com/xcdg/20200203/417518.shtml","http://www.12365auto.com/xcdg/20200203/417518.shtml")</f>
        <v>http://www.12365auto.com/xcdg/20200203/417518.shtml</v>
      </c>
      <c r="G12872" s="2"/>
      <c r="H12872" s="2" t="s">
        <v>17152</v>
      </c>
      <c r="I12872" s="2" t="s">
        <v>15</v>
      </c>
      <c r="J12872" s="2" t="s">
        <v>12</v>
      </c>
      <c r="K12872" s="2" t="s">
        <v>17151</v>
      </c>
      <c r="L12872" s="2">
        <f t="shared" si="201"/>
        <v>150</v>
      </c>
    </row>
    <row r="12873" spans="1:12" ht="25" customHeight="1">
      <c r="A12873" s="2" t="s">
        <v>12</v>
      </c>
      <c r="B12873" s="2" t="str">
        <f>HYPERLINK("http://m.12365auto.com/xcdg/20200203/417517.shtml","奔驰新款GLA信息曝光 提供两种动力版本")</f>
        <v>奔驰新款GLA信息曝光 提供两种动力版本</v>
      </c>
      <c r="C12873" s="2" t="s">
        <v>13</v>
      </c>
      <c r="D12873" s="2" t="s">
        <v>12</v>
      </c>
      <c r="E12873" s="2"/>
      <c r="F12873" s="2" t="str">
        <f>HYPERLINK("http://m.12365auto.com/xcdg/20200203/417517.shtml","http://m.12365auto.com/xcdg/20200203/417517.shtml")</f>
        <v>http://m.12365auto.com/xcdg/20200203/417517.shtml</v>
      </c>
      <c r="G12873" s="2"/>
      <c r="H12873" s="2" t="s">
        <v>17153</v>
      </c>
      <c r="I12873" s="2" t="s">
        <v>19</v>
      </c>
      <c r="J12873" s="2" t="s">
        <v>13601</v>
      </c>
      <c r="K12873" s="2" t="s">
        <v>17154</v>
      </c>
      <c r="L12873" s="2">
        <f t="shared" si="201"/>
        <v>150</v>
      </c>
    </row>
    <row r="12874" spans="1:12" ht="25" customHeight="1">
      <c r="A12874" s="2" t="s">
        <v>12</v>
      </c>
      <c r="B12874" s="2" t="str">
        <f>HYPERLINK("http://www.12365auto.com/xcdg/20200203/417517.shtml","奔驰新款GLA信息曝光 提供两种动力版本")</f>
        <v>奔驰新款GLA信息曝光 提供两种动力版本</v>
      </c>
      <c r="C12874" s="2" t="s">
        <v>13</v>
      </c>
      <c r="D12874" s="2" t="s">
        <v>12</v>
      </c>
      <c r="E12874" s="2" t="s">
        <v>216</v>
      </c>
      <c r="F12874" s="2" t="str">
        <f>HYPERLINK("http://www.12365auto.com/xcdg/20200203/417517.shtml","http://www.12365auto.com/xcdg/20200203/417517.shtml")</f>
        <v>http://www.12365auto.com/xcdg/20200203/417517.shtml</v>
      </c>
      <c r="G12874" s="2"/>
      <c r="H12874" s="2" t="s">
        <v>17155</v>
      </c>
      <c r="I12874" s="2" t="s">
        <v>15</v>
      </c>
      <c r="J12874" s="2" t="s">
        <v>12</v>
      </c>
      <c r="K12874" s="2" t="s">
        <v>17154</v>
      </c>
      <c r="L12874" s="2">
        <f t="shared" si="201"/>
        <v>150</v>
      </c>
    </row>
    <row r="12875" spans="1:12" ht="25" customHeight="1">
      <c r="A12875" s="2" t="s">
        <v>12</v>
      </c>
      <c r="B12875" s="2" t="str">
        <f>HYPERLINK("http://m.12365auto.com/xcdg/20200203/417516.shtml","奔驰全新S级方向盘曝光 这设计您能给几分")</f>
        <v>奔驰全新S级方向盘曝光 这设计您能给几分</v>
      </c>
      <c r="C12875" s="2" t="s">
        <v>13</v>
      </c>
      <c r="D12875" s="2" t="s">
        <v>12</v>
      </c>
      <c r="E12875" s="2"/>
      <c r="F12875" s="2" t="str">
        <f>HYPERLINK("http://m.12365auto.com/xcdg/20200203/417516.shtml","http://m.12365auto.com/xcdg/20200203/417516.shtml")</f>
        <v>http://m.12365auto.com/xcdg/20200203/417516.shtml</v>
      </c>
      <c r="G12875" s="2"/>
      <c r="H12875" s="2" t="s">
        <v>17156</v>
      </c>
      <c r="I12875" s="2" t="s">
        <v>19</v>
      </c>
      <c r="J12875" s="2" t="s">
        <v>220</v>
      </c>
      <c r="K12875" s="2" t="s">
        <v>17157</v>
      </c>
      <c r="L12875" s="2">
        <f t="shared" si="201"/>
        <v>150</v>
      </c>
    </row>
    <row r="12876" spans="1:12" ht="25" customHeight="1">
      <c r="A12876" s="2" t="s">
        <v>12</v>
      </c>
      <c r="B12876" s="2" t="str">
        <f>HYPERLINK("http://www.12365auto.com/xcdg/20200203/417516.shtml","奔驰全新S级方向盘曝光 这设计您能给几分")</f>
        <v>奔驰全新S级方向盘曝光 这设计您能给几分</v>
      </c>
      <c r="C12876" s="2" t="s">
        <v>13</v>
      </c>
      <c r="D12876" s="2" t="s">
        <v>12</v>
      </c>
      <c r="E12876" s="2" t="s">
        <v>224</v>
      </c>
      <c r="F12876" s="2" t="str">
        <f>HYPERLINK("http://www.12365auto.com/xcdg/20200203/417516.shtml","http://www.12365auto.com/xcdg/20200203/417516.shtml")</f>
        <v>http://www.12365auto.com/xcdg/20200203/417516.shtml</v>
      </c>
      <c r="G12876" s="2"/>
      <c r="H12876" s="2" t="s">
        <v>17158</v>
      </c>
      <c r="I12876" s="2" t="s">
        <v>15</v>
      </c>
      <c r="J12876" s="2" t="s">
        <v>12</v>
      </c>
      <c r="K12876" s="2" t="s">
        <v>17157</v>
      </c>
      <c r="L12876" s="2">
        <f t="shared" si="201"/>
        <v>150</v>
      </c>
    </row>
    <row r="12877" spans="1:12" ht="25" customHeight="1">
      <c r="A12877" s="2" t="s">
        <v>12</v>
      </c>
      <c r="B12877" s="2" t="str">
        <f>HYPERLINK("http://m.12365auto.com/xcdg/20200203/417515.shtml","大众新款Up!车型曝光 续航里程256km")</f>
        <v>大众新款Up!车型曝光 续航里程256km</v>
      </c>
      <c r="C12877" s="2" t="s">
        <v>13</v>
      </c>
      <c r="D12877" s="2" t="s">
        <v>12</v>
      </c>
      <c r="E12877" s="2"/>
      <c r="F12877" s="2" t="str">
        <f>HYPERLINK("http://m.12365auto.com/xcdg/20200203/417515.shtml","http://m.12365auto.com/xcdg/20200203/417515.shtml")</f>
        <v>http://m.12365auto.com/xcdg/20200203/417515.shtml</v>
      </c>
      <c r="G12877" s="2"/>
      <c r="H12877" s="2" t="s">
        <v>17159</v>
      </c>
      <c r="I12877" s="2" t="s">
        <v>19</v>
      </c>
      <c r="J12877" s="2" t="s">
        <v>13601</v>
      </c>
      <c r="K12877" s="2" t="s">
        <v>17160</v>
      </c>
      <c r="L12877" s="2">
        <f t="shared" si="201"/>
        <v>150</v>
      </c>
    </row>
    <row r="12878" spans="1:12" ht="25" customHeight="1">
      <c r="A12878" s="2" t="s">
        <v>12</v>
      </c>
      <c r="B12878" s="2" t="str">
        <f>HYPERLINK("http://www.12365auto.com/xcdg/20200203/417515.shtml","大众新款Up!车型曝光 续航里程256km")</f>
        <v>大众新款Up!车型曝光 续航里程256km</v>
      </c>
      <c r="C12878" s="2" t="s">
        <v>13</v>
      </c>
      <c r="D12878" s="2" t="s">
        <v>12</v>
      </c>
      <c r="E12878" s="2" t="s">
        <v>216</v>
      </c>
      <c r="F12878" s="2" t="str">
        <f>HYPERLINK("http://www.12365auto.com/xcdg/20200203/417515.shtml","http://www.12365auto.com/xcdg/20200203/417515.shtml")</f>
        <v>http://www.12365auto.com/xcdg/20200203/417515.shtml</v>
      </c>
      <c r="G12878" s="2"/>
      <c r="H12878" s="2" t="s">
        <v>17161</v>
      </c>
      <c r="I12878" s="2" t="s">
        <v>15</v>
      </c>
      <c r="J12878" s="2" t="s">
        <v>12</v>
      </c>
      <c r="K12878" s="2" t="s">
        <v>17160</v>
      </c>
      <c r="L12878" s="2">
        <f t="shared" si="201"/>
        <v>150</v>
      </c>
    </row>
    <row r="12879" spans="1:12" ht="25" customHeight="1">
      <c r="A12879" s="2" t="s">
        <v>12</v>
      </c>
      <c r="B12879" s="2" t="str">
        <f>HYPERLINK("http://m.12365auto.com/xcdg/20200203/417514.shtml","奔驰全新C级最新谍照 明年春季将开售")</f>
        <v>奔驰全新C级最新谍照 明年春季将开售</v>
      </c>
      <c r="C12879" s="2" t="s">
        <v>13</v>
      </c>
      <c r="D12879" s="2" t="s">
        <v>12</v>
      </c>
      <c r="E12879" s="2"/>
      <c r="F12879" s="2" t="str">
        <f>HYPERLINK("http://m.12365auto.com/xcdg/20200203/417514.shtml","http://m.12365auto.com/xcdg/20200203/417514.shtml")</f>
        <v>http://m.12365auto.com/xcdg/20200203/417514.shtml</v>
      </c>
      <c r="G12879" s="2"/>
      <c r="H12879" s="2" t="s">
        <v>17162</v>
      </c>
      <c r="I12879" s="2" t="s">
        <v>19</v>
      </c>
      <c r="J12879" s="2" t="s">
        <v>220</v>
      </c>
      <c r="K12879" s="2" t="s">
        <v>17163</v>
      </c>
      <c r="L12879" s="2">
        <f t="shared" si="201"/>
        <v>150</v>
      </c>
    </row>
    <row r="12880" spans="1:12" ht="25" customHeight="1">
      <c r="A12880" s="2" t="s">
        <v>12</v>
      </c>
      <c r="B12880" s="2" t="str">
        <f>HYPERLINK("http://www.12365auto.com/xcdg/20200203/417514.shtml","奔驰全新C级最新谍照 明年春季将开售")</f>
        <v>奔驰全新C级最新谍照 明年春季将开售</v>
      </c>
      <c r="C12880" s="2" t="s">
        <v>13</v>
      </c>
      <c r="D12880" s="2" t="s">
        <v>12</v>
      </c>
      <c r="E12880" s="2" t="s">
        <v>224</v>
      </c>
      <c r="F12880" s="2" t="str">
        <f>HYPERLINK("http://www.12365auto.com/xcdg/20200203/417514.shtml","http://www.12365auto.com/xcdg/20200203/417514.shtml")</f>
        <v>http://www.12365auto.com/xcdg/20200203/417514.shtml</v>
      </c>
      <c r="G12880" s="2"/>
      <c r="H12880" s="2" t="s">
        <v>17164</v>
      </c>
      <c r="I12880" s="2" t="s">
        <v>15</v>
      </c>
      <c r="J12880" s="2" t="s">
        <v>12</v>
      </c>
      <c r="K12880" s="2" t="s">
        <v>17163</v>
      </c>
      <c r="L12880" s="2">
        <f t="shared" si="201"/>
        <v>150</v>
      </c>
    </row>
    <row r="12881" spans="1:12" ht="25" customHeight="1">
      <c r="A12881" s="2" t="s">
        <v>12</v>
      </c>
      <c r="B12881" s="2" t="str">
        <f>HYPERLINK("http://www.12365auto.com/xcdg/20200203/417513.shtml","捷豹新款F-TYPE售价曝光 搭载三种动力")</f>
        <v>捷豹新款F-TYPE售价曝光 搭载三种动力</v>
      </c>
      <c r="C12881" s="2" t="s">
        <v>13</v>
      </c>
      <c r="D12881" s="2" t="s">
        <v>12</v>
      </c>
      <c r="E12881" s="2" t="s">
        <v>216</v>
      </c>
      <c r="F12881" s="2" t="str">
        <f>HYPERLINK("http://www.12365auto.com/xcdg/20200203/417513.shtml","http://www.12365auto.com/xcdg/20200203/417513.shtml")</f>
        <v>http://www.12365auto.com/xcdg/20200203/417513.shtml</v>
      </c>
      <c r="G12881" s="2"/>
      <c r="H12881" s="2" t="s">
        <v>17165</v>
      </c>
      <c r="I12881" s="2" t="s">
        <v>15</v>
      </c>
      <c r="J12881" s="2" t="s">
        <v>12</v>
      </c>
      <c r="K12881" s="2" t="s">
        <v>17166</v>
      </c>
      <c r="L12881" s="2">
        <f t="shared" si="201"/>
        <v>150</v>
      </c>
    </row>
    <row r="12882" spans="1:12" ht="25" customHeight="1">
      <c r="A12882" s="2" t="s">
        <v>12</v>
      </c>
      <c r="B12882" s="2" t="str">
        <f>HYPERLINK("http://m.12365auto.com/xcdg/20200203/417513.shtml","捷豹新款F-TYPE售价曝光 搭载三种动力")</f>
        <v>捷豹新款F-TYPE售价曝光 搭载三种动力</v>
      </c>
      <c r="C12882" s="2" t="s">
        <v>13</v>
      </c>
      <c r="D12882" s="2" t="s">
        <v>12</v>
      </c>
      <c r="E12882" s="2"/>
      <c r="F12882" s="2" t="str">
        <f>HYPERLINK("http://m.12365auto.com/xcdg/20200203/417513.shtml","http://m.12365auto.com/xcdg/20200203/417513.shtml")</f>
        <v>http://m.12365auto.com/xcdg/20200203/417513.shtml</v>
      </c>
      <c r="G12882" s="2"/>
      <c r="H12882" s="2" t="s">
        <v>17167</v>
      </c>
      <c r="I12882" s="2" t="s">
        <v>19</v>
      </c>
      <c r="J12882" s="2" t="s">
        <v>13601</v>
      </c>
      <c r="K12882" s="2" t="s">
        <v>17166</v>
      </c>
      <c r="L12882" s="2">
        <f t="shared" si="201"/>
        <v>150</v>
      </c>
    </row>
    <row r="12883" spans="1:12" ht="25" customHeight="1">
      <c r="A12883" s="2" t="s">
        <v>12</v>
      </c>
      <c r="B12883" s="2" t="str">
        <f>HYPERLINK("http://m.12365auto.com/bbs/postcontent.aspx?tID=193182","40万的昂科旗Avenir 能不能让别克成为豪华品牌")</f>
        <v>40万的昂科旗Avenir 能不能让别克成为豪华品牌</v>
      </c>
      <c r="C12883" s="2" t="s">
        <v>13</v>
      </c>
      <c r="D12883" s="2" t="s">
        <v>23</v>
      </c>
      <c r="E12883" s="2"/>
      <c r="F12883" s="2" t="str">
        <f>HYPERLINK("http://m.12365auto.com/bbs/postcontent.aspx?tID=193182","http://m.12365auto.com/bbs/postcontent.aspx?tID=193182")</f>
        <v>http://m.12365auto.com/bbs/postcontent.aspx?tID=193182</v>
      </c>
      <c r="G12883" s="2"/>
      <c r="H12883" s="2" t="s">
        <v>17168</v>
      </c>
      <c r="I12883" s="2" t="s">
        <v>15</v>
      </c>
      <c r="J12883" s="2" t="s">
        <v>616</v>
      </c>
      <c r="K12883" s="2" t="s">
        <v>17166</v>
      </c>
      <c r="L12883" s="2">
        <f t="shared" si="201"/>
        <v>150</v>
      </c>
    </row>
    <row r="12884" spans="1:12" ht="25" customHeight="1">
      <c r="A12884" s="2" t="s">
        <v>12</v>
      </c>
      <c r="B12884" s="2" t="str">
        <f>HYPERLINK("http://bbs.12365auto.com/postcontent.aspx?tId=193182","40万的昂科旗Avenir 能不能让别克成为豪华品牌")</f>
        <v>40万的昂科旗Avenir 能不能让别克成为豪华品牌</v>
      </c>
      <c r="C12884" s="2" t="s">
        <v>13</v>
      </c>
      <c r="D12884" s="2" t="s">
        <v>12</v>
      </c>
      <c r="E12884" s="2" t="s">
        <v>27</v>
      </c>
      <c r="F12884" s="2" t="str">
        <f>HYPERLINK("http://bbs.12365auto.com/postcontent.aspx?tId=193182","http://bbs.12365auto.com/postcontent.aspx?tId=193182")</f>
        <v>http://bbs.12365auto.com/postcontent.aspx?tId=193182</v>
      </c>
      <c r="G12884" s="2"/>
      <c r="H12884" s="2" t="s">
        <v>17168</v>
      </c>
      <c r="I12884" s="2" t="s">
        <v>15</v>
      </c>
      <c r="J12884" s="2" t="s">
        <v>616</v>
      </c>
      <c r="K12884" s="2" t="s">
        <v>17166</v>
      </c>
      <c r="L12884" s="2">
        <f t="shared" si="201"/>
        <v>150</v>
      </c>
    </row>
    <row r="12885" spans="1:12" ht="25" customHeight="1">
      <c r="A12885" s="2" t="s">
        <v>12</v>
      </c>
      <c r="B12885" s="2" t="str">
        <f>HYPERLINK("http://bbs.12365auto.com/postcontent.aspx?tID=193182","40万的昂科旗Avenir 能不能让别克成为豪华品牌")</f>
        <v>40万的昂科旗Avenir 能不能让别克成为豪华品牌</v>
      </c>
      <c r="C12885" s="2" t="s">
        <v>13</v>
      </c>
      <c r="D12885" s="2" t="s">
        <v>12</v>
      </c>
      <c r="E12885" s="2" t="s">
        <v>28</v>
      </c>
      <c r="F12885" s="2" t="str">
        <f>HYPERLINK("http://bbs.12365auto.com/postcontent.aspx?tID=193182","http://bbs.12365auto.com/postcontent.aspx?tID=193182")</f>
        <v>http://bbs.12365auto.com/postcontent.aspx?tID=193182</v>
      </c>
      <c r="G12885" s="2"/>
      <c r="H12885" s="2" t="s">
        <v>17169</v>
      </c>
      <c r="I12885" s="2" t="s">
        <v>15</v>
      </c>
      <c r="J12885" s="2" t="s">
        <v>616</v>
      </c>
      <c r="K12885" s="2" t="s">
        <v>17166</v>
      </c>
      <c r="L12885" s="2">
        <f t="shared" si="201"/>
        <v>150</v>
      </c>
    </row>
    <row r="12886" spans="1:12" ht="25" customHeight="1">
      <c r="A12886" s="2" t="s">
        <v>12</v>
      </c>
      <c r="B12886" s="2" t="str">
        <f>HYPERLINK("http://m.12365auto.com/news/20200203/417512.shtml","疫情扩散的时候 这些皮卡车企在做些什么？")</f>
        <v>疫情扩散的时候 这些皮卡车企在做些什么？</v>
      </c>
      <c r="C12886" s="2" t="s">
        <v>13</v>
      </c>
      <c r="D12886" s="2" t="s">
        <v>12</v>
      </c>
      <c r="E12886" s="2"/>
      <c r="F12886" s="2" t="str">
        <f>HYPERLINK("http://m.12365auto.com/news/20200203/417512.shtml","http://m.12365auto.com/news/20200203/417512.shtml")</f>
        <v>http://m.12365auto.com/news/20200203/417512.shtml</v>
      </c>
      <c r="G12886" s="2"/>
      <c r="H12886" s="2" t="s">
        <v>17170</v>
      </c>
      <c r="I12886" s="2" t="s">
        <v>19</v>
      </c>
      <c r="J12886" s="2" t="s">
        <v>1933</v>
      </c>
      <c r="K12886" s="2" t="s">
        <v>17171</v>
      </c>
      <c r="L12886" s="2">
        <f t="shared" si="201"/>
        <v>150</v>
      </c>
    </row>
    <row r="12887" spans="1:12" ht="25" customHeight="1">
      <c r="A12887" s="2" t="s">
        <v>12</v>
      </c>
      <c r="B12887" s="2" t="str">
        <f>HYPERLINK("http://www.12365auto.com/news/20200203/417512.shtml","疫情扩散的时候 这些皮卡车企在做些什么？")</f>
        <v>疫情扩散的时候 这些皮卡车企在做些什么？</v>
      </c>
      <c r="C12887" s="2" t="s">
        <v>13</v>
      </c>
      <c r="D12887" s="2" t="s">
        <v>12</v>
      </c>
      <c r="E12887" s="2" t="s">
        <v>276</v>
      </c>
      <c r="F12887" s="2" t="str">
        <f>HYPERLINK("http://www.12365auto.com/news/20200203/417512.shtml","http://www.12365auto.com/news/20200203/417512.shtml")</f>
        <v>http://www.12365auto.com/news/20200203/417512.shtml</v>
      </c>
      <c r="G12887" s="2"/>
      <c r="H12887" s="2" t="s">
        <v>17172</v>
      </c>
      <c r="I12887" s="2" t="s">
        <v>15</v>
      </c>
      <c r="J12887" s="2" t="s">
        <v>12</v>
      </c>
      <c r="K12887" s="2" t="s">
        <v>17171</v>
      </c>
      <c r="L12887" s="2">
        <f t="shared" si="201"/>
        <v>150</v>
      </c>
    </row>
    <row r="12888" spans="1:12" ht="25" customHeight="1">
      <c r="A12888" s="2" t="s">
        <v>12</v>
      </c>
      <c r="B12888" s="2" t="str">
        <f>HYPERLINK("http://m.12365auto.com/xcdg/20200203/417511.shtml","奔驰GLE插混版售价曝光 搭2.0T/配置丰富")</f>
        <v>奔驰GLE插混版售价曝光 搭2.0T/配置丰富</v>
      </c>
      <c r="C12888" s="2" t="s">
        <v>13</v>
      </c>
      <c r="D12888" s="2" t="s">
        <v>12</v>
      </c>
      <c r="E12888" s="2"/>
      <c r="F12888" s="2" t="str">
        <f>HYPERLINK("http://m.12365auto.com/xcdg/20200203/417511.shtml","http://m.12365auto.com/xcdg/20200203/417511.shtml")</f>
        <v>http://m.12365auto.com/xcdg/20200203/417511.shtml</v>
      </c>
      <c r="G12888" s="2"/>
      <c r="H12888" s="2" t="s">
        <v>17173</v>
      </c>
      <c r="I12888" s="2" t="s">
        <v>19</v>
      </c>
      <c r="J12888" s="2" t="s">
        <v>220</v>
      </c>
      <c r="K12888" s="2" t="s">
        <v>17174</v>
      </c>
      <c r="L12888" s="2">
        <f t="shared" si="201"/>
        <v>150</v>
      </c>
    </row>
    <row r="12889" spans="1:12" ht="25" customHeight="1">
      <c r="A12889" s="2" t="s">
        <v>12</v>
      </c>
      <c r="B12889" s="2" t="str">
        <f>HYPERLINK("http://m.12365auto.com/bbs/postcontent.aspx?tID=193181","这4款平民跑车 回头率不输百万豪车")</f>
        <v>这4款平民跑车 回头率不输百万豪车</v>
      </c>
      <c r="C12889" s="2" t="s">
        <v>13</v>
      </c>
      <c r="D12889" s="2" t="s">
        <v>23</v>
      </c>
      <c r="E12889" s="2"/>
      <c r="F12889" s="2" t="str">
        <f>HYPERLINK("http://m.12365auto.com/bbs/postcontent.aspx?tID=193181","http://m.12365auto.com/bbs/postcontent.aspx?tID=193181")</f>
        <v>http://m.12365auto.com/bbs/postcontent.aspx?tID=193181</v>
      </c>
      <c r="G12889" s="2"/>
      <c r="H12889" s="2" t="s">
        <v>17175</v>
      </c>
      <c r="I12889" s="2" t="s">
        <v>15</v>
      </c>
      <c r="J12889" s="2" t="s">
        <v>616</v>
      </c>
      <c r="K12889" s="2" t="s">
        <v>17174</v>
      </c>
      <c r="L12889" s="2">
        <f t="shared" si="201"/>
        <v>150</v>
      </c>
    </row>
    <row r="12890" spans="1:12" ht="25" customHeight="1">
      <c r="A12890" s="2" t="s">
        <v>12</v>
      </c>
      <c r="B12890" s="2" t="str">
        <f>HYPERLINK("http://bbs.12365auto.com/postcontent.aspx?tId=193181","这4款平民跑车 回头率不输百万豪车")</f>
        <v>这4款平民跑车 回头率不输百万豪车</v>
      </c>
      <c r="C12890" s="2" t="s">
        <v>13</v>
      </c>
      <c r="D12890" s="2" t="s">
        <v>12</v>
      </c>
      <c r="E12890" s="2" t="s">
        <v>27</v>
      </c>
      <c r="F12890" s="2" t="str">
        <f>HYPERLINK("http://bbs.12365auto.com/postcontent.aspx?tId=193181","http://bbs.12365auto.com/postcontent.aspx?tId=193181")</f>
        <v>http://bbs.12365auto.com/postcontent.aspx?tId=193181</v>
      </c>
      <c r="G12890" s="2"/>
      <c r="H12890" s="2" t="s">
        <v>17175</v>
      </c>
      <c r="I12890" s="2" t="s">
        <v>15</v>
      </c>
      <c r="J12890" s="2" t="s">
        <v>616</v>
      </c>
      <c r="K12890" s="2" t="s">
        <v>17174</v>
      </c>
      <c r="L12890" s="2">
        <f t="shared" si="201"/>
        <v>150</v>
      </c>
    </row>
    <row r="12891" spans="1:12" ht="25" customHeight="1">
      <c r="A12891" s="2" t="s">
        <v>12</v>
      </c>
      <c r="B12891" s="2" t="str">
        <f>HYPERLINK("http://bbs.12365auto.com/postcontent.aspx?tID=193181","这4款平民跑车 回头率不输百万豪车")</f>
        <v>这4款平民跑车 回头率不输百万豪车</v>
      </c>
      <c r="C12891" s="2" t="s">
        <v>13</v>
      </c>
      <c r="D12891" s="2" t="s">
        <v>12</v>
      </c>
      <c r="E12891" s="2" t="s">
        <v>28</v>
      </c>
      <c r="F12891" s="2" t="str">
        <f>HYPERLINK("http://bbs.12365auto.com/postcontent.aspx?tID=193181","http://bbs.12365auto.com/postcontent.aspx?tID=193181")</f>
        <v>http://bbs.12365auto.com/postcontent.aspx?tID=193181</v>
      </c>
      <c r="G12891" s="2"/>
      <c r="H12891" s="2" t="s">
        <v>17176</v>
      </c>
      <c r="I12891" s="2" t="s">
        <v>15</v>
      </c>
      <c r="J12891" s="2" t="s">
        <v>616</v>
      </c>
      <c r="K12891" s="2" t="s">
        <v>17174</v>
      </c>
      <c r="L12891" s="2">
        <f t="shared" si="201"/>
        <v>150</v>
      </c>
    </row>
    <row r="12892" spans="1:12" ht="25" customHeight="1">
      <c r="A12892" s="2" t="s">
        <v>12</v>
      </c>
      <c r="B12892" s="2" t="str">
        <f>HYPERLINK("http://www.12365auto.com/xcdg/20200203/417511.shtml","奔驰GLE插混版售价曝光 搭2.0T/配置丰富")</f>
        <v>奔驰GLE插混版售价曝光 搭2.0T/配置丰富</v>
      </c>
      <c r="C12892" s="2" t="s">
        <v>13</v>
      </c>
      <c r="D12892" s="2" t="s">
        <v>12</v>
      </c>
      <c r="E12892" s="2" t="s">
        <v>216</v>
      </c>
      <c r="F12892" s="2" t="str">
        <f>HYPERLINK("http://www.12365auto.com/xcdg/20200203/417511.shtml","http://www.12365auto.com/xcdg/20200203/417511.shtml")</f>
        <v>http://www.12365auto.com/xcdg/20200203/417511.shtml</v>
      </c>
      <c r="G12892" s="2"/>
      <c r="H12892" s="2" t="s">
        <v>17177</v>
      </c>
      <c r="I12892" s="2" t="s">
        <v>15</v>
      </c>
      <c r="J12892" s="2" t="s">
        <v>12</v>
      </c>
      <c r="K12892" s="2" t="s">
        <v>17174</v>
      </c>
      <c r="L12892" s="2">
        <f t="shared" si="201"/>
        <v>150</v>
      </c>
    </row>
    <row r="12893" spans="1:12" ht="25" customHeight="1">
      <c r="A12893" s="2" t="s">
        <v>12</v>
      </c>
      <c r="B12893" s="2" t="str">
        <f>HYPERLINK("http://www.12365auto.com/xcdg/20200203/417510.shtml","奥迪全新RS3谍照曝光 搭2.5T/下半年亮相")</f>
        <v>奥迪全新RS3谍照曝光 搭2.5T/下半年亮相</v>
      </c>
      <c r="C12893" s="2" t="s">
        <v>13</v>
      </c>
      <c r="D12893" s="2" t="s">
        <v>12</v>
      </c>
      <c r="E12893" s="2" t="s">
        <v>224</v>
      </c>
      <c r="F12893" s="2" t="str">
        <f>HYPERLINK("http://www.12365auto.com/xcdg/20200203/417510.shtml","http://www.12365auto.com/xcdg/20200203/417510.shtml")</f>
        <v>http://www.12365auto.com/xcdg/20200203/417510.shtml</v>
      </c>
      <c r="G12893" s="2"/>
      <c r="H12893" s="2" t="s">
        <v>17178</v>
      </c>
      <c r="I12893" s="2" t="s">
        <v>15</v>
      </c>
      <c r="J12893" s="2" t="s">
        <v>12</v>
      </c>
      <c r="K12893" s="2" t="s">
        <v>17179</v>
      </c>
      <c r="L12893" s="2">
        <f t="shared" si="201"/>
        <v>150</v>
      </c>
    </row>
    <row r="12894" spans="1:12" ht="25" customHeight="1">
      <c r="A12894" s="2" t="s">
        <v>12</v>
      </c>
      <c r="B12894" s="2" t="str">
        <f>HYPERLINK("http://m.12365auto.com/xcdg/20200203/417510.shtml","奥迪全新RS3谍照曝光 搭2.5T/下半年亮相")</f>
        <v>奥迪全新RS3谍照曝光 搭2.5T/下半年亮相</v>
      </c>
      <c r="C12894" s="2" t="s">
        <v>13</v>
      </c>
      <c r="D12894" s="2" t="s">
        <v>12</v>
      </c>
      <c r="E12894" s="2"/>
      <c r="F12894" s="2" t="str">
        <f>HYPERLINK("http://m.12365auto.com/xcdg/20200203/417510.shtml","http://m.12365auto.com/xcdg/20200203/417510.shtml")</f>
        <v>http://m.12365auto.com/xcdg/20200203/417510.shtml</v>
      </c>
      <c r="G12894" s="2"/>
      <c r="H12894" s="2" t="s">
        <v>17180</v>
      </c>
      <c r="I12894" s="2" t="s">
        <v>19</v>
      </c>
      <c r="J12894" s="2" t="s">
        <v>220</v>
      </c>
      <c r="K12894" s="2" t="s">
        <v>17179</v>
      </c>
      <c r="L12894" s="2">
        <f t="shared" si="201"/>
        <v>150</v>
      </c>
    </row>
    <row r="12895" spans="1:12" ht="25" customHeight="1">
      <c r="A12895" s="2" t="s">
        <v>12</v>
      </c>
      <c r="B12895" s="2" t="str">
        <f>HYPERLINK("http://m.12365auto.com/bbs/postcontent.aspx?tID=193180","马自达RX-7渲染图曝光 转子发动机重回市场")</f>
        <v>马自达RX-7渲染图曝光 转子发动机重回市场</v>
      </c>
      <c r="C12895" s="2" t="s">
        <v>13</v>
      </c>
      <c r="D12895" s="2" t="s">
        <v>23</v>
      </c>
      <c r="E12895" s="2"/>
      <c r="F12895" s="2" t="str">
        <f>HYPERLINK("http://m.12365auto.com/bbs/postcontent.aspx?tID=193180","http://m.12365auto.com/bbs/postcontent.aspx?tID=193180")</f>
        <v>http://m.12365auto.com/bbs/postcontent.aspx?tID=193180</v>
      </c>
      <c r="G12895" s="2"/>
      <c r="H12895" s="2" t="s">
        <v>17181</v>
      </c>
      <c r="I12895" s="2" t="s">
        <v>15</v>
      </c>
      <c r="J12895" s="2" t="s">
        <v>616</v>
      </c>
      <c r="K12895" s="2" t="s">
        <v>17179</v>
      </c>
      <c r="L12895" s="2">
        <f t="shared" si="201"/>
        <v>150</v>
      </c>
    </row>
    <row r="12896" spans="1:12" ht="25" customHeight="1">
      <c r="A12896" s="2" t="s">
        <v>12</v>
      </c>
      <c r="B12896" s="2" t="str">
        <f>HYPERLINK("http://bbs.12365auto.com/postcontent.aspx?tId=193180","马自达RX-7渲染图曝光 转子发动机重回市场")</f>
        <v>马自达RX-7渲染图曝光 转子发动机重回市场</v>
      </c>
      <c r="C12896" s="2" t="s">
        <v>13</v>
      </c>
      <c r="D12896" s="2" t="s">
        <v>12</v>
      </c>
      <c r="E12896" s="2" t="s">
        <v>27</v>
      </c>
      <c r="F12896" s="2" t="str">
        <f>HYPERLINK("http://bbs.12365auto.com/postcontent.aspx?tId=193180","http://bbs.12365auto.com/postcontent.aspx?tId=193180")</f>
        <v>http://bbs.12365auto.com/postcontent.aspx?tId=193180</v>
      </c>
      <c r="G12896" s="2"/>
      <c r="H12896" s="2" t="s">
        <v>17181</v>
      </c>
      <c r="I12896" s="2" t="s">
        <v>15</v>
      </c>
      <c r="J12896" s="2" t="s">
        <v>616</v>
      </c>
      <c r="K12896" s="2" t="s">
        <v>17179</v>
      </c>
      <c r="L12896" s="2">
        <f t="shared" si="201"/>
        <v>150</v>
      </c>
    </row>
    <row r="12897" spans="1:12" ht="25" customHeight="1">
      <c r="A12897" s="2" t="s">
        <v>12</v>
      </c>
      <c r="B12897" s="2" t="str">
        <f>HYPERLINK("http://bbs.12365auto.com/postcontent.aspx?tID=193180","马自达RX-7渲染图曝光 转子发动机重回市场")</f>
        <v>马自达RX-7渲染图曝光 转子发动机重回市场</v>
      </c>
      <c r="C12897" s="2" t="s">
        <v>13</v>
      </c>
      <c r="D12897" s="2" t="s">
        <v>12</v>
      </c>
      <c r="E12897" s="2" t="s">
        <v>28</v>
      </c>
      <c r="F12897" s="2" t="str">
        <f>HYPERLINK("http://bbs.12365auto.com/postcontent.aspx?tID=193180","http://bbs.12365auto.com/postcontent.aspx?tID=193180")</f>
        <v>http://bbs.12365auto.com/postcontent.aspx?tID=193180</v>
      </c>
      <c r="G12897" s="2"/>
      <c r="H12897" s="2" t="s">
        <v>17182</v>
      </c>
      <c r="I12897" s="2" t="s">
        <v>15</v>
      </c>
      <c r="J12897" s="2" t="s">
        <v>616</v>
      </c>
      <c r="K12897" s="2" t="s">
        <v>17179</v>
      </c>
      <c r="L12897" s="2">
        <f t="shared" si="201"/>
        <v>150</v>
      </c>
    </row>
    <row r="12898" spans="1:12" ht="25" customHeight="1">
      <c r="A12898" s="2" t="s">
        <v>12</v>
      </c>
      <c r="B12898" s="2" t="str">
        <f>HYPERLINK("http://m.12365auto.com/bbs/postcontent.aspx?tID=193179","新型冠状病毒过后 汽车行业会怎样")</f>
        <v>新型冠状病毒过后 汽车行业会怎样</v>
      </c>
      <c r="C12898" s="2" t="s">
        <v>13</v>
      </c>
      <c r="D12898" s="2" t="s">
        <v>23</v>
      </c>
      <c r="E12898" s="2"/>
      <c r="F12898" s="2" t="str">
        <f>HYPERLINK("http://m.12365auto.com/bbs/postcontent.aspx?tID=193179","http://m.12365auto.com/bbs/postcontent.aspx?tID=193179")</f>
        <v>http://m.12365auto.com/bbs/postcontent.aspx?tID=193179</v>
      </c>
      <c r="G12898" s="2"/>
      <c r="H12898" s="2" t="s">
        <v>17183</v>
      </c>
      <c r="I12898" s="2" t="s">
        <v>15</v>
      </c>
      <c r="J12898" s="2" t="s">
        <v>616</v>
      </c>
      <c r="K12898" s="2" t="s">
        <v>17184</v>
      </c>
      <c r="L12898" s="2">
        <f t="shared" si="201"/>
        <v>150</v>
      </c>
    </row>
    <row r="12899" spans="1:12" ht="25" customHeight="1">
      <c r="A12899" s="2" t="s">
        <v>12</v>
      </c>
      <c r="B12899" s="2" t="str">
        <f>HYPERLINK("http://bbs.12365auto.com/postcontent.aspx?tID=193179","新型冠状病毒过后 汽车行业会怎样")</f>
        <v>新型冠状病毒过后 汽车行业会怎样</v>
      </c>
      <c r="C12899" s="2" t="s">
        <v>13</v>
      </c>
      <c r="D12899" s="2" t="s">
        <v>12</v>
      </c>
      <c r="E12899" s="2" t="s">
        <v>28</v>
      </c>
      <c r="F12899" s="2" t="str">
        <f>HYPERLINK("http://bbs.12365auto.com/postcontent.aspx?tID=193179","http://bbs.12365auto.com/postcontent.aspx?tID=193179")</f>
        <v>http://bbs.12365auto.com/postcontent.aspx?tID=193179</v>
      </c>
      <c r="G12899" s="2"/>
      <c r="H12899" s="2" t="s">
        <v>17185</v>
      </c>
      <c r="I12899" s="2" t="s">
        <v>15</v>
      </c>
      <c r="J12899" s="2" t="s">
        <v>616</v>
      </c>
      <c r="K12899" s="2" t="s">
        <v>17184</v>
      </c>
      <c r="L12899" s="2">
        <f t="shared" si="201"/>
        <v>150</v>
      </c>
    </row>
    <row r="12900" spans="1:12" ht="25" customHeight="1">
      <c r="A12900" s="2" t="s">
        <v>12</v>
      </c>
      <c r="B12900" s="2" t="str">
        <f>HYPERLINK("http://bbs.12365auto.com/postcontent.aspx?tId=193179","新型冠状病毒过后 汽车行业会怎样")</f>
        <v>新型冠状病毒过后 汽车行业会怎样</v>
      </c>
      <c r="C12900" s="2" t="s">
        <v>13</v>
      </c>
      <c r="D12900" s="2" t="s">
        <v>12</v>
      </c>
      <c r="E12900" s="2" t="s">
        <v>27</v>
      </c>
      <c r="F12900" s="2" t="str">
        <f>HYPERLINK("http://bbs.12365auto.com/postcontent.aspx?tId=193179","http://bbs.12365auto.com/postcontent.aspx?tId=193179")</f>
        <v>http://bbs.12365auto.com/postcontent.aspx?tId=193179</v>
      </c>
      <c r="G12900" s="2"/>
      <c r="H12900" s="2" t="s">
        <v>17183</v>
      </c>
      <c r="I12900" s="2" t="s">
        <v>15</v>
      </c>
      <c r="J12900" s="2" t="s">
        <v>616</v>
      </c>
      <c r="K12900" s="2" t="s">
        <v>17184</v>
      </c>
      <c r="L12900" s="2">
        <f t="shared" si="201"/>
        <v>150</v>
      </c>
    </row>
    <row r="12901" spans="1:12" ht="25" customHeight="1">
      <c r="A12901" s="2" t="s">
        <v>12</v>
      </c>
      <c r="B12901" s="2" t="str">
        <f>HYPERLINK("http://www.12365auto.com/xcdg/20200203/417509.shtml","大众全新高尔夫配置曝光 增配多项配置")</f>
        <v>大众全新高尔夫配置曝光 增配多项配置</v>
      </c>
      <c r="C12901" s="2" t="s">
        <v>13</v>
      </c>
      <c r="D12901" s="2" t="s">
        <v>12</v>
      </c>
      <c r="E12901" s="2" t="s">
        <v>216</v>
      </c>
      <c r="F12901" s="2" t="str">
        <f>HYPERLINK("http://www.12365auto.com/xcdg/20200203/417509.shtml","http://www.12365auto.com/xcdg/20200203/417509.shtml")</f>
        <v>http://www.12365auto.com/xcdg/20200203/417509.shtml</v>
      </c>
      <c r="G12901" s="2"/>
      <c r="H12901" s="2" t="s">
        <v>17186</v>
      </c>
      <c r="I12901" s="2" t="s">
        <v>15</v>
      </c>
      <c r="J12901" s="2" t="s">
        <v>12</v>
      </c>
      <c r="K12901" s="2" t="s">
        <v>17187</v>
      </c>
      <c r="L12901" s="2">
        <f t="shared" si="201"/>
        <v>150</v>
      </c>
    </row>
    <row r="12902" spans="1:12" ht="25" customHeight="1">
      <c r="A12902" s="2" t="s">
        <v>12</v>
      </c>
      <c r="B12902" s="2" t="str">
        <f>HYPERLINK("http://m.12365auto.com/xcdg/20200203/417509.shtml","大众全新高尔夫配置曝光 增配多项配置")</f>
        <v>大众全新高尔夫配置曝光 增配多项配置</v>
      </c>
      <c r="C12902" s="2" t="s">
        <v>13</v>
      </c>
      <c r="D12902" s="2" t="s">
        <v>12</v>
      </c>
      <c r="E12902" s="2"/>
      <c r="F12902" s="2" t="str">
        <f>HYPERLINK("http://m.12365auto.com/xcdg/20200203/417509.shtml","http://m.12365auto.com/xcdg/20200203/417509.shtml")</f>
        <v>http://m.12365auto.com/xcdg/20200203/417509.shtml</v>
      </c>
      <c r="G12902" s="2"/>
      <c r="H12902" s="2" t="s">
        <v>17188</v>
      </c>
      <c r="I12902" s="2" t="s">
        <v>19</v>
      </c>
      <c r="J12902" s="2" t="s">
        <v>220</v>
      </c>
      <c r="K12902" s="2" t="s">
        <v>17187</v>
      </c>
      <c r="L12902" s="2">
        <f t="shared" si="201"/>
        <v>150</v>
      </c>
    </row>
    <row r="12903" spans="1:12" ht="25" customHeight="1">
      <c r="A12903" s="2" t="s">
        <v>12</v>
      </c>
      <c r="B12903" s="2" t="str">
        <f>HYPERLINK("http://www.12365auto.com/xcdg/20200203/417508.shtml","吉利全新SUV豪越实拍 空间比汉兰达还大")</f>
        <v>吉利全新SUV豪越实拍 空间比汉兰达还大</v>
      </c>
      <c r="C12903" s="2" t="s">
        <v>13</v>
      </c>
      <c r="D12903" s="2" t="s">
        <v>12</v>
      </c>
      <c r="E12903" s="2" t="s">
        <v>216</v>
      </c>
      <c r="F12903" s="2" t="str">
        <f>HYPERLINK("http://www.12365auto.com/xcdg/20200203/417508.shtml","http://www.12365auto.com/xcdg/20200203/417508.shtml")</f>
        <v>http://www.12365auto.com/xcdg/20200203/417508.shtml</v>
      </c>
      <c r="G12903" s="2"/>
      <c r="H12903" s="2" t="s">
        <v>17189</v>
      </c>
      <c r="I12903" s="2" t="s">
        <v>15</v>
      </c>
      <c r="J12903" s="2" t="s">
        <v>12</v>
      </c>
      <c r="K12903" s="2" t="s">
        <v>17190</v>
      </c>
      <c r="L12903" s="2">
        <f t="shared" si="201"/>
        <v>150</v>
      </c>
    </row>
    <row r="12904" spans="1:12" ht="25" customHeight="1">
      <c r="A12904" s="2" t="s">
        <v>12</v>
      </c>
      <c r="B12904" s="2" t="str">
        <f>HYPERLINK("http://m.12365auto.com/xcdg/20200203/417508.shtml","吉利全新SUV豪越实拍 空间比汉兰达还大")</f>
        <v>吉利全新SUV豪越实拍 空间比汉兰达还大</v>
      </c>
      <c r="C12904" s="2" t="s">
        <v>13</v>
      </c>
      <c r="D12904" s="2" t="s">
        <v>12</v>
      </c>
      <c r="E12904" s="2"/>
      <c r="F12904" s="2" t="str">
        <f>HYPERLINK("http://m.12365auto.com/xcdg/20200203/417508.shtml","http://m.12365auto.com/xcdg/20200203/417508.shtml")</f>
        <v>http://m.12365auto.com/xcdg/20200203/417508.shtml</v>
      </c>
      <c r="G12904" s="2"/>
      <c r="H12904" s="2" t="s">
        <v>17191</v>
      </c>
      <c r="I12904" s="2" t="s">
        <v>19</v>
      </c>
      <c r="J12904" s="2" t="s">
        <v>739</v>
      </c>
      <c r="K12904" s="2" t="s">
        <v>17190</v>
      </c>
      <c r="L12904" s="2">
        <f t="shared" si="201"/>
        <v>150</v>
      </c>
    </row>
    <row r="12905" spans="1:12" ht="25" customHeight="1">
      <c r="A12905" s="2" t="s">
        <v>12</v>
      </c>
      <c r="B12905" s="2" t="str">
        <f>HYPERLINK("http://www.12365auto.com/xcdg/20200203/417507.shtml","比亚迪汉旗舰轿车谍照曝光 仅推电动版")</f>
        <v>比亚迪汉旗舰轿车谍照曝光 仅推电动版</v>
      </c>
      <c r="C12905" s="2" t="s">
        <v>13</v>
      </c>
      <c r="D12905" s="2" t="s">
        <v>12</v>
      </c>
      <c r="E12905" s="2" t="s">
        <v>216</v>
      </c>
      <c r="F12905" s="2" t="str">
        <f>HYPERLINK("http://www.12365auto.com/xcdg/20200203/417507.shtml","http://www.12365auto.com/xcdg/20200203/417507.shtml")</f>
        <v>http://www.12365auto.com/xcdg/20200203/417507.shtml</v>
      </c>
      <c r="G12905" s="2"/>
      <c r="H12905" s="2" t="s">
        <v>17192</v>
      </c>
      <c r="I12905" s="2" t="s">
        <v>15</v>
      </c>
      <c r="J12905" s="2" t="s">
        <v>12</v>
      </c>
      <c r="K12905" s="2" t="s">
        <v>17193</v>
      </c>
      <c r="L12905" s="2">
        <f t="shared" si="201"/>
        <v>150</v>
      </c>
    </row>
    <row r="12906" spans="1:12" ht="25" customHeight="1">
      <c r="A12906" s="2" t="s">
        <v>12</v>
      </c>
      <c r="B12906" s="2" t="str">
        <f>HYPERLINK("http://m.12365auto.com/xcdg/20200203/417507.shtml","比亚迪汉旗舰轿车谍照曝光 仅推电动版")</f>
        <v>比亚迪汉旗舰轿车谍照曝光 仅推电动版</v>
      </c>
      <c r="C12906" s="2" t="s">
        <v>13</v>
      </c>
      <c r="D12906" s="2" t="s">
        <v>12</v>
      </c>
      <c r="E12906" s="2"/>
      <c r="F12906" s="2" t="str">
        <f>HYPERLINK("http://m.12365auto.com/xcdg/20200203/417507.shtml","http://m.12365auto.com/xcdg/20200203/417507.shtml")</f>
        <v>http://m.12365auto.com/xcdg/20200203/417507.shtml</v>
      </c>
      <c r="G12906" s="2"/>
      <c r="H12906" s="2" t="s">
        <v>17194</v>
      </c>
      <c r="I12906" s="2" t="s">
        <v>19</v>
      </c>
      <c r="J12906" s="2" t="s">
        <v>12</v>
      </c>
      <c r="K12906" s="2" t="s">
        <v>17193</v>
      </c>
      <c r="L12906" s="2">
        <f t="shared" si="201"/>
        <v>150</v>
      </c>
    </row>
    <row r="12907" spans="1:12" ht="25" customHeight="1">
      <c r="A12907" s="2" t="s">
        <v>12</v>
      </c>
      <c r="B12907" s="2" t="str">
        <f>HYPERLINK("http://www.12365auto.com/xcdg/20200203/417506.shtml","传祺GM6增搭2.0T引擎 动力更强/今年推出")</f>
        <v>传祺GM6增搭2.0T引擎 动力更强/今年推出</v>
      </c>
      <c r="C12907" s="2" t="s">
        <v>13</v>
      </c>
      <c r="D12907" s="2" t="s">
        <v>12</v>
      </c>
      <c r="E12907" s="2" t="s">
        <v>216</v>
      </c>
      <c r="F12907" s="2" t="str">
        <f>HYPERLINK("http://www.12365auto.com/xcdg/20200203/417506.shtml","http://www.12365auto.com/xcdg/20200203/417506.shtml")</f>
        <v>http://www.12365auto.com/xcdg/20200203/417506.shtml</v>
      </c>
      <c r="G12907" s="2"/>
      <c r="H12907" s="2" t="s">
        <v>17195</v>
      </c>
      <c r="I12907" s="2" t="s">
        <v>15</v>
      </c>
      <c r="J12907" s="2" t="s">
        <v>12</v>
      </c>
      <c r="K12907" s="2" t="s">
        <v>17196</v>
      </c>
      <c r="L12907" s="2">
        <f t="shared" si="201"/>
        <v>150</v>
      </c>
    </row>
    <row r="12908" spans="1:12" ht="25" customHeight="1">
      <c r="A12908" s="2" t="s">
        <v>12</v>
      </c>
      <c r="B12908" s="2" t="str">
        <f>HYPERLINK("http://m.12365auto.com/xcdg/20200203/417506.shtml","传祺GM6增搭2.0T引擎 动力更强/今年推出")</f>
        <v>传祺GM6增搭2.0T引擎 动力更强/今年推出</v>
      </c>
      <c r="C12908" s="2" t="s">
        <v>13</v>
      </c>
      <c r="D12908" s="2" t="s">
        <v>12</v>
      </c>
      <c r="E12908" s="2"/>
      <c r="F12908" s="2" t="str">
        <f>HYPERLINK("http://m.12365auto.com/xcdg/20200203/417506.shtml","http://m.12365auto.com/xcdg/20200203/417506.shtml")</f>
        <v>http://m.12365auto.com/xcdg/20200203/417506.shtml</v>
      </c>
      <c r="G12908" s="2"/>
      <c r="H12908" s="2" t="s">
        <v>17197</v>
      </c>
      <c r="I12908" s="2" t="s">
        <v>19</v>
      </c>
      <c r="J12908" s="2" t="s">
        <v>739</v>
      </c>
      <c r="K12908" s="2" t="s">
        <v>17196</v>
      </c>
      <c r="L12908" s="2">
        <f t="shared" si="201"/>
        <v>150</v>
      </c>
    </row>
    <row r="12909" spans="1:12" ht="25" customHeight="1">
      <c r="A12909" s="2" t="s">
        <v>12</v>
      </c>
      <c r="B12909" s="2" t="str">
        <f>HYPERLINK("http://www.12365auto.com/news/20200203/417505.shtml","灯罩发黄怎么办？别急着去4S店来看看攻略")</f>
        <v>灯罩发黄怎么办？别急着去4S店来看看攻略</v>
      </c>
      <c r="C12909" s="2" t="s">
        <v>13</v>
      </c>
      <c r="D12909" s="2" t="s">
        <v>12</v>
      </c>
      <c r="E12909" s="2" t="s">
        <v>372</v>
      </c>
      <c r="F12909" s="2" t="str">
        <f>HYPERLINK("http://www.12365auto.com/news/20200203/417505.shtml","http://www.12365auto.com/news/20200203/417505.shtml")</f>
        <v>http://www.12365auto.com/news/20200203/417505.shtml</v>
      </c>
      <c r="G12909" s="2"/>
      <c r="H12909" s="2" t="s">
        <v>17198</v>
      </c>
      <c r="I12909" s="2" t="s">
        <v>15</v>
      </c>
      <c r="J12909" s="2" t="s">
        <v>12</v>
      </c>
      <c r="K12909" s="2" t="s">
        <v>17199</v>
      </c>
      <c r="L12909" s="2">
        <f t="shared" si="201"/>
        <v>150</v>
      </c>
    </row>
    <row r="12910" spans="1:12" ht="25" customHeight="1">
      <c r="A12910" s="2" t="s">
        <v>12</v>
      </c>
      <c r="B12910" s="2" t="str">
        <f>HYPERLINK("http://m.12365auto.com/news/20200203/417505.shtml","灯罩发黄怎么办？别急着去4S店来看看攻略")</f>
        <v>灯罩发黄怎么办？别急着去4S店来看看攻略</v>
      </c>
      <c r="C12910" s="2" t="s">
        <v>13</v>
      </c>
      <c r="D12910" s="2" t="s">
        <v>12</v>
      </c>
      <c r="E12910" s="2"/>
      <c r="F12910" s="2" t="str">
        <f>HYPERLINK("http://m.12365auto.com/news/20200203/417505.shtml","http://m.12365auto.com/news/20200203/417505.shtml")</f>
        <v>http://m.12365auto.com/news/20200203/417505.shtml</v>
      </c>
      <c r="G12910" s="2"/>
      <c r="H12910" s="2" t="s">
        <v>17200</v>
      </c>
      <c r="I12910" s="2" t="s">
        <v>19</v>
      </c>
      <c r="J12910" s="2" t="s">
        <v>222</v>
      </c>
      <c r="K12910" s="2" t="s">
        <v>17199</v>
      </c>
      <c r="L12910" s="2">
        <f t="shared" si="201"/>
        <v>150</v>
      </c>
    </row>
    <row r="12911" spans="1:12" ht="25" customHeight="1">
      <c r="A12911" s="2" t="s">
        <v>12</v>
      </c>
      <c r="B12911" s="2" t="str">
        <f>HYPERLINK("http://www.12365auto.com/xcdg/20200203/417504.shtml","起亚全新MPV渲染图曝光 搭V6引擎/pk别克")</f>
        <v>起亚全新MPV渲染图曝光 搭V6引擎/pk别克</v>
      </c>
      <c r="C12911" s="2" t="s">
        <v>13</v>
      </c>
      <c r="D12911" s="2" t="s">
        <v>12</v>
      </c>
      <c r="E12911" s="2" t="s">
        <v>216</v>
      </c>
      <c r="F12911" s="2" t="str">
        <f>HYPERLINK("http://www.12365auto.com/xcdg/20200203/417504.shtml","http://www.12365auto.com/xcdg/20200203/417504.shtml")</f>
        <v>http://www.12365auto.com/xcdg/20200203/417504.shtml</v>
      </c>
      <c r="G12911" s="2"/>
      <c r="H12911" s="2" t="s">
        <v>17201</v>
      </c>
      <c r="I12911" s="2" t="s">
        <v>15</v>
      </c>
      <c r="J12911" s="2" t="s">
        <v>12</v>
      </c>
      <c r="K12911" s="2" t="s">
        <v>17202</v>
      </c>
      <c r="L12911" s="2">
        <f t="shared" si="201"/>
        <v>150</v>
      </c>
    </row>
    <row r="12912" spans="1:12" ht="25" customHeight="1">
      <c r="A12912" s="2" t="s">
        <v>12</v>
      </c>
      <c r="B12912" s="2" t="str">
        <f>HYPERLINK("http://m.12365auto.com/xcdg/20200203/417504.shtml","起亚全新MPV渲染图曝光 搭V6引擎/pk别克")</f>
        <v>起亚全新MPV渲染图曝光 搭V6引擎/pk别克</v>
      </c>
      <c r="C12912" s="2" t="s">
        <v>13</v>
      </c>
      <c r="D12912" s="2" t="s">
        <v>12</v>
      </c>
      <c r="E12912" s="2"/>
      <c r="F12912" s="2" t="str">
        <f>HYPERLINK("http://m.12365auto.com/xcdg/20200203/417504.shtml","http://m.12365auto.com/xcdg/20200203/417504.shtml")</f>
        <v>http://m.12365auto.com/xcdg/20200203/417504.shtml</v>
      </c>
      <c r="G12912" s="2"/>
      <c r="H12912" s="2" t="s">
        <v>17203</v>
      </c>
      <c r="I12912" s="2" t="s">
        <v>19</v>
      </c>
      <c r="J12912" s="2" t="s">
        <v>220</v>
      </c>
      <c r="K12912" s="2" t="s">
        <v>17202</v>
      </c>
      <c r="L12912" s="2">
        <f t="shared" si="201"/>
        <v>150</v>
      </c>
    </row>
    <row r="12913" spans="1:12" ht="25" customHeight="1">
      <c r="A12913" s="2" t="s">
        <v>12</v>
      </c>
      <c r="B12913" s="2" t="str">
        <f>HYPERLINK("http://www.12365auto.com/news/20200203/417503.shtml","销量进前五 拓陆者皮卡1月销量增长23.1%")</f>
        <v>销量进前五 拓陆者皮卡1月销量增长23.1%</v>
      </c>
      <c r="C12913" s="2" t="s">
        <v>13</v>
      </c>
      <c r="D12913" s="2" t="s">
        <v>12</v>
      </c>
      <c r="E12913" s="2" t="s">
        <v>276</v>
      </c>
      <c r="F12913" s="2" t="str">
        <f>HYPERLINK("http://www.12365auto.com/news/20200203/417503.shtml","http://www.12365auto.com/news/20200203/417503.shtml")</f>
        <v>http://www.12365auto.com/news/20200203/417503.shtml</v>
      </c>
      <c r="G12913" s="2"/>
      <c r="H12913" s="2" t="s">
        <v>17204</v>
      </c>
      <c r="I12913" s="2" t="s">
        <v>15</v>
      </c>
      <c r="J12913" s="2" t="s">
        <v>12</v>
      </c>
      <c r="K12913" s="2" t="s">
        <v>17205</v>
      </c>
      <c r="L12913" s="2">
        <f t="shared" si="201"/>
        <v>150</v>
      </c>
    </row>
    <row r="12914" spans="1:12" ht="25" customHeight="1">
      <c r="A12914" s="2" t="s">
        <v>12</v>
      </c>
      <c r="B12914" s="2" t="str">
        <f>HYPERLINK("http://m.12365auto.com/news/20200203/417503.shtml","销量进前五 拓陆者皮卡1月销量增长23.1%")</f>
        <v>销量进前五 拓陆者皮卡1月销量增长23.1%</v>
      </c>
      <c r="C12914" s="2" t="s">
        <v>13</v>
      </c>
      <c r="D12914" s="2" t="s">
        <v>12</v>
      </c>
      <c r="E12914" s="2"/>
      <c r="F12914" s="2" t="str">
        <f>HYPERLINK("http://m.12365auto.com/news/20200203/417503.shtml","http://m.12365auto.com/news/20200203/417503.shtml")</f>
        <v>http://m.12365auto.com/news/20200203/417503.shtml</v>
      </c>
      <c r="G12914" s="2"/>
      <c r="H12914" s="2" t="s">
        <v>17206</v>
      </c>
      <c r="I12914" s="2" t="s">
        <v>19</v>
      </c>
      <c r="J12914" s="2" t="s">
        <v>1933</v>
      </c>
      <c r="K12914" s="2" t="s">
        <v>17205</v>
      </c>
      <c r="L12914" s="2">
        <f t="shared" si="201"/>
        <v>150</v>
      </c>
    </row>
    <row r="12915" spans="1:12" ht="25" customHeight="1">
      <c r="A12915" s="2" t="s">
        <v>12</v>
      </c>
      <c r="B12915" s="2" t="str">
        <f>HYPERLINK("http://www.12365auto.com/zlts/20200203/446192.shtml","东风日产轩逸变速箱异响顿挫 方向盘震动")</f>
        <v>东风日产轩逸变速箱异响顿挫 方向盘震动</v>
      </c>
      <c r="C12915" s="2" t="s">
        <v>13</v>
      </c>
      <c r="D12915" s="2" t="s">
        <v>12</v>
      </c>
      <c r="E12915" s="2" t="s">
        <v>17</v>
      </c>
      <c r="F12915" s="2" t="str">
        <f>HYPERLINK("http://www.12365auto.com/zlts/20200203/446192.shtml","http://www.12365auto.com/zlts/20200203/446192.shtml")</f>
        <v>http://www.12365auto.com/zlts/20200203/446192.shtml</v>
      </c>
      <c r="G12915" s="2"/>
      <c r="H12915" s="2" t="s">
        <v>17207</v>
      </c>
      <c r="I12915" s="2" t="s">
        <v>19</v>
      </c>
      <c r="J12915" s="2" t="s">
        <v>12</v>
      </c>
      <c r="K12915" s="2" t="s">
        <v>17208</v>
      </c>
      <c r="L12915" s="2">
        <f t="shared" si="201"/>
        <v>150</v>
      </c>
    </row>
    <row r="12916" spans="1:12" ht="25" customHeight="1">
      <c r="A12916" s="2" t="s">
        <v>12</v>
      </c>
      <c r="B12916" s="2" t="str">
        <f>HYPERLINK("http://www.12365auto.com/xcdg/20200203/417502.shtml","保时捷Macan纯电版曝光 配备Taycan总成")</f>
        <v>保时捷Macan纯电版曝光 配备Taycan总成</v>
      </c>
      <c r="C12916" s="2" t="s">
        <v>13</v>
      </c>
      <c r="D12916" s="2" t="s">
        <v>12</v>
      </c>
      <c r="E12916" s="2" t="s">
        <v>216</v>
      </c>
      <c r="F12916" s="2" t="str">
        <f>HYPERLINK("http://www.12365auto.com/xcdg/20200203/417502.shtml","http://www.12365auto.com/xcdg/20200203/417502.shtml")</f>
        <v>http://www.12365auto.com/xcdg/20200203/417502.shtml</v>
      </c>
      <c r="G12916" s="2"/>
      <c r="H12916" s="2" t="s">
        <v>17209</v>
      </c>
      <c r="I12916" s="2" t="s">
        <v>15</v>
      </c>
      <c r="J12916" s="2" t="s">
        <v>12</v>
      </c>
      <c r="K12916" s="2" t="s">
        <v>17210</v>
      </c>
      <c r="L12916" s="2">
        <f t="shared" si="201"/>
        <v>150</v>
      </c>
    </row>
    <row r="12917" spans="1:12" ht="25" customHeight="1">
      <c r="A12917" s="2" t="s">
        <v>12</v>
      </c>
      <c r="B12917" s="2" t="str">
        <f>HYPERLINK("http://m.12365auto.com/xcdg/20200203/417502.shtml","保时捷Macan纯电版曝光 配备Taycan总成")</f>
        <v>保时捷Macan纯电版曝光 配备Taycan总成</v>
      </c>
      <c r="C12917" s="2" t="s">
        <v>13</v>
      </c>
      <c r="D12917" s="2" t="s">
        <v>12</v>
      </c>
      <c r="E12917" s="2"/>
      <c r="F12917" s="2" t="str">
        <f>HYPERLINK("http://m.12365auto.com/xcdg/20200203/417502.shtml","http://m.12365auto.com/xcdg/20200203/417502.shtml")</f>
        <v>http://m.12365auto.com/xcdg/20200203/417502.shtml</v>
      </c>
      <c r="G12917" s="2"/>
      <c r="H12917" s="2" t="s">
        <v>17211</v>
      </c>
      <c r="I12917" s="2" t="s">
        <v>19</v>
      </c>
      <c r="J12917" s="2" t="s">
        <v>220</v>
      </c>
      <c r="K12917" s="2" t="s">
        <v>17210</v>
      </c>
      <c r="L12917" s="2">
        <f t="shared" si="201"/>
        <v>150</v>
      </c>
    </row>
    <row r="12918" spans="1:12" ht="25" customHeight="1">
      <c r="A12918" s="2" t="s">
        <v>12</v>
      </c>
      <c r="B12918" s="2" t="str">
        <f>HYPERLINK("http://www.12365auto.com/news/20200203/417501.shtml","大灯清洗不是高科技 看看你的车上有没有")</f>
        <v>大灯清洗不是高科技 看看你的车上有没有</v>
      </c>
      <c r="C12918" s="2" t="s">
        <v>13</v>
      </c>
      <c r="D12918" s="2" t="s">
        <v>12</v>
      </c>
      <c r="E12918" s="2" t="s">
        <v>372</v>
      </c>
      <c r="F12918" s="2" t="str">
        <f>HYPERLINK("http://www.12365auto.com/news/20200203/417501.shtml","http://www.12365auto.com/news/20200203/417501.shtml")</f>
        <v>http://www.12365auto.com/news/20200203/417501.shtml</v>
      </c>
      <c r="G12918" s="2"/>
      <c r="H12918" s="2" t="s">
        <v>17212</v>
      </c>
      <c r="I12918" s="2" t="s">
        <v>15</v>
      </c>
      <c r="J12918" s="2" t="s">
        <v>12</v>
      </c>
      <c r="K12918" s="2" t="s">
        <v>17213</v>
      </c>
      <c r="L12918" s="2">
        <f t="shared" si="201"/>
        <v>150</v>
      </c>
    </row>
    <row r="12919" spans="1:12" ht="25" customHeight="1">
      <c r="A12919" s="2" t="s">
        <v>12</v>
      </c>
      <c r="B12919" s="2" t="str">
        <f>HYPERLINK("http://m.12365auto.com/news/20200203/417501.shtml","大灯清洗不是高科技 看看你的车上有没有")</f>
        <v>大灯清洗不是高科技 看看你的车上有没有</v>
      </c>
      <c r="C12919" s="2" t="s">
        <v>13</v>
      </c>
      <c r="D12919" s="2" t="s">
        <v>12</v>
      </c>
      <c r="E12919" s="2"/>
      <c r="F12919" s="2" t="str">
        <f>HYPERLINK("http://m.12365auto.com/news/20200203/417501.shtml","http://m.12365auto.com/news/20200203/417501.shtml")</f>
        <v>http://m.12365auto.com/news/20200203/417501.shtml</v>
      </c>
      <c r="G12919" s="2"/>
      <c r="H12919" s="2" t="s">
        <v>17214</v>
      </c>
      <c r="I12919" s="2" t="s">
        <v>19</v>
      </c>
      <c r="J12919" s="2" t="s">
        <v>222</v>
      </c>
      <c r="K12919" s="2" t="s">
        <v>17213</v>
      </c>
      <c r="L12919" s="2">
        <f t="shared" si="201"/>
        <v>150</v>
      </c>
    </row>
    <row r="12920" spans="1:12" ht="25" customHeight="1">
      <c r="A12920" s="2" t="s">
        <v>12</v>
      </c>
      <c r="B12920" s="2" t="str">
        <f>HYPERLINK("http://m.12365auto.com/xcdg/20200203/417500.shtml","广汽传祺GS4轿跑SUV四月底上市 9万起售")</f>
        <v>广汽传祺GS4轿跑SUV四月底上市 9万起售</v>
      </c>
      <c r="C12920" s="2" t="s">
        <v>13</v>
      </c>
      <c r="D12920" s="2" t="s">
        <v>12</v>
      </c>
      <c r="E12920" s="2"/>
      <c r="F12920" s="2" t="str">
        <f>HYPERLINK("http://m.12365auto.com/xcdg/20200203/417500.shtml","http://m.12365auto.com/xcdg/20200203/417500.shtml")</f>
        <v>http://m.12365auto.com/xcdg/20200203/417500.shtml</v>
      </c>
      <c r="G12920" s="2"/>
      <c r="H12920" s="2" t="s">
        <v>17215</v>
      </c>
      <c r="I12920" s="2" t="s">
        <v>19</v>
      </c>
      <c r="J12920" s="2" t="s">
        <v>2928</v>
      </c>
      <c r="K12920" s="2" t="s">
        <v>17216</v>
      </c>
      <c r="L12920" s="2">
        <f t="shared" si="201"/>
        <v>150</v>
      </c>
    </row>
    <row r="12921" spans="1:12" ht="25" customHeight="1">
      <c r="A12921" s="2" t="s">
        <v>12</v>
      </c>
      <c r="B12921" s="2" t="str">
        <f>HYPERLINK("http://www.12365auto.com/xcdg/20200203/417500.shtml","广汽传祺GS4轿跑SUV四月底上市 9万起售")</f>
        <v>广汽传祺GS4轿跑SUV四月底上市 9万起售</v>
      </c>
      <c r="C12921" s="2" t="s">
        <v>13</v>
      </c>
      <c r="D12921" s="2" t="s">
        <v>12</v>
      </c>
      <c r="E12921" s="2" t="s">
        <v>216</v>
      </c>
      <c r="F12921" s="2" t="str">
        <f>HYPERLINK("http://www.12365auto.com/xcdg/20200203/417500.shtml","http://www.12365auto.com/xcdg/20200203/417500.shtml")</f>
        <v>http://www.12365auto.com/xcdg/20200203/417500.shtml</v>
      </c>
      <c r="G12921" s="2"/>
      <c r="H12921" s="2" t="s">
        <v>17217</v>
      </c>
      <c r="I12921" s="2" t="s">
        <v>15</v>
      </c>
      <c r="J12921" s="2" t="s">
        <v>12</v>
      </c>
      <c r="K12921" s="2" t="s">
        <v>17216</v>
      </c>
      <c r="L12921" s="2">
        <f t="shared" si="201"/>
        <v>150</v>
      </c>
    </row>
    <row r="12922" spans="1:12" ht="25" customHeight="1">
      <c r="A12922" s="2" t="s">
        <v>12</v>
      </c>
      <c r="B12922" s="2" t="str">
        <f>HYPERLINK("http://m.12365auto.com/xcdg/20200203/417499.shtml","大众探歌敞篷版 提供两种动力/造型新颖")</f>
        <v>大众探歌敞篷版 提供两种动力/造型新颖</v>
      </c>
      <c r="C12922" s="2" t="s">
        <v>13</v>
      </c>
      <c r="D12922" s="2" t="s">
        <v>12</v>
      </c>
      <c r="E12922" s="2"/>
      <c r="F12922" s="2" t="str">
        <f>HYPERLINK("http://m.12365auto.com/xcdg/20200203/417499.shtml","http://m.12365auto.com/xcdg/20200203/417499.shtml")</f>
        <v>http://m.12365auto.com/xcdg/20200203/417499.shtml</v>
      </c>
      <c r="G12922" s="2"/>
      <c r="H12922" s="2" t="s">
        <v>17218</v>
      </c>
      <c r="I12922" s="2" t="s">
        <v>19</v>
      </c>
      <c r="J12922" s="2" t="s">
        <v>220</v>
      </c>
      <c r="K12922" s="2" t="s">
        <v>17219</v>
      </c>
      <c r="L12922" s="2">
        <f t="shared" si="201"/>
        <v>150</v>
      </c>
    </row>
    <row r="12923" spans="1:12" ht="25" customHeight="1">
      <c r="A12923" s="2" t="s">
        <v>12</v>
      </c>
      <c r="B12923" s="2" t="str">
        <f>HYPERLINK("http://www.12365auto.com/xcdg/20200203/417499.shtml","大众探歌敞篷版 提供两种动力/造型新颖")</f>
        <v>大众探歌敞篷版 提供两种动力/造型新颖</v>
      </c>
      <c r="C12923" s="2" t="s">
        <v>13</v>
      </c>
      <c r="D12923" s="2" t="s">
        <v>12</v>
      </c>
      <c r="E12923" s="2" t="s">
        <v>216</v>
      </c>
      <c r="F12923" s="2" t="str">
        <f>HYPERLINK("http://www.12365auto.com/xcdg/20200203/417499.shtml","http://www.12365auto.com/xcdg/20200203/417499.shtml")</f>
        <v>http://www.12365auto.com/xcdg/20200203/417499.shtml</v>
      </c>
      <c r="G12923" s="2"/>
      <c r="H12923" s="2" t="s">
        <v>17220</v>
      </c>
      <c r="I12923" s="2" t="s">
        <v>15</v>
      </c>
      <c r="J12923" s="2" t="s">
        <v>12</v>
      </c>
      <c r="K12923" s="2" t="s">
        <v>17219</v>
      </c>
      <c r="L12923" s="2">
        <f t="shared" si="201"/>
        <v>150</v>
      </c>
    </row>
    <row r="12924" spans="1:12" ht="25" customHeight="1">
      <c r="A12924" s="2" t="s">
        <v>12</v>
      </c>
      <c r="B12924" s="2" t="str">
        <f>HYPERLINK("http://m.12365auto.com/xcdg/20200203/417498.shtml","三菱全新Eclipse Cross曝光 增新引擎")</f>
        <v>三菱全新Eclipse Cross曝光 增新引擎</v>
      </c>
      <c r="C12924" s="2" t="s">
        <v>13</v>
      </c>
      <c r="D12924" s="2" t="s">
        <v>12</v>
      </c>
      <c r="E12924" s="2"/>
      <c r="F12924" s="2" t="str">
        <f>HYPERLINK("http://m.12365auto.com/xcdg/20200203/417498.shtml","http://m.12365auto.com/xcdg/20200203/417498.shtml")</f>
        <v>http://m.12365auto.com/xcdg/20200203/417498.shtml</v>
      </c>
      <c r="G12924" s="2"/>
      <c r="H12924" s="2" t="s">
        <v>17221</v>
      </c>
      <c r="I12924" s="2" t="s">
        <v>19</v>
      </c>
      <c r="J12924" s="2" t="s">
        <v>220</v>
      </c>
      <c r="K12924" s="2" t="s">
        <v>17222</v>
      </c>
      <c r="L12924" s="2">
        <f t="shared" si="201"/>
        <v>150</v>
      </c>
    </row>
    <row r="12925" spans="1:12" ht="25" customHeight="1">
      <c r="A12925" s="2" t="s">
        <v>12</v>
      </c>
      <c r="B12925" s="2" t="str">
        <f>HYPERLINK("http://www.12365auto.com/xcdg/20200203/417498.shtml","三菱全新Eclipse Cross曝光 增新引擎")</f>
        <v>三菱全新Eclipse Cross曝光 增新引擎</v>
      </c>
      <c r="C12925" s="2" t="s">
        <v>13</v>
      </c>
      <c r="D12925" s="2" t="s">
        <v>12</v>
      </c>
      <c r="E12925" s="2" t="s">
        <v>216</v>
      </c>
      <c r="F12925" s="2" t="str">
        <f>HYPERLINK("http://www.12365auto.com/xcdg/20200203/417498.shtml","http://www.12365auto.com/xcdg/20200203/417498.shtml")</f>
        <v>http://www.12365auto.com/xcdg/20200203/417498.shtml</v>
      </c>
      <c r="G12925" s="2"/>
      <c r="H12925" s="2" t="s">
        <v>17223</v>
      </c>
      <c r="I12925" s="2" t="s">
        <v>15</v>
      </c>
      <c r="J12925" s="2" t="s">
        <v>12</v>
      </c>
      <c r="K12925" s="2" t="s">
        <v>17222</v>
      </c>
      <c r="L12925" s="2">
        <f t="shared" si="201"/>
        <v>150</v>
      </c>
    </row>
    <row r="12926" spans="1:12" ht="25" customHeight="1">
      <c r="A12926" s="2" t="s">
        <v>12</v>
      </c>
      <c r="B12926" s="2" t="str">
        <f>HYPERLINK("http://m.12365auto.com/xcdg/20200203/417497.shtml","通用确认悍马品牌复活 520当天公布日期")</f>
        <v>通用确认悍马品牌复活 520当天公布日期</v>
      </c>
      <c r="C12926" s="2" t="s">
        <v>13</v>
      </c>
      <c r="D12926" s="2" t="s">
        <v>12</v>
      </c>
      <c r="E12926" s="2"/>
      <c r="F12926" s="2" t="str">
        <f>HYPERLINK("http://m.12365auto.com/xcdg/20200203/417497.shtml","http://m.12365auto.com/xcdg/20200203/417497.shtml")</f>
        <v>http://m.12365auto.com/xcdg/20200203/417497.shtml</v>
      </c>
      <c r="G12926" s="2"/>
      <c r="H12926" s="2" t="s">
        <v>17224</v>
      </c>
      <c r="I12926" s="2" t="s">
        <v>19</v>
      </c>
      <c r="J12926" s="2" t="s">
        <v>2612</v>
      </c>
      <c r="K12926" s="2" t="s">
        <v>17225</v>
      </c>
      <c r="L12926" s="2">
        <f t="shared" si="201"/>
        <v>150</v>
      </c>
    </row>
    <row r="12927" spans="1:12" ht="25" customHeight="1">
      <c r="A12927" s="2" t="s">
        <v>12</v>
      </c>
      <c r="B12927" s="2" t="str">
        <f>HYPERLINK("http://www.12365auto.com/xcdg/20200203/417497.shtml","通用确认悍马品牌复活 520当天公布日期")</f>
        <v>通用确认悍马品牌复活 520当天公布日期</v>
      </c>
      <c r="C12927" s="2" t="s">
        <v>13</v>
      </c>
      <c r="D12927" s="2" t="s">
        <v>12</v>
      </c>
      <c r="E12927" s="2" t="s">
        <v>216</v>
      </c>
      <c r="F12927" s="2" t="str">
        <f>HYPERLINK("http://www.12365auto.com/xcdg/20200203/417497.shtml","http://www.12365auto.com/xcdg/20200203/417497.shtml")</f>
        <v>http://www.12365auto.com/xcdg/20200203/417497.shtml</v>
      </c>
      <c r="G12927" s="2"/>
      <c r="H12927" s="2" t="s">
        <v>17226</v>
      </c>
      <c r="I12927" s="2" t="s">
        <v>15</v>
      </c>
      <c r="J12927" s="2" t="s">
        <v>12</v>
      </c>
      <c r="K12927" s="2" t="s">
        <v>17225</v>
      </c>
      <c r="L12927" s="2">
        <f t="shared" si="201"/>
        <v>150</v>
      </c>
    </row>
    <row r="12928" spans="1:12" ht="25" customHeight="1">
      <c r="A12928" s="2" t="s">
        <v>12</v>
      </c>
      <c r="B12928" s="2" t="str">
        <f>HYPERLINK("http://m.12365auto.com/xcdg/20200203/417496.shtml","马自达全新一代RX-7车型信息曝光 搭1.6T")</f>
        <v>马自达全新一代RX-7车型信息曝光 搭1.6T</v>
      </c>
      <c r="C12928" s="2" t="s">
        <v>13</v>
      </c>
      <c r="D12928" s="2" t="s">
        <v>12</v>
      </c>
      <c r="E12928" s="2"/>
      <c r="F12928" s="2" t="str">
        <f>HYPERLINK("http://m.12365auto.com/xcdg/20200203/417496.shtml","http://m.12365auto.com/xcdg/20200203/417496.shtml")</f>
        <v>http://m.12365auto.com/xcdg/20200203/417496.shtml</v>
      </c>
      <c r="G12928" s="2"/>
      <c r="H12928" s="2" t="s">
        <v>17227</v>
      </c>
      <c r="I12928" s="2" t="s">
        <v>19</v>
      </c>
      <c r="J12928" s="2" t="s">
        <v>13601</v>
      </c>
      <c r="K12928" s="2" t="s">
        <v>17228</v>
      </c>
      <c r="L12928" s="2">
        <f t="shared" si="201"/>
        <v>150</v>
      </c>
    </row>
    <row r="12929" spans="1:12" ht="25" customHeight="1">
      <c r="A12929" s="2" t="s">
        <v>12</v>
      </c>
      <c r="B12929" s="2" t="str">
        <f>HYPERLINK("http://www.12365auto.com/xcdg/20200203/417496.shtml","马自达全新一代RX-7车型信息曝光 搭1.6T")</f>
        <v>马自达全新一代RX-7车型信息曝光 搭1.6T</v>
      </c>
      <c r="C12929" s="2" t="s">
        <v>13</v>
      </c>
      <c r="D12929" s="2" t="s">
        <v>12</v>
      </c>
      <c r="E12929" s="2" t="s">
        <v>216</v>
      </c>
      <c r="F12929" s="2" t="str">
        <f>HYPERLINK("http://www.12365auto.com/xcdg/20200203/417496.shtml","http://www.12365auto.com/xcdg/20200203/417496.shtml")</f>
        <v>http://www.12365auto.com/xcdg/20200203/417496.shtml</v>
      </c>
      <c r="G12929" s="2"/>
      <c r="H12929" s="2" t="s">
        <v>17229</v>
      </c>
      <c r="I12929" s="2" t="s">
        <v>15</v>
      </c>
      <c r="J12929" s="2" t="s">
        <v>12</v>
      </c>
      <c r="K12929" s="2" t="s">
        <v>17228</v>
      </c>
      <c r="L12929" s="2">
        <f t="shared" si="201"/>
        <v>150</v>
      </c>
    </row>
    <row r="12930" spans="1:12" ht="25" customHeight="1">
      <c r="A12930" s="2" t="s">
        <v>12</v>
      </c>
      <c r="B12930" s="2" t="str">
        <f>HYPERLINK("http://m.12365auto.com/xcdg/20200203/417495.shtml","讴歌MDX PMC开启预定 搭3.5L/限定330台")</f>
        <v>讴歌MDX PMC开启预定 搭3.5L/限定330台</v>
      </c>
      <c r="C12930" s="2" t="s">
        <v>13</v>
      </c>
      <c r="D12930" s="2" t="s">
        <v>12</v>
      </c>
      <c r="E12930" s="2"/>
      <c r="F12930" s="2" t="str">
        <f>HYPERLINK("http://m.12365auto.com/xcdg/20200203/417495.shtml","http://m.12365auto.com/xcdg/20200203/417495.shtml")</f>
        <v>http://m.12365auto.com/xcdg/20200203/417495.shtml</v>
      </c>
      <c r="G12930" s="2"/>
      <c r="H12930" s="2" t="s">
        <v>17230</v>
      </c>
      <c r="I12930" s="2" t="s">
        <v>19</v>
      </c>
      <c r="J12930" s="2" t="s">
        <v>220</v>
      </c>
      <c r="K12930" s="2" t="s">
        <v>17231</v>
      </c>
      <c r="L12930" s="2">
        <f t="shared" si="201"/>
        <v>150</v>
      </c>
    </row>
    <row r="12931" spans="1:12" ht="25" customHeight="1">
      <c r="A12931" s="2" t="s">
        <v>12</v>
      </c>
      <c r="B12931" s="2" t="str">
        <f>HYPERLINK("http://www.12365auto.com/xcdg/20200203/417495.shtml","讴歌MDX PMC开启预定 搭3.5L/限定330台")</f>
        <v>讴歌MDX PMC开启预定 搭3.5L/限定330台</v>
      </c>
      <c r="C12931" s="2" t="s">
        <v>13</v>
      </c>
      <c r="D12931" s="2" t="s">
        <v>12</v>
      </c>
      <c r="E12931" s="2" t="s">
        <v>216</v>
      </c>
      <c r="F12931" s="2" t="str">
        <f>HYPERLINK("http://www.12365auto.com/xcdg/20200203/417495.shtml","http://www.12365auto.com/xcdg/20200203/417495.shtml")</f>
        <v>http://www.12365auto.com/xcdg/20200203/417495.shtml</v>
      </c>
      <c r="G12931" s="2"/>
      <c r="H12931" s="2" t="s">
        <v>17232</v>
      </c>
      <c r="I12931" s="2" t="s">
        <v>15</v>
      </c>
      <c r="J12931" s="2" t="s">
        <v>12</v>
      </c>
      <c r="K12931" s="2" t="s">
        <v>17231</v>
      </c>
      <c r="L12931" s="2">
        <f t="shared" ref="L12931:L12994" si="202">LEN(H12931)</f>
        <v>150</v>
      </c>
    </row>
    <row r="12932" spans="1:12" ht="25" customHeight="1">
      <c r="A12932" s="2" t="s">
        <v>12</v>
      </c>
      <c r="B12932" s="2" t="str">
        <f>HYPERLINK("http://m.12365auto.com/news/20200203/417494.shtml","公安交管部因疫情出新策 不少车主占了光")</f>
        <v>公安交管部因疫情出新策 不少车主占了光</v>
      </c>
      <c r="C12932" s="2" t="s">
        <v>13</v>
      </c>
      <c r="D12932" s="2" t="s">
        <v>12</v>
      </c>
      <c r="E12932" s="2"/>
      <c r="F12932" s="2" t="str">
        <f>HYPERLINK("http://m.12365auto.com/news/20200203/417494.shtml","http://m.12365auto.com/news/20200203/417494.shtml")</f>
        <v>http://m.12365auto.com/news/20200203/417494.shtml</v>
      </c>
      <c r="G12932" s="2"/>
      <c r="H12932" s="2" t="s">
        <v>17233</v>
      </c>
      <c r="I12932" s="2" t="s">
        <v>19</v>
      </c>
      <c r="J12932" s="2" t="s">
        <v>222</v>
      </c>
      <c r="K12932" s="2" t="s">
        <v>17234</v>
      </c>
      <c r="L12932" s="2">
        <f t="shared" si="202"/>
        <v>150</v>
      </c>
    </row>
    <row r="12933" spans="1:12" ht="25" customHeight="1">
      <c r="A12933" s="2" t="s">
        <v>12</v>
      </c>
      <c r="B12933" s="2" t="str">
        <f>HYPERLINK("http://www.12365auto.com/news/20200203/417494.shtml","公安交管部因疫情出新策 不少车主占了光")</f>
        <v>公安交管部因疫情出新策 不少车主占了光</v>
      </c>
      <c r="C12933" s="2" t="s">
        <v>13</v>
      </c>
      <c r="D12933" s="2" t="s">
        <v>12</v>
      </c>
      <c r="E12933" s="2" t="s">
        <v>276</v>
      </c>
      <c r="F12933" s="2" t="str">
        <f>HYPERLINK("http://www.12365auto.com/news/20200203/417494.shtml","http://www.12365auto.com/news/20200203/417494.shtml")</f>
        <v>http://www.12365auto.com/news/20200203/417494.shtml</v>
      </c>
      <c r="G12933" s="2"/>
      <c r="H12933" s="2" t="s">
        <v>17235</v>
      </c>
      <c r="I12933" s="2" t="s">
        <v>15</v>
      </c>
      <c r="J12933" s="2" t="s">
        <v>12</v>
      </c>
      <c r="K12933" s="2" t="s">
        <v>17234</v>
      </c>
      <c r="L12933" s="2">
        <f t="shared" si="202"/>
        <v>150</v>
      </c>
    </row>
    <row r="12934" spans="1:12" ht="25" customHeight="1">
      <c r="A12934" s="2" t="s">
        <v>12</v>
      </c>
      <c r="B12934" s="2" t="str">
        <f>HYPERLINK("http://m.12365auto.com/xcdg/20200203/417493.shtml","福特全新Bronco最新渲染图曝光 设计硬派")</f>
        <v>福特全新Bronco最新渲染图曝光 设计硬派</v>
      </c>
      <c r="C12934" s="2" t="s">
        <v>13</v>
      </c>
      <c r="D12934" s="2" t="s">
        <v>12</v>
      </c>
      <c r="E12934" s="2"/>
      <c r="F12934" s="2" t="str">
        <f>HYPERLINK("http://m.12365auto.com/xcdg/20200203/417493.shtml","http://m.12365auto.com/xcdg/20200203/417493.shtml")</f>
        <v>http://m.12365auto.com/xcdg/20200203/417493.shtml</v>
      </c>
      <c r="G12934" s="2"/>
      <c r="H12934" s="2" t="s">
        <v>17236</v>
      </c>
      <c r="I12934" s="2" t="s">
        <v>19</v>
      </c>
      <c r="J12934" s="2" t="s">
        <v>220</v>
      </c>
      <c r="K12934" s="2" t="s">
        <v>17237</v>
      </c>
      <c r="L12934" s="2">
        <f t="shared" si="202"/>
        <v>150</v>
      </c>
    </row>
    <row r="12935" spans="1:12" ht="25" customHeight="1">
      <c r="A12935" s="2" t="s">
        <v>12</v>
      </c>
      <c r="B12935" s="2" t="str">
        <f>HYPERLINK("http://www.12365auto.com/xcdg/20200203/417493.shtml","福特全新Bronco最新渲染图曝光 设计硬派")</f>
        <v>福特全新Bronco最新渲染图曝光 设计硬派</v>
      </c>
      <c r="C12935" s="2" t="s">
        <v>13</v>
      </c>
      <c r="D12935" s="2" t="s">
        <v>12</v>
      </c>
      <c r="E12935" s="2" t="s">
        <v>216</v>
      </c>
      <c r="F12935" s="2" t="str">
        <f>HYPERLINK("http://www.12365auto.com/xcdg/20200203/417493.shtml","http://www.12365auto.com/xcdg/20200203/417493.shtml")</f>
        <v>http://www.12365auto.com/xcdg/20200203/417493.shtml</v>
      </c>
      <c r="G12935" s="2"/>
      <c r="H12935" s="2" t="s">
        <v>17238</v>
      </c>
      <c r="I12935" s="2" t="s">
        <v>15</v>
      </c>
      <c r="J12935" s="2" t="s">
        <v>12</v>
      </c>
      <c r="K12935" s="2" t="s">
        <v>17237</v>
      </c>
      <c r="L12935" s="2">
        <f t="shared" si="202"/>
        <v>150</v>
      </c>
    </row>
    <row r="12936" spans="1:12" ht="25" customHeight="1">
      <c r="A12936" s="2" t="s">
        <v>12</v>
      </c>
      <c r="B12936" s="2" t="str">
        <f>HYPERLINK("http://m.12365auto.com/xcdg/20200203/417492.shtml","长安UNI-T新轿跑SUV六月上市 酷似雷克萨斯NX")</f>
        <v>长安UNI-T新轿跑SUV六月上市 酷似雷克萨斯NX</v>
      </c>
      <c r="C12936" s="2" t="s">
        <v>13</v>
      </c>
      <c r="D12936" s="2" t="s">
        <v>12</v>
      </c>
      <c r="E12936" s="2"/>
      <c r="F12936" s="2" t="str">
        <f>HYPERLINK("http://m.12365auto.com/xcdg/20200203/417492.shtml","http://m.12365auto.com/xcdg/20200203/417492.shtml")</f>
        <v>http://m.12365auto.com/xcdg/20200203/417492.shtml</v>
      </c>
      <c r="G12936" s="2"/>
      <c r="H12936" s="2" t="s">
        <v>17239</v>
      </c>
      <c r="I12936" s="2" t="s">
        <v>19</v>
      </c>
      <c r="J12936" s="2" t="s">
        <v>12</v>
      </c>
      <c r="K12936" s="2" t="s">
        <v>17240</v>
      </c>
      <c r="L12936" s="2">
        <f t="shared" si="202"/>
        <v>150</v>
      </c>
    </row>
    <row r="12937" spans="1:12" ht="25" customHeight="1">
      <c r="A12937" s="2" t="s">
        <v>12</v>
      </c>
      <c r="B12937" s="2" t="str">
        <f>HYPERLINK("http://www.12365auto.com/xcdg/20200203/417492.shtml","长安UNI-T新轿跑SUV六月上市 酷似雷克萨斯NX")</f>
        <v>长安UNI-T新轿跑SUV六月上市 酷似雷克萨斯NX</v>
      </c>
      <c r="C12937" s="2" t="s">
        <v>13</v>
      </c>
      <c r="D12937" s="2" t="s">
        <v>12</v>
      </c>
      <c r="E12937" s="2" t="s">
        <v>216</v>
      </c>
      <c r="F12937" s="2" t="str">
        <f>HYPERLINK("http://www.12365auto.com/xcdg/20200203/417492.shtml","http://www.12365auto.com/xcdg/20200203/417492.shtml")</f>
        <v>http://www.12365auto.com/xcdg/20200203/417492.shtml</v>
      </c>
      <c r="G12937" s="2"/>
      <c r="H12937" s="2" t="s">
        <v>17241</v>
      </c>
      <c r="I12937" s="2" t="s">
        <v>15</v>
      </c>
      <c r="J12937" s="2" t="s">
        <v>12</v>
      </c>
      <c r="K12937" s="2" t="s">
        <v>17240</v>
      </c>
      <c r="L12937" s="2">
        <f t="shared" si="202"/>
        <v>150</v>
      </c>
    </row>
    <row r="12938" spans="1:12" ht="25" customHeight="1">
      <c r="A12938" s="2" t="s">
        <v>12</v>
      </c>
      <c r="B12938" s="2" t="str">
        <f>HYPERLINK("http://m.12365auto.com/xcdg/20200203/417491.shtml","讴歌MDX PMC特别版上市 搭3.5L发动机")</f>
        <v>讴歌MDX PMC特别版上市 搭3.5L发动机</v>
      </c>
      <c r="C12938" s="2" t="s">
        <v>13</v>
      </c>
      <c r="D12938" s="2" t="s">
        <v>12</v>
      </c>
      <c r="E12938" s="2"/>
      <c r="F12938" s="2" t="str">
        <f>HYPERLINK("http://m.12365auto.com/xcdg/20200203/417491.shtml","http://m.12365auto.com/xcdg/20200203/417491.shtml")</f>
        <v>http://m.12365auto.com/xcdg/20200203/417491.shtml</v>
      </c>
      <c r="G12938" s="2"/>
      <c r="H12938" s="2" t="s">
        <v>17242</v>
      </c>
      <c r="I12938" s="2" t="s">
        <v>19</v>
      </c>
      <c r="J12938" s="2" t="s">
        <v>13601</v>
      </c>
      <c r="K12938" s="2" t="s">
        <v>17243</v>
      </c>
      <c r="L12938" s="2">
        <f t="shared" si="202"/>
        <v>150</v>
      </c>
    </row>
    <row r="12939" spans="1:12" ht="25" customHeight="1">
      <c r="A12939" s="2" t="s">
        <v>12</v>
      </c>
      <c r="B12939" s="2" t="str">
        <f>HYPERLINK("http://www.12365auto.com/xcdg/20200203/417491.shtml","讴歌MDX PMC特别版上市 搭3.5L发动机")</f>
        <v>讴歌MDX PMC特别版上市 搭3.5L发动机</v>
      </c>
      <c r="C12939" s="2" t="s">
        <v>13</v>
      </c>
      <c r="D12939" s="2" t="s">
        <v>12</v>
      </c>
      <c r="E12939" s="2" t="s">
        <v>216</v>
      </c>
      <c r="F12939" s="2" t="str">
        <f>HYPERLINK("http://www.12365auto.com/xcdg/20200203/417491.shtml","http://www.12365auto.com/xcdg/20200203/417491.shtml")</f>
        <v>http://www.12365auto.com/xcdg/20200203/417491.shtml</v>
      </c>
      <c r="G12939" s="2"/>
      <c r="H12939" s="2" t="s">
        <v>17244</v>
      </c>
      <c r="I12939" s="2" t="s">
        <v>15</v>
      </c>
      <c r="J12939" s="2" t="s">
        <v>12</v>
      </c>
      <c r="K12939" s="2" t="s">
        <v>17243</v>
      </c>
      <c r="L12939" s="2">
        <f t="shared" si="202"/>
        <v>150</v>
      </c>
    </row>
    <row r="12940" spans="1:12" ht="25" customHeight="1">
      <c r="A12940" s="2" t="s">
        <v>12</v>
      </c>
      <c r="B12940" s="2" t="str">
        <f>HYPERLINK("http://www.12365auto.com/xcdg/20200203/417490.shtml","Model Y最新消息 续航超500km/下月交付")</f>
        <v>Model Y最新消息 续航超500km/下月交付</v>
      </c>
      <c r="C12940" s="2" t="s">
        <v>13</v>
      </c>
      <c r="D12940" s="2" t="s">
        <v>12</v>
      </c>
      <c r="E12940" s="2" t="s">
        <v>245</v>
      </c>
      <c r="F12940" s="2" t="str">
        <f>HYPERLINK("http://www.12365auto.com/xcdg/20200203/417490.shtml","http://www.12365auto.com/xcdg/20200203/417490.shtml")</f>
        <v>http://www.12365auto.com/xcdg/20200203/417490.shtml</v>
      </c>
      <c r="G12940" s="2"/>
      <c r="H12940" s="2" t="s">
        <v>17245</v>
      </c>
      <c r="I12940" s="2" t="s">
        <v>19</v>
      </c>
      <c r="J12940" s="2" t="s">
        <v>12</v>
      </c>
      <c r="K12940" s="2" t="s">
        <v>17246</v>
      </c>
      <c r="L12940" s="2">
        <f t="shared" si="202"/>
        <v>150</v>
      </c>
    </row>
    <row r="12941" spans="1:12" ht="25" customHeight="1">
      <c r="A12941" s="2" t="s">
        <v>12</v>
      </c>
      <c r="B12941" s="2" t="str">
        <f>HYPERLINK("http://m.12365auto.com/xcdg/20200203/417490.shtml","Model Y最新消息 续航超500km/下月交付")</f>
        <v>Model Y最新消息 续航超500km/下月交付</v>
      </c>
      <c r="C12941" s="2" t="s">
        <v>13</v>
      </c>
      <c r="D12941" s="2" t="s">
        <v>12</v>
      </c>
      <c r="E12941" s="2"/>
      <c r="F12941" s="2" t="str">
        <f>HYPERLINK("http://m.12365auto.com/xcdg/20200203/417490.shtml","http://m.12365auto.com/xcdg/20200203/417490.shtml")</f>
        <v>http://m.12365auto.com/xcdg/20200203/417490.shtml</v>
      </c>
      <c r="G12941" s="2"/>
      <c r="H12941" s="2" t="s">
        <v>17247</v>
      </c>
      <c r="I12941" s="2" t="s">
        <v>19</v>
      </c>
      <c r="J12941" s="2" t="s">
        <v>220</v>
      </c>
      <c r="K12941" s="2" t="s">
        <v>17246</v>
      </c>
      <c r="L12941" s="2">
        <f t="shared" si="202"/>
        <v>150</v>
      </c>
    </row>
    <row r="12942" spans="1:12" ht="25" customHeight="1">
      <c r="A12942" s="2" t="s">
        <v>12</v>
      </c>
      <c r="B12942" s="2" t="str">
        <f>HYPERLINK("http://www.12365auto.com/xcdg/20200203/417489.shtml","奔驰全新AMG E63渲染图 搭V8/油耗下降")</f>
        <v>奔驰全新AMG E63渲染图 搭V8/油耗下降</v>
      </c>
      <c r="C12942" s="2" t="s">
        <v>13</v>
      </c>
      <c r="D12942" s="2" t="s">
        <v>12</v>
      </c>
      <c r="E12942" s="2" t="s">
        <v>245</v>
      </c>
      <c r="F12942" s="2" t="str">
        <f>HYPERLINK("http://www.12365auto.com/xcdg/20200203/417489.shtml","http://www.12365auto.com/xcdg/20200203/417489.shtml")</f>
        <v>http://www.12365auto.com/xcdg/20200203/417489.shtml</v>
      </c>
      <c r="G12942" s="2"/>
      <c r="H12942" s="2" t="s">
        <v>17248</v>
      </c>
      <c r="I12942" s="2" t="s">
        <v>19</v>
      </c>
      <c r="J12942" s="2" t="s">
        <v>12</v>
      </c>
      <c r="K12942" s="2" t="s">
        <v>17249</v>
      </c>
      <c r="L12942" s="2">
        <f t="shared" si="202"/>
        <v>150</v>
      </c>
    </row>
    <row r="12943" spans="1:12" ht="25" customHeight="1">
      <c r="A12943" s="2" t="s">
        <v>12</v>
      </c>
      <c r="B12943" s="2" t="str">
        <f>HYPERLINK("http://m.12365auto.com/xcdg/20200203/417489.shtml","奔驰全新AMG E63渲染图 搭V8/油耗下降")</f>
        <v>奔驰全新AMG E63渲染图 搭V8/油耗下降</v>
      </c>
      <c r="C12943" s="2" t="s">
        <v>13</v>
      </c>
      <c r="D12943" s="2" t="s">
        <v>12</v>
      </c>
      <c r="E12943" s="2"/>
      <c r="F12943" s="2" t="str">
        <f>HYPERLINK("http://m.12365auto.com/xcdg/20200203/417489.shtml","http://m.12365auto.com/xcdg/20200203/417489.shtml")</f>
        <v>http://m.12365auto.com/xcdg/20200203/417489.shtml</v>
      </c>
      <c r="G12943" s="2"/>
      <c r="H12943" s="2" t="s">
        <v>17250</v>
      </c>
      <c r="I12943" s="2" t="s">
        <v>19</v>
      </c>
      <c r="J12943" s="2" t="s">
        <v>220</v>
      </c>
      <c r="K12943" s="2" t="s">
        <v>17249</v>
      </c>
      <c r="L12943" s="2">
        <f t="shared" si="202"/>
        <v>150</v>
      </c>
    </row>
    <row r="12944" spans="1:12" ht="25" customHeight="1">
      <c r="A12944" s="2" t="s">
        <v>12</v>
      </c>
      <c r="B12944" s="2" t="str">
        <f>HYPERLINK("http://m.12365auto.com/xcdg/20200203/417488.shtml","起亚全新索兰托实车曝光 5种动力可选")</f>
        <v>起亚全新索兰托实车曝光 5种动力可选</v>
      </c>
      <c r="C12944" s="2" t="s">
        <v>13</v>
      </c>
      <c r="D12944" s="2" t="s">
        <v>12</v>
      </c>
      <c r="E12944" s="2"/>
      <c r="F12944" s="2" t="str">
        <f>HYPERLINK("http://m.12365auto.com/xcdg/20200203/417488.shtml","http://m.12365auto.com/xcdg/20200203/417488.shtml")</f>
        <v>http://m.12365auto.com/xcdg/20200203/417488.shtml</v>
      </c>
      <c r="G12944" s="2"/>
      <c r="H12944" s="2" t="s">
        <v>17251</v>
      </c>
      <c r="I12944" s="2" t="s">
        <v>19</v>
      </c>
      <c r="J12944" s="2" t="s">
        <v>220</v>
      </c>
      <c r="K12944" s="2" t="s">
        <v>17252</v>
      </c>
      <c r="L12944" s="2">
        <f t="shared" si="202"/>
        <v>150</v>
      </c>
    </row>
    <row r="12945" spans="1:12" ht="25" customHeight="1">
      <c r="A12945" s="2" t="s">
        <v>12</v>
      </c>
      <c r="B12945" s="2" t="str">
        <f>HYPERLINK("http://www.12365auto.com/xcdg/20200203/417488.shtml","起亚全新索兰托实车曝光 5种动力可选")</f>
        <v>起亚全新索兰托实车曝光 5种动力可选</v>
      </c>
      <c r="C12945" s="2" t="s">
        <v>13</v>
      </c>
      <c r="D12945" s="2" t="s">
        <v>12</v>
      </c>
      <c r="E12945" s="2" t="s">
        <v>216</v>
      </c>
      <c r="F12945" s="2" t="str">
        <f>HYPERLINK("http://www.12365auto.com/xcdg/20200203/417488.shtml","http://www.12365auto.com/xcdg/20200203/417488.shtml")</f>
        <v>http://www.12365auto.com/xcdg/20200203/417488.shtml</v>
      </c>
      <c r="G12945" s="2"/>
      <c r="H12945" s="2" t="s">
        <v>17253</v>
      </c>
      <c r="I12945" s="2" t="s">
        <v>15</v>
      </c>
      <c r="J12945" s="2" t="s">
        <v>12</v>
      </c>
      <c r="K12945" s="2" t="s">
        <v>17252</v>
      </c>
      <c r="L12945" s="2">
        <f t="shared" si="202"/>
        <v>150</v>
      </c>
    </row>
    <row r="12946" spans="1:12" ht="25" customHeight="1">
      <c r="A12946" s="2" t="s">
        <v>12</v>
      </c>
      <c r="B12946" s="2" t="str">
        <f>HYPERLINK("http://m.12365auto.com/news/20200203/417487.shtml","特斯拉针对疫情推出政策 是在帮助我们？")</f>
        <v>特斯拉针对疫情推出政策 是在帮助我们？</v>
      </c>
      <c r="C12946" s="2" t="s">
        <v>13</v>
      </c>
      <c r="D12946" s="2" t="s">
        <v>12</v>
      </c>
      <c r="E12946" s="2"/>
      <c r="F12946" s="2" t="str">
        <f>HYPERLINK("http://m.12365auto.com/news/20200203/417487.shtml","http://m.12365auto.com/news/20200203/417487.shtml")</f>
        <v>http://m.12365auto.com/news/20200203/417487.shtml</v>
      </c>
      <c r="G12946" s="2"/>
      <c r="H12946" s="2" t="s">
        <v>17254</v>
      </c>
      <c r="I12946" s="2" t="s">
        <v>19</v>
      </c>
      <c r="J12946" s="2" t="s">
        <v>222</v>
      </c>
      <c r="K12946" s="2" t="s">
        <v>17255</v>
      </c>
      <c r="L12946" s="2">
        <f t="shared" si="202"/>
        <v>150</v>
      </c>
    </row>
    <row r="12947" spans="1:12" ht="25" customHeight="1">
      <c r="A12947" s="2" t="s">
        <v>12</v>
      </c>
      <c r="B12947" s="2" t="str">
        <f>HYPERLINK("http://www.12365auto.com/news/20200203/417487.shtml","特斯拉针对疫情推出政策 是在帮助我们？")</f>
        <v>特斯拉针对疫情推出政策 是在帮助我们？</v>
      </c>
      <c r="C12947" s="2" t="s">
        <v>13</v>
      </c>
      <c r="D12947" s="2" t="s">
        <v>12</v>
      </c>
      <c r="E12947" s="2" t="s">
        <v>276</v>
      </c>
      <c r="F12947" s="2" t="str">
        <f>HYPERLINK("http://www.12365auto.com/news/20200203/417487.shtml","http://www.12365auto.com/news/20200203/417487.shtml")</f>
        <v>http://www.12365auto.com/news/20200203/417487.shtml</v>
      </c>
      <c r="G12947" s="2"/>
      <c r="H12947" s="2" t="s">
        <v>17256</v>
      </c>
      <c r="I12947" s="2" t="s">
        <v>15</v>
      </c>
      <c r="J12947" s="2" t="s">
        <v>12</v>
      </c>
      <c r="K12947" s="2" t="s">
        <v>17255</v>
      </c>
      <c r="L12947" s="2">
        <f t="shared" si="202"/>
        <v>150</v>
      </c>
    </row>
    <row r="12948" spans="1:12" ht="25" customHeight="1">
      <c r="A12948" s="2" t="s">
        <v>12</v>
      </c>
      <c r="B12948" s="2" t="str">
        <f>HYPERLINK("http://m.12365auto.com/xcdg/20200203/417486.shtml","悍马纯电版预告图曝光 5月亮相/秋季开售")</f>
        <v>悍马纯电版预告图曝光 5月亮相/秋季开售</v>
      </c>
      <c r="C12948" s="2" t="s">
        <v>13</v>
      </c>
      <c r="D12948" s="2" t="s">
        <v>12</v>
      </c>
      <c r="E12948" s="2"/>
      <c r="F12948" s="2" t="str">
        <f>HYPERLINK("http://m.12365auto.com/xcdg/20200203/417486.shtml","http://m.12365auto.com/xcdg/20200203/417486.shtml")</f>
        <v>http://m.12365auto.com/xcdg/20200203/417486.shtml</v>
      </c>
      <c r="G12948" s="2"/>
      <c r="H12948" s="2" t="s">
        <v>17257</v>
      </c>
      <c r="I12948" s="2" t="s">
        <v>19</v>
      </c>
      <c r="J12948" s="2" t="s">
        <v>220</v>
      </c>
      <c r="K12948" s="2" t="s">
        <v>17258</v>
      </c>
      <c r="L12948" s="2">
        <f t="shared" si="202"/>
        <v>150</v>
      </c>
    </row>
    <row r="12949" spans="1:12" ht="25" customHeight="1">
      <c r="A12949" s="2" t="s">
        <v>12</v>
      </c>
      <c r="B12949" s="2" t="str">
        <f>HYPERLINK("http://www.12365auto.com/xcdg/20200203/417486.shtml","悍马纯电版预告图曝光 5月亮相/秋季开售")</f>
        <v>悍马纯电版预告图曝光 5月亮相/秋季开售</v>
      </c>
      <c r="C12949" s="2" t="s">
        <v>13</v>
      </c>
      <c r="D12949" s="2" t="s">
        <v>12</v>
      </c>
      <c r="E12949" s="2" t="s">
        <v>216</v>
      </c>
      <c r="F12949" s="2" t="str">
        <f>HYPERLINK("http://www.12365auto.com/xcdg/20200203/417486.shtml","http://www.12365auto.com/xcdg/20200203/417486.shtml")</f>
        <v>http://www.12365auto.com/xcdg/20200203/417486.shtml</v>
      </c>
      <c r="G12949" s="2"/>
      <c r="H12949" s="2" t="s">
        <v>17259</v>
      </c>
      <c r="I12949" s="2" t="s">
        <v>15</v>
      </c>
      <c r="J12949" s="2" t="s">
        <v>12</v>
      </c>
      <c r="K12949" s="2" t="s">
        <v>17258</v>
      </c>
      <c r="L12949" s="2">
        <f t="shared" si="202"/>
        <v>150</v>
      </c>
    </row>
    <row r="12950" spans="1:12" ht="25" customHeight="1">
      <c r="A12950" s="2" t="s">
        <v>12</v>
      </c>
      <c r="B12950" s="2" t="str">
        <f>HYPERLINK("http://m.12365auto.com/news/20200203/417485.shtml","沃尔沃的以人为尊 这个冬天格外暖心")</f>
        <v>沃尔沃的以人为尊 这个冬天格外暖心</v>
      </c>
      <c r="C12950" s="2" t="s">
        <v>13</v>
      </c>
      <c r="D12950" s="2" t="s">
        <v>12</v>
      </c>
      <c r="E12950" s="2"/>
      <c r="F12950" s="2" t="str">
        <f>HYPERLINK("http://m.12365auto.com/news/20200203/417485.shtml","http://m.12365auto.com/news/20200203/417485.shtml")</f>
        <v>http://m.12365auto.com/news/20200203/417485.shtml</v>
      </c>
      <c r="G12950" s="2"/>
      <c r="H12950" s="2" t="s">
        <v>17260</v>
      </c>
      <c r="I12950" s="2" t="s">
        <v>19</v>
      </c>
      <c r="J12950" s="2" t="s">
        <v>2603</v>
      </c>
      <c r="K12950" s="2" t="s">
        <v>17261</v>
      </c>
      <c r="L12950" s="2">
        <f t="shared" si="202"/>
        <v>150</v>
      </c>
    </row>
    <row r="12951" spans="1:12" ht="25" customHeight="1">
      <c r="A12951" s="2" t="s">
        <v>12</v>
      </c>
      <c r="B12951" s="2" t="str">
        <f>HYPERLINK("http://www.12365auto.com/news/20200203/417485.shtml","沃尔沃的以人为尊 这个冬天格外暖心")</f>
        <v>沃尔沃的以人为尊 这个冬天格外暖心</v>
      </c>
      <c r="C12951" s="2" t="s">
        <v>13</v>
      </c>
      <c r="D12951" s="2" t="s">
        <v>12</v>
      </c>
      <c r="E12951" s="2" t="s">
        <v>276</v>
      </c>
      <c r="F12951" s="2" t="str">
        <f>HYPERLINK("http://www.12365auto.com/news/20200203/417485.shtml","http://www.12365auto.com/news/20200203/417485.shtml")</f>
        <v>http://www.12365auto.com/news/20200203/417485.shtml</v>
      </c>
      <c r="G12951" s="2"/>
      <c r="H12951" s="2" t="s">
        <v>17262</v>
      </c>
      <c r="I12951" s="2" t="s">
        <v>15</v>
      </c>
      <c r="J12951" s="2" t="s">
        <v>12</v>
      </c>
      <c r="K12951" s="2" t="s">
        <v>17261</v>
      </c>
      <c r="L12951" s="2">
        <f t="shared" si="202"/>
        <v>150</v>
      </c>
    </row>
    <row r="12952" spans="1:12" ht="25" customHeight="1">
      <c r="A12952" s="2" t="s">
        <v>12</v>
      </c>
      <c r="B12952" s="2" t="str">
        <f>HYPERLINK("http://m.12365auto.com/xcdg/20200203/417484.shtml","捷豹全新XF路试谍照曝光 下半年亮相")</f>
        <v>捷豹全新XF路试谍照曝光 下半年亮相</v>
      </c>
      <c r="C12952" s="2" t="s">
        <v>13</v>
      </c>
      <c r="D12952" s="2" t="s">
        <v>12</v>
      </c>
      <c r="E12952" s="2"/>
      <c r="F12952" s="2" t="str">
        <f>HYPERLINK("http://m.12365auto.com/xcdg/20200203/417484.shtml","http://m.12365auto.com/xcdg/20200203/417484.shtml")</f>
        <v>http://m.12365auto.com/xcdg/20200203/417484.shtml</v>
      </c>
      <c r="G12952" s="2"/>
      <c r="H12952" s="2" t="s">
        <v>17263</v>
      </c>
      <c r="I12952" s="2" t="s">
        <v>19</v>
      </c>
      <c r="J12952" s="2" t="s">
        <v>220</v>
      </c>
      <c r="K12952" s="2" t="s">
        <v>17264</v>
      </c>
      <c r="L12952" s="2">
        <f t="shared" si="202"/>
        <v>150</v>
      </c>
    </row>
    <row r="12953" spans="1:12" ht="25" customHeight="1">
      <c r="A12953" s="2" t="s">
        <v>12</v>
      </c>
      <c r="B12953" s="2" t="str">
        <f>HYPERLINK("http://www.12365auto.com/xcdg/20200203/417484.shtml","捷豹全新XF路试谍照曝光 下半年亮相")</f>
        <v>捷豹全新XF路试谍照曝光 下半年亮相</v>
      </c>
      <c r="C12953" s="2" t="s">
        <v>13</v>
      </c>
      <c r="D12953" s="2" t="s">
        <v>12</v>
      </c>
      <c r="E12953" s="2" t="s">
        <v>224</v>
      </c>
      <c r="F12953" s="2" t="str">
        <f>HYPERLINK("http://www.12365auto.com/xcdg/20200203/417484.shtml","http://www.12365auto.com/xcdg/20200203/417484.shtml")</f>
        <v>http://www.12365auto.com/xcdg/20200203/417484.shtml</v>
      </c>
      <c r="G12953" s="2"/>
      <c r="H12953" s="2" t="s">
        <v>17265</v>
      </c>
      <c r="I12953" s="2" t="s">
        <v>15</v>
      </c>
      <c r="J12953" s="2" t="s">
        <v>12</v>
      </c>
      <c r="K12953" s="2" t="s">
        <v>17264</v>
      </c>
      <c r="L12953" s="2">
        <f t="shared" si="202"/>
        <v>150</v>
      </c>
    </row>
    <row r="12954" spans="1:12" ht="25" customHeight="1">
      <c r="A12954" s="2" t="s">
        <v>12</v>
      </c>
      <c r="B12954" s="2" t="str">
        <f>HYPERLINK("http://m.12365auto.com/xcdg/20200203/417483.shtml","移动的净化器 解读北汽福田负压救护车")</f>
        <v>移动的净化器 解读北汽福田负压救护车</v>
      </c>
      <c r="C12954" s="2" t="s">
        <v>13</v>
      </c>
      <c r="D12954" s="2" t="s">
        <v>12</v>
      </c>
      <c r="E12954" s="2"/>
      <c r="F12954" s="2" t="str">
        <f>HYPERLINK("http://m.12365auto.com/xcdg/20200203/417483.shtml","http://m.12365auto.com/xcdg/20200203/417483.shtml")</f>
        <v>http://m.12365auto.com/xcdg/20200203/417483.shtml</v>
      </c>
      <c r="G12954" s="2"/>
      <c r="H12954" s="2" t="s">
        <v>17266</v>
      </c>
      <c r="I12954" s="2" t="s">
        <v>19</v>
      </c>
      <c r="J12954" s="2" t="s">
        <v>16034</v>
      </c>
      <c r="K12954" s="2" t="s">
        <v>17267</v>
      </c>
      <c r="L12954" s="2">
        <f t="shared" si="202"/>
        <v>150</v>
      </c>
    </row>
    <row r="12955" spans="1:12" ht="25" customHeight="1">
      <c r="A12955" s="2" t="s">
        <v>12</v>
      </c>
      <c r="B12955" s="2" t="str">
        <f>HYPERLINK("http://www.12365auto.com/xcdg/20200203/417483.shtml","移动的净化器 解读北汽福田负压救护车")</f>
        <v>移动的净化器 解读北汽福田负压救护车</v>
      </c>
      <c r="C12955" s="2" t="s">
        <v>13</v>
      </c>
      <c r="D12955" s="2" t="s">
        <v>12</v>
      </c>
      <c r="E12955" s="2" t="s">
        <v>245</v>
      </c>
      <c r="F12955" s="2" t="str">
        <f>HYPERLINK("http://www.12365auto.com/xcdg/20200203/417483.shtml","http://www.12365auto.com/xcdg/20200203/417483.shtml")</f>
        <v>http://www.12365auto.com/xcdg/20200203/417483.shtml</v>
      </c>
      <c r="G12955" s="2"/>
      <c r="H12955" s="2" t="s">
        <v>17268</v>
      </c>
      <c r="I12955" s="2" t="s">
        <v>19</v>
      </c>
      <c r="J12955" s="2" t="s">
        <v>12</v>
      </c>
      <c r="K12955" s="2" t="s">
        <v>17267</v>
      </c>
      <c r="L12955" s="2">
        <f t="shared" si="202"/>
        <v>150</v>
      </c>
    </row>
    <row r="12956" spans="1:12" ht="25" customHeight="1">
      <c r="A12956" s="2" t="s">
        <v>12</v>
      </c>
      <c r="B12956" s="2" t="str">
        <f>HYPERLINK("http://www.12365auto.com/zlts/20200203/446187.shtml","变速箱故障，功能受限，没有倒档，没有偶数档。")</f>
        <v>变速箱故障，功能受限，没有倒档，没有偶数档。</v>
      </c>
      <c r="C12956" s="2" t="s">
        <v>13</v>
      </c>
      <c r="D12956" s="2" t="s">
        <v>12</v>
      </c>
      <c r="E12956" s="2"/>
      <c r="F12956" s="2" t="str">
        <f>HYPERLINK("http://www.12365auto.com/zlts/20200203/446187.shtml","http://www.12365auto.com/zlts/20200203/446187.shtml")</f>
        <v>http://www.12365auto.com/zlts/20200203/446187.shtml</v>
      </c>
      <c r="G12956" s="2"/>
      <c r="H12956" s="2" t="s">
        <v>17270</v>
      </c>
      <c r="I12956" s="2" t="s">
        <v>15</v>
      </c>
      <c r="J12956" s="2" t="s">
        <v>12</v>
      </c>
      <c r="K12956" s="2" t="s">
        <v>17269</v>
      </c>
      <c r="L12956" s="2">
        <f t="shared" si="202"/>
        <v>88</v>
      </c>
    </row>
    <row r="12957" spans="1:12" ht="25" customHeight="1">
      <c r="A12957" s="2" t="s">
        <v>12</v>
      </c>
      <c r="B12957" s="2" t="str">
        <f>HYPERLINK("http://m.12365auto.com/scbg/20200203/417482.shtml","家电冬令营：小鹏G3冬天续航实不实？")</f>
        <v>家电冬令营：小鹏G3冬天续航实不实？</v>
      </c>
      <c r="C12957" s="2" t="s">
        <v>13</v>
      </c>
      <c r="D12957" s="2" t="s">
        <v>12</v>
      </c>
      <c r="E12957" s="2"/>
      <c r="F12957" s="2" t="str">
        <f>HYPERLINK("http://m.12365auto.com/scbg/20200203/417482.shtml","http://m.12365auto.com/scbg/20200203/417482.shtml")</f>
        <v>http://m.12365auto.com/scbg/20200203/417482.shtml</v>
      </c>
      <c r="G12957" s="2"/>
      <c r="H12957" s="2" t="s">
        <v>17271</v>
      </c>
      <c r="I12957" s="2" t="s">
        <v>19</v>
      </c>
      <c r="J12957" s="2" t="s">
        <v>5875</v>
      </c>
      <c r="K12957" s="2" t="s">
        <v>17272</v>
      </c>
      <c r="L12957" s="2">
        <f t="shared" si="202"/>
        <v>150</v>
      </c>
    </row>
    <row r="12958" spans="1:12" ht="25" customHeight="1">
      <c r="A12958" s="2" t="s">
        <v>12</v>
      </c>
      <c r="B12958" s="2" t="str">
        <f>HYPERLINK("http://www.12365auto.com/scbg/20200203/417482.shtml","家电冬令营：小鹏G3冬天续航实不实？")</f>
        <v>家电冬令营：小鹏G3冬天续航实不实？</v>
      </c>
      <c r="C12958" s="2" t="s">
        <v>13</v>
      </c>
      <c r="D12958" s="2" t="s">
        <v>12</v>
      </c>
      <c r="E12958" s="2" t="s">
        <v>1548</v>
      </c>
      <c r="F12958" s="2" t="str">
        <f>HYPERLINK("http://www.12365auto.com/scbg/20200203/417482.shtml","http://www.12365auto.com/scbg/20200203/417482.shtml")</f>
        <v>http://www.12365auto.com/scbg/20200203/417482.shtml</v>
      </c>
      <c r="G12958" s="2"/>
      <c r="H12958" s="2" t="s">
        <v>17273</v>
      </c>
      <c r="I12958" s="2" t="s">
        <v>15</v>
      </c>
      <c r="J12958" s="2" t="s">
        <v>12</v>
      </c>
      <c r="K12958" s="2" t="s">
        <v>17272</v>
      </c>
      <c r="L12958" s="2">
        <f t="shared" si="202"/>
        <v>150</v>
      </c>
    </row>
    <row r="12959" spans="1:12" ht="25" customHeight="1">
      <c r="A12959" s="2" t="s">
        <v>12</v>
      </c>
      <c r="B12959" s="2" t="str">
        <f>HYPERLINK("http://m.12365auto.com/xcdg/20200203/417481.shtml","8万就选这几款代步车 丈母娘看了都说好")</f>
        <v>8万就选这几款代步车 丈母娘看了都说好</v>
      </c>
      <c r="C12959" s="2" t="s">
        <v>13</v>
      </c>
      <c r="D12959" s="2" t="s">
        <v>12</v>
      </c>
      <c r="E12959" s="2"/>
      <c r="F12959" s="2" t="str">
        <f>HYPERLINK("http://m.12365auto.com/xcdg/20200203/417481.shtml","http://m.12365auto.com/xcdg/20200203/417481.shtml")</f>
        <v>http://m.12365auto.com/xcdg/20200203/417481.shtml</v>
      </c>
      <c r="G12959" s="2"/>
      <c r="H12959" s="2" t="s">
        <v>17274</v>
      </c>
      <c r="I12959" s="2" t="s">
        <v>19</v>
      </c>
      <c r="J12959" s="2" t="s">
        <v>3500</v>
      </c>
      <c r="K12959" s="2" t="s">
        <v>17275</v>
      </c>
      <c r="L12959" s="2">
        <f t="shared" si="202"/>
        <v>150</v>
      </c>
    </row>
    <row r="12960" spans="1:12" ht="25" customHeight="1">
      <c r="A12960" s="2" t="s">
        <v>12</v>
      </c>
      <c r="B12960" s="2" t="str">
        <f>HYPERLINK("http://m.12365auto.com/xcdg/20200203/417480.shtml","为何说亚洲龙是最值得购买的中级车？")</f>
        <v>为何说亚洲龙是最值得购买的中级车？</v>
      </c>
      <c r="C12960" s="2" t="s">
        <v>13</v>
      </c>
      <c r="D12960" s="2" t="s">
        <v>12</v>
      </c>
      <c r="E12960" s="2"/>
      <c r="F12960" s="2" t="str">
        <f>HYPERLINK("http://m.12365auto.com/xcdg/20200203/417480.shtml","http://m.12365auto.com/xcdg/20200203/417480.shtml")</f>
        <v>http://m.12365auto.com/xcdg/20200203/417480.shtml</v>
      </c>
      <c r="G12960" s="2"/>
      <c r="H12960" s="2" t="s">
        <v>17276</v>
      </c>
      <c r="I12960" s="2" t="s">
        <v>19</v>
      </c>
      <c r="J12960" s="2" t="s">
        <v>4710</v>
      </c>
      <c r="K12960" s="2" t="s">
        <v>17277</v>
      </c>
      <c r="L12960" s="2">
        <f t="shared" si="202"/>
        <v>150</v>
      </c>
    </row>
    <row r="12961" spans="1:12" ht="25" customHeight="1">
      <c r="A12961" s="2" t="s">
        <v>12</v>
      </c>
      <c r="B12961" s="2" t="str">
        <f>HYPERLINK("http://www.12365auto.com/news/20200203/417479.shtml","东风启辰2019销量12.3万辆 2020加码SUV")</f>
        <v>东风启辰2019销量12.3万辆 2020加码SUV</v>
      </c>
      <c r="C12961" s="2" t="s">
        <v>13</v>
      </c>
      <c r="D12961" s="2" t="s">
        <v>12</v>
      </c>
      <c r="E12961" s="2" t="s">
        <v>282</v>
      </c>
      <c r="F12961" s="2" t="str">
        <f>HYPERLINK("http://www.12365auto.com/news/20200203/417479.shtml","http://www.12365auto.com/news/20200203/417479.shtml")</f>
        <v>http://www.12365auto.com/news/20200203/417479.shtml</v>
      </c>
      <c r="G12961" s="2"/>
      <c r="H12961" s="2" t="s">
        <v>17278</v>
      </c>
      <c r="I12961" s="2" t="s">
        <v>19</v>
      </c>
      <c r="J12961" s="2" t="s">
        <v>12</v>
      </c>
      <c r="K12961" s="2" t="s">
        <v>17279</v>
      </c>
      <c r="L12961" s="2">
        <f t="shared" si="202"/>
        <v>150</v>
      </c>
    </row>
    <row r="12962" spans="1:12" ht="25" customHeight="1">
      <c r="A12962" s="2" t="s">
        <v>12</v>
      </c>
      <c r="B12962" s="2" t="str">
        <f>HYPERLINK("http://m.12365auto.com/news/20200203/417479.shtml","东风启辰2019销量12.3万辆 2020加码SUV")</f>
        <v>东风启辰2019销量12.3万辆 2020加码SUV</v>
      </c>
      <c r="C12962" s="2" t="s">
        <v>13</v>
      </c>
      <c r="D12962" s="2" t="s">
        <v>12</v>
      </c>
      <c r="E12962" s="2"/>
      <c r="F12962" s="2" t="str">
        <f>HYPERLINK("http://m.12365auto.com/news/20200203/417479.shtml","http://m.12365auto.com/news/20200203/417479.shtml")</f>
        <v>http://m.12365auto.com/news/20200203/417479.shtml</v>
      </c>
      <c r="G12962" s="2"/>
      <c r="H12962" s="2" t="s">
        <v>17280</v>
      </c>
      <c r="I12962" s="2" t="s">
        <v>19</v>
      </c>
      <c r="J12962" s="2" t="s">
        <v>1205</v>
      </c>
      <c r="K12962" s="2" t="s">
        <v>17279</v>
      </c>
      <c r="L12962" s="2">
        <f t="shared" si="202"/>
        <v>150</v>
      </c>
    </row>
    <row r="12963" spans="1:12" ht="25" customHeight="1">
      <c r="A12963" s="2" t="s">
        <v>12</v>
      </c>
      <c r="B12963" s="2" t="str">
        <f>HYPERLINK("http://www.12365auto.com/news/20200203/417478.shtml","东风英菲尼迪销量目标公布 挑战3.36万")</f>
        <v>东风英菲尼迪销量目标公布 挑战3.36万</v>
      </c>
      <c r="C12963" s="2" t="s">
        <v>13</v>
      </c>
      <c r="D12963" s="2" t="s">
        <v>12</v>
      </c>
      <c r="E12963" s="2" t="s">
        <v>282</v>
      </c>
      <c r="F12963" s="2" t="str">
        <f>HYPERLINK("http://www.12365auto.com/news/20200203/417478.shtml","http://www.12365auto.com/news/20200203/417478.shtml")</f>
        <v>http://www.12365auto.com/news/20200203/417478.shtml</v>
      </c>
      <c r="G12963" s="2"/>
      <c r="H12963" s="2" t="s">
        <v>17281</v>
      </c>
      <c r="I12963" s="2" t="s">
        <v>19</v>
      </c>
      <c r="J12963" s="2" t="s">
        <v>12</v>
      </c>
      <c r="K12963" s="2" t="s">
        <v>17282</v>
      </c>
      <c r="L12963" s="2">
        <f t="shared" si="202"/>
        <v>150</v>
      </c>
    </row>
    <row r="12964" spans="1:12" ht="25" customHeight="1">
      <c r="A12964" s="2" t="s">
        <v>12</v>
      </c>
      <c r="B12964" s="2" t="str">
        <f>HYPERLINK("http://m.12365auto.com/news/20200203/417478.shtml","东风英菲尼迪销量目标公布 挑战3.36万")</f>
        <v>东风英菲尼迪销量目标公布 挑战3.36万</v>
      </c>
      <c r="C12964" s="2" t="s">
        <v>13</v>
      </c>
      <c r="D12964" s="2" t="s">
        <v>12</v>
      </c>
      <c r="E12964" s="2"/>
      <c r="F12964" s="2" t="str">
        <f>HYPERLINK("http://m.12365auto.com/news/20200203/417478.shtml","http://m.12365auto.com/news/20200203/417478.shtml")</f>
        <v>http://m.12365auto.com/news/20200203/417478.shtml</v>
      </c>
      <c r="G12964" s="2"/>
      <c r="H12964" s="2" t="s">
        <v>17283</v>
      </c>
      <c r="I12964" s="2" t="s">
        <v>19</v>
      </c>
      <c r="J12964" s="2" t="s">
        <v>751</v>
      </c>
      <c r="K12964" s="2" t="s">
        <v>17282</v>
      </c>
      <c r="L12964" s="2">
        <f t="shared" si="202"/>
        <v>150</v>
      </c>
    </row>
    <row r="12965" spans="1:12" ht="25" customHeight="1">
      <c r="A12965" s="2" t="s">
        <v>12</v>
      </c>
      <c r="B12965" s="2" t="str">
        <f>HYPERLINK("http://www.12365auto.com/news/20200203/417477.shtml","标致将缺席2020日内瓦车展 没看头了？")</f>
        <v>标致将缺席2020日内瓦车展 没看头了？</v>
      </c>
      <c r="C12965" s="2" t="s">
        <v>13</v>
      </c>
      <c r="D12965" s="2" t="s">
        <v>12</v>
      </c>
      <c r="E12965" s="2" t="s">
        <v>276</v>
      </c>
      <c r="F12965" s="2" t="str">
        <f>HYPERLINK("http://www.12365auto.com/news/20200203/417477.shtml","http://www.12365auto.com/news/20200203/417477.shtml")</f>
        <v>http://www.12365auto.com/news/20200203/417477.shtml</v>
      </c>
      <c r="G12965" s="2"/>
      <c r="H12965" s="2" t="s">
        <v>17284</v>
      </c>
      <c r="I12965" s="2" t="s">
        <v>15</v>
      </c>
      <c r="J12965" s="2" t="s">
        <v>12</v>
      </c>
      <c r="K12965" s="2" t="s">
        <v>17285</v>
      </c>
      <c r="L12965" s="2">
        <f t="shared" si="202"/>
        <v>150</v>
      </c>
    </row>
    <row r="12966" spans="1:12" ht="25" customHeight="1">
      <c r="A12966" s="2" t="s">
        <v>12</v>
      </c>
      <c r="B12966" s="2" t="str">
        <f>HYPERLINK("http://m.12365auto.com/news/20200203/417477.shtml","标致将缺席2020日内瓦车展 没看头了？")</f>
        <v>标致将缺席2020日内瓦车展 没看头了？</v>
      </c>
      <c r="C12966" s="2" t="s">
        <v>13</v>
      </c>
      <c r="D12966" s="2" t="s">
        <v>12</v>
      </c>
      <c r="E12966" s="2"/>
      <c r="F12966" s="2" t="str">
        <f>HYPERLINK("http://m.12365auto.com/news/20200203/417477.shtml","http://m.12365auto.com/news/20200203/417477.shtml")</f>
        <v>http://m.12365auto.com/news/20200203/417477.shtml</v>
      </c>
      <c r="G12966" s="2"/>
      <c r="H12966" s="2" t="s">
        <v>17286</v>
      </c>
      <c r="I12966" s="2" t="s">
        <v>19</v>
      </c>
      <c r="J12966" s="2" t="s">
        <v>1205</v>
      </c>
      <c r="K12966" s="2" t="s">
        <v>17285</v>
      </c>
      <c r="L12966" s="2">
        <f t="shared" si="202"/>
        <v>150</v>
      </c>
    </row>
    <row r="12967" spans="1:12" ht="25" customHeight="1">
      <c r="A12967" s="2" t="s">
        <v>12</v>
      </c>
      <c r="B12967" s="2" t="str">
        <f>HYPERLINK("http://www.12365auto.com/news/20200203/417476.shtml","德日系召回最多 2019年汽车召回680万辆")</f>
        <v>德日系召回最多 2019年汽车召回680万辆</v>
      </c>
      <c r="C12967" s="2" t="s">
        <v>13</v>
      </c>
      <c r="D12967" s="2" t="s">
        <v>12</v>
      </c>
      <c r="E12967" s="2" t="s">
        <v>276</v>
      </c>
      <c r="F12967" s="2" t="str">
        <f>HYPERLINK("http://www.12365auto.com/news/20200203/417476.shtml","http://www.12365auto.com/news/20200203/417476.shtml")</f>
        <v>http://www.12365auto.com/news/20200203/417476.shtml</v>
      </c>
      <c r="G12967" s="2"/>
      <c r="H12967" s="2" t="s">
        <v>17287</v>
      </c>
      <c r="I12967" s="2" t="s">
        <v>15</v>
      </c>
      <c r="J12967" s="2" t="s">
        <v>12</v>
      </c>
      <c r="K12967" s="2" t="s">
        <v>17288</v>
      </c>
      <c r="L12967" s="2">
        <f t="shared" si="202"/>
        <v>150</v>
      </c>
    </row>
    <row r="12968" spans="1:12" ht="25" customHeight="1">
      <c r="A12968" s="2" t="s">
        <v>12</v>
      </c>
      <c r="B12968" s="2" t="str">
        <f>HYPERLINK("http://m.12365auto.com/news/20200203/417476.shtml","德日系召回最多 2019年汽车召回680万辆")</f>
        <v>德日系召回最多 2019年汽车召回680万辆</v>
      </c>
      <c r="C12968" s="2" t="s">
        <v>13</v>
      </c>
      <c r="D12968" s="2" t="s">
        <v>12</v>
      </c>
      <c r="E12968" s="2"/>
      <c r="F12968" s="2" t="str">
        <f>HYPERLINK("http://m.12365auto.com/news/20200203/417476.shtml","http://m.12365auto.com/news/20200203/417476.shtml")</f>
        <v>http://m.12365auto.com/news/20200203/417476.shtml</v>
      </c>
      <c r="G12968" s="2"/>
      <c r="H12968" s="2" t="s">
        <v>17289</v>
      </c>
      <c r="I12968" s="2" t="s">
        <v>19</v>
      </c>
      <c r="J12968" s="2" t="s">
        <v>17290</v>
      </c>
      <c r="K12968" s="2" t="s">
        <v>17288</v>
      </c>
      <c r="L12968" s="2">
        <f t="shared" si="202"/>
        <v>150</v>
      </c>
    </row>
    <row r="12969" spans="1:12" ht="25" customHeight="1">
      <c r="A12969" s="2" t="s">
        <v>12</v>
      </c>
      <c r="B12969" s="2" t="str">
        <f>HYPERLINK("http://www.12365auto.com/news/20200203/417475.shtml","长安马自达年销量13.6万 今年国产CX-30")</f>
        <v>长安马自达年销量13.6万 今年国产CX-30</v>
      </c>
      <c r="C12969" s="2" t="s">
        <v>13</v>
      </c>
      <c r="D12969" s="2" t="s">
        <v>12</v>
      </c>
      <c r="E12969" s="2" t="s">
        <v>276</v>
      </c>
      <c r="F12969" s="2" t="str">
        <f>HYPERLINK("http://www.12365auto.com/news/20200203/417475.shtml","http://www.12365auto.com/news/20200203/417475.shtml")</f>
        <v>http://www.12365auto.com/news/20200203/417475.shtml</v>
      </c>
      <c r="G12969" s="2"/>
      <c r="H12969" s="2" t="s">
        <v>17291</v>
      </c>
      <c r="I12969" s="2" t="s">
        <v>15</v>
      </c>
      <c r="J12969" s="2" t="s">
        <v>12</v>
      </c>
      <c r="K12969" s="2" t="s">
        <v>17292</v>
      </c>
      <c r="L12969" s="2">
        <f t="shared" si="202"/>
        <v>150</v>
      </c>
    </row>
    <row r="12970" spans="1:12" ht="25" customHeight="1">
      <c r="A12970" s="2" t="s">
        <v>12</v>
      </c>
      <c r="B12970" s="2" t="str">
        <f>HYPERLINK("http://m.12365auto.com/news/20200203/417475.shtml","长安马自达年销量13.6万 今年国产CX-30")</f>
        <v>长安马自达年销量13.6万 今年国产CX-30</v>
      </c>
      <c r="C12970" s="2" t="s">
        <v>13</v>
      </c>
      <c r="D12970" s="2" t="s">
        <v>12</v>
      </c>
      <c r="E12970" s="2"/>
      <c r="F12970" s="2" t="str">
        <f>HYPERLINK("http://m.12365auto.com/news/20200203/417475.shtml","http://m.12365auto.com/news/20200203/417475.shtml")</f>
        <v>http://m.12365auto.com/news/20200203/417475.shtml</v>
      </c>
      <c r="G12970" s="2"/>
      <c r="H12970" s="2" t="s">
        <v>17293</v>
      </c>
      <c r="I12970" s="2" t="s">
        <v>19</v>
      </c>
      <c r="J12970" s="2" t="s">
        <v>1205</v>
      </c>
      <c r="K12970" s="2" t="s">
        <v>17292</v>
      </c>
      <c r="L12970" s="2">
        <f t="shared" si="202"/>
        <v>150</v>
      </c>
    </row>
    <row r="12971" spans="1:12" ht="25" customHeight="1">
      <c r="A12971" s="2" t="s">
        <v>12</v>
      </c>
      <c r="B12971" s="2" t="str">
        <f>HYPERLINK("http://www.12365auto.com/news/20200203/417474.shtml","东风本田年销量78.9万 两厢思域将上市")</f>
        <v>东风本田年销量78.9万 两厢思域将上市</v>
      </c>
      <c r="C12971" s="2" t="s">
        <v>13</v>
      </c>
      <c r="D12971" s="2" t="s">
        <v>12</v>
      </c>
      <c r="E12971" s="2" t="s">
        <v>276</v>
      </c>
      <c r="F12971" s="2" t="str">
        <f>HYPERLINK("http://www.12365auto.com/news/20200203/417474.shtml","http://www.12365auto.com/news/20200203/417474.shtml")</f>
        <v>http://www.12365auto.com/news/20200203/417474.shtml</v>
      </c>
      <c r="G12971" s="2"/>
      <c r="H12971" s="2" t="s">
        <v>17294</v>
      </c>
      <c r="I12971" s="2" t="s">
        <v>15</v>
      </c>
      <c r="J12971" s="2" t="s">
        <v>12</v>
      </c>
      <c r="K12971" s="2" t="s">
        <v>17295</v>
      </c>
      <c r="L12971" s="2">
        <f t="shared" si="202"/>
        <v>150</v>
      </c>
    </row>
    <row r="12972" spans="1:12" ht="25" customHeight="1">
      <c r="A12972" s="2" t="s">
        <v>12</v>
      </c>
      <c r="B12972" s="2" t="str">
        <f>HYPERLINK("http://m.12365auto.com/news/20200203/417474.shtml","东风本田年销量78.9万 两厢思域将上市")</f>
        <v>东风本田年销量78.9万 两厢思域将上市</v>
      </c>
      <c r="C12972" s="2" t="s">
        <v>13</v>
      </c>
      <c r="D12972" s="2" t="s">
        <v>12</v>
      </c>
      <c r="E12972" s="2"/>
      <c r="F12972" s="2" t="str">
        <f>HYPERLINK("http://m.12365auto.com/news/20200203/417474.shtml","http://m.12365auto.com/news/20200203/417474.shtml")</f>
        <v>http://m.12365auto.com/news/20200203/417474.shtml</v>
      </c>
      <c r="G12972" s="2"/>
      <c r="H12972" s="2" t="s">
        <v>17296</v>
      </c>
      <c r="I12972" s="2" t="s">
        <v>19</v>
      </c>
      <c r="J12972" s="2" t="s">
        <v>1205</v>
      </c>
      <c r="K12972" s="2" t="s">
        <v>17295</v>
      </c>
      <c r="L12972" s="2">
        <f t="shared" si="202"/>
        <v>150</v>
      </c>
    </row>
    <row r="12973" spans="1:12" ht="25" customHeight="1">
      <c r="A12973" s="2" t="s">
        <v>12</v>
      </c>
      <c r="B12973" s="2" t="str">
        <f>HYPERLINK("http://www.12365auto.com/news/20200203/417473.shtml","一汽马自达年销量9.1万 12月销量增长")</f>
        <v>一汽马自达年销量9.1万 12月销量增长</v>
      </c>
      <c r="C12973" s="2" t="s">
        <v>13</v>
      </c>
      <c r="D12973" s="2" t="s">
        <v>12</v>
      </c>
      <c r="E12973" s="2" t="s">
        <v>276</v>
      </c>
      <c r="F12973" s="2" t="str">
        <f>HYPERLINK("http://www.12365auto.com/news/20200203/417473.shtml","http://www.12365auto.com/news/20200203/417473.shtml")</f>
        <v>http://www.12365auto.com/news/20200203/417473.shtml</v>
      </c>
      <c r="G12973" s="2"/>
      <c r="H12973" s="2" t="s">
        <v>17297</v>
      </c>
      <c r="I12973" s="2" t="s">
        <v>15</v>
      </c>
      <c r="J12973" s="2" t="s">
        <v>12</v>
      </c>
      <c r="K12973" s="2" t="s">
        <v>17298</v>
      </c>
      <c r="L12973" s="2">
        <f t="shared" si="202"/>
        <v>150</v>
      </c>
    </row>
    <row r="12974" spans="1:12" ht="25" customHeight="1">
      <c r="A12974" s="2" t="s">
        <v>12</v>
      </c>
      <c r="B12974" s="2" t="str">
        <f>HYPERLINK("http://m.12365auto.com/news/20200203/417473.shtml","一汽马自达年销量9.1万 12月销量增长")</f>
        <v>一汽马自达年销量9.1万 12月销量增长</v>
      </c>
      <c r="C12974" s="2" t="s">
        <v>13</v>
      </c>
      <c r="D12974" s="2" t="s">
        <v>12</v>
      </c>
      <c r="E12974" s="2"/>
      <c r="F12974" s="2" t="str">
        <f>HYPERLINK("http://m.12365auto.com/news/20200203/417473.shtml","http://m.12365auto.com/news/20200203/417473.shtml")</f>
        <v>http://m.12365auto.com/news/20200203/417473.shtml</v>
      </c>
      <c r="G12974" s="2"/>
      <c r="H12974" s="2" t="s">
        <v>17299</v>
      </c>
      <c r="I12974" s="2" t="s">
        <v>19</v>
      </c>
      <c r="J12974" s="2" t="s">
        <v>1205</v>
      </c>
      <c r="K12974" s="2" t="s">
        <v>17298</v>
      </c>
      <c r="L12974" s="2">
        <f t="shared" si="202"/>
        <v>150</v>
      </c>
    </row>
    <row r="12975" spans="1:12" ht="25" customHeight="1">
      <c r="A12975" s="2" t="s">
        <v>12</v>
      </c>
      <c r="B12975" s="2" t="str">
        <f>HYPERLINK("http://www.12365auto.com/news/20200203/417472.shtml","驰援疫区 众车企合力赶制负压式救护车")</f>
        <v>驰援疫区 众车企合力赶制负压式救护车</v>
      </c>
      <c r="C12975" s="2" t="s">
        <v>13</v>
      </c>
      <c r="D12975" s="2" t="s">
        <v>12</v>
      </c>
      <c r="E12975" s="2" t="s">
        <v>282</v>
      </c>
      <c r="F12975" s="2" t="str">
        <f>HYPERLINK("http://www.12365auto.com/news/20200203/417472.shtml","http://www.12365auto.com/news/20200203/417472.shtml")</f>
        <v>http://www.12365auto.com/news/20200203/417472.shtml</v>
      </c>
      <c r="G12975" s="2"/>
      <c r="H12975" s="2" t="s">
        <v>17300</v>
      </c>
      <c r="I12975" s="2" t="s">
        <v>19</v>
      </c>
      <c r="J12975" s="2" t="s">
        <v>12</v>
      </c>
      <c r="K12975" s="2" t="s">
        <v>17301</v>
      </c>
      <c r="L12975" s="2">
        <f t="shared" si="202"/>
        <v>150</v>
      </c>
    </row>
    <row r="12976" spans="1:12" ht="25" customHeight="1">
      <c r="A12976" s="2" t="s">
        <v>12</v>
      </c>
      <c r="B12976" s="2" t="str">
        <f>HYPERLINK("http://m.12365auto.com/news/20200203/417472.shtml","驰援疫区 众车企合力赶制负压式救护车")</f>
        <v>驰援疫区 众车企合力赶制负压式救护车</v>
      </c>
      <c r="C12976" s="2" t="s">
        <v>13</v>
      </c>
      <c r="D12976" s="2" t="s">
        <v>12</v>
      </c>
      <c r="E12976" s="2"/>
      <c r="F12976" s="2" t="str">
        <f>HYPERLINK("http://m.12365auto.com/news/20200203/417472.shtml","http://m.12365auto.com/news/20200203/417472.shtml")</f>
        <v>http://m.12365auto.com/news/20200203/417472.shtml</v>
      </c>
      <c r="G12976" s="2"/>
      <c r="H12976" s="2" t="s">
        <v>17302</v>
      </c>
      <c r="I12976" s="2" t="s">
        <v>19</v>
      </c>
      <c r="J12976" s="2" t="s">
        <v>7596</v>
      </c>
      <c r="K12976" s="2" t="s">
        <v>17301</v>
      </c>
      <c r="L12976" s="2">
        <f t="shared" si="202"/>
        <v>150</v>
      </c>
    </row>
    <row r="12977" spans="1:12" ht="25" customHeight="1">
      <c r="A12977" s="2" t="s">
        <v>12</v>
      </c>
      <c r="B12977" s="2" t="str">
        <f>HYPERLINK("http://www.12365auto.com/zlts/20200203/446189.shtml","广汽本田飞度车身大面积生锈 冷车启动异响")</f>
        <v>广汽本田飞度车身大面积生锈 冷车启动异响</v>
      </c>
      <c r="C12977" s="2" t="s">
        <v>13</v>
      </c>
      <c r="D12977" s="2" t="s">
        <v>12</v>
      </c>
      <c r="E12977" s="2" t="s">
        <v>17</v>
      </c>
      <c r="F12977" s="2" t="str">
        <f>HYPERLINK("http://www.12365auto.com/zlts/20200203/446189.shtml","http://www.12365auto.com/zlts/20200203/446189.shtml")</f>
        <v>http://www.12365auto.com/zlts/20200203/446189.shtml</v>
      </c>
      <c r="G12977" s="2"/>
      <c r="H12977" s="2" t="s">
        <v>17303</v>
      </c>
      <c r="I12977" s="2" t="s">
        <v>19</v>
      </c>
      <c r="J12977" s="2" t="s">
        <v>12</v>
      </c>
      <c r="K12977" s="2" t="s">
        <v>17304</v>
      </c>
      <c r="L12977" s="2">
        <f t="shared" si="202"/>
        <v>150</v>
      </c>
    </row>
    <row r="12978" spans="1:12" ht="25" customHeight="1">
      <c r="A12978" s="2" t="s">
        <v>12</v>
      </c>
      <c r="B12978" s="2" t="str">
        <f>HYPERLINK("http://www.12365auto.com/news/20200203/417471.shtml","疫情下的刚需出行 私家车该如何防疫？")</f>
        <v>疫情下的刚需出行 私家车该如何防疫？</v>
      </c>
      <c r="C12978" s="2" t="s">
        <v>13</v>
      </c>
      <c r="D12978" s="2" t="s">
        <v>12</v>
      </c>
      <c r="E12978" s="2" t="s">
        <v>276</v>
      </c>
      <c r="F12978" s="2" t="str">
        <f>HYPERLINK("http://www.12365auto.com/news/20200203/417471.shtml","http://www.12365auto.com/news/20200203/417471.shtml")</f>
        <v>http://www.12365auto.com/news/20200203/417471.shtml</v>
      </c>
      <c r="G12978" s="2"/>
      <c r="H12978" s="2" t="s">
        <v>17305</v>
      </c>
      <c r="I12978" s="2" t="s">
        <v>15</v>
      </c>
      <c r="J12978" s="2" t="s">
        <v>12</v>
      </c>
      <c r="K12978" s="2" t="s">
        <v>17304</v>
      </c>
      <c r="L12978" s="2">
        <f t="shared" si="202"/>
        <v>150</v>
      </c>
    </row>
    <row r="12979" spans="1:12" ht="25" customHeight="1">
      <c r="A12979" s="2" t="s">
        <v>12</v>
      </c>
      <c r="B12979" s="2" t="str">
        <f>HYPERLINK("http://m.12365auto.com/news/20200203/417471.shtml","疫情下的刚需出行 私家车该如何防疫？")</f>
        <v>疫情下的刚需出行 私家车该如何防疫？</v>
      </c>
      <c r="C12979" s="2" t="s">
        <v>13</v>
      </c>
      <c r="D12979" s="2" t="s">
        <v>12</v>
      </c>
      <c r="E12979" s="2"/>
      <c r="F12979" s="2" t="str">
        <f>HYPERLINK("http://m.12365auto.com/news/20200203/417471.shtml","http://m.12365auto.com/news/20200203/417471.shtml")</f>
        <v>http://m.12365auto.com/news/20200203/417471.shtml</v>
      </c>
      <c r="G12979" s="2"/>
      <c r="H12979" s="2" t="s">
        <v>17306</v>
      </c>
      <c r="I12979" s="2" t="s">
        <v>19</v>
      </c>
      <c r="J12979" s="2" t="s">
        <v>7596</v>
      </c>
      <c r="K12979" s="2" t="s">
        <v>17304</v>
      </c>
      <c r="L12979" s="2">
        <f t="shared" si="202"/>
        <v>150</v>
      </c>
    </row>
    <row r="12980" spans="1:12" ht="25" customHeight="1">
      <c r="A12980" s="2" t="s">
        <v>12</v>
      </c>
      <c r="B12980" s="2" t="str">
        <f>HYPERLINK("http://www.12365auto.com/news/20200203/417470.shtml","北京交通委：尾号限行措施延迟一周恢复")</f>
        <v>北京交通委：尾号限行措施延迟一周恢复</v>
      </c>
      <c r="C12980" s="2" t="s">
        <v>13</v>
      </c>
      <c r="D12980" s="2" t="s">
        <v>12</v>
      </c>
      <c r="E12980" s="2" t="s">
        <v>276</v>
      </c>
      <c r="F12980" s="2" t="str">
        <f>HYPERLINK("http://www.12365auto.com/news/20200203/417470.shtml","http://www.12365auto.com/news/20200203/417470.shtml")</f>
        <v>http://www.12365auto.com/news/20200203/417470.shtml</v>
      </c>
      <c r="G12980" s="2"/>
      <c r="H12980" s="2" t="s">
        <v>17307</v>
      </c>
      <c r="I12980" s="2" t="s">
        <v>15</v>
      </c>
      <c r="J12980" s="2" t="s">
        <v>12</v>
      </c>
      <c r="K12980" s="2" t="s">
        <v>17308</v>
      </c>
      <c r="L12980" s="2">
        <f t="shared" si="202"/>
        <v>150</v>
      </c>
    </row>
    <row r="12981" spans="1:12" ht="25" customHeight="1">
      <c r="A12981" s="2" t="s">
        <v>12</v>
      </c>
      <c r="B12981" s="2" t="str">
        <f>HYPERLINK("http://m.12365auto.com/news/20200203/417470.shtml","北京交通委：尾号限行措施延迟一周恢复")</f>
        <v>北京交通委：尾号限行措施延迟一周恢复</v>
      </c>
      <c r="C12981" s="2" t="s">
        <v>13</v>
      </c>
      <c r="D12981" s="2" t="s">
        <v>12</v>
      </c>
      <c r="E12981" s="2"/>
      <c r="F12981" s="2" t="str">
        <f>HYPERLINK("http://m.12365auto.com/news/20200203/417470.shtml","http://m.12365auto.com/news/20200203/417470.shtml")</f>
        <v>http://m.12365auto.com/news/20200203/417470.shtml</v>
      </c>
      <c r="G12981" s="2"/>
      <c r="H12981" s="2" t="s">
        <v>17309</v>
      </c>
      <c r="I12981" s="2" t="s">
        <v>19</v>
      </c>
      <c r="J12981" s="2" t="s">
        <v>1222</v>
      </c>
      <c r="K12981" s="2" t="s">
        <v>17308</v>
      </c>
      <c r="L12981" s="2">
        <f t="shared" si="202"/>
        <v>150</v>
      </c>
    </row>
    <row r="12982" spans="1:12" ht="25" customHeight="1">
      <c r="A12982" s="2" t="s">
        <v>12</v>
      </c>
      <c r="B12982" s="2" t="str">
        <f>HYPERLINK("http://www.12365auto.com/news/20200203/417469.shtml","北京市交通委：部分小客车指标期限延长")</f>
        <v>北京市交通委：部分小客车指标期限延长</v>
      </c>
      <c r="C12982" s="2" t="s">
        <v>13</v>
      </c>
      <c r="D12982" s="2" t="s">
        <v>12</v>
      </c>
      <c r="E12982" s="2" t="s">
        <v>276</v>
      </c>
      <c r="F12982" s="2" t="str">
        <f>HYPERLINK("http://www.12365auto.com/news/20200203/417469.shtml","http://www.12365auto.com/news/20200203/417469.shtml")</f>
        <v>http://www.12365auto.com/news/20200203/417469.shtml</v>
      </c>
      <c r="G12982" s="2"/>
      <c r="H12982" s="2" t="s">
        <v>17310</v>
      </c>
      <c r="I12982" s="2" t="s">
        <v>15</v>
      </c>
      <c r="J12982" s="2" t="s">
        <v>12</v>
      </c>
      <c r="K12982" s="2" t="s">
        <v>17311</v>
      </c>
      <c r="L12982" s="2">
        <f t="shared" si="202"/>
        <v>150</v>
      </c>
    </row>
    <row r="12983" spans="1:12" ht="25" customHeight="1">
      <c r="A12983" s="2" t="s">
        <v>12</v>
      </c>
      <c r="B12983" s="2" t="str">
        <f>HYPERLINK("http://m.12365auto.com/news/20200203/417469.shtml","北京市交通委：部分小客车指标期限延长")</f>
        <v>北京市交通委：部分小客车指标期限延长</v>
      </c>
      <c r="C12983" s="2" t="s">
        <v>13</v>
      </c>
      <c r="D12983" s="2" t="s">
        <v>12</v>
      </c>
      <c r="E12983" s="2"/>
      <c r="F12983" s="2" t="str">
        <f>HYPERLINK("http://m.12365auto.com/news/20200203/417469.shtml","http://m.12365auto.com/news/20200203/417469.shtml")</f>
        <v>http://m.12365auto.com/news/20200203/417469.shtml</v>
      </c>
      <c r="G12983" s="2"/>
      <c r="H12983" s="2" t="s">
        <v>17312</v>
      </c>
      <c r="I12983" s="2" t="s">
        <v>19</v>
      </c>
      <c r="J12983" s="2" t="s">
        <v>1218</v>
      </c>
      <c r="K12983" s="2" t="s">
        <v>17311</v>
      </c>
      <c r="L12983" s="2">
        <f t="shared" si="202"/>
        <v>150</v>
      </c>
    </row>
    <row r="12984" spans="1:12" ht="25" customHeight="1">
      <c r="A12984" s="2" t="s">
        <v>12</v>
      </c>
      <c r="B12984" s="2" t="str">
        <f>HYPERLINK("http://www.12365auto.com/news/20200203/417468.shtml","减少损失 车企/供应商将获不可抗力证明")</f>
        <v>减少损失 车企/供应商将获不可抗力证明</v>
      </c>
      <c r="C12984" s="2" t="s">
        <v>13</v>
      </c>
      <c r="D12984" s="2" t="s">
        <v>12</v>
      </c>
      <c r="E12984" s="2" t="s">
        <v>276</v>
      </c>
      <c r="F12984" s="2" t="str">
        <f>HYPERLINK("http://www.12365auto.com/news/20200203/417468.shtml","http://www.12365auto.com/news/20200203/417468.shtml")</f>
        <v>http://www.12365auto.com/news/20200203/417468.shtml</v>
      </c>
      <c r="G12984" s="2"/>
      <c r="H12984" s="2" t="s">
        <v>17313</v>
      </c>
      <c r="I12984" s="2" t="s">
        <v>15</v>
      </c>
      <c r="J12984" s="2" t="s">
        <v>12</v>
      </c>
      <c r="K12984" s="2" t="s">
        <v>17314</v>
      </c>
      <c r="L12984" s="2">
        <f t="shared" si="202"/>
        <v>150</v>
      </c>
    </row>
    <row r="12985" spans="1:12" ht="25" customHeight="1">
      <c r="A12985" s="2" t="s">
        <v>12</v>
      </c>
      <c r="B12985" s="2" t="str">
        <f>HYPERLINK("http://m.12365auto.com/news/20200203/417468.shtml","减少损失 车企/供应商将获不可抗力证明")</f>
        <v>减少损失 车企/供应商将获不可抗力证明</v>
      </c>
      <c r="C12985" s="2" t="s">
        <v>13</v>
      </c>
      <c r="D12985" s="2" t="s">
        <v>12</v>
      </c>
      <c r="E12985" s="2"/>
      <c r="F12985" s="2" t="str">
        <f>HYPERLINK("http://m.12365auto.com/news/20200203/417468.shtml","http://m.12365auto.com/news/20200203/417468.shtml")</f>
        <v>http://m.12365auto.com/news/20200203/417468.shtml</v>
      </c>
      <c r="G12985" s="2"/>
      <c r="H12985" s="2" t="s">
        <v>17315</v>
      </c>
      <c r="I12985" s="2" t="s">
        <v>19</v>
      </c>
      <c r="J12985" s="2" t="s">
        <v>1218</v>
      </c>
      <c r="K12985" s="2" t="s">
        <v>17314</v>
      </c>
      <c r="L12985" s="2">
        <f t="shared" si="202"/>
        <v>150</v>
      </c>
    </row>
    <row r="12986" spans="1:12" ht="25" customHeight="1">
      <c r="A12986" s="2" t="s">
        <v>12</v>
      </c>
      <c r="B12986" s="2" t="str">
        <f>HYPERLINK("http://bbs.12365auto.com/postcontent.aspx?tId=193178","这三款车型高颜值非常适合年轻人")</f>
        <v>这三款车型高颜值非常适合年轻人</v>
      </c>
      <c r="C12986" s="2" t="s">
        <v>13</v>
      </c>
      <c r="D12986" s="2" t="s">
        <v>12</v>
      </c>
      <c r="E12986" s="2" t="s">
        <v>27</v>
      </c>
      <c r="F12986" s="2" t="str">
        <f>HYPERLINK("http://bbs.12365auto.com/postcontent.aspx?tId=193178","http://bbs.12365auto.com/postcontent.aspx?tId=193178")</f>
        <v>http://bbs.12365auto.com/postcontent.aspx?tId=193178</v>
      </c>
      <c r="G12986" s="2"/>
      <c r="H12986" s="2" t="s">
        <v>17316</v>
      </c>
      <c r="I12986" s="2" t="s">
        <v>15</v>
      </c>
      <c r="J12986" s="2" t="s">
        <v>3089</v>
      </c>
      <c r="K12986" s="2" t="s">
        <v>17317</v>
      </c>
      <c r="L12986" s="2">
        <f t="shared" si="202"/>
        <v>150</v>
      </c>
    </row>
    <row r="12987" spans="1:12" ht="25" customHeight="1">
      <c r="A12987" s="2" t="s">
        <v>12</v>
      </c>
      <c r="B12987" s="2" t="str">
        <f>HYPERLINK("http://bbs.12365auto.com/postcontent.aspx?tID=193178","这三款车型高颜值非常适合年轻人")</f>
        <v>这三款车型高颜值非常适合年轻人</v>
      </c>
      <c r="C12987" s="2" t="s">
        <v>13</v>
      </c>
      <c r="D12987" s="2" t="s">
        <v>12</v>
      </c>
      <c r="E12987" s="2" t="s">
        <v>28</v>
      </c>
      <c r="F12987" s="2" t="str">
        <f>HYPERLINK("http://bbs.12365auto.com/postcontent.aspx?tID=193178","http://bbs.12365auto.com/postcontent.aspx?tID=193178")</f>
        <v>http://bbs.12365auto.com/postcontent.aspx?tID=193178</v>
      </c>
      <c r="G12987" s="2"/>
      <c r="H12987" s="2" t="s">
        <v>17318</v>
      </c>
      <c r="I12987" s="2" t="s">
        <v>15</v>
      </c>
      <c r="J12987" s="2" t="s">
        <v>3089</v>
      </c>
      <c r="K12987" s="2" t="s">
        <v>17317</v>
      </c>
      <c r="L12987" s="2">
        <f t="shared" si="202"/>
        <v>150</v>
      </c>
    </row>
    <row r="12988" spans="1:12" ht="25" customHeight="1">
      <c r="A12988" s="2" t="s">
        <v>12</v>
      </c>
      <c r="B12988" s="2" t="str">
        <f>HYPERLINK("http://m.12365auto.com/bbs/postcontent.aspx?tID=193178","这三款车型高颜值非常适合年轻人")</f>
        <v>这三款车型高颜值非常适合年轻人</v>
      </c>
      <c r="C12988" s="2" t="s">
        <v>13</v>
      </c>
      <c r="D12988" s="2" t="s">
        <v>23</v>
      </c>
      <c r="E12988" s="2"/>
      <c r="F12988" s="2" t="str">
        <f>HYPERLINK("http://m.12365auto.com/bbs/postcontent.aspx?tID=193178","http://m.12365auto.com/bbs/postcontent.aspx?tID=193178")</f>
        <v>http://m.12365auto.com/bbs/postcontent.aspx?tID=193178</v>
      </c>
      <c r="G12988" s="2"/>
      <c r="H12988" s="2" t="s">
        <v>17316</v>
      </c>
      <c r="I12988" s="2" t="s">
        <v>15</v>
      </c>
      <c r="J12988" s="2" t="s">
        <v>3089</v>
      </c>
      <c r="K12988" s="2" t="s">
        <v>17317</v>
      </c>
      <c r="L12988" s="2">
        <f t="shared" si="202"/>
        <v>150</v>
      </c>
    </row>
    <row r="12989" spans="1:12" ht="25" customHeight="1">
      <c r="A12989" s="2" t="s">
        <v>12</v>
      </c>
      <c r="B12989" s="2" t="str">
        <f>HYPERLINK("http://bbs.12365auto.com/postcontent.aspx?tId=193177","跑高速贼舒服 家庭自驾游必选车型")</f>
        <v>跑高速贼舒服 家庭自驾游必选车型</v>
      </c>
      <c r="C12989" s="2" t="s">
        <v>13</v>
      </c>
      <c r="D12989" s="2" t="s">
        <v>12</v>
      </c>
      <c r="E12989" s="2" t="s">
        <v>27</v>
      </c>
      <c r="F12989" s="2" t="str">
        <f>HYPERLINK("http://bbs.12365auto.com/postcontent.aspx?tId=193177","http://bbs.12365auto.com/postcontent.aspx?tId=193177")</f>
        <v>http://bbs.12365auto.com/postcontent.aspx?tId=193177</v>
      </c>
      <c r="G12989" s="2"/>
      <c r="H12989" s="2" t="s">
        <v>17319</v>
      </c>
      <c r="I12989" s="2" t="s">
        <v>15</v>
      </c>
      <c r="J12989" s="2" t="s">
        <v>3089</v>
      </c>
      <c r="K12989" s="2" t="s">
        <v>17320</v>
      </c>
      <c r="L12989" s="2">
        <f t="shared" si="202"/>
        <v>150</v>
      </c>
    </row>
    <row r="12990" spans="1:12" ht="25" customHeight="1">
      <c r="A12990" s="2" t="s">
        <v>12</v>
      </c>
      <c r="B12990" s="2" t="str">
        <f>HYPERLINK("http://bbs.12365auto.com/postcontent.aspx?tID=193177","跑高速贼舒服 家庭自驾游必选车型")</f>
        <v>跑高速贼舒服 家庭自驾游必选车型</v>
      </c>
      <c r="C12990" s="2" t="s">
        <v>13</v>
      </c>
      <c r="D12990" s="2" t="s">
        <v>12</v>
      </c>
      <c r="E12990" s="2" t="s">
        <v>28</v>
      </c>
      <c r="F12990" s="2" t="str">
        <f>HYPERLINK("http://bbs.12365auto.com/postcontent.aspx?tID=193177","http://bbs.12365auto.com/postcontent.aspx?tID=193177")</f>
        <v>http://bbs.12365auto.com/postcontent.aspx?tID=193177</v>
      </c>
      <c r="G12990" s="2"/>
      <c r="H12990" s="2" t="s">
        <v>17321</v>
      </c>
      <c r="I12990" s="2" t="s">
        <v>15</v>
      </c>
      <c r="J12990" s="2" t="s">
        <v>3089</v>
      </c>
      <c r="K12990" s="2" t="s">
        <v>17320</v>
      </c>
      <c r="L12990" s="2">
        <f t="shared" si="202"/>
        <v>150</v>
      </c>
    </row>
    <row r="12991" spans="1:12" ht="25" customHeight="1">
      <c r="A12991" s="2" t="s">
        <v>12</v>
      </c>
      <c r="B12991" s="2" t="str">
        <f>HYPERLINK("http://m.12365auto.com/bbs/postcontent.aspx?tID=193177","跑高速贼舒服 家庭自驾游必选车型")</f>
        <v>跑高速贼舒服 家庭自驾游必选车型</v>
      </c>
      <c r="C12991" s="2" t="s">
        <v>13</v>
      </c>
      <c r="D12991" s="2" t="s">
        <v>23</v>
      </c>
      <c r="E12991" s="2"/>
      <c r="F12991" s="2" t="str">
        <f>HYPERLINK("http://m.12365auto.com/bbs/postcontent.aspx?tID=193177","http://m.12365auto.com/bbs/postcontent.aspx?tID=193177")</f>
        <v>http://m.12365auto.com/bbs/postcontent.aspx?tID=193177</v>
      </c>
      <c r="G12991" s="2"/>
      <c r="H12991" s="2" t="s">
        <v>17319</v>
      </c>
      <c r="I12991" s="2" t="s">
        <v>15</v>
      </c>
      <c r="J12991" s="2" t="s">
        <v>3089</v>
      </c>
      <c r="K12991" s="2" t="s">
        <v>17320</v>
      </c>
      <c r="L12991" s="2">
        <f t="shared" si="202"/>
        <v>150</v>
      </c>
    </row>
    <row r="12992" spans="1:12" ht="25" customHeight="1">
      <c r="A12992" s="2" t="s">
        <v>12</v>
      </c>
      <c r="B12992" s="2" t="str">
        <f>HYPERLINK("http://bbs.12365auto.com/postcontent.aspx?tId=193176","买什么车安全？这三台车就不错")</f>
        <v>买什么车安全？这三台车就不错</v>
      </c>
      <c r="C12992" s="2" t="s">
        <v>13</v>
      </c>
      <c r="D12992" s="2" t="s">
        <v>12</v>
      </c>
      <c r="E12992" s="2" t="s">
        <v>27</v>
      </c>
      <c r="F12992" s="2" t="str">
        <f>HYPERLINK("http://bbs.12365auto.com/postcontent.aspx?tId=193176","http://bbs.12365auto.com/postcontent.aspx?tId=193176")</f>
        <v>http://bbs.12365auto.com/postcontent.aspx?tId=193176</v>
      </c>
      <c r="G12992" s="2"/>
      <c r="H12992" s="2" t="s">
        <v>13700</v>
      </c>
      <c r="I12992" s="2" t="s">
        <v>15</v>
      </c>
      <c r="J12992" s="2" t="s">
        <v>3089</v>
      </c>
      <c r="K12992" s="2" t="s">
        <v>17322</v>
      </c>
      <c r="L12992" s="2">
        <f t="shared" si="202"/>
        <v>150</v>
      </c>
    </row>
    <row r="12993" spans="1:12" ht="25" customHeight="1">
      <c r="A12993" s="2" t="s">
        <v>12</v>
      </c>
      <c r="B12993" s="2" t="str">
        <f>HYPERLINK("http://bbs.12365auto.com/postcontent.aspx?tID=193176","买什么车安全？这三台车就不错")</f>
        <v>买什么车安全？这三台车就不错</v>
      </c>
      <c r="C12993" s="2" t="s">
        <v>13</v>
      </c>
      <c r="D12993" s="2" t="s">
        <v>12</v>
      </c>
      <c r="E12993" s="2" t="s">
        <v>28</v>
      </c>
      <c r="F12993" s="2" t="str">
        <f>HYPERLINK("http://bbs.12365auto.com/postcontent.aspx?tID=193176","http://bbs.12365auto.com/postcontent.aspx?tID=193176")</f>
        <v>http://bbs.12365auto.com/postcontent.aspx?tID=193176</v>
      </c>
      <c r="G12993" s="2"/>
      <c r="H12993" s="2" t="s">
        <v>13693</v>
      </c>
      <c r="I12993" s="2" t="s">
        <v>15</v>
      </c>
      <c r="J12993" s="2" t="s">
        <v>3089</v>
      </c>
      <c r="K12993" s="2" t="s">
        <v>17322</v>
      </c>
      <c r="L12993" s="2">
        <f t="shared" si="202"/>
        <v>150</v>
      </c>
    </row>
    <row r="12994" spans="1:12" ht="25" customHeight="1">
      <c r="A12994" s="2" t="s">
        <v>12</v>
      </c>
      <c r="B12994" s="2" t="str">
        <f>HYPERLINK("http://m.12365auto.com/bbs/postcontent.aspx?tID=193176","买什么车安全？这三台车就不错")</f>
        <v>买什么车安全？这三台车就不错</v>
      </c>
      <c r="C12994" s="2" t="s">
        <v>13</v>
      </c>
      <c r="D12994" s="2" t="s">
        <v>23</v>
      </c>
      <c r="E12994" s="2"/>
      <c r="F12994" s="2" t="str">
        <f>HYPERLINK("http://m.12365auto.com/bbs/postcontent.aspx?tID=193176","http://m.12365auto.com/bbs/postcontent.aspx?tID=193176")</f>
        <v>http://m.12365auto.com/bbs/postcontent.aspx?tID=193176</v>
      </c>
      <c r="G12994" s="2"/>
      <c r="H12994" s="2" t="s">
        <v>13700</v>
      </c>
      <c r="I12994" s="2" t="s">
        <v>15</v>
      </c>
      <c r="J12994" s="2" t="s">
        <v>3089</v>
      </c>
      <c r="K12994" s="2" t="s">
        <v>17322</v>
      </c>
      <c r="L12994" s="2">
        <f t="shared" si="202"/>
        <v>150</v>
      </c>
    </row>
    <row r="12995" spans="1:12" ht="25" customHeight="1">
      <c r="A12995" s="2" t="s">
        <v>12</v>
      </c>
      <c r="B12995" s="2" t="str">
        <f>HYPERLINK("http://bbs.12365auto.com/postcontent.aspx?tId=193175","小排量也有大能量 这三款SUV值得拥有")</f>
        <v>小排量也有大能量 这三款SUV值得拥有</v>
      </c>
      <c r="C12995" s="2" t="s">
        <v>13</v>
      </c>
      <c r="D12995" s="2" t="s">
        <v>12</v>
      </c>
      <c r="E12995" s="2" t="s">
        <v>27</v>
      </c>
      <c r="F12995" s="2" t="str">
        <f>HYPERLINK("http://bbs.12365auto.com/postcontent.aspx?tId=193175","http://bbs.12365auto.com/postcontent.aspx?tId=193175")</f>
        <v>http://bbs.12365auto.com/postcontent.aspx?tId=193175</v>
      </c>
      <c r="G12995" s="2"/>
      <c r="H12995" s="2" t="s">
        <v>17323</v>
      </c>
      <c r="I12995" s="2" t="s">
        <v>15</v>
      </c>
      <c r="J12995" s="2" t="s">
        <v>3089</v>
      </c>
      <c r="K12995" s="2" t="s">
        <v>17324</v>
      </c>
      <c r="L12995" s="2">
        <f t="shared" ref="L12995:L13058" si="203">LEN(H12995)</f>
        <v>150</v>
      </c>
    </row>
    <row r="12996" spans="1:12" ht="25" customHeight="1">
      <c r="A12996" s="2" t="s">
        <v>12</v>
      </c>
      <c r="B12996" s="2" t="str">
        <f>HYPERLINK("http://bbs.12365auto.com/postcontent.aspx?tID=193175","小排量也有大能量 这三款SUV值得拥有")</f>
        <v>小排量也有大能量 这三款SUV值得拥有</v>
      </c>
      <c r="C12996" s="2" t="s">
        <v>13</v>
      </c>
      <c r="D12996" s="2" t="s">
        <v>12</v>
      </c>
      <c r="E12996" s="2" t="s">
        <v>28</v>
      </c>
      <c r="F12996" s="2" t="str">
        <f>HYPERLINK("http://bbs.12365auto.com/postcontent.aspx?tID=193175","http://bbs.12365auto.com/postcontent.aspx?tID=193175")</f>
        <v>http://bbs.12365auto.com/postcontent.aspx?tID=193175</v>
      </c>
      <c r="G12996" s="2"/>
      <c r="H12996" s="2" t="s">
        <v>17325</v>
      </c>
      <c r="I12996" s="2" t="s">
        <v>15</v>
      </c>
      <c r="J12996" s="2" t="s">
        <v>3089</v>
      </c>
      <c r="K12996" s="2" t="s">
        <v>17324</v>
      </c>
      <c r="L12996" s="2">
        <f t="shared" si="203"/>
        <v>150</v>
      </c>
    </row>
    <row r="12997" spans="1:12" ht="25" customHeight="1">
      <c r="A12997" s="2" t="s">
        <v>12</v>
      </c>
      <c r="B12997" s="2" t="str">
        <f>HYPERLINK("http://m.12365auto.com/bbs/postcontent.aspx?tID=193175","小排量也有大能量 这三款SUV值得拥有")</f>
        <v>小排量也有大能量 这三款SUV值得拥有</v>
      </c>
      <c r="C12997" s="2" t="s">
        <v>13</v>
      </c>
      <c r="D12997" s="2" t="s">
        <v>23</v>
      </c>
      <c r="E12997" s="2"/>
      <c r="F12997" s="2" t="str">
        <f>HYPERLINK("http://m.12365auto.com/bbs/postcontent.aspx?tID=193175","http://m.12365auto.com/bbs/postcontent.aspx?tID=193175")</f>
        <v>http://m.12365auto.com/bbs/postcontent.aspx?tID=193175</v>
      </c>
      <c r="G12997" s="2"/>
      <c r="H12997" s="2" t="s">
        <v>17323</v>
      </c>
      <c r="I12997" s="2" t="s">
        <v>15</v>
      </c>
      <c r="J12997" s="2" t="s">
        <v>3089</v>
      </c>
      <c r="K12997" s="2" t="s">
        <v>17324</v>
      </c>
      <c r="L12997" s="2">
        <f t="shared" si="203"/>
        <v>150</v>
      </c>
    </row>
    <row r="12998" spans="1:12" ht="25" customHeight="1">
      <c r="A12998" s="2" t="s">
        <v>12</v>
      </c>
      <c r="B12998" s="2" t="str">
        <f>HYPERLINK("http://www.12365auto.com/zlts/20200203/446184.shtml","挂倒车档异响有打齿轮的声音")</f>
        <v>挂倒车档异响有打齿轮的声音</v>
      </c>
      <c r="C12998" s="2" t="s">
        <v>13</v>
      </c>
      <c r="D12998" s="2" t="s">
        <v>12</v>
      </c>
      <c r="E12998" s="2"/>
      <c r="F12998" s="2" t="str">
        <f>HYPERLINK("http://www.12365auto.com/zlts/20200203/446184.shtml","http://www.12365auto.com/zlts/20200203/446184.shtml")</f>
        <v>http://www.12365auto.com/zlts/20200203/446184.shtml</v>
      </c>
      <c r="G12998" s="2"/>
      <c r="H12998" s="2" t="s">
        <v>17327</v>
      </c>
      <c r="I12998" s="2" t="s">
        <v>15</v>
      </c>
      <c r="J12998" s="2" t="s">
        <v>12</v>
      </c>
      <c r="K12998" s="2" t="s">
        <v>17326</v>
      </c>
      <c r="L12998" s="2">
        <f t="shared" si="203"/>
        <v>87</v>
      </c>
    </row>
    <row r="12999" spans="1:12" ht="25" customHeight="1">
      <c r="A12999" s="2" t="s">
        <v>12</v>
      </c>
      <c r="B12999" s="2" t="str">
        <f>HYPERLINK("http://www.12365auto.com/zlts/20200203/446183.shtml","换挡不积极，顿挫感强，换挡时有冬的一声。")</f>
        <v>换挡不积极，顿挫感强，换挡时有冬的一声。</v>
      </c>
      <c r="C12999" s="2" t="s">
        <v>13</v>
      </c>
      <c r="D12999" s="2" t="s">
        <v>12</v>
      </c>
      <c r="E12999" s="2"/>
      <c r="F12999" s="2" t="str">
        <f>HYPERLINK("http://www.12365auto.com/zlts/20200203/446183.shtml","http://www.12365auto.com/zlts/20200203/446183.shtml")</f>
        <v>http://www.12365auto.com/zlts/20200203/446183.shtml</v>
      </c>
      <c r="G12999" s="2"/>
      <c r="H12999" s="2" t="s">
        <v>17329</v>
      </c>
      <c r="I12999" s="2" t="s">
        <v>15</v>
      </c>
      <c r="J12999" s="2" t="s">
        <v>12</v>
      </c>
      <c r="K12999" s="2" t="s">
        <v>17328</v>
      </c>
      <c r="L12999" s="2">
        <f t="shared" si="203"/>
        <v>82</v>
      </c>
    </row>
    <row r="13000" spans="1:12" ht="25" customHeight="1">
      <c r="A13000" s="2" t="s">
        <v>12</v>
      </c>
      <c r="B13000" s="2" t="str">
        <f>HYPERLINK("http://m.12365auto.com/xcdg/20200203/417467.shtml","质感进一步提升 吉利远景新老款车型对比")</f>
        <v>质感进一步提升 吉利远景新老款车型对比</v>
      </c>
      <c r="C13000" s="2" t="s">
        <v>13</v>
      </c>
      <c r="D13000" s="2" t="s">
        <v>12</v>
      </c>
      <c r="E13000" s="2"/>
      <c r="F13000" s="2" t="str">
        <f>HYPERLINK("http://m.12365auto.com/xcdg/20200203/417467.shtml","http://m.12365auto.com/xcdg/20200203/417467.shtml")</f>
        <v>http://m.12365auto.com/xcdg/20200203/417467.shtml</v>
      </c>
      <c r="G13000" s="2"/>
      <c r="H13000" s="2" t="s">
        <v>17330</v>
      </c>
      <c r="I13000" s="2" t="s">
        <v>19</v>
      </c>
      <c r="J13000" s="2" t="s">
        <v>1241</v>
      </c>
      <c r="K13000" s="2" t="s">
        <v>17331</v>
      </c>
      <c r="L13000" s="2">
        <f t="shared" si="203"/>
        <v>150</v>
      </c>
    </row>
    <row r="13001" spans="1:12" ht="25" customHeight="1">
      <c r="A13001" s="2" t="s">
        <v>12</v>
      </c>
      <c r="B13001" s="2" t="str">
        <f>HYPERLINK("http://m.12365auto.com/xcdg/20200203/417466.shtml","纵马御风而行 法拉利Roma新车图解")</f>
        <v>纵马御风而行 法拉利Roma新车图解</v>
      </c>
      <c r="C13001" s="2" t="s">
        <v>13</v>
      </c>
      <c r="D13001" s="2" t="s">
        <v>12</v>
      </c>
      <c r="E13001" s="2"/>
      <c r="F13001" s="2" t="str">
        <f>HYPERLINK("http://m.12365auto.com/xcdg/20200203/417466.shtml","http://m.12365auto.com/xcdg/20200203/417466.shtml")</f>
        <v>http://m.12365auto.com/xcdg/20200203/417466.shtml</v>
      </c>
      <c r="G13001" s="2"/>
      <c r="H13001" s="2" t="s">
        <v>17332</v>
      </c>
      <c r="I13001" s="2" t="s">
        <v>19</v>
      </c>
      <c r="J13001" s="2" t="s">
        <v>1305</v>
      </c>
      <c r="K13001" s="2" t="s">
        <v>17331</v>
      </c>
      <c r="L13001" s="2">
        <f t="shared" si="203"/>
        <v>150</v>
      </c>
    </row>
    <row r="13002" spans="1:12" ht="25" customHeight="1">
      <c r="A13002" s="2" t="s">
        <v>12</v>
      </c>
      <c r="B13002" s="2" t="str">
        <f>HYPERLINK("http://www.12365auto.com/xcdg/20200203/417466.shtml","纵马御风而行 法拉利Roma新车图解")</f>
        <v>纵马御风而行 法拉利Roma新车图解</v>
      </c>
      <c r="C13002" s="2" t="s">
        <v>13</v>
      </c>
      <c r="D13002" s="2" t="s">
        <v>12</v>
      </c>
      <c r="E13002" s="2" t="s">
        <v>216</v>
      </c>
      <c r="F13002" s="2" t="str">
        <f>HYPERLINK("http://www.12365auto.com/xcdg/20200203/417466.shtml","http://www.12365auto.com/xcdg/20200203/417466.shtml")</f>
        <v>http://www.12365auto.com/xcdg/20200203/417466.shtml</v>
      </c>
      <c r="G13002" s="2"/>
      <c r="H13002" s="2" t="s">
        <v>17333</v>
      </c>
      <c r="I13002" s="2" t="s">
        <v>15</v>
      </c>
      <c r="J13002" s="2" t="s">
        <v>12</v>
      </c>
      <c r="K13002" s="2" t="s">
        <v>17331</v>
      </c>
      <c r="L13002" s="2">
        <f t="shared" si="203"/>
        <v>150</v>
      </c>
    </row>
    <row r="13003" spans="1:12" ht="25" customHeight="1">
      <c r="A13003" s="2" t="s">
        <v>12</v>
      </c>
      <c r="B13003" s="2" t="str">
        <f>HYPERLINK("http://www.12365auto.com/zlts/20200203/446181.shtml","转向柱咯噔咯噔的响")</f>
        <v>转向柱咯噔咯噔的响</v>
      </c>
      <c r="C13003" s="2" t="s">
        <v>13</v>
      </c>
      <c r="D13003" s="2" t="s">
        <v>12</v>
      </c>
      <c r="E13003" s="2"/>
      <c r="F13003" s="2" t="str">
        <f>HYPERLINK("http://www.12365auto.com/zlts/20200203/446181.shtml","http://www.12365auto.com/zlts/20200203/446181.shtml")</f>
        <v>http://www.12365auto.com/zlts/20200203/446181.shtml</v>
      </c>
      <c r="G13003" s="2"/>
      <c r="H13003" s="2" t="s">
        <v>17335</v>
      </c>
      <c r="I13003" s="2" t="s">
        <v>15</v>
      </c>
      <c r="J13003" s="2" t="s">
        <v>12</v>
      </c>
      <c r="K13003" s="2" t="s">
        <v>17334</v>
      </c>
      <c r="L13003" s="2">
        <f t="shared" si="203"/>
        <v>86</v>
      </c>
    </row>
    <row r="13004" spans="1:12" ht="25" customHeight="1">
      <c r="A13004" s="2" t="s">
        <v>12</v>
      </c>
      <c r="B13004" s="2" t="str">
        <f>HYPERLINK("http://www.12365auto.com/zlts/20200203/446179.shtml","19款君越28T豪华内饰异味大，新车空调臭味严重")</f>
        <v>19款君越28T豪华内饰异味大，新车空调臭味严重</v>
      </c>
      <c r="C13004" s="2" t="s">
        <v>13</v>
      </c>
      <c r="D13004" s="2" t="s">
        <v>12</v>
      </c>
      <c r="E13004" s="2"/>
      <c r="F13004" s="2" t="str">
        <f>HYPERLINK("http://www.12365auto.com/zlts/20200203/446179.shtml","http://www.12365auto.com/zlts/20200203/446179.shtml")</f>
        <v>http://www.12365auto.com/zlts/20200203/446179.shtml</v>
      </c>
      <c r="G13004" s="2"/>
      <c r="H13004" s="2" t="s">
        <v>17337</v>
      </c>
      <c r="I13004" s="2" t="s">
        <v>15</v>
      </c>
      <c r="J13004" s="2" t="s">
        <v>12</v>
      </c>
      <c r="K13004" s="2" t="s">
        <v>17336</v>
      </c>
      <c r="L13004" s="2">
        <f t="shared" si="203"/>
        <v>78</v>
      </c>
    </row>
    <row r="13005" spans="1:12" ht="25" customHeight="1">
      <c r="A13005" s="2" t="s">
        <v>12</v>
      </c>
      <c r="B13005" s="2" t="str">
        <f>HYPERLINK("http://www.12365auto.com/zlts/20200203/446180.shtml","喷水电机漏水，导致bcm模块烧毁")</f>
        <v>喷水电机漏水，导致bcm模块烧毁</v>
      </c>
      <c r="C13005" s="2" t="s">
        <v>13</v>
      </c>
      <c r="D13005" s="2" t="s">
        <v>12</v>
      </c>
      <c r="E13005" s="2"/>
      <c r="F13005" s="2" t="str">
        <f>HYPERLINK("http://www.12365auto.com/zlts/20200203/446180.shtml","http://www.12365auto.com/zlts/20200203/446180.shtml")</f>
        <v>http://www.12365auto.com/zlts/20200203/446180.shtml</v>
      </c>
      <c r="G13005" s="2"/>
      <c r="H13005" s="2" t="s">
        <v>17339</v>
      </c>
      <c r="I13005" s="2" t="s">
        <v>15</v>
      </c>
      <c r="J13005" s="2" t="s">
        <v>12</v>
      </c>
      <c r="K13005" s="2" t="s">
        <v>17338</v>
      </c>
      <c r="L13005" s="2">
        <f t="shared" si="203"/>
        <v>83</v>
      </c>
    </row>
    <row r="13006" spans="1:12" ht="25" customHeight="1">
      <c r="A13006" s="2" t="s">
        <v>12</v>
      </c>
      <c r="B13006" s="2" t="str">
        <f>HYPERLINK("http://www.12365auto.com/zlts/20200203/446178.shtml","东南DX3因有异响、方向不回正更换4次方向机柱")</f>
        <v>东南DX3因有异响、方向不回正更换4次方向机柱</v>
      </c>
      <c r="C13006" s="2" t="s">
        <v>13</v>
      </c>
      <c r="D13006" s="2" t="s">
        <v>12</v>
      </c>
      <c r="E13006" s="2"/>
      <c r="F13006" s="2" t="str">
        <f>HYPERLINK("http://www.12365auto.com/zlts/20200203/446178.shtml","http://www.12365auto.com/zlts/20200203/446178.shtml")</f>
        <v>http://www.12365auto.com/zlts/20200203/446178.shtml</v>
      </c>
      <c r="G13006" s="2"/>
      <c r="H13006" s="2" t="s">
        <v>17341</v>
      </c>
      <c r="I13006" s="2" t="s">
        <v>15</v>
      </c>
      <c r="J13006" s="2" t="s">
        <v>12</v>
      </c>
      <c r="K13006" s="2" t="s">
        <v>17340</v>
      </c>
      <c r="L13006" s="2">
        <f t="shared" si="203"/>
        <v>83</v>
      </c>
    </row>
    <row r="13007" spans="1:12" ht="25" customHeight="1">
      <c r="A13007" s="2" t="s">
        <v>12</v>
      </c>
      <c r="B13007" s="2" t="str">
        <f>HYPERLINK("http://www.12365auto.com/zlts/20200203/446176.shtml","北京奔驰C级进排气凸轮轴调节器损坏")</f>
        <v>北京奔驰C级进排气凸轮轴调节器损坏</v>
      </c>
      <c r="C13007" s="2" t="s">
        <v>13</v>
      </c>
      <c r="D13007" s="2" t="s">
        <v>12</v>
      </c>
      <c r="E13007" s="2"/>
      <c r="F13007" s="2" t="str">
        <f>HYPERLINK("http://www.12365auto.com/zlts/20200203/446176.shtml","http://www.12365auto.com/zlts/20200203/446176.shtml")</f>
        <v>http://www.12365auto.com/zlts/20200203/446176.shtml</v>
      </c>
      <c r="G13007" s="2"/>
      <c r="H13007" s="2" t="s">
        <v>17343</v>
      </c>
      <c r="I13007" s="2" t="s">
        <v>15</v>
      </c>
      <c r="J13007" s="2" t="s">
        <v>12</v>
      </c>
      <c r="K13007" s="2" t="s">
        <v>17342</v>
      </c>
      <c r="L13007" s="2">
        <f t="shared" si="203"/>
        <v>92</v>
      </c>
    </row>
    <row r="13008" spans="1:12" ht="25" customHeight="1">
      <c r="A13008" s="2" t="s">
        <v>12</v>
      </c>
      <c r="B13008" s="2" t="str">
        <f>HYPERLINK("http://www.12365auto.com/zlts/20200203/446177.shtml","吉利博越发动机漏防冻液 机油消耗大")</f>
        <v>吉利博越发动机漏防冻液 机油消耗大</v>
      </c>
      <c r="C13008" s="2" t="s">
        <v>13</v>
      </c>
      <c r="D13008" s="2" t="s">
        <v>12</v>
      </c>
      <c r="E13008" s="2" t="s">
        <v>17</v>
      </c>
      <c r="F13008" s="2" t="str">
        <f>HYPERLINK("http://www.12365auto.com/zlts/20200203/446177.shtml","http://www.12365auto.com/zlts/20200203/446177.shtml")</f>
        <v>http://www.12365auto.com/zlts/20200203/446177.shtml</v>
      </c>
      <c r="G13008" s="2"/>
      <c r="H13008" s="2" t="s">
        <v>17344</v>
      </c>
      <c r="I13008" s="2" t="s">
        <v>19</v>
      </c>
      <c r="J13008" s="2" t="s">
        <v>12</v>
      </c>
      <c r="K13008" s="2" t="s">
        <v>17345</v>
      </c>
      <c r="L13008" s="2">
        <f t="shared" si="203"/>
        <v>150</v>
      </c>
    </row>
    <row r="13009" spans="1:12" ht="25" customHeight="1">
      <c r="A13009" s="2" t="s">
        <v>12</v>
      </c>
      <c r="B13009" s="2" t="str">
        <f>HYPERLINK("http://www.12365auto.com/zlts/20200202/446174.shtml","19款欧蓝德2.0国六发动机抖动噪音大顿挫提速无力")</f>
        <v>19款欧蓝德2.0国六发动机抖动噪音大顿挫提速无力</v>
      </c>
      <c r="C13009" s="2" t="s">
        <v>13</v>
      </c>
      <c r="D13009" s="2" t="s">
        <v>12</v>
      </c>
      <c r="E13009" s="2"/>
      <c r="F13009" s="2" t="str">
        <f>HYPERLINK("http://www.12365auto.com/zlts/20200202/446174.shtml","http://www.12365auto.com/zlts/20200202/446174.shtml")</f>
        <v>http://www.12365auto.com/zlts/20200202/446174.shtml</v>
      </c>
      <c r="G13009" s="2"/>
      <c r="H13009" s="2" t="s">
        <v>17347</v>
      </c>
      <c r="I13009" s="2" t="s">
        <v>15</v>
      </c>
      <c r="J13009" s="2" t="s">
        <v>12</v>
      </c>
      <c r="K13009" s="2" t="s">
        <v>17346</v>
      </c>
      <c r="L13009" s="2">
        <f t="shared" si="203"/>
        <v>88</v>
      </c>
    </row>
    <row r="13010" spans="1:12" ht="25" customHeight="1">
      <c r="A13010" s="2" t="s">
        <v>12</v>
      </c>
      <c r="B13010" s="2" t="str">
        <f>HYPERLINK("http://www.12365auto.com/zlts/20200202/446169.shtml","变速箱异响严重，方向盘1200转震动")</f>
        <v>变速箱异响严重，方向盘1200转震动</v>
      </c>
      <c r="C13010" s="2" t="s">
        <v>13</v>
      </c>
      <c r="D13010" s="2" t="s">
        <v>12</v>
      </c>
      <c r="E13010" s="2"/>
      <c r="F13010" s="2" t="str">
        <f>HYPERLINK("http://www.12365auto.com/zlts/20200202/446169.shtml","http://www.12365auto.com/zlts/20200202/446169.shtml")</f>
        <v>http://www.12365auto.com/zlts/20200202/446169.shtml</v>
      </c>
      <c r="G13010" s="2"/>
      <c r="H13010" s="2" t="s">
        <v>17349</v>
      </c>
      <c r="I13010" s="2" t="s">
        <v>15</v>
      </c>
      <c r="J13010" s="2" t="s">
        <v>12</v>
      </c>
      <c r="K13010" s="2" t="s">
        <v>17348</v>
      </c>
      <c r="L13010" s="2">
        <f t="shared" si="203"/>
        <v>91</v>
      </c>
    </row>
    <row r="13011" spans="1:12" ht="25" customHeight="1">
      <c r="A13011" s="2" t="s">
        <v>12</v>
      </c>
      <c r="B13011" s="2" t="str">
        <f>HYPERLINK("http://www.12365auto.com/zlts/20200202/446173.shtml","长安马自达昂克赛拉电瓶亏电导致无法启动")</f>
        <v>长安马自达昂克赛拉电瓶亏电导致无法启动</v>
      </c>
      <c r="C13011" s="2" t="s">
        <v>13</v>
      </c>
      <c r="D13011" s="2" t="s">
        <v>12</v>
      </c>
      <c r="E13011" s="2" t="s">
        <v>17</v>
      </c>
      <c r="F13011" s="2" t="str">
        <f>HYPERLINK("http://www.12365auto.com/zlts/20200202/446173.shtml","http://www.12365auto.com/zlts/20200202/446173.shtml")</f>
        <v>http://www.12365auto.com/zlts/20200202/446173.shtml</v>
      </c>
      <c r="G13011" s="2"/>
      <c r="H13011" s="2" t="s">
        <v>17350</v>
      </c>
      <c r="I13011" s="2" t="s">
        <v>19</v>
      </c>
      <c r="J13011" s="2" t="s">
        <v>12</v>
      </c>
      <c r="K13011" s="2" t="s">
        <v>17351</v>
      </c>
      <c r="L13011" s="2">
        <f t="shared" si="203"/>
        <v>150</v>
      </c>
    </row>
    <row r="13012" spans="1:12" ht="25" customHeight="1">
      <c r="A13012" s="2" t="s">
        <v>12</v>
      </c>
      <c r="B13012" s="2" t="str">
        <f>HYPERLINK("http://www.12365auto.com/zlts/20200202/446172.shtml","一汽大众奥迪Q5L中控及后喇叭杂音严重")</f>
        <v>一汽大众奥迪Q5L中控及后喇叭杂音严重</v>
      </c>
      <c r="C13012" s="2" t="s">
        <v>13</v>
      </c>
      <c r="D13012" s="2" t="s">
        <v>12</v>
      </c>
      <c r="E13012" s="2" t="s">
        <v>17</v>
      </c>
      <c r="F13012" s="2" t="str">
        <f>HYPERLINK("http://www.12365auto.com/zlts/20200202/446172.shtml","http://www.12365auto.com/zlts/20200202/446172.shtml")</f>
        <v>http://www.12365auto.com/zlts/20200202/446172.shtml</v>
      </c>
      <c r="G13012" s="2"/>
      <c r="H13012" s="2" t="s">
        <v>17352</v>
      </c>
      <c r="I13012" s="2" t="s">
        <v>19</v>
      </c>
      <c r="J13012" s="2" t="s">
        <v>12</v>
      </c>
      <c r="K13012" s="2" t="s">
        <v>17353</v>
      </c>
      <c r="L13012" s="2">
        <f t="shared" si="203"/>
        <v>150</v>
      </c>
    </row>
    <row r="13013" spans="1:12" ht="25" customHeight="1">
      <c r="A13013" s="2" t="s">
        <v>12</v>
      </c>
      <c r="B13013" s="2" t="str">
        <f>HYPERLINK("http://www.12365auto.com/zlts/20200202/446170.shtml","长安CS75 PLUS四个轮毂不同程度生锈")</f>
        <v>长安CS75 PLUS四个轮毂不同程度生锈</v>
      </c>
      <c r="C13013" s="2" t="s">
        <v>13</v>
      </c>
      <c r="D13013" s="2" t="s">
        <v>12</v>
      </c>
      <c r="E13013" s="2" t="s">
        <v>17</v>
      </c>
      <c r="F13013" s="2" t="str">
        <f>HYPERLINK("http://www.12365auto.com/zlts/20200202/446170.shtml","http://www.12365auto.com/zlts/20200202/446170.shtml")</f>
        <v>http://www.12365auto.com/zlts/20200202/446170.shtml</v>
      </c>
      <c r="G13013" s="2"/>
      <c r="H13013" s="2" t="s">
        <v>17354</v>
      </c>
      <c r="I13013" s="2" t="s">
        <v>19</v>
      </c>
      <c r="J13013" s="2" t="s">
        <v>12</v>
      </c>
      <c r="K13013" s="2" t="s">
        <v>17355</v>
      </c>
      <c r="L13013" s="2">
        <f t="shared" si="203"/>
        <v>150</v>
      </c>
    </row>
    <row r="13014" spans="1:12" ht="25" customHeight="1">
      <c r="A13014" s="2" t="s">
        <v>12</v>
      </c>
      <c r="B13014" s="2" t="str">
        <f>HYPERLINK("http://www.12365auto.com/zlts/20200202/446168.shtml","冷启动时发动机卡卡响")</f>
        <v>冷启动时发动机卡卡响</v>
      </c>
      <c r="C13014" s="2" t="s">
        <v>13</v>
      </c>
      <c r="D13014" s="2" t="s">
        <v>12</v>
      </c>
      <c r="E13014" s="2"/>
      <c r="F13014" s="2" t="str">
        <f>HYPERLINK("http://www.12365auto.com/zlts/20200202/446168.shtml","http://www.12365auto.com/zlts/20200202/446168.shtml")</f>
        <v>http://www.12365auto.com/zlts/20200202/446168.shtml</v>
      </c>
      <c r="G13014" s="2"/>
      <c r="H13014" s="2" t="s">
        <v>17357</v>
      </c>
      <c r="I13014" s="2" t="s">
        <v>15</v>
      </c>
      <c r="J13014" s="2" t="s">
        <v>12</v>
      </c>
      <c r="K13014" s="2" t="s">
        <v>17356</v>
      </c>
      <c r="L13014" s="2">
        <f t="shared" si="203"/>
        <v>81</v>
      </c>
    </row>
    <row r="13015" spans="1:12" ht="25" customHeight="1">
      <c r="A13015" s="2" t="s">
        <v>12</v>
      </c>
      <c r="B13015" s="2" t="str">
        <f>HYPERLINK("http://www.12365auto.com/zlts/20200202/446167.shtml","变速箱故障，汽车无法高速行驶")</f>
        <v>变速箱故障，汽车无法高速行驶</v>
      </c>
      <c r="C13015" s="2" t="s">
        <v>13</v>
      </c>
      <c r="D13015" s="2" t="s">
        <v>12</v>
      </c>
      <c r="E13015" s="2"/>
      <c r="F13015" s="2" t="str">
        <f>HYPERLINK("http://www.12365auto.com/zlts/20200202/446167.shtml","http://www.12365auto.com/zlts/20200202/446167.shtml")</f>
        <v>http://www.12365auto.com/zlts/20200202/446167.shtml</v>
      </c>
      <c r="G13015" s="2"/>
      <c r="H13015" s="2" t="s">
        <v>17359</v>
      </c>
      <c r="I13015" s="2" t="s">
        <v>15</v>
      </c>
      <c r="J13015" s="2" t="s">
        <v>12</v>
      </c>
      <c r="K13015" s="2" t="s">
        <v>17358</v>
      </c>
      <c r="L13015" s="2">
        <f t="shared" si="203"/>
        <v>84</v>
      </c>
    </row>
    <row r="13016" spans="1:12" ht="25" customHeight="1">
      <c r="A13016" s="2" t="s">
        <v>12</v>
      </c>
      <c r="B13016" s="2" t="str">
        <f>HYPERLINK("http://bbs.12365auto.com/postcontent.aspx?tId=193173","16年的gs41挡起步异响？求大神指点")</f>
        <v>16年的gs41挡起步异响？求大神指点</v>
      </c>
      <c r="C13016" s="2" t="s">
        <v>13</v>
      </c>
      <c r="D13016" s="2" t="s">
        <v>12</v>
      </c>
      <c r="E13016" s="2" t="s">
        <v>17360</v>
      </c>
      <c r="F13016" s="2" t="str">
        <f>HYPERLINK("http://bbs.12365auto.com/postcontent.aspx?tId=193173","http://bbs.12365auto.com/postcontent.aspx?tId=193173")</f>
        <v>http://bbs.12365auto.com/postcontent.aspx?tId=193173</v>
      </c>
      <c r="G13016" s="2"/>
      <c r="H13016" s="2" t="s">
        <v>17361</v>
      </c>
      <c r="I13016" s="2" t="s">
        <v>15</v>
      </c>
      <c r="J13016" s="2" t="s">
        <v>17362</v>
      </c>
      <c r="K13016" s="2" t="s">
        <v>17363</v>
      </c>
      <c r="L13016" s="2">
        <f t="shared" si="203"/>
        <v>15</v>
      </c>
    </row>
    <row r="13017" spans="1:12" ht="25" customHeight="1">
      <c r="A13017" s="2" t="s">
        <v>12</v>
      </c>
      <c r="B13017" s="2" t="str">
        <f>HYPERLINK("http://bbs.12365auto.com/postcontent.aspx?tID=193173","16年的gs41挡起步异响？求大神指点")</f>
        <v>16年的gs41挡起步异响？求大神指点</v>
      </c>
      <c r="C13017" s="2" t="s">
        <v>13</v>
      </c>
      <c r="D13017" s="2" t="s">
        <v>12</v>
      </c>
      <c r="E13017" s="2" t="s">
        <v>17364</v>
      </c>
      <c r="F13017" s="2" t="str">
        <f>HYPERLINK("http://bbs.12365auto.com/postcontent.aspx?tID=193173","http://bbs.12365auto.com/postcontent.aspx?tID=193173")</f>
        <v>http://bbs.12365auto.com/postcontent.aspx?tID=193173</v>
      </c>
      <c r="G13017" s="2"/>
      <c r="H13017" s="2" t="s">
        <v>17365</v>
      </c>
      <c r="I13017" s="2" t="s">
        <v>15</v>
      </c>
      <c r="J13017" s="2" t="s">
        <v>17362</v>
      </c>
      <c r="K13017" s="2" t="s">
        <v>17363</v>
      </c>
      <c r="L13017" s="2">
        <f t="shared" si="203"/>
        <v>34</v>
      </c>
    </row>
    <row r="13018" spans="1:12" ht="25" customHeight="1">
      <c r="A13018" s="2" t="s">
        <v>12</v>
      </c>
      <c r="B13018" s="2" t="str">
        <f>HYPERLINK("http://m.12365auto.com/bbs/postcontent.aspx?tID=193173","16年的gs41挡起步异响？求大神指点")</f>
        <v>16年的gs41挡起步异响？求大神指点</v>
      </c>
      <c r="C13018" s="2" t="s">
        <v>13</v>
      </c>
      <c r="D13018" s="2" t="s">
        <v>23</v>
      </c>
      <c r="E13018" s="2"/>
      <c r="F13018" s="2" t="str">
        <f>HYPERLINK("http://m.12365auto.com/bbs/postcontent.aspx?tID=193173","http://m.12365auto.com/bbs/postcontent.aspx?tID=193173")</f>
        <v>http://m.12365auto.com/bbs/postcontent.aspx?tID=193173</v>
      </c>
      <c r="G13018" s="2"/>
      <c r="H13018" s="2" t="s">
        <v>17361</v>
      </c>
      <c r="I13018" s="2" t="s">
        <v>15</v>
      </c>
      <c r="J13018" s="2" t="s">
        <v>17362</v>
      </c>
      <c r="K13018" s="2" t="s">
        <v>17363</v>
      </c>
      <c r="L13018" s="2">
        <f t="shared" si="203"/>
        <v>15</v>
      </c>
    </row>
    <row r="13019" spans="1:12" ht="25" customHeight="1">
      <c r="A13019" s="2" t="s">
        <v>12</v>
      </c>
      <c r="B13019" s="2" t="str">
        <f>HYPERLINK("http://www.12365auto.com/zlts/20200202/446166.shtml","吉利博越转向异响 维修后异响跑偏")</f>
        <v>吉利博越转向异响 维修后异响跑偏</v>
      </c>
      <c r="C13019" s="2" t="s">
        <v>13</v>
      </c>
      <c r="D13019" s="2" t="s">
        <v>12</v>
      </c>
      <c r="E13019" s="2" t="s">
        <v>17</v>
      </c>
      <c r="F13019" s="2" t="str">
        <f>HYPERLINK("http://www.12365auto.com/zlts/20200202/446166.shtml","http://www.12365auto.com/zlts/20200202/446166.shtml")</f>
        <v>http://www.12365auto.com/zlts/20200202/446166.shtml</v>
      </c>
      <c r="G13019" s="2"/>
      <c r="H13019" s="2" t="s">
        <v>17366</v>
      </c>
      <c r="I13019" s="2" t="s">
        <v>19</v>
      </c>
      <c r="J13019" s="2" t="s">
        <v>12</v>
      </c>
      <c r="K13019" s="2" t="s">
        <v>17367</v>
      </c>
      <c r="L13019" s="2">
        <f t="shared" si="203"/>
        <v>150</v>
      </c>
    </row>
    <row r="13020" spans="1:12" ht="25" customHeight="1">
      <c r="A13020" s="2" t="s">
        <v>12</v>
      </c>
      <c r="B13020" s="2" t="str">
        <f>HYPERLINK("http://www.12365auto.com/zlts/20200202/446164.shtml","东风日产轩逸行驶中泄露汽油导致自燃")</f>
        <v>东风日产轩逸行驶中泄露汽油导致自燃</v>
      </c>
      <c r="C13020" s="2" t="s">
        <v>13</v>
      </c>
      <c r="D13020" s="2" t="s">
        <v>12</v>
      </c>
      <c r="E13020" s="2" t="s">
        <v>17</v>
      </c>
      <c r="F13020" s="2" t="str">
        <f>HYPERLINK("http://www.12365auto.com/zlts/20200202/446164.shtml","http://www.12365auto.com/zlts/20200202/446164.shtml")</f>
        <v>http://www.12365auto.com/zlts/20200202/446164.shtml</v>
      </c>
      <c r="G13020" s="2"/>
      <c r="H13020" s="2" t="s">
        <v>17368</v>
      </c>
      <c r="I13020" s="2" t="s">
        <v>19</v>
      </c>
      <c r="J13020" s="2" t="s">
        <v>12</v>
      </c>
      <c r="K13020" s="2" t="s">
        <v>17369</v>
      </c>
      <c r="L13020" s="2">
        <f t="shared" si="203"/>
        <v>150</v>
      </c>
    </row>
    <row r="13021" spans="1:12" ht="25" customHeight="1">
      <c r="A13021" s="2" t="s">
        <v>12</v>
      </c>
      <c r="B13021" s="2" t="str">
        <f>HYPERLINK("http://www.12365auto.com/zlts/20200202/446161.shtml","一汽大众奥迪A6L车内异味 怠速N挡抖动")</f>
        <v>一汽大众奥迪A6L车内异味 怠速N挡抖动</v>
      </c>
      <c r="C13021" s="2" t="s">
        <v>13</v>
      </c>
      <c r="D13021" s="2" t="s">
        <v>12</v>
      </c>
      <c r="E13021" s="2" t="s">
        <v>17</v>
      </c>
      <c r="F13021" s="2" t="str">
        <f>HYPERLINK("http://www.12365auto.com/zlts/20200202/446161.shtml","http://www.12365auto.com/zlts/20200202/446161.shtml")</f>
        <v>http://www.12365auto.com/zlts/20200202/446161.shtml</v>
      </c>
      <c r="G13021" s="2"/>
      <c r="H13021" s="2" t="s">
        <v>17370</v>
      </c>
      <c r="I13021" s="2" t="s">
        <v>19</v>
      </c>
      <c r="J13021" s="2" t="s">
        <v>12</v>
      </c>
      <c r="K13021" s="2" t="s">
        <v>17371</v>
      </c>
      <c r="L13021" s="2">
        <f t="shared" si="203"/>
        <v>150</v>
      </c>
    </row>
    <row r="13022" spans="1:12" ht="25" customHeight="1">
      <c r="A13022" s="2" t="s">
        <v>12</v>
      </c>
      <c r="B13022" s="2" t="str">
        <f>HYPERLINK("http://www.12365auto.com/zlts/20200202/446158.shtml","冬天冷车启动后车前窜，刹车感觉刹不停")</f>
        <v>冬天冷车启动后车前窜，刹车感觉刹不停</v>
      </c>
      <c r="C13022" s="2" t="s">
        <v>13</v>
      </c>
      <c r="D13022" s="2" t="s">
        <v>12</v>
      </c>
      <c r="E13022" s="2"/>
      <c r="F13022" s="2" t="str">
        <f>HYPERLINK("http://www.12365auto.com/zlts/20200202/446158.shtml","http://www.12365auto.com/zlts/20200202/446158.shtml")</f>
        <v>http://www.12365auto.com/zlts/20200202/446158.shtml</v>
      </c>
      <c r="G13022" s="2"/>
      <c r="H13022" s="2" t="s">
        <v>17373</v>
      </c>
      <c r="I13022" s="2" t="s">
        <v>15</v>
      </c>
      <c r="J13022" s="2" t="s">
        <v>12</v>
      </c>
      <c r="K13022" s="2" t="s">
        <v>17372</v>
      </c>
      <c r="L13022" s="2">
        <f t="shared" si="203"/>
        <v>82</v>
      </c>
    </row>
    <row r="13023" spans="1:12" ht="25" customHeight="1">
      <c r="A13023" s="2" t="s">
        <v>12</v>
      </c>
      <c r="B13023" s="2" t="str">
        <f>HYPERLINK("http://www.12365auto.com/zlts/20200202/446159.shtml","一汽大众速腾转向异响 中控黑屏")</f>
        <v>一汽大众速腾转向异响 中控黑屏</v>
      </c>
      <c r="C13023" s="2" t="s">
        <v>13</v>
      </c>
      <c r="D13023" s="2" t="s">
        <v>12</v>
      </c>
      <c r="E13023" s="2" t="s">
        <v>17</v>
      </c>
      <c r="F13023" s="2" t="str">
        <f>HYPERLINK("http://www.12365auto.com/zlts/20200202/446159.shtml","http://www.12365auto.com/zlts/20200202/446159.shtml")</f>
        <v>http://www.12365auto.com/zlts/20200202/446159.shtml</v>
      </c>
      <c r="G13023" s="2"/>
      <c r="H13023" s="2" t="s">
        <v>17374</v>
      </c>
      <c r="I13023" s="2" t="s">
        <v>19</v>
      </c>
      <c r="J13023" s="2" t="s">
        <v>12</v>
      </c>
      <c r="K13023" s="2" t="s">
        <v>17375</v>
      </c>
      <c r="L13023" s="2">
        <f t="shared" si="203"/>
        <v>150</v>
      </c>
    </row>
    <row r="13024" spans="1:12" ht="25" customHeight="1">
      <c r="A13024" s="2" t="s">
        <v>12</v>
      </c>
      <c r="B13024" s="2" t="str">
        <f>HYPERLINK("http://www.12365auto.com/zlts/20200202/446156.shtml","车身共振")</f>
        <v>车身共振</v>
      </c>
      <c r="C13024" s="2" t="s">
        <v>13</v>
      </c>
      <c r="D13024" s="2" t="s">
        <v>12</v>
      </c>
      <c r="E13024" s="2"/>
      <c r="F13024" s="2" t="str">
        <f>HYPERLINK("http://www.12365auto.com/zlts/20200202/446156.shtml","http://www.12365auto.com/zlts/20200202/446156.shtml")</f>
        <v>http://www.12365auto.com/zlts/20200202/446156.shtml</v>
      </c>
      <c r="G13024" s="2"/>
      <c r="H13024" s="2" t="s">
        <v>17377</v>
      </c>
      <c r="I13024" s="2" t="s">
        <v>15</v>
      </c>
      <c r="J13024" s="2" t="s">
        <v>12</v>
      </c>
      <c r="K13024" s="2" t="s">
        <v>17376</v>
      </c>
      <c r="L13024" s="2">
        <f t="shared" si="203"/>
        <v>86</v>
      </c>
    </row>
    <row r="13025" spans="1:12" ht="25" customHeight="1">
      <c r="A13025" s="2" t="s">
        <v>12</v>
      </c>
      <c r="B13025" s="2" t="str">
        <f>HYPERLINK("http://www.12365auto.com/zlts/20200202/446154.shtml","中控台异响，B柱异响，主驾驶门异响")</f>
        <v>中控台异响，B柱异响，主驾驶门异响</v>
      </c>
      <c r="C13025" s="2" t="s">
        <v>13</v>
      </c>
      <c r="D13025" s="2" t="s">
        <v>12</v>
      </c>
      <c r="E13025" s="2"/>
      <c r="F13025" s="2" t="str">
        <f>HYPERLINK("http://www.12365auto.com/zlts/20200202/446154.shtml","http://www.12365auto.com/zlts/20200202/446154.shtml")</f>
        <v>http://www.12365auto.com/zlts/20200202/446154.shtml</v>
      </c>
      <c r="G13025" s="2"/>
      <c r="H13025" s="2" t="s">
        <v>17379</v>
      </c>
      <c r="I13025" s="2" t="s">
        <v>15</v>
      </c>
      <c r="J13025" s="2" t="s">
        <v>12</v>
      </c>
      <c r="K13025" s="2" t="s">
        <v>17378</v>
      </c>
      <c r="L13025" s="2">
        <f t="shared" si="203"/>
        <v>92</v>
      </c>
    </row>
    <row r="13026" spans="1:12" ht="25" customHeight="1">
      <c r="A13026" s="2" t="s">
        <v>12</v>
      </c>
      <c r="B13026" s="2" t="str">
        <f>HYPERLINK("http://www.12365auto.com/zlts/20200202/446153.shtml","上汽通用五菱宏光车身底部大面积生锈")</f>
        <v>上汽通用五菱宏光车身底部大面积生锈</v>
      </c>
      <c r="C13026" s="2" t="s">
        <v>13</v>
      </c>
      <c r="D13026" s="2" t="s">
        <v>12</v>
      </c>
      <c r="E13026" s="2" t="s">
        <v>17</v>
      </c>
      <c r="F13026" s="2" t="str">
        <f>HYPERLINK("http://www.12365auto.com/zlts/20200202/446153.shtml","http://www.12365auto.com/zlts/20200202/446153.shtml")</f>
        <v>http://www.12365auto.com/zlts/20200202/446153.shtml</v>
      </c>
      <c r="G13026" s="2"/>
      <c r="H13026" s="2" t="s">
        <v>17380</v>
      </c>
      <c r="I13026" s="2" t="s">
        <v>19</v>
      </c>
      <c r="J13026" s="2" t="s">
        <v>12</v>
      </c>
      <c r="K13026" s="2" t="s">
        <v>17381</v>
      </c>
      <c r="L13026" s="2">
        <f t="shared" si="203"/>
        <v>150</v>
      </c>
    </row>
    <row r="13027" spans="1:12" ht="25" customHeight="1">
      <c r="A13027" s="2" t="s">
        <v>12</v>
      </c>
      <c r="B13027" s="2" t="str">
        <f>HYPERLINK("http://www.12365auto.com/zlts/20200202/446151.shtml","上汽大众朗逸刹车异响无解决方案")</f>
        <v>上汽大众朗逸刹车异响无解决方案</v>
      </c>
      <c r="C13027" s="2" t="s">
        <v>13</v>
      </c>
      <c r="D13027" s="2" t="s">
        <v>12</v>
      </c>
      <c r="E13027" s="2" t="s">
        <v>17</v>
      </c>
      <c r="F13027" s="2" t="str">
        <f>HYPERLINK("http://www.12365auto.com/zlts/20200202/446151.shtml","http://www.12365auto.com/zlts/20200202/446151.shtml")</f>
        <v>http://www.12365auto.com/zlts/20200202/446151.shtml</v>
      </c>
      <c r="G13027" s="2"/>
      <c r="H13027" s="2" t="s">
        <v>17382</v>
      </c>
      <c r="I13027" s="2" t="s">
        <v>19</v>
      </c>
      <c r="J13027" s="2" t="s">
        <v>12</v>
      </c>
      <c r="K13027" s="2" t="s">
        <v>17383</v>
      </c>
      <c r="L13027" s="2">
        <f t="shared" si="203"/>
        <v>150</v>
      </c>
    </row>
    <row r="13028" spans="1:12" ht="25" customHeight="1">
      <c r="A13028" s="2" t="s">
        <v>12</v>
      </c>
      <c r="B13028" s="2" t="str">
        <f>HYPERLINK("http://www.12365auto.com/zlts/20200202/446149.shtml","领克02后挡风玻璃碎裂无任何外力")</f>
        <v>领克02后挡风玻璃碎裂无任何外力</v>
      </c>
      <c r="C13028" s="2" t="s">
        <v>13</v>
      </c>
      <c r="D13028" s="2" t="s">
        <v>12</v>
      </c>
      <c r="E13028" s="2" t="s">
        <v>17</v>
      </c>
      <c r="F13028" s="2" t="str">
        <f>HYPERLINK("http://www.12365auto.com/zlts/20200202/446149.shtml","http://www.12365auto.com/zlts/20200202/446149.shtml")</f>
        <v>http://www.12365auto.com/zlts/20200202/446149.shtml</v>
      </c>
      <c r="G13028" s="2"/>
      <c r="H13028" s="2" t="s">
        <v>17384</v>
      </c>
      <c r="I13028" s="2" t="s">
        <v>19</v>
      </c>
      <c r="J13028" s="2" t="s">
        <v>12</v>
      </c>
      <c r="K13028" s="2" t="s">
        <v>17385</v>
      </c>
      <c r="L13028" s="2">
        <f t="shared" si="203"/>
        <v>150</v>
      </c>
    </row>
    <row r="13029" spans="1:12" ht="25" customHeight="1">
      <c r="A13029" s="2" t="s">
        <v>12</v>
      </c>
      <c r="B13029" s="2" t="str">
        <f>HYPERLINK("http://www.12365auto.com/zlts/20200202/446148.shtml","别克君越18款28T,电瓶电量不足，无法启动")</f>
        <v>别克君越18款28T,电瓶电量不足，无法启动</v>
      </c>
      <c r="C13029" s="2" t="s">
        <v>13</v>
      </c>
      <c r="D13029" s="2" t="s">
        <v>12</v>
      </c>
      <c r="E13029" s="2"/>
      <c r="F13029" s="2" t="str">
        <f>HYPERLINK("http://www.12365auto.com/zlts/20200202/446148.shtml","http://www.12365auto.com/zlts/20200202/446148.shtml")</f>
        <v>http://www.12365auto.com/zlts/20200202/446148.shtml</v>
      </c>
      <c r="G13029" s="2"/>
      <c r="H13029" s="2" t="s">
        <v>17387</v>
      </c>
      <c r="I13029" s="2" t="s">
        <v>15</v>
      </c>
      <c r="J13029" s="2" t="s">
        <v>12</v>
      </c>
      <c r="K13029" s="2" t="s">
        <v>17386</v>
      </c>
      <c r="L13029" s="2">
        <f t="shared" si="203"/>
        <v>81</v>
      </c>
    </row>
    <row r="13030" spans="1:12" ht="25" customHeight="1">
      <c r="A13030" s="2" t="s">
        <v>12</v>
      </c>
      <c r="B13030" s="2" t="str">
        <f>HYPERLINK("http://www.12365auto.com/zlts/20200202/446147.shtml","一汽丰田卡罗拉服务顾问承诺不兑现")</f>
        <v>一汽丰田卡罗拉服务顾问承诺不兑现</v>
      </c>
      <c r="C13030" s="2" t="s">
        <v>13</v>
      </c>
      <c r="D13030" s="2" t="s">
        <v>12</v>
      </c>
      <c r="E13030" s="2" t="s">
        <v>17</v>
      </c>
      <c r="F13030" s="2" t="str">
        <f>HYPERLINK("http://www.12365auto.com/zlts/20200202/446147.shtml","http://www.12365auto.com/zlts/20200202/446147.shtml")</f>
        <v>http://www.12365auto.com/zlts/20200202/446147.shtml</v>
      </c>
      <c r="G13030" s="2"/>
      <c r="H13030" s="2" t="s">
        <v>17388</v>
      </c>
      <c r="I13030" s="2" t="s">
        <v>19</v>
      </c>
      <c r="J13030" s="2" t="s">
        <v>12</v>
      </c>
      <c r="K13030" s="2" t="s">
        <v>17389</v>
      </c>
      <c r="L13030" s="2">
        <f t="shared" si="203"/>
        <v>150</v>
      </c>
    </row>
    <row r="13031" spans="1:12" ht="25" customHeight="1">
      <c r="A13031" s="2" t="s">
        <v>12</v>
      </c>
      <c r="B13031" s="2" t="str">
        <f>HYPERLINK("http://www.12365auto.com/zlts/20200202/446144.shtml","奇瑞艾瑞泽GX发动机舱内传来咚咚异响")</f>
        <v>奇瑞艾瑞泽GX发动机舱内传来咚咚异响</v>
      </c>
      <c r="C13031" s="2" t="s">
        <v>13</v>
      </c>
      <c r="D13031" s="2" t="s">
        <v>12</v>
      </c>
      <c r="E13031" s="2" t="s">
        <v>17</v>
      </c>
      <c r="F13031" s="2" t="str">
        <f>HYPERLINK("http://www.12365auto.com/zlts/20200202/446144.shtml","http://www.12365auto.com/zlts/20200202/446144.shtml")</f>
        <v>http://www.12365auto.com/zlts/20200202/446144.shtml</v>
      </c>
      <c r="G13031" s="2"/>
      <c r="H13031" s="2" t="s">
        <v>17390</v>
      </c>
      <c r="I13031" s="2" t="s">
        <v>19</v>
      </c>
      <c r="J13031" s="2" t="s">
        <v>12</v>
      </c>
      <c r="K13031" s="2" t="s">
        <v>17391</v>
      </c>
      <c r="L13031" s="2">
        <f t="shared" si="203"/>
        <v>150</v>
      </c>
    </row>
    <row r="13032" spans="1:12" ht="25" customHeight="1">
      <c r="A13032" s="2" t="s">
        <v>12</v>
      </c>
      <c r="B13032" s="2" t="str">
        <f>HYPERLINK("http://www.12365auto.com/zlts/20200202/446142.shtml","冒黑烟，车辆顿挫")</f>
        <v>冒黑烟，车辆顿挫</v>
      </c>
      <c r="C13032" s="2" t="s">
        <v>13</v>
      </c>
      <c r="D13032" s="2" t="s">
        <v>12</v>
      </c>
      <c r="E13032" s="2"/>
      <c r="F13032" s="2" t="str">
        <f>HYPERLINK("http://www.12365auto.com/zlts/20200202/446142.shtml","http://www.12365auto.com/zlts/20200202/446142.shtml")</f>
        <v>http://www.12365auto.com/zlts/20200202/446142.shtml</v>
      </c>
      <c r="G13032" s="2"/>
      <c r="H13032" s="2" t="s">
        <v>17393</v>
      </c>
      <c r="I13032" s="2" t="s">
        <v>15</v>
      </c>
      <c r="J13032" s="2" t="s">
        <v>12</v>
      </c>
      <c r="K13032" s="2" t="s">
        <v>17392</v>
      </c>
      <c r="L13032" s="2">
        <f t="shared" si="203"/>
        <v>90</v>
      </c>
    </row>
    <row r="13033" spans="1:12" ht="25" customHeight="1">
      <c r="A13033" s="2" t="s">
        <v>12</v>
      </c>
      <c r="B13033" s="2" t="str">
        <f>HYPERLINK("http://www.12365auto.com/zlts/20200202/446140.shtml","车辆后排座椅金属结构生锈")</f>
        <v>车辆后排座椅金属结构生锈</v>
      </c>
      <c r="C13033" s="2" t="s">
        <v>13</v>
      </c>
      <c r="D13033" s="2" t="s">
        <v>12</v>
      </c>
      <c r="E13033" s="2"/>
      <c r="F13033" s="2" t="str">
        <f>HYPERLINK("http://www.12365auto.com/zlts/20200202/446140.shtml","http://www.12365auto.com/zlts/20200202/446140.shtml")</f>
        <v>http://www.12365auto.com/zlts/20200202/446140.shtml</v>
      </c>
      <c r="G13033" s="2"/>
      <c r="H13033" s="2" t="s">
        <v>17395</v>
      </c>
      <c r="I13033" s="2" t="s">
        <v>15</v>
      </c>
      <c r="J13033" s="2" t="s">
        <v>12</v>
      </c>
      <c r="K13033" s="2" t="s">
        <v>17394</v>
      </c>
      <c r="L13033" s="2">
        <f t="shared" si="203"/>
        <v>89</v>
      </c>
    </row>
    <row r="13034" spans="1:12" ht="25" customHeight="1">
      <c r="A13034" s="2" t="s">
        <v>12</v>
      </c>
      <c r="B13034" s="2" t="str">
        <f>HYPERLINK("http://www.12365auto.com/zlts/20200202/446139.shtml","上汽名爵6前后保险杠跟车漆有色差")</f>
        <v>上汽名爵6前后保险杠跟车漆有色差</v>
      </c>
      <c r="C13034" s="2" t="s">
        <v>13</v>
      </c>
      <c r="D13034" s="2" t="s">
        <v>12</v>
      </c>
      <c r="E13034" s="2" t="s">
        <v>17</v>
      </c>
      <c r="F13034" s="2" t="str">
        <f>HYPERLINK("http://www.12365auto.com/zlts/20200202/446139.shtml","http://www.12365auto.com/zlts/20200202/446139.shtml")</f>
        <v>http://www.12365auto.com/zlts/20200202/446139.shtml</v>
      </c>
      <c r="G13034" s="2"/>
      <c r="H13034" s="2" t="s">
        <v>17396</v>
      </c>
      <c r="I13034" s="2" t="s">
        <v>19</v>
      </c>
      <c r="J13034" s="2" t="s">
        <v>12</v>
      </c>
      <c r="K13034" s="2" t="s">
        <v>17397</v>
      </c>
      <c r="L13034" s="2">
        <f t="shared" si="203"/>
        <v>150</v>
      </c>
    </row>
    <row r="13035" spans="1:12" ht="25" customHeight="1">
      <c r="A13035" s="2" t="s">
        <v>12</v>
      </c>
      <c r="B13035" s="2" t="str">
        <f>HYPERLINK("http://www.12365auto.com/zlts/20200202/446138.shtml","一汽大众宝来收油门及等红灯时转速高")</f>
        <v>一汽大众宝来收油门及等红灯时转速高</v>
      </c>
      <c r="C13035" s="2" t="s">
        <v>13</v>
      </c>
      <c r="D13035" s="2" t="s">
        <v>12</v>
      </c>
      <c r="E13035" s="2" t="s">
        <v>17</v>
      </c>
      <c r="F13035" s="2" t="str">
        <f>HYPERLINK("http://www.12365auto.com/zlts/20200202/446138.shtml","http://www.12365auto.com/zlts/20200202/446138.shtml")</f>
        <v>http://www.12365auto.com/zlts/20200202/446138.shtml</v>
      </c>
      <c r="G13035" s="2"/>
      <c r="H13035" s="2" t="s">
        <v>17398</v>
      </c>
      <c r="I13035" s="2" t="s">
        <v>19</v>
      </c>
      <c r="J13035" s="2" t="s">
        <v>12</v>
      </c>
      <c r="K13035" s="2" t="s">
        <v>17399</v>
      </c>
      <c r="L13035" s="2">
        <f t="shared" si="203"/>
        <v>150</v>
      </c>
    </row>
    <row r="13036" spans="1:12" ht="25" customHeight="1">
      <c r="A13036" s="2" t="s">
        <v>12</v>
      </c>
      <c r="B13036" s="2" t="str">
        <f>HYPERLINK("http://www.12365auto.com/zlts/20200202/446134.shtml","一汽大众迈腾变速箱机电单元故障")</f>
        <v>一汽大众迈腾变速箱机电单元故障</v>
      </c>
      <c r="C13036" s="2" t="s">
        <v>13</v>
      </c>
      <c r="D13036" s="2" t="s">
        <v>12</v>
      </c>
      <c r="E13036" s="2" t="s">
        <v>17</v>
      </c>
      <c r="F13036" s="2" t="str">
        <f>HYPERLINK("http://www.12365auto.com/zlts/20200202/446134.shtml","http://www.12365auto.com/zlts/20200202/446134.shtml")</f>
        <v>http://www.12365auto.com/zlts/20200202/446134.shtml</v>
      </c>
      <c r="G13036" s="2"/>
      <c r="H13036" s="2" t="s">
        <v>17400</v>
      </c>
      <c r="I13036" s="2" t="s">
        <v>19</v>
      </c>
      <c r="J13036" s="2" t="s">
        <v>12</v>
      </c>
      <c r="K13036" s="2" t="s">
        <v>17401</v>
      </c>
      <c r="L13036" s="2">
        <f t="shared" si="203"/>
        <v>150</v>
      </c>
    </row>
    <row r="13037" spans="1:12" ht="25" customHeight="1">
      <c r="A13037" s="2" t="s">
        <v>12</v>
      </c>
      <c r="B13037" s="2" t="str">
        <f>HYPERLINK("http://www.12365auto.com/zlts/20200202/446130.shtml","置换补贴不兑现")</f>
        <v>置换补贴不兑现</v>
      </c>
      <c r="C13037" s="2" t="s">
        <v>13</v>
      </c>
      <c r="D13037" s="2" t="s">
        <v>12</v>
      </c>
      <c r="E13037" s="2"/>
      <c r="F13037" s="2" t="str">
        <f>HYPERLINK("http://www.12365auto.com/zlts/20200202/446130.shtml","http://www.12365auto.com/zlts/20200202/446130.shtml")</f>
        <v>http://www.12365auto.com/zlts/20200202/446130.shtml</v>
      </c>
      <c r="G13037" s="2"/>
      <c r="H13037" s="2" t="s">
        <v>17403</v>
      </c>
      <c r="I13037" s="2" t="s">
        <v>15</v>
      </c>
      <c r="J13037" s="2" t="s">
        <v>12</v>
      </c>
      <c r="K13037" s="2" t="s">
        <v>17402</v>
      </c>
      <c r="L13037" s="2">
        <f t="shared" si="203"/>
        <v>85</v>
      </c>
    </row>
    <row r="13038" spans="1:12" ht="25" customHeight="1">
      <c r="A13038" s="2" t="s">
        <v>12</v>
      </c>
      <c r="B13038" s="2" t="str">
        <f>HYPERLINK("http://www.12365auto.com/zlts/20200202/446127.shtml","广汽菲亚特菲翔蓝牙控制模块故障无法连接")</f>
        <v>广汽菲亚特菲翔蓝牙控制模块故障无法连接</v>
      </c>
      <c r="C13038" s="2" t="s">
        <v>13</v>
      </c>
      <c r="D13038" s="2" t="s">
        <v>12</v>
      </c>
      <c r="E13038" s="2" t="s">
        <v>17</v>
      </c>
      <c r="F13038" s="2" t="str">
        <f>HYPERLINK("http://www.12365auto.com/zlts/20200202/446127.shtml","http://www.12365auto.com/zlts/20200202/446127.shtml")</f>
        <v>http://www.12365auto.com/zlts/20200202/446127.shtml</v>
      </c>
      <c r="G13038" s="2"/>
      <c r="H13038" s="2" t="s">
        <v>17404</v>
      </c>
      <c r="I13038" s="2" t="s">
        <v>19</v>
      </c>
      <c r="J13038" s="2" t="s">
        <v>12</v>
      </c>
      <c r="K13038" s="2" t="s">
        <v>17405</v>
      </c>
      <c r="L13038" s="2">
        <f t="shared" si="203"/>
        <v>150</v>
      </c>
    </row>
    <row r="13039" spans="1:12" ht="25" customHeight="1">
      <c r="A13039" s="2" t="s">
        <v>12</v>
      </c>
      <c r="B13039" s="2" t="str">
        <f>HYPERLINK("http://www.12365auto.com/zlts/20200202/446124.shtml","一汽大众迈腾蓄电池漏液4S店不予索赔")</f>
        <v>一汽大众迈腾蓄电池漏液4S店不予索赔</v>
      </c>
      <c r="C13039" s="2" t="s">
        <v>13</v>
      </c>
      <c r="D13039" s="2" t="s">
        <v>12</v>
      </c>
      <c r="E13039" s="2" t="s">
        <v>17</v>
      </c>
      <c r="F13039" s="2" t="str">
        <f>HYPERLINK("http://www.12365auto.com/zlts/20200202/446124.shtml","http://www.12365auto.com/zlts/20200202/446124.shtml")</f>
        <v>http://www.12365auto.com/zlts/20200202/446124.shtml</v>
      </c>
      <c r="G13039" s="2"/>
      <c r="H13039" s="2" t="s">
        <v>17406</v>
      </c>
      <c r="I13039" s="2" t="s">
        <v>19</v>
      </c>
      <c r="J13039" s="2" t="s">
        <v>12</v>
      </c>
      <c r="K13039" s="2" t="s">
        <v>17407</v>
      </c>
      <c r="L13039" s="2">
        <f t="shared" si="203"/>
        <v>150</v>
      </c>
    </row>
    <row r="13040" spans="1:12" ht="25" customHeight="1">
      <c r="A13040" s="2" t="s">
        <v>12</v>
      </c>
      <c r="B13040" s="2" t="str">
        <f>HYPERLINK("http://www.12365auto.com/zlts/20200202/446123.shtml","一汽大众奥迪A4L前保险杠存在二次喷漆现象")</f>
        <v>一汽大众奥迪A4L前保险杠存在二次喷漆现象</v>
      </c>
      <c r="C13040" s="2" t="s">
        <v>13</v>
      </c>
      <c r="D13040" s="2" t="s">
        <v>12</v>
      </c>
      <c r="E13040" s="2" t="s">
        <v>17</v>
      </c>
      <c r="F13040" s="2" t="str">
        <f>HYPERLINK("http://www.12365auto.com/zlts/20200202/446123.shtml","http://www.12365auto.com/zlts/20200202/446123.shtml")</f>
        <v>http://www.12365auto.com/zlts/20200202/446123.shtml</v>
      </c>
      <c r="G13040" s="2"/>
      <c r="H13040" s="2" t="s">
        <v>17408</v>
      </c>
      <c r="I13040" s="2" t="s">
        <v>19</v>
      </c>
      <c r="J13040" s="2" t="s">
        <v>12</v>
      </c>
      <c r="K13040" s="2" t="s">
        <v>17409</v>
      </c>
      <c r="L13040" s="2">
        <f t="shared" si="203"/>
        <v>150</v>
      </c>
    </row>
    <row r="13041" spans="1:12" ht="25" customHeight="1">
      <c r="A13041" s="2" t="s">
        <v>12</v>
      </c>
      <c r="B13041" s="2" t="str">
        <f>HYPERLINK("http://www.12365auto.com/zlts/20200202/446119.shtml","轮胎出现坑坑洼洼，开裂")</f>
        <v>轮胎出现坑坑洼洼，开裂</v>
      </c>
      <c r="C13041" s="2" t="s">
        <v>13</v>
      </c>
      <c r="D13041" s="2" t="s">
        <v>12</v>
      </c>
      <c r="E13041" s="2"/>
      <c r="F13041" s="2" t="str">
        <f>HYPERLINK("http://www.12365auto.com/zlts/20200202/446119.shtml","http://www.12365auto.com/zlts/20200202/446119.shtml")</f>
        <v>http://www.12365auto.com/zlts/20200202/446119.shtml</v>
      </c>
      <c r="G13041" s="2"/>
      <c r="H13041" s="2" t="s">
        <v>17411</v>
      </c>
      <c r="I13041" s="2" t="s">
        <v>15</v>
      </c>
      <c r="J13041" s="2" t="s">
        <v>12</v>
      </c>
      <c r="K13041" s="2" t="s">
        <v>17410</v>
      </c>
      <c r="L13041" s="2">
        <f t="shared" si="203"/>
        <v>84</v>
      </c>
    </row>
    <row r="13042" spans="1:12" ht="25" customHeight="1">
      <c r="A13042" s="2" t="s">
        <v>12</v>
      </c>
      <c r="B13042" s="2" t="str">
        <f>HYPERLINK("http://www.12365auto.com/zlts/20200202/446120.shtml","一汽大众探岳大灯雾化严重影响照明")</f>
        <v>一汽大众探岳大灯雾化严重影响照明</v>
      </c>
      <c r="C13042" s="2" t="s">
        <v>13</v>
      </c>
      <c r="D13042" s="2" t="s">
        <v>12</v>
      </c>
      <c r="E13042" s="2" t="s">
        <v>17</v>
      </c>
      <c r="F13042" s="2" t="str">
        <f>HYPERLINK("http://www.12365auto.com/zlts/20200202/446120.shtml","http://www.12365auto.com/zlts/20200202/446120.shtml")</f>
        <v>http://www.12365auto.com/zlts/20200202/446120.shtml</v>
      </c>
      <c r="G13042" s="2"/>
      <c r="H13042" s="2" t="s">
        <v>17412</v>
      </c>
      <c r="I13042" s="2" t="s">
        <v>19</v>
      </c>
      <c r="J13042" s="2" t="s">
        <v>12</v>
      </c>
      <c r="K13042" s="2" t="s">
        <v>17413</v>
      </c>
      <c r="L13042" s="2">
        <f t="shared" si="203"/>
        <v>150</v>
      </c>
    </row>
    <row r="13043" spans="1:12" ht="25" customHeight="1">
      <c r="A13043" s="2" t="s">
        <v>12</v>
      </c>
      <c r="B13043" s="2" t="str">
        <f>HYPERLINK("http://www.12365auto.com/zlts/20200202/446116.shtml","唐山市迁安庆长风长安4S出售问题车，全车二次喷漆")</f>
        <v>唐山市迁安庆长风长安4S出售问题车，全车二次喷漆</v>
      </c>
      <c r="C13043" s="2" t="s">
        <v>13</v>
      </c>
      <c r="D13043" s="2" t="s">
        <v>12</v>
      </c>
      <c r="E13043" s="2"/>
      <c r="F13043" s="2" t="str">
        <f>HYPERLINK("http://www.12365auto.com/zlts/20200202/446116.shtml","http://www.12365auto.com/zlts/20200202/446116.shtml")</f>
        <v>http://www.12365auto.com/zlts/20200202/446116.shtml</v>
      </c>
      <c r="G13043" s="2"/>
      <c r="H13043" s="2" t="s">
        <v>17415</v>
      </c>
      <c r="I13043" s="2" t="s">
        <v>15</v>
      </c>
      <c r="J13043" s="2" t="s">
        <v>12</v>
      </c>
      <c r="K13043" s="2" t="s">
        <v>17414</v>
      </c>
      <c r="L13043" s="2">
        <f t="shared" si="203"/>
        <v>87</v>
      </c>
    </row>
    <row r="13044" spans="1:12" ht="25" customHeight="1">
      <c r="A13044" s="2" t="s">
        <v>12</v>
      </c>
      <c r="B13044" s="2" t="str">
        <f>HYPERLINK("http://www.12365auto.com/zlts/20200202/446114.shtml","奇瑞艾瑞泽7e报高压故障熄火无法启动")</f>
        <v>奇瑞艾瑞泽7e报高压故障熄火无法启动</v>
      </c>
      <c r="C13044" s="2" t="s">
        <v>13</v>
      </c>
      <c r="D13044" s="2" t="s">
        <v>12</v>
      </c>
      <c r="E13044" s="2" t="s">
        <v>17</v>
      </c>
      <c r="F13044" s="2" t="str">
        <f>HYPERLINK("http://www.12365auto.com/zlts/20200202/446114.shtml","http://www.12365auto.com/zlts/20200202/446114.shtml")</f>
        <v>http://www.12365auto.com/zlts/20200202/446114.shtml</v>
      </c>
      <c r="G13044" s="2"/>
      <c r="H13044" s="2" t="s">
        <v>17416</v>
      </c>
      <c r="I13044" s="2" t="s">
        <v>19</v>
      </c>
      <c r="J13044" s="2" t="s">
        <v>12</v>
      </c>
      <c r="K13044" s="2" t="s">
        <v>17417</v>
      </c>
      <c r="L13044" s="2">
        <f t="shared" si="203"/>
        <v>150</v>
      </c>
    </row>
    <row r="13045" spans="1:12" ht="25" customHeight="1">
      <c r="A13045" s="2" t="s">
        <v>12</v>
      </c>
      <c r="B13045" s="2" t="str">
        <f>HYPERLINK("http://www.12365auto.com/zlts/20200202/446112.shtml","全车多处生锈")</f>
        <v>全车多处生锈</v>
      </c>
      <c r="C13045" s="2" t="s">
        <v>13</v>
      </c>
      <c r="D13045" s="2" t="s">
        <v>12</v>
      </c>
      <c r="E13045" s="2"/>
      <c r="F13045" s="2" t="str">
        <f>HYPERLINK("http://www.12365auto.com/zlts/20200202/446112.shtml","http://www.12365auto.com/zlts/20200202/446112.shtml")</f>
        <v>http://www.12365auto.com/zlts/20200202/446112.shtml</v>
      </c>
      <c r="G13045" s="2"/>
      <c r="H13045" s="2" t="s">
        <v>17419</v>
      </c>
      <c r="I13045" s="2" t="s">
        <v>15</v>
      </c>
      <c r="J13045" s="2" t="s">
        <v>12</v>
      </c>
      <c r="K13045" s="2" t="s">
        <v>17418</v>
      </c>
      <c r="L13045" s="2">
        <f t="shared" si="203"/>
        <v>88</v>
      </c>
    </row>
    <row r="13046" spans="1:12" ht="25" customHeight="1">
      <c r="A13046" s="2" t="s">
        <v>12</v>
      </c>
      <c r="B13046" s="2" t="str">
        <f>HYPERLINK("http://www.12365auto.com/zlts/20200202/446111.shtml","轮胎起皮")</f>
        <v>轮胎起皮</v>
      </c>
      <c r="C13046" s="2" t="s">
        <v>13</v>
      </c>
      <c r="D13046" s="2" t="s">
        <v>12</v>
      </c>
      <c r="E13046" s="2"/>
      <c r="F13046" s="2" t="str">
        <f>HYPERLINK("http://www.12365auto.com/zlts/20200202/446111.shtml","http://www.12365auto.com/zlts/20200202/446111.shtml")</f>
        <v>http://www.12365auto.com/zlts/20200202/446111.shtml</v>
      </c>
      <c r="G13046" s="2"/>
      <c r="H13046" s="2" t="s">
        <v>17421</v>
      </c>
      <c r="I13046" s="2" t="s">
        <v>15</v>
      </c>
      <c r="J13046" s="2" t="s">
        <v>12</v>
      </c>
      <c r="K13046" s="2" t="s">
        <v>17420</v>
      </c>
      <c r="L13046" s="2">
        <f t="shared" si="203"/>
        <v>91</v>
      </c>
    </row>
    <row r="13047" spans="1:12" ht="25" customHeight="1">
      <c r="A13047" s="2" t="s">
        <v>12</v>
      </c>
      <c r="B13047" s="2" t="str">
        <f>HYPERLINK("http://www.12365auto.com/news/20200202/417465.shtml","受疫情影响 长安福特复工时间延迟至2月10日")</f>
        <v>受疫情影响 长安福特复工时间延迟至2月10日</v>
      </c>
      <c r="C13047" s="2" t="s">
        <v>13</v>
      </c>
      <c r="D13047" s="2" t="s">
        <v>12</v>
      </c>
      <c r="E13047" s="2" t="s">
        <v>276</v>
      </c>
      <c r="F13047" s="2" t="str">
        <f>HYPERLINK("http://www.12365auto.com/news/20200202/417465.shtml","http://www.12365auto.com/news/20200202/417465.shtml")</f>
        <v>http://www.12365auto.com/news/20200202/417465.shtml</v>
      </c>
      <c r="G13047" s="2"/>
      <c r="H13047" s="2" t="s">
        <v>17422</v>
      </c>
      <c r="I13047" s="2" t="s">
        <v>15</v>
      </c>
      <c r="J13047" s="2" t="s">
        <v>12</v>
      </c>
      <c r="K13047" s="2" t="s">
        <v>17423</v>
      </c>
      <c r="L13047" s="2">
        <f t="shared" si="203"/>
        <v>106</v>
      </c>
    </row>
    <row r="13048" spans="1:12" ht="25" customHeight="1">
      <c r="A13048" s="2" t="s">
        <v>12</v>
      </c>
      <c r="B13048" s="2" t="str">
        <f>HYPERLINK("http://m.12365auto.com/news/20200202/417465.shtml","受疫情影响 长安福特复工时间延迟至2月10日")</f>
        <v>受疫情影响 长安福特复工时间延迟至2月10日</v>
      </c>
      <c r="C13048" s="2" t="s">
        <v>13</v>
      </c>
      <c r="D13048" s="2" t="s">
        <v>12</v>
      </c>
      <c r="E13048" s="2"/>
      <c r="F13048" s="2" t="str">
        <f>HYPERLINK("http://m.12365auto.com/news/20200202/417465.shtml","http://m.12365auto.com/news/20200202/417465.shtml")</f>
        <v>http://m.12365auto.com/news/20200202/417465.shtml</v>
      </c>
      <c r="G13048" s="2"/>
      <c r="H13048" s="2" t="s">
        <v>17424</v>
      </c>
      <c r="I13048" s="2" t="s">
        <v>19</v>
      </c>
      <c r="J13048" s="2" t="s">
        <v>12</v>
      </c>
      <c r="K13048" s="2" t="s">
        <v>17423</v>
      </c>
      <c r="L13048" s="2">
        <f t="shared" si="203"/>
        <v>106</v>
      </c>
    </row>
    <row r="13049" spans="1:12" ht="25" customHeight="1">
      <c r="A13049" s="2" t="s">
        <v>12</v>
      </c>
      <c r="B13049" s="2" t="str">
        <f>HYPERLINK("http://m.12365auto.com/news/20200202/417464.shtml","特斯拉上海工厂关闭 国产Model 3生产推迟")</f>
        <v>特斯拉上海工厂关闭 国产Model 3生产推迟</v>
      </c>
      <c r="C13049" s="2" t="s">
        <v>13</v>
      </c>
      <c r="D13049" s="2" t="s">
        <v>12</v>
      </c>
      <c r="E13049" s="2"/>
      <c r="F13049" s="2" t="str">
        <f>HYPERLINK("http://m.12365auto.com/news/20200202/417464.shtml","http://m.12365auto.com/news/20200202/417464.shtml")</f>
        <v>http://m.12365auto.com/news/20200202/417464.shtml</v>
      </c>
      <c r="G13049" s="2"/>
      <c r="H13049" s="2" t="s">
        <v>17425</v>
      </c>
      <c r="I13049" s="2" t="s">
        <v>19</v>
      </c>
      <c r="J13049" s="2" t="s">
        <v>12</v>
      </c>
      <c r="K13049" s="2" t="s">
        <v>17426</v>
      </c>
      <c r="L13049" s="2">
        <f t="shared" si="203"/>
        <v>150</v>
      </c>
    </row>
    <row r="13050" spans="1:12" ht="25" customHeight="1">
      <c r="A13050" s="2" t="s">
        <v>12</v>
      </c>
      <c r="B13050" s="2" t="str">
        <f>HYPERLINK("http://www.12365auto.com/news/20200202/417464.shtml","特斯拉上海工厂关闭 国产Model 3生产推迟")</f>
        <v>特斯拉上海工厂关闭 国产Model 3生产推迟</v>
      </c>
      <c r="C13050" s="2" t="s">
        <v>13</v>
      </c>
      <c r="D13050" s="2" t="s">
        <v>12</v>
      </c>
      <c r="E13050" s="2" t="s">
        <v>276</v>
      </c>
      <c r="F13050" s="2" t="str">
        <f>HYPERLINK("http://www.12365auto.com/news/20200202/417464.shtml","http://www.12365auto.com/news/20200202/417464.shtml")</f>
        <v>http://www.12365auto.com/news/20200202/417464.shtml</v>
      </c>
      <c r="G13050" s="2"/>
      <c r="H13050" s="2" t="s">
        <v>17427</v>
      </c>
      <c r="I13050" s="2" t="s">
        <v>15</v>
      </c>
      <c r="J13050" s="2" t="s">
        <v>12</v>
      </c>
      <c r="K13050" s="2" t="s">
        <v>17426</v>
      </c>
      <c r="L13050" s="2">
        <f t="shared" si="203"/>
        <v>150</v>
      </c>
    </row>
    <row r="13051" spans="1:12" ht="25" customHeight="1">
      <c r="A13051" s="2" t="s">
        <v>12</v>
      </c>
      <c r="B13051" s="2" t="str">
        <f>HYPERLINK("http://m.12365auto.com/news/20200202/417463.shtml","受疫情影响 本田在华工厂生产暂停至2月9日")</f>
        <v>受疫情影响 本田在华工厂生产暂停至2月9日</v>
      </c>
      <c r="C13051" s="2" t="s">
        <v>13</v>
      </c>
      <c r="D13051" s="2" t="s">
        <v>12</v>
      </c>
      <c r="E13051" s="2"/>
      <c r="F13051" s="2" t="str">
        <f>HYPERLINK("http://m.12365auto.com/news/20200202/417463.shtml","http://m.12365auto.com/news/20200202/417463.shtml")</f>
        <v>http://m.12365auto.com/news/20200202/417463.shtml</v>
      </c>
      <c r="G13051" s="2"/>
      <c r="H13051" s="2" t="s">
        <v>17428</v>
      </c>
      <c r="I13051" s="2" t="s">
        <v>19</v>
      </c>
      <c r="J13051" s="2" t="s">
        <v>12</v>
      </c>
      <c r="K13051" s="2" t="s">
        <v>17429</v>
      </c>
      <c r="L13051" s="2">
        <f t="shared" si="203"/>
        <v>144</v>
      </c>
    </row>
    <row r="13052" spans="1:12" ht="25" customHeight="1">
      <c r="A13052" s="2" t="s">
        <v>12</v>
      </c>
      <c r="B13052" s="2" t="str">
        <f>HYPERLINK("http://www.12365auto.com/news/20200202/417463.shtml","受疫情影响 本田在华工厂生产暂停至2月9日")</f>
        <v>受疫情影响 本田在华工厂生产暂停至2月9日</v>
      </c>
      <c r="C13052" s="2" t="s">
        <v>13</v>
      </c>
      <c r="D13052" s="2" t="s">
        <v>12</v>
      </c>
      <c r="E13052" s="2" t="s">
        <v>282</v>
      </c>
      <c r="F13052" s="2" t="str">
        <f>HYPERLINK("http://www.12365auto.com/news/20200202/417463.shtml","http://www.12365auto.com/news/20200202/417463.shtml")</f>
        <v>http://www.12365auto.com/news/20200202/417463.shtml</v>
      </c>
      <c r="G13052" s="2"/>
      <c r="H13052" s="2" t="s">
        <v>17430</v>
      </c>
      <c r="I13052" s="2" t="s">
        <v>19</v>
      </c>
      <c r="J13052" s="2" t="s">
        <v>12</v>
      </c>
      <c r="K13052" s="2" t="s">
        <v>17429</v>
      </c>
      <c r="L13052" s="2">
        <f t="shared" si="203"/>
        <v>144</v>
      </c>
    </row>
    <row r="13053" spans="1:12" ht="25" customHeight="1">
      <c r="A13053" s="2" t="s">
        <v>12</v>
      </c>
      <c r="B13053" s="2" t="str">
        <f>HYPERLINK("http://www.12365auto.com/news/20200202/417462.shtml","北汽集团携旗下10家单位再捐1700万元")</f>
        <v>北汽集团携旗下10家单位再捐1700万元</v>
      </c>
      <c r="C13053" s="2" t="s">
        <v>13</v>
      </c>
      <c r="D13053" s="2" t="s">
        <v>12</v>
      </c>
      <c r="E13053" s="2" t="s">
        <v>276</v>
      </c>
      <c r="F13053" s="2" t="str">
        <f>HYPERLINK("http://www.12365auto.com/news/20200202/417462.shtml","http://www.12365auto.com/news/20200202/417462.shtml")</f>
        <v>http://www.12365auto.com/news/20200202/417462.shtml</v>
      </c>
      <c r="G13053" s="2"/>
      <c r="H13053" s="2" t="s">
        <v>17431</v>
      </c>
      <c r="I13053" s="2" t="s">
        <v>15</v>
      </c>
      <c r="J13053" s="2" t="s">
        <v>12</v>
      </c>
      <c r="K13053" s="2" t="s">
        <v>17432</v>
      </c>
      <c r="L13053" s="2">
        <f t="shared" si="203"/>
        <v>150</v>
      </c>
    </row>
    <row r="13054" spans="1:12" ht="25" customHeight="1">
      <c r="A13054" s="2" t="s">
        <v>12</v>
      </c>
      <c r="B13054" s="2" t="str">
        <f>HYPERLINK("http://m.12365auto.com/news/20200202/417462.shtml","北汽集团携旗下10家单位再捐1700万元")</f>
        <v>北汽集团携旗下10家单位再捐1700万元</v>
      </c>
      <c r="C13054" s="2" t="s">
        <v>13</v>
      </c>
      <c r="D13054" s="2" t="s">
        <v>12</v>
      </c>
      <c r="E13054" s="2"/>
      <c r="F13054" s="2" t="str">
        <f>HYPERLINK("http://m.12365auto.com/news/20200202/417462.shtml","http://m.12365auto.com/news/20200202/417462.shtml")</f>
        <v>http://m.12365auto.com/news/20200202/417462.shtml</v>
      </c>
      <c r="G13054" s="2"/>
      <c r="H13054" s="2" t="s">
        <v>17433</v>
      </c>
      <c r="I13054" s="2" t="s">
        <v>19</v>
      </c>
      <c r="J13054" s="2" t="s">
        <v>12</v>
      </c>
      <c r="K13054" s="2" t="s">
        <v>17432</v>
      </c>
      <c r="L13054" s="2">
        <f t="shared" si="203"/>
        <v>150</v>
      </c>
    </row>
    <row r="13055" spans="1:12" ht="25" customHeight="1">
      <c r="A13055" s="2" t="s">
        <v>12</v>
      </c>
      <c r="B13055" s="2" t="str">
        <f>HYPERLINK("http://www.12365auto.com/news/20200202/417461.shtml","神龙发布通知：复工时间不早于2月13日24时")</f>
        <v>神龙发布通知：复工时间不早于2月13日24时</v>
      </c>
      <c r="C13055" s="2" t="s">
        <v>13</v>
      </c>
      <c r="D13055" s="2" t="s">
        <v>12</v>
      </c>
      <c r="E13055" s="2" t="s">
        <v>282</v>
      </c>
      <c r="F13055" s="2" t="str">
        <f>HYPERLINK("http://www.12365auto.com/news/20200202/417461.shtml","http://www.12365auto.com/news/20200202/417461.shtml")</f>
        <v>http://www.12365auto.com/news/20200202/417461.shtml</v>
      </c>
      <c r="G13055" s="2"/>
      <c r="H13055" s="2" t="s">
        <v>17434</v>
      </c>
      <c r="I13055" s="2" t="s">
        <v>19</v>
      </c>
      <c r="J13055" s="2" t="s">
        <v>12</v>
      </c>
      <c r="K13055" s="2" t="s">
        <v>17435</v>
      </c>
      <c r="L13055" s="2">
        <f t="shared" si="203"/>
        <v>150</v>
      </c>
    </row>
    <row r="13056" spans="1:12" ht="25" customHeight="1">
      <c r="A13056" s="2" t="s">
        <v>12</v>
      </c>
      <c r="B13056" s="2" t="str">
        <f>HYPERLINK("http://m.12365auto.com/news/20200202/417461.shtml","神龙发布通知：复工时间不早于2月13日24时")</f>
        <v>神龙发布通知：复工时间不早于2月13日24时</v>
      </c>
      <c r="C13056" s="2" t="s">
        <v>13</v>
      </c>
      <c r="D13056" s="2" t="s">
        <v>12</v>
      </c>
      <c r="E13056" s="2"/>
      <c r="F13056" s="2" t="str">
        <f>HYPERLINK("http://m.12365auto.com/news/20200202/417461.shtml","http://m.12365auto.com/news/20200202/417461.shtml")</f>
        <v>http://m.12365auto.com/news/20200202/417461.shtml</v>
      </c>
      <c r="G13056" s="2"/>
      <c r="H13056" s="2" t="s">
        <v>17436</v>
      </c>
      <c r="I13056" s="2" t="s">
        <v>19</v>
      </c>
      <c r="J13056" s="2" t="s">
        <v>12</v>
      </c>
      <c r="K13056" s="2" t="s">
        <v>17435</v>
      </c>
      <c r="L13056" s="2">
        <f t="shared" si="203"/>
        <v>150</v>
      </c>
    </row>
    <row r="13057" spans="1:12" ht="25" customHeight="1">
      <c r="A13057" s="2" t="s">
        <v>12</v>
      </c>
      <c r="B13057" s="2" t="str">
        <f>HYPERLINK("http://www.12365auto.com/zlts/20200202/446108.shtml","一汽大众奥迪A4L空调异味恶臭影响健康")</f>
        <v>一汽大众奥迪A4L空调异味恶臭影响健康</v>
      </c>
      <c r="C13057" s="2" t="s">
        <v>13</v>
      </c>
      <c r="D13057" s="2" t="s">
        <v>12</v>
      </c>
      <c r="E13057" s="2" t="s">
        <v>17</v>
      </c>
      <c r="F13057" s="2" t="str">
        <f>HYPERLINK("http://www.12365auto.com/zlts/20200202/446108.shtml","http://www.12365auto.com/zlts/20200202/446108.shtml")</f>
        <v>http://www.12365auto.com/zlts/20200202/446108.shtml</v>
      </c>
      <c r="G13057" s="2"/>
      <c r="H13057" s="2" t="s">
        <v>17437</v>
      </c>
      <c r="I13057" s="2" t="s">
        <v>19</v>
      </c>
      <c r="J13057" s="2" t="s">
        <v>12</v>
      </c>
      <c r="K13057" s="2" t="s">
        <v>17438</v>
      </c>
      <c r="L13057" s="2">
        <f t="shared" si="203"/>
        <v>150</v>
      </c>
    </row>
    <row r="13058" spans="1:12" ht="25" customHeight="1">
      <c r="A13058" s="2" t="s">
        <v>12</v>
      </c>
      <c r="B13058" s="2" t="str">
        <f>HYPERLINK("http://www.12365auto.com/news/20200202/417460.shtml","Stroll财团入股阿斯顿·马丁 持股16.7%")</f>
        <v>Stroll财团入股阿斯顿·马丁 持股16.7%</v>
      </c>
      <c r="C13058" s="2" t="s">
        <v>13</v>
      </c>
      <c r="D13058" s="2" t="s">
        <v>12</v>
      </c>
      <c r="E13058" s="2" t="s">
        <v>276</v>
      </c>
      <c r="F13058" s="2" t="str">
        <f>HYPERLINK("http://www.12365auto.com/news/20200202/417460.shtml","http://www.12365auto.com/news/20200202/417460.shtml")</f>
        <v>http://www.12365auto.com/news/20200202/417460.shtml</v>
      </c>
      <c r="G13058" s="2"/>
      <c r="H13058" s="2" t="s">
        <v>17439</v>
      </c>
      <c r="I13058" s="2" t="s">
        <v>15</v>
      </c>
      <c r="J13058" s="2" t="s">
        <v>12</v>
      </c>
      <c r="K13058" s="2" t="s">
        <v>17440</v>
      </c>
      <c r="L13058" s="2">
        <f t="shared" si="203"/>
        <v>150</v>
      </c>
    </row>
    <row r="13059" spans="1:12" ht="25" customHeight="1">
      <c r="A13059" s="2" t="s">
        <v>12</v>
      </c>
      <c r="B13059" s="2" t="str">
        <f>HYPERLINK("http://m.12365auto.com/news/20200202/417460.shtml","Stroll财团入股阿斯顿·马丁 持股16.7%")</f>
        <v>Stroll财团入股阿斯顿·马丁 持股16.7%</v>
      </c>
      <c r="C13059" s="2" t="s">
        <v>13</v>
      </c>
      <c r="D13059" s="2" t="s">
        <v>12</v>
      </c>
      <c r="E13059" s="2"/>
      <c r="F13059" s="2" t="str">
        <f>HYPERLINK("http://m.12365auto.com/news/20200202/417460.shtml","http://m.12365auto.com/news/20200202/417460.shtml")</f>
        <v>http://m.12365auto.com/news/20200202/417460.shtml</v>
      </c>
      <c r="G13059" s="2"/>
      <c r="H13059" s="2" t="s">
        <v>17441</v>
      </c>
      <c r="I13059" s="2" t="s">
        <v>19</v>
      </c>
      <c r="J13059" s="2" t="s">
        <v>12</v>
      </c>
      <c r="K13059" s="2" t="s">
        <v>17440</v>
      </c>
      <c r="L13059" s="2">
        <f t="shared" ref="L13059:L13122" si="204">LEN(H13059)</f>
        <v>150</v>
      </c>
    </row>
    <row r="13060" spans="1:12" ht="25" customHeight="1">
      <c r="A13060" s="2" t="s">
        <v>12</v>
      </c>
      <c r="B13060" s="2" t="str">
        <f>HYPERLINK("http://www.12365auto.com/zlts/20200202/446105.shtml","驾驶位座椅生锈")</f>
        <v>驾驶位座椅生锈</v>
      </c>
      <c r="C13060" s="2" t="s">
        <v>13</v>
      </c>
      <c r="D13060" s="2" t="s">
        <v>12</v>
      </c>
      <c r="E13060" s="2"/>
      <c r="F13060" s="2" t="str">
        <f>HYPERLINK("http://www.12365auto.com/zlts/20200202/446105.shtml","http://www.12365auto.com/zlts/20200202/446105.shtml")</f>
        <v>http://www.12365auto.com/zlts/20200202/446105.shtml</v>
      </c>
      <c r="G13060" s="2"/>
      <c r="H13060" s="2" t="s">
        <v>17443</v>
      </c>
      <c r="I13060" s="2" t="s">
        <v>15</v>
      </c>
      <c r="J13060" s="2" t="s">
        <v>12</v>
      </c>
      <c r="K13060" s="2" t="s">
        <v>17442</v>
      </c>
      <c r="L13060" s="2">
        <f t="shared" si="204"/>
        <v>83</v>
      </c>
    </row>
    <row r="13061" spans="1:12" ht="25" customHeight="1">
      <c r="A13061" s="2" t="s">
        <v>12</v>
      </c>
      <c r="B13061" s="2" t="str">
        <f>HYPERLINK("http://www.12365auto.com/news/20200202/417459.shtml","疫情期间 北京延长部分小客车指标使用期限")</f>
        <v>疫情期间 北京延长部分小客车指标使用期限</v>
      </c>
      <c r="C13061" s="2" t="s">
        <v>13</v>
      </c>
      <c r="D13061" s="2" t="s">
        <v>12</v>
      </c>
      <c r="E13061" s="2" t="s">
        <v>276</v>
      </c>
      <c r="F13061" s="2" t="str">
        <f>HYPERLINK("http://www.12365auto.com/news/20200202/417459.shtml","http://www.12365auto.com/news/20200202/417459.shtml")</f>
        <v>http://www.12365auto.com/news/20200202/417459.shtml</v>
      </c>
      <c r="G13061" s="2"/>
      <c r="H13061" s="2" t="s">
        <v>17444</v>
      </c>
      <c r="I13061" s="2" t="s">
        <v>15</v>
      </c>
      <c r="J13061" s="2" t="s">
        <v>12</v>
      </c>
      <c r="K13061" s="2" t="s">
        <v>17445</v>
      </c>
      <c r="L13061" s="2">
        <f t="shared" si="204"/>
        <v>150</v>
      </c>
    </row>
    <row r="13062" spans="1:12" ht="25" customHeight="1">
      <c r="A13062" s="2" t="s">
        <v>12</v>
      </c>
      <c r="B13062" s="2" t="str">
        <f>HYPERLINK("http://m.12365auto.com/news/20200202/417459.shtml","疫情期间 北京延长部分小客车指标使用期限")</f>
        <v>疫情期间 北京延长部分小客车指标使用期限</v>
      </c>
      <c r="C13062" s="2" t="s">
        <v>13</v>
      </c>
      <c r="D13062" s="2" t="s">
        <v>12</v>
      </c>
      <c r="E13062" s="2"/>
      <c r="F13062" s="2" t="str">
        <f>HYPERLINK("http://m.12365auto.com/news/20200202/417459.shtml","http://m.12365auto.com/news/20200202/417459.shtml")</f>
        <v>http://m.12365auto.com/news/20200202/417459.shtml</v>
      </c>
      <c r="G13062" s="2"/>
      <c r="H13062" s="2" t="s">
        <v>17446</v>
      </c>
      <c r="I13062" s="2" t="s">
        <v>19</v>
      </c>
      <c r="J13062" s="2" t="s">
        <v>12</v>
      </c>
      <c r="K13062" s="2" t="s">
        <v>17445</v>
      </c>
      <c r="L13062" s="2">
        <f t="shared" si="204"/>
        <v>150</v>
      </c>
    </row>
    <row r="13063" spans="1:12" ht="25" customHeight="1">
      <c r="A13063" s="2" t="s">
        <v>12</v>
      </c>
      <c r="B13063" s="2" t="str">
        <f>HYPERLINK("http://www.12365auto.com/zlts/20200202/446107.shtml","宝骏730出现多次质量问题无法维修")</f>
        <v>宝骏730出现多次质量问题无法维修</v>
      </c>
      <c r="C13063" s="2" t="s">
        <v>13</v>
      </c>
      <c r="D13063" s="2" t="s">
        <v>12</v>
      </c>
      <c r="E13063" s="2" t="s">
        <v>17</v>
      </c>
      <c r="F13063" s="2" t="str">
        <f>HYPERLINK("http://www.12365auto.com/zlts/20200202/446107.shtml","http://www.12365auto.com/zlts/20200202/446107.shtml")</f>
        <v>http://www.12365auto.com/zlts/20200202/446107.shtml</v>
      </c>
      <c r="G13063" s="2"/>
      <c r="H13063" s="2" t="s">
        <v>17447</v>
      </c>
      <c r="I13063" s="2" t="s">
        <v>19</v>
      </c>
      <c r="J13063" s="2" t="s">
        <v>12</v>
      </c>
      <c r="K13063" s="2" t="s">
        <v>17448</v>
      </c>
      <c r="L13063" s="2">
        <f t="shared" si="204"/>
        <v>150</v>
      </c>
    </row>
    <row r="13064" spans="1:12" ht="25" customHeight="1">
      <c r="A13064" s="2" t="s">
        <v>12</v>
      </c>
      <c r="B13064" s="2" t="str">
        <f>HYPERLINK("http://www.12365auto.com/zlts/20200202/446106.shtml","上汽大众帕萨特头枕错位无法更换")</f>
        <v>上汽大众帕萨特头枕错位无法更换</v>
      </c>
      <c r="C13064" s="2" t="s">
        <v>13</v>
      </c>
      <c r="D13064" s="2" t="s">
        <v>12</v>
      </c>
      <c r="E13064" s="2" t="s">
        <v>17</v>
      </c>
      <c r="F13064" s="2" t="str">
        <f>HYPERLINK("http://www.12365auto.com/zlts/20200202/446106.shtml","http://www.12365auto.com/zlts/20200202/446106.shtml")</f>
        <v>http://www.12365auto.com/zlts/20200202/446106.shtml</v>
      </c>
      <c r="G13064" s="2"/>
      <c r="H13064" s="2" t="s">
        <v>17449</v>
      </c>
      <c r="I13064" s="2" t="s">
        <v>19</v>
      </c>
      <c r="J13064" s="2" t="s">
        <v>12</v>
      </c>
      <c r="K13064" s="2" t="s">
        <v>17450</v>
      </c>
      <c r="L13064" s="2">
        <f t="shared" si="204"/>
        <v>150</v>
      </c>
    </row>
    <row r="13065" spans="1:12" ht="25" customHeight="1">
      <c r="A13065" s="2" t="s">
        <v>12</v>
      </c>
      <c r="B13065" s="2" t="str">
        <f>HYPERLINK("http://www.12365auto.com/xcdg/20200202/417458.shtml","约45.5万元起 曝奔驰GLC插混版海外价格")</f>
        <v>约45.5万元起 曝奔驰GLC插混版海外价格</v>
      </c>
      <c r="C13065" s="2" t="s">
        <v>13</v>
      </c>
      <c r="D13065" s="2" t="s">
        <v>12</v>
      </c>
      <c r="E13065" s="2" t="s">
        <v>216</v>
      </c>
      <c r="F13065" s="2" t="str">
        <f>HYPERLINK("http://www.12365auto.com/xcdg/20200202/417458.shtml","http://www.12365auto.com/xcdg/20200202/417458.shtml")</f>
        <v>http://www.12365auto.com/xcdg/20200202/417458.shtml</v>
      </c>
      <c r="G13065" s="2"/>
      <c r="H13065" s="2" t="s">
        <v>17451</v>
      </c>
      <c r="I13065" s="2" t="s">
        <v>15</v>
      </c>
      <c r="J13065" s="2" t="s">
        <v>12</v>
      </c>
      <c r="K13065" s="2" t="s">
        <v>17452</v>
      </c>
      <c r="L13065" s="2">
        <f t="shared" si="204"/>
        <v>150</v>
      </c>
    </row>
    <row r="13066" spans="1:12" ht="25" customHeight="1">
      <c r="A13066" s="2" t="s">
        <v>12</v>
      </c>
      <c r="B13066" s="2" t="str">
        <f>HYPERLINK("http://m.12365auto.com/xcdg/20200202/417458.shtml","约45.5万元起 曝奔驰GLC插混版海外价格")</f>
        <v>约45.5万元起 曝奔驰GLC插混版海外价格</v>
      </c>
      <c r="C13066" s="2" t="s">
        <v>13</v>
      </c>
      <c r="D13066" s="2" t="s">
        <v>12</v>
      </c>
      <c r="E13066" s="2"/>
      <c r="F13066" s="2" t="str">
        <f>HYPERLINK("http://m.12365auto.com/xcdg/20200202/417458.shtml","http://m.12365auto.com/xcdg/20200202/417458.shtml")</f>
        <v>http://m.12365auto.com/xcdg/20200202/417458.shtml</v>
      </c>
      <c r="G13066" s="2"/>
      <c r="H13066" s="2" t="s">
        <v>17453</v>
      </c>
      <c r="I13066" s="2" t="s">
        <v>19</v>
      </c>
      <c r="J13066" s="2" t="s">
        <v>297</v>
      </c>
      <c r="K13066" s="2" t="s">
        <v>17452</v>
      </c>
      <c r="L13066" s="2">
        <f t="shared" si="204"/>
        <v>150</v>
      </c>
    </row>
    <row r="13067" spans="1:12" ht="25" customHeight="1">
      <c r="A13067" s="2" t="s">
        <v>12</v>
      </c>
      <c r="B13067" s="2" t="str">
        <f>HYPERLINK("http://m.12365auto.com/news/20200202/417457.shtml","政策不明确 下一代MINI车型开发延缓")</f>
        <v>政策不明确 下一代MINI车型开发延缓</v>
      </c>
      <c r="C13067" s="2" t="s">
        <v>13</v>
      </c>
      <c r="D13067" s="2" t="s">
        <v>12</v>
      </c>
      <c r="E13067" s="2"/>
      <c r="F13067" s="2" t="str">
        <f>HYPERLINK("http://m.12365auto.com/news/20200202/417457.shtml","http://m.12365auto.com/news/20200202/417457.shtml")</f>
        <v>http://m.12365auto.com/news/20200202/417457.shtml</v>
      </c>
      <c r="G13067" s="2"/>
      <c r="H13067" s="2" t="s">
        <v>17454</v>
      </c>
      <c r="I13067" s="2" t="s">
        <v>19</v>
      </c>
      <c r="J13067" s="2" t="s">
        <v>2560</v>
      </c>
      <c r="K13067" s="2" t="s">
        <v>17455</v>
      </c>
      <c r="L13067" s="2">
        <f t="shared" si="204"/>
        <v>150</v>
      </c>
    </row>
    <row r="13068" spans="1:12" ht="25" customHeight="1">
      <c r="A13068" s="2" t="s">
        <v>12</v>
      </c>
      <c r="B13068" s="2" t="str">
        <f>HYPERLINK("http://www.12365auto.com/news/20200202/417457.shtml","政策不明确 下一代MINI车型开发延缓")</f>
        <v>政策不明确 下一代MINI车型开发延缓</v>
      </c>
      <c r="C13068" s="2" t="s">
        <v>13</v>
      </c>
      <c r="D13068" s="2" t="s">
        <v>12</v>
      </c>
      <c r="E13068" s="2" t="s">
        <v>276</v>
      </c>
      <c r="F13068" s="2" t="str">
        <f>HYPERLINK("http://www.12365auto.com/news/20200202/417457.shtml","http://www.12365auto.com/news/20200202/417457.shtml")</f>
        <v>http://www.12365auto.com/news/20200202/417457.shtml</v>
      </c>
      <c r="G13068" s="2"/>
      <c r="H13068" s="2" t="s">
        <v>17456</v>
      </c>
      <c r="I13068" s="2" t="s">
        <v>15</v>
      </c>
      <c r="J13068" s="2" t="s">
        <v>12</v>
      </c>
      <c r="K13068" s="2" t="s">
        <v>17455</v>
      </c>
      <c r="L13068" s="2">
        <f t="shared" si="204"/>
        <v>150</v>
      </c>
    </row>
    <row r="13069" spans="1:12" ht="25" customHeight="1">
      <c r="A13069" s="2" t="s">
        <v>12</v>
      </c>
      <c r="B13069" s="2" t="str">
        <f>HYPERLINK("http://m.12365auto.com/news/20200202/417456.shtml","抗击疫情 宝马工厂延长假期至2月9日")</f>
        <v>抗击疫情 宝马工厂延长假期至2月9日</v>
      </c>
      <c r="C13069" s="2" t="s">
        <v>13</v>
      </c>
      <c r="D13069" s="2" t="s">
        <v>12</v>
      </c>
      <c r="E13069" s="2"/>
      <c r="F13069" s="2" t="str">
        <f>HYPERLINK("http://m.12365auto.com/news/20200202/417456.shtml","http://m.12365auto.com/news/20200202/417456.shtml")</f>
        <v>http://m.12365auto.com/news/20200202/417456.shtml</v>
      </c>
      <c r="G13069" s="2"/>
      <c r="H13069" s="2" t="s">
        <v>17457</v>
      </c>
      <c r="I13069" s="2" t="s">
        <v>19</v>
      </c>
      <c r="J13069" s="2" t="s">
        <v>1968</v>
      </c>
      <c r="K13069" s="2" t="s">
        <v>17458</v>
      </c>
      <c r="L13069" s="2">
        <f t="shared" si="204"/>
        <v>150</v>
      </c>
    </row>
    <row r="13070" spans="1:12" ht="25" customHeight="1">
      <c r="A13070" s="2" t="s">
        <v>12</v>
      </c>
      <c r="B13070" s="2" t="str">
        <f>HYPERLINK("http://www.12365auto.com/news/20200202/417456.shtml","抗击疫情 宝马工厂延长假期至2月9日")</f>
        <v>抗击疫情 宝马工厂延长假期至2月9日</v>
      </c>
      <c r="C13070" s="2" t="s">
        <v>13</v>
      </c>
      <c r="D13070" s="2" t="s">
        <v>12</v>
      </c>
      <c r="E13070" s="2" t="s">
        <v>276</v>
      </c>
      <c r="F13070" s="2" t="str">
        <f>HYPERLINK("http://www.12365auto.com/news/20200202/417456.shtml","http://www.12365auto.com/news/20200202/417456.shtml")</f>
        <v>http://www.12365auto.com/news/20200202/417456.shtml</v>
      </c>
      <c r="G13070" s="2"/>
      <c r="H13070" s="2" t="s">
        <v>17459</v>
      </c>
      <c r="I13070" s="2" t="s">
        <v>15</v>
      </c>
      <c r="J13070" s="2" t="s">
        <v>12</v>
      </c>
      <c r="K13070" s="2" t="s">
        <v>17458</v>
      </c>
      <c r="L13070" s="2">
        <f t="shared" si="204"/>
        <v>150</v>
      </c>
    </row>
    <row r="13071" spans="1:12" ht="25" customHeight="1">
      <c r="A13071" s="2" t="s">
        <v>12</v>
      </c>
      <c r="B13071" s="2" t="str">
        <f>HYPERLINK("http://bbs.12365auto.com/postcontent.aspx?tID=193170","丰田凯美瑞2.5S新车出现生锈")</f>
        <v>丰田凯美瑞2.5S新车出现生锈</v>
      </c>
      <c r="C13071" s="2" t="s">
        <v>13</v>
      </c>
      <c r="D13071" s="2" t="s">
        <v>12</v>
      </c>
      <c r="E13071" s="2" t="s">
        <v>17460</v>
      </c>
      <c r="F13071" s="2" t="str">
        <f>HYPERLINK("http://bbs.12365auto.com/postcontent.aspx?tID=193170","http://bbs.12365auto.com/postcontent.aspx?tID=193170")</f>
        <v>http://bbs.12365auto.com/postcontent.aspx?tID=193170</v>
      </c>
      <c r="G13071" s="2"/>
      <c r="H13071" s="2" t="s">
        <v>17461</v>
      </c>
      <c r="I13071" s="2" t="s">
        <v>15</v>
      </c>
      <c r="J13071" s="2" t="s">
        <v>17462</v>
      </c>
      <c r="K13071" s="2" t="s">
        <v>17463</v>
      </c>
      <c r="L13071" s="2">
        <f t="shared" si="204"/>
        <v>128</v>
      </c>
    </row>
    <row r="13072" spans="1:12" ht="25" customHeight="1">
      <c r="A13072" s="2" t="s">
        <v>12</v>
      </c>
      <c r="B13072" s="2" t="str">
        <f>HYPERLINK("http://bbs.12365auto.com/postcontent.aspx?tId=193170","丰田凯美瑞2.5S新车出现生锈")</f>
        <v>丰田凯美瑞2.5S新车出现生锈</v>
      </c>
      <c r="C13072" s="2" t="s">
        <v>13</v>
      </c>
      <c r="D13072" s="2" t="s">
        <v>12</v>
      </c>
      <c r="E13072" s="2" t="s">
        <v>13124</v>
      </c>
      <c r="F13072" s="2" t="str">
        <f>HYPERLINK("http://bbs.12365auto.com/postcontent.aspx?tId=193170","http://bbs.12365auto.com/postcontent.aspx?tId=193170")</f>
        <v>http://bbs.12365auto.com/postcontent.aspx?tId=193170</v>
      </c>
      <c r="G13072" s="2"/>
      <c r="H13072" s="2" t="s">
        <v>17464</v>
      </c>
      <c r="I13072" s="2" t="s">
        <v>15</v>
      </c>
      <c r="J13072" s="2" t="s">
        <v>17462</v>
      </c>
      <c r="K13072" s="2" t="s">
        <v>17463</v>
      </c>
      <c r="L13072" s="2">
        <f t="shared" si="204"/>
        <v>110</v>
      </c>
    </row>
    <row r="13073" spans="1:12" ht="25" customHeight="1">
      <c r="A13073" s="2" t="s">
        <v>12</v>
      </c>
      <c r="B13073" s="2" t="str">
        <f>HYPERLINK("http://m.12365auto.com/bbs/postcontent.aspx?tID=193170","丰田凯美瑞2.5S新车出现生锈")</f>
        <v>丰田凯美瑞2.5S新车出现生锈</v>
      </c>
      <c r="C13073" s="2" t="s">
        <v>13</v>
      </c>
      <c r="D13073" s="2" t="s">
        <v>23</v>
      </c>
      <c r="E13073" s="2"/>
      <c r="F13073" s="2" t="str">
        <f>HYPERLINK("http://m.12365auto.com/bbs/postcontent.aspx?tID=193170","http://m.12365auto.com/bbs/postcontent.aspx?tID=193170")</f>
        <v>http://m.12365auto.com/bbs/postcontent.aspx?tID=193170</v>
      </c>
      <c r="G13073" s="2"/>
      <c r="H13073" s="2" t="s">
        <v>17464</v>
      </c>
      <c r="I13073" s="2" t="s">
        <v>15</v>
      </c>
      <c r="J13073" s="2" t="s">
        <v>17462</v>
      </c>
      <c r="K13073" s="2" t="s">
        <v>17463</v>
      </c>
      <c r="L13073" s="2">
        <f t="shared" si="204"/>
        <v>110</v>
      </c>
    </row>
    <row r="13074" spans="1:12" ht="25" customHeight="1">
      <c r="A13074" s="2" t="s">
        <v>12</v>
      </c>
      <c r="B13074" s="2" t="str">
        <f>HYPERLINK("http://m.12365auto.com/news/20200202/417455.shtml","三城争夺举办权 法兰克福车展择地举行")</f>
        <v>三城争夺举办权 法兰克福车展择地举行</v>
      </c>
      <c r="C13074" s="2" t="s">
        <v>13</v>
      </c>
      <c r="D13074" s="2" t="s">
        <v>12</v>
      </c>
      <c r="E13074" s="2"/>
      <c r="F13074" s="2" t="str">
        <f>HYPERLINK("http://m.12365auto.com/news/20200202/417455.shtml","http://m.12365auto.com/news/20200202/417455.shtml")</f>
        <v>http://m.12365auto.com/news/20200202/417455.shtml</v>
      </c>
      <c r="G13074" s="2"/>
      <c r="H13074" s="2" t="s">
        <v>17465</v>
      </c>
      <c r="I13074" s="2" t="s">
        <v>19</v>
      </c>
      <c r="J13074" s="2" t="s">
        <v>1968</v>
      </c>
      <c r="K13074" s="2" t="s">
        <v>17466</v>
      </c>
      <c r="L13074" s="2">
        <f t="shared" si="204"/>
        <v>150</v>
      </c>
    </row>
    <row r="13075" spans="1:12" ht="25" customHeight="1">
      <c r="A13075" s="2" t="s">
        <v>12</v>
      </c>
      <c r="B13075" s="2" t="str">
        <f>HYPERLINK("http://www.12365auto.com/news/20200202/417455.shtml","三城争夺举办权 法兰克福车展择地举行")</f>
        <v>三城争夺举办权 法兰克福车展择地举行</v>
      </c>
      <c r="C13075" s="2" t="s">
        <v>13</v>
      </c>
      <c r="D13075" s="2" t="s">
        <v>12</v>
      </c>
      <c r="E13075" s="2" t="s">
        <v>282</v>
      </c>
      <c r="F13075" s="2" t="str">
        <f>HYPERLINK("http://www.12365auto.com/news/20200202/417455.shtml","http://www.12365auto.com/news/20200202/417455.shtml")</f>
        <v>http://www.12365auto.com/news/20200202/417455.shtml</v>
      </c>
      <c r="G13075" s="2"/>
      <c r="H13075" s="2" t="s">
        <v>17467</v>
      </c>
      <c r="I13075" s="2" t="s">
        <v>19</v>
      </c>
      <c r="J13075" s="2" t="s">
        <v>12</v>
      </c>
      <c r="K13075" s="2" t="s">
        <v>17466</v>
      </c>
      <c r="L13075" s="2">
        <f t="shared" si="204"/>
        <v>150</v>
      </c>
    </row>
    <row r="13076" spans="1:12" ht="25" customHeight="1">
      <c r="A13076" s="2" t="s">
        <v>12</v>
      </c>
      <c r="B13076" s="2" t="str">
        <f>HYPERLINK("http://m.12365auto.com/news/20200202/417454.shtml","或变后驱 林肯确认MKZ车型将于今年停产")</f>
        <v>或变后驱 林肯确认MKZ车型将于今年停产</v>
      </c>
      <c r="C13076" s="2" t="s">
        <v>13</v>
      </c>
      <c r="D13076" s="2" t="s">
        <v>12</v>
      </c>
      <c r="E13076" s="2"/>
      <c r="F13076" s="2" t="str">
        <f>HYPERLINK("http://m.12365auto.com/news/20200202/417454.shtml","http://m.12365auto.com/news/20200202/417454.shtml")</f>
        <v>http://m.12365auto.com/news/20200202/417454.shtml</v>
      </c>
      <c r="G13076" s="2"/>
      <c r="H13076" s="2" t="s">
        <v>17468</v>
      </c>
      <c r="I13076" s="2" t="s">
        <v>19</v>
      </c>
      <c r="J13076" s="2" t="s">
        <v>2560</v>
      </c>
      <c r="K13076" s="2" t="s">
        <v>17469</v>
      </c>
      <c r="L13076" s="2">
        <f t="shared" si="204"/>
        <v>150</v>
      </c>
    </row>
    <row r="13077" spans="1:12" ht="25" customHeight="1">
      <c r="A13077" s="2" t="s">
        <v>12</v>
      </c>
      <c r="B13077" s="2" t="str">
        <f>HYPERLINK("http://www.12365auto.com/news/20200202/417454.shtml","或变后驱 林肯确认MKZ车型将于今年停产")</f>
        <v>或变后驱 林肯确认MKZ车型将于今年停产</v>
      </c>
      <c r="C13077" s="2" t="s">
        <v>13</v>
      </c>
      <c r="D13077" s="2" t="s">
        <v>12</v>
      </c>
      <c r="E13077" s="2" t="s">
        <v>282</v>
      </c>
      <c r="F13077" s="2" t="str">
        <f>HYPERLINK("http://www.12365auto.com/news/20200202/417454.shtml","http://www.12365auto.com/news/20200202/417454.shtml")</f>
        <v>http://www.12365auto.com/news/20200202/417454.shtml</v>
      </c>
      <c r="G13077" s="2"/>
      <c r="H13077" s="2" t="s">
        <v>17470</v>
      </c>
      <c r="I13077" s="2" t="s">
        <v>19</v>
      </c>
      <c r="J13077" s="2" t="s">
        <v>12</v>
      </c>
      <c r="K13077" s="2" t="s">
        <v>17469</v>
      </c>
      <c r="L13077" s="2">
        <f t="shared" si="204"/>
        <v>150</v>
      </c>
    </row>
    <row r="13078" spans="1:12" ht="25" customHeight="1">
      <c r="A13078" s="2" t="s">
        <v>12</v>
      </c>
      <c r="B13078" s="2" t="str">
        <f>HYPERLINK("http://www.12365auto.com/xcdg/20200202/417453.shtml","高级感提升明显 比亚迪汉内饰谍照曝光")</f>
        <v>高级感提升明显 比亚迪汉内饰谍照曝光</v>
      </c>
      <c r="C13078" s="2" t="s">
        <v>13</v>
      </c>
      <c r="D13078" s="2" t="s">
        <v>12</v>
      </c>
      <c r="E13078" s="2" t="s">
        <v>224</v>
      </c>
      <c r="F13078" s="2" t="str">
        <f>HYPERLINK("http://www.12365auto.com/xcdg/20200202/417453.shtml","http://www.12365auto.com/xcdg/20200202/417453.shtml")</f>
        <v>http://www.12365auto.com/xcdg/20200202/417453.shtml</v>
      </c>
      <c r="G13078" s="2"/>
      <c r="H13078" s="2" t="s">
        <v>17471</v>
      </c>
      <c r="I13078" s="2" t="s">
        <v>15</v>
      </c>
      <c r="J13078" s="2" t="s">
        <v>12</v>
      </c>
      <c r="K13078" s="2" t="s">
        <v>17472</v>
      </c>
      <c r="L13078" s="2">
        <f t="shared" si="204"/>
        <v>150</v>
      </c>
    </row>
    <row r="13079" spans="1:12" ht="25" customHeight="1">
      <c r="A13079" s="2" t="s">
        <v>12</v>
      </c>
      <c r="B13079" s="2" t="str">
        <f>HYPERLINK("http://m.12365auto.com/xcdg/20200202/417453.shtml","高级感提升明显 比亚迪汉内饰谍照曝光")</f>
        <v>高级感提升明显 比亚迪汉内饰谍照曝光</v>
      </c>
      <c r="C13079" s="2" t="s">
        <v>13</v>
      </c>
      <c r="D13079" s="2" t="s">
        <v>12</v>
      </c>
      <c r="E13079" s="2"/>
      <c r="F13079" s="2" t="str">
        <f>HYPERLINK("http://m.12365auto.com/xcdg/20200202/417453.shtml","http://m.12365auto.com/xcdg/20200202/417453.shtml")</f>
        <v>http://m.12365auto.com/xcdg/20200202/417453.shtml</v>
      </c>
      <c r="G13079" s="2"/>
      <c r="H13079" s="2" t="s">
        <v>17473</v>
      </c>
      <c r="I13079" s="2" t="s">
        <v>19</v>
      </c>
      <c r="J13079" s="2" t="s">
        <v>855</v>
      </c>
      <c r="K13079" s="2" t="s">
        <v>17472</v>
      </c>
      <c r="L13079" s="2">
        <f t="shared" si="204"/>
        <v>150</v>
      </c>
    </row>
    <row r="13080" spans="1:12" ht="25" customHeight="1">
      <c r="A13080" s="2" t="s">
        <v>12</v>
      </c>
      <c r="B13080" s="2" t="str">
        <f>HYPERLINK("http://m.12365auto.com/news/20200202/417452.shtml","抗击疫情 诸多车企及供应商延期开工")</f>
        <v>抗击疫情 诸多车企及供应商延期开工</v>
      </c>
      <c r="C13080" s="2" t="s">
        <v>13</v>
      </c>
      <c r="D13080" s="2" t="s">
        <v>12</v>
      </c>
      <c r="E13080" s="2"/>
      <c r="F13080" s="2" t="str">
        <f>HYPERLINK("http://m.12365auto.com/news/20200202/417452.shtml","http://m.12365auto.com/news/20200202/417452.shtml")</f>
        <v>http://m.12365auto.com/news/20200202/417452.shtml</v>
      </c>
      <c r="G13080" s="2"/>
      <c r="H13080" s="2" t="s">
        <v>17474</v>
      </c>
      <c r="I13080" s="2" t="s">
        <v>19</v>
      </c>
      <c r="J13080" s="2" t="s">
        <v>1968</v>
      </c>
      <c r="K13080" s="2" t="s">
        <v>17475</v>
      </c>
      <c r="L13080" s="2">
        <f t="shared" si="204"/>
        <v>150</v>
      </c>
    </row>
    <row r="13081" spans="1:12" ht="25" customHeight="1">
      <c r="A13081" s="2" t="s">
        <v>12</v>
      </c>
      <c r="B13081" s="2" t="str">
        <f>HYPERLINK("http://www.12365auto.com/news/20200202/417452.shtml","抗击疫情 诸多车企及供应商延期开工")</f>
        <v>抗击疫情 诸多车企及供应商延期开工</v>
      </c>
      <c r="C13081" s="2" t="s">
        <v>13</v>
      </c>
      <c r="D13081" s="2" t="s">
        <v>12</v>
      </c>
      <c r="E13081" s="2" t="s">
        <v>276</v>
      </c>
      <c r="F13081" s="2" t="str">
        <f>HYPERLINK("http://www.12365auto.com/news/20200202/417452.shtml","http://www.12365auto.com/news/20200202/417452.shtml")</f>
        <v>http://www.12365auto.com/news/20200202/417452.shtml</v>
      </c>
      <c r="G13081" s="2"/>
      <c r="H13081" s="2" t="s">
        <v>17476</v>
      </c>
      <c r="I13081" s="2" t="s">
        <v>15</v>
      </c>
      <c r="J13081" s="2" t="s">
        <v>12</v>
      </c>
      <c r="K13081" s="2" t="s">
        <v>17475</v>
      </c>
      <c r="L13081" s="2">
        <f t="shared" si="204"/>
        <v>150</v>
      </c>
    </row>
    <row r="13082" spans="1:12" ht="25" customHeight="1">
      <c r="A13082" s="2" t="s">
        <v>12</v>
      </c>
      <c r="B13082" s="2" t="str">
        <f>HYPERLINK("http://www.12365auto.com/news/20200202/417451.shtml","大众出价29亿美元收购美国卡车制造商")</f>
        <v>大众出价29亿美元收购美国卡车制造商</v>
      </c>
      <c r="C13082" s="2" t="s">
        <v>13</v>
      </c>
      <c r="D13082" s="2" t="s">
        <v>12</v>
      </c>
      <c r="E13082" s="2" t="s">
        <v>276</v>
      </c>
      <c r="F13082" s="2" t="str">
        <f>HYPERLINK("http://www.12365auto.com/news/20200202/417451.shtml","http://www.12365auto.com/news/20200202/417451.shtml")</f>
        <v>http://www.12365auto.com/news/20200202/417451.shtml</v>
      </c>
      <c r="G13082" s="2"/>
      <c r="H13082" s="2" t="s">
        <v>17477</v>
      </c>
      <c r="I13082" s="2" t="s">
        <v>15</v>
      </c>
      <c r="J13082" s="2" t="s">
        <v>12</v>
      </c>
      <c r="K13082" s="2" t="s">
        <v>17478</v>
      </c>
      <c r="L13082" s="2">
        <f t="shared" si="204"/>
        <v>150</v>
      </c>
    </row>
    <row r="13083" spans="1:12" ht="25" customHeight="1">
      <c r="A13083" s="2" t="s">
        <v>12</v>
      </c>
      <c r="B13083" s="2" t="str">
        <f>HYPERLINK("http://m.12365auto.com/news/20200202/417451.shtml","大众出价29亿美元收购美国卡车制造商")</f>
        <v>大众出价29亿美元收购美国卡车制造商</v>
      </c>
      <c r="C13083" s="2" t="s">
        <v>13</v>
      </c>
      <c r="D13083" s="2" t="s">
        <v>12</v>
      </c>
      <c r="E13083" s="2"/>
      <c r="F13083" s="2" t="str">
        <f>HYPERLINK("http://m.12365auto.com/news/20200202/417451.shtml","http://m.12365auto.com/news/20200202/417451.shtml")</f>
        <v>http://m.12365auto.com/news/20200202/417451.shtml</v>
      </c>
      <c r="G13083" s="2"/>
      <c r="H13083" s="2" t="s">
        <v>17479</v>
      </c>
      <c r="I13083" s="2" t="s">
        <v>19</v>
      </c>
      <c r="J13083" s="2" t="s">
        <v>1968</v>
      </c>
      <c r="K13083" s="2" t="s">
        <v>17478</v>
      </c>
      <c r="L13083" s="2">
        <f t="shared" si="204"/>
        <v>150</v>
      </c>
    </row>
    <row r="13084" spans="1:12" ht="25" customHeight="1">
      <c r="A13084" s="2" t="s">
        <v>12</v>
      </c>
      <c r="B13084" s="2" t="str">
        <f>HYPERLINK("http://www.12365auto.com/zlts/20200202/446104.shtml","一汽丰田威驰鸣笛喇叭线束断裂希望处理")</f>
        <v>一汽丰田威驰鸣笛喇叭线束断裂希望处理</v>
      </c>
      <c r="C13084" s="2" t="s">
        <v>13</v>
      </c>
      <c r="D13084" s="2" t="s">
        <v>12</v>
      </c>
      <c r="E13084" s="2" t="s">
        <v>17</v>
      </c>
      <c r="F13084" s="2" t="str">
        <f>HYPERLINK("http://www.12365auto.com/zlts/20200202/446104.shtml","http://www.12365auto.com/zlts/20200202/446104.shtml")</f>
        <v>http://www.12365auto.com/zlts/20200202/446104.shtml</v>
      </c>
      <c r="G13084" s="2"/>
      <c r="H13084" s="2" t="s">
        <v>17480</v>
      </c>
      <c r="I13084" s="2" t="s">
        <v>19</v>
      </c>
      <c r="J13084" s="2" t="s">
        <v>12</v>
      </c>
      <c r="K13084" s="2" t="s">
        <v>17481</v>
      </c>
      <c r="L13084" s="2">
        <f t="shared" si="204"/>
        <v>150</v>
      </c>
    </row>
    <row r="13085" spans="1:12" ht="25" customHeight="1">
      <c r="A13085" s="2" t="s">
        <v>12</v>
      </c>
      <c r="B13085" s="2" t="str">
        <f>HYPERLINK("http://www.12365auto.com/news/20200202/417450.shtml","捐赠200万元 江淮大众驰援武汉抗疫情")</f>
        <v>捐赠200万元 江淮大众驰援武汉抗疫情</v>
      </c>
      <c r="C13085" s="2" t="s">
        <v>13</v>
      </c>
      <c r="D13085" s="2" t="s">
        <v>12</v>
      </c>
      <c r="E13085" s="2" t="s">
        <v>276</v>
      </c>
      <c r="F13085" s="2" t="str">
        <f>HYPERLINK("http://www.12365auto.com/news/20200202/417450.shtml","http://www.12365auto.com/news/20200202/417450.shtml")</f>
        <v>http://www.12365auto.com/news/20200202/417450.shtml</v>
      </c>
      <c r="G13085" s="2"/>
      <c r="H13085" s="2" t="s">
        <v>14282</v>
      </c>
      <c r="I13085" s="2" t="s">
        <v>15</v>
      </c>
      <c r="J13085" s="2" t="s">
        <v>12</v>
      </c>
      <c r="K13085" s="2" t="s">
        <v>17482</v>
      </c>
      <c r="L13085" s="2">
        <f t="shared" si="204"/>
        <v>150</v>
      </c>
    </row>
    <row r="13086" spans="1:12" ht="25" customHeight="1">
      <c r="A13086" s="2" t="s">
        <v>12</v>
      </c>
      <c r="B13086" s="2" t="str">
        <f>HYPERLINK("http://m.12365auto.com/news/20200202/417450.shtml","捐赠200万元 江淮大众驰援武汉抗疫情")</f>
        <v>捐赠200万元 江淮大众驰援武汉抗疫情</v>
      </c>
      <c r="C13086" s="2" t="s">
        <v>13</v>
      </c>
      <c r="D13086" s="2" t="s">
        <v>12</v>
      </c>
      <c r="E13086" s="2"/>
      <c r="F13086" s="2" t="str">
        <f>HYPERLINK("http://m.12365auto.com/news/20200202/417450.shtml","http://m.12365auto.com/news/20200202/417450.shtml")</f>
        <v>http://m.12365auto.com/news/20200202/417450.shtml</v>
      </c>
      <c r="G13086" s="2"/>
      <c r="H13086" s="2" t="s">
        <v>14284</v>
      </c>
      <c r="I13086" s="2" t="s">
        <v>19</v>
      </c>
      <c r="J13086" s="2" t="s">
        <v>1968</v>
      </c>
      <c r="K13086" s="2" t="s">
        <v>17482</v>
      </c>
      <c r="L13086" s="2">
        <f t="shared" si="204"/>
        <v>150</v>
      </c>
    </row>
    <row r="13087" spans="1:12" ht="25" customHeight="1">
      <c r="A13087" s="2" t="s">
        <v>12</v>
      </c>
      <c r="B13087" s="2" t="str">
        <f>HYPERLINK("http://www.12365auto.com/zlts/20200202/446102.shtml","一汽丰田卡罗拉引擎盖锁自动开启影响安全")</f>
        <v>一汽丰田卡罗拉引擎盖锁自动开启影响安全</v>
      </c>
      <c r="C13087" s="2" t="s">
        <v>13</v>
      </c>
      <c r="D13087" s="2" t="s">
        <v>12</v>
      </c>
      <c r="E13087" s="2" t="s">
        <v>17</v>
      </c>
      <c r="F13087" s="2" t="str">
        <f>HYPERLINK("http://www.12365auto.com/zlts/20200202/446102.shtml","http://www.12365auto.com/zlts/20200202/446102.shtml")</f>
        <v>http://www.12365auto.com/zlts/20200202/446102.shtml</v>
      </c>
      <c r="G13087" s="2"/>
      <c r="H13087" s="2" t="s">
        <v>17483</v>
      </c>
      <c r="I13087" s="2" t="s">
        <v>19</v>
      </c>
      <c r="J13087" s="2" t="s">
        <v>12</v>
      </c>
      <c r="K13087" s="2" t="s">
        <v>17484</v>
      </c>
      <c r="L13087" s="2">
        <f t="shared" si="204"/>
        <v>150</v>
      </c>
    </row>
    <row r="13088" spans="1:12" ht="25" customHeight="1">
      <c r="A13088" s="2" t="s">
        <v>12</v>
      </c>
      <c r="B13088" s="2" t="str">
        <f>HYPERLINK("http://www.12365auto.com/xcdg/20200202/417449.shtml","近期发布 大众将推出电动高尔夫R概念车")</f>
        <v>近期发布 大众将推出电动高尔夫R概念车</v>
      </c>
      <c r="C13088" s="2" t="s">
        <v>13</v>
      </c>
      <c r="D13088" s="2" t="s">
        <v>12</v>
      </c>
      <c r="E13088" s="2" t="s">
        <v>216</v>
      </c>
      <c r="F13088" s="2" t="str">
        <f>HYPERLINK("http://www.12365auto.com/xcdg/20200202/417449.shtml","http://www.12365auto.com/xcdg/20200202/417449.shtml")</f>
        <v>http://www.12365auto.com/xcdg/20200202/417449.shtml</v>
      </c>
      <c r="G13088" s="2"/>
      <c r="H13088" s="2" t="s">
        <v>17485</v>
      </c>
      <c r="I13088" s="2" t="s">
        <v>15</v>
      </c>
      <c r="J13088" s="2" t="s">
        <v>12</v>
      </c>
      <c r="K13088" s="2" t="s">
        <v>17486</v>
      </c>
      <c r="L13088" s="2">
        <f t="shared" si="204"/>
        <v>150</v>
      </c>
    </row>
    <row r="13089" spans="1:12" ht="25" customHeight="1">
      <c r="A13089" s="2" t="s">
        <v>12</v>
      </c>
      <c r="B13089" s="2" t="str">
        <f>HYPERLINK("http://m.12365auto.com/xcdg/20200202/417449.shtml","近期发布 大众将推出电动高尔夫R概念车")</f>
        <v>近期发布 大众将推出电动高尔夫R概念车</v>
      </c>
      <c r="C13089" s="2" t="s">
        <v>13</v>
      </c>
      <c r="D13089" s="2" t="s">
        <v>12</v>
      </c>
      <c r="E13089" s="2"/>
      <c r="F13089" s="2" t="str">
        <f>HYPERLINK("http://m.12365auto.com/xcdg/20200202/417449.shtml","http://m.12365auto.com/xcdg/20200202/417449.shtml")</f>
        <v>http://m.12365auto.com/xcdg/20200202/417449.shtml</v>
      </c>
      <c r="G13089" s="2"/>
      <c r="H13089" s="2" t="s">
        <v>17487</v>
      </c>
      <c r="I13089" s="2" t="s">
        <v>19</v>
      </c>
      <c r="J13089" s="2" t="s">
        <v>2560</v>
      </c>
      <c r="K13089" s="2" t="s">
        <v>17486</v>
      </c>
      <c r="L13089" s="2">
        <f t="shared" si="204"/>
        <v>150</v>
      </c>
    </row>
    <row r="13090" spans="1:12" ht="25" customHeight="1">
      <c r="A13090" s="2" t="s">
        <v>12</v>
      </c>
      <c r="B13090" s="2" t="str">
        <f>HYPERLINK("http://www.12365auto.com/news/20200202/417448.shtml","减少疫情损失 企业将获不可抗力证明")</f>
        <v>减少疫情损失 企业将获不可抗力证明</v>
      </c>
      <c r="C13090" s="2" t="s">
        <v>13</v>
      </c>
      <c r="D13090" s="2" t="s">
        <v>12</v>
      </c>
      <c r="E13090" s="2" t="s">
        <v>276</v>
      </c>
      <c r="F13090" s="2" t="str">
        <f>HYPERLINK("http://www.12365auto.com/news/20200202/417448.shtml","http://www.12365auto.com/news/20200202/417448.shtml")</f>
        <v>http://www.12365auto.com/news/20200202/417448.shtml</v>
      </c>
      <c r="G13090" s="2"/>
      <c r="H13090" s="2" t="s">
        <v>17488</v>
      </c>
      <c r="I13090" s="2" t="s">
        <v>15</v>
      </c>
      <c r="J13090" s="2" t="s">
        <v>12</v>
      </c>
      <c r="K13090" s="2" t="s">
        <v>17489</v>
      </c>
      <c r="L13090" s="2">
        <f t="shared" si="204"/>
        <v>150</v>
      </c>
    </row>
    <row r="13091" spans="1:12" ht="25" customHeight="1">
      <c r="A13091" s="2" t="s">
        <v>12</v>
      </c>
      <c r="B13091" s="2" t="str">
        <f>HYPERLINK("http://m.12365auto.com/news/20200202/417448.shtml","减少疫情损失 企业将获不可抗力证明")</f>
        <v>减少疫情损失 企业将获不可抗力证明</v>
      </c>
      <c r="C13091" s="2" t="s">
        <v>13</v>
      </c>
      <c r="D13091" s="2" t="s">
        <v>12</v>
      </c>
      <c r="E13091" s="2"/>
      <c r="F13091" s="2" t="str">
        <f>HYPERLINK("http://m.12365auto.com/news/20200202/417448.shtml","http://m.12365auto.com/news/20200202/417448.shtml")</f>
        <v>http://m.12365auto.com/news/20200202/417448.shtml</v>
      </c>
      <c r="G13091" s="2"/>
      <c r="H13091" s="2" t="s">
        <v>17490</v>
      </c>
      <c r="I13091" s="2" t="s">
        <v>19</v>
      </c>
      <c r="J13091" s="2" t="s">
        <v>1968</v>
      </c>
      <c r="K13091" s="2" t="s">
        <v>17489</v>
      </c>
      <c r="L13091" s="2">
        <f t="shared" si="204"/>
        <v>150</v>
      </c>
    </row>
    <row r="13092" spans="1:12" ht="25" customHeight="1">
      <c r="A13092" s="2" t="s">
        <v>12</v>
      </c>
      <c r="B13092" s="2" t="str">
        <f>HYPERLINK("http://www.12365auto.com/xcdg/20200202/417447.shtml","解读低配车 实拍最便宜的沃尔沃S60")</f>
        <v>解读低配车 实拍最便宜的沃尔沃S60</v>
      </c>
      <c r="C13092" s="2" t="s">
        <v>13</v>
      </c>
      <c r="D13092" s="2" t="s">
        <v>12</v>
      </c>
      <c r="E13092" s="2" t="s">
        <v>216</v>
      </c>
      <c r="F13092" s="2" t="str">
        <f>HYPERLINK("http://www.12365auto.com/xcdg/20200202/417447.shtml","http://www.12365auto.com/xcdg/20200202/417447.shtml")</f>
        <v>http://www.12365auto.com/xcdg/20200202/417447.shtml</v>
      </c>
      <c r="G13092" s="2"/>
      <c r="H13092" s="2" t="s">
        <v>17491</v>
      </c>
      <c r="I13092" s="2" t="s">
        <v>15</v>
      </c>
      <c r="J13092" s="2" t="s">
        <v>12</v>
      </c>
      <c r="K13092" s="2" t="s">
        <v>17492</v>
      </c>
      <c r="L13092" s="2">
        <f t="shared" si="204"/>
        <v>150</v>
      </c>
    </row>
    <row r="13093" spans="1:12" ht="25" customHeight="1">
      <c r="A13093" s="2" t="s">
        <v>12</v>
      </c>
      <c r="B13093" s="2" t="str">
        <f>HYPERLINK("http://m.12365auto.com/xcdg/20200202/417447.shtml","解读低配车 实拍最便宜的沃尔沃S60")</f>
        <v>解读低配车 实拍最便宜的沃尔沃S60</v>
      </c>
      <c r="C13093" s="2" t="s">
        <v>13</v>
      </c>
      <c r="D13093" s="2" t="s">
        <v>12</v>
      </c>
      <c r="E13093" s="2"/>
      <c r="F13093" s="2" t="str">
        <f>HYPERLINK("http://m.12365auto.com/xcdg/20200202/417447.shtml","http://m.12365auto.com/xcdg/20200202/417447.shtml")</f>
        <v>http://m.12365auto.com/xcdg/20200202/417447.shtml</v>
      </c>
      <c r="G13093" s="2"/>
      <c r="H13093" s="2" t="s">
        <v>17493</v>
      </c>
      <c r="I13093" s="2" t="s">
        <v>19</v>
      </c>
      <c r="J13093" s="2" t="s">
        <v>9180</v>
      </c>
      <c r="K13093" s="2" t="s">
        <v>17492</v>
      </c>
      <c r="L13093" s="2">
        <f t="shared" si="204"/>
        <v>150</v>
      </c>
    </row>
    <row r="13094" spans="1:12" ht="25" customHeight="1">
      <c r="A13094" s="2" t="s">
        <v>12</v>
      </c>
      <c r="B13094" s="2" t="str">
        <f>HYPERLINK("http://www.12365auto.com/zlts/20200202/446100.shtml","奇瑞瑞虎7后备箱尾门生锈严重质量差")</f>
        <v>奇瑞瑞虎7后备箱尾门生锈严重质量差</v>
      </c>
      <c r="C13094" s="2" t="s">
        <v>13</v>
      </c>
      <c r="D13094" s="2" t="s">
        <v>12</v>
      </c>
      <c r="E13094" s="2" t="s">
        <v>17</v>
      </c>
      <c r="F13094" s="2" t="str">
        <f>HYPERLINK("http://www.12365auto.com/zlts/20200202/446100.shtml","http://www.12365auto.com/zlts/20200202/446100.shtml")</f>
        <v>http://www.12365auto.com/zlts/20200202/446100.shtml</v>
      </c>
      <c r="G13094" s="2"/>
      <c r="H13094" s="2" t="s">
        <v>17494</v>
      </c>
      <c r="I13094" s="2" t="s">
        <v>19</v>
      </c>
      <c r="J13094" s="2" t="s">
        <v>12</v>
      </c>
      <c r="K13094" s="2" t="s">
        <v>17495</v>
      </c>
      <c r="L13094" s="2">
        <f t="shared" si="204"/>
        <v>150</v>
      </c>
    </row>
    <row r="13095" spans="1:12" ht="25" customHeight="1">
      <c r="A13095" s="2" t="s">
        <v>12</v>
      </c>
      <c r="B13095" s="2" t="str">
        <f>HYPERLINK("http://www.12365auto.com/news/20200202/417446.shtml","E周见:汽车产业驰援疫区/长安预亏24亿")</f>
        <v>E周见:汽车产业驰援疫区/长安预亏24亿</v>
      </c>
      <c r="C13095" s="2" t="s">
        <v>13</v>
      </c>
      <c r="D13095" s="2" t="s">
        <v>12</v>
      </c>
      <c r="E13095" s="2" t="s">
        <v>276</v>
      </c>
      <c r="F13095" s="2" t="str">
        <f>HYPERLINK("http://www.12365auto.com/news/20200202/417446.shtml","http://www.12365auto.com/news/20200202/417446.shtml")</f>
        <v>http://www.12365auto.com/news/20200202/417446.shtml</v>
      </c>
      <c r="G13095" s="2"/>
      <c r="H13095" s="2" t="s">
        <v>17496</v>
      </c>
      <c r="I13095" s="2" t="s">
        <v>15</v>
      </c>
      <c r="J13095" s="2" t="s">
        <v>12</v>
      </c>
      <c r="K13095" s="2" t="s">
        <v>17497</v>
      </c>
      <c r="L13095" s="2">
        <f t="shared" si="204"/>
        <v>150</v>
      </c>
    </row>
    <row r="13096" spans="1:12" ht="25" customHeight="1">
      <c r="A13096" s="2" t="s">
        <v>12</v>
      </c>
      <c r="B13096" s="2" t="str">
        <f>HYPERLINK("http://m.12365auto.com/news/20200202/417446.shtml","E周见:汽车产业驰援疫区/长安预亏24亿")</f>
        <v>E周见:汽车产业驰援疫区/长安预亏24亿</v>
      </c>
      <c r="C13096" s="2" t="s">
        <v>13</v>
      </c>
      <c r="D13096" s="2" t="s">
        <v>12</v>
      </c>
      <c r="E13096" s="2"/>
      <c r="F13096" s="2" t="str">
        <f>HYPERLINK("http://m.12365auto.com/news/20200202/417446.shtml","http://m.12365auto.com/news/20200202/417446.shtml")</f>
        <v>http://m.12365auto.com/news/20200202/417446.shtml</v>
      </c>
      <c r="G13096" s="2"/>
      <c r="H13096" s="2" t="s">
        <v>17498</v>
      </c>
      <c r="I13096" s="2" t="s">
        <v>19</v>
      </c>
      <c r="J13096" s="2" t="s">
        <v>12</v>
      </c>
      <c r="K13096" s="2" t="s">
        <v>17497</v>
      </c>
      <c r="L13096" s="2">
        <f t="shared" si="204"/>
        <v>150</v>
      </c>
    </row>
    <row r="13097" spans="1:12" ht="25" customHeight="1">
      <c r="A13097" s="2" t="s">
        <v>12</v>
      </c>
      <c r="B13097" s="2" t="str">
        <f>HYPERLINK("http://www.12365auto.com/xcdg/20200202/417445.shtml","三季度发布 日产全新小型SUV预告图")</f>
        <v>三季度发布 日产全新小型SUV预告图</v>
      </c>
      <c r="C13097" s="2" t="s">
        <v>13</v>
      </c>
      <c r="D13097" s="2" t="s">
        <v>12</v>
      </c>
      <c r="E13097" s="2" t="s">
        <v>245</v>
      </c>
      <c r="F13097" s="2" t="str">
        <f>HYPERLINK("http://www.12365auto.com/xcdg/20200202/417445.shtml","http://www.12365auto.com/xcdg/20200202/417445.shtml")</f>
        <v>http://www.12365auto.com/xcdg/20200202/417445.shtml</v>
      </c>
      <c r="G13097" s="2"/>
      <c r="H13097" s="2" t="s">
        <v>17499</v>
      </c>
      <c r="I13097" s="2" t="s">
        <v>19</v>
      </c>
      <c r="J13097" s="2" t="s">
        <v>12</v>
      </c>
      <c r="K13097" s="2" t="s">
        <v>17500</v>
      </c>
      <c r="L13097" s="2">
        <f t="shared" si="204"/>
        <v>150</v>
      </c>
    </row>
    <row r="13098" spans="1:12" ht="25" customHeight="1">
      <c r="A13098" s="2" t="s">
        <v>12</v>
      </c>
      <c r="B13098" s="2" t="str">
        <f>HYPERLINK("http://m.12365auto.com/xcdg/20200202/417445.shtml","三季度发布 日产全新小型SUV预告图")</f>
        <v>三季度发布 日产全新小型SUV预告图</v>
      </c>
      <c r="C13098" s="2" t="s">
        <v>13</v>
      </c>
      <c r="D13098" s="2" t="s">
        <v>12</v>
      </c>
      <c r="E13098" s="2"/>
      <c r="F13098" s="2" t="str">
        <f>HYPERLINK("http://m.12365auto.com/xcdg/20200202/417445.shtml","http://m.12365auto.com/xcdg/20200202/417445.shtml")</f>
        <v>http://m.12365auto.com/xcdg/20200202/417445.shtml</v>
      </c>
      <c r="G13098" s="2"/>
      <c r="H13098" s="2" t="s">
        <v>17501</v>
      </c>
      <c r="I13098" s="2" t="s">
        <v>19</v>
      </c>
      <c r="J13098" s="2" t="s">
        <v>2560</v>
      </c>
      <c r="K13098" s="2" t="s">
        <v>17500</v>
      </c>
      <c r="L13098" s="2">
        <f t="shared" si="204"/>
        <v>150</v>
      </c>
    </row>
    <row r="13099" spans="1:12" ht="25" customHeight="1">
      <c r="A13099" s="2" t="s">
        <v>12</v>
      </c>
      <c r="B13099" s="2" t="str">
        <f>HYPERLINK("http://www.12365auto.com/news/20200202/417444.shtml","首款SUV商标受阻 法拉利状告慈善基金会")</f>
        <v>首款SUV商标受阻 法拉利状告慈善基金会</v>
      </c>
      <c r="C13099" s="2" t="s">
        <v>13</v>
      </c>
      <c r="D13099" s="2" t="s">
        <v>12</v>
      </c>
      <c r="E13099" s="2" t="s">
        <v>276</v>
      </c>
      <c r="F13099" s="2" t="str">
        <f>HYPERLINK("http://www.12365auto.com/news/20200202/417444.shtml","http://www.12365auto.com/news/20200202/417444.shtml")</f>
        <v>http://www.12365auto.com/news/20200202/417444.shtml</v>
      </c>
      <c r="G13099" s="2"/>
      <c r="H13099" s="2" t="s">
        <v>17502</v>
      </c>
      <c r="I13099" s="2" t="s">
        <v>15</v>
      </c>
      <c r="J13099" s="2" t="s">
        <v>12</v>
      </c>
      <c r="K13099" s="2" t="s">
        <v>17503</v>
      </c>
      <c r="L13099" s="2">
        <f t="shared" si="204"/>
        <v>150</v>
      </c>
    </row>
    <row r="13100" spans="1:12" ht="25" customHeight="1">
      <c r="A13100" s="2" t="s">
        <v>12</v>
      </c>
      <c r="B13100" s="2" t="str">
        <f>HYPERLINK("http://m.12365auto.com/news/20200202/417444.shtml","首款SUV商标受阻 法拉利状告慈善基金会")</f>
        <v>首款SUV商标受阻 法拉利状告慈善基金会</v>
      </c>
      <c r="C13100" s="2" t="s">
        <v>13</v>
      </c>
      <c r="D13100" s="2" t="s">
        <v>12</v>
      </c>
      <c r="E13100" s="2"/>
      <c r="F13100" s="2" t="str">
        <f>HYPERLINK("http://m.12365auto.com/news/20200202/417444.shtml","http://m.12365auto.com/news/20200202/417444.shtml")</f>
        <v>http://m.12365auto.com/news/20200202/417444.shtml</v>
      </c>
      <c r="G13100" s="2"/>
      <c r="H13100" s="2" t="s">
        <v>17504</v>
      </c>
      <c r="I13100" s="2" t="s">
        <v>19</v>
      </c>
      <c r="J13100" s="2" t="s">
        <v>5199</v>
      </c>
      <c r="K13100" s="2" t="s">
        <v>17503</v>
      </c>
      <c r="L13100" s="2">
        <f t="shared" si="204"/>
        <v>150</v>
      </c>
    </row>
    <row r="13101" spans="1:12" ht="25" customHeight="1">
      <c r="A13101" s="2" t="s">
        <v>12</v>
      </c>
      <c r="B13101" s="2" t="str">
        <f>HYPERLINK("http://m.12365auto.com/xcdg/20200202/417443.shtml","高性能电动SUV 大众ID.4 GTX年底发布")</f>
        <v>高性能电动SUV 大众ID.4 GTX年底发布</v>
      </c>
      <c r="C13101" s="2" t="s">
        <v>13</v>
      </c>
      <c r="D13101" s="2" t="s">
        <v>12</v>
      </c>
      <c r="E13101" s="2"/>
      <c r="F13101" s="2" t="str">
        <f>HYPERLINK("http://m.12365auto.com/xcdg/20200202/417443.shtml","http://m.12365auto.com/xcdg/20200202/417443.shtml")</f>
        <v>http://m.12365auto.com/xcdg/20200202/417443.shtml</v>
      </c>
      <c r="G13101" s="2"/>
      <c r="H13101" s="2" t="s">
        <v>17505</v>
      </c>
      <c r="I13101" s="2" t="s">
        <v>19</v>
      </c>
      <c r="J13101" s="2" t="s">
        <v>2560</v>
      </c>
      <c r="K13101" s="2" t="s">
        <v>17506</v>
      </c>
      <c r="L13101" s="2">
        <f t="shared" si="204"/>
        <v>150</v>
      </c>
    </row>
    <row r="13102" spans="1:12" ht="25" customHeight="1">
      <c r="A13102" s="2" t="s">
        <v>12</v>
      </c>
      <c r="B13102" s="2" t="str">
        <f>HYPERLINK("http://www.12365auto.com/xcdg/20200202/417443.shtml","高性能电动SUV 大众ID.4 GTX年底发布")</f>
        <v>高性能电动SUV 大众ID.4 GTX年底发布</v>
      </c>
      <c r="C13102" s="2" t="s">
        <v>13</v>
      </c>
      <c r="D13102" s="2" t="s">
        <v>12</v>
      </c>
      <c r="E13102" s="2" t="s">
        <v>216</v>
      </c>
      <c r="F13102" s="2" t="str">
        <f>HYPERLINK("http://www.12365auto.com/xcdg/20200202/417443.shtml","http://www.12365auto.com/xcdg/20200202/417443.shtml")</f>
        <v>http://www.12365auto.com/xcdg/20200202/417443.shtml</v>
      </c>
      <c r="G13102" s="2"/>
      <c r="H13102" s="2" t="s">
        <v>17507</v>
      </c>
      <c r="I13102" s="2" t="s">
        <v>15</v>
      </c>
      <c r="J13102" s="2" t="s">
        <v>12</v>
      </c>
      <c r="K13102" s="2" t="s">
        <v>17506</v>
      </c>
      <c r="L13102" s="2">
        <f t="shared" si="204"/>
        <v>150</v>
      </c>
    </row>
    <row r="13103" spans="1:12" ht="25" customHeight="1">
      <c r="A13103" s="2" t="s">
        <v>12</v>
      </c>
      <c r="B13103" s="2" t="str">
        <f>HYPERLINK("http://www.12365auto.com/parts/20200202/417442.shtml","燃油车产量达峰？博世10亿欧布局电动车")</f>
        <v>燃油车产量达峰？博世10亿欧布局电动车</v>
      </c>
      <c r="C13103" s="2" t="s">
        <v>13</v>
      </c>
      <c r="D13103" s="2" t="s">
        <v>12</v>
      </c>
      <c r="E13103" s="2" t="s">
        <v>240</v>
      </c>
      <c r="F13103" s="2" t="str">
        <f>HYPERLINK("http://www.12365auto.com/parts/20200202/417442.shtml","http://www.12365auto.com/parts/20200202/417442.shtml")</f>
        <v>http://www.12365auto.com/parts/20200202/417442.shtml</v>
      </c>
      <c r="G13103" s="2"/>
      <c r="H13103" s="2" t="s">
        <v>17508</v>
      </c>
      <c r="I13103" s="2" t="s">
        <v>15</v>
      </c>
      <c r="J13103" s="2" t="s">
        <v>12</v>
      </c>
      <c r="K13103" s="2" t="s">
        <v>17509</v>
      </c>
      <c r="L13103" s="2">
        <f t="shared" si="204"/>
        <v>150</v>
      </c>
    </row>
    <row r="13104" spans="1:12" ht="25" customHeight="1">
      <c r="A13104" s="2" t="s">
        <v>12</v>
      </c>
      <c r="B13104" s="2" t="str">
        <f>HYPERLINK("http://m.12365auto.com/parts/20200202/417442.shtml","燃油车产量达峰？博世10亿欧布局电动车")</f>
        <v>燃油车产量达峰？博世10亿欧布局电动车</v>
      </c>
      <c r="C13104" s="2" t="s">
        <v>13</v>
      </c>
      <c r="D13104" s="2" t="s">
        <v>12</v>
      </c>
      <c r="E13104" s="2"/>
      <c r="F13104" s="2" t="str">
        <f>HYPERLINK("http://m.12365auto.com/parts/20200202/417442.shtml","http://m.12365auto.com/parts/20200202/417442.shtml")</f>
        <v>http://m.12365auto.com/parts/20200202/417442.shtml</v>
      </c>
      <c r="G13104" s="2"/>
      <c r="H13104" s="2" t="s">
        <v>17510</v>
      </c>
      <c r="I13104" s="2" t="s">
        <v>19</v>
      </c>
      <c r="J13104" s="2" t="s">
        <v>1170</v>
      </c>
      <c r="K13104" s="2" t="s">
        <v>17509</v>
      </c>
      <c r="L13104" s="2">
        <f t="shared" si="204"/>
        <v>150</v>
      </c>
    </row>
    <row r="13105" spans="1:12" ht="25" customHeight="1">
      <c r="A13105" s="2" t="s">
        <v>12</v>
      </c>
      <c r="B13105" s="2" t="str">
        <f>HYPERLINK("http://m.12365auto.com/news/20200202/417441.shtml","改变主意？宝马iNext或将搭载智能玻璃")</f>
        <v>改变主意？宝马iNext或将搭载智能玻璃</v>
      </c>
      <c r="C13105" s="2" t="s">
        <v>13</v>
      </c>
      <c r="D13105" s="2" t="s">
        <v>12</v>
      </c>
      <c r="E13105" s="2"/>
      <c r="F13105" s="2" t="str">
        <f>HYPERLINK("http://m.12365auto.com/news/20200202/417441.shtml","http://m.12365auto.com/news/20200202/417441.shtml")</f>
        <v>http://m.12365auto.com/news/20200202/417441.shtml</v>
      </c>
      <c r="G13105" s="2"/>
      <c r="H13105" s="2" t="s">
        <v>17511</v>
      </c>
      <c r="I13105" s="2" t="s">
        <v>19</v>
      </c>
      <c r="J13105" s="2" t="s">
        <v>1170</v>
      </c>
      <c r="K13105" s="2" t="s">
        <v>17512</v>
      </c>
      <c r="L13105" s="2">
        <f t="shared" si="204"/>
        <v>150</v>
      </c>
    </row>
    <row r="13106" spans="1:12" ht="25" customHeight="1">
      <c r="A13106" s="2" t="s">
        <v>12</v>
      </c>
      <c r="B13106" s="2" t="str">
        <f>HYPERLINK("http://www.12365auto.com/news/20200202/417441.shtml","改变主意？宝马iNext或将搭载智能玻璃")</f>
        <v>改变主意？宝马iNext或将搭载智能玻璃</v>
      </c>
      <c r="C13106" s="2" t="s">
        <v>13</v>
      </c>
      <c r="D13106" s="2" t="s">
        <v>12</v>
      </c>
      <c r="E13106" s="2" t="s">
        <v>276</v>
      </c>
      <c r="F13106" s="2" t="str">
        <f>HYPERLINK("http://www.12365auto.com/news/20200202/417441.shtml","http://www.12365auto.com/news/20200202/417441.shtml")</f>
        <v>http://www.12365auto.com/news/20200202/417441.shtml</v>
      </c>
      <c r="G13106" s="2"/>
      <c r="H13106" s="2" t="s">
        <v>17513</v>
      </c>
      <c r="I13106" s="2" t="s">
        <v>15</v>
      </c>
      <c r="J13106" s="2" t="s">
        <v>12</v>
      </c>
      <c r="K13106" s="2" t="s">
        <v>17512</v>
      </c>
      <c r="L13106" s="2">
        <f t="shared" si="204"/>
        <v>150</v>
      </c>
    </row>
    <row r="13107" spans="1:12" ht="25" customHeight="1">
      <c r="A13107" s="2" t="s">
        <v>12</v>
      </c>
      <c r="B13107" s="2" t="str">
        <f>HYPERLINK("http://www.12365auto.com/news/20200202/417439.shtml","车辆年检 准备好这些功课保证一次通过！")</f>
        <v>车辆年检 准备好这些功课保证一次通过！</v>
      </c>
      <c r="C13107" s="2" t="s">
        <v>13</v>
      </c>
      <c r="D13107" s="2" t="s">
        <v>12</v>
      </c>
      <c r="E13107" s="2" t="s">
        <v>372</v>
      </c>
      <c r="F13107" s="2" t="str">
        <f>HYPERLINK("http://www.12365auto.com/news/20200202/417439.shtml","http://www.12365auto.com/news/20200202/417439.shtml")</f>
        <v>http://www.12365auto.com/news/20200202/417439.shtml</v>
      </c>
      <c r="G13107" s="2"/>
      <c r="H13107" s="2" t="s">
        <v>17514</v>
      </c>
      <c r="I13107" s="2" t="s">
        <v>15</v>
      </c>
      <c r="J13107" s="2" t="s">
        <v>12</v>
      </c>
      <c r="K13107" s="2" t="s">
        <v>17515</v>
      </c>
      <c r="L13107" s="2">
        <f t="shared" si="204"/>
        <v>150</v>
      </c>
    </row>
    <row r="13108" spans="1:12" ht="25" customHeight="1">
      <c r="A13108" s="2" t="s">
        <v>12</v>
      </c>
      <c r="B13108" s="2" t="str">
        <f>HYPERLINK("http://www.12365auto.com/dcbg/20200202/417440.shtml","2019款一汽-大众探岳完全评价报告")</f>
        <v>2019款一汽-大众探岳完全评价报告</v>
      </c>
      <c r="C13108" s="2" t="s">
        <v>13</v>
      </c>
      <c r="D13108" s="2" t="s">
        <v>12</v>
      </c>
      <c r="E13108" s="2" t="s">
        <v>1319</v>
      </c>
      <c r="F13108" s="2" t="str">
        <f>HYPERLINK("http://www.12365auto.com/dcbg/20200202/417440.shtml","http://www.12365auto.com/dcbg/20200202/417440.shtml")</f>
        <v>http://www.12365auto.com/dcbg/20200202/417440.shtml</v>
      </c>
      <c r="G13108" s="2"/>
      <c r="H13108" s="2" t="s">
        <v>17516</v>
      </c>
      <c r="I13108" s="2" t="s">
        <v>15</v>
      </c>
      <c r="J13108" s="2" t="s">
        <v>12</v>
      </c>
      <c r="K13108" s="2" t="s">
        <v>17515</v>
      </c>
      <c r="L13108" s="2">
        <f t="shared" si="204"/>
        <v>150</v>
      </c>
    </row>
    <row r="13109" spans="1:12" ht="25" customHeight="1">
      <c r="A13109" s="2" t="s">
        <v>12</v>
      </c>
      <c r="B13109" s="2" t="str">
        <f>HYPERLINK("http://m.12365auto.com/dcbg/20200202/417440.shtml","2019款一汽-大众探岳完全评价报告")</f>
        <v>2019款一汽-大众探岳完全评价报告</v>
      </c>
      <c r="C13109" s="2" t="s">
        <v>13</v>
      </c>
      <c r="D13109" s="2" t="s">
        <v>12</v>
      </c>
      <c r="E13109" s="2"/>
      <c r="F13109" s="2" t="str">
        <f>HYPERLINK("http://m.12365auto.com/dcbg/20200202/417440.shtml","http://m.12365auto.com/dcbg/20200202/417440.shtml")</f>
        <v>http://m.12365auto.com/dcbg/20200202/417440.shtml</v>
      </c>
      <c r="G13109" s="2"/>
      <c r="H13109" s="2" t="s">
        <v>17517</v>
      </c>
      <c r="I13109" s="2" t="s">
        <v>19</v>
      </c>
      <c r="J13109" s="2" t="s">
        <v>1305</v>
      </c>
      <c r="K13109" s="2" t="s">
        <v>17515</v>
      </c>
      <c r="L13109" s="2">
        <f t="shared" si="204"/>
        <v>150</v>
      </c>
    </row>
    <row r="13110" spans="1:12" ht="25" customHeight="1">
      <c r="A13110" s="2" t="s">
        <v>12</v>
      </c>
      <c r="B13110" s="2" t="str">
        <f>HYPERLINK("http://m.12365auto.com/news/20200202/417439.shtml","车辆年检 准备好这些功课保证一次通过！")</f>
        <v>车辆年检 准备好这些功课保证一次通过！</v>
      </c>
      <c r="C13110" s="2" t="s">
        <v>13</v>
      </c>
      <c r="D13110" s="2" t="s">
        <v>12</v>
      </c>
      <c r="E13110" s="2"/>
      <c r="F13110" s="2" t="str">
        <f>HYPERLINK("http://m.12365auto.com/news/20200202/417439.shtml","http://m.12365auto.com/news/20200202/417439.shtml")</f>
        <v>http://m.12365auto.com/news/20200202/417439.shtml</v>
      </c>
      <c r="G13110" s="2"/>
      <c r="H13110" s="2" t="s">
        <v>17518</v>
      </c>
      <c r="I13110" s="2" t="s">
        <v>19</v>
      </c>
      <c r="J13110" s="2" t="s">
        <v>369</v>
      </c>
      <c r="K13110" s="2" t="s">
        <v>17515</v>
      </c>
      <c r="L13110" s="2">
        <f t="shared" si="204"/>
        <v>150</v>
      </c>
    </row>
    <row r="13111" spans="1:12" ht="25" customHeight="1">
      <c r="A13111" s="2" t="s">
        <v>12</v>
      </c>
      <c r="B13111" s="2" t="str">
        <f>HYPERLINK("http://www.12365auto.com/zlts/20200202/446092.shtml","两年没有解决")</f>
        <v>两年没有解决</v>
      </c>
      <c r="C13111" s="2" t="s">
        <v>13</v>
      </c>
      <c r="D13111" s="2" t="s">
        <v>12</v>
      </c>
      <c r="E13111" s="2"/>
      <c r="F13111" s="2" t="str">
        <f>HYPERLINK("http://www.12365auto.com/zlts/20200202/446092.shtml","http://www.12365auto.com/zlts/20200202/446092.shtml")</f>
        <v>http://www.12365auto.com/zlts/20200202/446092.shtml</v>
      </c>
      <c r="G13111" s="2"/>
      <c r="H13111" s="2" t="s">
        <v>17520</v>
      </c>
      <c r="I13111" s="2" t="s">
        <v>15</v>
      </c>
      <c r="J13111" s="2" t="s">
        <v>12</v>
      </c>
      <c r="K13111" s="2" t="s">
        <v>17519</v>
      </c>
      <c r="L13111" s="2">
        <f t="shared" si="204"/>
        <v>93</v>
      </c>
    </row>
    <row r="13112" spans="1:12" ht="25" customHeight="1">
      <c r="A13112" s="2" t="s">
        <v>12</v>
      </c>
      <c r="B13112" s="2" t="str">
        <f>HYPERLINK("http://www.12365auto.com/zlts/20200202/446096.shtml","一汽大众探歌邓禄普轮胎出现裂缝希望解决")</f>
        <v>一汽大众探歌邓禄普轮胎出现裂缝希望解决</v>
      </c>
      <c r="C13112" s="2" t="s">
        <v>13</v>
      </c>
      <c r="D13112" s="2" t="s">
        <v>12</v>
      </c>
      <c r="E13112" s="2" t="s">
        <v>17</v>
      </c>
      <c r="F13112" s="2" t="str">
        <f>HYPERLINK("http://www.12365auto.com/zlts/20200202/446096.shtml","http://www.12365auto.com/zlts/20200202/446096.shtml")</f>
        <v>http://www.12365auto.com/zlts/20200202/446096.shtml</v>
      </c>
      <c r="G13112" s="2"/>
      <c r="H13112" s="2" t="s">
        <v>17521</v>
      </c>
      <c r="I13112" s="2" t="s">
        <v>19</v>
      </c>
      <c r="J13112" s="2" t="s">
        <v>12</v>
      </c>
      <c r="K13112" s="2" t="s">
        <v>17522</v>
      </c>
      <c r="L13112" s="2">
        <f t="shared" si="204"/>
        <v>150</v>
      </c>
    </row>
    <row r="13113" spans="1:12" ht="25" customHeight="1">
      <c r="A13113" s="2" t="s">
        <v>12</v>
      </c>
      <c r="B13113" s="2" t="str">
        <f>HYPERLINK("http://www.12365auto.com/zlts/20200202/446095.shtml","新特SITECH DEV 1刹车系统异常 电池没电")</f>
        <v>新特SITECH DEV 1刹车系统异常 电池没电</v>
      </c>
      <c r="C13113" s="2" t="s">
        <v>13</v>
      </c>
      <c r="D13113" s="2" t="s">
        <v>12</v>
      </c>
      <c r="E13113" s="2" t="s">
        <v>17</v>
      </c>
      <c r="F13113" s="2" t="str">
        <f>HYPERLINK("http://www.12365auto.com/zlts/20200202/446095.shtml","http://www.12365auto.com/zlts/20200202/446095.shtml")</f>
        <v>http://www.12365auto.com/zlts/20200202/446095.shtml</v>
      </c>
      <c r="G13113" s="2"/>
      <c r="H13113" s="2" t="s">
        <v>17523</v>
      </c>
      <c r="I13113" s="2" t="s">
        <v>19</v>
      </c>
      <c r="J13113" s="2" t="s">
        <v>12</v>
      </c>
      <c r="K13113" s="2" t="s">
        <v>17524</v>
      </c>
      <c r="L13113" s="2">
        <f t="shared" si="204"/>
        <v>150</v>
      </c>
    </row>
    <row r="13114" spans="1:12" ht="25" customHeight="1">
      <c r="A13114" s="2" t="s">
        <v>12</v>
      </c>
      <c r="B13114" s="2" t="str">
        <f>HYPERLINK("http://www.12365auto.com/zlts/20200202/446094.shtml","一汽丰田卡罗拉车窗异响 APP认证失败")</f>
        <v>一汽丰田卡罗拉车窗异响 APP认证失败</v>
      </c>
      <c r="C13114" s="2" t="s">
        <v>13</v>
      </c>
      <c r="D13114" s="2" t="s">
        <v>12</v>
      </c>
      <c r="E13114" s="2" t="s">
        <v>17</v>
      </c>
      <c r="F13114" s="2" t="str">
        <f>HYPERLINK("http://www.12365auto.com/zlts/20200202/446094.shtml","http://www.12365auto.com/zlts/20200202/446094.shtml")</f>
        <v>http://www.12365auto.com/zlts/20200202/446094.shtml</v>
      </c>
      <c r="G13114" s="2"/>
      <c r="H13114" s="2" t="s">
        <v>17525</v>
      </c>
      <c r="I13114" s="2" t="s">
        <v>19</v>
      </c>
      <c r="J13114" s="2" t="s">
        <v>12</v>
      </c>
      <c r="K13114" s="2" t="s">
        <v>17526</v>
      </c>
      <c r="L13114" s="2">
        <f t="shared" si="204"/>
        <v>150</v>
      </c>
    </row>
    <row r="13115" spans="1:12" ht="25" customHeight="1">
      <c r="A13115" s="2" t="s">
        <v>12</v>
      </c>
      <c r="B13115" s="2" t="str">
        <f>HYPERLINK("http://www.12365auto.com/zlts/20200201/446090.shtml","空调旋钮下的USB口没电，手机插上此USB口无电")</f>
        <v>空调旋钮下的USB口没电，手机插上此USB口无电</v>
      </c>
      <c r="C13115" s="2" t="s">
        <v>13</v>
      </c>
      <c r="D13115" s="2" t="s">
        <v>12</v>
      </c>
      <c r="E13115" s="2"/>
      <c r="F13115" s="2" t="str">
        <f>HYPERLINK("http://www.12365auto.com/zlts/20200201/446090.shtml","http://www.12365auto.com/zlts/20200201/446090.shtml")</f>
        <v>http://www.12365auto.com/zlts/20200201/446090.shtml</v>
      </c>
      <c r="G13115" s="2"/>
      <c r="H13115" s="2" t="s">
        <v>17528</v>
      </c>
      <c r="I13115" s="2" t="s">
        <v>15</v>
      </c>
      <c r="J13115" s="2" t="s">
        <v>12</v>
      </c>
      <c r="K13115" s="2" t="s">
        <v>17527</v>
      </c>
      <c r="L13115" s="2">
        <f t="shared" si="204"/>
        <v>86</v>
      </c>
    </row>
    <row r="13116" spans="1:12" ht="25" customHeight="1">
      <c r="A13116" s="2" t="s">
        <v>12</v>
      </c>
      <c r="B13116" s="2" t="str">
        <f>HYPERLINK("http://www.12365auto.com/zlts/20200201/446091.shtml","频繁出现转向助力低的问题")</f>
        <v>频繁出现转向助力低的问题</v>
      </c>
      <c r="C13116" s="2" t="s">
        <v>13</v>
      </c>
      <c r="D13116" s="2" t="s">
        <v>12</v>
      </c>
      <c r="E13116" s="2"/>
      <c r="F13116" s="2" t="str">
        <f>HYPERLINK("http://www.12365auto.com/zlts/20200201/446091.shtml","http://www.12365auto.com/zlts/20200201/446091.shtml")</f>
        <v>http://www.12365auto.com/zlts/20200201/446091.shtml</v>
      </c>
      <c r="G13116" s="2"/>
      <c r="H13116" s="2" t="s">
        <v>17530</v>
      </c>
      <c r="I13116" s="2" t="s">
        <v>15</v>
      </c>
      <c r="J13116" s="2" t="s">
        <v>12</v>
      </c>
      <c r="K13116" s="2" t="s">
        <v>17529</v>
      </c>
      <c r="L13116" s="2">
        <f t="shared" si="204"/>
        <v>84</v>
      </c>
    </row>
    <row r="13117" spans="1:12" ht="25" customHeight="1">
      <c r="A13117" s="2" t="s">
        <v>12</v>
      </c>
      <c r="B13117" s="2" t="str">
        <f>HYPERLINK("http://www.12365auto.com/zlts/20200201/446089.shtml","一后背箱问题；二减震异响；三大灯；四轮胎")</f>
        <v>一后背箱问题；二减震异响；三大灯；四轮胎</v>
      </c>
      <c r="C13117" s="2" t="s">
        <v>13</v>
      </c>
      <c r="D13117" s="2" t="s">
        <v>12</v>
      </c>
      <c r="E13117" s="2"/>
      <c r="F13117" s="2" t="str">
        <f>HYPERLINK("http://www.12365auto.com/zlts/20200201/446089.shtml","http://www.12365auto.com/zlts/20200201/446089.shtml")</f>
        <v>http://www.12365auto.com/zlts/20200201/446089.shtml</v>
      </c>
      <c r="G13117" s="2"/>
      <c r="H13117" s="2" t="s">
        <v>17532</v>
      </c>
      <c r="I13117" s="2" t="s">
        <v>15</v>
      </c>
      <c r="J13117" s="2" t="s">
        <v>12</v>
      </c>
      <c r="K13117" s="2" t="s">
        <v>17531</v>
      </c>
      <c r="L13117" s="2">
        <f t="shared" si="204"/>
        <v>82</v>
      </c>
    </row>
    <row r="13118" spans="1:12" ht="25" customHeight="1">
      <c r="A13118" s="2" t="s">
        <v>12</v>
      </c>
      <c r="B13118" s="2" t="str">
        <f>HYPERLINK("http://www.12365auto.com/zlts/20200201/446086.shtml","副驾驶位手套箱经常性故障，合上手套箱会自动打开！")</f>
        <v>副驾驶位手套箱经常性故障，合上手套箱会自动打开！</v>
      </c>
      <c r="C13118" s="2" t="s">
        <v>13</v>
      </c>
      <c r="D13118" s="2" t="s">
        <v>12</v>
      </c>
      <c r="E13118" s="2"/>
      <c r="F13118" s="2" t="str">
        <f>HYPERLINK("http://www.12365auto.com/zlts/20200201/446086.shtml","http://www.12365auto.com/zlts/20200201/446086.shtml")</f>
        <v>http://www.12365auto.com/zlts/20200201/446086.shtml</v>
      </c>
      <c r="G13118" s="2"/>
      <c r="H13118" s="2" t="s">
        <v>17534</v>
      </c>
      <c r="I13118" s="2" t="s">
        <v>15</v>
      </c>
      <c r="J13118" s="2" t="s">
        <v>12</v>
      </c>
      <c r="K13118" s="2" t="s">
        <v>17533</v>
      </c>
      <c r="L13118" s="2">
        <f t="shared" si="204"/>
        <v>87</v>
      </c>
    </row>
    <row r="13119" spans="1:12" ht="25" customHeight="1">
      <c r="A13119" s="2" t="s">
        <v>12</v>
      </c>
      <c r="B13119" s="2" t="str">
        <f>HYPERLINK("http://www.12365auto.com/zlts/20200201/446084.shtml","汽车玻璃严重异响，制动器也有异响")</f>
        <v>汽车玻璃严重异响，制动器也有异响</v>
      </c>
      <c r="C13119" s="2" t="s">
        <v>13</v>
      </c>
      <c r="D13119" s="2" t="s">
        <v>12</v>
      </c>
      <c r="E13119" s="2"/>
      <c r="F13119" s="2" t="str">
        <f>HYPERLINK("http://www.12365auto.com/zlts/20200201/446084.shtml","http://www.12365auto.com/zlts/20200201/446084.shtml")</f>
        <v>http://www.12365auto.com/zlts/20200201/446084.shtml</v>
      </c>
      <c r="G13119" s="2"/>
      <c r="H13119" s="2" t="s">
        <v>17536</v>
      </c>
      <c r="I13119" s="2" t="s">
        <v>15</v>
      </c>
      <c r="J13119" s="2" t="s">
        <v>12</v>
      </c>
      <c r="K13119" s="2" t="s">
        <v>17535</v>
      </c>
      <c r="L13119" s="2">
        <f t="shared" si="204"/>
        <v>81</v>
      </c>
    </row>
    <row r="13120" spans="1:12" ht="25" customHeight="1">
      <c r="A13120" s="2" t="s">
        <v>12</v>
      </c>
      <c r="B13120" s="2" t="str">
        <f>HYPERLINK("http://www.12365auto.com/zlts/20200201/446083.shtml","车在行驶中会出现中控台仪表盘附近和车们异响。")</f>
        <v>车在行驶中会出现中控台仪表盘附近和车们异响。</v>
      </c>
      <c r="C13120" s="2" t="s">
        <v>13</v>
      </c>
      <c r="D13120" s="2" t="s">
        <v>12</v>
      </c>
      <c r="E13120" s="2"/>
      <c r="F13120" s="2" t="str">
        <f>HYPERLINK("http://www.12365auto.com/zlts/20200201/446083.shtml","http://www.12365auto.com/zlts/20200201/446083.shtml")</f>
        <v>http://www.12365auto.com/zlts/20200201/446083.shtml</v>
      </c>
      <c r="G13120" s="2"/>
      <c r="H13120" s="2" t="s">
        <v>17538</v>
      </c>
      <c r="I13120" s="2" t="s">
        <v>15</v>
      </c>
      <c r="J13120" s="2" t="s">
        <v>12</v>
      </c>
      <c r="K13120" s="2" t="s">
        <v>17537</v>
      </c>
      <c r="L13120" s="2">
        <f t="shared" si="204"/>
        <v>82</v>
      </c>
    </row>
    <row r="13121" spans="1:12" ht="25" customHeight="1">
      <c r="A13121" s="2" t="s">
        <v>12</v>
      </c>
      <c r="B13121" s="2" t="str">
        <f>HYPERLINK("http://www.12365auto.com/zlts/20200201/446080.shtml","看视频，这就是迈腾所谓的正常现象")</f>
        <v>看视频，这就是迈腾所谓的正常现象</v>
      </c>
      <c r="C13121" s="2" t="s">
        <v>13</v>
      </c>
      <c r="D13121" s="2" t="s">
        <v>12</v>
      </c>
      <c r="E13121" s="2"/>
      <c r="F13121" s="2" t="str">
        <f>HYPERLINK("http://www.12365auto.com/zlts/20200201/446080.shtml","http://www.12365auto.com/zlts/20200201/446080.shtml")</f>
        <v>http://www.12365auto.com/zlts/20200201/446080.shtml</v>
      </c>
      <c r="G13121" s="2"/>
      <c r="H13121" s="2" t="s">
        <v>17540</v>
      </c>
      <c r="I13121" s="2" t="s">
        <v>15</v>
      </c>
      <c r="J13121" s="2" t="s">
        <v>12</v>
      </c>
      <c r="K13121" s="2" t="s">
        <v>17539</v>
      </c>
      <c r="L13121" s="2">
        <f t="shared" si="204"/>
        <v>87</v>
      </c>
    </row>
    <row r="13122" spans="1:12" ht="25" customHeight="1">
      <c r="A13122" s="2" t="s">
        <v>12</v>
      </c>
      <c r="B13122" s="2" t="str">
        <f>HYPERLINK("http://www.12365auto.com/zlts/20200201/446077.shtml","整车质量有问题")</f>
        <v>整车质量有问题</v>
      </c>
      <c r="C13122" s="2" t="s">
        <v>13</v>
      </c>
      <c r="D13122" s="2" t="s">
        <v>12</v>
      </c>
      <c r="E13122" s="2"/>
      <c r="F13122" s="2" t="str">
        <f>HYPERLINK("http://www.12365auto.com/zlts/20200201/446077.shtml","http://www.12365auto.com/zlts/20200201/446077.shtml")</f>
        <v>http://www.12365auto.com/zlts/20200201/446077.shtml</v>
      </c>
      <c r="G13122" s="2"/>
      <c r="H13122" s="2" t="s">
        <v>17542</v>
      </c>
      <c r="I13122" s="2" t="s">
        <v>15</v>
      </c>
      <c r="J13122" s="2" t="s">
        <v>12</v>
      </c>
      <c r="K13122" s="2" t="s">
        <v>17541</v>
      </c>
      <c r="L13122" s="2">
        <f t="shared" si="204"/>
        <v>91</v>
      </c>
    </row>
    <row r="13123" spans="1:12" ht="25" customHeight="1">
      <c r="A13123" s="2" t="s">
        <v>12</v>
      </c>
      <c r="B13123" s="2" t="str">
        <f>HYPERLINK("http://www.12365auto.com/zlts/20200201/446074.shtml","离合器汽车加速抖动车身前后高低不一")</f>
        <v>离合器汽车加速抖动车身前后高低不一</v>
      </c>
      <c r="C13123" s="2" t="s">
        <v>13</v>
      </c>
      <c r="D13123" s="2" t="s">
        <v>12</v>
      </c>
      <c r="E13123" s="2"/>
      <c r="F13123" s="2" t="str">
        <f>HYPERLINK("http://www.12365auto.com/zlts/20200201/446074.shtml","http://www.12365auto.com/zlts/20200201/446074.shtml")</f>
        <v>http://www.12365auto.com/zlts/20200201/446074.shtml</v>
      </c>
      <c r="G13123" s="2"/>
      <c r="H13123" s="2" t="s">
        <v>17544</v>
      </c>
      <c r="I13123" s="2" t="s">
        <v>15</v>
      </c>
      <c r="J13123" s="2" t="s">
        <v>12</v>
      </c>
      <c r="K13123" s="2" t="s">
        <v>17543</v>
      </c>
      <c r="L13123" s="2">
        <f t="shared" ref="L13123:L13186" si="205">LEN(H13123)</f>
        <v>85</v>
      </c>
    </row>
    <row r="13124" spans="1:12" ht="25" customHeight="1">
      <c r="A13124" s="2" t="s">
        <v>12</v>
      </c>
      <c r="B13124" s="2" t="str">
        <f>HYPERLINK("http://www.12365auto.com/zlts/20200201/446073.shtml","东风标致508车漆有色差 边梁变形")</f>
        <v>东风标致508车漆有色差 边梁变形</v>
      </c>
      <c r="C13124" s="2" t="s">
        <v>13</v>
      </c>
      <c r="D13124" s="2" t="s">
        <v>12</v>
      </c>
      <c r="E13124" s="2" t="s">
        <v>17</v>
      </c>
      <c r="F13124" s="2" t="str">
        <f>HYPERLINK("http://www.12365auto.com/zlts/20200201/446073.shtml","http://www.12365auto.com/zlts/20200201/446073.shtml")</f>
        <v>http://www.12365auto.com/zlts/20200201/446073.shtml</v>
      </c>
      <c r="G13124" s="2"/>
      <c r="H13124" s="2" t="s">
        <v>17545</v>
      </c>
      <c r="I13124" s="2" t="s">
        <v>19</v>
      </c>
      <c r="J13124" s="2" t="s">
        <v>12</v>
      </c>
      <c r="K13124" s="2" t="s">
        <v>17546</v>
      </c>
      <c r="L13124" s="2">
        <f t="shared" si="205"/>
        <v>150</v>
      </c>
    </row>
    <row r="13125" spans="1:12" ht="25" customHeight="1">
      <c r="A13125" s="2" t="s">
        <v>12</v>
      </c>
      <c r="B13125" s="2" t="str">
        <f>HYPERLINK("http://bbs.12365auto.com/postcontent.aspx?tID=193169","发动机排放故障灯常")</f>
        <v>发动机排放故障灯常</v>
      </c>
      <c r="C13125" s="2" t="s">
        <v>13</v>
      </c>
      <c r="D13125" s="2" t="s">
        <v>12</v>
      </c>
      <c r="E13125" s="2" t="s">
        <v>67</v>
      </c>
      <c r="F13125" s="2" t="str">
        <f>HYPERLINK("http://bbs.12365auto.com/postcontent.aspx?tID=193169","http://bbs.12365auto.com/postcontent.aspx?tID=193169")</f>
        <v>http://bbs.12365auto.com/postcontent.aspx?tID=193169</v>
      </c>
      <c r="G13125" s="2"/>
      <c r="H13125" s="2" t="s">
        <v>17547</v>
      </c>
      <c r="I13125" s="2" t="s">
        <v>15</v>
      </c>
      <c r="J13125" s="2" t="s">
        <v>17548</v>
      </c>
      <c r="K13125" s="2" t="s">
        <v>17549</v>
      </c>
      <c r="L13125" s="2">
        <f t="shared" si="205"/>
        <v>125</v>
      </c>
    </row>
    <row r="13126" spans="1:12" ht="25" customHeight="1">
      <c r="A13126" s="2" t="s">
        <v>12</v>
      </c>
      <c r="B13126" s="2" t="str">
        <f>HYPERLINK("http://bbs.12365auto.com/postcontent.aspx?tId=193169","发动机排放故障灯常")</f>
        <v>发动机排放故障灯常</v>
      </c>
      <c r="C13126" s="2" t="s">
        <v>13</v>
      </c>
      <c r="D13126" s="2" t="s">
        <v>12</v>
      </c>
      <c r="E13126" s="2" t="s">
        <v>66</v>
      </c>
      <c r="F13126" s="2" t="str">
        <f>HYPERLINK("http://bbs.12365auto.com/postcontent.aspx?tId=193169","http://bbs.12365auto.com/postcontent.aspx?tId=193169")</f>
        <v>http://bbs.12365auto.com/postcontent.aspx?tId=193169</v>
      </c>
      <c r="G13126" s="2"/>
      <c r="H13126" s="2" t="s">
        <v>17550</v>
      </c>
      <c r="I13126" s="2" t="s">
        <v>15</v>
      </c>
      <c r="J13126" s="2" t="s">
        <v>17548</v>
      </c>
      <c r="K13126" s="2" t="s">
        <v>17549</v>
      </c>
      <c r="L13126" s="2">
        <f t="shared" si="205"/>
        <v>116</v>
      </c>
    </row>
    <row r="13127" spans="1:12" ht="25" customHeight="1">
      <c r="A13127" s="2" t="s">
        <v>12</v>
      </c>
      <c r="B13127" s="2" t="str">
        <f>HYPERLINK("http://m.12365auto.com/bbs/postcontent.aspx?tID=193169","发动机排放故障灯常")</f>
        <v>发动机排放故障灯常</v>
      </c>
      <c r="C13127" s="2" t="s">
        <v>13</v>
      </c>
      <c r="D13127" s="2" t="s">
        <v>23</v>
      </c>
      <c r="E13127" s="2"/>
      <c r="F13127" s="2" t="str">
        <f>HYPERLINK("http://m.12365auto.com/bbs/postcontent.aspx?tID=193169","http://m.12365auto.com/bbs/postcontent.aspx?tID=193169")</f>
        <v>http://m.12365auto.com/bbs/postcontent.aspx?tID=193169</v>
      </c>
      <c r="G13127" s="2"/>
      <c r="H13127" s="2" t="s">
        <v>17550</v>
      </c>
      <c r="I13127" s="2" t="s">
        <v>15</v>
      </c>
      <c r="J13127" s="2" t="s">
        <v>17548</v>
      </c>
      <c r="K13127" s="2" t="s">
        <v>17549</v>
      </c>
      <c r="L13127" s="2">
        <f t="shared" si="205"/>
        <v>116</v>
      </c>
    </row>
    <row r="13128" spans="1:12" ht="25" customHeight="1">
      <c r="A13128" s="2" t="s">
        <v>12</v>
      </c>
      <c r="B13128" s="2" t="str">
        <f>HYPERLINK("http://www.12365auto.com/zlts/20200201/446069.shtml","上汽名爵HS电瓶亏电 4S店态度敷衍")</f>
        <v>上汽名爵HS电瓶亏电 4S店态度敷衍</v>
      </c>
      <c r="C13128" s="2" t="s">
        <v>13</v>
      </c>
      <c r="D13128" s="2" t="s">
        <v>12</v>
      </c>
      <c r="E13128" s="2" t="s">
        <v>17</v>
      </c>
      <c r="F13128" s="2" t="str">
        <f>HYPERLINK("http://www.12365auto.com/zlts/20200201/446069.shtml","http://www.12365auto.com/zlts/20200201/446069.shtml")</f>
        <v>http://www.12365auto.com/zlts/20200201/446069.shtml</v>
      </c>
      <c r="G13128" s="2"/>
      <c r="H13128" s="2" t="s">
        <v>17551</v>
      </c>
      <c r="I13128" s="2" t="s">
        <v>19</v>
      </c>
      <c r="J13128" s="2" t="s">
        <v>12</v>
      </c>
      <c r="K13128" s="2" t="s">
        <v>17552</v>
      </c>
      <c r="L13128" s="2">
        <f t="shared" si="205"/>
        <v>150</v>
      </c>
    </row>
    <row r="13129" spans="1:12" ht="25" customHeight="1">
      <c r="A13129" s="2" t="s">
        <v>12</v>
      </c>
      <c r="B13129" s="2" t="str">
        <f>HYPERLINK("http://www.12365auto.com/zlts/20200201/446068.shtml","广汽丰田凯美瑞车载手机互联无法正常使用")</f>
        <v>广汽丰田凯美瑞车载手机互联无法正常使用</v>
      </c>
      <c r="C13129" s="2" t="s">
        <v>13</v>
      </c>
      <c r="D13129" s="2" t="s">
        <v>12</v>
      </c>
      <c r="E13129" s="2" t="s">
        <v>17</v>
      </c>
      <c r="F13129" s="2" t="str">
        <f>HYPERLINK("http://www.12365auto.com/zlts/20200201/446068.shtml","http://www.12365auto.com/zlts/20200201/446068.shtml")</f>
        <v>http://www.12365auto.com/zlts/20200201/446068.shtml</v>
      </c>
      <c r="G13129" s="2"/>
      <c r="H13129" s="2" t="s">
        <v>17553</v>
      </c>
      <c r="I13129" s="2" t="s">
        <v>19</v>
      </c>
      <c r="J13129" s="2" t="s">
        <v>12</v>
      </c>
      <c r="K13129" s="2" t="s">
        <v>17554</v>
      </c>
      <c r="L13129" s="2">
        <f t="shared" si="205"/>
        <v>150</v>
      </c>
    </row>
    <row r="13130" spans="1:12" ht="25" customHeight="1">
      <c r="A13130" s="2" t="s">
        <v>12</v>
      </c>
      <c r="B13130" s="2" t="str">
        <f>HYPERLINK("http://www.12365auto.com/zlts/20200201/446067.shtml","奇瑞瑞虎3方向机漏油 变速箱漏油")</f>
        <v>奇瑞瑞虎3方向机漏油 变速箱漏油</v>
      </c>
      <c r="C13130" s="2" t="s">
        <v>13</v>
      </c>
      <c r="D13130" s="2" t="s">
        <v>12</v>
      </c>
      <c r="E13130" s="2" t="s">
        <v>17</v>
      </c>
      <c r="F13130" s="2" t="str">
        <f>HYPERLINK("http://www.12365auto.com/zlts/20200201/446067.shtml","http://www.12365auto.com/zlts/20200201/446067.shtml")</f>
        <v>http://www.12365auto.com/zlts/20200201/446067.shtml</v>
      </c>
      <c r="G13130" s="2"/>
      <c r="H13130" s="2" t="s">
        <v>17555</v>
      </c>
      <c r="I13130" s="2" t="s">
        <v>19</v>
      </c>
      <c r="J13130" s="2" t="s">
        <v>12</v>
      </c>
      <c r="K13130" s="2" t="s">
        <v>17556</v>
      </c>
      <c r="L13130" s="2">
        <f t="shared" si="205"/>
        <v>150</v>
      </c>
    </row>
    <row r="13131" spans="1:12" ht="25" customHeight="1">
      <c r="A13131" s="2" t="s">
        <v>12</v>
      </c>
      <c r="B13131" s="2" t="str">
        <f>HYPERLINK("http://www.12365auto.com/zlts/20200201/446064.shtml","无后拖车钩，车辆一旦前方沦陷。无法拖车救援")</f>
        <v>无后拖车钩，车辆一旦前方沦陷。无法拖车救援</v>
      </c>
      <c r="C13131" s="2" t="s">
        <v>13</v>
      </c>
      <c r="D13131" s="2" t="s">
        <v>12</v>
      </c>
      <c r="E13131" s="2"/>
      <c r="F13131" s="2" t="str">
        <f>HYPERLINK("http://www.12365auto.com/zlts/20200201/446064.shtml","http://www.12365auto.com/zlts/20200201/446064.shtml")</f>
        <v>http://www.12365auto.com/zlts/20200201/446064.shtml</v>
      </c>
      <c r="G13131" s="2"/>
      <c r="H13131" s="2" t="s">
        <v>17558</v>
      </c>
      <c r="I13131" s="2" t="s">
        <v>15</v>
      </c>
      <c r="J13131" s="2" t="s">
        <v>12</v>
      </c>
      <c r="K13131" s="2" t="s">
        <v>17557</v>
      </c>
      <c r="L13131" s="2">
        <f t="shared" si="205"/>
        <v>86</v>
      </c>
    </row>
    <row r="13132" spans="1:12" ht="25" customHeight="1">
      <c r="A13132" s="2" t="s">
        <v>12</v>
      </c>
      <c r="B13132" s="2" t="str">
        <f>HYPERLINK("http://www.12365auto.com/zlts/20200201/446061.shtml","倒车影像不显示，换摄像头厂里不给更换")</f>
        <v>倒车影像不显示，换摄像头厂里不给更换</v>
      </c>
      <c r="C13132" s="2" t="s">
        <v>13</v>
      </c>
      <c r="D13132" s="2" t="s">
        <v>12</v>
      </c>
      <c r="E13132" s="2"/>
      <c r="F13132" s="2" t="str">
        <f>HYPERLINK("http://www.12365auto.com/zlts/20200201/446061.shtml","http://www.12365auto.com/zlts/20200201/446061.shtml")</f>
        <v>http://www.12365auto.com/zlts/20200201/446061.shtml</v>
      </c>
      <c r="G13132" s="2"/>
      <c r="H13132" s="2" t="s">
        <v>17560</v>
      </c>
      <c r="I13132" s="2" t="s">
        <v>15</v>
      </c>
      <c r="J13132" s="2" t="s">
        <v>12</v>
      </c>
      <c r="K13132" s="2" t="s">
        <v>17559</v>
      </c>
      <c r="L13132" s="2">
        <f t="shared" si="205"/>
        <v>84</v>
      </c>
    </row>
    <row r="13133" spans="1:12" ht="25" customHeight="1">
      <c r="A13133" s="2" t="s">
        <v>12</v>
      </c>
      <c r="B13133" s="2" t="str">
        <f>HYPERLINK("http://www.12365auto.com/zlts/20200201/446062.shtml","车辆在高速公路行驶发生正面追尾，气囊未达到保护")</f>
        <v>车辆在高速公路行驶发生正面追尾，气囊未达到保护</v>
      </c>
      <c r="C13133" s="2" t="s">
        <v>13</v>
      </c>
      <c r="D13133" s="2" t="s">
        <v>12</v>
      </c>
      <c r="E13133" s="2"/>
      <c r="F13133" s="2" t="str">
        <f>HYPERLINK("http://www.12365auto.com/zlts/20200201/446062.shtml","http://www.12365auto.com/zlts/20200201/446062.shtml")</f>
        <v>http://www.12365auto.com/zlts/20200201/446062.shtml</v>
      </c>
      <c r="G13133" s="2"/>
      <c r="H13133" s="2" t="s">
        <v>17562</v>
      </c>
      <c r="I13133" s="2" t="s">
        <v>15</v>
      </c>
      <c r="J13133" s="2" t="s">
        <v>12</v>
      </c>
      <c r="K13133" s="2" t="s">
        <v>17561</v>
      </c>
      <c r="L13133" s="2">
        <f t="shared" si="205"/>
        <v>83</v>
      </c>
    </row>
    <row r="13134" spans="1:12" ht="25" customHeight="1">
      <c r="A13134" s="2" t="s">
        <v>12</v>
      </c>
      <c r="B13134" s="2" t="str">
        <f>HYPERLINK("http://www.12365auto.com/zlts/20200201/446060.shtml","电瓶亏电    打不着车")</f>
        <v>电瓶亏电    打不着车</v>
      </c>
      <c r="C13134" s="2" t="s">
        <v>13</v>
      </c>
      <c r="D13134" s="2" t="s">
        <v>12</v>
      </c>
      <c r="E13134" s="2"/>
      <c r="F13134" s="2" t="str">
        <f>HYPERLINK("http://www.12365auto.com/zlts/20200201/446060.shtml","http://www.12365auto.com/zlts/20200201/446060.shtml")</f>
        <v>http://www.12365auto.com/zlts/20200201/446060.shtml</v>
      </c>
      <c r="G13134" s="2"/>
      <c r="H13134" s="2" t="s">
        <v>17564</v>
      </c>
      <c r="I13134" s="2" t="s">
        <v>15</v>
      </c>
      <c r="J13134" s="2" t="s">
        <v>12</v>
      </c>
      <c r="K13134" s="2" t="s">
        <v>17563</v>
      </c>
      <c r="L13134" s="2">
        <f t="shared" si="205"/>
        <v>84</v>
      </c>
    </row>
    <row r="13135" spans="1:12" ht="25" customHeight="1">
      <c r="A13135" s="2" t="s">
        <v>12</v>
      </c>
      <c r="B13135" s="2" t="str">
        <f>HYPERLINK("http://www.12365auto.com/zlts/20200201/446056.shtml","比亚迪元转向异响 承诺保养不兑现")</f>
        <v>比亚迪元转向异响 承诺保养不兑现</v>
      </c>
      <c r="C13135" s="2" t="s">
        <v>13</v>
      </c>
      <c r="D13135" s="2" t="s">
        <v>12</v>
      </c>
      <c r="E13135" s="2"/>
      <c r="F13135" s="2" t="str">
        <f>HYPERLINK("http://www.12365auto.com/zlts/20200201/446056.shtml","http://www.12365auto.com/zlts/20200201/446056.shtml")</f>
        <v>http://www.12365auto.com/zlts/20200201/446056.shtml</v>
      </c>
      <c r="G13135" s="2"/>
      <c r="H13135" s="2" t="s">
        <v>17566</v>
      </c>
      <c r="I13135" s="2" t="s">
        <v>15</v>
      </c>
      <c r="J13135" s="2" t="s">
        <v>12</v>
      </c>
      <c r="K13135" s="2" t="s">
        <v>17565</v>
      </c>
      <c r="L13135" s="2">
        <f t="shared" si="205"/>
        <v>80</v>
      </c>
    </row>
    <row r="13136" spans="1:12" ht="25" customHeight="1">
      <c r="A13136" s="2" t="s">
        <v>12</v>
      </c>
      <c r="B13136" s="2" t="str">
        <f>HYPERLINK("http://www.12365auto.com/zlts/20200201/446059.shtml","吉利远景变速箱无法提速存在质量问题")</f>
        <v>吉利远景变速箱无法提速存在质量问题</v>
      </c>
      <c r="C13136" s="2" t="s">
        <v>13</v>
      </c>
      <c r="D13136" s="2" t="s">
        <v>12</v>
      </c>
      <c r="E13136" s="2" t="s">
        <v>17</v>
      </c>
      <c r="F13136" s="2" t="str">
        <f>HYPERLINK("http://www.12365auto.com/zlts/20200201/446059.shtml","http://www.12365auto.com/zlts/20200201/446059.shtml")</f>
        <v>http://www.12365auto.com/zlts/20200201/446059.shtml</v>
      </c>
      <c r="G13136" s="2"/>
      <c r="H13136" s="2" t="s">
        <v>17567</v>
      </c>
      <c r="I13136" s="2" t="s">
        <v>19</v>
      </c>
      <c r="J13136" s="2" t="s">
        <v>12</v>
      </c>
      <c r="K13136" s="2" t="s">
        <v>17568</v>
      </c>
      <c r="L13136" s="2">
        <f t="shared" si="205"/>
        <v>150</v>
      </c>
    </row>
    <row r="13137" spans="1:12" ht="25" customHeight="1">
      <c r="A13137" s="2" t="s">
        <v>12</v>
      </c>
      <c r="B13137" s="2" t="str">
        <f>HYPERLINK("http://www.12365auto.com/zlts/20200201/446055.shtml","一汽大众探岳发动机防冻液泄漏质量差")</f>
        <v>一汽大众探岳发动机防冻液泄漏质量差</v>
      </c>
      <c r="C13137" s="2" t="s">
        <v>13</v>
      </c>
      <c r="D13137" s="2" t="s">
        <v>12</v>
      </c>
      <c r="E13137" s="2" t="s">
        <v>17</v>
      </c>
      <c r="F13137" s="2" t="str">
        <f>HYPERLINK("http://www.12365auto.com/zlts/20200201/446055.shtml","http://www.12365auto.com/zlts/20200201/446055.shtml")</f>
        <v>http://www.12365auto.com/zlts/20200201/446055.shtml</v>
      </c>
      <c r="G13137" s="2"/>
      <c r="H13137" s="2" t="s">
        <v>17569</v>
      </c>
      <c r="I13137" s="2" t="s">
        <v>19</v>
      </c>
      <c r="J13137" s="2" t="s">
        <v>12</v>
      </c>
      <c r="K13137" s="2" t="s">
        <v>17570</v>
      </c>
      <c r="L13137" s="2">
        <f t="shared" si="205"/>
        <v>150</v>
      </c>
    </row>
    <row r="13138" spans="1:12" ht="25" customHeight="1">
      <c r="A13138" s="2" t="s">
        <v>12</v>
      </c>
      <c r="B13138" s="2" t="str">
        <f>HYPERLINK("http://www.12365auto.com/zlts/20200201/446054.shtml","一汽大众奥迪A6L涨紧轮噪音 车身异响")</f>
        <v>一汽大众奥迪A6L涨紧轮噪音 车身异响</v>
      </c>
      <c r="C13138" s="2" t="s">
        <v>13</v>
      </c>
      <c r="D13138" s="2" t="s">
        <v>12</v>
      </c>
      <c r="E13138" s="2" t="s">
        <v>17</v>
      </c>
      <c r="F13138" s="2" t="str">
        <f>HYPERLINK("http://www.12365auto.com/zlts/20200201/446054.shtml","http://www.12365auto.com/zlts/20200201/446054.shtml")</f>
        <v>http://www.12365auto.com/zlts/20200201/446054.shtml</v>
      </c>
      <c r="G13138" s="2"/>
      <c r="H13138" s="2" t="s">
        <v>17571</v>
      </c>
      <c r="I13138" s="2" t="s">
        <v>19</v>
      </c>
      <c r="J13138" s="2" t="s">
        <v>12</v>
      </c>
      <c r="K13138" s="2" t="s">
        <v>17572</v>
      </c>
      <c r="L13138" s="2">
        <f t="shared" si="205"/>
        <v>150</v>
      </c>
    </row>
    <row r="13139" spans="1:12" ht="25" customHeight="1">
      <c r="A13139" s="2" t="s">
        <v>12</v>
      </c>
      <c r="B13139" s="2" t="str">
        <f>HYPERLINK("http://www.12365auto.com/zlts/20200201/446049.shtml","广汽本田雅阁高速行驶转向方向盘有卡滞")</f>
        <v>广汽本田雅阁高速行驶转向方向盘有卡滞</v>
      </c>
      <c r="C13139" s="2" t="s">
        <v>13</v>
      </c>
      <c r="D13139" s="2" t="s">
        <v>12</v>
      </c>
      <c r="E13139" s="2" t="s">
        <v>17</v>
      </c>
      <c r="F13139" s="2" t="str">
        <f>HYPERLINK("http://www.12365auto.com/zlts/20200201/446049.shtml","http://www.12365auto.com/zlts/20200201/446049.shtml")</f>
        <v>http://www.12365auto.com/zlts/20200201/446049.shtml</v>
      </c>
      <c r="G13139" s="2"/>
      <c r="H13139" s="2" t="s">
        <v>17573</v>
      </c>
      <c r="I13139" s="2" t="s">
        <v>19</v>
      </c>
      <c r="J13139" s="2" t="s">
        <v>12</v>
      </c>
      <c r="K13139" s="2" t="s">
        <v>17574</v>
      </c>
      <c r="L13139" s="2">
        <f t="shared" si="205"/>
        <v>150</v>
      </c>
    </row>
    <row r="13140" spans="1:12" ht="25" customHeight="1">
      <c r="A13140" s="2" t="s">
        <v>12</v>
      </c>
      <c r="B13140" s="2" t="str">
        <f>HYPERLINK("http://www.12365auto.com/zlts/20200201/446042.shtml","三元催化老化，发动机烧机油")</f>
        <v>三元催化老化，发动机烧机油</v>
      </c>
      <c r="C13140" s="2" t="s">
        <v>13</v>
      </c>
      <c r="D13140" s="2" t="s">
        <v>12</v>
      </c>
      <c r="E13140" s="2"/>
      <c r="F13140" s="2" t="str">
        <f>HYPERLINK("http://www.12365auto.com/zlts/20200201/446042.shtml","http://www.12365auto.com/zlts/20200201/446042.shtml")</f>
        <v>http://www.12365auto.com/zlts/20200201/446042.shtml</v>
      </c>
      <c r="G13140" s="2"/>
      <c r="H13140" s="2" t="s">
        <v>17576</v>
      </c>
      <c r="I13140" s="2" t="s">
        <v>15</v>
      </c>
      <c r="J13140" s="2" t="s">
        <v>12</v>
      </c>
      <c r="K13140" s="2" t="s">
        <v>17575</v>
      </c>
      <c r="L13140" s="2">
        <f t="shared" si="205"/>
        <v>89</v>
      </c>
    </row>
    <row r="13141" spans="1:12" ht="25" customHeight="1">
      <c r="A13141" s="2" t="s">
        <v>12</v>
      </c>
      <c r="B13141" s="2" t="str">
        <f>HYPERLINK("http://www.12365auto.com/zlts/20200201/446046.shtml","一汽丰田RAV4荣放购买8个月出现普利司通轮胎龟裂")</f>
        <v>一汽丰田RAV4荣放购买8个月出现普利司通轮胎龟裂</v>
      </c>
      <c r="C13141" s="2" t="s">
        <v>13</v>
      </c>
      <c r="D13141" s="2" t="s">
        <v>12</v>
      </c>
      <c r="E13141" s="2"/>
      <c r="F13141" s="2" t="str">
        <f>HYPERLINK("http://www.12365auto.com/zlts/20200201/446046.shtml","http://www.12365auto.com/zlts/20200201/446046.shtml")</f>
        <v>http://www.12365auto.com/zlts/20200201/446046.shtml</v>
      </c>
      <c r="G13141" s="2"/>
      <c r="H13141" s="2" t="s">
        <v>17578</v>
      </c>
      <c r="I13141" s="2" t="s">
        <v>15</v>
      </c>
      <c r="J13141" s="2" t="s">
        <v>12</v>
      </c>
      <c r="K13141" s="2" t="s">
        <v>17577</v>
      </c>
      <c r="L13141" s="2">
        <f t="shared" si="205"/>
        <v>91</v>
      </c>
    </row>
    <row r="13142" spans="1:12" ht="25" customHeight="1">
      <c r="A13142" s="2" t="s">
        <v>12</v>
      </c>
      <c r="B13142" s="2" t="str">
        <f>HYPERLINK("http://www.12365auto.com/zlts/20200201/446043.shtml","电池问题")</f>
        <v>电池问题</v>
      </c>
      <c r="C13142" s="2" t="s">
        <v>13</v>
      </c>
      <c r="D13142" s="2" t="s">
        <v>12</v>
      </c>
      <c r="E13142" s="2"/>
      <c r="F13142" s="2" t="str">
        <f>HYPERLINK("http://www.12365auto.com/zlts/20200201/446043.shtml","http://www.12365auto.com/zlts/20200201/446043.shtml")</f>
        <v>http://www.12365auto.com/zlts/20200201/446043.shtml</v>
      </c>
      <c r="G13142" s="2"/>
      <c r="H13142" s="2" t="s">
        <v>17580</v>
      </c>
      <c r="I13142" s="2" t="s">
        <v>15</v>
      </c>
      <c r="J13142" s="2" t="s">
        <v>12</v>
      </c>
      <c r="K13142" s="2" t="s">
        <v>17579</v>
      </c>
      <c r="L13142" s="2">
        <f t="shared" si="205"/>
        <v>78</v>
      </c>
    </row>
    <row r="13143" spans="1:12" ht="25" customHeight="1">
      <c r="A13143" s="2" t="s">
        <v>12</v>
      </c>
      <c r="B13143" s="2" t="str">
        <f>HYPERLINK("http://www.12365auto.com/zlts/20200201/446041.shtml","东风风神AX7发动机故障灯亮要求厂家处理")</f>
        <v>东风风神AX7发动机故障灯亮要求厂家处理</v>
      </c>
      <c r="C13143" s="2" t="s">
        <v>13</v>
      </c>
      <c r="D13143" s="2" t="s">
        <v>12</v>
      </c>
      <c r="E13143" s="2" t="s">
        <v>17</v>
      </c>
      <c r="F13143" s="2" t="str">
        <f>HYPERLINK("http://www.12365auto.com/zlts/20200201/446041.shtml","http://www.12365auto.com/zlts/20200201/446041.shtml")</f>
        <v>http://www.12365auto.com/zlts/20200201/446041.shtml</v>
      </c>
      <c r="G13143" s="2"/>
      <c r="H13143" s="2" t="s">
        <v>17581</v>
      </c>
      <c r="I13143" s="2" t="s">
        <v>19</v>
      </c>
      <c r="J13143" s="2" t="s">
        <v>12</v>
      </c>
      <c r="K13143" s="2" t="s">
        <v>17582</v>
      </c>
      <c r="L13143" s="2">
        <f t="shared" si="205"/>
        <v>150</v>
      </c>
    </row>
    <row r="13144" spans="1:12" ht="25" customHeight="1">
      <c r="A13144" s="2" t="s">
        <v>12</v>
      </c>
      <c r="B13144" s="2" t="str">
        <f>HYPERLINK("http://www.12365auto.com/zlts/20200201/446038.shtml","转向卡顿，以更换过转向柱。现在又出现卡顿现象。")</f>
        <v>转向卡顿，以更换过转向柱。现在又出现卡顿现象。</v>
      </c>
      <c r="C13144" s="2" t="s">
        <v>13</v>
      </c>
      <c r="D13144" s="2" t="s">
        <v>12</v>
      </c>
      <c r="E13144" s="2"/>
      <c r="F13144" s="2" t="str">
        <f>HYPERLINK("http://www.12365auto.com/zlts/20200201/446038.shtml","http://www.12365auto.com/zlts/20200201/446038.shtml")</f>
        <v>http://www.12365auto.com/zlts/20200201/446038.shtml</v>
      </c>
      <c r="G13144" s="2"/>
      <c r="H13144" s="2" t="s">
        <v>17584</v>
      </c>
      <c r="I13144" s="2" t="s">
        <v>15</v>
      </c>
      <c r="J13144" s="2" t="s">
        <v>12</v>
      </c>
      <c r="K13144" s="2" t="s">
        <v>17583</v>
      </c>
      <c r="L13144" s="2">
        <f t="shared" si="205"/>
        <v>83</v>
      </c>
    </row>
    <row r="13145" spans="1:12" ht="25" customHeight="1">
      <c r="A13145" s="2" t="s">
        <v>12</v>
      </c>
      <c r="B13145" s="2" t="str">
        <f>HYPERLINK("http://www.12365auto.com/zlts/20200201/446039.shtml","上汽大众朗逸轮毂氧化厂家拖延不解决")</f>
        <v>上汽大众朗逸轮毂氧化厂家拖延不解决</v>
      </c>
      <c r="C13145" s="2" t="s">
        <v>13</v>
      </c>
      <c r="D13145" s="2" t="s">
        <v>12</v>
      </c>
      <c r="E13145" s="2" t="s">
        <v>17</v>
      </c>
      <c r="F13145" s="2" t="str">
        <f>HYPERLINK("http://www.12365auto.com/zlts/20200201/446039.shtml","http://www.12365auto.com/zlts/20200201/446039.shtml")</f>
        <v>http://www.12365auto.com/zlts/20200201/446039.shtml</v>
      </c>
      <c r="G13145" s="2"/>
      <c r="H13145" s="2" t="s">
        <v>17585</v>
      </c>
      <c r="I13145" s="2" t="s">
        <v>19</v>
      </c>
      <c r="J13145" s="2" t="s">
        <v>12</v>
      </c>
      <c r="K13145" s="2" t="s">
        <v>17586</v>
      </c>
      <c r="L13145" s="2">
        <f t="shared" si="205"/>
        <v>150</v>
      </c>
    </row>
    <row r="13146" spans="1:12" ht="25" customHeight="1">
      <c r="A13146" s="2" t="s">
        <v>12</v>
      </c>
      <c r="B13146" s="2" t="str">
        <f>HYPERLINK("http://www.12365auto.com/zlts/20200201/446030.shtml","发动机缺缸打不着火")</f>
        <v>发动机缺缸打不着火</v>
      </c>
      <c r="C13146" s="2" t="s">
        <v>13</v>
      </c>
      <c r="D13146" s="2" t="s">
        <v>12</v>
      </c>
      <c r="E13146" s="2"/>
      <c r="F13146" s="2" t="str">
        <f>HYPERLINK("http://www.12365auto.com/zlts/20200201/446030.shtml","http://www.12365auto.com/zlts/20200201/446030.shtml")</f>
        <v>http://www.12365auto.com/zlts/20200201/446030.shtml</v>
      </c>
      <c r="G13146" s="2"/>
      <c r="H13146" s="2" t="s">
        <v>17588</v>
      </c>
      <c r="I13146" s="2" t="s">
        <v>15</v>
      </c>
      <c r="J13146" s="2" t="s">
        <v>12</v>
      </c>
      <c r="K13146" s="2" t="s">
        <v>17587</v>
      </c>
      <c r="L13146" s="2">
        <f t="shared" si="205"/>
        <v>88</v>
      </c>
    </row>
    <row r="13147" spans="1:12" ht="25" customHeight="1">
      <c r="A13147" s="2" t="s">
        <v>12</v>
      </c>
      <c r="B13147" s="2" t="str">
        <f>HYPERLINK("http://www.12365auto.com/zlts/20200201/446037.shtml","北京现代菲斯塔颠簸路面行驶中控台异响")</f>
        <v>北京现代菲斯塔颠簸路面行驶中控台异响</v>
      </c>
      <c r="C13147" s="2" t="s">
        <v>13</v>
      </c>
      <c r="D13147" s="2" t="s">
        <v>12</v>
      </c>
      <c r="E13147" s="2" t="s">
        <v>17</v>
      </c>
      <c r="F13147" s="2" t="str">
        <f>HYPERLINK("http://www.12365auto.com/zlts/20200201/446037.shtml","http://www.12365auto.com/zlts/20200201/446037.shtml")</f>
        <v>http://www.12365auto.com/zlts/20200201/446037.shtml</v>
      </c>
      <c r="G13147" s="2"/>
      <c r="H13147" s="2" t="s">
        <v>17589</v>
      </c>
      <c r="I13147" s="2" t="s">
        <v>19</v>
      </c>
      <c r="J13147" s="2" t="s">
        <v>12</v>
      </c>
      <c r="K13147" s="2" t="s">
        <v>17590</v>
      </c>
      <c r="L13147" s="2">
        <f t="shared" si="205"/>
        <v>150</v>
      </c>
    </row>
    <row r="13148" spans="1:12" ht="25" customHeight="1">
      <c r="A13148" s="2" t="s">
        <v>12</v>
      </c>
      <c r="B13148" s="2" t="str">
        <f>HYPERLINK("http://www.12365auto.com/zlts/20200201/446034.shtml","排气管生锈")</f>
        <v>排气管生锈</v>
      </c>
      <c r="C13148" s="2" t="s">
        <v>13</v>
      </c>
      <c r="D13148" s="2" t="s">
        <v>12</v>
      </c>
      <c r="E13148" s="2"/>
      <c r="F13148" s="2" t="str">
        <f>HYPERLINK("http://www.12365auto.com/zlts/20200201/446034.shtml","http://www.12365auto.com/zlts/20200201/446034.shtml")</f>
        <v>http://www.12365auto.com/zlts/20200201/446034.shtml</v>
      </c>
      <c r="G13148" s="2"/>
      <c r="H13148" s="2" t="s">
        <v>17592</v>
      </c>
      <c r="I13148" s="2" t="s">
        <v>15</v>
      </c>
      <c r="J13148" s="2" t="s">
        <v>12</v>
      </c>
      <c r="K13148" s="2" t="s">
        <v>17591</v>
      </c>
      <c r="L13148" s="2">
        <f t="shared" si="205"/>
        <v>85</v>
      </c>
    </row>
    <row r="13149" spans="1:12" ht="25" customHeight="1">
      <c r="A13149" s="2" t="s">
        <v>12</v>
      </c>
      <c r="B13149" s="2" t="str">
        <f>HYPERLINK("http://www.12365auto.com/zlts/20200201/446035.shtml","新宝骏RC-6中控台异响 减震器效果差")</f>
        <v>新宝骏RC-6中控台异响 减震器效果差</v>
      </c>
      <c r="C13149" s="2" t="s">
        <v>13</v>
      </c>
      <c r="D13149" s="2" t="s">
        <v>12</v>
      </c>
      <c r="E13149" s="2" t="s">
        <v>17</v>
      </c>
      <c r="F13149" s="2" t="str">
        <f>HYPERLINK("http://www.12365auto.com/zlts/20200201/446035.shtml","http://www.12365auto.com/zlts/20200201/446035.shtml")</f>
        <v>http://www.12365auto.com/zlts/20200201/446035.shtml</v>
      </c>
      <c r="G13149" s="2"/>
      <c r="H13149" s="2" t="s">
        <v>17593</v>
      </c>
      <c r="I13149" s="2" t="s">
        <v>19</v>
      </c>
      <c r="J13149" s="2" t="s">
        <v>12</v>
      </c>
      <c r="K13149" s="2" t="s">
        <v>17594</v>
      </c>
      <c r="L13149" s="2">
        <f t="shared" si="205"/>
        <v>150</v>
      </c>
    </row>
    <row r="13150" spans="1:12" ht="25" customHeight="1">
      <c r="A13150" s="2" t="s">
        <v>12</v>
      </c>
      <c r="B13150" s="2" t="str">
        <f>HYPERLINK("http://www.12365auto.com/zlts/20200201/446033.shtml","长安CS55新车发动机故障灯亮维修后未解决")</f>
        <v>长安CS55新车发动机故障灯亮维修后未解决</v>
      </c>
      <c r="C13150" s="2" t="s">
        <v>13</v>
      </c>
      <c r="D13150" s="2" t="s">
        <v>12</v>
      </c>
      <c r="E13150" s="2" t="s">
        <v>17</v>
      </c>
      <c r="F13150" s="2" t="str">
        <f>HYPERLINK("http://www.12365auto.com/zlts/20200201/446033.shtml","http://www.12365auto.com/zlts/20200201/446033.shtml")</f>
        <v>http://www.12365auto.com/zlts/20200201/446033.shtml</v>
      </c>
      <c r="G13150" s="2"/>
      <c r="H13150" s="2" t="s">
        <v>17595</v>
      </c>
      <c r="I13150" s="2" t="s">
        <v>19</v>
      </c>
      <c r="J13150" s="2" t="s">
        <v>12</v>
      </c>
      <c r="K13150" s="2" t="s">
        <v>17596</v>
      </c>
      <c r="L13150" s="2">
        <f t="shared" si="205"/>
        <v>150</v>
      </c>
    </row>
    <row r="13151" spans="1:12" ht="25" customHeight="1">
      <c r="A13151" s="2" t="s">
        <v>12</v>
      </c>
      <c r="B13151" s="2" t="str">
        <f>HYPERLINK("http://www.12365auto.com/zlts/20200201/446032.shtml","吉利博越气温低时发动机无法启动")</f>
        <v>吉利博越气温低时发动机无法启动</v>
      </c>
      <c r="C13151" s="2" t="s">
        <v>13</v>
      </c>
      <c r="D13151" s="2" t="s">
        <v>12</v>
      </c>
      <c r="E13151" s="2" t="s">
        <v>17</v>
      </c>
      <c r="F13151" s="2" t="str">
        <f>HYPERLINK("http://www.12365auto.com/zlts/20200201/446032.shtml","http://www.12365auto.com/zlts/20200201/446032.shtml")</f>
        <v>http://www.12365auto.com/zlts/20200201/446032.shtml</v>
      </c>
      <c r="G13151" s="2"/>
      <c r="H13151" s="2" t="s">
        <v>17597</v>
      </c>
      <c r="I13151" s="2" t="s">
        <v>19</v>
      </c>
      <c r="J13151" s="2" t="s">
        <v>12</v>
      </c>
      <c r="K13151" s="2" t="s">
        <v>17598</v>
      </c>
      <c r="L13151" s="2">
        <f t="shared" si="205"/>
        <v>150</v>
      </c>
    </row>
    <row r="13152" spans="1:12" ht="25" customHeight="1">
      <c r="A13152" s="2" t="s">
        <v>12</v>
      </c>
      <c r="B13152" s="2" t="str">
        <f>HYPERLINK("http://www.12365auto.com/zlts/20200201/446031.shtml","一汽大众探歌发动机异响车身底部异响")</f>
        <v>一汽大众探歌发动机异响车身底部异响</v>
      </c>
      <c r="C13152" s="2" t="s">
        <v>13</v>
      </c>
      <c r="D13152" s="2" t="s">
        <v>12</v>
      </c>
      <c r="E13152" s="2" t="s">
        <v>17</v>
      </c>
      <c r="F13152" s="2" t="str">
        <f>HYPERLINK("http://www.12365auto.com/zlts/20200201/446031.shtml","http://www.12365auto.com/zlts/20200201/446031.shtml")</f>
        <v>http://www.12365auto.com/zlts/20200201/446031.shtml</v>
      </c>
      <c r="G13152" s="2"/>
      <c r="H13152" s="2" t="s">
        <v>17599</v>
      </c>
      <c r="I13152" s="2" t="s">
        <v>19</v>
      </c>
      <c r="J13152" s="2" t="s">
        <v>12</v>
      </c>
      <c r="K13152" s="2" t="s">
        <v>17600</v>
      </c>
      <c r="L13152" s="2">
        <f t="shared" si="205"/>
        <v>150</v>
      </c>
    </row>
    <row r="13153" spans="1:12" ht="25" customHeight="1">
      <c r="A13153" s="2" t="s">
        <v>12</v>
      </c>
      <c r="B13153" s="2" t="str">
        <f>HYPERLINK("http://www.12365auto.com/zlts/20200201/446029.shtml","变速箱裂掉")</f>
        <v>变速箱裂掉</v>
      </c>
      <c r="C13153" s="2" t="s">
        <v>13</v>
      </c>
      <c r="D13153" s="2" t="s">
        <v>12</v>
      </c>
      <c r="E13153" s="2"/>
      <c r="F13153" s="2" t="str">
        <f>HYPERLINK("http://www.12365auto.com/zlts/20200201/446029.shtml","http://www.12365auto.com/zlts/20200201/446029.shtml")</f>
        <v>http://www.12365auto.com/zlts/20200201/446029.shtml</v>
      </c>
      <c r="G13153" s="2"/>
      <c r="H13153" s="2" t="s">
        <v>17602</v>
      </c>
      <c r="I13153" s="2" t="s">
        <v>15</v>
      </c>
      <c r="J13153" s="2" t="s">
        <v>12</v>
      </c>
      <c r="K13153" s="2" t="s">
        <v>17601</v>
      </c>
      <c r="L13153" s="2">
        <f t="shared" si="205"/>
        <v>81</v>
      </c>
    </row>
    <row r="13154" spans="1:12" ht="25" customHeight="1">
      <c r="A13154" s="2" t="s">
        <v>12</v>
      </c>
      <c r="B13154" s="2" t="str">
        <f>HYPERLINK("http://www.12365auto.com/zlts/20200201/446025.shtml","猎豹CS10刹车偏软方向机异响发动机噪音大")</f>
        <v>猎豹CS10刹车偏软方向机异响发动机噪音大</v>
      </c>
      <c r="C13154" s="2" t="s">
        <v>13</v>
      </c>
      <c r="D13154" s="2" t="s">
        <v>12</v>
      </c>
      <c r="E13154" s="2" t="s">
        <v>17</v>
      </c>
      <c r="F13154" s="2" t="str">
        <f>HYPERLINK("http://www.12365auto.com/zlts/20200201/446025.shtml","http://www.12365auto.com/zlts/20200201/446025.shtml")</f>
        <v>http://www.12365auto.com/zlts/20200201/446025.shtml</v>
      </c>
      <c r="G13154" s="2"/>
      <c r="H13154" s="2" t="s">
        <v>17603</v>
      </c>
      <c r="I13154" s="2" t="s">
        <v>19</v>
      </c>
      <c r="J13154" s="2" t="s">
        <v>12</v>
      </c>
      <c r="K13154" s="2" t="s">
        <v>17604</v>
      </c>
      <c r="L13154" s="2">
        <f t="shared" si="205"/>
        <v>150</v>
      </c>
    </row>
    <row r="13155" spans="1:12" ht="25" customHeight="1">
      <c r="A13155" s="2" t="s">
        <v>12</v>
      </c>
      <c r="B13155" s="2" t="str">
        <f>HYPERLINK("http://www.12365auto.com/zlts/20200201/446024.shtml","上汽大众朗逸方向盘卡顿多次维修未解决")</f>
        <v>上汽大众朗逸方向盘卡顿多次维修未解决</v>
      </c>
      <c r="C13155" s="2" t="s">
        <v>13</v>
      </c>
      <c r="D13155" s="2" t="s">
        <v>12</v>
      </c>
      <c r="E13155" s="2" t="s">
        <v>17</v>
      </c>
      <c r="F13155" s="2" t="str">
        <f>HYPERLINK("http://www.12365auto.com/zlts/20200201/446024.shtml","http://www.12365auto.com/zlts/20200201/446024.shtml")</f>
        <v>http://www.12365auto.com/zlts/20200201/446024.shtml</v>
      </c>
      <c r="G13155" s="2"/>
      <c r="H13155" s="2" t="s">
        <v>17605</v>
      </c>
      <c r="I13155" s="2" t="s">
        <v>19</v>
      </c>
      <c r="J13155" s="2" t="s">
        <v>12</v>
      </c>
      <c r="K13155" s="2" t="s">
        <v>17606</v>
      </c>
      <c r="L13155" s="2">
        <f t="shared" si="205"/>
        <v>150</v>
      </c>
    </row>
    <row r="13156" spans="1:12" ht="25" customHeight="1">
      <c r="A13156" s="2" t="s">
        <v>12</v>
      </c>
      <c r="B13156" s="2" t="str">
        <f>HYPERLINK("http://www.12365auto.com/zlts/20200201/446022.shtml","发动机漏油异响，怠速不稳，变速箱顿挫")</f>
        <v>发动机漏油异响，怠速不稳，变速箱顿挫</v>
      </c>
      <c r="C13156" s="2" t="s">
        <v>13</v>
      </c>
      <c r="D13156" s="2" t="s">
        <v>12</v>
      </c>
      <c r="E13156" s="2"/>
      <c r="F13156" s="2" t="str">
        <f>HYPERLINK("http://www.12365auto.com/zlts/20200201/446022.shtml","http://www.12365auto.com/zlts/20200201/446022.shtml")</f>
        <v>http://www.12365auto.com/zlts/20200201/446022.shtml</v>
      </c>
      <c r="G13156" s="2"/>
      <c r="H13156" s="2" t="s">
        <v>17608</v>
      </c>
      <c r="I13156" s="2" t="s">
        <v>15</v>
      </c>
      <c r="J13156" s="2" t="s">
        <v>12</v>
      </c>
      <c r="K13156" s="2" t="s">
        <v>17607</v>
      </c>
      <c r="L13156" s="2">
        <f t="shared" si="205"/>
        <v>85</v>
      </c>
    </row>
    <row r="13157" spans="1:12" ht="25" customHeight="1">
      <c r="A13157" s="2" t="s">
        <v>12</v>
      </c>
      <c r="B13157" s="2" t="str">
        <f>HYPERLINK("http://www.12365auto.com/zlts/20200201/446021.shtml","车身生锈")</f>
        <v>车身生锈</v>
      </c>
      <c r="C13157" s="2" t="s">
        <v>13</v>
      </c>
      <c r="D13157" s="2" t="s">
        <v>12</v>
      </c>
      <c r="E13157" s="2"/>
      <c r="F13157" s="2" t="str">
        <f>HYPERLINK("http://www.12365auto.com/zlts/20200201/446021.shtml","http://www.12365auto.com/zlts/20200201/446021.shtml")</f>
        <v>http://www.12365auto.com/zlts/20200201/446021.shtml</v>
      </c>
      <c r="G13157" s="2"/>
      <c r="H13157" s="2" t="s">
        <v>17610</v>
      </c>
      <c r="I13157" s="2" t="s">
        <v>15</v>
      </c>
      <c r="J13157" s="2" t="s">
        <v>12</v>
      </c>
      <c r="K13157" s="2" t="s">
        <v>17609</v>
      </c>
      <c r="L13157" s="2">
        <f t="shared" si="205"/>
        <v>80</v>
      </c>
    </row>
    <row r="13158" spans="1:12" ht="25" customHeight="1">
      <c r="A13158" s="2" t="s">
        <v>12</v>
      </c>
      <c r="B13158" s="2" t="str">
        <f>HYPERLINK("http://www.12365auto.com/news/20200201/417438.shtml","ESP的按钮是干嘛的？一直开着就真行了吗")</f>
        <v>ESP的按钮是干嘛的？一直开着就真行了吗</v>
      </c>
      <c r="C13158" s="2" t="s">
        <v>13</v>
      </c>
      <c r="D13158" s="2" t="s">
        <v>12</v>
      </c>
      <c r="E13158" s="2" t="s">
        <v>372</v>
      </c>
      <c r="F13158" s="2" t="str">
        <f>HYPERLINK("http://www.12365auto.com/news/20200201/417438.shtml","http://www.12365auto.com/news/20200201/417438.shtml")</f>
        <v>http://www.12365auto.com/news/20200201/417438.shtml</v>
      </c>
      <c r="G13158" s="2"/>
      <c r="H13158" s="2" t="s">
        <v>17611</v>
      </c>
      <c r="I13158" s="2" t="s">
        <v>15</v>
      </c>
      <c r="J13158" s="2" t="s">
        <v>12</v>
      </c>
      <c r="K13158" s="2" t="s">
        <v>17612</v>
      </c>
      <c r="L13158" s="2">
        <f t="shared" si="205"/>
        <v>150</v>
      </c>
    </row>
    <row r="13159" spans="1:12" ht="25" customHeight="1">
      <c r="A13159" s="2" t="s">
        <v>12</v>
      </c>
      <c r="B13159" s="2" t="str">
        <f>HYPERLINK("http://m.12365auto.com/news/20200201/417438.shtml","ESP的按钮是干嘛的？一直开着就真行了吗")</f>
        <v>ESP的按钮是干嘛的？一直开着就真行了吗</v>
      </c>
      <c r="C13159" s="2" t="s">
        <v>13</v>
      </c>
      <c r="D13159" s="2" t="s">
        <v>12</v>
      </c>
      <c r="E13159" s="2"/>
      <c r="F13159" s="2" t="str">
        <f>HYPERLINK("http://m.12365auto.com/news/20200201/417438.shtml","http://m.12365auto.com/news/20200201/417438.shtml")</f>
        <v>http://m.12365auto.com/news/20200201/417438.shtml</v>
      </c>
      <c r="G13159" s="2"/>
      <c r="H13159" s="2" t="s">
        <v>17613</v>
      </c>
      <c r="I13159" s="2" t="s">
        <v>19</v>
      </c>
      <c r="J13159" s="2" t="s">
        <v>222</v>
      </c>
      <c r="K13159" s="2" t="s">
        <v>17612</v>
      </c>
      <c r="L13159" s="2">
        <f t="shared" si="205"/>
        <v>150</v>
      </c>
    </row>
    <row r="13160" spans="1:12" ht="25" customHeight="1">
      <c r="A13160" s="2" t="s">
        <v>12</v>
      </c>
      <c r="B13160" s="2" t="str">
        <f>HYPERLINK("http://m.12365auto.com/news/20200201/417437.shtml","物资直送武汉医院 上汽MAXUS整合全球资源")</f>
        <v>物资直送武汉医院 上汽MAXUS整合全球资源</v>
      </c>
      <c r="C13160" s="2" t="s">
        <v>13</v>
      </c>
      <c r="D13160" s="2" t="s">
        <v>12</v>
      </c>
      <c r="E13160" s="2"/>
      <c r="F13160" s="2" t="str">
        <f>HYPERLINK("http://m.12365auto.com/news/20200201/417437.shtml","http://m.12365auto.com/news/20200201/417437.shtml")</f>
        <v>http://m.12365auto.com/news/20200201/417437.shtml</v>
      </c>
      <c r="G13160" s="2"/>
      <c r="H13160" s="2" t="s">
        <v>17614</v>
      </c>
      <c r="I13160" s="2" t="s">
        <v>19</v>
      </c>
      <c r="J13160" s="2" t="s">
        <v>1094</v>
      </c>
      <c r="K13160" s="2" t="s">
        <v>17615</v>
      </c>
      <c r="L13160" s="2">
        <f t="shared" si="205"/>
        <v>150</v>
      </c>
    </row>
    <row r="13161" spans="1:12" ht="25" customHeight="1">
      <c r="A13161" s="2" t="s">
        <v>12</v>
      </c>
      <c r="B13161" s="2" t="str">
        <f>HYPERLINK("http://www.12365auto.com/news/20200201/417437.shtml","物资直送武汉医院 上汽MAXUS整合全球资源")</f>
        <v>物资直送武汉医院 上汽MAXUS整合全球资源</v>
      </c>
      <c r="C13161" s="2" t="s">
        <v>13</v>
      </c>
      <c r="D13161" s="2" t="s">
        <v>12</v>
      </c>
      <c r="E13161" s="2" t="s">
        <v>276</v>
      </c>
      <c r="F13161" s="2" t="str">
        <f>HYPERLINK("http://www.12365auto.com/news/20200201/417437.shtml","http://www.12365auto.com/news/20200201/417437.shtml")</f>
        <v>http://www.12365auto.com/news/20200201/417437.shtml</v>
      </c>
      <c r="G13161" s="2"/>
      <c r="H13161" s="2" t="s">
        <v>17616</v>
      </c>
      <c r="I13161" s="2" t="s">
        <v>15</v>
      </c>
      <c r="J13161" s="2" t="s">
        <v>12</v>
      </c>
      <c r="K13161" s="2" t="s">
        <v>17615</v>
      </c>
      <c r="L13161" s="2">
        <f t="shared" si="205"/>
        <v>150</v>
      </c>
    </row>
    <row r="13162" spans="1:12" ht="25" customHeight="1">
      <c r="A13162" s="2" t="s">
        <v>12</v>
      </c>
      <c r="B13162" s="2" t="str">
        <f>HYPERLINK("http://m.12365auto.com/xcdg/20200201/417436.shtml","高颜值与高性价比 这些SUV能陪您过个好年")</f>
        <v>高颜值与高性价比 这些SUV能陪您过个好年</v>
      </c>
      <c r="C13162" s="2" t="s">
        <v>13</v>
      </c>
      <c r="D13162" s="2" t="s">
        <v>12</v>
      </c>
      <c r="E13162" s="2"/>
      <c r="F13162" s="2" t="str">
        <f>HYPERLINK("http://m.12365auto.com/xcdg/20200201/417436.shtml","http://m.12365auto.com/xcdg/20200201/417436.shtml")</f>
        <v>http://m.12365auto.com/xcdg/20200201/417436.shtml</v>
      </c>
      <c r="G13162" s="2"/>
      <c r="H13162" s="2" t="s">
        <v>17617</v>
      </c>
      <c r="I13162" s="2" t="s">
        <v>19</v>
      </c>
      <c r="J13162" s="2" t="s">
        <v>4552</v>
      </c>
      <c r="K13162" s="2" t="s">
        <v>17618</v>
      </c>
      <c r="L13162" s="2">
        <f t="shared" si="205"/>
        <v>150</v>
      </c>
    </row>
    <row r="13163" spans="1:12" ht="25" customHeight="1">
      <c r="A13163" s="2" t="s">
        <v>12</v>
      </c>
      <c r="B13163" s="2" t="str">
        <f>HYPERLINK("http://www.12365auto.com/news/20200201/417435.shtml","奔腾开红门 1月销量大涨60.4% 超1.38万辆")</f>
        <v>奔腾开红门 1月销量大涨60.4% 超1.38万辆</v>
      </c>
      <c r="C13163" s="2" t="s">
        <v>13</v>
      </c>
      <c r="D13163" s="2" t="s">
        <v>12</v>
      </c>
      <c r="E13163" s="2" t="s">
        <v>276</v>
      </c>
      <c r="F13163" s="2" t="str">
        <f>HYPERLINK("http://www.12365auto.com/news/20200201/417435.shtml","http://www.12365auto.com/news/20200201/417435.shtml")</f>
        <v>http://www.12365auto.com/news/20200201/417435.shtml</v>
      </c>
      <c r="G13163" s="2"/>
      <c r="H13163" s="2" t="s">
        <v>17619</v>
      </c>
      <c r="I13163" s="2" t="s">
        <v>15</v>
      </c>
      <c r="J13163" s="2" t="s">
        <v>12</v>
      </c>
      <c r="K13163" s="2" t="s">
        <v>17620</v>
      </c>
      <c r="L13163" s="2">
        <f t="shared" si="205"/>
        <v>150</v>
      </c>
    </row>
    <row r="13164" spans="1:12" ht="25" customHeight="1">
      <c r="A13164" s="2" t="s">
        <v>12</v>
      </c>
      <c r="B13164" s="2" t="str">
        <f>HYPERLINK("http://m.12365auto.com/news/20200201/417435.shtml","奔腾开红门 1月销量大涨60.4% 超1.38万辆")</f>
        <v>奔腾开红门 1月销量大涨60.4% 超1.38万辆</v>
      </c>
      <c r="C13164" s="2" t="s">
        <v>13</v>
      </c>
      <c r="D13164" s="2" t="s">
        <v>12</v>
      </c>
      <c r="E13164" s="2"/>
      <c r="F13164" s="2" t="str">
        <f>HYPERLINK("http://m.12365auto.com/news/20200201/417435.shtml","http://m.12365auto.com/news/20200201/417435.shtml")</f>
        <v>http://m.12365auto.com/news/20200201/417435.shtml</v>
      </c>
      <c r="G13164" s="2"/>
      <c r="H13164" s="2" t="s">
        <v>17621</v>
      </c>
      <c r="I13164" s="2" t="s">
        <v>19</v>
      </c>
      <c r="J13164" s="2" t="s">
        <v>2928</v>
      </c>
      <c r="K13164" s="2" t="s">
        <v>17620</v>
      </c>
      <c r="L13164" s="2">
        <f t="shared" si="205"/>
        <v>150</v>
      </c>
    </row>
    <row r="13165" spans="1:12" ht="25" customHeight="1">
      <c r="A13165" s="2" t="s">
        <v>12</v>
      </c>
      <c r="B13165" s="2" t="str">
        <f>HYPERLINK("http://www.12365auto.com/zlts/20200201/446019.shtml","中看不中用")</f>
        <v>中看不中用</v>
      </c>
      <c r="C13165" s="2" t="s">
        <v>13</v>
      </c>
      <c r="D13165" s="2" t="s">
        <v>12</v>
      </c>
      <c r="E13165" s="2"/>
      <c r="F13165" s="2" t="str">
        <f>HYPERLINK("http://www.12365auto.com/zlts/20200201/446019.shtml","http://www.12365auto.com/zlts/20200201/446019.shtml")</f>
        <v>http://www.12365auto.com/zlts/20200201/446019.shtml</v>
      </c>
      <c r="G13165" s="2"/>
      <c r="H13165" s="2" t="s">
        <v>17623</v>
      </c>
      <c r="I13165" s="2" t="s">
        <v>15</v>
      </c>
      <c r="J13165" s="2" t="s">
        <v>12</v>
      </c>
      <c r="K13165" s="2" t="s">
        <v>17622</v>
      </c>
      <c r="L13165" s="2">
        <f t="shared" si="205"/>
        <v>85</v>
      </c>
    </row>
    <row r="13166" spans="1:12" ht="25" customHeight="1">
      <c r="A13166" s="2" t="s">
        <v>12</v>
      </c>
      <c r="B13166" s="2" t="str">
        <f>HYPERLINK("http://www.12365auto.com/xcdg/20200201/417434.shtml","海马二代S5插电混动SUV 一箱油能跑800km")</f>
        <v>海马二代S5插电混动SUV 一箱油能跑800km</v>
      </c>
      <c r="C13166" s="2" t="s">
        <v>13</v>
      </c>
      <c r="D13166" s="2" t="s">
        <v>12</v>
      </c>
      <c r="E13166" s="2" t="s">
        <v>245</v>
      </c>
      <c r="F13166" s="2" t="str">
        <f>HYPERLINK("http://www.12365auto.com/xcdg/20200201/417434.shtml","http://www.12365auto.com/xcdg/20200201/417434.shtml")</f>
        <v>http://www.12365auto.com/xcdg/20200201/417434.shtml</v>
      </c>
      <c r="G13166" s="2"/>
      <c r="H13166" s="2" t="s">
        <v>17624</v>
      </c>
      <c r="I13166" s="2" t="s">
        <v>19</v>
      </c>
      <c r="J13166" s="2" t="s">
        <v>12</v>
      </c>
      <c r="K13166" s="2" t="s">
        <v>17625</v>
      </c>
      <c r="L13166" s="2">
        <f t="shared" si="205"/>
        <v>150</v>
      </c>
    </row>
    <row r="13167" spans="1:12" ht="25" customHeight="1">
      <c r="A13167" s="2" t="s">
        <v>12</v>
      </c>
      <c r="B13167" s="2" t="str">
        <f>HYPERLINK("http://m.12365auto.com/xcdg/20200201/417434.shtml","海马二代S5插电混动SUV 一箱油能跑800km")</f>
        <v>海马二代S5插电混动SUV 一箱油能跑800km</v>
      </c>
      <c r="C13167" s="2" t="s">
        <v>13</v>
      </c>
      <c r="D13167" s="2" t="s">
        <v>12</v>
      </c>
      <c r="E13167" s="2"/>
      <c r="F13167" s="2" t="str">
        <f>HYPERLINK("http://m.12365auto.com/xcdg/20200201/417434.shtml","http://m.12365auto.com/xcdg/20200201/417434.shtml")</f>
        <v>http://m.12365auto.com/xcdg/20200201/417434.shtml</v>
      </c>
      <c r="G13167" s="2"/>
      <c r="H13167" s="2" t="s">
        <v>17626</v>
      </c>
      <c r="I13167" s="2" t="s">
        <v>19</v>
      </c>
      <c r="J13167" s="2" t="s">
        <v>2928</v>
      </c>
      <c r="K13167" s="2" t="s">
        <v>17625</v>
      </c>
      <c r="L13167" s="2">
        <f t="shared" si="205"/>
        <v>150</v>
      </c>
    </row>
    <row r="13168" spans="1:12" ht="25" customHeight="1">
      <c r="A13168" s="2" t="s">
        <v>12</v>
      </c>
      <c r="B13168" s="2" t="str">
        <f>HYPERLINK("http://m.12365auto.com/news/20200201/417433.shtml","汽油标号有什么含义？数字越高代表越好吗")</f>
        <v>汽油标号有什么含义？数字越高代表越好吗</v>
      </c>
      <c r="C13168" s="2" t="s">
        <v>13</v>
      </c>
      <c r="D13168" s="2" t="s">
        <v>12</v>
      </c>
      <c r="E13168" s="2"/>
      <c r="F13168" s="2" t="str">
        <f>HYPERLINK("http://m.12365auto.com/news/20200201/417433.shtml","http://m.12365auto.com/news/20200201/417433.shtml")</f>
        <v>http://m.12365auto.com/news/20200201/417433.shtml</v>
      </c>
      <c r="G13168" s="2"/>
      <c r="H13168" s="2" t="s">
        <v>17627</v>
      </c>
      <c r="I13168" s="2" t="s">
        <v>19</v>
      </c>
      <c r="J13168" s="2" t="s">
        <v>222</v>
      </c>
      <c r="K13168" s="2" t="s">
        <v>17628</v>
      </c>
      <c r="L13168" s="2">
        <f t="shared" si="205"/>
        <v>150</v>
      </c>
    </row>
    <row r="13169" spans="1:12" ht="25" customHeight="1">
      <c r="A13169" s="2" t="s">
        <v>12</v>
      </c>
      <c r="B13169" s="2" t="str">
        <f>HYPERLINK("http://www.12365auto.com/news/20200201/417433.shtml","汽油标号有什么含义？数字越高代表越好吗")</f>
        <v>汽油标号有什么含义？数字越高代表越好吗</v>
      </c>
      <c r="C13169" s="2" t="s">
        <v>13</v>
      </c>
      <c r="D13169" s="2" t="s">
        <v>12</v>
      </c>
      <c r="E13169" s="2" t="s">
        <v>372</v>
      </c>
      <c r="F13169" s="2" t="str">
        <f>HYPERLINK("http://www.12365auto.com/news/20200201/417433.shtml","http://www.12365auto.com/news/20200201/417433.shtml")</f>
        <v>http://www.12365auto.com/news/20200201/417433.shtml</v>
      </c>
      <c r="G13169" s="2"/>
      <c r="H13169" s="2" t="s">
        <v>17629</v>
      </c>
      <c r="I13169" s="2" t="s">
        <v>15</v>
      </c>
      <c r="J13169" s="2" t="s">
        <v>12</v>
      </c>
      <c r="K13169" s="2" t="s">
        <v>17628</v>
      </c>
      <c r="L13169" s="2">
        <f t="shared" si="205"/>
        <v>150</v>
      </c>
    </row>
    <row r="13170" spans="1:12" ht="25" customHeight="1">
      <c r="A13170" s="2" t="s">
        <v>12</v>
      </c>
      <c r="B13170" s="2" t="str">
        <f>HYPERLINK("http://m.12365auto.com/news/20200201/417432.shtml","涡轮增压的原理是什么 为什么用这个技术")</f>
        <v>涡轮增压的原理是什么 为什么用这个技术</v>
      </c>
      <c r="C13170" s="2" t="s">
        <v>13</v>
      </c>
      <c r="D13170" s="2" t="s">
        <v>12</v>
      </c>
      <c r="E13170" s="2"/>
      <c r="F13170" s="2" t="str">
        <f>HYPERLINK("http://m.12365auto.com/news/20200201/417432.shtml","http://m.12365auto.com/news/20200201/417432.shtml")</f>
        <v>http://m.12365auto.com/news/20200201/417432.shtml</v>
      </c>
      <c r="G13170" s="2"/>
      <c r="H13170" s="2" t="s">
        <v>17630</v>
      </c>
      <c r="I13170" s="2" t="s">
        <v>19</v>
      </c>
      <c r="J13170" s="2" t="s">
        <v>222</v>
      </c>
      <c r="K13170" s="2" t="s">
        <v>17631</v>
      </c>
      <c r="L13170" s="2">
        <f t="shared" si="205"/>
        <v>150</v>
      </c>
    </row>
    <row r="13171" spans="1:12" ht="25" customHeight="1">
      <c r="A13171" s="2" t="s">
        <v>12</v>
      </c>
      <c r="B13171" s="2" t="str">
        <f>HYPERLINK("http://www.12365auto.com/news/20200201/417432.shtml","涡轮增压的原理是什么 为什么用这个技术")</f>
        <v>涡轮增压的原理是什么 为什么用这个技术</v>
      </c>
      <c r="C13171" s="2" t="s">
        <v>13</v>
      </c>
      <c r="D13171" s="2" t="s">
        <v>12</v>
      </c>
      <c r="E13171" s="2" t="s">
        <v>372</v>
      </c>
      <c r="F13171" s="2" t="str">
        <f>HYPERLINK("http://www.12365auto.com/news/20200201/417432.shtml","http://www.12365auto.com/news/20200201/417432.shtml")</f>
        <v>http://www.12365auto.com/news/20200201/417432.shtml</v>
      </c>
      <c r="G13171" s="2"/>
      <c r="H13171" s="2" t="s">
        <v>17632</v>
      </c>
      <c r="I13171" s="2" t="s">
        <v>15</v>
      </c>
      <c r="J13171" s="2" t="s">
        <v>12</v>
      </c>
      <c r="K13171" s="2" t="s">
        <v>17631</v>
      </c>
      <c r="L13171" s="2">
        <f t="shared" si="205"/>
        <v>150</v>
      </c>
    </row>
    <row r="13172" spans="1:12" ht="25" customHeight="1">
      <c r="A13172" s="2" t="s">
        <v>12</v>
      </c>
      <c r="B13172" s="2" t="str">
        <f>HYPERLINK("http://m.12365auto.com/xcdg/20200201/417431.shtml","众泰TS5全新SUV即将开卖 酷似保时捷卡宴")</f>
        <v>众泰TS5全新SUV即将开卖 酷似保时捷卡宴</v>
      </c>
      <c r="C13172" s="2" t="s">
        <v>13</v>
      </c>
      <c r="D13172" s="2" t="s">
        <v>12</v>
      </c>
      <c r="E13172" s="2"/>
      <c r="F13172" s="2" t="str">
        <f>HYPERLINK("http://m.12365auto.com/xcdg/20200201/417431.shtml","http://m.12365auto.com/xcdg/20200201/417431.shtml")</f>
        <v>http://m.12365auto.com/xcdg/20200201/417431.shtml</v>
      </c>
      <c r="G13172" s="2"/>
      <c r="H13172" s="2" t="s">
        <v>17633</v>
      </c>
      <c r="I13172" s="2" t="s">
        <v>19</v>
      </c>
      <c r="J13172" s="2" t="s">
        <v>2928</v>
      </c>
      <c r="K13172" s="2" t="s">
        <v>17634</v>
      </c>
      <c r="L13172" s="2">
        <f t="shared" si="205"/>
        <v>150</v>
      </c>
    </row>
    <row r="13173" spans="1:12" ht="25" customHeight="1">
      <c r="A13173" s="2" t="s">
        <v>12</v>
      </c>
      <c r="B13173" s="2" t="str">
        <f>HYPERLINK("http://www.12365auto.com/xcdg/20200201/417431.shtml","众泰TS5全新SUV即将开卖 酷似保时捷卡宴")</f>
        <v>众泰TS5全新SUV即将开卖 酷似保时捷卡宴</v>
      </c>
      <c r="C13173" s="2" t="s">
        <v>13</v>
      </c>
      <c r="D13173" s="2" t="s">
        <v>12</v>
      </c>
      <c r="E13173" s="2" t="s">
        <v>216</v>
      </c>
      <c r="F13173" s="2" t="str">
        <f>HYPERLINK("http://www.12365auto.com/xcdg/20200201/417431.shtml","http://www.12365auto.com/xcdg/20200201/417431.shtml")</f>
        <v>http://www.12365auto.com/xcdg/20200201/417431.shtml</v>
      </c>
      <c r="G13173" s="2"/>
      <c r="H13173" s="2" t="s">
        <v>17635</v>
      </c>
      <c r="I13173" s="2" t="s">
        <v>15</v>
      </c>
      <c r="J13173" s="2" t="s">
        <v>12</v>
      </c>
      <c r="K13173" s="2" t="s">
        <v>17634</v>
      </c>
      <c r="L13173" s="2">
        <f t="shared" si="205"/>
        <v>150</v>
      </c>
    </row>
    <row r="13174" spans="1:12" ht="25" customHeight="1">
      <c r="A13174" s="2" t="s">
        <v>12</v>
      </c>
      <c r="B13174" s="2" t="str">
        <f>HYPERLINK("http://m.12365auto.com/xcdg/20200201/417430.shtml","新款北京20越野车曝光 更名BJ30年内上市")</f>
        <v>新款北京20越野车曝光 更名BJ30年内上市</v>
      </c>
      <c r="C13174" s="2" t="s">
        <v>13</v>
      </c>
      <c r="D13174" s="2" t="s">
        <v>12</v>
      </c>
      <c r="E13174" s="2"/>
      <c r="F13174" s="2" t="str">
        <f>HYPERLINK("http://m.12365auto.com/xcdg/20200201/417430.shtml","http://m.12365auto.com/xcdg/20200201/417430.shtml")</f>
        <v>http://m.12365auto.com/xcdg/20200201/417430.shtml</v>
      </c>
      <c r="G13174" s="2"/>
      <c r="H13174" s="2" t="s">
        <v>17636</v>
      </c>
      <c r="I13174" s="2" t="s">
        <v>19</v>
      </c>
      <c r="J13174" s="2" t="s">
        <v>2928</v>
      </c>
      <c r="K13174" s="2" t="s">
        <v>17637</v>
      </c>
      <c r="L13174" s="2">
        <f t="shared" si="205"/>
        <v>150</v>
      </c>
    </row>
    <row r="13175" spans="1:12" ht="25" customHeight="1">
      <c r="A13175" s="2" t="s">
        <v>12</v>
      </c>
      <c r="B13175" s="2" t="str">
        <f>HYPERLINK("http://www.12365auto.com/xcdg/20200201/417430.shtml","新款北京20越野车曝光 更名BJ30年内上市")</f>
        <v>新款北京20越野车曝光 更名BJ30年内上市</v>
      </c>
      <c r="C13175" s="2" t="s">
        <v>13</v>
      </c>
      <c r="D13175" s="2" t="s">
        <v>12</v>
      </c>
      <c r="E13175" s="2" t="s">
        <v>224</v>
      </c>
      <c r="F13175" s="2" t="str">
        <f>HYPERLINK("http://www.12365auto.com/xcdg/20200201/417430.shtml","http://www.12365auto.com/xcdg/20200201/417430.shtml")</f>
        <v>http://www.12365auto.com/xcdg/20200201/417430.shtml</v>
      </c>
      <c r="G13175" s="2"/>
      <c r="H13175" s="2" t="s">
        <v>17638</v>
      </c>
      <c r="I13175" s="2" t="s">
        <v>15</v>
      </c>
      <c r="J13175" s="2" t="s">
        <v>12</v>
      </c>
      <c r="K13175" s="2" t="s">
        <v>17637</v>
      </c>
      <c r="L13175" s="2">
        <f t="shared" si="205"/>
        <v>150</v>
      </c>
    </row>
    <row r="13176" spans="1:12" ht="25" customHeight="1">
      <c r="A13176" s="2" t="s">
        <v>12</v>
      </c>
      <c r="B13176" s="2" t="str">
        <f>HYPERLINK("http://m.12365auto.com/xcdg/20200201/417429.shtml","加入三角形尾灯 中期改款AMG E63实拍图")</f>
        <v>加入三角形尾灯 中期改款AMG E63实拍图</v>
      </c>
      <c r="C13176" s="2" t="s">
        <v>13</v>
      </c>
      <c r="D13176" s="2" t="s">
        <v>12</v>
      </c>
      <c r="E13176" s="2"/>
      <c r="F13176" s="2" t="str">
        <f>HYPERLINK("http://m.12365auto.com/xcdg/20200201/417429.shtml","http://m.12365auto.com/xcdg/20200201/417429.shtml")</f>
        <v>http://m.12365auto.com/xcdg/20200201/417429.shtml</v>
      </c>
      <c r="G13176" s="2"/>
      <c r="H13176" s="2" t="s">
        <v>17639</v>
      </c>
      <c r="I13176" s="2" t="s">
        <v>19</v>
      </c>
      <c r="J13176" s="2" t="s">
        <v>2589</v>
      </c>
      <c r="K13176" s="2" t="s">
        <v>17640</v>
      </c>
      <c r="L13176" s="2">
        <f t="shared" si="205"/>
        <v>150</v>
      </c>
    </row>
    <row r="13177" spans="1:12" ht="25" customHeight="1">
      <c r="A13177" s="2" t="s">
        <v>12</v>
      </c>
      <c r="B13177" s="2" t="str">
        <f>HYPERLINK("http://www.12365auto.com/xcdg/20200201/417429.shtml","加入三角形尾灯 中期改款AMG E63实拍图")</f>
        <v>加入三角形尾灯 中期改款AMG E63实拍图</v>
      </c>
      <c r="C13177" s="2" t="s">
        <v>13</v>
      </c>
      <c r="D13177" s="2" t="s">
        <v>12</v>
      </c>
      <c r="E13177" s="2" t="s">
        <v>224</v>
      </c>
      <c r="F13177" s="2" t="str">
        <f>HYPERLINK("http://www.12365auto.com/xcdg/20200201/417429.shtml","http://www.12365auto.com/xcdg/20200201/417429.shtml")</f>
        <v>http://www.12365auto.com/xcdg/20200201/417429.shtml</v>
      </c>
      <c r="G13177" s="2"/>
      <c r="H13177" s="2" t="s">
        <v>17641</v>
      </c>
      <c r="I13177" s="2" t="s">
        <v>15</v>
      </c>
      <c r="J13177" s="2" t="s">
        <v>12</v>
      </c>
      <c r="K13177" s="2" t="s">
        <v>17640</v>
      </c>
      <c r="L13177" s="2">
        <f t="shared" si="205"/>
        <v>150</v>
      </c>
    </row>
    <row r="13178" spans="1:12" ht="25" customHeight="1">
      <c r="A13178" s="2" t="s">
        <v>12</v>
      </c>
      <c r="B13178" s="2" t="str">
        <f>HYPERLINK("http://m.12365auto.com/news/20200201/417428.shtml","分秒必争 梅赛德斯奔驰第一批资助完成拨款")</f>
        <v>分秒必争 梅赛德斯奔驰第一批资助完成拨款</v>
      </c>
      <c r="C13178" s="2" t="s">
        <v>13</v>
      </c>
      <c r="D13178" s="2" t="s">
        <v>12</v>
      </c>
      <c r="E13178" s="2"/>
      <c r="F13178" s="2" t="str">
        <f>HYPERLINK("http://m.12365auto.com/news/20200201/417428.shtml","http://m.12365auto.com/news/20200201/417428.shtml")</f>
        <v>http://m.12365auto.com/news/20200201/417428.shtml</v>
      </c>
      <c r="G13178" s="2"/>
      <c r="H13178" s="2" t="s">
        <v>17642</v>
      </c>
      <c r="I13178" s="2" t="s">
        <v>19</v>
      </c>
      <c r="J13178" s="2" t="s">
        <v>6828</v>
      </c>
      <c r="K13178" s="2" t="s">
        <v>17643</v>
      </c>
      <c r="L13178" s="2">
        <f t="shared" si="205"/>
        <v>150</v>
      </c>
    </row>
    <row r="13179" spans="1:12" ht="25" customHeight="1">
      <c r="A13179" s="2" t="s">
        <v>12</v>
      </c>
      <c r="B13179" s="2" t="str">
        <f>HYPERLINK("http://www.12365auto.com/news/20200201/417428.shtml","分秒必争 梅赛德斯奔驰第一批资助完成拨款")</f>
        <v>分秒必争 梅赛德斯奔驰第一批资助完成拨款</v>
      </c>
      <c r="C13179" s="2" t="s">
        <v>13</v>
      </c>
      <c r="D13179" s="2" t="s">
        <v>12</v>
      </c>
      <c r="E13179" s="2" t="s">
        <v>282</v>
      </c>
      <c r="F13179" s="2" t="str">
        <f>HYPERLINK("http://www.12365auto.com/news/20200201/417428.shtml","http://www.12365auto.com/news/20200201/417428.shtml")</f>
        <v>http://www.12365auto.com/news/20200201/417428.shtml</v>
      </c>
      <c r="G13179" s="2"/>
      <c r="H13179" s="2" t="s">
        <v>17644</v>
      </c>
      <c r="I13179" s="2" t="s">
        <v>19</v>
      </c>
      <c r="J13179" s="2" t="s">
        <v>12</v>
      </c>
      <c r="K13179" s="2" t="s">
        <v>17643</v>
      </c>
      <c r="L13179" s="2">
        <f t="shared" si="205"/>
        <v>150</v>
      </c>
    </row>
    <row r="13180" spans="1:12" ht="25" customHeight="1">
      <c r="A13180" s="2" t="s">
        <v>12</v>
      </c>
      <c r="B13180" s="2" t="str">
        <f>HYPERLINK("http://m.12365auto.com/news/20200201/417427.shtml","捐款1000万元 本田支援新冠肺炎疫情防控")</f>
        <v>捐款1000万元 本田支援新冠肺炎疫情防控</v>
      </c>
      <c r="C13180" s="2" t="s">
        <v>13</v>
      </c>
      <c r="D13180" s="2" t="s">
        <v>12</v>
      </c>
      <c r="E13180" s="2"/>
      <c r="F13180" s="2" t="str">
        <f>HYPERLINK("http://m.12365auto.com/news/20200201/417427.shtml","http://m.12365auto.com/news/20200201/417427.shtml")</f>
        <v>http://m.12365auto.com/news/20200201/417427.shtml</v>
      </c>
      <c r="G13180" s="2"/>
      <c r="H13180" s="2" t="s">
        <v>17645</v>
      </c>
      <c r="I13180" s="2" t="s">
        <v>19</v>
      </c>
      <c r="J13180" s="2" t="s">
        <v>6828</v>
      </c>
      <c r="K13180" s="2" t="s">
        <v>17646</v>
      </c>
      <c r="L13180" s="2">
        <f t="shared" si="205"/>
        <v>150</v>
      </c>
    </row>
    <row r="13181" spans="1:12" ht="25" customHeight="1">
      <c r="A13181" s="2" t="s">
        <v>12</v>
      </c>
      <c r="B13181" s="2" t="str">
        <f>HYPERLINK("http://www.12365auto.com/news/20200201/417427.shtml","捐款1000万元 本田支援新冠肺炎疫情防控")</f>
        <v>捐款1000万元 本田支援新冠肺炎疫情防控</v>
      </c>
      <c r="C13181" s="2" t="s">
        <v>13</v>
      </c>
      <c r="D13181" s="2" t="s">
        <v>12</v>
      </c>
      <c r="E13181" s="2" t="s">
        <v>276</v>
      </c>
      <c r="F13181" s="2" t="str">
        <f>HYPERLINK("http://www.12365auto.com/news/20200201/417427.shtml","http://www.12365auto.com/news/20200201/417427.shtml")</f>
        <v>http://www.12365auto.com/news/20200201/417427.shtml</v>
      </c>
      <c r="G13181" s="2"/>
      <c r="H13181" s="2" t="s">
        <v>17647</v>
      </c>
      <c r="I13181" s="2" t="s">
        <v>15</v>
      </c>
      <c r="J13181" s="2" t="s">
        <v>12</v>
      </c>
      <c r="K13181" s="2" t="s">
        <v>17646</v>
      </c>
      <c r="L13181" s="2">
        <f t="shared" si="205"/>
        <v>150</v>
      </c>
    </row>
    <row r="13182" spans="1:12" ht="25" customHeight="1">
      <c r="A13182" s="2" t="s">
        <v>12</v>
      </c>
      <c r="B13182" s="2" t="str">
        <f>HYPERLINK("http://m.12365auto.com/xcdg/20200201/417426.shtml","最高优惠2.3万 不要错过这几款大空间SUV")</f>
        <v>最高优惠2.3万 不要错过这几款大空间SUV</v>
      </c>
      <c r="C13182" s="2" t="s">
        <v>13</v>
      </c>
      <c r="D13182" s="2" t="s">
        <v>12</v>
      </c>
      <c r="E13182" s="2"/>
      <c r="F13182" s="2" t="str">
        <f>HYPERLINK("http://m.12365auto.com/xcdg/20200201/417426.shtml","http://m.12365auto.com/xcdg/20200201/417426.shtml")</f>
        <v>http://m.12365auto.com/xcdg/20200201/417426.shtml</v>
      </c>
      <c r="G13182" s="2"/>
      <c r="H13182" s="2" t="s">
        <v>17648</v>
      </c>
      <c r="I13182" s="2" t="s">
        <v>19</v>
      </c>
      <c r="J13182" s="2" t="s">
        <v>6818</v>
      </c>
      <c r="K13182" s="2" t="s">
        <v>17649</v>
      </c>
      <c r="L13182" s="2">
        <f t="shared" si="205"/>
        <v>150</v>
      </c>
    </row>
    <row r="13183" spans="1:12" ht="25" customHeight="1">
      <c r="A13183" s="2" t="s">
        <v>12</v>
      </c>
      <c r="B13183" s="2" t="str">
        <f>HYPERLINK("http://m.12365auto.com/xcdg/20200201/417425.shtml","GLC能跑又能装 长途还是豪华SUV舒适度高")</f>
        <v>GLC能跑又能装 长途还是豪华SUV舒适度高</v>
      </c>
      <c r="C13183" s="2" t="s">
        <v>13</v>
      </c>
      <c r="D13183" s="2" t="s">
        <v>12</v>
      </c>
      <c r="E13183" s="2"/>
      <c r="F13183" s="2" t="str">
        <f>HYPERLINK("http://m.12365auto.com/xcdg/20200201/417425.shtml","http://m.12365auto.com/xcdg/20200201/417425.shtml")</f>
        <v>http://m.12365auto.com/xcdg/20200201/417425.shtml</v>
      </c>
      <c r="G13183" s="2"/>
      <c r="H13183" s="2" t="s">
        <v>17650</v>
      </c>
      <c r="I13183" s="2" t="s">
        <v>19</v>
      </c>
      <c r="J13183" s="2" t="s">
        <v>3560</v>
      </c>
      <c r="K13183" s="2" t="s">
        <v>17651</v>
      </c>
      <c r="L13183" s="2">
        <f t="shared" si="205"/>
        <v>150</v>
      </c>
    </row>
    <row r="13184" spans="1:12" ht="25" customHeight="1">
      <c r="A13184" s="2" t="s">
        <v>12</v>
      </c>
      <c r="B13184" s="2" t="str">
        <f>HYPERLINK("http://www.12365auto.com/news/20200201/417424.shtml","激流勇退 曝捷豹路虎CEO施韦德将辞职")</f>
        <v>激流勇退 曝捷豹路虎CEO施韦德将辞职</v>
      </c>
      <c r="C13184" s="2" t="s">
        <v>13</v>
      </c>
      <c r="D13184" s="2" t="s">
        <v>12</v>
      </c>
      <c r="E13184" s="2" t="s">
        <v>276</v>
      </c>
      <c r="F13184" s="2" t="str">
        <f>HYPERLINK("http://www.12365auto.com/news/20200201/417424.shtml","http://www.12365auto.com/news/20200201/417424.shtml")</f>
        <v>http://www.12365auto.com/news/20200201/417424.shtml</v>
      </c>
      <c r="G13184" s="2"/>
      <c r="H13184" s="2" t="s">
        <v>17652</v>
      </c>
      <c r="I13184" s="2" t="s">
        <v>15</v>
      </c>
      <c r="J13184" s="2" t="s">
        <v>12</v>
      </c>
      <c r="K13184" s="2" t="s">
        <v>17653</v>
      </c>
      <c r="L13184" s="2">
        <f t="shared" si="205"/>
        <v>150</v>
      </c>
    </row>
    <row r="13185" spans="1:12" ht="25" customHeight="1">
      <c r="A13185" s="2" t="s">
        <v>12</v>
      </c>
      <c r="B13185" s="2" t="str">
        <f>HYPERLINK("http://m.12365auto.com/news/20200201/417424.shtml","激流勇退 曝捷豹路虎CEO施韦德将辞职")</f>
        <v>激流勇退 曝捷豹路虎CEO施韦德将辞职</v>
      </c>
      <c r="C13185" s="2" t="s">
        <v>13</v>
      </c>
      <c r="D13185" s="2" t="s">
        <v>12</v>
      </c>
      <c r="E13185" s="2"/>
      <c r="F13185" s="2" t="str">
        <f>HYPERLINK("http://m.12365auto.com/news/20200201/417424.shtml","http://m.12365auto.com/news/20200201/417424.shtml")</f>
        <v>http://m.12365auto.com/news/20200201/417424.shtml</v>
      </c>
      <c r="G13185" s="2"/>
      <c r="H13185" s="2" t="s">
        <v>17654</v>
      </c>
      <c r="I13185" s="2" t="s">
        <v>19</v>
      </c>
      <c r="J13185" s="2" t="s">
        <v>281</v>
      </c>
      <c r="K13185" s="2" t="s">
        <v>17653</v>
      </c>
      <c r="L13185" s="2">
        <f t="shared" si="205"/>
        <v>150</v>
      </c>
    </row>
    <row r="13186" spans="1:12" ht="25" customHeight="1">
      <c r="A13186" s="2" t="s">
        <v>12</v>
      </c>
      <c r="B13186" s="2" t="str">
        <f>HYPERLINK("http://www.12365auto.com/xcdg/20200201/417423.shtml","续航或达700km 领克DC1E新车信息曝光")</f>
        <v>续航或达700km 领克DC1E新车信息曝光</v>
      </c>
      <c r="C13186" s="2" t="s">
        <v>13</v>
      </c>
      <c r="D13186" s="2" t="s">
        <v>12</v>
      </c>
      <c r="E13186" s="2" t="s">
        <v>224</v>
      </c>
      <c r="F13186" s="2" t="str">
        <f>HYPERLINK("http://www.12365auto.com/xcdg/20200201/417423.shtml","http://www.12365auto.com/xcdg/20200201/417423.shtml")</f>
        <v>http://www.12365auto.com/xcdg/20200201/417423.shtml</v>
      </c>
      <c r="G13186" s="2"/>
      <c r="H13186" s="2" t="s">
        <v>17655</v>
      </c>
      <c r="I13186" s="2" t="s">
        <v>15</v>
      </c>
      <c r="J13186" s="2" t="s">
        <v>12</v>
      </c>
      <c r="K13186" s="2" t="s">
        <v>17656</v>
      </c>
      <c r="L13186" s="2">
        <f t="shared" si="205"/>
        <v>150</v>
      </c>
    </row>
    <row r="13187" spans="1:12" ht="25" customHeight="1">
      <c r="A13187" s="2" t="s">
        <v>12</v>
      </c>
      <c r="B13187" s="2" t="str">
        <f>HYPERLINK("http://m.12365auto.com/xcdg/20200201/417423.shtml","续航或达700km 领克DC1E新车信息曝光")</f>
        <v>续航或达700km 领克DC1E新车信息曝光</v>
      </c>
      <c r="C13187" s="2" t="s">
        <v>13</v>
      </c>
      <c r="D13187" s="2" t="s">
        <v>12</v>
      </c>
      <c r="E13187" s="2"/>
      <c r="F13187" s="2" t="str">
        <f>HYPERLINK("http://m.12365auto.com/xcdg/20200201/417423.shtml","http://m.12365auto.com/xcdg/20200201/417423.shtml")</f>
        <v>http://m.12365auto.com/xcdg/20200201/417423.shtml</v>
      </c>
      <c r="G13187" s="2"/>
      <c r="H13187" s="2" t="s">
        <v>17657</v>
      </c>
      <c r="I13187" s="2" t="s">
        <v>19</v>
      </c>
      <c r="J13187" s="2" t="s">
        <v>330</v>
      </c>
      <c r="K13187" s="2" t="s">
        <v>17656</v>
      </c>
      <c r="L13187" s="2">
        <f t="shared" ref="L13187:L13209" si="206">LEN(H13187)</f>
        <v>150</v>
      </c>
    </row>
    <row r="13188" spans="1:12" ht="25" customHeight="1">
      <c r="A13188" s="2" t="s">
        <v>12</v>
      </c>
      <c r="B13188" s="2" t="str">
        <f>HYPERLINK("http://m.12365auto.com/xcdg/20200201/417422.shtml","1000马力但是零排放 悍马将于5月回归")</f>
        <v>1000马力但是零排放 悍马将于5月回归</v>
      </c>
      <c r="C13188" s="2" t="s">
        <v>13</v>
      </c>
      <c r="D13188" s="2" t="s">
        <v>12</v>
      </c>
      <c r="E13188" s="2"/>
      <c r="F13188" s="2" t="str">
        <f>HYPERLINK("http://m.12365auto.com/xcdg/20200201/417422.shtml","http://m.12365auto.com/xcdg/20200201/417422.shtml")</f>
        <v>http://m.12365auto.com/xcdg/20200201/417422.shtml</v>
      </c>
      <c r="G13188" s="2"/>
      <c r="H13188" s="2" t="s">
        <v>17658</v>
      </c>
      <c r="I13188" s="2" t="s">
        <v>19</v>
      </c>
      <c r="J13188" s="2" t="s">
        <v>17659</v>
      </c>
      <c r="K13188" s="2" t="s">
        <v>17660</v>
      </c>
      <c r="L13188" s="2">
        <f t="shared" si="206"/>
        <v>150</v>
      </c>
    </row>
    <row r="13189" spans="1:12" ht="25" customHeight="1">
      <c r="A13189" s="2" t="s">
        <v>12</v>
      </c>
      <c r="B13189" s="2" t="str">
        <f>HYPERLINK("http://www.12365auto.com/xcdg/20200201/417422.shtml","1000马力但是零排放 悍马将于5月回归")</f>
        <v>1000马力但是零排放 悍马将于5月回归</v>
      </c>
      <c r="C13189" s="2" t="s">
        <v>13</v>
      </c>
      <c r="D13189" s="2" t="s">
        <v>12</v>
      </c>
      <c r="E13189" s="2" t="s">
        <v>216</v>
      </c>
      <c r="F13189" s="2" t="str">
        <f>HYPERLINK("http://www.12365auto.com/xcdg/20200201/417422.shtml","http://www.12365auto.com/xcdg/20200201/417422.shtml")</f>
        <v>http://www.12365auto.com/xcdg/20200201/417422.shtml</v>
      </c>
      <c r="G13189" s="2"/>
      <c r="H13189" s="2" t="s">
        <v>17661</v>
      </c>
      <c r="I13189" s="2" t="s">
        <v>15</v>
      </c>
      <c r="J13189" s="2" t="s">
        <v>12</v>
      </c>
      <c r="K13189" s="2" t="s">
        <v>17660</v>
      </c>
      <c r="L13189" s="2">
        <f t="shared" si="206"/>
        <v>150</v>
      </c>
    </row>
    <row r="13190" spans="1:12" ht="25" customHeight="1">
      <c r="A13190" s="2" t="s">
        <v>12</v>
      </c>
      <c r="B13190" s="2" t="str">
        <f>HYPERLINK("http://www.12365auto.com/news/20200201/417421.shtml","提供运输服务 东南汽车选派SUV驰援疫区")</f>
        <v>提供运输服务 东南汽车选派SUV驰援疫区</v>
      </c>
      <c r="C13190" s="2" t="s">
        <v>13</v>
      </c>
      <c r="D13190" s="2" t="s">
        <v>12</v>
      </c>
      <c r="E13190" s="2" t="s">
        <v>282</v>
      </c>
      <c r="F13190" s="2" t="str">
        <f>HYPERLINK("http://www.12365auto.com/news/20200201/417421.shtml","http://www.12365auto.com/news/20200201/417421.shtml")</f>
        <v>http://www.12365auto.com/news/20200201/417421.shtml</v>
      </c>
      <c r="G13190" s="2"/>
      <c r="H13190" s="2" t="s">
        <v>14282</v>
      </c>
      <c r="I13190" s="2" t="s">
        <v>19</v>
      </c>
      <c r="J13190" s="2" t="s">
        <v>12</v>
      </c>
      <c r="K13190" s="2" t="s">
        <v>17662</v>
      </c>
      <c r="L13190" s="2">
        <f t="shared" si="206"/>
        <v>150</v>
      </c>
    </row>
    <row r="13191" spans="1:12" ht="25" customHeight="1">
      <c r="A13191" s="2" t="s">
        <v>12</v>
      </c>
      <c r="B13191" s="2" t="str">
        <f>HYPERLINK("http://m.12365auto.com/news/20200201/417421.shtml","提供运输服务 东南汽车选派SUV驰援疫区")</f>
        <v>提供运输服务 东南汽车选派SUV驰援疫区</v>
      </c>
      <c r="C13191" s="2" t="s">
        <v>13</v>
      </c>
      <c r="D13191" s="2" t="s">
        <v>12</v>
      </c>
      <c r="E13191" s="2"/>
      <c r="F13191" s="2" t="str">
        <f>HYPERLINK("http://m.12365auto.com/news/20200201/417421.shtml","http://m.12365auto.com/news/20200201/417421.shtml")</f>
        <v>http://m.12365auto.com/news/20200201/417421.shtml</v>
      </c>
      <c r="G13191" s="2"/>
      <c r="H13191" s="2" t="s">
        <v>14284</v>
      </c>
      <c r="I13191" s="2" t="s">
        <v>19</v>
      </c>
      <c r="J13191" s="2" t="s">
        <v>281</v>
      </c>
      <c r="K13191" s="2" t="s">
        <v>17662</v>
      </c>
      <c r="L13191" s="2">
        <f t="shared" si="206"/>
        <v>150</v>
      </c>
    </row>
    <row r="13192" spans="1:12" ht="25" customHeight="1">
      <c r="A13192" s="2" t="s">
        <v>12</v>
      </c>
      <c r="B13192" s="2" t="str">
        <f>HYPERLINK("http://m.12365auto.com/xcdg/20200201/417420.shtml","宽体还加高 Alpine A110新概念车发布")</f>
        <v>宽体还加高 Alpine A110新概念车发布</v>
      </c>
      <c r="C13192" s="2" t="s">
        <v>13</v>
      </c>
      <c r="D13192" s="2" t="s">
        <v>12</v>
      </c>
      <c r="E13192" s="2"/>
      <c r="F13192" s="2" t="str">
        <f>HYPERLINK("http://m.12365auto.com/xcdg/20200201/417420.shtml","http://m.12365auto.com/xcdg/20200201/417420.shtml")</f>
        <v>http://m.12365auto.com/xcdg/20200201/417420.shtml</v>
      </c>
      <c r="G13192" s="2"/>
      <c r="H13192" s="2" t="s">
        <v>17663</v>
      </c>
      <c r="I13192" s="2" t="s">
        <v>19</v>
      </c>
      <c r="J13192" s="2" t="s">
        <v>17659</v>
      </c>
      <c r="K13192" s="2" t="s">
        <v>17664</v>
      </c>
      <c r="L13192" s="2">
        <f t="shared" si="206"/>
        <v>150</v>
      </c>
    </row>
    <row r="13193" spans="1:12" ht="25" customHeight="1">
      <c r="A13193" s="2" t="s">
        <v>12</v>
      </c>
      <c r="B13193" s="2" t="str">
        <f>HYPERLINK("http://www.12365auto.com/xcdg/20200201/417420.shtml","宽体还加高 Alpine A110新概念车发布")</f>
        <v>宽体还加高 Alpine A110新概念车发布</v>
      </c>
      <c r="C13193" s="2" t="s">
        <v>13</v>
      </c>
      <c r="D13193" s="2" t="s">
        <v>12</v>
      </c>
      <c r="E13193" s="2" t="s">
        <v>216</v>
      </c>
      <c r="F13193" s="2" t="str">
        <f>HYPERLINK("http://www.12365auto.com/xcdg/20200201/417420.shtml","http://www.12365auto.com/xcdg/20200201/417420.shtml")</f>
        <v>http://www.12365auto.com/xcdg/20200201/417420.shtml</v>
      </c>
      <c r="G13193" s="2"/>
      <c r="H13193" s="2" t="s">
        <v>17665</v>
      </c>
      <c r="I13193" s="2" t="s">
        <v>15</v>
      </c>
      <c r="J13193" s="2" t="s">
        <v>12</v>
      </c>
      <c r="K13193" s="2" t="s">
        <v>17664</v>
      </c>
      <c r="L13193" s="2">
        <f t="shared" si="206"/>
        <v>150</v>
      </c>
    </row>
    <row r="13194" spans="1:12" ht="25" customHeight="1">
      <c r="A13194" s="2" t="s">
        <v>12</v>
      </c>
      <c r="B13194" s="2" t="str">
        <f>HYPERLINK("http://m.12365auto.com/xcdg/20200201/417419.shtml","3月3日亮相 全新奥迪A3首发日期确定")</f>
        <v>3月3日亮相 全新奥迪A3首发日期确定</v>
      </c>
      <c r="C13194" s="2" t="s">
        <v>13</v>
      </c>
      <c r="D13194" s="2" t="s">
        <v>12</v>
      </c>
      <c r="E13194" s="2"/>
      <c r="F13194" s="2" t="str">
        <f>HYPERLINK("http://m.12365auto.com/xcdg/20200201/417419.shtml","http://m.12365auto.com/xcdg/20200201/417419.shtml")</f>
        <v>http://m.12365auto.com/xcdg/20200201/417419.shtml</v>
      </c>
      <c r="G13194" s="2"/>
      <c r="H13194" s="2" t="s">
        <v>17666</v>
      </c>
      <c r="I13194" s="2" t="s">
        <v>19</v>
      </c>
      <c r="J13194" s="2" t="s">
        <v>17659</v>
      </c>
      <c r="K13194" s="2" t="s">
        <v>17667</v>
      </c>
      <c r="L13194" s="2">
        <f t="shared" si="206"/>
        <v>150</v>
      </c>
    </row>
    <row r="13195" spans="1:12" ht="25" customHeight="1">
      <c r="A13195" s="2" t="s">
        <v>12</v>
      </c>
      <c r="B13195" s="2" t="str">
        <f>HYPERLINK("http://www.12365auto.com/xcdg/20200201/417419.shtml","3月3日亮相 全新奥迪A3首发日期确定")</f>
        <v>3月3日亮相 全新奥迪A3首发日期确定</v>
      </c>
      <c r="C13195" s="2" t="s">
        <v>13</v>
      </c>
      <c r="D13195" s="2" t="s">
        <v>12</v>
      </c>
      <c r="E13195" s="2" t="s">
        <v>216</v>
      </c>
      <c r="F13195" s="2" t="str">
        <f>HYPERLINK("http://www.12365auto.com/xcdg/20200201/417419.shtml","http://www.12365auto.com/xcdg/20200201/417419.shtml")</f>
        <v>http://www.12365auto.com/xcdg/20200201/417419.shtml</v>
      </c>
      <c r="G13195" s="2"/>
      <c r="H13195" s="2" t="s">
        <v>17668</v>
      </c>
      <c r="I13195" s="2" t="s">
        <v>15</v>
      </c>
      <c r="J13195" s="2" t="s">
        <v>12</v>
      </c>
      <c r="K13195" s="2" t="s">
        <v>17667</v>
      </c>
      <c r="L13195" s="2">
        <f t="shared" si="206"/>
        <v>150</v>
      </c>
    </row>
    <row r="13196" spans="1:12" ht="25" customHeight="1">
      <c r="A13196" s="2" t="s">
        <v>12</v>
      </c>
      <c r="B13196" s="2" t="str">
        <f>HYPERLINK("http://www.12365auto.com/news/20200201/417418.shtml","销量不佳 长安汽车2019年预亏超24亿")</f>
        <v>销量不佳 长安汽车2019年预亏超24亿</v>
      </c>
      <c r="C13196" s="2" t="s">
        <v>13</v>
      </c>
      <c r="D13196" s="2" t="s">
        <v>12</v>
      </c>
      <c r="E13196" s="2" t="s">
        <v>276</v>
      </c>
      <c r="F13196" s="2" t="str">
        <f>HYPERLINK("http://www.12365auto.com/news/20200201/417418.shtml","http://www.12365auto.com/news/20200201/417418.shtml")</f>
        <v>http://www.12365auto.com/news/20200201/417418.shtml</v>
      </c>
      <c r="G13196" s="2"/>
      <c r="H13196" s="2" t="s">
        <v>17669</v>
      </c>
      <c r="I13196" s="2" t="s">
        <v>15</v>
      </c>
      <c r="J13196" s="2" t="s">
        <v>12</v>
      </c>
      <c r="K13196" s="2" t="s">
        <v>17670</v>
      </c>
      <c r="L13196" s="2">
        <f t="shared" si="206"/>
        <v>150</v>
      </c>
    </row>
    <row r="13197" spans="1:12" ht="25" customHeight="1">
      <c r="A13197" s="2" t="s">
        <v>12</v>
      </c>
      <c r="B13197" s="2" t="str">
        <f>HYPERLINK("http://m.12365auto.com/news/20200201/417418.shtml","销量不佳 长安汽车2019年预亏超24亿")</f>
        <v>销量不佳 长安汽车2019年预亏超24亿</v>
      </c>
      <c r="C13197" s="2" t="s">
        <v>13</v>
      </c>
      <c r="D13197" s="2" t="s">
        <v>12</v>
      </c>
      <c r="E13197" s="2"/>
      <c r="F13197" s="2" t="str">
        <f>HYPERLINK("http://m.12365auto.com/news/20200201/417418.shtml","http://m.12365auto.com/news/20200201/417418.shtml")</f>
        <v>http://m.12365auto.com/news/20200201/417418.shtml</v>
      </c>
      <c r="G13197" s="2"/>
      <c r="H13197" s="2" t="s">
        <v>17671</v>
      </c>
      <c r="I13197" s="2" t="s">
        <v>19</v>
      </c>
      <c r="J13197" s="2" t="s">
        <v>281</v>
      </c>
      <c r="K13197" s="2" t="s">
        <v>17670</v>
      </c>
      <c r="L13197" s="2">
        <f t="shared" si="206"/>
        <v>150</v>
      </c>
    </row>
    <row r="13198" spans="1:12" ht="25" customHeight="1">
      <c r="A13198" s="2" t="s">
        <v>12</v>
      </c>
      <c r="B13198" s="2" t="str">
        <f>HYPERLINK("http://www.12365auto.com/news/20200201/417417.shtml","沃尔沃成立抗击新型冠状病毒专项资金")</f>
        <v>沃尔沃成立抗击新型冠状病毒专项资金</v>
      </c>
      <c r="C13198" s="2" t="s">
        <v>13</v>
      </c>
      <c r="D13198" s="2" t="s">
        <v>12</v>
      </c>
      <c r="E13198" s="2" t="s">
        <v>276</v>
      </c>
      <c r="F13198" s="2" t="str">
        <f>HYPERLINK("http://www.12365auto.com/news/20200201/417417.shtml","http://www.12365auto.com/news/20200201/417417.shtml")</f>
        <v>http://www.12365auto.com/news/20200201/417417.shtml</v>
      </c>
      <c r="G13198" s="2"/>
      <c r="H13198" s="2" t="s">
        <v>14282</v>
      </c>
      <c r="I13198" s="2" t="s">
        <v>15</v>
      </c>
      <c r="J13198" s="2" t="s">
        <v>12</v>
      </c>
      <c r="K13198" s="2" t="s">
        <v>17672</v>
      </c>
      <c r="L13198" s="2">
        <f t="shared" si="206"/>
        <v>150</v>
      </c>
    </row>
    <row r="13199" spans="1:12" ht="25" customHeight="1">
      <c r="A13199" s="2" t="s">
        <v>12</v>
      </c>
      <c r="B13199" s="2" t="str">
        <f>HYPERLINK("http://m.12365auto.com/news/20200201/417417.shtml","沃尔沃成立抗击新型冠状病毒专项资金")</f>
        <v>沃尔沃成立抗击新型冠状病毒专项资金</v>
      </c>
      <c r="C13199" s="2" t="s">
        <v>13</v>
      </c>
      <c r="D13199" s="2" t="s">
        <v>12</v>
      </c>
      <c r="E13199" s="2"/>
      <c r="F13199" s="2" t="str">
        <f>HYPERLINK("http://m.12365auto.com/news/20200201/417417.shtml","http://m.12365auto.com/news/20200201/417417.shtml")</f>
        <v>http://m.12365auto.com/news/20200201/417417.shtml</v>
      </c>
      <c r="G13199" s="2"/>
      <c r="H13199" s="2" t="s">
        <v>14284</v>
      </c>
      <c r="I13199" s="2" t="s">
        <v>19</v>
      </c>
      <c r="J13199" s="2" t="s">
        <v>281</v>
      </c>
      <c r="K13199" s="2" t="s">
        <v>17672</v>
      </c>
      <c r="L13199" s="2">
        <f t="shared" si="206"/>
        <v>150</v>
      </c>
    </row>
    <row r="13200" spans="1:12" ht="25" customHeight="1">
      <c r="A13200" s="2" t="s">
        <v>12</v>
      </c>
      <c r="B13200" s="2" t="str">
        <f>HYPERLINK("http://www.12365auto.com/news/20200201/417416.shtml","仅产两年便终止 奔驰X级皮卡5月停产")</f>
        <v>仅产两年便终止 奔驰X级皮卡5月停产</v>
      </c>
      <c r="C13200" s="2" t="s">
        <v>13</v>
      </c>
      <c r="D13200" s="2" t="s">
        <v>12</v>
      </c>
      <c r="E13200" s="2" t="s">
        <v>282</v>
      </c>
      <c r="F13200" s="2" t="str">
        <f>HYPERLINK("http://www.12365auto.com/news/20200201/417416.shtml","http://www.12365auto.com/news/20200201/417416.shtml")</f>
        <v>http://www.12365auto.com/news/20200201/417416.shtml</v>
      </c>
      <c r="G13200" s="2"/>
      <c r="H13200" s="2" t="s">
        <v>17673</v>
      </c>
      <c r="I13200" s="2" t="s">
        <v>19</v>
      </c>
      <c r="J13200" s="2" t="s">
        <v>12</v>
      </c>
      <c r="K13200" s="2" t="s">
        <v>17674</v>
      </c>
      <c r="L13200" s="2">
        <f t="shared" si="206"/>
        <v>150</v>
      </c>
    </row>
    <row r="13201" spans="1:12" ht="25" customHeight="1">
      <c r="A13201" s="2" t="s">
        <v>12</v>
      </c>
      <c r="B13201" s="2" t="str">
        <f>HYPERLINK("http://m.12365auto.com/news/20200201/417416.shtml","仅产两年便终止 奔驰X级皮卡5月停产")</f>
        <v>仅产两年便终止 奔驰X级皮卡5月停产</v>
      </c>
      <c r="C13201" s="2" t="s">
        <v>13</v>
      </c>
      <c r="D13201" s="2" t="s">
        <v>12</v>
      </c>
      <c r="E13201" s="2"/>
      <c r="F13201" s="2" t="str">
        <f>HYPERLINK("http://m.12365auto.com/news/20200201/417416.shtml","http://m.12365auto.com/news/20200201/417416.shtml")</f>
        <v>http://m.12365auto.com/news/20200201/417416.shtml</v>
      </c>
      <c r="G13201" s="2"/>
      <c r="H13201" s="2" t="s">
        <v>17675</v>
      </c>
      <c r="I13201" s="2" t="s">
        <v>19</v>
      </c>
      <c r="J13201" s="2" t="s">
        <v>17659</v>
      </c>
      <c r="K13201" s="2" t="s">
        <v>17674</v>
      </c>
      <c r="L13201" s="2">
        <f t="shared" si="206"/>
        <v>150</v>
      </c>
    </row>
    <row r="13202" spans="1:12" ht="25" customHeight="1">
      <c r="A13202" s="2" t="s">
        <v>12</v>
      </c>
      <c r="B13202" s="2" t="str">
        <f>HYPERLINK("http://m.12365auto.com/xcdg/20200201/417415.shtml","推荐ING+版 2019款爱驰U5购车指南")</f>
        <v>推荐ING+版 2019款爱驰U5购车指南</v>
      </c>
      <c r="C13202" s="2" t="s">
        <v>13</v>
      </c>
      <c r="D13202" s="2" t="s">
        <v>12</v>
      </c>
      <c r="E13202" s="2"/>
      <c r="F13202" s="2" t="str">
        <f>HYPERLINK("http://m.12365auto.com/xcdg/20200201/417415.shtml","http://m.12365auto.com/xcdg/20200201/417415.shtml")</f>
        <v>http://m.12365auto.com/xcdg/20200201/417415.shtml</v>
      </c>
      <c r="G13202" s="2"/>
      <c r="H13202" s="2" t="s">
        <v>17676</v>
      </c>
      <c r="I13202" s="2" t="s">
        <v>19</v>
      </c>
      <c r="J13202" s="2" t="s">
        <v>1305</v>
      </c>
      <c r="K13202" s="2" t="s">
        <v>17677</v>
      </c>
      <c r="L13202" s="2">
        <f t="shared" si="206"/>
        <v>150</v>
      </c>
    </row>
    <row r="13203" spans="1:12" ht="25" customHeight="1">
      <c r="A13203" s="2" t="s">
        <v>12</v>
      </c>
      <c r="B13203" s="2" t="str">
        <f>HYPERLINK("http://m.12365auto.com/scbg/20200201/417414.shtml","2020款沃尔沃V60新车商品性评价")</f>
        <v>2020款沃尔沃V60新车商品性评价</v>
      </c>
      <c r="C13203" s="2" t="s">
        <v>13</v>
      </c>
      <c r="D13203" s="2" t="s">
        <v>12</v>
      </c>
      <c r="E13203" s="2"/>
      <c r="F13203" s="2" t="str">
        <f>HYPERLINK("http://m.12365auto.com/scbg/20200201/417414.shtml","http://m.12365auto.com/scbg/20200201/417414.shtml")</f>
        <v>http://m.12365auto.com/scbg/20200201/417414.shtml</v>
      </c>
      <c r="G13203" s="2"/>
      <c r="H13203" s="2" t="s">
        <v>8850</v>
      </c>
      <c r="I13203" s="2" t="s">
        <v>19</v>
      </c>
      <c r="J13203" s="2" t="s">
        <v>1241</v>
      </c>
      <c r="K13203" s="2" t="s">
        <v>17677</v>
      </c>
      <c r="L13203" s="2">
        <f t="shared" si="206"/>
        <v>150</v>
      </c>
    </row>
    <row r="13204" spans="1:12" ht="25" customHeight="1">
      <c r="A13204" s="2" t="s">
        <v>12</v>
      </c>
      <c r="B13204" s="2" t="str">
        <f>HYPERLINK("http://www.12365auto.com/scbg/20200201/417414.shtml","2020款沃尔沃V60新车商品性评价")</f>
        <v>2020款沃尔沃V60新车商品性评价</v>
      </c>
      <c r="C13204" s="2" t="s">
        <v>13</v>
      </c>
      <c r="D13204" s="2" t="s">
        <v>12</v>
      </c>
      <c r="E13204" s="2" t="s">
        <v>1548</v>
      </c>
      <c r="F13204" s="2" t="str">
        <f>HYPERLINK("http://www.12365auto.com/scbg/20200201/417414.shtml","http://www.12365auto.com/scbg/20200201/417414.shtml")</f>
        <v>http://www.12365auto.com/scbg/20200201/417414.shtml</v>
      </c>
      <c r="G13204" s="2"/>
      <c r="H13204" s="2" t="s">
        <v>8848</v>
      </c>
      <c r="I13204" s="2" t="s">
        <v>15</v>
      </c>
      <c r="J13204" s="2" t="s">
        <v>12</v>
      </c>
      <c r="K13204" s="2" t="s">
        <v>17677</v>
      </c>
      <c r="L13204" s="2">
        <f t="shared" si="206"/>
        <v>150</v>
      </c>
    </row>
    <row r="13205" spans="1:12" ht="25" customHeight="1">
      <c r="A13205" s="2" t="s">
        <v>12</v>
      </c>
      <c r="B13205" s="2" t="str">
        <f>HYPERLINK("http://www.12365auto.com/zlts/20200201/446017.shtml","17款明锐1.6l自动智行版  冷启动这个声音")</f>
        <v>17款明锐1.6l自动智行版  冷启动这个声音</v>
      </c>
      <c r="C13205" s="2" t="s">
        <v>13</v>
      </c>
      <c r="D13205" s="2" t="s">
        <v>12</v>
      </c>
      <c r="E13205" s="2"/>
      <c r="F13205" s="2" t="str">
        <f>HYPERLINK("http://www.12365auto.com/zlts/20200201/446017.shtml","http://www.12365auto.com/zlts/20200201/446017.shtml")</f>
        <v>http://www.12365auto.com/zlts/20200201/446017.shtml</v>
      </c>
      <c r="G13205" s="2"/>
      <c r="H13205" s="2" t="s">
        <v>17679</v>
      </c>
      <c r="I13205" s="2" t="s">
        <v>15</v>
      </c>
      <c r="J13205" s="2" t="s">
        <v>12</v>
      </c>
      <c r="K13205" s="2" t="s">
        <v>17678</v>
      </c>
      <c r="L13205" s="2">
        <f t="shared" si="206"/>
        <v>81</v>
      </c>
    </row>
    <row r="13206" spans="1:12" ht="25" customHeight="1">
      <c r="A13206" s="2" t="s">
        <v>12</v>
      </c>
      <c r="B13206" s="2" t="str">
        <f>HYPERLINK("http://www.12365auto.com/zlts/20200201/446016.shtml","车辆行驶中全车故障灯亮且熄火")</f>
        <v>车辆行驶中全车故障灯亮且熄火</v>
      </c>
      <c r="C13206" s="2" t="s">
        <v>13</v>
      </c>
      <c r="D13206" s="2" t="s">
        <v>12</v>
      </c>
      <c r="E13206" s="2"/>
      <c r="F13206" s="2" t="str">
        <f>HYPERLINK("http://www.12365auto.com/zlts/20200201/446016.shtml","http://www.12365auto.com/zlts/20200201/446016.shtml")</f>
        <v>http://www.12365auto.com/zlts/20200201/446016.shtml</v>
      </c>
      <c r="G13206" s="2"/>
      <c r="H13206" s="2" t="s">
        <v>17681</v>
      </c>
      <c r="I13206" s="2" t="s">
        <v>15</v>
      </c>
      <c r="J13206" s="2" t="s">
        <v>12</v>
      </c>
      <c r="K13206" s="2" t="s">
        <v>17680</v>
      </c>
      <c r="L13206" s="2">
        <f t="shared" si="206"/>
        <v>94</v>
      </c>
    </row>
    <row r="13207" spans="1:12" ht="25" customHeight="1">
      <c r="A13207" s="2" t="s">
        <v>12</v>
      </c>
      <c r="B13207" s="2" t="str">
        <f>HYPERLINK("http://www.12365auto.com/zlts/20200201/446013.shtml","上汽大众朗逸车窗异响升降机损坏")</f>
        <v>上汽大众朗逸车窗异响升降机损坏</v>
      </c>
      <c r="C13207" s="2" t="s">
        <v>13</v>
      </c>
      <c r="D13207" s="2" t="s">
        <v>12</v>
      </c>
      <c r="E13207" s="2"/>
      <c r="F13207" s="2" t="str">
        <f>HYPERLINK("http://www.12365auto.com/zlts/20200201/446013.shtml","http://www.12365auto.com/zlts/20200201/446013.shtml")</f>
        <v>http://www.12365auto.com/zlts/20200201/446013.shtml</v>
      </c>
      <c r="G13207" s="2"/>
      <c r="H13207" s="2" t="s">
        <v>17683</v>
      </c>
      <c r="I13207" s="2" t="s">
        <v>15</v>
      </c>
      <c r="J13207" s="2" t="s">
        <v>12</v>
      </c>
      <c r="K13207" s="2" t="s">
        <v>17682</v>
      </c>
      <c r="L13207" s="2">
        <f t="shared" si="206"/>
        <v>80</v>
      </c>
    </row>
    <row r="13208" spans="1:12" ht="25" customHeight="1">
      <c r="A13208" s="2" t="s">
        <v>12</v>
      </c>
      <c r="B13208" s="2" t="str">
        <f>HYPERLINK("http://www.12365auto.com/zlts/20200201/446011.shtml","仪表台脱胶")</f>
        <v>仪表台脱胶</v>
      </c>
      <c r="C13208" s="2" t="s">
        <v>13</v>
      </c>
      <c r="D13208" s="2" t="s">
        <v>12</v>
      </c>
      <c r="E13208" s="2"/>
      <c r="F13208" s="2" t="str">
        <f>HYPERLINK("http://www.12365auto.com/zlts/20200201/446011.shtml","http://www.12365auto.com/zlts/20200201/446011.shtml")</f>
        <v>http://www.12365auto.com/zlts/20200201/446011.shtml</v>
      </c>
      <c r="G13208" s="2"/>
      <c r="H13208" s="3" t="s">
        <v>17685</v>
      </c>
      <c r="I13208" s="2" t="s">
        <v>15</v>
      </c>
      <c r="J13208" s="2" t="s">
        <v>12</v>
      </c>
      <c r="K13208" s="2" t="s">
        <v>17684</v>
      </c>
      <c r="L13208" s="2">
        <f t="shared" si="206"/>
        <v>80</v>
      </c>
    </row>
    <row r="13209" spans="1:12" ht="25" customHeight="1">
      <c r="A13209" s="2" t="s">
        <v>12</v>
      </c>
      <c r="B13209" s="2" t="str">
        <f>HYPERLINK("http://www.12365auto.com/zlts/20200201/446010.shtml","比亚迪G3侧裙生锈腐烂 发动机烧机油")</f>
        <v>比亚迪G3侧裙生锈腐烂 发动机烧机油</v>
      </c>
      <c r="C13209" s="2" t="s">
        <v>13</v>
      </c>
      <c r="D13209" s="2" t="s">
        <v>12</v>
      </c>
      <c r="E13209" s="2" t="s">
        <v>17</v>
      </c>
      <c r="F13209" s="2" t="str">
        <f>HYPERLINK("http://www.12365auto.com/zlts/20200201/446010.shtml","http://www.12365auto.com/zlts/20200201/446010.shtml")</f>
        <v>http://www.12365auto.com/zlts/20200201/446010.shtml</v>
      </c>
      <c r="G13209" s="2"/>
      <c r="H13209" s="2" t="s">
        <v>17686</v>
      </c>
      <c r="I13209" s="2" t="s">
        <v>19</v>
      </c>
      <c r="J13209" s="2" t="s">
        <v>12</v>
      </c>
      <c r="K13209" s="2" t="s">
        <v>17687</v>
      </c>
      <c r="L13209" s="2">
        <f t="shared" si="206"/>
        <v>150</v>
      </c>
    </row>
  </sheetData>
  <autoFilter ref="A1:L13209" xr:uid="{8C558F68-10F7-324E-8CCC-D784A7BE1907}"/>
  <phoneticPr fontId="4"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husky husky</cp:lastModifiedBy>
  <dcterms:created xsi:type="dcterms:W3CDTF">2020-03-17T06:25:31Z</dcterms:created>
  <dcterms:modified xsi:type="dcterms:W3CDTF">2020-03-17T16:59:36Z</dcterms:modified>
</cp:coreProperties>
</file>